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 codeName="{8C4F1C90-05EB-6A55-5F09-09C24B55AC0B}"/>
  <workbookPr codeName="현재_통합_문서" defaultThemeVersion="124226"/>
  <bookViews>
    <workbookView xWindow="28680" yWindow="-120" windowWidth="29040" windowHeight="15840" tabRatio="920"/>
  </bookViews>
  <sheets>
    <sheet name="설계설명서 (2)" sheetId="483" r:id="rId1"/>
    <sheet name="예정공정표 (2)" sheetId="484" r:id="rId2"/>
    <sheet name="예갑" sheetId="485" r:id="rId3"/>
    <sheet name="설계설명서" sheetId="479" state="hidden" r:id="rId4"/>
    <sheet name="예정공정표" sheetId="480" state="hidden" r:id="rId5"/>
    <sheet name="원가계산서" sheetId="14" r:id="rId6"/>
    <sheet name="대총괄표" sheetId="433" state="hidden" r:id="rId7"/>
    <sheet name="총괄표" sheetId="168" r:id="rId8"/>
    <sheet name="내역서" sheetId="467" r:id="rId9"/>
    <sheet name="산출집계(철거) " sheetId="478" state="hidden" r:id="rId10"/>
    <sheet name="산출집계(인입) " sheetId="477" state="hidden" r:id="rId11"/>
    <sheet name="관급자재" sheetId="459" r:id="rId12"/>
    <sheet name="폐기물일위대가" sheetId="472" state="hidden" r:id="rId13"/>
    <sheet name="부록단가비교표" sheetId="8" state="hidden" r:id="rId14"/>
    <sheet name="산출집계(가로등)" sheetId="476" state="hidden" r:id="rId15"/>
    <sheet name="산출집계(신호등)" sheetId="481" state="hidden" r:id="rId16"/>
    <sheet name="수량산출서(DL)" sheetId="462" state="hidden" r:id="rId17"/>
    <sheet name="한전수용비산출" sheetId="304" state="hidden" r:id="rId18"/>
    <sheet name="관로굴착도" sheetId="359" state="hidden" r:id="rId19"/>
    <sheet name="분전반 기초산출" sheetId="157" state="hidden" r:id="rId20"/>
    <sheet name="신호등 기초산출" sheetId="323" state="hidden" r:id="rId21"/>
    <sheet name="폐기물상차비" sheetId="471" state="hidden" r:id="rId22"/>
    <sheet name="xx내역 집계 (2)" sheetId="474" state="hidden" r:id="rId23"/>
    <sheet name="xx폐기물집계 (2)" sheetId="475" state="hidden" r:id="rId24"/>
    <sheet name="신호등 고재산출" sheetId="327" state="hidden" r:id="rId25"/>
    <sheet name="---------------&gt;" sheetId="302" state="hidden" r:id="rId26"/>
    <sheet name="토목단가산출" sheetId="322" state="hidden" r:id="rId27"/>
    <sheet name="토목기계경비" sheetId="320" state="hidden" r:id="rId28"/>
    <sheet name="토목기계경비적용기준" sheetId="310" state="hidden" r:id="rId29"/>
    <sheet name="노임단가" sheetId="308" state="hidden" r:id="rId30"/>
  </sheets>
  <functionGroups builtInGroupCount="17"/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___tt1">"tt1"</definedName>
    <definedName name="___tt1">"tt1"</definedName>
    <definedName name="__123Graph_A" hidden="1">[1]DRUM!#REF!</definedName>
    <definedName name="__123Graph_AA" hidden="1">[2]Sheet9!$S$50:$AV$50</definedName>
    <definedName name="__123Graph_AB" hidden="1">[2]Sheet9!$S$51:$AV$51</definedName>
    <definedName name="__123Graph_AC" hidden="1">[2]Sheet9!$S$47:$AV$47</definedName>
    <definedName name="__123Graph_AD" hidden="1">[2]Sheet9!$O$64:$O$131</definedName>
    <definedName name="__123Graph_AE" hidden="1">[2]Sheet9!$O$131:$O$201</definedName>
    <definedName name="__123Graph_AF" hidden="1">[2]Sheet9!$O$202:$O$271</definedName>
    <definedName name="__123Graph_AG" hidden="1">[2]Sheet9!$O$272:$O$341</definedName>
    <definedName name="__123Graph_A공광전력" hidden="1">#REF!</definedName>
    <definedName name="__123Graph_B" localSheetId="22" hidden="1">[3]집계표!#REF!</definedName>
    <definedName name="__123Graph_B" localSheetId="23" hidden="1">[3]집계표!#REF!</definedName>
    <definedName name="__123Graph_B" localSheetId="11" hidden="1">[3]집계표!#REF!</definedName>
    <definedName name="__123Graph_B" localSheetId="18" hidden="1">[3]집계표!#REF!</definedName>
    <definedName name="__123Graph_B" localSheetId="8" hidden="1">[3]집계표!#REF!</definedName>
    <definedName name="__123Graph_B" localSheetId="6" hidden="1">[3]집계표!#REF!</definedName>
    <definedName name="__123Graph_B" localSheetId="14" hidden="1">[3]집계표!#REF!</definedName>
    <definedName name="__123Graph_B" localSheetId="15" hidden="1">[3]집계표!#REF!</definedName>
    <definedName name="__123Graph_B" localSheetId="10" hidden="1">[3]집계표!#REF!</definedName>
    <definedName name="__123Graph_B" localSheetId="9" hidden="1">[3]집계표!#REF!</definedName>
    <definedName name="__123Graph_B" localSheetId="3" hidden="1">[3]집계표!#REF!</definedName>
    <definedName name="__123Graph_B" localSheetId="16" hidden="1">[3]집계표!#REF!</definedName>
    <definedName name="__123Graph_B" localSheetId="24" hidden="1">[3]집계표!#REF!</definedName>
    <definedName name="__123Graph_B" localSheetId="4" hidden="1">[3]집계표!#REF!</definedName>
    <definedName name="__123Graph_B" localSheetId="12" hidden="1">[3]집계표!#REF!</definedName>
    <definedName name="__123Graph_B" hidden="1">[3]집계표!#REF!</definedName>
    <definedName name="__123Graph_B공광전력" hidden="1">#REF!</definedName>
    <definedName name="__123Graph_C" hidden="1">[1]DRUM!#REF!</definedName>
    <definedName name="__123Graph_C공광전력" hidden="1">#REF!</definedName>
    <definedName name="__123Graph_D" localSheetId="22" hidden="1">[3]집계표!#REF!</definedName>
    <definedName name="__123Graph_D" localSheetId="23" hidden="1">[3]집계표!#REF!</definedName>
    <definedName name="__123Graph_D" localSheetId="11" hidden="1">[3]집계표!#REF!</definedName>
    <definedName name="__123Graph_D" localSheetId="18" hidden="1">[3]집계표!#REF!</definedName>
    <definedName name="__123Graph_D" localSheetId="8" hidden="1">[3]집계표!#REF!</definedName>
    <definedName name="__123Graph_D" localSheetId="6" hidden="1">[3]집계표!#REF!</definedName>
    <definedName name="__123Graph_D" localSheetId="14" hidden="1">[3]집계표!#REF!</definedName>
    <definedName name="__123Graph_D" localSheetId="15" hidden="1">[3]집계표!#REF!</definedName>
    <definedName name="__123Graph_D" localSheetId="10" hidden="1">[3]집계표!#REF!</definedName>
    <definedName name="__123Graph_D" localSheetId="9" hidden="1">[3]집계표!#REF!</definedName>
    <definedName name="__123Graph_D" localSheetId="3" hidden="1">[3]집계표!#REF!</definedName>
    <definedName name="__123Graph_D" localSheetId="16" hidden="1">[3]집계표!#REF!</definedName>
    <definedName name="__123Graph_D" localSheetId="24" hidden="1">[3]집계표!#REF!</definedName>
    <definedName name="__123Graph_D" localSheetId="4" hidden="1">[3]집계표!#REF!</definedName>
    <definedName name="__123Graph_D" localSheetId="12" hidden="1">[3]집계표!#REF!</definedName>
    <definedName name="__123Graph_D" hidden="1">[3]집계표!#REF!</definedName>
    <definedName name="__123Graph_F" localSheetId="22" hidden="1">[3]집계표!#REF!</definedName>
    <definedName name="__123Graph_F" localSheetId="23" hidden="1">[3]집계표!#REF!</definedName>
    <definedName name="__123Graph_F" localSheetId="11" hidden="1">[3]집계표!#REF!</definedName>
    <definedName name="__123Graph_F" localSheetId="18" hidden="1">[3]집계표!#REF!</definedName>
    <definedName name="__123Graph_F" localSheetId="8" hidden="1">[3]집계표!#REF!</definedName>
    <definedName name="__123Graph_F" localSheetId="6" hidden="1">[3]집계표!#REF!</definedName>
    <definedName name="__123Graph_F" localSheetId="14" hidden="1">[3]집계표!#REF!</definedName>
    <definedName name="__123Graph_F" localSheetId="15" hidden="1">[3]집계표!#REF!</definedName>
    <definedName name="__123Graph_F" localSheetId="10" hidden="1">[3]집계표!#REF!</definedName>
    <definedName name="__123Graph_F" localSheetId="9" hidden="1">[3]집계표!#REF!</definedName>
    <definedName name="__123Graph_F" localSheetId="3" hidden="1">[3]집계표!#REF!</definedName>
    <definedName name="__123Graph_F" localSheetId="16" hidden="1">[3]집계표!#REF!</definedName>
    <definedName name="__123Graph_F" localSheetId="24" hidden="1">[3]집계표!#REF!</definedName>
    <definedName name="__123Graph_F" localSheetId="4" hidden="1">[3]집계표!#REF!</definedName>
    <definedName name="__123Graph_F" localSheetId="12" hidden="1">[3]집계표!#REF!</definedName>
    <definedName name="__123Graph_F" hidden="1">[3]집계표!#REF!</definedName>
    <definedName name="__123Graph_X" localSheetId="22" hidden="1">[3]집계표!#REF!</definedName>
    <definedName name="__123Graph_X" localSheetId="23" hidden="1">[3]집계표!#REF!</definedName>
    <definedName name="__123Graph_X" localSheetId="11" hidden="1">[3]집계표!#REF!</definedName>
    <definedName name="__123Graph_X" localSheetId="18" hidden="1">[3]집계표!#REF!</definedName>
    <definedName name="__123Graph_X" localSheetId="8" hidden="1">[3]집계표!#REF!</definedName>
    <definedName name="__123Graph_X" localSheetId="6" hidden="1">[3]집계표!#REF!</definedName>
    <definedName name="__123Graph_X" localSheetId="14" hidden="1">[3]집계표!#REF!</definedName>
    <definedName name="__123Graph_X" localSheetId="15" hidden="1">[3]집계표!#REF!</definedName>
    <definedName name="__123Graph_X" localSheetId="10" hidden="1">[3]집계표!#REF!</definedName>
    <definedName name="__123Graph_X" localSheetId="9" hidden="1">[3]집계표!#REF!</definedName>
    <definedName name="__123Graph_X" localSheetId="3" hidden="1">[3]집계표!#REF!</definedName>
    <definedName name="__123Graph_X" localSheetId="16" hidden="1">[3]집계표!#REF!</definedName>
    <definedName name="__123Graph_X" localSheetId="24" hidden="1">[3]집계표!#REF!</definedName>
    <definedName name="__123Graph_X" localSheetId="4" hidden="1">[3]집계표!#REF!</definedName>
    <definedName name="__123Graph_X" localSheetId="12" hidden="1">[3]집계표!#REF!</definedName>
    <definedName name="__123Graph_X" hidden="1">[3]집계표!#REF!</definedName>
    <definedName name="__123Graph_XA" hidden="1">[2]Sheet9!$S$48:$AV$48</definedName>
    <definedName name="__123Graph_XB" hidden="1">[2]Sheet9!$S$48:$AV$48</definedName>
    <definedName name="__123Graph_XC" hidden="1">[2]Sheet9!$S$48:$AV$48</definedName>
    <definedName name="__123Graph_XD" hidden="1">[2]Sheet9!$N$64:$N$131</definedName>
    <definedName name="__123Graph_XE" hidden="1">[2]Sheet9!$N$131:$N$201</definedName>
    <definedName name="__123Graph_XF" hidden="1">[2]Sheet9!$N$202:$N$271</definedName>
    <definedName name="__123Graph_XG" hidden="1">[2]Sheet9!$N$272:$N$341</definedName>
    <definedName name="__123Graph_X공광전력" hidden="1">#REF!</definedName>
    <definedName name="__a122" hidden="1">{#N/A,#N/A,FALSE,"속도"}</definedName>
    <definedName name="__DemandLoad">TRUE</definedName>
    <definedName name="__IntlFixup" hidden="1">TRUE</definedName>
    <definedName name="__P3" hidden="1">{#N/A,#N/A,FALSE,"배수1"}</definedName>
    <definedName name="__P4" hidden="1">{#N/A,#N/A,FALSE,"혼합골재"}</definedName>
    <definedName name="__P5" hidden="1">{#N/A,#N/A,FALSE,"배수1"}</definedName>
    <definedName name="__P6" hidden="1">{#N/A,#N/A,FALSE,"2~8번"}</definedName>
    <definedName name="__S3" hidden="1">{#N/A,#N/A,FALSE,"포장2"}</definedName>
    <definedName name="__tt1">"tt1"</definedName>
    <definedName name="_1">#REF!</definedName>
    <definedName name="_102wrn.Ã¶°ñÁý°èÇ_._.5Ä­." hidden="1">{#N/A,#N/A,FALSE,"Sheet1"}</definedName>
    <definedName name="_10G_0Extr">#REF!</definedName>
    <definedName name="_11G_0Extract">#REF!</definedName>
    <definedName name="_12G__Extr">#REF!</definedName>
    <definedName name="_13G__Extract">#REF!</definedName>
    <definedName name="_15P3_" hidden="1">{#N/A,#N/A,FALSE,"배수1"}</definedName>
    <definedName name="_16P3_">{#N/A,#N/A,FALSE,"배수1"}</definedName>
    <definedName name="_17P4_" hidden="1">{#N/A,#N/A,FALSE,"혼합골재"}</definedName>
    <definedName name="_18P5_">{#N/A,#N/A,FALSE,"배수1"}</definedName>
    <definedName name="_19P5_" hidden="1">{#N/A,#N/A,FALSE,"배수1"}</definedName>
    <definedName name="_19P6_">{#N/A,#N/A,FALSE,"2~8번"}</definedName>
    <definedName name="_20S3_">{#N/A,#N/A,FALSE,"포장2"}</definedName>
    <definedName name="_21P6_" hidden="1">{#N/A,#N/A,FALSE,"2~8번"}</definedName>
    <definedName name="_21t5_">#REF!</definedName>
    <definedName name="_23S3_" hidden="1">{#N/A,#N/A,FALSE,"포장2"}</definedName>
    <definedName name="_27F" hidden="1">[4]CTEMCOST!#REF!</definedName>
    <definedName name="_29¤§¤_¤¡" hidden="1">{#N/A,#N/A,FALSE,"Sheet1"}</definedName>
    <definedName name="_3_3_0Crite">#REF!</definedName>
    <definedName name="_4_3_0Criteria">#REF!</definedName>
    <definedName name="_5_3__Crite">#REF!</definedName>
    <definedName name="_6_3__Criteria">#REF!</definedName>
    <definedName name="_69a122_" hidden="1">{#N/A,#N/A,FALSE,"속도"}</definedName>
    <definedName name="_7a1_">#REF!</definedName>
    <definedName name="_9fg34444_">BlankMacro1</definedName>
    <definedName name="_A">#N/A</definedName>
    <definedName name="_a122" hidden="1">{#N/A,#N/A,FALSE,"속도"}</definedName>
    <definedName name="_Dist_Bin" localSheetId="22" hidden="1">#REF!</definedName>
    <definedName name="_Dist_Bin" localSheetId="23" hidden="1">#REF!</definedName>
    <definedName name="_Dist_Bin" localSheetId="11" hidden="1">#REF!</definedName>
    <definedName name="_Dist_Bin" localSheetId="18" hidden="1">#REF!</definedName>
    <definedName name="_Dist_Bin" localSheetId="8" hidden="1">#REF!</definedName>
    <definedName name="_Dist_Bin" localSheetId="6" hidden="1">#REF!</definedName>
    <definedName name="_Dist_Bin" localSheetId="14" hidden="1">#REF!</definedName>
    <definedName name="_Dist_Bin" localSheetId="15" hidden="1">#REF!</definedName>
    <definedName name="_Dist_Bin" localSheetId="10" hidden="1">#REF!</definedName>
    <definedName name="_Dist_Bin" localSheetId="9" hidden="1">#REF!</definedName>
    <definedName name="_Dist_Bin" localSheetId="3" hidden="1">#REF!</definedName>
    <definedName name="_Dist_Bin" localSheetId="16" hidden="1">#REF!</definedName>
    <definedName name="_Dist_Bin" localSheetId="24" hidden="1">[5]조명시설!#REF!</definedName>
    <definedName name="_Dist_Bin" localSheetId="20" hidden="1">[5]조명시설!#REF!</definedName>
    <definedName name="_Dist_Bin" localSheetId="4" hidden="1">#REF!</definedName>
    <definedName name="_Dist_Bin" localSheetId="12" hidden="1">#REF!</definedName>
    <definedName name="_Dist_Bin" hidden="1">#REF!</definedName>
    <definedName name="_Dist_Values" localSheetId="22" hidden="1">#REF!</definedName>
    <definedName name="_Dist_Values" localSheetId="23" hidden="1">#REF!</definedName>
    <definedName name="_Dist_Values" localSheetId="11" hidden="1">#REF!</definedName>
    <definedName name="_Dist_Values" localSheetId="18" hidden="1">#REF!</definedName>
    <definedName name="_Dist_Values" localSheetId="8" hidden="1">#REF!</definedName>
    <definedName name="_Dist_Values" localSheetId="6" hidden="1">#REF!</definedName>
    <definedName name="_Dist_Values" localSheetId="14" hidden="1">#REF!</definedName>
    <definedName name="_Dist_Values" localSheetId="15" hidden="1">#REF!</definedName>
    <definedName name="_Dist_Values" localSheetId="10" hidden="1">#REF!</definedName>
    <definedName name="_Dist_Values" localSheetId="9" hidden="1">#REF!</definedName>
    <definedName name="_Dist_Values" localSheetId="3" hidden="1">#REF!</definedName>
    <definedName name="_Dist_Values" localSheetId="16" hidden="1">#REF!</definedName>
    <definedName name="_Dist_Values" localSheetId="24" hidden="1">[5]조명시설!#REF!</definedName>
    <definedName name="_Dist_Values" localSheetId="20" hidden="1">[5]조명시설!#REF!</definedName>
    <definedName name="_Dist_Values" localSheetId="4" hidden="1">#REF!</definedName>
    <definedName name="_Dist_Values" localSheetId="12" hidden="1">#REF!</definedName>
    <definedName name="_Dist_Values" hidden="1">#REF!</definedName>
    <definedName name="_Fill" localSheetId="22" hidden="1">#REF!</definedName>
    <definedName name="_Fill" localSheetId="23" hidden="1">#REF!</definedName>
    <definedName name="_Fill" localSheetId="11" hidden="1">#REF!</definedName>
    <definedName name="_Fill" localSheetId="18" hidden="1">#REF!</definedName>
    <definedName name="_Fill" localSheetId="8" hidden="1">#REF!</definedName>
    <definedName name="_Fill" localSheetId="6" hidden="1">#REF!</definedName>
    <definedName name="_Fill" localSheetId="14" hidden="1">#REF!</definedName>
    <definedName name="_Fill" localSheetId="15" hidden="1">#REF!</definedName>
    <definedName name="_Fill" localSheetId="10" hidden="1">#REF!</definedName>
    <definedName name="_Fill" localSheetId="9" hidden="1">#REF!</definedName>
    <definedName name="_Fill" localSheetId="3" hidden="1">#REF!</definedName>
    <definedName name="_Fill" localSheetId="16" hidden="1">#REF!</definedName>
    <definedName name="_Fill" localSheetId="24" hidden="1">#REF!</definedName>
    <definedName name="_Fill" localSheetId="20" hidden="1">#REF!</definedName>
    <definedName name="_Fill" localSheetId="4" hidden="1">#REF!</definedName>
    <definedName name="_Fill" localSheetId="12" hidden="1">#REF!</definedName>
    <definedName name="_Fill" localSheetId="17" hidden="1">#REF!</definedName>
    <definedName name="_Fill" hidden="1">#REF!</definedName>
    <definedName name="_xlnm._FilterDatabase" localSheetId="22" hidden="1">'xx내역 집계 (2)'!$A$5:$R$142</definedName>
    <definedName name="_xlnm._FilterDatabase" localSheetId="23" hidden="1">#REF!</definedName>
    <definedName name="_xlnm._FilterDatabase" localSheetId="11" hidden="1">관급자재!$A$5:$R$27</definedName>
    <definedName name="_xlnm._FilterDatabase" localSheetId="18" hidden="1">#REF!</definedName>
    <definedName name="_xlnm._FilterDatabase" localSheetId="8" hidden="1">내역서!#REF!</definedName>
    <definedName name="_xlnm._FilterDatabase" localSheetId="6" hidden="1">#REF!</definedName>
    <definedName name="_xlnm._FilterDatabase" localSheetId="14" hidden="1">'산출집계(가로등)'!$A$7:$Y$64</definedName>
    <definedName name="_xlnm._FilterDatabase" localSheetId="15" hidden="1">'산출집계(신호등)'!$A$6:$X$62</definedName>
    <definedName name="_xlnm._FilterDatabase" localSheetId="10" hidden="1">'산출집계(인입) '!$A$5:$P$50</definedName>
    <definedName name="_xlnm._FilterDatabase" localSheetId="9" hidden="1">'산출집계(철거) '!$A$5:$P$51</definedName>
    <definedName name="_xlnm._FilterDatabase" localSheetId="3" hidden="1">#REF!</definedName>
    <definedName name="_xlnm._FilterDatabase" localSheetId="16" hidden="1">#REF!</definedName>
    <definedName name="_xlnm._FilterDatabase" localSheetId="24" hidden="1">#REF!</definedName>
    <definedName name="_xlnm._FilterDatabase" localSheetId="20" hidden="1">#REF!</definedName>
    <definedName name="_xlnm._FilterDatabase" localSheetId="4" hidden="1">#REF!</definedName>
    <definedName name="_xlnm._FilterDatabase" localSheetId="12" hidden="1">폐기물일위대가!$A$50:$R$155</definedName>
    <definedName name="_xlnm._FilterDatabase" hidden="1">#REF!</definedName>
    <definedName name="_GHH1">#REF!</definedName>
    <definedName name="_GHH2">#REF!</definedName>
    <definedName name="_JEA1">#REF!</definedName>
    <definedName name="_JEA2">#REF!</definedName>
    <definedName name="_Key1" localSheetId="22" hidden="1">#REF!</definedName>
    <definedName name="_Key1" localSheetId="23" hidden="1">#REF!</definedName>
    <definedName name="_Key1" localSheetId="11" hidden="1">#REF!</definedName>
    <definedName name="_Key1" localSheetId="18" hidden="1">#REF!</definedName>
    <definedName name="_Key1" localSheetId="8" hidden="1">#REF!</definedName>
    <definedName name="_Key1" localSheetId="6" hidden="1">#REF!</definedName>
    <definedName name="_Key1" localSheetId="14" hidden="1">#REF!</definedName>
    <definedName name="_Key1" localSheetId="15" hidden="1">#REF!</definedName>
    <definedName name="_Key1" localSheetId="10" hidden="1">#REF!</definedName>
    <definedName name="_Key1" localSheetId="9" hidden="1">#REF!</definedName>
    <definedName name="_Key1" localSheetId="3" hidden="1">#REF!</definedName>
    <definedName name="_Key1" localSheetId="16" hidden="1">#REF!</definedName>
    <definedName name="_Key1" localSheetId="24" hidden="1">#REF!</definedName>
    <definedName name="_Key1" localSheetId="20" hidden="1">#REF!</definedName>
    <definedName name="_Key1" localSheetId="4" hidden="1">#REF!</definedName>
    <definedName name="_Key1" localSheetId="12" hidden="1">#REF!</definedName>
    <definedName name="_Key1" hidden="1">#REF!</definedName>
    <definedName name="_key10" hidden="1">[6]주식!#REF!</definedName>
    <definedName name="_Key11" hidden="1">#REF!</definedName>
    <definedName name="_Key2" localSheetId="22" hidden="1">#REF!</definedName>
    <definedName name="_Key2" localSheetId="23" hidden="1">#REF!</definedName>
    <definedName name="_Key2" localSheetId="11" hidden="1">#REF!</definedName>
    <definedName name="_Key2" localSheetId="18" hidden="1">#REF!</definedName>
    <definedName name="_Key2" localSheetId="8" hidden="1">#REF!</definedName>
    <definedName name="_Key2" localSheetId="6" hidden="1">#REF!</definedName>
    <definedName name="_Key2" localSheetId="14" hidden="1">#REF!</definedName>
    <definedName name="_Key2" localSheetId="15" hidden="1">#REF!</definedName>
    <definedName name="_Key2" localSheetId="10" hidden="1">#REF!</definedName>
    <definedName name="_Key2" localSheetId="9" hidden="1">#REF!</definedName>
    <definedName name="_Key2" localSheetId="3" hidden="1">#REF!</definedName>
    <definedName name="_Key2" localSheetId="16" hidden="1">#REF!</definedName>
    <definedName name="_Key2" localSheetId="24" hidden="1">#REF!</definedName>
    <definedName name="_Key2" localSheetId="20" hidden="1">#REF!</definedName>
    <definedName name="_Key2" localSheetId="4" hidden="1">#REF!</definedName>
    <definedName name="_Key2" localSheetId="12" hidden="1">#REF!</definedName>
    <definedName name="_Key2" hidden="1">#REF!</definedName>
    <definedName name="_Key3" hidden="1">#REF!</definedName>
    <definedName name="_kfkf" localSheetId="22" hidden="1">#REF!</definedName>
    <definedName name="_kfkf" localSheetId="23" hidden="1">#REF!</definedName>
    <definedName name="_kfkf" localSheetId="11" hidden="1">#REF!</definedName>
    <definedName name="_kfkf" localSheetId="18" hidden="1">#REF!</definedName>
    <definedName name="_kfkf" localSheetId="8" hidden="1">#REF!</definedName>
    <definedName name="_kfkf" localSheetId="6" hidden="1">#REF!</definedName>
    <definedName name="_kfkf" localSheetId="14" hidden="1">#REF!</definedName>
    <definedName name="_kfkf" localSheetId="15" hidden="1">#REF!</definedName>
    <definedName name="_kfkf" localSheetId="10" hidden="1">#REF!</definedName>
    <definedName name="_kfkf" localSheetId="9" hidden="1">#REF!</definedName>
    <definedName name="_kfkf" localSheetId="3" hidden="1">#REF!</definedName>
    <definedName name="_kfkf" localSheetId="16" hidden="1">#REF!</definedName>
    <definedName name="_kfkf" localSheetId="24" hidden="1">#REF!</definedName>
    <definedName name="_kfkf" localSheetId="4" hidden="1">#REF!</definedName>
    <definedName name="_kfkf" localSheetId="12" hidden="1">#REF!</definedName>
    <definedName name="_kfkf" hidden="1">#REF!</definedName>
    <definedName name="_MaL1">#REF!</definedName>
    <definedName name="_MaL2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Order1" hidden="1">255</definedName>
    <definedName name="_Order2" hidden="1">255</definedName>
    <definedName name="_P3" hidden="1">{#N/A,#N/A,FALSE,"배수1"}</definedName>
    <definedName name="_P4" hidden="1">{#N/A,#N/A,FALSE,"혼합골재"}</definedName>
    <definedName name="_P5" hidden="1">{#N/A,#N/A,FALSE,"배수1"}</definedName>
    <definedName name="_P6" hidden="1">{#N/A,#N/A,FALSE,"2~8번"}</definedName>
    <definedName name="_pa1">#REF!</definedName>
    <definedName name="_pa2">#REF!</definedName>
    <definedName name="_Parse_In" hidden="1">#REF!</definedName>
    <definedName name="_Parse_Out" localSheetId="15" hidden="1">#REF!</definedName>
    <definedName name="_Parse_Out" hidden="1">#REF!</definedName>
    <definedName name="_qty1">#REF!</definedName>
    <definedName name="_Regression_Int" hidden="1">1</definedName>
    <definedName name="_Regression_Out" localSheetId="22" hidden="1">#REF!</definedName>
    <definedName name="_Regression_Out" localSheetId="23" hidden="1">#REF!</definedName>
    <definedName name="_Regression_Out" localSheetId="11" hidden="1">#REF!</definedName>
    <definedName name="_Regression_Out" localSheetId="18" hidden="1">#REF!</definedName>
    <definedName name="_Regression_Out" localSheetId="8" hidden="1">#REF!</definedName>
    <definedName name="_Regression_Out" localSheetId="6" hidden="1">#REF!</definedName>
    <definedName name="_Regression_Out" localSheetId="14" hidden="1">#REF!</definedName>
    <definedName name="_Regression_Out" localSheetId="15" hidden="1">#REF!</definedName>
    <definedName name="_Regression_Out" localSheetId="10" hidden="1">#REF!</definedName>
    <definedName name="_Regression_Out" localSheetId="9" hidden="1">#REF!</definedName>
    <definedName name="_Regression_Out" localSheetId="3" hidden="1">#REF!</definedName>
    <definedName name="_Regression_Out" localSheetId="16" hidden="1">#REF!</definedName>
    <definedName name="_Regression_Out" localSheetId="24" hidden="1">#REF!</definedName>
    <definedName name="_Regression_Out" localSheetId="20" hidden="1">#REF!</definedName>
    <definedName name="_Regression_Out" localSheetId="4" hidden="1">#REF!</definedName>
    <definedName name="_Regression_Out" localSheetId="12" hidden="1">#REF!</definedName>
    <definedName name="_Regression_Out" localSheetId="17" hidden="1">#REF!</definedName>
    <definedName name="_Regression_Out" hidden="1">#REF!</definedName>
    <definedName name="_Regression_X" localSheetId="22" hidden="1">#REF!</definedName>
    <definedName name="_Regression_X" localSheetId="23" hidden="1">#REF!</definedName>
    <definedName name="_Regression_X" localSheetId="11" hidden="1">#REF!</definedName>
    <definedName name="_Regression_X" localSheetId="18" hidden="1">#REF!</definedName>
    <definedName name="_Regression_X" localSheetId="8" hidden="1">#REF!</definedName>
    <definedName name="_Regression_X" localSheetId="6" hidden="1">#REF!</definedName>
    <definedName name="_Regression_X" localSheetId="14" hidden="1">#REF!</definedName>
    <definedName name="_Regression_X" localSheetId="15" hidden="1">#REF!</definedName>
    <definedName name="_Regression_X" localSheetId="10" hidden="1">#REF!</definedName>
    <definedName name="_Regression_X" localSheetId="9" hidden="1">#REF!</definedName>
    <definedName name="_Regression_X" localSheetId="3" hidden="1">#REF!</definedName>
    <definedName name="_Regression_X" localSheetId="16" hidden="1">#REF!</definedName>
    <definedName name="_Regression_X" localSheetId="24" hidden="1">#REF!</definedName>
    <definedName name="_Regression_X" localSheetId="20" hidden="1">#REF!</definedName>
    <definedName name="_Regression_X" localSheetId="4" hidden="1">#REF!</definedName>
    <definedName name="_Regression_X" localSheetId="12" hidden="1">#REF!</definedName>
    <definedName name="_Regression_X" hidden="1">#REF!</definedName>
    <definedName name="_Regression_Y" localSheetId="22" hidden="1">#REF!</definedName>
    <definedName name="_Regression_Y" localSheetId="23" hidden="1">#REF!</definedName>
    <definedName name="_Regression_Y" localSheetId="11" hidden="1">#REF!</definedName>
    <definedName name="_Regression_Y" localSheetId="18" hidden="1">#REF!</definedName>
    <definedName name="_Regression_Y" localSheetId="8" hidden="1">#REF!</definedName>
    <definedName name="_Regression_Y" localSheetId="6" hidden="1">#REF!</definedName>
    <definedName name="_Regression_Y" localSheetId="14" hidden="1">#REF!</definedName>
    <definedName name="_Regression_Y" localSheetId="15" hidden="1">#REF!</definedName>
    <definedName name="_Regression_Y" localSheetId="10" hidden="1">#REF!</definedName>
    <definedName name="_Regression_Y" localSheetId="9" hidden="1">#REF!</definedName>
    <definedName name="_Regression_Y" localSheetId="3" hidden="1">#REF!</definedName>
    <definedName name="_Regression_Y" localSheetId="16" hidden="1">#REF!</definedName>
    <definedName name="_Regression_Y" localSheetId="24" hidden="1">#REF!</definedName>
    <definedName name="_Regression_Y" localSheetId="20" hidden="1">#REF!</definedName>
    <definedName name="_Regression_Y" localSheetId="4" hidden="1">#REF!</definedName>
    <definedName name="_Regression_Y" localSheetId="12" hidden="1">#REF!</definedName>
    <definedName name="_Regression_Y" hidden="1">#REF!</definedName>
    <definedName name="_S3" hidden="1">{#N/A,#N/A,FALSE,"포장2"}</definedName>
    <definedName name="_SBB1">#REF!</definedName>
    <definedName name="_SBB2">#REF!</definedName>
    <definedName name="_SBB3">#REF!</definedName>
    <definedName name="_SBB4">#REF!</definedName>
    <definedName name="_SBB5">#REF!</definedName>
    <definedName name="_SHH1">#REF!</definedName>
    <definedName name="_SHH2">#REF!</definedName>
    <definedName name="_SHH3">#REF!</definedName>
    <definedName name="_Sort" localSheetId="22" hidden="1">#REF!</definedName>
    <definedName name="_Sort" localSheetId="23" hidden="1">#REF!</definedName>
    <definedName name="_Sort" localSheetId="11" hidden="1">#REF!</definedName>
    <definedName name="_Sort" localSheetId="18" hidden="1">#REF!</definedName>
    <definedName name="_Sort" localSheetId="8" hidden="1">#REF!</definedName>
    <definedName name="_Sort" localSheetId="6" hidden="1">#REF!</definedName>
    <definedName name="_Sort" localSheetId="14" hidden="1">#REF!</definedName>
    <definedName name="_Sort" localSheetId="15" hidden="1">#REF!</definedName>
    <definedName name="_Sort" localSheetId="10" hidden="1">#REF!</definedName>
    <definedName name="_Sort" localSheetId="9" hidden="1">#REF!</definedName>
    <definedName name="_Sort" localSheetId="3" hidden="1">#REF!</definedName>
    <definedName name="_Sort" localSheetId="16" hidden="1">#REF!</definedName>
    <definedName name="_Sort" localSheetId="24" hidden="1">#REF!</definedName>
    <definedName name="_Sort" localSheetId="20" hidden="1">#REF!</definedName>
    <definedName name="_Sort" localSheetId="4" hidden="1">#REF!</definedName>
    <definedName name="_Sort" localSheetId="12" hidden="1">#REF!</definedName>
    <definedName name="_Sort" hidden="1">#REF!</definedName>
    <definedName name="_Table1_In1" localSheetId="22" hidden="1">#REF!</definedName>
    <definedName name="_Table1_In1" localSheetId="23" hidden="1">#REF!</definedName>
    <definedName name="_Table1_In1" localSheetId="11" hidden="1">#REF!</definedName>
    <definedName name="_Table1_In1" localSheetId="18" hidden="1">#REF!</definedName>
    <definedName name="_Table1_In1" localSheetId="8" hidden="1">#REF!</definedName>
    <definedName name="_Table1_In1" localSheetId="6" hidden="1">#REF!</definedName>
    <definedName name="_Table1_In1" localSheetId="14" hidden="1">#REF!</definedName>
    <definedName name="_Table1_In1" localSheetId="15" hidden="1">#REF!</definedName>
    <definedName name="_Table1_In1" localSheetId="10" hidden="1">#REF!</definedName>
    <definedName name="_Table1_In1" localSheetId="9" hidden="1">#REF!</definedName>
    <definedName name="_Table1_In1" localSheetId="3" hidden="1">#REF!</definedName>
    <definedName name="_Table1_In1" localSheetId="16" hidden="1">#REF!</definedName>
    <definedName name="_Table1_In1" localSheetId="4" hidden="1">#REF!</definedName>
    <definedName name="_Table1_In1" localSheetId="12" hidden="1">#REF!</definedName>
    <definedName name="_Table1_In1" hidden="1">#REF!</definedName>
    <definedName name="_Table1_Out" localSheetId="22" hidden="1">#REF!</definedName>
    <definedName name="_Table1_Out" localSheetId="23" hidden="1">#REF!</definedName>
    <definedName name="_Table1_Out" localSheetId="11" hidden="1">#REF!</definedName>
    <definedName name="_Table1_Out" localSheetId="18" hidden="1">#REF!</definedName>
    <definedName name="_Table1_Out" localSheetId="8" hidden="1">#REF!</definedName>
    <definedName name="_Table1_Out" localSheetId="6" hidden="1">#REF!</definedName>
    <definedName name="_Table1_Out" localSheetId="14" hidden="1">#REF!</definedName>
    <definedName name="_Table1_Out" localSheetId="15" hidden="1">#REF!</definedName>
    <definedName name="_Table1_Out" localSheetId="10" hidden="1">#REF!</definedName>
    <definedName name="_Table1_Out" localSheetId="9" hidden="1">#REF!</definedName>
    <definedName name="_Table1_Out" localSheetId="3" hidden="1">#REF!</definedName>
    <definedName name="_Table1_Out" localSheetId="16" hidden="1">#REF!</definedName>
    <definedName name="_Table1_Out" localSheetId="4" hidden="1">#REF!</definedName>
    <definedName name="_Table1_Out" localSheetId="12" hidden="1">#REF!</definedName>
    <definedName name="_Table1_Out" hidden="1">#REF!</definedName>
    <definedName name="_tbm1">#REF!</definedName>
    <definedName name="_Ted1">#REF!</definedName>
    <definedName name="_Ts1">#REF!</definedName>
    <definedName name="_tt1">"tt1"</definedName>
    <definedName name="_Ty1">#REF!</definedName>
    <definedName name="_Ty2">#REF!</definedName>
    <definedName name="_woogi" localSheetId="22" hidden="1">#REF!</definedName>
    <definedName name="_woogi" localSheetId="23" hidden="1">#REF!</definedName>
    <definedName name="_woogi" localSheetId="11" hidden="1">#REF!</definedName>
    <definedName name="_woogi" localSheetId="18" hidden="1">#REF!</definedName>
    <definedName name="_woogi" localSheetId="8" hidden="1">#REF!</definedName>
    <definedName name="_woogi" localSheetId="6" hidden="1">#REF!</definedName>
    <definedName name="_woogi" localSheetId="14" hidden="1">#REF!</definedName>
    <definedName name="_woogi" localSheetId="15" hidden="1">#REF!</definedName>
    <definedName name="_woogi" localSheetId="10" hidden="1">#REF!</definedName>
    <definedName name="_woogi" localSheetId="9" hidden="1">#REF!</definedName>
    <definedName name="_woogi" localSheetId="3" hidden="1">#REF!</definedName>
    <definedName name="_woogi" localSheetId="16" hidden="1">#REF!</definedName>
    <definedName name="_woogi" localSheetId="24" hidden="1">#REF!</definedName>
    <definedName name="_woogi" localSheetId="4" hidden="1">#REF!</definedName>
    <definedName name="_woogi" localSheetId="12" hidden="1">#REF!</definedName>
    <definedName name="_woogi" hidden="1">#REF!</definedName>
    <definedName name="_woogi2" localSheetId="22" hidden="1">#REF!</definedName>
    <definedName name="_woogi2" localSheetId="23" hidden="1">#REF!</definedName>
    <definedName name="_woogi2" localSheetId="11" hidden="1">#REF!</definedName>
    <definedName name="_woogi2" localSheetId="18" hidden="1">#REF!</definedName>
    <definedName name="_woogi2" localSheetId="8" hidden="1">#REF!</definedName>
    <definedName name="_woogi2" localSheetId="6" hidden="1">#REF!</definedName>
    <definedName name="_woogi2" localSheetId="14" hidden="1">#REF!</definedName>
    <definedName name="_woogi2" localSheetId="15" hidden="1">#REF!</definedName>
    <definedName name="_woogi2" localSheetId="10" hidden="1">#REF!</definedName>
    <definedName name="_woogi2" localSheetId="9" hidden="1">#REF!</definedName>
    <definedName name="_woogi2" localSheetId="3" hidden="1">#REF!</definedName>
    <definedName name="_woogi2" localSheetId="16" hidden="1">#REF!</definedName>
    <definedName name="_woogi2" localSheetId="24" hidden="1">#REF!</definedName>
    <definedName name="_woogi2" localSheetId="4" hidden="1">#REF!</definedName>
    <definedName name="_woogi2" localSheetId="12" hidden="1">#REF!</definedName>
    <definedName name="_woogi2" hidden="1">#REF!</definedName>
    <definedName name="_woogi24" localSheetId="22" hidden="1">#REF!</definedName>
    <definedName name="_woogi24" localSheetId="23" hidden="1">#REF!</definedName>
    <definedName name="_woogi24" localSheetId="11" hidden="1">#REF!</definedName>
    <definedName name="_woogi24" localSheetId="18" hidden="1">#REF!</definedName>
    <definedName name="_woogi24" localSheetId="8" hidden="1">#REF!</definedName>
    <definedName name="_woogi24" localSheetId="6" hidden="1">#REF!</definedName>
    <definedName name="_woogi24" localSheetId="14" hidden="1">#REF!</definedName>
    <definedName name="_woogi24" localSheetId="15" hidden="1">#REF!</definedName>
    <definedName name="_woogi24" localSheetId="10" hidden="1">#REF!</definedName>
    <definedName name="_woogi24" localSheetId="9" hidden="1">#REF!</definedName>
    <definedName name="_woogi24" localSheetId="3" hidden="1">#REF!</definedName>
    <definedName name="_woogi24" localSheetId="16" hidden="1">#REF!</definedName>
    <definedName name="_woogi24" localSheetId="24" hidden="1">#REF!</definedName>
    <definedName name="_woogi24" localSheetId="4" hidden="1">#REF!</definedName>
    <definedName name="_woogi24" localSheetId="12" hidden="1">#REF!</definedName>
    <definedName name="_woogi24" hidden="1">#REF!</definedName>
    <definedName name="_woogi3" localSheetId="22" hidden="1">#REF!</definedName>
    <definedName name="_woogi3" localSheetId="23" hidden="1">#REF!</definedName>
    <definedName name="_woogi3" localSheetId="11" hidden="1">#REF!</definedName>
    <definedName name="_woogi3" localSheetId="18" hidden="1">#REF!</definedName>
    <definedName name="_woogi3" localSheetId="8" hidden="1">#REF!</definedName>
    <definedName name="_woogi3" localSheetId="6" hidden="1">#REF!</definedName>
    <definedName name="_woogi3" localSheetId="14" hidden="1">#REF!</definedName>
    <definedName name="_woogi3" localSheetId="15" hidden="1">#REF!</definedName>
    <definedName name="_woogi3" localSheetId="10" hidden="1">#REF!</definedName>
    <definedName name="_woogi3" localSheetId="9" hidden="1">#REF!</definedName>
    <definedName name="_woogi3" localSheetId="3" hidden="1">#REF!</definedName>
    <definedName name="_woogi3" localSheetId="16" hidden="1">#REF!</definedName>
    <definedName name="_woogi3" localSheetId="24" hidden="1">#REF!</definedName>
    <definedName name="_woogi3" localSheetId="4" hidden="1">#REF!</definedName>
    <definedName name="_woogi3" localSheetId="12" hidden="1">#REF!</definedName>
    <definedName name="_woogi3" hidden="1">#REF!</definedName>
    <definedName name="_재ㅐ햐" localSheetId="22" hidden="1">#REF!</definedName>
    <definedName name="_재ㅐ햐" localSheetId="23" hidden="1">#REF!</definedName>
    <definedName name="_재ㅐ햐" localSheetId="11" hidden="1">#REF!</definedName>
    <definedName name="_재ㅐ햐" localSheetId="18" hidden="1">#REF!</definedName>
    <definedName name="_재ㅐ햐" localSheetId="8" hidden="1">#REF!</definedName>
    <definedName name="_재ㅐ햐" localSheetId="6" hidden="1">#REF!</definedName>
    <definedName name="_재ㅐ햐" localSheetId="14" hidden="1">#REF!</definedName>
    <definedName name="_재ㅐ햐" localSheetId="15" hidden="1">#REF!</definedName>
    <definedName name="_재ㅐ햐" localSheetId="10" hidden="1">#REF!</definedName>
    <definedName name="_재ㅐ햐" localSheetId="9" hidden="1">#REF!</definedName>
    <definedName name="_재ㅐ햐" localSheetId="3" hidden="1">#REF!</definedName>
    <definedName name="_재ㅐ햐" localSheetId="16" hidden="1">#REF!</definedName>
    <definedName name="_재ㅐ햐" localSheetId="24" hidden="1">#REF!</definedName>
    <definedName name="_재ㅐ햐" localSheetId="4" hidden="1">#REF!</definedName>
    <definedName name="_재ㅐ햐" localSheetId="12" hidden="1">#REF!</definedName>
    <definedName name="_재ㅐ햐" hidden="1">#REF!</definedName>
    <definedName name="\a">#N/A</definedName>
    <definedName name="\c">#N/A</definedName>
    <definedName name="\h">#N/A</definedName>
    <definedName name="\i">#N/A</definedName>
    <definedName name="\o">#REF!</definedName>
    <definedName name="\p">#N/A</definedName>
    <definedName name="\P1">#REF!</definedName>
    <definedName name="\q">#REF!</definedName>
    <definedName name="\s">#REF!</definedName>
    <definedName name="\u">#N/A</definedName>
    <definedName name="A" localSheetId="22" hidden="1">#REF!</definedName>
    <definedName name="A" localSheetId="23" hidden="1">#REF!</definedName>
    <definedName name="A" localSheetId="11" hidden="1">#REF!</definedName>
    <definedName name="A" localSheetId="18" hidden="1">#REF!</definedName>
    <definedName name="A" localSheetId="8" hidden="1">#REF!</definedName>
    <definedName name="A" localSheetId="6" hidden="1">#REF!</definedName>
    <definedName name="A" localSheetId="14" hidden="1">#REF!</definedName>
    <definedName name="A" localSheetId="15" hidden="1">#REF!</definedName>
    <definedName name="A" localSheetId="10" hidden="1">#REF!</definedName>
    <definedName name="A" localSheetId="9" hidden="1">#REF!</definedName>
    <definedName name="A" localSheetId="3" hidden="1">#REF!</definedName>
    <definedName name="A" localSheetId="16" hidden="1">#REF!</definedName>
    <definedName name="A" localSheetId="4" hidden="1">#REF!</definedName>
    <definedName name="A" localSheetId="12" hidden="1">#REF!</definedName>
    <definedName name="A" hidden="1">#REF!</definedName>
    <definedName name="A32Q" hidden="1">{#N/A,#N/A,FALSE,"표지목차"}</definedName>
    <definedName name="AA">#REF!</definedName>
    <definedName name="aaaaaa" hidden="1">{#N/A,#N/A,FALSE,"속도"}</definedName>
    <definedName name="aaaaaaaaaa" hidden="1">{#N/A,#N/A,FALSE,"포장1";#N/A,#N/A,FALSE,"포장1"}</definedName>
    <definedName name="AB">#REF!</definedName>
    <definedName name="ABUTH">#REF!</definedName>
    <definedName name="AC">#REF!</definedName>
    <definedName name="Access_Button" hidden="1">"KT과금거리_지역좌표_970827_거리계산표_List"</definedName>
    <definedName name="AccessDatabase" localSheetId="24" hidden="1">"c:\wiz32\xl\acclink.mdb"</definedName>
    <definedName name="AccessDatabase" localSheetId="20" hidden="1">"c:\wiz32\xl\acclink.mdb"</definedName>
    <definedName name="AccessDatabase" hidden="1">"D:\qa팀\전상태\엑셀\설계\예술의 전당 앞 광케이블 이설공사.mdb"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D">#REF!</definedName>
    <definedName name="AE">#REF!</definedName>
    <definedName name="AF">#REF!</definedName>
    <definedName name="afgdag" hidden="1">#REF!</definedName>
    <definedName name="AG">#REF!</definedName>
    <definedName name="AH">#REF!</definedName>
    <definedName name="AI">#REF!</definedName>
    <definedName name="ALPHA">#REF!</definedName>
    <definedName name="ANG">#REF!</definedName>
    <definedName name="anscount" hidden="1">1</definedName>
    <definedName name="as">#REF!</definedName>
    <definedName name="asasssf" hidden="1">{#N/A,#N/A,FALSE,"골재소요량";#N/A,#N/A,FALSE,"골재소요량"}</definedName>
    <definedName name="ascon1">#REF!</definedName>
    <definedName name="ascon2">#REF!</definedName>
    <definedName name="asdfgs" hidden="1">{#N/A,#N/A,FALSE,"단가표지"}</definedName>
    <definedName name="ASF" hidden="1">{#N/A,#N/A,FALSE,"2~8번"}</definedName>
    <definedName name="ASS">#REF!</definedName>
    <definedName name="A삼">#REF!</definedName>
    <definedName name="A이">#REF!</definedName>
    <definedName name="A일">#REF!</definedName>
    <definedName name="B">#REF!</definedName>
    <definedName name="B1B">#REF!</definedName>
    <definedName name="B2B">#REF!</definedName>
    <definedName name="B3B">#REF!</definedName>
    <definedName name="B4B">#REF!</definedName>
    <definedName name="BA">#REF!</definedName>
    <definedName name="BB">#REF!</definedName>
    <definedName name="bbbb" hidden="1">[7]입찰안!#REF!</definedName>
    <definedName name="BBS" hidden="1">[8]Sheet13!$O$64:$O$131</definedName>
    <definedName name="BBSS" hidden="1">[8]Sheet13!$N$272:$N$341</definedName>
    <definedName name="BC">#REF!</definedName>
    <definedName name="BD">#REF!</definedName>
    <definedName name="BDE" hidden="1">[8]Sheet13!$N$131:$N$201</definedName>
    <definedName name="BDW" hidden="1">[8]Sheet13!$S$48:$AV$48</definedName>
    <definedName name="BE">#REF!</definedName>
    <definedName name="BESB" hidden="1">[8]Sheet13!$N$64:$N$131</definedName>
    <definedName name="BESE" hidden="1">[8]Sheet13!$O$131:$O$201</definedName>
    <definedName name="BESES" hidden="1">[8]Sheet14!$Q$48:$AT$48</definedName>
    <definedName name="BESS" hidden="1">[8]Sheet13!$N$272:$N$341</definedName>
    <definedName name="BESV" hidden="1">[8]Sheet14!$M$201:$M$270</definedName>
    <definedName name="BETA">#REF!</definedName>
    <definedName name="BF">#REF!</definedName>
    <definedName name="BG">#REF!</definedName>
    <definedName name="BHE" hidden="1">{#N/A,#N/A,FALSE,"조골재"}</definedName>
    <definedName name="BOOK2" hidden="1">{#N/A,#N/A,TRUE,"손익보고"}</definedName>
    <definedName name="BudgetTab">#REF!</definedName>
    <definedName name="BW">#REF!</definedName>
    <definedName name="B이">#REF!</definedName>
    <definedName name="B일">#REF!</definedName>
    <definedName name="B제로">#REF!</definedName>
    <definedName name="C_">#REF!</definedName>
    <definedName name="CA">#REF!</definedName>
    <definedName name="CB">#REF!</definedName>
    <definedName name="CC">#REF!</definedName>
    <definedName name="CCC">#REF!</definedName>
    <definedName name="CD">#REF!</definedName>
    <definedName name="CE">#REF!</definedName>
    <definedName name="CF">#REF!</definedName>
    <definedName name="CFGJY" hidden="1">{#N/A,#N/A,FALSE,"혼합골재"}</definedName>
    <definedName name="CG">#REF!</definedName>
    <definedName name="CGH" hidden="1">{#N/A,#N/A,FALSE,"표지목차"}</definedName>
    <definedName name="CH">#REF!</definedName>
    <definedName name="CI">#REF!</definedName>
    <definedName name="CJ">#REF!</definedName>
    <definedName name="CSE" hidden="1">[8]Sheet14!$L$61:$L$130</definedName>
    <definedName name="D">#N/A</definedName>
    <definedName name="D_FE">#REF!</definedName>
    <definedName name="D_FO">#REF!</definedName>
    <definedName name="DA">#REF!</definedName>
    <definedName name="_xlnm.Database">#REF!</definedName>
    <definedName name="dataww" localSheetId="22" hidden="1">#REF!</definedName>
    <definedName name="dataww" localSheetId="23" hidden="1">#REF!</definedName>
    <definedName name="dataww" localSheetId="11" hidden="1">#REF!</definedName>
    <definedName name="dataww" localSheetId="18" hidden="1">#REF!</definedName>
    <definedName name="dataww" localSheetId="8" hidden="1">#REF!</definedName>
    <definedName name="dataww" localSheetId="6" hidden="1">#REF!</definedName>
    <definedName name="dataww" localSheetId="14" hidden="1">#REF!</definedName>
    <definedName name="dataww" localSheetId="15" hidden="1">#REF!</definedName>
    <definedName name="dataww" localSheetId="10" hidden="1">#REF!</definedName>
    <definedName name="dataww" localSheetId="9" hidden="1">#REF!</definedName>
    <definedName name="dataww" localSheetId="3" hidden="1">#REF!</definedName>
    <definedName name="dataww" localSheetId="16" hidden="1">#REF!</definedName>
    <definedName name="dataww" localSheetId="24" hidden="1">#REF!</definedName>
    <definedName name="dataww" localSheetId="4" hidden="1">#REF!</definedName>
    <definedName name="dataww" localSheetId="12" hidden="1">#REF!</definedName>
    <definedName name="dataww" hidden="1">#REF!</definedName>
    <definedName name="DB">#REF!</definedName>
    <definedName name="DBBTY" hidden="1">{#N/A,#N/A,FALSE,"혼합골재"}</definedName>
    <definedName name="DC">#REF!</definedName>
    <definedName name="DD" localSheetId="22" hidden="1">'[9]8.PILE  (돌출)'!#REF!</definedName>
    <definedName name="DD" localSheetId="23" hidden="1">'[9]8.PILE  (돌출)'!#REF!</definedName>
    <definedName name="DD" localSheetId="11" hidden="1">'[9]8.PILE  (돌출)'!#REF!</definedName>
    <definedName name="DD" localSheetId="18" hidden="1">'[9]8.PILE  (돌출)'!#REF!</definedName>
    <definedName name="DD" localSheetId="8" hidden="1">'[9]8.PILE  (돌출)'!#REF!</definedName>
    <definedName name="DD" localSheetId="6" hidden="1">'[9]8.PILE  (돌출)'!#REF!</definedName>
    <definedName name="DD" localSheetId="14" hidden="1">'[9]8.PILE  (돌출)'!#REF!</definedName>
    <definedName name="DD" localSheetId="15" hidden="1">'[9]8.PILE  (돌출)'!#REF!</definedName>
    <definedName name="DD" localSheetId="10" hidden="1">'[9]8.PILE  (돌출)'!#REF!</definedName>
    <definedName name="DD" localSheetId="9" hidden="1">'[9]8.PILE  (돌출)'!#REF!</definedName>
    <definedName name="DD" localSheetId="3" hidden="1">'[9]8.PILE  (돌출)'!#REF!</definedName>
    <definedName name="DD" localSheetId="16" hidden="1">'[9]8.PILE  (돌출)'!#REF!</definedName>
    <definedName name="DD" localSheetId="24" hidden="1">'[9]8.PILE  (돌출)'!#REF!</definedName>
    <definedName name="DD" localSheetId="4" hidden="1">'[9]8.PILE  (돌출)'!#REF!</definedName>
    <definedName name="DD" localSheetId="12" hidden="1">'[9]8.PILE  (돌출)'!#REF!</definedName>
    <definedName name="DD" hidden="1">'[9]8.PILE  (돌출)'!#REF!</definedName>
    <definedName name="ddddd" localSheetId="15" hidden="1">#REF!</definedName>
    <definedName name="ddddd" hidden="1">#REF!</definedName>
    <definedName name="dddddd" hidden="1">{#N/A,#N/A,FALSE,"이정표"}</definedName>
    <definedName name="DDE">#REF!</definedName>
    <definedName name="DDES" hidden="1">[8]Sheet14!$M$61:$M$130</definedName>
    <definedName name="DDO">#REF!</definedName>
    <definedName name="DDSS" hidden="1">[8]Sheet13!$N$202:$N$271</definedName>
    <definedName name="DDV" hidden="1">[8]Sheet13!$N$64:$N$131</definedName>
    <definedName name="DDWSE" hidden="1">[8]Sheet13!$O$202:$O$271</definedName>
    <definedName name="DE">#REF!</definedName>
    <definedName name="DEL" hidden="1">{#N/A,#N/A,FALSE,"전열산출서"}</definedName>
    <definedName name="DESVW" hidden="1">[8]Sheet13!$S$50:$AV$50</definedName>
    <definedName name="DF">#REF!</definedName>
    <definedName name="DFASFD" hidden="1">{#N/A,#N/A,FALSE,"골재소요량";#N/A,#N/A,FALSE,"골재소요량"}</definedName>
    <definedName name="DFBGHE" hidden="1">{#N/A,#N/A,FALSE,"골재소요량";#N/A,#N/A,FALSE,"골재소요량"}</definedName>
    <definedName name="DFDASFGDASG" hidden="1">{#N/A,#N/A,FALSE,"단가표지"}</definedName>
    <definedName name="DFDF" hidden="1">{#N/A,#N/A,FALSE,"조골재"}</definedName>
    <definedName name="DFDFDF" hidden="1">{#N/A,#N/A,FALSE,"단가표지"}</definedName>
    <definedName name="DFDSADFADSF" hidden="1">{#N/A,#N/A,FALSE,"2~8번"}</definedName>
    <definedName name="DFDSAFDFD" hidden="1">{#N/A,#N/A,FALSE,"부대1"}</definedName>
    <definedName name="DFDSAFSFG" hidden="1">{#N/A,#N/A,FALSE,"구조2"}</definedName>
    <definedName name="DFDSAGFDSAG" hidden="1">{#N/A,#N/A,FALSE,"혼합골재"}</definedName>
    <definedName name="DFDSFD" hidden="1">{#N/A,#N/A,FALSE,"속도"}</definedName>
    <definedName name="DFDSFDFDFD" hidden="1">{#N/A,#N/A,FALSE,"구조1"}</definedName>
    <definedName name="DFDSFDS" hidden="1">{#N/A,#N/A,FALSE,"부대2"}</definedName>
    <definedName name="DFDSSF" hidden="1">{#N/A,#N/A,FALSE,"이정표"}</definedName>
    <definedName name="dfff" hidden="1">'[10]6PILE  (돌출)'!#REF!</definedName>
    <definedName name="DFGADSGAFDG" hidden="1">{#N/A,#N/A,FALSE,"운반시간"}</definedName>
    <definedName name="DFGHRT" hidden="1">{#N/A,#N/A,FALSE,"골재소요량";#N/A,#N/A,FALSE,"골재소요량"}</definedName>
    <definedName name="DFHYT" hidden="1">{#N/A,#N/A,FALSE,"단가표지"}</definedName>
    <definedName name="dfrxg">#REF!</definedName>
    <definedName name="DFS">#REF!</definedName>
    <definedName name="DG">#REF!</definedName>
    <definedName name="DGBGHY" hidden="1">{#N/A,#N/A,FALSE,"단가표지"}</definedName>
    <definedName name="DGDFGFGDG" hidden="1">{#N/A,#N/A,FALSE,"배수1"}</definedName>
    <definedName name="DH">#REF!</definedName>
    <definedName name="DHS">#REF!</definedName>
    <definedName name="DI">#REF!</definedName>
    <definedName name="DJ">#REF!</definedName>
    <definedName name="dkdkdkdkd" localSheetId="3" hidden="1">{#N/A,#N/A,FALSE,"명세표"}</definedName>
    <definedName name="dkdkdkdkd" localSheetId="4" hidden="1">{#N/A,#N/A,FALSE,"명세표"}</definedName>
    <definedName name="dkdkdkdkd" hidden="1">{#N/A,#N/A,FALSE,"명세표"}</definedName>
    <definedName name="DLFE">#REF!</definedName>
    <definedName name="DLFO">#REF!</definedName>
    <definedName name="DLSTH">#REF!</definedName>
    <definedName name="DRDEWF">#REF!</definedName>
    <definedName name="DRDS">#REF!</definedName>
    <definedName name="DRXSZH">#REF!</definedName>
    <definedName name="DRYS" hidden="1">{#N/A,#N/A,FALSE,"조골재"}</definedName>
    <definedName name="ds">#REF!</definedName>
    <definedName name="DSA" hidden="1">{#N/A,#N/A,FALSE,"포장1";#N/A,#N/A,FALSE,"포장1"}</definedName>
    <definedName name="DSD" hidden="1">[8]Sheet14!$Q$45:$AT$45</definedName>
    <definedName name="DSE">#REF!</definedName>
    <definedName name="DSF" hidden="1">[2]전기자료!$S$48:$AV$48</definedName>
    <definedName name="DSO">#REF!</definedName>
    <definedName name="DSRY" hidden="1">{#N/A,#N/A,FALSE,"표지목차"}</definedName>
    <definedName name="DSSDS" localSheetId="3" hidden="1">{#N/A,#N/A,FALSE,"명세표"}</definedName>
    <definedName name="DSSDS" localSheetId="4" hidden="1">{#N/A,#N/A,FALSE,"명세표"}</definedName>
    <definedName name="DSSDS" hidden="1">{#N/A,#N/A,FALSE,"명세표"}</definedName>
    <definedName name="DVR" hidden="1">{#N/A,#N/A,FALSE,"단가표지"}</definedName>
    <definedName name="DVZGZZT" hidden="1">{#N/A,#N/A,FALSE,"2~8번"}</definedName>
    <definedName name="DW" hidden="1">{#N/A,#N/A,FALSE,"배수2"}</definedName>
    <definedName name="e">#N/A</definedName>
    <definedName name="EA">#REF!</definedName>
    <definedName name="earthp">#REF!</definedName>
    <definedName name="EB">#REF!</definedName>
    <definedName name="EC">#REF!</definedName>
    <definedName name="ee" localSheetId="3" hidden="1">{#N/A,#N/A,FALSE,"단가표지"}</definedName>
    <definedName name="ee" localSheetId="4" hidden="1">{#N/A,#N/A,FALSE,"단가표지"}</definedName>
    <definedName name="ee" hidden="1">{#N/A,#N/A,FALSE,"단가표지"}</definedName>
    <definedName name="eee" hidden="1">{#N/A,#N/A,FALSE,"2~8번"}</definedName>
    <definedName name="EEEE">#REF!</definedName>
    <definedName name="EEWS" hidden="1">[8]Sheet14!$M$201:$M$270</definedName>
    <definedName name="ELFE">#REF!</definedName>
    <definedName name="ERBSTDT" hidden="1">{#N/A,#N/A,FALSE,"운반시간"}</definedName>
    <definedName name="ERTRT" hidden="1">{#N/A,#N/A,FALSE,"2~8번"}</definedName>
    <definedName name="EVST6" hidden="1">{#N/A,#N/A,FALSE,"단가표지"}</definedName>
    <definedName name="EWAFADS" hidden="1">[2]Sheet14!$M$61:$M$130</definedName>
    <definedName name="EWFDA" hidden="1">[2]Sheet14!$Q$45:$AT$45</definedName>
    <definedName name="EWR" hidden="1">[2]전기자료!$S$48:$AV$48</definedName>
    <definedName name="EWWS" hidden="1">[8]Sheet13!$O$64:$O$131</definedName>
    <definedName name="EWXW" hidden="1">[8]Sheet14!$M$61:$M$130</definedName>
    <definedName name="_xlnm.Extract">#REF!</definedName>
    <definedName name="Fck">#REF!</definedName>
    <definedName name="FDFDF">#REF!</definedName>
    <definedName name="FDGDFAGFD" hidden="1">{#N/A,#N/A,FALSE,"포장1";#N/A,#N/A,FALSE,"포장1"}</definedName>
    <definedName name="fdgfdg" hidden="1">{#N/A,#N/A,FALSE,"2~8번"}</definedName>
    <definedName name="fdgfgf" hidden="1">{#N/A,#N/A,FALSE,"운반시간"}</definedName>
    <definedName name="FDRHGFDS">#REF!</definedName>
    <definedName name="FDTRJHR">#REF!</definedName>
    <definedName name="ferff">#REF!</definedName>
    <definedName name="FEXRE">#REF!</definedName>
    <definedName name="ff" localSheetId="3" hidden="1">{#N/A,#N/A,FALSE,"운반시간"}</definedName>
    <definedName name="ff" localSheetId="4" hidden="1">{#N/A,#N/A,FALSE,"운반시간"}</definedName>
    <definedName name="ff" hidden="1">{#N/A,#N/A,FALSE,"운반시간"}</definedName>
    <definedName name="fff" hidden="1">{#N/A,#N/A,FALSE,"조골재"}</definedName>
    <definedName name="ffffff" hidden="1">{#N/A,#N/A,FALSE,"조골재"}</definedName>
    <definedName name="ffffffffff" hidden="1">{#N/A,#N/A,FALSE,"골재소요량";#N/A,#N/A,FALSE,"골재소요량"}</definedName>
    <definedName name="ffk" localSheetId="22" hidden="1">#REF!</definedName>
    <definedName name="ffk" localSheetId="23" hidden="1">#REF!</definedName>
    <definedName name="ffk" localSheetId="11" hidden="1">#REF!</definedName>
    <definedName name="ffk" localSheetId="18" hidden="1">#REF!</definedName>
    <definedName name="ffk" localSheetId="8" hidden="1">#REF!</definedName>
    <definedName name="ffk" localSheetId="6" hidden="1">#REF!</definedName>
    <definedName name="ffk" localSheetId="14" hidden="1">#REF!</definedName>
    <definedName name="ffk" localSheetId="15" hidden="1">#REF!</definedName>
    <definedName name="ffk" localSheetId="10" hidden="1">#REF!</definedName>
    <definedName name="ffk" localSheetId="9" hidden="1">#REF!</definedName>
    <definedName name="ffk" localSheetId="3" hidden="1">#REF!</definedName>
    <definedName name="ffk" localSheetId="16" hidden="1">#REF!</definedName>
    <definedName name="ffk" localSheetId="24" hidden="1">#REF!</definedName>
    <definedName name="ffk" localSheetId="4" hidden="1">#REF!</definedName>
    <definedName name="ffk" localSheetId="12" hidden="1">#REF!</definedName>
    <definedName name="ffk" hidden="1">#REF!</definedName>
    <definedName name="FG" hidden="1">[2]전기자료!$S$50:$AV$50</definedName>
    <definedName name="FGDAG" hidden="1">{#N/A,#N/A,FALSE,"포장2"}</definedName>
    <definedName name="FGDAGFG" hidden="1">{#N/A,#N/A,FALSE,"혼합골재"}</definedName>
    <definedName name="fgfadgf" hidden="1">{#N/A,#N/A,FALSE,"혼합골재"}</definedName>
    <definedName name="FGFDG" hidden="1">{#N/A,#N/A,FALSE,"표지목차"}</definedName>
    <definedName name="fgfdgffff" hidden="1">{#N/A,#N/A,FALSE,"부대2"}</definedName>
    <definedName name="fgfdsgdfg" hidden="1">{#N/A,#N/A,FALSE,"혼합골재"}</definedName>
    <definedName name="fghfdagfd" hidden="1">{#N/A,#N/A,FALSE,"표지목차"}</definedName>
    <definedName name="fhddg" hidden="1">{#N/A,#N/A,FALSE,"부대1"}</definedName>
    <definedName name="FHFH" hidden="1">[11]수량산출!$A$1:$A$8561</definedName>
    <definedName name="FHFK" hidden="1">[11]수량산출!#REF!</definedName>
    <definedName name="FIYD" hidden="1">{#N/A,#N/A,FALSE,"표지목차"}</definedName>
    <definedName name="FJX" hidden="1">{#N/A,#N/A,FALSE,"혼합골재"}</definedName>
    <definedName name="fkf" hidden="1">#REF!</definedName>
    <definedName name="FS" hidden="1">{#N/A,#N/A,FALSE,"배수1"}</definedName>
    <definedName name="Fy">#REF!</definedName>
    <definedName name="F이">#REF!</definedName>
    <definedName name="F일">#REF!</definedName>
    <definedName name="g" hidden="1">{#N/A,#N/A,FALSE,"단가표지"}</definedName>
    <definedName name="gafdtadstd" hidden="1">#REF!</definedName>
    <definedName name="gag" hidden="1">#REF!</definedName>
    <definedName name="GAK">#REF!</definedName>
    <definedName name="GC">#REF!</definedName>
    <definedName name="GDG" hidden="1">{#N/A,#N/A,FALSE,"포장2"}</definedName>
    <definedName name="GDGFD" hidden="1">{#N/A,#N/A,FALSE,"배수1"}</definedName>
    <definedName name="GEES" hidden="1">[8]Sheet13!$S$47:$AV$47</definedName>
    <definedName name="GEMCO" hidden="1">#REF!</definedName>
    <definedName name="GFDG" hidden="1">{#N/A,#N/A,FALSE,"2~8번"}</definedName>
    <definedName name="GFDGDFGFG" hidden="1">{#N/A,#N/A,FALSE,"혼합골재"}</definedName>
    <definedName name="gfgdfg" localSheetId="15" hidden="1">[12]차액보증!#REF!</definedName>
    <definedName name="gfgdfg" hidden="1">[12]차액보증!#REF!</definedName>
    <definedName name="GFGFHGFHF" hidden="1">{#N/A,#N/A,FALSE,"토공2"}</definedName>
    <definedName name="gfhgh" hidden="1">{#N/A,#N/A,FALSE,"배수2"}</definedName>
    <definedName name="GFSD" hidden="1">[2]전기자료!$Q$48:$AT$48</definedName>
    <definedName name="gg" localSheetId="3" hidden="1">{#N/A,#N/A,FALSE,"운반시간"}</definedName>
    <definedName name="gg" localSheetId="4" hidden="1">{#N/A,#N/A,FALSE,"운반시간"}</definedName>
    <definedName name="gg" hidden="1">{#N/A,#N/A,FALSE,"운반시간"}</definedName>
    <definedName name="ggfe">#REF!</definedName>
    <definedName name="ggfhgfshgh" hidden="1">{#N/A,#N/A,FALSE,"포장2"}</definedName>
    <definedName name="gggg" hidden="1">{#N/A,#N/A,FALSE,"골재소요량";#N/A,#N/A,FALSE,"골재소요량"}</definedName>
    <definedName name="ggggg" hidden="1">{#N/A,#N/A,FALSE,"구조1"}</definedName>
    <definedName name="ggh" hidden="1">{#N/A,#N/A,FALSE,"표지목차"}</definedName>
    <definedName name="GH">#REF!</definedName>
    <definedName name="GHC" hidden="1">{#N/A,#N/A,FALSE,"단가표지"}</definedName>
    <definedName name="GHES" hidden="1">[8]Sheet13!$S$48:$AV$48</definedName>
    <definedName name="ghgfh" hidden="1">{#N/A,#N/A,FALSE,"포장2"}</definedName>
    <definedName name="GHIUTRF" hidden="1">{#N/A,#N/A,FALSE,"골재소요량";#N/A,#N/A,FALSE,"골재소요량"}</definedName>
    <definedName name="GIFI" hidden="1">{#N/A,#N/A,FALSE,"운반시간"}</definedName>
    <definedName name="GJHGLI" hidden="1">{#N/A,#N/A,FALSE,"포장1";#N/A,#N/A,FALSE,"포장1"}</definedName>
    <definedName name="GS" hidden="1">{#N/A,#N/A,FALSE,"포장2"}</definedName>
    <definedName name="gt">#REF!</definedName>
    <definedName name="GuBae">#REF!</definedName>
    <definedName name="GY" hidden="1">{#N/A,#N/A,FALSE,"조골재"}</definedName>
    <definedName name="GYJ" hidden="1">{#N/A,#N/A,FALSE,"2~8번"}</definedName>
    <definedName name="G견적" hidden="1">{#N/A,#N/A,TRUE,"손익보고"}</definedName>
    <definedName name="H">#REF!</definedName>
    <definedName name="H1H">#REF!</definedName>
    <definedName name="H2H">#REF!</definedName>
    <definedName name="H3H">#REF!</definedName>
    <definedName name="H4H">#REF!</definedName>
    <definedName name="HA">#REF!</definedName>
    <definedName name="hardwar" hidden="1">#REF!</definedName>
    <definedName name="HB">#REF!</definedName>
    <definedName name="hbjk" localSheetId="22" hidden="1">[13]화산경계!#REF!</definedName>
    <definedName name="hbjk" localSheetId="23" hidden="1">[13]화산경계!#REF!</definedName>
    <definedName name="hbjk" localSheetId="11" hidden="1">[13]화산경계!#REF!</definedName>
    <definedName name="hbjk" localSheetId="18" hidden="1">[13]화산경계!#REF!</definedName>
    <definedName name="hbjk" localSheetId="8" hidden="1">[13]화산경계!#REF!</definedName>
    <definedName name="hbjk" localSheetId="6" hidden="1">[13]화산경계!#REF!</definedName>
    <definedName name="hbjk" localSheetId="14" hidden="1">[13]화산경계!#REF!</definedName>
    <definedName name="hbjk" localSheetId="15" hidden="1">[13]화산경계!#REF!</definedName>
    <definedName name="hbjk" localSheetId="10" hidden="1">[13]화산경계!#REF!</definedName>
    <definedName name="hbjk" localSheetId="9" hidden="1">[13]화산경계!#REF!</definedName>
    <definedName name="hbjk" localSheetId="3" hidden="1">[13]화산경계!#REF!</definedName>
    <definedName name="hbjk" localSheetId="16" hidden="1">[13]화산경계!#REF!</definedName>
    <definedName name="hbjk" localSheetId="4" hidden="1">[13]화산경계!#REF!</definedName>
    <definedName name="hbjk" localSheetId="12" hidden="1">[13]화산경계!#REF!</definedName>
    <definedName name="hbjk" hidden="1">[13]화산경계!#REF!</definedName>
    <definedName name="HC">#REF!</definedName>
    <definedName name="HD">#REF!</definedName>
    <definedName name="HE">#REF!</definedName>
    <definedName name="HERE" hidden="1">{#N/A,#N/A,TRUE,"손익보고"}</definedName>
    <definedName name="HF">#REF!</definedName>
    <definedName name="hgd" hidden="1">{#N/A,#N/A,FALSE,"배수2"}</definedName>
    <definedName name="hh" localSheetId="3" hidden="1">{#N/A,#N/A,FALSE,"명세표"}</definedName>
    <definedName name="hh" localSheetId="4" hidden="1">{#N/A,#N/A,FALSE,"명세표"}</definedName>
    <definedName name="hh" hidden="1">{#N/A,#N/A,FALSE,"명세표"}</definedName>
    <definedName name="hhhh" hidden="1">{#N/A,#N/A,FALSE,"2~8번"}</definedName>
    <definedName name="hhhhhh" hidden="1">{#N/A,#N/A,FALSE,"골재소요량";#N/A,#N/A,FALSE,"골재소요량"}</definedName>
    <definedName name="hhj" hidden="1">{#N/A,#N/A,FALSE,"혼합골재"}</definedName>
    <definedName name="HHR" hidden="1">{#N/A,#N/A,FALSE,"포장2"}</definedName>
    <definedName name="hj" hidden="1">{#N/A,#N/A,FALSE,"혼합골재"}</definedName>
    <definedName name="HMAX">#N/A</definedName>
    <definedName name="HO">#REF!</definedName>
    <definedName name="HT">#REF!</definedName>
    <definedName name="HTML_CodePage" hidden="1">949</definedName>
    <definedName name="HTML_Control" localSheetId="22" hidden="1">{"'Sheet1'!$D$19","'Sheet1'!$B$22:$E$22"}</definedName>
    <definedName name="HTML_Control" localSheetId="18" hidden="1">{"'Sheet1'!$D$19","'Sheet1'!$B$22:$E$22"}</definedName>
    <definedName name="HTML_Control" localSheetId="8" hidden="1">{"'Sheet1'!$D$19","'Sheet1'!$B$22:$E$22"}</definedName>
    <definedName name="HTML_Control" localSheetId="3" hidden="1">{"'Sheet1'!$D$19","'Sheet1'!$B$22:$E$22"}</definedName>
    <definedName name="HTML_Control" localSheetId="24" hidden="1">{"'Sheet1'!$A$4","'Sheet1'!$A$9:$G$28"}</definedName>
    <definedName name="HTML_Control" localSheetId="20" hidden="1">{"'Sheet1'!$A$4","'Sheet1'!$A$9:$G$28"}</definedName>
    <definedName name="HTML_Control" localSheetId="4" hidden="1">{"'Sheet1'!$D$19","'Sheet1'!$B$22:$E$22"}</definedName>
    <definedName name="HTML_Control" localSheetId="17" hidden="1">{"'Sheet1'!$D$19","'Sheet1'!$B$22:$E$22"}</definedName>
    <definedName name="HTML_Control" hidden="1">{"'Sheet1'!$D$19","'Sheet1'!$B$22:$E$22"}</definedName>
    <definedName name="HTML_Description" hidden="1">""</definedName>
    <definedName name="HTML_Email" hidden="1">""</definedName>
    <definedName name="HTML_Header" localSheetId="24" hidden="1">""</definedName>
    <definedName name="HTML_Header" localSheetId="20" hidden="1">""</definedName>
    <definedName name="HTML_Header" hidden="1">"Sheet1"</definedName>
    <definedName name="HTML_LastUpdate" localSheetId="24" hidden="1">"98-06-09"</definedName>
    <definedName name="HTML_LastUpdate" localSheetId="20" hidden="1">"98-06-09"</definedName>
    <definedName name="HTML_LastUpdate" hidden="1">"98-06-22"</definedName>
    <definedName name="HTML_LineAfter" hidden="1">FALSE</definedName>
    <definedName name="HTML_LineBefore" hidden="1">FALSE</definedName>
    <definedName name="HTML_Name" localSheetId="24" hidden="1">"동현조경"</definedName>
    <definedName name="HTML_Name" localSheetId="20" hidden="1">"동현조경"</definedName>
    <definedName name="HTML_Name" hidden="1">"김성현"</definedName>
    <definedName name="HTML_OBDlg2" hidden="1">TRUE</definedName>
    <definedName name="HTML_OBDlg4" hidden="1">TRUE</definedName>
    <definedName name="HTML_OS" hidden="1">0</definedName>
    <definedName name="HTML_PathFile" localSheetId="24" hidden="1">"C:\내작업철\견적양식\MyHTML.htm"</definedName>
    <definedName name="HTML_PathFile" localSheetId="20" hidden="1">"C:\내작업철\견적양식\MyHTML.htm"</definedName>
    <definedName name="HTML_PathFile" hidden="1">"C:\My Documents\Work Excel\MyHTML.htm"</definedName>
    <definedName name="HTML_Title" localSheetId="24" hidden="1">"견적서"</definedName>
    <definedName name="HTML_Title" localSheetId="20" hidden="1">"견적서"</definedName>
    <definedName name="HTML_Title" hidden="1">"출입명단"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ntrol" localSheetId="22" hidden="1">{"'Sheet1'!$A$4","'Sheet1'!$A$9:$G$28"}</definedName>
    <definedName name="Htmlcontrol" localSheetId="18" hidden="1">{"'Sheet1'!$A$4","'Sheet1'!$A$9:$G$28"}</definedName>
    <definedName name="Htmlcontrol" localSheetId="8" hidden="1">{"'Sheet1'!$A$4","'Sheet1'!$A$9:$G$28"}</definedName>
    <definedName name="Htmlcontrol" localSheetId="3" hidden="1">{"'Sheet1'!$A$4","'Sheet1'!$A$9:$G$28"}</definedName>
    <definedName name="Htmlcontrol" localSheetId="24" hidden="1">{"'Sheet1'!$A$4","'Sheet1'!$A$9:$G$28"}</definedName>
    <definedName name="Htmlcontrol" localSheetId="20" hidden="1">{"'Sheet1'!$A$4","'Sheet1'!$A$9:$G$28"}</definedName>
    <definedName name="Htmlcontrol" localSheetId="4" hidden="1">{"'Sheet1'!$A$4","'Sheet1'!$A$9:$G$28"}</definedName>
    <definedName name="Htmlcontrol" localSheetId="17" hidden="1">{"'Sheet1'!$A$4","'Sheet1'!$A$9:$G$28"}</definedName>
    <definedName name="Htmlcontrol" hidden="1">{"'Sheet1'!$A$4","'Sheet1'!$A$9:$G$28"}</definedName>
    <definedName name="HTMLCount" hidden="1">1</definedName>
    <definedName name="H사">#REF!</definedName>
    <definedName name="H삼">#REF!</definedName>
    <definedName name="H이">#REF!</definedName>
    <definedName name="H일">#REF!</definedName>
    <definedName name="ICGHJ" hidden="1">{#N/A,#N/A,FALSE,"조골재"}</definedName>
    <definedName name="ICGY" hidden="1">{#N/A,#N/A,FALSE,"조골재"}</definedName>
    <definedName name="ILLIL" hidden="1">{#N/A,#N/A,FALSE,"2~8번"}</definedName>
    <definedName name="ILULILI" hidden="1">{#N/A,#N/A,FALSE,"단가표지"}</definedName>
    <definedName name="IMP">#REF!</definedName>
    <definedName name="IOIOIOIO" hidden="1">{#N/A,#N/A,FALSE,"표지목차"}</definedName>
    <definedName name="ITY" hidden="1">{#N/A,#N/A,FALSE,"2~8번"}</definedName>
    <definedName name="IU" hidden="1">[2]전기자료!$O$131:$O$201</definedName>
    <definedName name="j" hidden="1">{#N/A,#N/A,FALSE,"단가표지"}</definedName>
    <definedName name="JANG" hidden="1">[2]Sheet10!$Q$45:$AT$45</definedName>
    <definedName name="jjj" hidden="1">{#N/A,#N/A,FALSE,"표지목차"}</definedName>
    <definedName name="jjjjj" hidden="1">{#N/A,#N/A,FALSE,"운반시간"}</definedName>
    <definedName name="jjk" hidden="1">{#N/A,#N/A,FALSE,"조골재"}</definedName>
    <definedName name="jk" hidden="1">{#N/A,#N/A,FALSE,"표지목차"}</definedName>
    <definedName name="JKJKJKJK" hidden="1">{#N/A,#N/A,FALSE,"포장1";#N/A,#N/A,FALSE,"포장1"}</definedName>
    <definedName name="JTDE" hidden="1">[8]Sheet13!$N$131:$N$201</definedName>
    <definedName name="JYH">#REF!</definedName>
    <definedName name="k" localSheetId="22" hidden="1">'[9]8.PILE  (돌출)'!#REF!</definedName>
    <definedName name="k" localSheetId="23" hidden="1">'[9]8.PILE  (돌출)'!#REF!</definedName>
    <definedName name="k" localSheetId="11" hidden="1">'[9]8.PILE  (돌출)'!#REF!</definedName>
    <definedName name="k" localSheetId="18" hidden="1">'[9]8.PILE  (돌출)'!#REF!</definedName>
    <definedName name="k" localSheetId="8" hidden="1">'[9]8.PILE  (돌출)'!#REF!</definedName>
    <definedName name="k" localSheetId="6" hidden="1">'[9]8.PILE  (돌출)'!#REF!</definedName>
    <definedName name="k" localSheetId="14" hidden="1">'[9]8.PILE  (돌출)'!#REF!</definedName>
    <definedName name="k" localSheetId="15" hidden="1">'[9]8.PILE  (돌출)'!#REF!</definedName>
    <definedName name="k" localSheetId="10" hidden="1">'[9]8.PILE  (돌출)'!#REF!</definedName>
    <definedName name="k" localSheetId="9" hidden="1">'[9]8.PILE  (돌출)'!#REF!</definedName>
    <definedName name="k" localSheetId="3" hidden="1">'[9]8.PILE  (돌출)'!#REF!</definedName>
    <definedName name="k" localSheetId="16" hidden="1">'[9]8.PILE  (돌출)'!#REF!</definedName>
    <definedName name="k" localSheetId="4" hidden="1">'[9]8.PILE  (돌출)'!#REF!</definedName>
    <definedName name="k" localSheetId="12" hidden="1">'[9]8.PILE  (돌출)'!#REF!</definedName>
    <definedName name="k" hidden="1">'[9]8.PILE  (돌출)'!#REF!</definedName>
    <definedName name="K_PR">#REF!</definedName>
    <definedName name="KA">#REF!</definedName>
    <definedName name="KAE">#REF!</definedName>
    <definedName name="KAS">#REF!</definedName>
    <definedName name="Ka일">#REF!</definedName>
    <definedName name="Ka투">#REF!</definedName>
    <definedName name="KEA">#REF!</definedName>
    <definedName name="KH">#REF!</definedName>
    <definedName name="khl" hidden="1">{#N/A,#N/A,FALSE,"2~8번"}</definedName>
    <definedName name="kj" hidden="1">{#N/A,#N/A,FALSE,"운반시간"}</definedName>
    <definedName name="KJIUK">#REF!</definedName>
    <definedName name="kjj" hidden="1">{#N/A,#N/A,FALSE,"조골재"}</definedName>
    <definedName name="KJUGR">#REF!</definedName>
    <definedName name="kk" hidden="1">{#N/A,#N/A,FALSE,"단가표지"}</definedName>
    <definedName name="kkk" hidden="1">{#N/A,#N/A,FALSE,"골재소요량";#N/A,#N/A,FALSE,"골재소요량"}</definedName>
    <definedName name="kl" hidden="1">{#N/A,#N/A,FALSE,"단가표지"}</definedName>
    <definedName name="KLLKLKLK" hidden="1">{#N/A,#N/A,FALSE,"포장2"}</definedName>
    <definedName name="KO">#REF!</definedName>
    <definedName name="ktf" localSheetId="22" hidden="1">#REF!</definedName>
    <definedName name="ktf" localSheetId="23" hidden="1">#REF!</definedName>
    <definedName name="ktf" localSheetId="11" hidden="1">#REF!</definedName>
    <definedName name="ktf" localSheetId="18" hidden="1">#REF!</definedName>
    <definedName name="ktf" localSheetId="8" hidden="1">#REF!</definedName>
    <definedName name="ktf" localSheetId="6" hidden="1">#REF!</definedName>
    <definedName name="ktf" localSheetId="14" hidden="1">#REF!</definedName>
    <definedName name="ktf" localSheetId="15" hidden="1">#REF!</definedName>
    <definedName name="ktf" localSheetId="10" hidden="1">#REF!</definedName>
    <definedName name="ktf" localSheetId="9" hidden="1">#REF!</definedName>
    <definedName name="ktf" localSheetId="3" hidden="1">#REF!</definedName>
    <definedName name="ktf" localSheetId="16" hidden="1">#REF!</definedName>
    <definedName name="ktf" localSheetId="24" hidden="1">#REF!</definedName>
    <definedName name="ktf" localSheetId="4" hidden="1">#REF!</definedName>
    <definedName name="ktf" localSheetId="12" hidden="1">#REF!</definedName>
    <definedName name="ktf" hidden="1">#REF!</definedName>
    <definedName name="kty" localSheetId="22" hidden="1">#REF!</definedName>
    <definedName name="kty" localSheetId="23" hidden="1">#REF!</definedName>
    <definedName name="kty" localSheetId="11" hidden="1">#REF!</definedName>
    <definedName name="kty" localSheetId="18" hidden="1">#REF!</definedName>
    <definedName name="kty" localSheetId="8" hidden="1">#REF!</definedName>
    <definedName name="kty" localSheetId="6" hidden="1">#REF!</definedName>
    <definedName name="kty" localSheetId="14" hidden="1">#REF!</definedName>
    <definedName name="kty" localSheetId="15" hidden="1">#REF!</definedName>
    <definedName name="kty" localSheetId="10" hidden="1">#REF!</definedName>
    <definedName name="kty" localSheetId="9" hidden="1">#REF!</definedName>
    <definedName name="kty" localSheetId="3" hidden="1">#REF!</definedName>
    <definedName name="kty" localSheetId="16" hidden="1">#REF!</definedName>
    <definedName name="kty" localSheetId="24" hidden="1">#REF!</definedName>
    <definedName name="kty" localSheetId="4" hidden="1">#REF!</definedName>
    <definedName name="kty" localSheetId="12" hidden="1">#REF!</definedName>
    <definedName name="kty" hidden="1">#REF!</definedName>
    <definedName name="Kv">#REF!</definedName>
    <definedName name="L_">#REF!</definedName>
    <definedName name="L1L">#REF!</definedName>
    <definedName name="L2L">#REF!</definedName>
    <definedName name="L3L">#REF!</definedName>
    <definedName name="L4L">#REF!</definedName>
    <definedName name="LC">#REF!</definedName>
    <definedName name="Len">#REF!</definedName>
    <definedName name="LF">#REF!</definedName>
    <definedName name="LH">#REF!</definedName>
    <definedName name="LKJO" hidden="1">{#N/A,#N/A,FALSE,"혼합골재"}</definedName>
    <definedName name="LLFE">#N/A</definedName>
    <definedName name="LLFO">#REF!</definedName>
    <definedName name="L형옹벽">#REF!</definedName>
    <definedName name="M_EF">#REF!</definedName>
    <definedName name="MaH">#REF!</definedName>
    <definedName name="MHV" hidden="1">[8]Sheet13!$S$48:$AV$48</definedName>
    <definedName name="MKJIUCX">#REF!</definedName>
    <definedName name="mm" hidden="1">{#N/A,#N/A,TRUE,"토적및재료집계";#N/A,#N/A,TRUE,"토적및재료집계";#N/A,#N/A,TRUE,"단위량"}</definedName>
    <definedName name="MO">#REF!</definedName>
    <definedName name="MSA" hidden="1">{#N/A,#N/A,TRUE,"총괄"}</definedName>
    <definedName name="MUO_REA">#REF!</definedName>
    <definedName name="MUO_TOE">#REF!</definedName>
    <definedName name="N_C">#REF!</definedName>
    <definedName name="N_Q">#REF!</definedName>
    <definedName name="N_R">#REF!</definedName>
    <definedName name="NF" hidden="1">{#N/A,#N/A,FALSE,"표지목차"}</definedName>
    <definedName name="NGC" hidden="1">[8]Sheet9!$J$44</definedName>
    <definedName name="nn" localSheetId="22" hidden="1">#REF!</definedName>
    <definedName name="nn" localSheetId="23" hidden="1">#REF!</definedName>
    <definedName name="nn" localSheetId="11" hidden="1">#REF!</definedName>
    <definedName name="nn" localSheetId="18" hidden="1">#REF!</definedName>
    <definedName name="nn" localSheetId="8" hidden="1">#REF!</definedName>
    <definedName name="nn" localSheetId="6" hidden="1">#REF!</definedName>
    <definedName name="nn" localSheetId="14" hidden="1">#REF!</definedName>
    <definedName name="nn" localSheetId="15" hidden="1">#REF!</definedName>
    <definedName name="nn" localSheetId="10" hidden="1">#REF!</definedName>
    <definedName name="nn" localSheetId="9" hidden="1">#REF!</definedName>
    <definedName name="nn" localSheetId="3" hidden="1">#REF!</definedName>
    <definedName name="nn" localSheetId="16" hidden="1">#REF!</definedName>
    <definedName name="nn" localSheetId="24" hidden="1">#REF!</definedName>
    <definedName name="nn" localSheetId="4" hidden="1">#REF!</definedName>
    <definedName name="nn" localSheetId="12" hidden="1">#REF!</definedName>
    <definedName name="nn" hidden="1">#REF!</definedName>
    <definedName name="NNN">#REF!</definedName>
    <definedName name="notch1">#REF!</definedName>
    <definedName name="notch2">#REF!</definedName>
    <definedName name="n이">#REF!</definedName>
    <definedName name="n이_1">#REF!</definedName>
    <definedName name="n이_2">#REF!</definedName>
    <definedName name="n일">#REF!</definedName>
    <definedName name="ODD" localSheetId="3" hidden="1">{#N/A,#N/A,FALSE,"명세표"}</definedName>
    <definedName name="ODD" localSheetId="4" hidden="1">{#N/A,#N/A,FALSE,"명세표"}</definedName>
    <definedName name="ODD" hidden="1">{#N/A,#N/A,FALSE,"명세표"}</definedName>
    <definedName name="OFU" hidden="1">{#N/A,#N/A,FALSE,"단가표지"}</definedName>
    <definedName name="OFYUI" hidden="1">{#N/A,#N/A,FALSE,"골재소요량";#N/A,#N/A,FALSE,"골재소요량"}</definedName>
    <definedName name="OH" localSheetId="3" hidden="1">{#N/A,#N/A,FALSE,"명세표"}</definedName>
    <definedName name="OH" localSheetId="4" hidden="1">{#N/A,#N/A,FALSE,"명세표"}</definedName>
    <definedName name="OH" hidden="1">{#N/A,#N/A,FALSE,"명세표"}</definedName>
    <definedName name="OHH" localSheetId="3" hidden="1">{#N/A,#N/A,FALSE,"명세표"}</definedName>
    <definedName name="OHH" localSheetId="4" hidden="1">{#N/A,#N/A,FALSE,"명세표"}</definedName>
    <definedName name="OHH" hidden="1">{#N/A,#N/A,FALSE,"명세표"}</definedName>
    <definedName name="OI" hidden="1">[2]전기자료!$O$202:$O$271</definedName>
    <definedName name="OIO">#REF!</definedName>
    <definedName name="old예산" hidden="1">{#N/A,#N/A,TRUE,"손익보고"}</definedName>
    <definedName name="oo">#REF!</definedName>
    <definedName name="ooo" localSheetId="22" hidden="1">'[14]6PILE  (돌출)'!#REF!</definedName>
    <definedName name="ooo" localSheetId="23" hidden="1">'[14]6PILE  (돌출)'!#REF!</definedName>
    <definedName name="ooo" localSheetId="11" hidden="1">'[14]6PILE  (돌출)'!#REF!</definedName>
    <definedName name="ooo" localSheetId="18" hidden="1">'[14]6PILE  (돌출)'!#REF!</definedName>
    <definedName name="ooo" localSheetId="8" hidden="1">'[14]6PILE  (돌출)'!#REF!</definedName>
    <definedName name="ooo" localSheetId="6" hidden="1">'[14]6PILE  (돌출)'!#REF!</definedName>
    <definedName name="ooo" localSheetId="14" hidden="1">'[14]6PILE  (돌출)'!#REF!</definedName>
    <definedName name="ooo" localSheetId="15" hidden="1">'[14]6PILE  (돌출)'!#REF!</definedName>
    <definedName name="ooo" localSheetId="10" hidden="1">'[14]6PILE  (돌출)'!#REF!</definedName>
    <definedName name="ooo" localSheetId="9" hidden="1">'[14]6PILE  (돌출)'!#REF!</definedName>
    <definedName name="ooo" localSheetId="3" hidden="1">'[14]6PILE  (돌출)'!#REF!</definedName>
    <definedName name="ooo" localSheetId="16" hidden="1">'[14]6PILE  (돌출)'!#REF!</definedName>
    <definedName name="ooo" localSheetId="24" hidden="1">'[14]6PILE  (돌출)'!#REF!</definedName>
    <definedName name="ooo" localSheetId="4" hidden="1">'[14]6PILE  (돌출)'!#REF!</definedName>
    <definedName name="ooo" localSheetId="12" hidden="1">'[14]6PILE  (돌출)'!#REF!</definedName>
    <definedName name="ooo" hidden="1">'[14]6PILE  (돌출)'!#REF!</definedName>
    <definedName name="OP">#REF!</definedName>
    <definedName name="OPOP" hidden="1">[15]수량산출!#REF!</definedName>
    <definedName name="OPP" hidden="1">#REF!</definedName>
    <definedName name="OPPP" hidden="1">[16]수량산출!$A$3:$H$8539</definedName>
    <definedName name="OUG" hidden="1">{#N/A,#N/A,FALSE,"운반시간"}</definedName>
    <definedName name="OUHFVK" hidden="1">{#N/A,#N/A,FALSE,"표지목차"}</definedName>
    <definedName name="OY" hidden="1">{#N/A,#N/A,FALSE,"혼합골재"}</definedName>
    <definedName name="OYUOFV" hidden="1">{#N/A,#N/A,FALSE,"조골재"}</definedName>
    <definedName name="P_A">#REF!</definedName>
    <definedName name="P_D">#REF!</definedName>
    <definedName name="P_E">#REF!</definedName>
    <definedName name="PA">#REF!</definedName>
    <definedName name="pa삼">#REF!</definedName>
    <definedName name="Pa오">#REF!</definedName>
    <definedName name="PB">#REF!</definedName>
    <definedName name="PD">#REF!</definedName>
    <definedName name="PF">#REF!</definedName>
    <definedName name="PFD">#REF!</definedName>
    <definedName name="PG">#REF!</definedName>
    <definedName name="PH">#REF!</definedName>
    <definedName name="PIO" hidden="1">[8]Sheet13!$O$202:$O$271</definedName>
    <definedName name="PO">#REF!</definedName>
    <definedName name="ppp" hidden="1">'[17]ABUT수량-A1'!$T$25</definedName>
    <definedName name="prin">#REF!</definedName>
    <definedName name="Print">#REF!</definedName>
    <definedName name="_xlnm.Print_Area" localSheetId="22">'xx내역 집계 (2)'!$B$1:$N$142</definedName>
    <definedName name="_xlnm.Print_Area" localSheetId="23">'xx폐기물집계 (2)'!$B$1:$K$142</definedName>
    <definedName name="_xlnm.Print_Area" localSheetId="11">관급자재!$B$1:$N$27</definedName>
    <definedName name="_xlnm.Print_Area" localSheetId="18">관로굴착도!$A$1:$AA$200</definedName>
    <definedName name="_xlnm.Print_Area" localSheetId="8">내역서!$B$1:$N$50</definedName>
    <definedName name="_xlnm.Print_Area" localSheetId="29">노임단가!$A$1:$E$219</definedName>
    <definedName name="_xlnm.Print_Area" localSheetId="6">대총괄표!$B$1:$N$27</definedName>
    <definedName name="_xlnm.Print_Area" localSheetId="13">부록단가비교표!$B$1:$R$23</definedName>
    <definedName name="_xlnm.Print_Area" localSheetId="19">'분전반 기초산출'!$A$1:$Q$224</definedName>
    <definedName name="_xlnm.Print_Area" localSheetId="14">'산출집계(가로등)'!$B$1:$S$64</definedName>
    <definedName name="_xlnm.Print_Area" localSheetId="15">'산출집계(신호등)'!$B$1:$U$62</definedName>
    <definedName name="_xlnm.Print_Area" localSheetId="10">'산출집계(인입) '!$B$1:$J$35</definedName>
    <definedName name="_xlnm.Print_Area" localSheetId="9">'산출집계(철거) '!$B$1:$J$36</definedName>
    <definedName name="_xlnm.Print_Area" localSheetId="3">설계설명서!$A$1:$M$36</definedName>
    <definedName name="_xlnm.Print_Area" localSheetId="0">'설계설명서 (2)'!$A$1:$N$41</definedName>
    <definedName name="_xlnm.Print_Area" localSheetId="16">'수량산출서(DL)'!$C$1:$H$320</definedName>
    <definedName name="_xlnm.Print_Area" localSheetId="20">'신호등 기초산출'!$A$1:$Z$133</definedName>
    <definedName name="_xlnm.Print_Area" localSheetId="2">예갑!$A$1:$T$27</definedName>
    <definedName name="_xlnm.Print_Area" localSheetId="4">예정공정표!$A$1:$O$14</definedName>
    <definedName name="_xlnm.Print_Area" localSheetId="5">원가계산서!$A$1:$F$29</definedName>
    <definedName name="_xlnm.Print_Area" localSheetId="7">총괄표!$B$1:$N$27</definedName>
    <definedName name="_xlnm.Print_Area" localSheetId="27">토목기계경비!$B$1:$M$303</definedName>
    <definedName name="_xlnm.Print_Area" localSheetId="26">토목단가산출!$B$1:$EQ$1235</definedName>
    <definedName name="_xlnm.Print_Area" localSheetId="12">폐기물일위대가!$C$1:$P$96</definedName>
    <definedName name="_xlnm.Print_Area">#REF!</definedName>
    <definedName name="PRINT_AREA_MI">#REF!</definedName>
    <definedName name="PRINT_AREA_MI1">#REF!</definedName>
    <definedName name="print_tites">#REF!</definedName>
    <definedName name="print_title">#REF!</definedName>
    <definedName name="_xlnm.Print_Titles" localSheetId="22">'xx내역 집계 (2)'!$1:$4</definedName>
    <definedName name="_xlnm.Print_Titles" localSheetId="23">'xx폐기물집계 (2)'!$1:$5</definedName>
    <definedName name="_xlnm.Print_Titles" localSheetId="11">관급자재!$1:$4</definedName>
    <definedName name="_xlnm.Print_Titles" localSheetId="8">내역서!$1:$4</definedName>
    <definedName name="_xlnm.Print_Titles" localSheetId="29">노임단가!$1:$3</definedName>
    <definedName name="_xlnm.Print_Titles" localSheetId="6">대총괄표!$1:$4</definedName>
    <definedName name="_xlnm.Print_Titles" localSheetId="14">'산출집계(가로등)'!$1:$5</definedName>
    <definedName name="_xlnm.Print_Titles" localSheetId="15">'산출집계(신호등)'!$1:$5</definedName>
    <definedName name="_xlnm.Print_Titles" localSheetId="10">'산출집계(인입) '!$1:$4</definedName>
    <definedName name="_xlnm.Print_Titles" localSheetId="9">'산출집계(철거) '!$1:$4</definedName>
    <definedName name="_xlnm.Print_Titles" localSheetId="16">'수량산출서(DL)'!$1:$3</definedName>
    <definedName name="_xlnm.Print_Titles" localSheetId="20">'신호등 기초산출'!$1:$1</definedName>
    <definedName name="_xlnm.Print_Titles" localSheetId="7">총괄표!$1:$4</definedName>
    <definedName name="_xlnm.Print_Titles" localSheetId="27">토목기계경비!$1:$3</definedName>
    <definedName name="_xlnm.Print_Titles" localSheetId="26">토목단가산출!$1:$3</definedName>
    <definedName name="_xlnm.Print_Titles" localSheetId="21">폐기물상차비!$1:$2</definedName>
    <definedName name="_xlnm.Print_Titles" localSheetId="12">폐기물일위대가!$1:$4</definedName>
    <definedName name="_xlnm.Print_Titles">#N/A</definedName>
    <definedName name="PS">#REF!</definedName>
    <definedName name="Q">#REF!</definedName>
    <definedName name="q_t_">#REF!</definedName>
    <definedName name="q0">#REF!</definedName>
    <definedName name="Q3WEE" hidden="1">{#N/A,#N/A,FALSE,"조골재"}</definedName>
    <definedName name="Qe앨">#REF!</definedName>
    <definedName name="qkqh1" localSheetId="3" hidden="1">{#N/A,#N/A,FALSE,"명세표"}</definedName>
    <definedName name="qkqh1" localSheetId="4" hidden="1">{#N/A,#N/A,FALSE,"명세표"}</definedName>
    <definedName name="qkqh1" hidden="1">{#N/A,#N/A,FALSE,"명세표"}</definedName>
    <definedName name="qq" localSheetId="3" hidden="1">{#N/A,#N/A,FALSE,"단가표지"}</definedName>
    <definedName name="qq" localSheetId="4" hidden="1">{#N/A,#N/A,FALSE,"단가표지"}</definedName>
    <definedName name="qq" hidden="1">{#N/A,#N/A,FALSE,"단가표지"}</definedName>
    <definedName name="qqq" hidden="1">{#N/A,#N/A,FALSE,"표지목차"}</definedName>
    <definedName name="QQW" hidden="1">{#N/A,#N/A,FALSE,"단가표지"}</definedName>
    <definedName name="qu">#REF!</definedName>
    <definedName name="qusrudsodur" hidden="1">{#N/A,#N/A,FALSE,"명세표"}</definedName>
    <definedName name="qw" localSheetId="3" hidden="1">{#N/A,#N/A,FALSE,"단가표지"}</definedName>
    <definedName name="qw" localSheetId="4" hidden="1">{#N/A,#N/A,FALSE,"단가표지"}</definedName>
    <definedName name="qw" hidden="1">{#N/A,#N/A,FALSE,"단가표지"}</definedName>
    <definedName name="qwer" hidden="1">{#N/A,#N/A,FALSE,"골재소요량";#N/A,#N/A,FALSE,"골재소요량"}</definedName>
    <definedName name="QWQ" hidden="1">{#N/A,#N/A,FALSE,"배수2"}</definedName>
    <definedName name="qwrt" hidden="1">{#N/A,#N/A,FALSE,"골재소요량";#N/A,#N/A,FALSE,"골재소요량"}</definedName>
    <definedName name="QWS" localSheetId="22" hidden="1">#REF!</definedName>
    <definedName name="QWS" localSheetId="23" hidden="1">#REF!</definedName>
    <definedName name="QWS" localSheetId="11" hidden="1">#REF!</definedName>
    <definedName name="QWS" localSheetId="18" hidden="1">#REF!</definedName>
    <definedName name="QWS" localSheetId="8" hidden="1">#REF!</definedName>
    <definedName name="QWS" localSheetId="6" hidden="1">#REF!</definedName>
    <definedName name="QWS" localSheetId="14" hidden="1">#REF!</definedName>
    <definedName name="QWS" localSheetId="15" hidden="1">#REF!</definedName>
    <definedName name="QWS" localSheetId="10" hidden="1">#REF!</definedName>
    <definedName name="QWS" localSheetId="9" hidden="1">#REF!</definedName>
    <definedName name="QWS" localSheetId="3" hidden="1">#REF!</definedName>
    <definedName name="QWS" localSheetId="16" hidden="1">#REF!</definedName>
    <definedName name="QWS" localSheetId="4" hidden="1">#REF!</definedName>
    <definedName name="QWS" localSheetId="12" hidden="1">#REF!</definedName>
    <definedName name="QWS" hidden="1">#REF!</definedName>
    <definedName name="q디">#REF!</definedName>
    <definedName name="q앨">#REF!</definedName>
    <definedName name="R_">#REF!</definedName>
    <definedName name="_xlnm.Recorder">#REF!</definedName>
    <definedName name="REG" hidden="1">[2]전기자료!$S$51:$AV$51</definedName>
    <definedName name="RFYIFIOYGOPIO" hidden="1">#REF!</definedName>
    <definedName name="Rl이">#REF!</definedName>
    <definedName name="Rl일">#REF!</definedName>
    <definedName name="Royalty" hidden="1">{#N/A,#N/A,FALSE,"Sheet1"}</definedName>
    <definedName name="RPE">#REF!</definedName>
    <definedName name="rr" hidden="1">{#N/A,#N/A,FALSE,"조골재"}</definedName>
    <definedName name="RRR" hidden="1">{#N/A,#N/A,FALSE,"포장2"}</definedName>
    <definedName name="RTV" hidden="1">{#N/A,#N/A,FALSE,"표지목차"}</definedName>
    <definedName name="RWD" hidden="1">[8]Sheet13!$S$48:$AV$48</definedName>
    <definedName name="S_BB">#REF!</definedName>
    <definedName name="S_BU">#REF!</definedName>
    <definedName name="S_EF">#REF!</definedName>
    <definedName name="S2L">#REF!</definedName>
    <definedName name="SADE">#REF!</definedName>
    <definedName name="SALI">#REF!</definedName>
    <definedName name="sck">#REF!</definedName>
    <definedName name="SDCFG\" hidden="1">{#N/A,#N/A,FALSE,"운반시간"}</definedName>
    <definedName name="SDDFD" hidden="1">{#N/A,#N/A,FALSE,"배수1"}</definedName>
    <definedName name="SDF" hidden="1">{#N/A,#N/A,FALSE,"혼합골재"}</definedName>
    <definedName name="SDFDFD" hidden="1">{#N/A,#N/A,FALSE,"운반시간"}</definedName>
    <definedName name="sdg" hidden="1">{#N/A,#N/A,FALSE,"운반시간"}</definedName>
    <definedName name="SDRE" hidden="1">{#N/A,#N/A,FALSE,"골재소요량";#N/A,#N/A,FALSE,"골재소요량"}</definedName>
    <definedName name="sdsdddd" hidden="1">{#N/A,#N/A,FALSE,"토공2"}</definedName>
    <definedName name="SE" hidden="1">[8]Sheet13!$S$47:$AV$47</definedName>
    <definedName name="SEVSE">#REF!</definedName>
    <definedName name="SFA" hidden="1">{#N/A,#N/A,FALSE,"포장1";#N/A,#N/A,FALSE,"포장1"}</definedName>
    <definedName name="sfggf" hidden="1">{#N/A,#N/A,FALSE,"배수1"}</definedName>
    <definedName name="SFSDFDSF" hidden="1">{#N/A,#N/A,FALSE,"운반시간"}</definedName>
    <definedName name="SHT">#REF!</definedName>
    <definedName name="SLFE">#REF!</definedName>
    <definedName name="SLFO">#REF!</definedName>
    <definedName name="solver_adj" localSheetId="22" hidden="1">#REF!,#REF!</definedName>
    <definedName name="solver_adj" localSheetId="23" hidden="1">#REF!,#REF!</definedName>
    <definedName name="solver_adj" localSheetId="11" hidden="1">#REF!,#REF!</definedName>
    <definedName name="solver_adj" localSheetId="18" hidden="1">#REF!,#REF!</definedName>
    <definedName name="solver_adj" localSheetId="8" hidden="1">#REF!,#REF!</definedName>
    <definedName name="solver_adj" localSheetId="6" hidden="1">#REF!,#REF!</definedName>
    <definedName name="solver_adj" localSheetId="14" hidden="1">#REF!,#REF!</definedName>
    <definedName name="solver_adj" localSheetId="15" hidden="1">#REF!,#REF!</definedName>
    <definedName name="solver_adj" localSheetId="10" hidden="1">#REF!,#REF!</definedName>
    <definedName name="solver_adj" localSheetId="9" hidden="1">#REF!,#REF!</definedName>
    <definedName name="solver_adj" localSheetId="3" hidden="1">#REF!,#REF!</definedName>
    <definedName name="solver_adj" localSheetId="16" hidden="1">#REF!,#REF!</definedName>
    <definedName name="solver_adj" localSheetId="24" hidden="1">#REF!,#REF!</definedName>
    <definedName name="solver_adj" localSheetId="4" hidden="1">#REF!,#REF!</definedName>
    <definedName name="solver_adj" localSheetId="12" hidden="1">#REF!,#REF!</definedName>
    <definedName name="solver_adj" hidden="1">#REF!,#REF!</definedName>
    <definedName name="solver_adj1" localSheetId="22" hidden="1">#REF!,#REF!</definedName>
    <definedName name="solver_adj1" localSheetId="23" hidden="1">#REF!,#REF!</definedName>
    <definedName name="solver_adj1" localSheetId="11" hidden="1">#REF!,#REF!</definedName>
    <definedName name="solver_adj1" localSheetId="18" hidden="1">#REF!,#REF!</definedName>
    <definedName name="solver_adj1" localSheetId="8" hidden="1">#REF!,#REF!</definedName>
    <definedName name="solver_adj1" localSheetId="6" hidden="1">#REF!,#REF!</definedName>
    <definedName name="solver_adj1" localSheetId="14" hidden="1">#REF!,#REF!</definedName>
    <definedName name="solver_adj1" localSheetId="15" hidden="1">#REF!,#REF!</definedName>
    <definedName name="solver_adj1" localSheetId="10" hidden="1">#REF!,#REF!</definedName>
    <definedName name="solver_adj1" localSheetId="9" hidden="1">#REF!,#REF!</definedName>
    <definedName name="solver_adj1" localSheetId="3" hidden="1">#REF!,#REF!</definedName>
    <definedName name="solver_adj1" localSheetId="16" hidden="1">#REF!,#REF!</definedName>
    <definedName name="solver_adj1" localSheetId="24" hidden="1">#REF!,#REF!</definedName>
    <definedName name="solver_adj1" localSheetId="4" hidden="1">#REF!,#REF!</definedName>
    <definedName name="solver_adj1" localSheetId="12" hidden="1">#REF!,#REF!</definedName>
    <definedName name="solver_adj1" hidden="1">#REF!,#REF!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22" hidden="1">#REF!</definedName>
    <definedName name="solver_opt" localSheetId="23" hidden="1">#REF!</definedName>
    <definedName name="solver_opt" localSheetId="11" hidden="1">#REF!</definedName>
    <definedName name="solver_opt" localSheetId="18" hidden="1">#REF!</definedName>
    <definedName name="solver_opt" localSheetId="8" hidden="1">#REF!</definedName>
    <definedName name="solver_opt" localSheetId="6" hidden="1">#REF!</definedName>
    <definedName name="solver_opt" localSheetId="14" hidden="1">#REF!</definedName>
    <definedName name="solver_opt" localSheetId="15" hidden="1">#REF!</definedName>
    <definedName name="solver_opt" localSheetId="10" hidden="1">#REF!</definedName>
    <definedName name="solver_opt" localSheetId="9" hidden="1">#REF!</definedName>
    <definedName name="solver_opt" localSheetId="3" hidden="1">#REF!</definedName>
    <definedName name="solver_opt" localSheetId="16" hidden="1">#REF!</definedName>
    <definedName name="solver_opt" localSheetId="24" hidden="1">#REF!</definedName>
    <definedName name="solver_opt" localSheetId="4" hidden="1">#REF!</definedName>
    <definedName name="solver_opt" localSheetId="12" hidden="1">#REF!</definedName>
    <definedName name="solver_opt" hidden="1">#REF!</definedName>
    <definedName name="solver_opt1" localSheetId="22" hidden="1">#REF!</definedName>
    <definedName name="solver_opt1" localSheetId="23" hidden="1">#REF!</definedName>
    <definedName name="solver_opt1" localSheetId="11" hidden="1">#REF!</definedName>
    <definedName name="solver_opt1" localSheetId="18" hidden="1">#REF!</definedName>
    <definedName name="solver_opt1" localSheetId="8" hidden="1">#REF!</definedName>
    <definedName name="solver_opt1" localSheetId="6" hidden="1">#REF!</definedName>
    <definedName name="solver_opt1" localSheetId="14" hidden="1">#REF!</definedName>
    <definedName name="solver_opt1" localSheetId="15" hidden="1">#REF!</definedName>
    <definedName name="solver_opt1" localSheetId="10" hidden="1">#REF!</definedName>
    <definedName name="solver_opt1" localSheetId="9" hidden="1">#REF!</definedName>
    <definedName name="solver_opt1" localSheetId="3" hidden="1">#REF!</definedName>
    <definedName name="solver_opt1" localSheetId="16" hidden="1">#REF!</definedName>
    <definedName name="solver_opt1" localSheetId="24" hidden="1">#REF!</definedName>
    <definedName name="solver_opt1" localSheetId="4" hidden="1">#REF!</definedName>
    <definedName name="solver_opt1" localSheetId="12" hidden="1">#REF!</definedName>
    <definedName name="solver_opt1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localSheetId="22" hidden="1">#REF!,#REF!</definedName>
    <definedName name="solver_tmp" localSheetId="23" hidden="1">#REF!,#REF!</definedName>
    <definedName name="solver_tmp" localSheetId="11" hidden="1">#REF!,#REF!</definedName>
    <definedName name="solver_tmp" localSheetId="18" hidden="1">#REF!,#REF!</definedName>
    <definedName name="solver_tmp" localSheetId="8" hidden="1">#REF!,#REF!</definedName>
    <definedName name="solver_tmp" localSheetId="6" hidden="1">#REF!,#REF!</definedName>
    <definedName name="solver_tmp" localSheetId="14" hidden="1">#REF!,#REF!</definedName>
    <definedName name="solver_tmp" localSheetId="15" hidden="1">#REF!,#REF!</definedName>
    <definedName name="solver_tmp" localSheetId="10" hidden="1">#REF!,#REF!</definedName>
    <definedName name="solver_tmp" localSheetId="9" hidden="1">#REF!,#REF!</definedName>
    <definedName name="solver_tmp" localSheetId="3" hidden="1">#REF!,#REF!</definedName>
    <definedName name="solver_tmp" localSheetId="16" hidden="1">#REF!,#REF!</definedName>
    <definedName name="solver_tmp" localSheetId="24" hidden="1">#REF!,#REF!</definedName>
    <definedName name="solver_tmp" localSheetId="4" hidden="1">#REF!,#REF!</definedName>
    <definedName name="solver_tmp" localSheetId="12" hidden="1">#REF!,#REF!</definedName>
    <definedName name="solver_tmp" hidden="1">#REF!,#REF!</definedName>
    <definedName name="solver_tol" hidden="1">0.05</definedName>
    <definedName name="solver_typ" hidden="1">1</definedName>
    <definedName name="solver_val" hidden="1">0</definedName>
    <definedName name="SPACE">#REF!</definedName>
    <definedName name="ss" localSheetId="3" hidden="1">{#N/A,#N/A,FALSE,"운반시간"}</definedName>
    <definedName name="ss" localSheetId="4" hidden="1">{#N/A,#N/A,FALSE,"운반시간"}</definedName>
    <definedName name="ss" hidden="1">{#N/A,#N/A,FALSE,"운반시간"}</definedName>
    <definedName name="SSS">#REF!</definedName>
    <definedName name="sssss" hidden="1">{#N/A,#N/A,FALSE,"운반시간"}</definedName>
    <definedName name="SSVSS" hidden="1">[2]Sheet14!$M$201:$M$270</definedName>
    <definedName name="SUO_REA">#REF!</definedName>
    <definedName name="SUO_TOE">#REF!</definedName>
    <definedName name="sy">#REF!</definedName>
    <definedName name="szgwr" hidden="1">{#N/A,#N/A,FALSE,"2~8번"}</definedName>
    <definedName name="t_">#REF!</definedName>
    <definedName name="T4ER" hidden="1">{#N/A,#N/A,FALSE,"조골재"}</definedName>
    <definedName name="TB">#REF!</definedName>
    <definedName name="Tba">#REF!</definedName>
    <definedName name="TBTY" hidden="1">{#N/A,#N/A,FALSE,"2~8번"}</definedName>
    <definedName name="TC" hidden="1">[2]Sheet10!$M$61:$M$130</definedName>
    <definedName name="Ted">#REF!</definedName>
    <definedName name="Tel">#REF!</definedName>
    <definedName name="TEZ" hidden="1">[8]Sheet14!$Q$45:$AT$45</definedName>
    <definedName name="TGES" hidden="1">[8]Sheet13!$N$202:$N$271</definedName>
    <definedName name="TL">#REF!</definedName>
    <definedName name="TN">#REF!</definedName>
    <definedName name="Tra">#REF!</definedName>
    <definedName name="TRBY" hidden="1">{#N/A,#N/A,FALSE,"혼합골재"}</definedName>
    <definedName name="TRETETT">#REF!</definedName>
    <definedName name="TRTRTR" hidden="1">{#N/A,#N/A,FALSE,"운반시간"}</definedName>
    <definedName name="TS">#REF!</definedName>
    <definedName name="Tsa">#REF!</definedName>
    <definedName name="tt" localSheetId="3" hidden="1">{#N/A,#N/A,FALSE,"단가표지"}</definedName>
    <definedName name="tt" localSheetId="4" hidden="1">{#N/A,#N/A,FALSE,"단가표지"}</definedName>
    <definedName name="tt" hidden="1">{#N/A,#N/A,FALSE,"단가표지"}</definedName>
    <definedName name="tttt" hidden="1">{#N/A,#N/A,FALSE,"골재소요량";#N/A,#N/A,FALSE,"골재소요량"}</definedName>
    <definedName name="tttttt" hidden="1">{#N/A,#N/A,FALSE,"골재소요량";#N/A,#N/A,FALSE,"골재소요량"}</definedName>
    <definedName name="TUR" hidden="1">[2]전기자료!$O$272:$O$341</definedName>
    <definedName name="TWW">#REF!</definedName>
    <definedName name="Ty1H1">#REF!</definedName>
    <definedName name="Ty1H2">#REF!</definedName>
    <definedName name="Ty1H3">#REF!</definedName>
    <definedName name="Ty1Hun1">#REF!</definedName>
    <definedName name="Ty1Hun2">#REF!</definedName>
    <definedName name="Ty1K1">#REF!</definedName>
    <definedName name="Ty1K2">#REF!</definedName>
    <definedName name="Ty1L1">#REF!</definedName>
    <definedName name="Ty1L2">#REF!</definedName>
    <definedName name="Ty1L3">#REF!</definedName>
    <definedName name="Ty1L4">#REF!</definedName>
    <definedName name="Ty1L5">#REF!</definedName>
    <definedName name="Ty1L6">#REF!</definedName>
    <definedName name="Ty1TH">#REF!</definedName>
    <definedName name="Ty1TL">#REF!</definedName>
    <definedName name="Ty2H1">#REF!</definedName>
    <definedName name="Ty2H2">#REF!</definedName>
    <definedName name="Ty2H3">#REF!</definedName>
    <definedName name="Ty2Hun1">#REF!</definedName>
    <definedName name="Ty2Hun2">#REF!</definedName>
    <definedName name="Ty2K1">#REF!</definedName>
    <definedName name="Ty2K2">#REF!</definedName>
    <definedName name="Ty2L1">#REF!</definedName>
    <definedName name="Ty2L2">#REF!</definedName>
    <definedName name="Ty2L3">#REF!</definedName>
    <definedName name="Ty2L4">#REF!</definedName>
    <definedName name="Ty2L5">#REF!</definedName>
    <definedName name="Ty2L6">#REF!</definedName>
    <definedName name="Ty2TH">#REF!</definedName>
    <definedName name="Ty2TL">#REF!</definedName>
    <definedName name="TYHFDGFD" hidden="1">{#N/A,#N/A,FALSE,"배수2"}</definedName>
    <definedName name="TYTY">#REF!</definedName>
    <definedName name="UI" hidden="1">[2]전기자료!$O$64:$O$131</definedName>
    <definedName name="UUKYIK" hidden="1">{#N/A,#N/A,FALSE,"조골재"}</definedName>
    <definedName name="UY" hidden="1">[2]전기자료!$L$61:$L$130</definedName>
    <definedName name="UYY" hidden="1">[8]Sheet13!$O$272:$O$341</definedName>
    <definedName name="VE" hidden="1">[8]Sheet13!$S$51:$AV$51</definedName>
    <definedName name="VMAX">#N/A</definedName>
    <definedName name="VZZ" hidden="1">[8]Sheet13!$S$48:$AV$48</definedName>
    <definedName name="W33W33W" hidden="1">{#N/A,#N/A,FALSE,"골재소요량";#N/A,#N/A,FALSE,"골재소요량"}</definedName>
    <definedName name="WB">#REF!</definedName>
    <definedName name="WC">#REF!</definedName>
    <definedName name="WD">#REF!</definedName>
    <definedName name="WD_P">#REF!</definedName>
    <definedName name="WD_W">#REF!</definedName>
    <definedName name="wer" hidden="1">{#N/A,#N/A,FALSE,"골재소요량";#N/A,#N/A,FALSE,"골재소요량"}</definedName>
    <definedName name="WERWVQ5R" hidden="1">{#N/A,#N/A,FALSE,"조골재"}</definedName>
    <definedName name="WEVRW" hidden="1">{#N/A,#N/A,FALSE,"골재소요량";#N/A,#N/A,FALSE,"골재소요량"}</definedName>
    <definedName name="WH">#REF!</definedName>
    <definedName name="wir__d_2">#REF!</definedName>
    <definedName name="WLQ" localSheetId="3" hidden="1">{#N/A,#N/A,FALSE,"명세표"}</definedName>
    <definedName name="WLQ" localSheetId="4" hidden="1">{#N/A,#N/A,FALSE,"명세표"}</definedName>
    <definedName name="WLQ" hidden="1">{#N/A,#N/A,FALSE,"명세표"}</definedName>
    <definedName name="wm.조골재1" localSheetId="3" hidden="1">{#N/A,#N/A,FALSE,"조골재"}</definedName>
    <definedName name="wm.조골재1" localSheetId="4" hidden="1">{#N/A,#N/A,FALSE,"조골재"}</definedName>
    <definedName name="wm.조골재1" hidden="1">{#N/A,#N/A,FALSE,"조골재"}</definedName>
    <definedName name="woogi" hidden="1">#REF!</definedName>
    <definedName name="woogi2" hidden="1">#REF!</definedName>
    <definedName name="wqe" hidden="1">{#N/A,#N/A,FALSE,"골재소요량";#N/A,#N/A,FALSE,"골재소요량"}</definedName>
    <definedName name="WQR" hidden="1">{#N/A,#N/A,FALSE,"Sheet1"}</definedName>
    <definedName name="wrn.2번." localSheetId="3" hidden="1">{#N/A,#N/A,FALSE,"2~8번"}</definedName>
    <definedName name="wrn.2번." localSheetId="4" hidden="1">{#N/A,#N/A,FALSE,"2~8번"}</definedName>
    <definedName name="wrn.2번." hidden="1">{#N/A,#N/A,FALSE,"2~8번"}</definedName>
    <definedName name="wrn.STURUT._.검토." hidden="1">{#N/A,#N/A,TRUE,"H-PILE";#N/A,#N/A,TRUE,"WALE";#N/A,#N/A,TRUE,"STRUT";#N/A,#N/A,TRUE,"토류판";#N/A,#N/A,TRUE,"근입장검토"}</definedName>
    <definedName name="wrn.test1." localSheetId="3" hidden="1">{#N/A,#N/A,FALSE,"명세표"}</definedName>
    <definedName name="wrn.test1." localSheetId="4" hidden="1">{#N/A,#N/A,FALSE,"명세표"}</definedName>
    <definedName name="wrn.test1." hidden="1">{#N/A,#N/A,FALSE,"명세표"}</definedName>
    <definedName name="wrn.골재소요량." localSheetId="3" hidden="1">{#N/A,#N/A,FALSE,"골재소요량";#N/A,#N/A,FALSE,"골재소요량"}</definedName>
    <definedName name="wrn.골재소요량." localSheetId="4" hidden="1">{#N/A,#N/A,FALSE,"골재소요량";#N/A,#N/A,FALSE,"골재소요량"}</definedName>
    <definedName name="wrn.골재소요량." hidden="1">{#N/A,#N/A,FALSE,"골재소요량";#N/A,#N/A,FALSE,"골재소요량"}</definedName>
    <definedName name="wrn.구조2." localSheetId="3" hidden="1">{#N/A,#N/A,FALSE,"구조2"}</definedName>
    <definedName name="wrn.구조2." localSheetId="4" hidden="1">{#N/A,#N/A,FALSE,"구조2"}</definedName>
    <definedName name="wrn.구조2." hidden="1">{#N/A,#N/A,FALSE,"구조2"}</definedName>
    <definedName name="wrn.단가표지." localSheetId="3" hidden="1">{#N/A,#N/A,FALSE,"단가표지"}</definedName>
    <definedName name="wrn.단가표지." localSheetId="4" hidden="1">{#N/A,#N/A,FALSE,"단가표지"}</definedName>
    <definedName name="wrn.단가표지." hidden="1">{#N/A,#N/A,FALSE,"단가표지"}</definedName>
    <definedName name="wrn.배수1." localSheetId="3" hidden="1">{#N/A,#N/A,FALSE,"배수1"}</definedName>
    <definedName name="wrn.배수1." localSheetId="4" hidden="1">{#N/A,#N/A,FALSE,"배수1"}</definedName>
    <definedName name="wrn.배수1." hidden="1">{#N/A,#N/A,FALSE,"배수1"}</definedName>
    <definedName name="wrn.배수2." localSheetId="3" hidden="1">{#N/A,#N/A,FALSE,"배수2"}</definedName>
    <definedName name="wrn.배수2." localSheetId="4" hidden="1">{#N/A,#N/A,FALSE,"배수2"}</definedName>
    <definedName name="wrn.배수2." hidden="1">{#N/A,#N/A,FALSE,"배수2"}</definedName>
    <definedName name="wrn.부대1." localSheetId="3" hidden="1">{#N/A,#N/A,FALSE,"부대1"}</definedName>
    <definedName name="wrn.부대1." localSheetId="4" hidden="1">{#N/A,#N/A,FALSE,"부대1"}</definedName>
    <definedName name="wrn.부대1." hidden="1">{#N/A,#N/A,FALSE,"부대1"}</definedName>
    <definedName name="wrn.부대2." localSheetId="3" hidden="1">{#N/A,#N/A,FALSE,"부대2"}</definedName>
    <definedName name="wrn.부대2." localSheetId="4" hidden="1">{#N/A,#N/A,FALSE,"부대2"}</definedName>
    <definedName name="wrn.부대2." hidden="1">{#N/A,#N/A,FALSE,"부대2"}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속도." localSheetId="3" hidden="1">{#N/A,#N/A,FALSE,"속도"}</definedName>
    <definedName name="wrn.속도." localSheetId="4" hidden="1">{#N/A,#N/A,FALSE,"속도"}</definedName>
    <definedName name="wrn.속도." hidden="1">{#N/A,#N/A,FALSE,"속도"}</definedName>
    <definedName name="wrn.손익._.보고." hidden="1">{#N/A,#N/A,TRUE,"손익보고"}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수." localSheetId="3" hidden="1">{#N/A,"수불부",FALSE,"사급자재수불서";#N/A,"수불부",FALSE,"사급자재수불서"}</definedName>
    <definedName name="wrn.수." localSheetId="4" hidden="1">{#N/A,"수불부",FALSE,"사급자재수불서";#N/A,"수불부",FALSE,"사급자재수불서"}</definedName>
    <definedName name="wrn.수." hidden="1">{#N/A,"수불부",FALSE,"사급자재수불서";#N/A,"수불부",FALSE,"사급자재수불서"}</definedName>
    <definedName name="wrn.신용찬." hidden="1">{#N/A,#N/A,TRUE,"토적및재료집계";#N/A,#N/A,TRUE,"토적및재료집계";#N/A,#N/A,TRUE,"단위량"}</definedName>
    <definedName name="wrn.업체별._.견적공사명." hidden="1">{"SJ - 기본 보기",#N/A,FALSE,"공사별 외주견적"}</definedName>
    <definedName name="wrn.연동제." hidden="1">{#N/A,#N/A,TRUE,"총괄"}</definedName>
    <definedName name="wrn.운반시간." localSheetId="3" hidden="1">{#N/A,#N/A,FALSE,"운반시간"}</definedName>
    <definedName name="wrn.운반시간." localSheetId="4" hidden="1">{#N/A,#N/A,FALSE,"운반시간"}</definedName>
    <definedName name="wrn.운반시간." hidden="1">{#N/A,#N/A,FALSE,"운반시간"}</definedName>
    <definedName name="wrn.이정표." localSheetId="3" hidden="1">{#N/A,#N/A,FALSE,"이정표"}</definedName>
    <definedName name="wrn.이정표." localSheetId="4" hidden="1">{#N/A,#N/A,FALSE,"이정표"}</definedName>
    <definedName name="wrn.이정표." hidden="1">{#N/A,#N/A,FALSE,"이정표"}</definedName>
    <definedName name="wrn.전열선출서." hidden="1">{#N/A,#N/A,FALSE,"전열산출서"}</definedName>
    <definedName name="wrn.조골재." localSheetId="3" hidden="1">{#N/A,#N/A,FALSE,"조골재"}</definedName>
    <definedName name="wrn.조골재." localSheetId="4" hidden="1">{#N/A,#N/A,FALSE,"조골재"}</definedName>
    <definedName name="wrn.조골재." hidden="1">{#N/A,#N/A,FALSE,"조골재"}</definedName>
    <definedName name="wrn.토공1." localSheetId="3" hidden="1">{#N/A,#N/A,FALSE,"구조1"}</definedName>
    <definedName name="wrn.토공1." localSheetId="4" hidden="1">{#N/A,#N/A,FALSE,"구조1"}</definedName>
    <definedName name="wrn.토공1." hidden="1">{#N/A,#N/A,FALSE,"구조1"}</definedName>
    <definedName name="wrn.토공2." localSheetId="3" hidden="1">{#N/A,#N/A,FALSE,"토공2"}</definedName>
    <definedName name="wrn.토공2." localSheetId="4" hidden="1">{#N/A,#N/A,FALSE,"토공2"}</definedName>
    <definedName name="wrn.토공2." hidden="1">{#N/A,#N/A,FALSE,"토공2"}</definedName>
    <definedName name="wrn.포장1." localSheetId="3" hidden="1">{#N/A,#N/A,FALSE,"포장1";#N/A,#N/A,FALSE,"포장1"}</definedName>
    <definedName name="wrn.포장1." localSheetId="4" hidden="1">{#N/A,#N/A,FALSE,"포장1";#N/A,#N/A,FALSE,"포장1"}</definedName>
    <definedName name="wrn.포장1." hidden="1">{#N/A,#N/A,FALSE,"포장1";#N/A,#N/A,FALSE,"포장1"}</definedName>
    <definedName name="wrn.포장2." localSheetId="3" hidden="1">{#N/A,#N/A,FALSE,"포장2"}</definedName>
    <definedName name="wrn.포장2." localSheetId="4" hidden="1">{#N/A,#N/A,FALSE,"포장2"}</definedName>
    <definedName name="wrn.포장2." hidden="1">{#N/A,#N/A,FALSE,"포장2"}</definedName>
    <definedName name="wrn.표지목차." localSheetId="3" hidden="1">{#N/A,#N/A,FALSE,"표지목차"}</definedName>
    <definedName name="wrn.표지목차." localSheetId="4" hidden="1">{#N/A,#N/A,FALSE,"표지목차"}</definedName>
    <definedName name="wrn.표지목차." hidden="1">{#N/A,#N/A,FALSE,"표지목차"}</definedName>
    <definedName name="wrn.혼합골재." localSheetId="3" hidden="1">{#N/A,#N/A,FALSE,"혼합골재"}</definedName>
    <definedName name="wrn.혼합골재." localSheetId="4" hidden="1">{#N/A,#N/A,FALSE,"혼합골재"}</definedName>
    <definedName name="wrn.혼합골재." hidden="1">{#N/A,#N/A,FALSE,"혼합골재"}</definedName>
    <definedName name="wrn.황금동." localSheetId="3" hidden="1">{#N/A,#N/A,FALSE,"단면 제원"}</definedName>
    <definedName name="wrn.황금동." localSheetId="4" hidden="1">{#N/A,#N/A,FALSE,"단면 제원"}</definedName>
    <definedName name="wrn.황금동." hidden="1">{#N/A,#N/A,FALSE,"단면 제원"}</definedName>
    <definedName name="Ws삼">#REF!</definedName>
    <definedName name="Ws이">#REF!</definedName>
    <definedName name="Ws일">#REF!</definedName>
    <definedName name="ww" localSheetId="3" hidden="1">{#N/A,#N/A,FALSE,"골재소요량";#N/A,#N/A,FALSE,"골재소요량"}</definedName>
    <definedName name="ww" localSheetId="4" hidden="1">{#N/A,#N/A,FALSE,"골재소요량";#N/A,#N/A,FALSE,"골재소요량"}</definedName>
    <definedName name="ww" hidden="1">{#N/A,#N/A,FALSE,"골재소요량";#N/A,#N/A,FALSE,"골재소요량"}</definedName>
    <definedName name="xhrhd" hidden="1">{#N/A,#N/A,FALSE,"토공2"}</definedName>
    <definedName name="xxxx" hidden="1">{#N/A,#N/A,FALSE,"표지목차"}</definedName>
    <definedName name="xxxxc" hidden="1">{#N/A,#N/A,FALSE,"조골재"}</definedName>
    <definedName name="XXXXXX" localSheetId="3" hidden="1">{"'공사부문'!$A$6:$A$32"}</definedName>
    <definedName name="XXXXXX" localSheetId="4" hidden="1">{"'공사부문'!$A$6:$A$32"}</definedName>
    <definedName name="XXXXXX" hidden="1">{"'공사부문'!$A$6:$A$32"}</definedName>
    <definedName name="y">#REF!</definedName>
    <definedName name="YBG견적서통" hidden="1">{#N/A,#N/A,TRUE,"손익보고"}</definedName>
    <definedName name="YC">#REF!</definedName>
    <definedName name="YDUFD" hidden="1">{#N/A,#N/A,FALSE,"조골재"}</definedName>
    <definedName name="YHJ">#REF!</definedName>
    <definedName name="YIFJ" hidden="1">{#N/A,#N/A,FALSE,"골재소요량";#N/A,#N/A,FALSE,"골재소요량"}</definedName>
    <definedName name="YRE" hidden="1">[8]Sheet13!$O$272:$O$341</definedName>
    <definedName name="YTE" hidden="1">[8]Sheet13!$S$48:$AV$48</definedName>
    <definedName name="YUYUY" hidden="1">{#N/A,#N/A,FALSE,"혼합골재"}</definedName>
    <definedName name="yy" hidden="1">{#N/A,#N/A,FALSE,"단가표지"}</definedName>
    <definedName name="yyyyyy" hidden="1">{#N/A,#N/A,FALSE,"조골재"}</definedName>
    <definedName name="z" hidden="1">{#N/A,#N/A,FALSE,"2~8번"}</definedName>
    <definedName name="Z_4F74ED08_7DE6_11D4_BC29_005004C1F3AD_.wvu.PrintTitles" hidden="1">#REF!</definedName>
    <definedName name="zxcv" hidden="1">{#N/A,#N/A,FALSE,"혼합골재"}</definedName>
    <definedName name="zxv" hidden="1">{#N/A,#N/A,FALSE,"표지목차"}</definedName>
    <definedName name="ㄱ1">#REF!</definedName>
    <definedName name="ㄱ2">#REF!</definedName>
    <definedName name="ㄱㄱ" localSheetId="3" hidden="1">{#N/A,"수불부",FALSE,"사급자재수불서";#N/A,"수불부",FALSE,"사급자재수불서"}</definedName>
    <definedName name="ㄱㄱ" localSheetId="4" hidden="1">{#N/A,"수불부",FALSE,"사급자재수불서";#N/A,"수불부",FALSE,"사급자재수불서"}</definedName>
    <definedName name="ㄱㄱ" hidden="1">{#N/A,"수불부",FALSE,"사급자재수불서";#N/A,"수불부",FALSE,"사급자재수불서"}</definedName>
    <definedName name="ㄱㄱㄱ">#REF!</definedName>
    <definedName name="ㄱㄱㄱㄱㄱ" localSheetId="22" hidden="1">{"'Sheet1'!$A$4","'Sheet1'!$A$9:$G$28"}</definedName>
    <definedName name="ㄱㄱㄱㄱㄱ" localSheetId="18" hidden="1">{"'Sheet1'!$A$4","'Sheet1'!$A$9:$G$28"}</definedName>
    <definedName name="ㄱㄱㄱㄱㄱ" localSheetId="8" hidden="1">{"'Sheet1'!$A$4","'Sheet1'!$A$9:$G$28"}</definedName>
    <definedName name="ㄱㄱㄱㄱㄱ" localSheetId="3" hidden="1">{"'Sheet1'!$A$4","'Sheet1'!$A$9:$G$28"}</definedName>
    <definedName name="ㄱㄱㄱㄱㄱ" localSheetId="24" hidden="1">{"'Sheet1'!$A$4","'Sheet1'!$A$9:$G$28"}</definedName>
    <definedName name="ㄱㄱㄱㄱㄱ" localSheetId="20" hidden="1">{"'Sheet1'!$A$4","'Sheet1'!$A$9:$G$28"}</definedName>
    <definedName name="ㄱㄱㄱㄱㄱ" localSheetId="4" hidden="1">{"'Sheet1'!$A$4","'Sheet1'!$A$9:$G$28"}</definedName>
    <definedName name="ㄱㄱㄱㄱㄱ" localSheetId="17" hidden="1">{"'Sheet1'!$A$4","'Sheet1'!$A$9:$G$28"}</definedName>
    <definedName name="ㄱㄱㄱㄱㄱ" hidden="1">{"'Sheet1'!$A$4","'Sheet1'!$A$9:$G$28"}</definedName>
    <definedName name="ㄱㄱㄱㄱㄱㄱㄱㄱㄱㄱㄱㄱㄱ" hidden="1">{#N/A,#N/A,FALSE,"단가표지"}</definedName>
    <definedName name="ㄱㄱㄱㄱㄱㄱㄱㄱㄱㄱㄱㄱㄱㄱㄱㄱ" hidden="1">{#N/A,#N/A,FALSE,"골재소요량";#N/A,#N/A,FALSE,"골재소요량"}</definedName>
    <definedName name="ㄱㄱㄱㄱㄱㄱㄱㄱㄱㄱㄱㄱㄱㄱㄱㄱㄱㄱ" hidden="1">{#N/A,#N/A,FALSE,"조골재"}</definedName>
    <definedName name="ㄱㄳㄳ" hidden="1">{#N/A,#N/A,FALSE,"2~8번"}</definedName>
    <definedName name="ㄱㄴ슌ㄱ" hidden="1">{#N/A,#N/A,FALSE,"단가표지"}</definedName>
    <definedName name="ㄱㄷㄱㄷ" hidden="1">[8]Sheet13!$N$131:$N$201</definedName>
    <definedName name="ㄱㄷㄴ슌ㄱ" hidden="1">{#N/A,#N/A,FALSE,"골재소요량";#N/A,#N/A,FALSE,"골재소요량"}</definedName>
    <definedName name="ㄱㄷㄷ" hidden="1">[8]Sheet13!$S$48:$AV$48</definedName>
    <definedName name="ㄱㄷㄷㄱ" hidden="1">{#N/A,#N/A,FALSE,"구조2"}</definedName>
    <definedName name="ㄱㄷㅁㅍㅅㅂ" hidden="1">{#N/A,#N/A,FALSE,"골재소요량";#N/A,#N/A,FALSE,"골재소요량"}</definedName>
    <definedName name="ㄱㄷㅂㄱㅈ" hidden="1">{#N/A,#N/A,FALSE,"2~8번"}</definedName>
    <definedName name="ㄱㄷㅈ" hidden="1">{#N/A,#N/A,FALSE,"골재소요량";#N/A,#N/A,FALSE,"골재소요량"}</definedName>
    <definedName name="ㄱㄷㅎㅅㄷ4" hidden="1">{#N/A,#N/A,FALSE,"운반시간"}</definedName>
    <definedName name="ㄱㅁㄴ" hidden="1">{#N/A,#N/A,FALSE,"토공2"}</definedName>
    <definedName name="ㄱ슈" hidden="1">{#N/A,#N/A,FALSE,"혼합골재"}</definedName>
    <definedName name="가거라" hidden="1">{#N/A,#N/A,FALSE,"명세표"}</definedName>
    <definedName name="가나다라마바사" localSheetId="3" hidden="1">{#N/A,#N/A,FALSE,"명세표"}</definedName>
    <definedName name="가나다라마바사" localSheetId="4" hidden="1">{#N/A,#N/A,FALSE,"명세표"}</definedName>
    <definedName name="가나다라마바사" hidden="1">{#N/A,#N/A,FALSE,"명세표"}</definedName>
    <definedName name="가나다람ㅁㅁㅁ">#REF!</definedName>
    <definedName name="가도" localSheetId="22" hidden="1">#REF!</definedName>
    <definedName name="가도" localSheetId="23" hidden="1">#REF!</definedName>
    <definedName name="가도" localSheetId="11" hidden="1">#REF!</definedName>
    <definedName name="가도" localSheetId="18" hidden="1">#REF!</definedName>
    <definedName name="가도" localSheetId="8" hidden="1">#REF!</definedName>
    <definedName name="가도" localSheetId="6" hidden="1">#REF!</definedName>
    <definedName name="가도" localSheetId="14" hidden="1">#REF!</definedName>
    <definedName name="가도" localSheetId="15" hidden="1">#REF!</definedName>
    <definedName name="가도" localSheetId="10" hidden="1">#REF!</definedName>
    <definedName name="가도" localSheetId="9" hidden="1">#REF!</definedName>
    <definedName name="가도" localSheetId="3" hidden="1">#REF!</definedName>
    <definedName name="가도" localSheetId="16" hidden="1">#REF!</definedName>
    <definedName name="가도" localSheetId="24" hidden="1">#REF!</definedName>
    <definedName name="가도" localSheetId="20" hidden="1">#REF!</definedName>
    <definedName name="가도" localSheetId="4" hidden="1">#REF!</definedName>
    <definedName name="가도" localSheetId="12" hidden="1">#REF!</definedName>
    <definedName name="가도" localSheetId="17" hidden="1">#REF!</definedName>
    <definedName name="가도" hidden="1">#REF!</definedName>
    <definedName name="가드레일집계" hidden="1">{#N/A,#N/A,FALSE,"2~8번"}</definedName>
    <definedName name="가로등01">'수량산출서(DL)'!$B$6:$H$28</definedName>
    <definedName name="가로등02">'수량산출서(DL)'!$B$29:$H$44</definedName>
    <definedName name="가로등03">'수량산출서(DL)'!$B$54:$H$104</definedName>
    <definedName name="가로등집계">'산출집계(가로등)'!$A$3:$S$64</definedName>
    <definedName name="가아" hidden="1">[18]수량산출!#REF!</definedName>
    <definedName name="가자" localSheetId="22" hidden="1">#REF!</definedName>
    <definedName name="가자" localSheetId="23" hidden="1">#REF!</definedName>
    <definedName name="가자" localSheetId="11" hidden="1">#REF!</definedName>
    <definedName name="가자" localSheetId="18" hidden="1">#REF!</definedName>
    <definedName name="가자" localSheetId="8" hidden="1">#REF!</definedName>
    <definedName name="가자" localSheetId="6" hidden="1">#REF!</definedName>
    <definedName name="가자" localSheetId="14" hidden="1">#REF!</definedName>
    <definedName name="가자" localSheetId="15" hidden="1">#REF!</definedName>
    <definedName name="가자" localSheetId="10" hidden="1">#REF!</definedName>
    <definedName name="가자" localSheetId="9" hidden="1">#REF!</definedName>
    <definedName name="가자" localSheetId="3" hidden="1">#REF!</definedName>
    <definedName name="가자" localSheetId="16" hidden="1">#REF!</definedName>
    <definedName name="가자" localSheetId="24" hidden="1">#REF!</definedName>
    <definedName name="가자" localSheetId="4" hidden="1">#REF!</definedName>
    <definedName name="가자" localSheetId="12" hidden="1">#REF!</definedName>
    <definedName name="가자" hidden="1">#REF!</definedName>
    <definedName name="간" localSheetId="3" hidden="1">{#N/A,#N/A,FALSE,"명세표"}</definedName>
    <definedName name="간" localSheetId="4" hidden="1">{#N/A,#N/A,FALSE,"명세표"}</definedName>
    <definedName name="간" hidden="1">{#N/A,#N/A,FALSE,"명세표"}</definedName>
    <definedName name="간접">#REF!</definedName>
    <definedName name="간접노무">#REF!</definedName>
    <definedName name="간접노무비">#REF!</definedName>
    <definedName name="간접노무비_산식">#REF!</definedName>
    <definedName name="간접노무비요율">#REF!</definedName>
    <definedName name="간접노무비요율_변경">#REF!</definedName>
    <definedName name="감독2" localSheetId="3" hidden="1">{#N/A,#N/A,FALSE,"단가표지"}</definedName>
    <definedName name="감독2" localSheetId="4" hidden="1">{#N/A,#N/A,FALSE,"단가표지"}</definedName>
    <definedName name="감독2" hidden="1">{#N/A,#N/A,FALSE,"단가표지"}</definedName>
    <definedName name="감독3" localSheetId="3" hidden="1">{#N/A,#N/A,FALSE,"단가표지"}</definedName>
    <definedName name="감독3" localSheetId="4" hidden="1">{#N/A,#N/A,FALSE,"단가표지"}</definedName>
    <definedName name="감독3" hidden="1">{#N/A,#N/A,FALSE,"단가표지"}</definedName>
    <definedName name="강관동바리1">#REF!</definedName>
    <definedName name="강관동바리2">#REF!</definedName>
    <definedName name="강관철근131">#REF!</definedName>
    <definedName name="강관철근221">#REF!</definedName>
    <definedName name="강관파일132">#REF!</definedName>
    <definedName name="강관파일222">#REF!</definedName>
    <definedName name="강아지" hidden="1">#REF!</definedName>
    <definedName name="강해옥">[0]!강해옥</definedName>
    <definedName name="개거" hidden="1">#REF!</definedName>
    <definedName name="개소별명세표" localSheetId="3" hidden="1">{#N/A,#N/A,FALSE,"명세표"}</definedName>
    <definedName name="개소별명세표" localSheetId="4" hidden="1">{#N/A,#N/A,FALSE,"명세표"}</definedName>
    <definedName name="개소별명세표" hidden="1">{#N/A,#N/A,FALSE,"명세표"}</definedName>
    <definedName name="갱부">#REF!</definedName>
    <definedName name="거푸집3노">#REF!</definedName>
    <definedName name="거푸집3재">#REF!</definedName>
    <definedName name="거푸집4노">#REF!</definedName>
    <definedName name="거푸집4재">#REF!</definedName>
    <definedName name="거푸집6노">#REF!</definedName>
    <definedName name="거푸집6재">#REF!</definedName>
    <definedName name="거ㅏ" hidden="1">[19]수량산출!$A$3:$H$8539</definedName>
    <definedName name="건설기계운전기사">#REF!</definedName>
    <definedName name="건설기계운전사">56603</definedName>
    <definedName name="건설기계운전조수">#REF!</definedName>
    <definedName name="건설기계조수">43994</definedName>
    <definedName name="건설기계조장">#REF!</definedName>
    <definedName name="건축" hidden="1">{#N/A,#N/A,TRUE,"토적및재료집계";#N/A,#N/A,TRUE,"토적및재료집계";#N/A,#N/A,TRUE,"단위량"}</definedName>
    <definedName name="건축목공">#REF!</definedName>
    <definedName name="건축원가" localSheetId="24" hidden="1">[20]전기!$B$4:$B$163</definedName>
    <definedName name="건축원가" localSheetId="20" hidden="1">[20]전기!$B$4:$B$163</definedName>
    <definedName name="건축원가" hidden="1">[21]전기!$B$4:$B$163</definedName>
    <definedName name="건축토목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건토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겅" hidden="1">{#N/A,#N/A,TRUE,"총괄"}</definedName>
    <definedName name="견적서" hidden="1">{#N/A,#N/A,TRUE,"손익보고"}</definedName>
    <definedName name="견출공">#REF!</definedName>
    <definedName name="경계석노">#REF!</definedName>
    <definedName name="경운기경">#REF!</definedName>
    <definedName name="경운기노">#REF!</definedName>
    <definedName name="경운기재">#REF!</definedName>
    <definedName name="계">#REF!</definedName>
    <definedName name="계장공">#REF!</definedName>
    <definedName name="고" hidden="1">{#N/A,#N/A,FALSE,"단가표지"}</definedName>
    <definedName name="고경준" hidden="1">{#N/A,#N/A,FALSE,"골재소요량";#N/A,#N/A,FALSE,"골재소요량"}</definedName>
    <definedName name="고고.." hidden="1">{#N/A,#N/A,FALSE,"골재소요량";#N/A,#N/A,FALSE,"골재소요량"}</definedName>
    <definedName name="고급선원">#REF!</definedName>
    <definedName name="고압케이블전공">#REF!</definedName>
    <definedName name="고용">#REF!</definedName>
    <definedName name="고용보">#REF!</definedName>
    <definedName name="고용보험료">#REF!</definedName>
    <definedName name="고용보험료_산식">#REF!</definedName>
    <definedName name="고용보험료요율">#REF!</definedName>
    <definedName name="고용보험료요율_변경">#REF!</definedName>
    <definedName name="고용보험산출총괄" hidden="1">{#N/A,#N/A,TRUE,"총괄"}</definedName>
    <definedName name="골재" hidden="1">{#N/A,#N/A,FALSE,"골재소요량";#N/A,#N/A,FALSE,"골재소요량"}</definedName>
    <definedName name="골재사용료">#REF!</definedName>
    <definedName name="골재집계">#REF!</definedName>
    <definedName name="공급가액">#REF!</definedName>
    <definedName name="공기1" hidden="1">[22]설계내역서!#REF!</definedName>
    <definedName name="공문">#REF!</definedName>
    <definedName name="공사" hidden="1">{#N/A,#N/A,TRUE,"총괄"}</definedName>
    <definedName name="공사개요">#REF!</definedName>
    <definedName name="공사기간">#REF!</definedName>
    <definedName name="공사명">#REF!</definedName>
    <definedName name="공사사공" hidden="1">{#N/A,#N/A,FALSE,"명세표"}</definedName>
    <definedName name="공사시방서" localSheetId="3" hidden="1">{#N/A,#N/A,FALSE,"명세표"}</definedName>
    <definedName name="공사시방서" localSheetId="4" hidden="1">{#N/A,#N/A,FALSE,"명세표"}</definedName>
    <definedName name="공사시방서" hidden="1">{#N/A,#N/A,FALSE,"명세표"}</definedName>
    <definedName name="공사시방서1" localSheetId="3" hidden="1">{#N/A,#N/A,FALSE,"명세표"}</definedName>
    <definedName name="공사시방서1" localSheetId="4" hidden="1">{#N/A,#N/A,FALSE,"명세표"}</definedName>
    <definedName name="공사시방서1" hidden="1">{#N/A,#N/A,FALSE,"명세표"}</definedName>
    <definedName name="공사원가계산서" hidden="1">{#N/A,#N/A,TRUE,"토적및재료집계";#N/A,#N/A,TRUE,"토적및재료집계";#N/A,#N/A,TRUE,"단위량"}</definedName>
    <definedName name="공사자료">[0]!공사자료</definedName>
    <definedName name="공원등01">#REF!</definedName>
    <definedName name="공원등02">#REF!</definedName>
    <definedName name="공원등03">#REF!</definedName>
    <definedName name="공원등04">#REF!</definedName>
    <definedName name="공제총괄" hidden="1">[23]조명시설!#REF!</definedName>
    <definedName name="공종">#REF!</definedName>
    <definedName name="관급자재대">#REF!</definedName>
    <definedName name="교각">#REF!</definedName>
    <definedName name="교대공" localSheetId="3" hidden="1">{#N/A,#N/A,FALSE,"단면 제원"}</definedName>
    <definedName name="교대공" localSheetId="4" hidden="1">{#N/A,#N/A,FALSE,"단면 제원"}</definedName>
    <definedName name="교대공" hidden="1">{#N/A,#N/A,FALSE,"단면 제원"}</definedName>
    <definedName name="교대펄근집계" hidden="1">{#N/A,#N/A,FALSE,"배수1"}</definedName>
    <definedName name="교면방수1">#REF!</definedName>
    <definedName name="교면방수2">#REF!</definedName>
    <definedName name="교명주1">#REF!</definedName>
    <definedName name="교명주2">#REF!</definedName>
    <definedName name="교명판1">#REF!</definedName>
    <definedName name="교명판2">#REF!</definedName>
    <definedName name="교통" hidden="1">#REF!</definedName>
    <definedName name="교폭">#REF!</definedName>
    <definedName name="구">#REF!</definedName>
    <definedName name="구산갑지" localSheetId="15" hidden="1">#REF!</definedName>
    <definedName name="구산갑지" hidden="1">#REF!</definedName>
    <definedName name="구조1" hidden="1">{#N/A,#N/A,FALSE,"부대1"}</definedName>
    <definedName name="구조물" hidden="1">{#N/A,#N/A,FALSE,"속도"}</definedName>
    <definedName name="구조물공수량집계표">#REF!</definedName>
    <definedName name="구조물깨기">#REF!</definedName>
    <definedName name="궤도공">#REF!</definedName>
    <definedName name="귯ㄳ" hidden="1">{#N/A,#N/A,FALSE,"표지목차"}</definedName>
    <definedName name="귯늇ㄳ" hidden="1">{#N/A,#N/A,FALSE,"단가표지"}</definedName>
    <definedName name="그레이더경">#REF!</definedName>
    <definedName name="그레이더노">#REF!</definedName>
    <definedName name="그레이더재">#REF!</definedName>
    <definedName name="금액">#REF!</definedName>
    <definedName name="기1">#REF!</definedName>
    <definedName name="기2">#REF!</definedName>
    <definedName name="기3">#REF!</definedName>
    <definedName name="기계경비적용기준">토목기계경비적용기준!$B$3:$L$15</definedName>
    <definedName name="기계공">#REF!</definedName>
    <definedName name="기계설치공">#REF!</definedName>
    <definedName name="기계운전사">#REF!</definedName>
    <definedName name="기술3" hidden="1">{#N/A,#N/A,TRUE,"손익보고"}</definedName>
    <definedName name="기존석축보강" localSheetId="22" hidden="1">#REF!</definedName>
    <definedName name="기존석축보강" localSheetId="23" hidden="1">#REF!</definedName>
    <definedName name="기존석축보강" localSheetId="11" hidden="1">#REF!</definedName>
    <definedName name="기존석축보강" localSheetId="18" hidden="1">#REF!</definedName>
    <definedName name="기존석축보강" localSheetId="8" hidden="1">#REF!</definedName>
    <definedName name="기존석축보강" localSheetId="6" hidden="1">#REF!</definedName>
    <definedName name="기존석축보강" localSheetId="14" hidden="1">#REF!</definedName>
    <definedName name="기존석축보강" localSheetId="15" hidden="1">#REF!</definedName>
    <definedName name="기존석축보강" localSheetId="10" hidden="1">#REF!</definedName>
    <definedName name="기존석축보강" localSheetId="9" hidden="1">#REF!</definedName>
    <definedName name="기존석축보강" localSheetId="3" hidden="1">#REF!</definedName>
    <definedName name="기존석축보강" localSheetId="16" hidden="1">#REF!</definedName>
    <definedName name="기존석축보강" localSheetId="24" hidden="1">#REF!</definedName>
    <definedName name="기존석축보강" localSheetId="4" hidden="1">#REF!</definedName>
    <definedName name="기존석축보강" localSheetId="12" hidden="1">#REF!</definedName>
    <definedName name="기존석축보강" hidden="1">#REF!</definedName>
    <definedName name="기주조딕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기초교직">9</definedName>
    <definedName name="기초교축">9</definedName>
    <definedName name="기초폭교직">9</definedName>
    <definedName name="기초폭교축">9</definedName>
    <definedName name="기초피복">0.1</definedName>
    <definedName name="기타경">#REF!</definedName>
    <definedName name="기타경비">#REF!</definedName>
    <definedName name="기타경비_산식">#REF!</definedName>
    <definedName name="기타경비요율">#REF!</definedName>
    <definedName name="기타경비요율_변경">#REF!</definedName>
    <definedName name="기타비용1">#REF!</definedName>
    <definedName name="기타비용1_명칭">#REF!</definedName>
    <definedName name="기타비용2">#REF!</definedName>
    <definedName name="기타비용2_명칭">#REF!</definedName>
    <definedName name="김" localSheetId="3" hidden="1">{#N/A,#N/A,FALSE,"명세표"}</definedName>
    <definedName name="김" localSheetId="4" hidden="1">{#N/A,#N/A,FALSE,"명세표"}</definedName>
    <definedName name="김" hidden="1">{#N/A,#N/A,FALSE,"명세표"}</definedName>
    <definedName name="김1" hidden="1">{"'Firr(선)'!$AS$1:$AY$62","'Firr(사)'!$AS$1:$AY$62","'Firr(회)'!$AS$1:$AY$62","'Firr(선)'!$L$1:$V$62","'Firr(사)'!$L$1:$V$62","'Firr(회)'!$L$1:$V$62"}</definedName>
    <definedName name="김준형" hidden="1">{#N/A,#N/A,FALSE,"골재소요량";#N/A,#N/A,FALSE,"골재소요량"}</definedName>
    <definedName name="끝장치노">#REF!</definedName>
    <definedName name="끝장치재">#REF!</definedName>
    <definedName name="ㄳㄳㅅ셔ㅛㅅ" hidden="1">{#N/A,#N/A,FALSE,"단가표지"}</definedName>
    <definedName name="ㄳㄳㅎㄱㅎㄱㄷ" hidden="1">{#N/A,#N/A,FALSE,"조골재"}</definedName>
    <definedName name="ㄳㄷ" hidden="1">{#N/A,#N/A,FALSE,"표지목차"}</definedName>
    <definedName name="ㄳㅅ" hidden="1">{#N/A,#N/A,FALSE,"운반시간"}</definedName>
    <definedName name="ㄳㅍㅁㅁ규" hidden="1">{#N/A,#N/A,FALSE,"표지목차"}</definedName>
    <definedName name="ㄴ" localSheetId="22" hidden="1">#REF!</definedName>
    <definedName name="ㄴ" localSheetId="23" hidden="1">#REF!</definedName>
    <definedName name="ㄴ" localSheetId="11" hidden="1">#REF!</definedName>
    <definedName name="ㄴ" localSheetId="18" hidden="1">#REF!</definedName>
    <definedName name="ㄴ" localSheetId="8" hidden="1">#REF!</definedName>
    <definedName name="ㄴ" localSheetId="6" hidden="1">#REF!</definedName>
    <definedName name="ㄴ" localSheetId="14" hidden="1">#REF!</definedName>
    <definedName name="ㄴ" localSheetId="15" hidden="1">#REF!</definedName>
    <definedName name="ㄴ" localSheetId="10" hidden="1">#REF!</definedName>
    <definedName name="ㄴ" localSheetId="9" hidden="1">#REF!</definedName>
    <definedName name="ㄴ" localSheetId="3" hidden="1">#REF!</definedName>
    <definedName name="ㄴ" localSheetId="16" hidden="1">#REF!</definedName>
    <definedName name="ㄴ" localSheetId="4" hidden="1">#REF!</definedName>
    <definedName name="ㄴ" localSheetId="12" hidden="1">#REF!</definedName>
    <definedName name="ㄴ" localSheetId="17" hidden="1">#REF!</definedName>
    <definedName name="ㄴ" hidden="1">#REF!</definedName>
    <definedName name="ㄴ1">#REF!</definedName>
    <definedName name="ㄴ2">#REF!</definedName>
    <definedName name="ㄴㄴ" localSheetId="3" hidden="1">{#N/A,#N/A,FALSE,"명세표"}</definedName>
    <definedName name="ㄴㄴ" localSheetId="4" hidden="1">{#N/A,#N/A,FALSE,"명세표"}</definedName>
    <definedName name="ㄴㄴ" hidden="1">{#N/A,#N/A,FALSE,"명세표"}</definedName>
    <definedName name="ㄴㄴㄴ" localSheetId="3" hidden="1">{#N/A,#N/A,FALSE,"명세표"}</definedName>
    <definedName name="ㄴㄴㄴ" localSheetId="4" hidden="1">{#N/A,#N/A,FALSE,"명세표"}</definedName>
    <definedName name="ㄴㄴㄴ" hidden="1">{#N/A,#N/A,FALSE,"명세표"}</definedName>
    <definedName name="ㄴㄴㄴㄴㄴㄴㄴㄴ" localSheetId="22" hidden="1">{"'Sheet1'!$A$4","'Sheet1'!$A$9:$G$28"}</definedName>
    <definedName name="ㄴㄴㄴㄴㄴㄴㄴㄴ" localSheetId="18" hidden="1">{"'Sheet1'!$A$4","'Sheet1'!$A$9:$G$28"}</definedName>
    <definedName name="ㄴㄴㄴㄴㄴㄴㄴㄴ" localSheetId="8" hidden="1">{"'Sheet1'!$A$4","'Sheet1'!$A$9:$G$28"}</definedName>
    <definedName name="ㄴㄴㄴㄴㄴㄴㄴㄴ" localSheetId="3" hidden="1">{"'Sheet1'!$A$4","'Sheet1'!$A$9:$G$28"}</definedName>
    <definedName name="ㄴㄴㄴㄴㄴㄴㄴㄴ" localSheetId="24" hidden="1">{"'Sheet1'!$A$4","'Sheet1'!$A$9:$G$28"}</definedName>
    <definedName name="ㄴㄴㄴㄴㄴㄴㄴㄴ" localSheetId="20" hidden="1">{"'Sheet1'!$A$4","'Sheet1'!$A$9:$G$28"}</definedName>
    <definedName name="ㄴㄴㄴㄴㄴㄴㄴㄴ" localSheetId="4" hidden="1">{"'Sheet1'!$A$4","'Sheet1'!$A$9:$G$28"}</definedName>
    <definedName name="ㄴㄴㄴㄴㄴㄴㄴㄴ" localSheetId="17" hidden="1">{"'Sheet1'!$A$4","'Sheet1'!$A$9:$G$28"}</definedName>
    <definedName name="ㄴㄴㄴㄴㄴㄴㄴㄴ" hidden="1">{"'Sheet1'!$A$4","'Sheet1'!$A$9:$G$28"}</definedName>
    <definedName name="ㄴㄴㄴㄴㄴㄴㄴㄴㄴㄴ" localSheetId="22" hidden="1">{"'Sheet1'!$A$4","'Sheet1'!$A$9:$G$28"}</definedName>
    <definedName name="ㄴㄴㄴㄴㄴㄴㄴㄴㄴㄴ" localSheetId="18" hidden="1">{"'Sheet1'!$A$4","'Sheet1'!$A$9:$G$28"}</definedName>
    <definedName name="ㄴㄴㄴㄴㄴㄴㄴㄴㄴㄴ" localSheetId="8" hidden="1">{"'Sheet1'!$A$4","'Sheet1'!$A$9:$G$28"}</definedName>
    <definedName name="ㄴㄴㄴㄴㄴㄴㄴㄴㄴㄴ" localSheetId="3" hidden="1">{"'Sheet1'!$A$4","'Sheet1'!$A$9:$G$28"}</definedName>
    <definedName name="ㄴㄴㄴㄴㄴㄴㄴㄴㄴㄴ" localSheetId="24" hidden="1">{"'Sheet1'!$A$4","'Sheet1'!$A$9:$G$28"}</definedName>
    <definedName name="ㄴㄴㄴㄴㄴㄴㄴㄴㄴㄴ" localSheetId="20" hidden="1">{"'Sheet1'!$A$4","'Sheet1'!$A$9:$G$28"}</definedName>
    <definedName name="ㄴㄴㄴㄴㄴㄴㄴㄴㄴㄴ" localSheetId="4" hidden="1">{"'Sheet1'!$A$4","'Sheet1'!$A$9:$G$28"}</definedName>
    <definedName name="ㄴㄴㄴㄴㄴㄴㄴㄴㄴㄴ" localSheetId="17" hidden="1">{"'Sheet1'!$A$4","'Sheet1'!$A$9:$G$28"}</definedName>
    <definedName name="ㄴㄴㄴㄴㄴㄴㄴㄴㄴㄴ" hidden="1">{"'Sheet1'!$A$4","'Sheet1'!$A$9:$G$28"}</definedName>
    <definedName name="ㄴㄴㅀㅇㅇㅀ" hidden="1">{#N/A,#N/A,FALSE,"부대1"}</definedName>
    <definedName name="ㄴㄹㄴ" hidden="1">{#N/A,#N/A,FALSE,"단가표지"}</definedName>
    <definedName name="ㄴㄹㄴㅁㅎㅇㄹ" localSheetId="3" hidden="1">{#N/A,"수불부",FALSE,"사급자재수불서";#N/A,"수불부",FALSE,"사급자재수불서"}</definedName>
    <definedName name="ㄴㄹㄴㅁㅎㅇㄹ" localSheetId="4" hidden="1">{#N/A,"수불부",FALSE,"사급자재수불서";#N/A,"수불부",FALSE,"사급자재수불서"}</definedName>
    <definedName name="ㄴㄹㄴㅁㅎㅇㄹ" hidden="1">{#N/A,"수불부",FALSE,"사급자재수불서";#N/A,"수불부",FALSE,"사급자재수불서"}</definedName>
    <definedName name="ㄴㄹㅇ" hidden="1">{#N/A,#N/A,FALSE,"포장2"}</definedName>
    <definedName name="ㄴㅁㄹㅈㄹ" hidden="1">#REF!</definedName>
    <definedName name="ㄴㅁㄻㄴㅇㄹㅇㄴㄹ" localSheetId="3" hidden="1">{#N/A,"수불부",FALSE,"사급자재수불서";#N/A,"수불부",FALSE,"사급자재수불서"}</definedName>
    <definedName name="ㄴㅁㄻㄴㅇㄹㅇㄴㄹ" localSheetId="4" hidden="1">{#N/A,"수불부",FALSE,"사급자재수불서";#N/A,"수불부",FALSE,"사급자재수불서"}</definedName>
    <definedName name="ㄴㅁㄻㄴㅇㄹㅇㄴㄹ" hidden="1">{#N/A,"수불부",FALSE,"사급자재수불서";#N/A,"수불부",FALSE,"사급자재수불서"}</definedName>
    <definedName name="ㄴㅁㅇㄴㅁㅇ" hidden="1">{#N/A,#N/A,FALSE,"배수1"}</definedName>
    <definedName name="ㄴㅅㅎㅇㅎㄹㅇ" hidden="1">{#N/A,#N/A,FALSE,"배수2"}</definedName>
    <definedName name="ㄴㅇㄹ" localSheetId="3" hidden="1">{#N/A,#N/A,FALSE,"단면 제원"}</definedName>
    <definedName name="ㄴㅇㄹ" localSheetId="4" hidden="1">{#N/A,#N/A,FALSE,"단면 제원"}</definedName>
    <definedName name="ㄴㅇㄹ" hidden="1">{#N/A,#N/A,FALSE,"단면 제원"}</definedName>
    <definedName name="ㄴㅇㄹㄴ" localSheetId="3" hidden="1">{#N/A,"수불부",FALSE,"사급자재수불서";#N/A,"수불부",FALSE,"사급자재수불서"}</definedName>
    <definedName name="ㄴㅇㄹㄴ" localSheetId="4" hidden="1">{#N/A,"수불부",FALSE,"사급자재수불서";#N/A,"수불부",FALSE,"사급자재수불서"}</definedName>
    <definedName name="ㄴㅇㄹㄴ" hidden="1">{#N/A,"수불부",FALSE,"사급자재수불서";#N/A,"수불부",FALSE,"사급자재수불서"}</definedName>
    <definedName name="ㄴㅇㄹㄴㄹ" localSheetId="22" hidden="1">{"'Sheet1'!$D$19","'Sheet1'!$B$22:$E$22"}</definedName>
    <definedName name="ㄴㅇㄹㄴㄹ" localSheetId="18" hidden="1">{"'Sheet1'!$D$19","'Sheet1'!$B$22:$E$22"}</definedName>
    <definedName name="ㄴㅇㄹㄴㄹ" localSheetId="8" hidden="1">{"'Sheet1'!$D$19","'Sheet1'!$B$22:$E$22"}</definedName>
    <definedName name="ㄴㅇㄹㄴㄹ" localSheetId="3" hidden="1">{"'Sheet1'!$D$19","'Sheet1'!$B$22:$E$22"}</definedName>
    <definedName name="ㄴㅇㄹㄴㄹ" localSheetId="4" hidden="1">{"'Sheet1'!$D$19","'Sheet1'!$B$22:$E$22"}</definedName>
    <definedName name="ㄴㅇㄹㄴㄹ" localSheetId="17" hidden="1">{"'Sheet1'!$D$19","'Sheet1'!$B$22:$E$22"}</definedName>
    <definedName name="ㄴㅇㄹㄴㄹ" hidden="1">{"'Sheet1'!$D$19","'Sheet1'!$B$22:$E$22"}</definedName>
    <definedName name="ㄴㅇㅇ" hidden="1">[8]Sheet13!$S$48:$AV$48</definedName>
    <definedName name="나.">#REF!</definedName>
    <definedName name="나우누리" localSheetId="22" hidden="1">{"'Sheet1'!$A$4","'Sheet1'!$A$9:$G$28"}</definedName>
    <definedName name="나우누리" localSheetId="18" hidden="1">{"'Sheet1'!$A$4","'Sheet1'!$A$9:$G$28"}</definedName>
    <definedName name="나우누리" localSheetId="8" hidden="1">{"'Sheet1'!$A$4","'Sheet1'!$A$9:$G$28"}</definedName>
    <definedName name="나우누리" localSheetId="3" hidden="1">{"'Sheet1'!$A$4","'Sheet1'!$A$9:$G$28"}</definedName>
    <definedName name="나우누리" localSheetId="24" hidden="1">{"'Sheet1'!$A$4","'Sheet1'!$A$9:$G$28"}</definedName>
    <definedName name="나우누리" localSheetId="20" hidden="1">{"'Sheet1'!$A$4","'Sheet1'!$A$9:$G$28"}</definedName>
    <definedName name="나우누리" localSheetId="4" hidden="1">{"'Sheet1'!$A$4","'Sheet1'!$A$9:$G$28"}</definedName>
    <definedName name="나우누리" hidden="1">{"'Sheet1'!$A$4","'Sheet1'!$A$9:$G$28"}</definedName>
    <definedName name="난나나" localSheetId="22" hidden="1">{"'Sheet1'!$A$4","'Sheet1'!$A$9:$G$28"}</definedName>
    <definedName name="난나나" localSheetId="18" hidden="1">{"'Sheet1'!$A$4","'Sheet1'!$A$9:$G$28"}</definedName>
    <definedName name="난나나" localSheetId="8" hidden="1">{"'Sheet1'!$A$4","'Sheet1'!$A$9:$G$28"}</definedName>
    <definedName name="난나나" localSheetId="3" hidden="1">{"'Sheet1'!$A$4","'Sheet1'!$A$9:$G$28"}</definedName>
    <definedName name="난나나" localSheetId="24" hidden="1">{"'Sheet1'!$A$4","'Sheet1'!$A$9:$G$28"}</definedName>
    <definedName name="난나나" localSheetId="20" hidden="1">{"'Sheet1'!$A$4","'Sheet1'!$A$9:$G$28"}</definedName>
    <definedName name="난나나" localSheetId="4" hidden="1">{"'Sheet1'!$A$4","'Sheet1'!$A$9:$G$28"}</definedName>
    <definedName name="난나나" localSheetId="17" hidden="1">{"'Sheet1'!$A$4","'Sheet1'!$A$9:$G$28"}</definedName>
    <definedName name="난나나" hidden="1">{"'Sheet1'!$A$4","'Sheet1'!$A$9:$G$28"}</definedName>
    <definedName name="날개벽기초">#REF!</definedName>
    <definedName name="남남" localSheetId="15" hidden="1">#REF!</definedName>
    <definedName name="남남" hidden="1">#REF!</definedName>
    <definedName name="내선전공">#REF!</definedName>
    <definedName name="내역서">#REF!</definedName>
    <definedName name="내역표지" hidden="1">{#N/A,#N/A,TRUE,"총괄"}</definedName>
    <definedName name="내장공">#REF!</definedName>
    <definedName name="내진">#REF!</definedName>
    <definedName name="널">#REF!</definedName>
    <definedName name="노무비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높1">#REF!</definedName>
    <definedName name="눔">#REF!</definedName>
    <definedName name="뉵ㅎㅅㄳㅁ" hidden="1">{#N/A,#N/A,FALSE,"혼합골재"}</definedName>
    <definedName name="ㄷ" hidden="1">{#N/A,#N/A,TRUE,"토적및재료집계";#N/A,#N/A,TRUE,"토적및재료집계";#N/A,#N/A,TRUE,"단위량"}</definedName>
    <definedName name="ㄷ1">#REF!</definedName>
    <definedName name="ㄷ2">#REF!</definedName>
    <definedName name="ㄷㄱㄱㅈㅍㄷ" hidden="1">{#N/A,#N/A,FALSE,"골재소요량";#N/A,#N/A,FALSE,"골재소요량"}</definedName>
    <definedName name="ㄷㄱㄴㄴㅁ" hidden="1">{#N/A,#N/A,FALSE,"단가표지"}</definedName>
    <definedName name="ㄷㄱ듀ㅜㅠㅗ">#REF!</definedName>
    <definedName name="ㄷㄱㅈㅍ" hidden="1">{#N/A,#N/A,FALSE,"표지목차"}</definedName>
    <definedName name="ㄷㄱㅍㄷㄱ뮤" hidden="1">{#N/A,#N/A,FALSE,"2~8번"}</definedName>
    <definedName name="ㄷㄱㅍㅁㄷㄱ" hidden="1">{#N/A,#N/A,FALSE,"골재소요량";#N/A,#N/A,FALSE,"골재소요량"}</definedName>
    <definedName name="ㄷㄳㅅㄷㄱ" hidden="1">{#N/A,#N/A,FALSE,"2~8번"}</definedName>
    <definedName name="ㄷㄴ" hidden="1">{#N/A,#N/A,FALSE,"조골재"}</definedName>
    <definedName name="ㄷㄴㅁㄱㅇ" hidden="1">{#N/A,#N/A,FALSE,"골재소요량";#N/A,#N/A,FALSE,"골재소요량"}</definedName>
    <definedName name="ㄷㄷ" hidden="1">{#N/A,#N/A,FALSE,"혼합골재"}</definedName>
    <definedName name="ㄷㄷㄷ" hidden="1">[8]Sheet13!$S$48:$AV$48</definedName>
    <definedName name="ㄷㄷㄷㄷㄷㄷ" hidden="1">{#N/A,#N/A,FALSE,"운반시간"}</definedName>
    <definedName name="ㄷㄷㄷㄷㅅㅅㅅㅅ">#REF!</definedName>
    <definedName name="ㄷㄷㅈㅊㅍㅌㅋ" hidden="1">{#N/A,#N/A,FALSE,"조골재"}</definedName>
    <definedName name="ㄷㅇㄹ" hidden="1">{#N/A,#N/A,FALSE,"단가표지"}</definedName>
    <definedName name="ㄷㅈㄱㄱ" hidden="1">{#N/A,#N/A,FALSE,"조골재"}</definedName>
    <definedName name="ㄷㅈㄱㄷㅈ" hidden="1">{#N/A,#N/A,FALSE,"혼합골재"}</definedName>
    <definedName name="ㄷㅈㄹㄹㄷㄹㅇㄴㅇㄴㄹ" hidden="1">{#N/A,#N/A,FALSE,"조골재"}</definedName>
    <definedName name="ㄷㅈㅂㄱㄷㅈ" hidden="1">[8]Sheet13!$S$48:$AV$48</definedName>
    <definedName name="ㄷㅈㅂㄱㅈㅂㄷㄱ" hidden="1">{#N/A,#N/A,FALSE,"골재소요량";#N/A,#N/A,FALSE,"골재소요량"}</definedName>
    <definedName name="ㄷㅈㅇㄹㅇ" hidden="1">[8]Sheet13!$N$202:$N$271</definedName>
    <definedName name="ㄷㅈㅈㄱㄷㄱㄷㅈ" hidden="1">{#N/A,#N/A,FALSE,"운반시간"}</definedName>
    <definedName name="ㄷㅈㅍㄱㄷㅈㄱ" hidden="1">{#N/A,#N/A,FALSE,"2~8번"}</definedName>
    <definedName name="ㄷㅎㄹㅇ" localSheetId="22" hidden="1">#REF!</definedName>
    <definedName name="ㄷㅎㄹㅇ" localSheetId="23" hidden="1">#REF!</definedName>
    <definedName name="ㄷㅎㄹㅇ" localSheetId="11" hidden="1">#REF!</definedName>
    <definedName name="ㄷㅎㄹㅇ" localSheetId="18" hidden="1">#REF!</definedName>
    <definedName name="ㄷㅎㄹㅇ" localSheetId="8" hidden="1">#REF!</definedName>
    <definedName name="ㄷㅎㄹㅇ" localSheetId="6" hidden="1">#REF!</definedName>
    <definedName name="ㄷㅎㄹㅇ" localSheetId="14" hidden="1">#REF!</definedName>
    <definedName name="ㄷㅎㄹㅇ" localSheetId="15" hidden="1">#REF!</definedName>
    <definedName name="ㄷㅎㄹㅇ" localSheetId="10" hidden="1">#REF!</definedName>
    <definedName name="ㄷㅎㄹㅇ" localSheetId="9" hidden="1">#REF!</definedName>
    <definedName name="ㄷㅎㄹㅇ" localSheetId="3" hidden="1">#REF!</definedName>
    <definedName name="ㄷㅎㄹㅇ" localSheetId="16" hidden="1">#REF!</definedName>
    <definedName name="ㄷㅎㄹㅇ" localSheetId="24" hidden="1">#REF!</definedName>
    <definedName name="ㄷㅎㄹㅇ" localSheetId="4" hidden="1">#REF!</definedName>
    <definedName name="ㄷㅎㄹㅇ" localSheetId="12" hidden="1">#REF!</definedName>
    <definedName name="ㄷㅎㄹㅇ" hidden="1">#REF!</definedName>
    <definedName name="다.">#REF!</definedName>
    <definedName name="다가사" hidden="1">{#N/A,#N/A,FALSE,"명세표"}</definedName>
    <definedName name="다짐경">#REF!</definedName>
    <definedName name="다짐노">#REF!</definedName>
    <definedName name="다짐재">#REF!</definedName>
    <definedName name="단가">#REF!</definedName>
    <definedName name="단위중량">2.5</definedName>
    <definedName name="담1">#REF!</definedName>
    <definedName name="담2">#REF!</definedName>
    <definedName name="대상" hidden="1">{#N/A,#N/A,FALSE,"명세표"}</definedName>
    <definedName name="대장" hidden="1">{#N/A,#N/A,TRUE,"총괄"}</definedName>
    <definedName name="댈타5">#REF!</definedName>
    <definedName name="덕트공">#REF!</definedName>
    <definedName name="덤프15경">#REF!</definedName>
    <definedName name="덤프15노">#REF!</definedName>
    <definedName name="덤프15재">#REF!</definedName>
    <definedName name="도급공사비">#REF!</definedName>
    <definedName name="도배공">#REF!</definedName>
    <definedName name="도장공">#REF!</definedName>
    <definedName name="돌망태경">#REF!</definedName>
    <definedName name="돌망태노">#REF!</definedName>
    <definedName name="돌망태재">#REF!</definedName>
    <definedName name="동광건설" hidden="1">{#N/A,#N/A,FALSE,"골재소요량";#N/A,#N/A,FALSE,"골재소요량"}</definedName>
    <definedName name="동바리교량노">#REF!</definedName>
    <definedName name="동바리교량재">#REF!</definedName>
    <definedName name="동바리암거노">#REF!</definedName>
    <definedName name="동바리암거재">#REF!</definedName>
    <definedName name="동발공_터널">#REF!</definedName>
    <definedName name="되메우기경">#REF!</definedName>
    <definedName name="되메우기노">#REF!</definedName>
    <definedName name="되메우기재">#REF!</definedName>
    <definedName name="됴ㅠ굑ㅇ" hidden="1">{#N/A,#N/A,FALSE,"운반시간"}</definedName>
    <definedName name="두부1">#REF!</definedName>
    <definedName name="두부2">#REF!</definedName>
    <definedName name="디스트리뷰터경">#REF!</definedName>
    <definedName name="디스트리뷰터노">#REF!</definedName>
    <definedName name="디스트리뷰터재">#REF!</definedName>
    <definedName name="ㄹ" hidden="1">{#N/A,#N/A,TRUE,"토적및재료집계";#N/A,#N/A,TRUE,"토적및재료집계";#N/A,#N/A,TRUE,"단위량"}</definedName>
    <definedName name="ㄹ1">#REF!</definedName>
    <definedName name="ㄹ2">#REF!</definedName>
    <definedName name="ㄹㄴㅁㄹㄴ" localSheetId="3" hidden="1">{#N/A,"수불부",FALSE,"사급자재수불서";#N/A,"수불부",FALSE,"사급자재수불서"}</definedName>
    <definedName name="ㄹㄴㅁㄹㄴ" localSheetId="4" hidden="1">{#N/A,"수불부",FALSE,"사급자재수불서";#N/A,"수불부",FALSE,"사급자재수불서"}</definedName>
    <definedName name="ㄹㄴㅁㄹㄴ" hidden="1">{#N/A,"수불부",FALSE,"사급자재수불서";#N/A,"수불부",FALSE,"사급자재수불서"}</definedName>
    <definedName name="ㄹㄴㅁㄹㅇㄴ" localSheetId="22" hidden="1">{"'Sheet1'!$D$19","'Sheet1'!$B$22:$E$22"}</definedName>
    <definedName name="ㄹㄴㅁㄹㅇㄴ" localSheetId="18" hidden="1">{"'Sheet1'!$D$19","'Sheet1'!$B$22:$E$22"}</definedName>
    <definedName name="ㄹㄴㅁㄹㅇㄴ" localSheetId="8" hidden="1">{"'Sheet1'!$D$19","'Sheet1'!$B$22:$E$22"}</definedName>
    <definedName name="ㄹㄴㅁㄹㅇㄴ" localSheetId="3" hidden="1">{"'Sheet1'!$D$19","'Sheet1'!$B$22:$E$22"}</definedName>
    <definedName name="ㄹㄴㅁㄹㅇㄴ" localSheetId="4" hidden="1">{"'Sheet1'!$D$19","'Sheet1'!$B$22:$E$22"}</definedName>
    <definedName name="ㄹㄴㅁㄹㅇㄴ" localSheetId="17" hidden="1">{"'Sheet1'!$D$19","'Sheet1'!$B$22:$E$22"}</definedName>
    <definedName name="ㄹㄴㅁㄹㅇㄴ" hidden="1">{"'Sheet1'!$D$19","'Sheet1'!$B$22:$E$22"}</definedName>
    <definedName name="ㄹ논ㅇ로" localSheetId="22" hidden="1">#REF!</definedName>
    <definedName name="ㄹ논ㅇ로" localSheetId="23" hidden="1">#REF!</definedName>
    <definedName name="ㄹ논ㅇ로" localSheetId="11" hidden="1">#REF!</definedName>
    <definedName name="ㄹ논ㅇ로" localSheetId="18" hidden="1">#REF!</definedName>
    <definedName name="ㄹ논ㅇ로" localSheetId="8" hidden="1">#REF!</definedName>
    <definedName name="ㄹ논ㅇ로" localSheetId="6" hidden="1">#REF!</definedName>
    <definedName name="ㄹ논ㅇ로" localSheetId="14" hidden="1">#REF!</definedName>
    <definedName name="ㄹ논ㅇ로" localSheetId="15" hidden="1">#REF!</definedName>
    <definedName name="ㄹ논ㅇ로" localSheetId="10" hidden="1">#REF!</definedName>
    <definedName name="ㄹ논ㅇ로" localSheetId="9" hidden="1">#REF!</definedName>
    <definedName name="ㄹ논ㅇ로" localSheetId="3" hidden="1">#REF!</definedName>
    <definedName name="ㄹ논ㅇ로" localSheetId="16" hidden="1">#REF!</definedName>
    <definedName name="ㄹ논ㅇ로" localSheetId="24" hidden="1">#REF!</definedName>
    <definedName name="ㄹ논ㅇ로" localSheetId="4" hidden="1">#REF!</definedName>
    <definedName name="ㄹ논ㅇ로" localSheetId="12" hidden="1">#REF!</definedName>
    <definedName name="ㄹ논ㅇ로" hidden="1">#REF!</definedName>
    <definedName name="ㄹㄷㅁㄷ" hidden="1">[8]Sheet14!$M$61:$M$130</definedName>
    <definedName name="ㄹㄷㅈ" hidden="1">{#N/A,#N/A,FALSE,"표지목차"}</definedName>
    <definedName name="ㄹㄹㄹ" localSheetId="3" hidden="1">{#N/A,#N/A,FALSE,"명세표"}</definedName>
    <definedName name="ㄹㄹㄹ" localSheetId="4" hidden="1">{#N/A,#N/A,FALSE,"명세표"}</definedName>
    <definedName name="ㄹㄹㄹ" hidden="1">{#N/A,#N/A,FALSE,"명세표"}</definedName>
    <definedName name="ㄹㄹㄹㅈㄹ" hidden="1">{#N/A,#N/A,FALSE,"혼합골재"}</definedName>
    <definedName name="ㄹㄹ로" hidden="1">{#N/A,#N/A,FALSE,"골재소요량";#N/A,#N/A,FALSE,"골재소요량"}</definedName>
    <definedName name="ㄹㅇ" hidden="1">[8]Sheet13!$O$64:$O$131</definedName>
    <definedName name="ㄹㅇㄴ" localSheetId="15" hidden="1">#REF!</definedName>
    <definedName name="ㄹㅇㄴ" hidden="1">#REF!</definedName>
    <definedName name="ㄹㅇㄴㄹ" localSheetId="3" hidden="1">{#N/A,"수불부",FALSE,"사급자재수불서";#N/A,"수불부",FALSE,"사급자재수불서"}</definedName>
    <definedName name="ㄹㅇㄴㄹ" localSheetId="4" hidden="1">{#N/A,"수불부",FALSE,"사급자재수불서";#N/A,"수불부",FALSE,"사급자재수불서"}</definedName>
    <definedName name="ㄹㅇㄴㄹ" hidden="1">{#N/A,"수불부",FALSE,"사급자재수불서";#N/A,"수불부",FALSE,"사급자재수불서"}</definedName>
    <definedName name="ㄹㅇㄶ" localSheetId="22" hidden="1">#REF!</definedName>
    <definedName name="ㄹㅇㄶ" localSheetId="23" hidden="1">#REF!</definedName>
    <definedName name="ㄹㅇㄶ" localSheetId="11" hidden="1">#REF!</definedName>
    <definedName name="ㄹㅇㄶ" localSheetId="18" hidden="1">#REF!</definedName>
    <definedName name="ㄹㅇㄶ" localSheetId="8" hidden="1">#REF!</definedName>
    <definedName name="ㄹㅇㄶ" localSheetId="6" hidden="1">#REF!</definedName>
    <definedName name="ㄹㅇㄶ" localSheetId="14" hidden="1">#REF!</definedName>
    <definedName name="ㄹㅇㄶ" localSheetId="15" hidden="1">#REF!</definedName>
    <definedName name="ㄹㅇㄶ" localSheetId="10" hidden="1">#REF!</definedName>
    <definedName name="ㄹㅇㄶ" localSheetId="9" hidden="1">#REF!</definedName>
    <definedName name="ㄹㅇㄶ" localSheetId="3" hidden="1">#REF!</definedName>
    <definedName name="ㄹㅇㄶ" localSheetId="16" hidden="1">#REF!</definedName>
    <definedName name="ㄹㅇㄶ" localSheetId="4" hidden="1">#REF!</definedName>
    <definedName name="ㄹㅇㄶ" localSheetId="12" hidden="1">#REF!</definedName>
    <definedName name="ㄹㅇㄶ" hidden="1">#REF!</definedName>
    <definedName name="ㄹㅇㄹㄷㅈㅍ" hidden="1">{#N/A,#N/A,FALSE,"혼합골재"}</definedName>
    <definedName name="ㄹㅇㄹㅇㄴ" localSheetId="3" hidden="1">{#N/A,"수불부",FALSE,"사급자재수불서";#N/A,"수불부",FALSE,"사급자재수불서"}</definedName>
    <definedName name="ㄹㅇㄹㅇㄴ" localSheetId="4" hidden="1">{#N/A,"수불부",FALSE,"사급자재수불서";#N/A,"수불부",FALSE,"사급자재수불서"}</definedName>
    <definedName name="ㄹㅇㄹㅇㄴ" hidden="1">{#N/A,"수불부",FALSE,"사급자재수불서";#N/A,"수불부",FALSE,"사급자재수불서"}</definedName>
    <definedName name="ㄹㅇㅅㄱㄷ">#REF!</definedName>
    <definedName name="ㄹㅇㅎㅇㅀ" hidden="1">{#N/A,#N/A,FALSE,"부대2"}</definedName>
    <definedName name="ㄹ어미ㅏㄹ" localSheetId="22" hidden="1">{"'Sheet1'!$D$19","'Sheet1'!$B$22:$E$22"}</definedName>
    <definedName name="ㄹ어미ㅏㄹ" localSheetId="18" hidden="1">{"'Sheet1'!$D$19","'Sheet1'!$B$22:$E$22"}</definedName>
    <definedName name="ㄹ어미ㅏㄹ" localSheetId="8" hidden="1">{"'Sheet1'!$D$19","'Sheet1'!$B$22:$E$22"}</definedName>
    <definedName name="ㄹ어미ㅏㄹ" localSheetId="3" hidden="1">{"'Sheet1'!$D$19","'Sheet1'!$B$22:$E$22"}</definedName>
    <definedName name="ㄹ어미ㅏㄹ" localSheetId="4" hidden="1">{"'Sheet1'!$D$19","'Sheet1'!$B$22:$E$22"}</definedName>
    <definedName name="ㄹ어미ㅏㄹ" localSheetId="17" hidden="1">{"'Sheet1'!$D$19","'Sheet1'!$B$22:$E$22"}</definedName>
    <definedName name="ㄹ어미ㅏㄹ" hidden="1">{"'Sheet1'!$D$19","'Sheet1'!$B$22:$E$22"}</definedName>
    <definedName name="ㄹ허ㅗ" hidden="1">{#N/A,#N/A,FALSE,"이정표"}</definedName>
    <definedName name="ㄹ홓ㄹ" hidden="1">{#N/A,#N/A,FALSE,"조골재"}</definedName>
    <definedName name="라인마커경">#REF!</definedName>
    <definedName name="라인마커노">#REF!</definedName>
    <definedName name="라인마커재">#REF!</definedName>
    <definedName name="랑">#REF!</definedName>
    <definedName name="로라경">#REF!</definedName>
    <definedName name="로라노">#REF!</definedName>
    <definedName name="로라재">#REF!</definedName>
    <definedName name="롱" hidden="1">{#N/A,#N/A,FALSE,"배수2"}</definedName>
    <definedName name="료ㅜㅇ교" hidden="1">{#N/A,#N/A,FALSE,"표지목차"}</definedName>
    <definedName name="룻우ㅕㄴ" hidden="1">{#N/A,#N/A,FALSE,"골재소요량";#N/A,#N/A,FALSE,"골재소요량"}</definedName>
    <definedName name="류" hidden="1">{#N/A,#N/A,FALSE,"부대2"}</definedName>
    <definedName name="률류" hidden="1">{#N/A,#N/A,FALSE,"혼합골재"}</definedName>
    <definedName name="ㅀ" hidden="1">{#N/A,#N/A,TRUE,"토적및재료집계";#N/A,#N/A,TRUE,"토적및재료집계";#N/A,#N/A,TRUE,"단위량"}</definedName>
    <definedName name="ㅀㄳㅎ" hidden="1">{#N/A,#N/A,FALSE,"혼합골재"}</definedName>
    <definedName name="ㅀㅀ" hidden="1">{"'Firr(선)'!$AS$1:$AY$62","'Firr(사)'!$AS$1:$AY$62","'Firr(회)'!$AS$1:$AY$62","'Firr(선)'!$L$1:$V$62","'Firr(사)'!$L$1:$V$62","'Firr(회)'!$L$1:$V$62"}</definedName>
    <definedName name="ㅀㅁ" hidden="1">{#N/A,#N/A,FALSE,"조골재"}</definedName>
    <definedName name="ㅁ" localSheetId="3" hidden="1">{#N/A,#N/A,FALSE,"명세표"}</definedName>
    <definedName name="ㅁ" localSheetId="4" hidden="1">{#N/A,#N/A,FALSE,"명세표"}</definedName>
    <definedName name="ㅁ" hidden="1">{#N/A,#N/A,FALSE,"명세표"}</definedName>
    <definedName name="ㅁ1">#REF!</definedName>
    <definedName name="ㅁ2">#REF!</definedName>
    <definedName name="ㅁㄱ235">#REF!</definedName>
    <definedName name="ㅁㄱ31">#REF!</definedName>
    <definedName name="ㅁㄱㅁ" hidden="1">{#N/A,#N/A,FALSE,"단가표지"}</definedName>
    <definedName name="ㅁㄱㅁㅇ" hidden="1">{#N/A,#N/A,FALSE,"2~8번"}</definedName>
    <definedName name="ㅁㄱㅂ" hidden="1">{#N/A,#N/A,FALSE,"단가표지"}</definedName>
    <definedName name="ㅁㄴ" hidden="1">{#N/A,#N/A,FALSE,"표지목차"}</definedName>
    <definedName name="ㅁㄴㄴ" hidden="1">{#N/A,#N/A,FALSE,"골재소요량";#N/A,#N/A,FALSE,"골재소요량"}</definedName>
    <definedName name="ㅁㄴㅇ" hidden="1">{#N/A,#N/A,FALSE,"배수1"}</definedName>
    <definedName name="ㅁㄴㅇㄴ" hidden="1">{#N/A,#N/A,FALSE,"운반시간"}</definedName>
    <definedName name="ㅁㄴㅇㄹㄴㄹ" localSheetId="3" hidden="1">{#N/A,"수불부",FALSE,"사급자재수불서";#N/A,"수불부",FALSE,"사급자재수불서"}</definedName>
    <definedName name="ㅁㄴㅇㄹㄴㄹ" localSheetId="4" hidden="1">{#N/A,"수불부",FALSE,"사급자재수불서";#N/A,"수불부",FALSE,"사급자재수불서"}</definedName>
    <definedName name="ㅁㄴㅇㄹㄴㄹ" hidden="1">{#N/A,"수불부",FALSE,"사급자재수불서";#N/A,"수불부",FALSE,"사급자재수불서"}</definedName>
    <definedName name="ㅁㄴㅇ류" hidden="1">#REF!</definedName>
    <definedName name="ㅁㄴㅇㄻㄴㅇㄻㄴㄹ" localSheetId="3" hidden="1">{#N/A,#N/A,FALSE,"명세표"}</definedName>
    <definedName name="ㅁㄴㅇㄻㄴㅇㄻㄴㄹ" localSheetId="4" hidden="1">{#N/A,#N/A,FALSE,"명세표"}</definedName>
    <definedName name="ㅁㄴㅇㄻㄴㅇㄻㄴㄹ" hidden="1">{#N/A,#N/A,FALSE,"명세표"}</definedName>
    <definedName name="ㅁㄴㅇㄻㄹ" localSheetId="3" hidden="1">{#N/A,"수불부",FALSE,"사급자재수불서";#N/A,"수불부",FALSE,"사급자재수불서"}</definedName>
    <definedName name="ㅁㄴㅇㄻㄹ" localSheetId="4" hidden="1">{#N/A,"수불부",FALSE,"사급자재수불서";#N/A,"수불부",FALSE,"사급자재수불서"}</definedName>
    <definedName name="ㅁㄴㅇㄻㄹ" hidden="1">{#N/A,"수불부",FALSE,"사급자재수불서";#N/A,"수불부",FALSE,"사급자재수불서"}</definedName>
    <definedName name="ㅁㄴㅇㅁ" hidden="1">{#N/A,#N/A,FALSE,"배수1"}</definedName>
    <definedName name="ㅁㄴㅇㅁㄴㅇ" hidden="1">#REF!</definedName>
    <definedName name="ㅁㄴㅇㅈ" hidden="1">{#N/A,#N/A,FALSE,"2~8번"}</definedName>
    <definedName name="ㅁㄷㄱㅍㄱㅈㅁ" hidden="1">{#N/A,#N/A,FALSE,"골재소요량";#N/A,#N/A,FALSE,"골재소요량"}</definedName>
    <definedName name="ㅁㄷㅎㅁㅎㅁ" hidden="1">{#N/A,#N/A,FALSE,"조골재"}</definedName>
    <definedName name="ㅁㄹㄷ" hidden="1">{#N/A,#N/A,FALSE,"표지목차"}</definedName>
    <definedName name="ㅁㄹㄹㄴㅇㄹㅇㄴㄹㄴㅇ" hidden="1">{#N/A,#N/A,FALSE,"포장1";#N/A,#N/A,FALSE,"포장1"}</definedName>
    <definedName name="ㅁㄹㅇㄴㅇㄹ" localSheetId="3" hidden="1">{#N/A,"수불부",FALSE,"사급자재수불서";#N/A,"수불부",FALSE,"사급자재수불서"}</definedName>
    <definedName name="ㅁㄹㅇㄴㅇㄹ" localSheetId="4" hidden="1">{#N/A,"수불부",FALSE,"사급자재수불서";#N/A,"수불부",FALSE,"사급자재수불서"}</definedName>
    <definedName name="ㅁㄹㅇㄴㅇㄹ" hidden="1">{#N/A,"수불부",FALSE,"사급자재수불서";#N/A,"수불부",FALSE,"사급자재수불서"}</definedName>
    <definedName name="ㅁㄻㄴㅇ" hidden="1">{#N/A,#N/A,FALSE,"골재소요량";#N/A,#N/A,FALSE,"골재소요량"}</definedName>
    <definedName name="ㅁㄻㅇㄹㄴ" localSheetId="3" hidden="1">{#N/A,"수불부",FALSE,"사급자재수불서";#N/A,"수불부",FALSE,"사급자재수불서"}</definedName>
    <definedName name="ㅁㄻㅇㄹㄴ" localSheetId="4" hidden="1">{#N/A,"수불부",FALSE,"사급자재수불서";#N/A,"수불부",FALSE,"사급자재수불서"}</definedName>
    <definedName name="ㅁㄻㅇㄹㄴ" hidden="1">{#N/A,"수불부",FALSE,"사급자재수불서";#N/A,"수불부",FALSE,"사급자재수불서"}</definedName>
    <definedName name="ㅁㅁ" hidden="1">{#N/A,#N/A,FALSE,"운반시간"}</definedName>
    <definedName name="ㅁㅁ185">#REF!</definedName>
    <definedName name="ㅁㅁㅁ" hidden="1">{#N/A,#N/A,FALSE,"조골재"}</definedName>
    <definedName name="ㅁㅁㅁㅁ" localSheetId="22" hidden="1">{"'Sheet1'!$A$4","'Sheet1'!$A$9:$G$28"}</definedName>
    <definedName name="ㅁㅁㅁㅁ" localSheetId="18" hidden="1">{"'Sheet1'!$A$4","'Sheet1'!$A$9:$G$28"}</definedName>
    <definedName name="ㅁㅁㅁㅁ" localSheetId="8" hidden="1">{"'Sheet1'!$A$4","'Sheet1'!$A$9:$G$28"}</definedName>
    <definedName name="ㅁㅁㅁㅁ" localSheetId="3" hidden="1">{"'Sheet1'!$A$4","'Sheet1'!$A$9:$G$28"}</definedName>
    <definedName name="ㅁㅁㅁㅁ" localSheetId="24" hidden="1">{"'Sheet1'!$A$4","'Sheet1'!$A$9:$G$28"}</definedName>
    <definedName name="ㅁㅁㅁㅁ" localSheetId="20" hidden="1">{"'Sheet1'!$A$4","'Sheet1'!$A$9:$G$28"}</definedName>
    <definedName name="ㅁㅁㅁㅁ" localSheetId="4" hidden="1">{"'Sheet1'!$A$4","'Sheet1'!$A$9:$G$28"}</definedName>
    <definedName name="ㅁㅁㅁㅁ" localSheetId="17" hidden="1">{"'Sheet1'!$A$4","'Sheet1'!$A$9:$G$28"}</definedName>
    <definedName name="ㅁㅁㅁㅁ" hidden="1">{"'Sheet1'!$A$4","'Sheet1'!$A$9:$G$28"}</definedName>
    <definedName name="ㅁㅁㅁㅁㅁㅁ" hidden="1">{#N/A,#N/A,FALSE,"혼합골재"}</definedName>
    <definedName name="ㅁㅁㅁㅁㅁㅁㅁ" hidden="1">{#N/A,#N/A,FALSE,"표지목차"}</definedName>
    <definedName name="ㅁㅂㅁㅂ">#REF!</definedName>
    <definedName name="ㅁㅇㄴㅁㅇㅁ" hidden="1">{#N/A,#N/A,FALSE,"배수1"}</definedName>
    <definedName name="ㅁㅇㄷ" hidden="1">{#N/A,#N/A,FALSE,"조골재"}</definedName>
    <definedName name="ㅁㅇㄹㄴㄻ" localSheetId="22" hidden="1">{"'Sheet1'!$D$19","'Sheet1'!$B$22:$E$22"}</definedName>
    <definedName name="ㅁㅇㄹㄴㄻ" localSheetId="18" hidden="1">{"'Sheet1'!$D$19","'Sheet1'!$B$22:$E$22"}</definedName>
    <definedName name="ㅁㅇㄹㄴㄻ" localSheetId="8" hidden="1">{"'Sheet1'!$D$19","'Sheet1'!$B$22:$E$22"}</definedName>
    <definedName name="ㅁㅇㄹㄴㄻ" localSheetId="3" hidden="1">{"'Sheet1'!$D$19","'Sheet1'!$B$22:$E$22"}</definedName>
    <definedName name="ㅁㅇㄹㄴㄻ" localSheetId="4" hidden="1">{"'Sheet1'!$D$19","'Sheet1'!$B$22:$E$22"}</definedName>
    <definedName name="ㅁㅇㄹㄴㄻ" localSheetId="17" hidden="1">{"'Sheet1'!$D$19","'Sheet1'!$B$22:$E$22"}</definedName>
    <definedName name="ㅁㅇㄹㄴㄻ" hidden="1">{"'Sheet1'!$D$19","'Sheet1'!$B$22:$E$22"}</definedName>
    <definedName name="ㅁㅇㄹㄴㅁㅇㄹㄴ" localSheetId="3" hidden="1">{#N/A,"수불부",FALSE,"사급자재수불서";#N/A,"수불부",FALSE,"사급자재수불서"}</definedName>
    <definedName name="ㅁㅇㄹㄴㅁㅇㄹㄴ" localSheetId="4" hidden="1">{#N/A,"수불부",FALSE,"사급자재수불서";#N/A,"수불부",FALSE,"사급자재수불서"}</definedName>
    <definedName name="ㅁㅇㄹㄴㅁㅇㄹㄴ" hidden="1">{#N/A,"수불부",FALSE,"사급자재수불서";#N/A,"수불부",FALSE,"사급자재수불서"}</definedName>
    <definedName name="ㅁㅇㄹㄴㅇㄹㄴㅇㄹ" localSheetId="3" hidden="1">{#N/A,"수불부",FALSE,"사급자재수불서";#N/A,"수불부",FALSE,"사급자재수불서"}</definedName>
    <definedName name="ㅁㅇㄹㄴㅇㄹㄴㅇㄹ" localSheetId="4" hidden="1">{#N/A,"수불부",FALSE,"사급자재수불서";#N/A,"수불부",FALSE,"사급자재수불서"}</definedName>
    <definedName name="ㅁㅇㄹㄴㅇㄹㄴㅇㄹ" hidden="1">{#N/A,"수불부",FALSE,"사급자재수불서";#N/A,"수불부",FALSE,"사급자재수불서"}</definedName>
    <definedName name="ㅁㅇㅁㄴㅇ" hidden="1">{#N/A,#N/A,FALSE,"조골재"}</definedName>
    <definedName name="ㅁㅇㅈ" hidden="1">{#N/A,#N/A,FALSE,"표지목차"}</definedName>
    <definedName name="ㅁㅈㄷㄱ" hidden="1">{#N/A,#N/A,FALSE,"골재소요량";#N/A,#N/A,FALSE,"골재소요량"}</definedName>
    <definedName name="ㅁㅈㅇㅁ" hidden="1">{#N/A,#N/A,FALSE,"혼합골재"}</definedName>
    <definedName name="ㅁㅊ" localSheetId="22" hidden="1">{"'Sheet1'!$A$4","'Sheet1'!$A$9:$G$28"}</definedName>
    <definedName name="ㅁㅊ" localSheetId="18" hidden="1">{"'Sheet1'!$A$4","'Sheet1'!$A$9:$G$28"}</definedName>
    <definedName name="ㅁㅊ" localSheetId="8" hidden="1">{"'Sheet1'!$A$4","'Sheet1'!$A$9:$G$28"}</definedName>
    <definedName name="ㅁㅊ" localSheetId="3" hidden="1">{"'Sheet1'!$A$4","'Sheet1'!$A$9:$G$28"}</definedName>
    <definedName name="ㅁㅊ" localSheetId="24" hidden="1">{"'Sheet1'!$A$4","'Sheet1'!$A$9:$G$28"}</definedName>
    <definedName name="ㅁㅊ" localSheetId="20" hidden="1">{"'Sheet1'!$A$4","'Sheet1'!$A$9:$G$28"}</definedName>
    <definedName name="ㅁㅊ" localSheetId="4" hidden="1">{"'Sheet1'!$A$4","'Sheet1'!$A$9:$G$28"}</definedName>
    <definedName name="ㅁㅊ" localSheetId="17" hidden="1">{"'Sheet1'!$A$4","'Sheet1'!$A$9:$G$28"}</definedName>
    <definedName name="ㅁㅊ" hidden="1">{"'Sheet1'!$A$4","'Sheet1'!$A$9:$G$28"}</definedName>
    <definedName name="ㅁㅊㅊ" localSheetId="22" hidden="1">{"'Sheet1'!$A$4","'Sheet1'!$A$9:$G$28"}</definedName>
    <definedName name="ㅁㅊㅊ" localSheetId="18" hidden="1">{"'Sheet1'!$A$4","'Sheet1'!$A$9:$G$28"}</definedName>
    <definedName name="ㅁㅊㅊ" localSheetId="8" hidden="1">{"'Sheet1'!$A$4","'Sheet1'!$A$9:$G$28"}</definedName>
    <definedName name="ㅁㅊㅊ" localSheetId="3" hidden="1">{"'Sheet1'!$A$4","'Sheet1'!$A$9:$G$28"}</definedName>
    <definedName name="ㅁㅊㅊ" localSheetId="24" hidden="1">{"'Sheet1'!$A$4","'Sheet1'!$A$9:$G$28"}</definedName>
    <definedName name="ㅁㅊㅊ" localSheetId="20" hidden="1">{"'Sheet1'!$A$4","'Sheet1'!$A$9:$G$28"}</definedName>
    <definedName name="ㅁㅊㅊ" localSheetId="4" hidden="1">{"'Sheet1'!$A$4","'Sheet1'!$A$9:$G$28"}</definedName>
    <definedName name="ㅁㅊㅊ" hidden="1">{"'Sheet1'!$A$4","'Sheet1'!$A$9:$G$28"}</definedName>
    <definedName name="ㅁㅊㅊ123" localSheetId="22" hidden="1">{"'Sheet1'!$A$4","'Sheet1'!$A$9:$G$28"}</definedName>
    <definedName name="ㅁㅊㅊ123" localSheetId="18" hidden="1">{"'Sheet1'!$A$4","'Sheet1'!$A$9:$G$28"}</definedName>
    <definedName name="ㅁㅊㅊ123" localSheetId="8" hidden="1">{"'Sheet1'!$A$4","'Sheet1'!$A$9:$G$28"}</definedName>
    <definedName name="ㅁㅊㅊ123" localSheetId="3" hidden="1">{"'Sheet1'!$A$4","'Sheet1'!$A$9:$G$28"}</definedName>
    <definedName name="ㅁㅊㅊ123" localSheetId="24" hidden="1">{"'Sheet1'!$A$4","'Sheet1'!$A$9:$G$28"}</definedName>
    <definedName name="ㅁㅊㅊ123" localSheetId="20" hidden="1">{"'Sheet1'!$A$4","'Sheet1'!$A$9:$G$28"}</definedName>
    <definedName name="ㅁㅊㅊ123" localSheetId="4" hidden="1">{"'Sheet1'!$A$4","'Sheet1'!$A$9:$G$28"}</definedName>
    <definedName name="ㅁㅊㅊ123" hidden="1">{"'Sheet1'!$A$4","'Sheet1'!$A$9:$G$28"}</definedName>
    <definedName name="마1">#REF!</definedName>
    <definedName name="맨홀조서">#REF!</definedName>
    <definedName name="맨홀토공산출">#REF!</definedName>
    <definedName name="머" localSheetId="3" hidden="1">{#N/A,#N/A,FALSE,"명세표"}</definedName>
    <definedName name="머" localSheetId="4" hidden="1">{#N/A,#N/A,FALSE,"명세표"}</definedName>
    <definedName name="머" hidden="1">{#N/A,#N/A,FALSE,"명세표"}</definedName>
    <definedName name="머캐덤10경">#REF!</definedName>
    <definedName name="머캐덤10노">#REF!</definedName>
    <definedName name="머캐덤10재">#REF!</definedName>
    <definedName name="머캐덤8경">#REF!</definedName>
    <definedName name="머캐덤8노">#REF!</definedName>
    <definedName name="머캐덤8재">#REF!</definedName>
    <definedName name="머캐덤경">#REF!</definedName>
    <definedName name="머캐덤노">#REF!</definedName>
    <definedName name="머캐덤재">#REF!</definedName>
    <definedName name="메1">#REF!</definedName>
    <definedName name="면고르기1">#REF!</definedName>
    <definedName name="면고르기2">#REF!</definedName>
    <definedName name="명단" localSheetId="3" hidden="1">{#N/A,"수불부",FALSE,"사급자재수불서";#N/A,"수불부",FALSE,"사급자재수불서"}</definedName>
    <definedName name="명단" localSheetId="4" hidden="1">{#N/A,"수불부",FALSE,"사급자재수불서";#N/A,"수불부",FALSE,"사급자재수불서"}</definedName>
    <definedName name="명단" hidden="1">{#N/A,"수불부",FALSE,"사급자재수불서";#N/A,"수불부",FALSE,"사급자재수불서"}</definedName>
    <definedName name="명진출력">[0]!명진출력</definedName>
    <definedName name="모래운반경">#REF!</definedName>
    <definedName name="모래운반노">#REF!</definedName>
    <definedName name="모래운반재">#REF!</definedName>
    <definedName name="모르터2노">#REF!</definedName>
    <definedName name="모르터3노">#REF!</definedName>
    <definedName name="모르터노">#REF!</definedName>
    <definedName name="모모.." hidden="1">{#N/A,#N/A,FALSE,"골재소요량";#N/A,#N/A,FALSE,"골재소요량"}</definedName>
    <definedName name="목도">#REF!</definedName>
    <definedName name="목재동바리1">#REF!</definedName>
    <definedName name="목재동바리2">#REF!</definedName>
    <definedName name="목차2">#REF!</definedName>
    <definedName name="몰라" localSheetId="3" hidden="1">{#N/A,#N/A,FALSE,"명세표"}</definedName>
    <definedName name="몰라" localSheetId="4" hidden="1">{#N/A,#N/A,FALSE,"명세표"}</definedName>
    <definedName name="몰라" hidden="1">{#N/A,#N/A,FALSE,"명세표"}</definedName>
    <definedName name="무선안테나공">#REF!</definedName>
    <definedName name="문양노">#REF!</definedName>
    <definedName name="물탱크경">#REF!</definedName>
    <definedName name="물탱크노">#REF!</definedName>
    <definedName name="물탱크재">#REF!</definedName>
    <definedName name="뭐지" localSheetId="22" hidden="1">{"'Sheet1'!$A$4","'Sheet1'!$A$9:$G$28"}</definedName>
    <definedName name="뭐지" localSheetId="18" hidden="1">{"'Sheet1'!$A$4","'Sheet1'!$A$9:$G$28"}</definedName>
    <definedName name="뭐지" localSheetId="8" hidden="1">{"'Sheet1'!$A$4","'Sheet1'!$A$9:$G$28"}</definedName>
    <definedName name="뭐지" localSheetId="3" hidden="1">{"'Sheet1'!$A$4","'Sheet1'!$A$9:$G$28"}</definedName>
    <definedName name="뭐지" localSheetId="24" hidden="1">{"'Sheet1'!$A$4","'Sheet1'!$A$9:$G$28"}</definedName>
    <definedName name="뭐지" localSheetId="20" hidden="1">{"'Sheet1'!$A$4","'Sheet1'!$A$9:$G$28"}</definedName>
    <definedName name="뭐지" localSheetId="4" hidden="1">{"'Sheet1'!$A$4","'Sheet1'!$A$9:$G$28"}</definedName>
    <definedName name="뭐지" hidden="1">{"'Sheet1'!$A$4","'Sheet1'!$A$9:$G$28"}</definedName>
    <definedName name="뭐지도" localSheetId="22" hidden="1">{"'Sheet1'!$A$4","'Sheet1'!$A$9:$G$28"}</definedName>
    <definedName name="뭐지도" localSheetId="18" hidden="1">{"'Sheet1'!$A$4","'Sheet1'!$A$9:$G$28"}</definedName>
    <definedName name="뭐지도" localSheetId="8" hidden="1">{"'Sheet1'!$A$4","'Sheet1'!$A$9:$G$28"}</definedName>
    <definedName name="뭐지도" localSheetId="3" hidden="1">{"'Sheet1'!$A$4","'Sheet1'!$A$9:$G$28"}</definedName>
    <definedName name="뭐지도" localSheetId="24" hidden="1">{"'Sheet1'!$A$4","'Sheet1'!$A$9:$G$28"}</definedName>
    <definedName name="뭐지도" localSheetId="20" hidden="1">{"'Sheet1'!$A$4","'Sheet1'!$A$9:$G$28"}</definedName>
    <definedName name="뭐지도" localSheetId="4" hidden="1">{"'Sheet1'!$A$4","'Sheet1'!$A$9:$G$28"}</definedName>
    <definedName name="뭐지도" hidden="1">{"'Sheet1'!$A$4","'Sheet1'!$A$9:$G$28"}</definedName>
    <definedName name="뮤">#REF!</definedName>
    <definedName name="뮤2">#REF!</definedName>
    <definedName name="미" hidden="1">{#N/A,#N/A,TRUE,"총괄"}</definedName>
    <definedName name="믹서경">#REF!</definedName>
    <definedName name="믹서노">#REF!</definedName>
    <definedName name="믹서재">#REF!</definedName>
    <definedName name="ㅂ" hidden="1">{#N/A,#N/A,TRUE,"토적및재료집계";#N/A,#N/A,TRUE,"토적및재료집계";#N/A,#N/A,TRUE,"단위량"}</definedName>
    <definedName name="ㅂㄷ" hidden="1">{#N/A,#N/A,FALSE,"골재소요량";#N/A,#N/A,FALSE,"골재소요량"}</definedName>
    <definedName name="ㅂㄷㅇ" hidden="1">{#N/A,#N/A,FALSE,"표지목차"}</definedName>
    <definedName name="ㅂㅂ" hidden="1">{#N/A,#N/A,FALSE,"표지목차"}</definedName>
    <definedName name="ㅂㅂ1" localSheetId="22" hidden="1">{"'Sheet1'!$A$4","'Sheet1'!$A$9:$G$28"}</definedName>
    <definedName name="ㅂㅂ1" localSheetId="18" hidden="1">{"'Sheet1'!$A$4","'Sheet1'!$A$9:$G$28"}</definedName>
    <definedName name="ㅂㅂ1" localSheetId="8" hidden="1">{"'Sheet1'!$A$4","'Sheet1'!$A$9:$G$28"}</definedName>
    <definedName name="ㅂㅂ1" localSheetId="3" hidden="1">{"'Sheet1'!$A$4","'Sheet1'!$A$9:$G$28"}</definedName>
    <definedName name="ㅂㅂ1" localSheetId="24" hidden="1">{"'Sheet1'!$A$4","'Sheet1'!$A$9:$G$28"}</definedName>
    <definedName name="ㅂㅂ1" localSheetId="20" hidden="1">{"'Sheet1'!$A$4","'Sheet1'!$A$9:$G$28"}</definedName>
    <definedName name="ㅂㅂ1" localSheetId="4" hidden="1">{"'Sheet1'!$A$4","'Sheet1'!$A$9:$G$28"}</definedName>
    <definedName name="ㅂㅂ1" hidden="1">{"'Sheet1'!$A$4","'Sheet1'!$A$9:$G$28"}</definedName>
    <definedName name="ㅂㅂㅁ" localSheetId="22" hidden="1">{"'Sheet1'!$A$4","'Sheet1'!$A$9:$G$28"}</definedName>
    <definedName name="ㅂㅂㅁ" localSheetId="18" hidden="1">{"'Sheet1'!$A$4","'Sheet1'!$A$9:$G$28"}</definedName>
    <definedName name="ㅂㅂㅁ" localSheetId="8" hidden="1">{"'Sheet1'!$A$4","'Sheet1'!$A$9:$G$28"}</definedName>
    <definedName name="ㅂㅂㅁ" localSheetId="3" hidden="1">{"'Sheet1'!$A$4","'Sheet1'!$A$9:$G$28"}</definedName>
    <definedName name="ㅂㅂㅁ" localSheetId="24" hidden="1">{"'Sheet1'!$A$4","'Sheet1'!$A$9:$G$28"}</definedName>
    <definedName name="ㅂㅂㅁ" localSheetId="20" hidden="1">{"'Sheet1'!$A$4","'Sheet1'!$A$9:$G$28"}</definedName>
    <definedName name="ㅂㅂㅁ" localSheetId="4" hidden="1">{"'Sheet1'!$A$4","'Sheet1'!$A$9:$G$28"}</definedName>
    <definedName name="ㅂㅂㅁ" hidden="1">{"'Sheet1'!$A$4","'Sheet1'!$A$9:$G$28"}</definedName>
    <definedName name="ㅂㅂㅂㅂ" localSheetId="3" hidden="1">{#N/A,#N/A,FALSE,"명세표"}</definedName>
    <definedName name="ㅂㅂㅂㅂ" localSheetId="4" hidden="1">{#N/A,#N/A,FALSE,"명세표"}</definedName>
    <definedName name="ㅂㅂㅂㅂ" hidden="1">{#N/A,#N/A,FALSE,"명세표"}</definedName>
    <definedName name="ㅂㅂㅂㅂㅂ" hidden="1">{#N/A,#N/A,FALSE,"혼합골재"}</definedName>
    <definedName name="ㅂㅂㅂㅂㅂㅂㅂ" localSheetId="3" hidden="1">{#N/A,#N/A,FALSE,"명세표"}</definedName>
    <definedName name="ㅂㅂㅂㅂㅂㅂㅂ" localSheetId="4" hidden="1">{#N/A,#N/A,FALSE,"명세표"}</definedName>
    <definedName name="ㅂㅂㅂㅂㅂㅂㅂ" hidden="1">{#N/A,#N/A,FALSE,"명세표"}</definedName>
    <definedName name="ㅂㅂㅂㅂㅂㅂㅂㅂㅂ" hidden="1">{#N/A,#N/A,FALSE,"표지목차"}</definedName>
    <definedName name="ㅂㅈ" hidden="1">{#N/A,#N/A,FALSE,"표지목차"}</definedName>
    <definedName name="ㅂㅈㄱㄷㅈㅂㄱㅈㄷㅂㄱ" hidden="1">{#N/A,#N/A,FALSE,"이정표"}</definedName>
    <definedName name="ㅂㅈㅈ" hidden="1">{#N/A,#N/A,FALSE,"운반시간"}</definedName>
    <definedName name="박1" hidden="1">{"'Firr(선)'!$AS$1:$AY$62","'Firr(사)'!$AS$1:$AY$62","'Firr(회)'!$AS$1:$AY$62","'Firr(선)'!$L$1:$V$62","'Firr(사)'!$L$1:$V$62","'Firr(회)'!$L$1:$V$62"}</definedName>
    <definedName name="박2" hidden="1">{"'단계별시설공사비'!$A$3:$K$51"}</definedName>
    <definedName name="박성진" hidden="1">{#N/A,#N/A,TRUE,"총괄"}</definedName>
    <definedName name="박한승">[0]!박한승</definedName>
    <definedName name="반사경노">#REF!</definedName>
    <definedName name="반사경지주노">#REF!</definedName>
    <definedName name="방방호벽">#REF!</definedName>
    <definedName name="방수1">#REF!</definedName>
    <definedName name="방수2">#REF!</definedName>
    <definedName name="방수공">#REF!</definedName>
    <definedName name="방철">#REF!</definedName>
    <definedName name="방콘2402">#REF!</definedName>
    <definedName name="방합3회1">#REF!</definedName>
    <definedName name="방합3회2">#REF!</definedName>
    <definedName name="방호벽1">#REF!</definedName>
    <definedName name="방호벽2">#REF!</definedName>
    <definedName name="방호벽조서">#REF!</definedName>
    <definedName name="방호벽철근">#REF!</definedName>
    <definedName name="배">#REF!</definedName>
    <definedName name="배수공수량집계" localSheetId="22" hidden="1">{"'산출근거'!$B$4:$D$8"}</definedName>
    <definedName name="배수공수량집계" localSheetId="18" hidden="1">{"'산출근거'!$B$4:$D$8"}</definedName>
    <definedName name="배수공수량집계" localSheetId="8" hidden="1">{"'산출근거'!$B$4:$D$8"}</definedName>
    <definedName name="배수공수량집계" localSheetId="3" hidden="1">{"'산출근거'!$B$4:$D$8"}</definedName>
    <definedName name="배수공수량집계" localSheetId="24" hidden="1">{"'산출근거'!$B$4:$D$8"}</definedName>
    <definedName name="배수공수량집계" localSheetId="4" hidden="1">{"'산출근거'!$B$4:$D$8"}</definedName>
    <definedName name="배수공수량집계" hidden="1">{"'산출근거'!$B$4:$D$8"}</definedName>
    <definedName name="배수공수량집계표">#REF!</definedName>
    <definedName name="배수공집계">#REF!</definedName>
    <definedName name="배수관날개벽">#REF!</definedName>
    <definedName name="배수총집">#REF!</definedName>
    <definedName name="배전전공">#REF!</definedName>
    <definedName name="배전활선전공">#REF!</definedName>
    <definedName name="백호0.4경">#REF!</definedName>
    <definedName name="백호0.4노">#REF!</definedName>
    <definedName name="백호0.4재">#REF!</definedName>
    <definedName name="백호0.7경">#REF!</definedName>
    <definedName name="백호0.7노">#REF!</definedName>
    <definedName name="백호0.7재">#REF!</definedName>
    <definedName name="벌목공">#REF!</definedName>
    <definedName name="벽돌제작공">#REF!</definedName>
    <definedName name="보링공_지질조사">#REF!</definedName>
    <definedName name="보안공">#REF!</definedName>
    <definedName name="보온공">#REF!</definedName>
    <definedName name="보일러공">#REF!</definedName>
    <definedName name="보조기층포설경">#REF!</definedName>
    <definedName name="보조기층포설노">#REF!</definedName>
    <definedName name="보조기층포설재">#REF!</definedName>
    <definedName name="보차도">[0]!보차도</definedName>
    <definedName name="보통선원">#REF!</definedName>
    <definedName name="본선연장">#REF!</definedName>
    <definedName name="본선포장">#REF!</definedName>
    <definedName name="부">#REF!</definedName>
    <definedName name="부가가치세">#REF!</definedName>
    <definedName name="부가가치세_산식">#REF!</definedName>
    <definedName name="부가가치세요율">#REF!</definedName>
    <definedName name="부가가치세요율_변경">#REF!</definedName>
    <definedName name="부가세" hidden="1">{#N/A,#N/A,TRUE,"총괄"}</definedName>
    <definedName name="부대공집계표">#REF!</definedName>
    <definedName name="부대원본" localSheetId="3" hidden="1">{#N/A,#N/A,FALSE,"토공2"}</definedName>
    <definedName name="부대원본" localSheetId="4" hidden="1">{#N/A,#N/A,FALSE,"토공2"}</definedName>
    <definedName name="부대원본" hidden="1">{#N/A,#N/A,FALSE,"토공2"}</definedName>
    <definedName name="브레이커0.4경">#REF!</definedName>
    <definedName name="브레이커0.7경">#REF!</definedName>
    <definedName name="브레이커경">#REF!</definedName>
    <definedName name="브이c">#REF!</definedName>
    <definedName name="비계1">#REF!</definedName>
    <definedName name="비계2">#REF!</definedName>
    <definedName name="비교" hidden="1">255</definedName>
    <definedName name="비교표1" hidden="1">255</definedName>
    <definedName name="비닐">#REF!</definedName>
    <definedName name="ㅅ" hidden="1">{#N/A,#N/A,TRUE,"토적및재료집계";#N/A,#N/A,TRUE,"토적및재료집계";#N/A,#N/A,TRUE,"단위량"}</definedName>
    <definedName name="ㅅ.." hidden="1">{#N/A,#N/A,FALSE,"골재소요량";#N/A,#N/A,FALSE,"골재소요량"}</definedName>
    <definedName name="ㅅㄱㄷ" hidden="1">[8]Sheet13!$N$131:$N$201</definedName>
    <definedName name="ㅅㄱㄷ쇼" hidden="1">[8]Sheet13!$N$272:$N$341</definedName>
    <definedName name="ㅅㄱ도ㅔㅐㅑ" hidden="1">{#N/A,#N/A,FALSE,"단가표지"}</definedName>
    <definedName name="ㅅㄱ됴ㅛ" hidden="1">[8]Sheet13!$N$202:$N$271</definedName>
    <definedName name="ㅅ곳ㄴ고" hidden="1">{#N/A,#N/A,FALSE,"2~8번"}</definedName>
    <definedName name="ㅅㄳ" hidden="1">{#N/A,#N/A,FALSE,"골재소요량";#N/A,#N/A,FALSE,"골재소요량"}</definedName>
    <definedName name="ㅅㅅ" hidden="1">{#N/A,#N/A,FALSE,"골재소요량";#N/A,#N/A,FALSE,"골재소요량"}</definedName>
    <definedName name="ㅅㅅㅅㅅ" hidden="1">{#N/A,#N/A,FALSE,"2~8번"}</definedName>
    <definedName name="ㅅㅅㅅㅅㅅ" hidden="1">{#N/A,#N/A,FALSE,"골재소요량";#N/A,#N/A,FALSE,"골재소요량"}</definedName>
    <definedName name="ㅅㅅㅅㅅㅅㅅㅅ" hidden="1">{#N/A,#N/A,FALSE,"골재소요량";#N/A,#N/A,FALSE,"골재소요량"}</definedName>
    <definedName name="ㅅㅅㅅㅅㅅㅅㅅㅅㅅㅅ" localSheetId="22" hidden="1">{"'Sheet1'!$A$4","'Sheet1'!$A$9:$G$28"}</definedName>
    <definedName name="ㅅㅅㅅㅅㅅㅅㅅㅅㅅㅅ" localSheetId="18" hidden="1">{"'Sheet1'!$A$4","'Sheet1'!$A$9:$G$28"}</definedName>
    <definedName name="ㅅㅅㅅㅅㅅㅅㅅㅅㅅㅅ" localSheetId="8" hidden="1">{"'Sheet1'!$A$4","'Sheet1'!$A$9:$G$28"}</definedName>
    <definedName name="ㅅㅅㅅㅅㅅㅅㅅㅅㅅㅅ" localSheetId="3" hidden="1">{"'Sheet1'!$A$4","'Sheet1'!$A$9:$G$28"}</definedName>
    <definedName name="ㅅㅅㅅㅅㅅㅅㅅㅅㅅㅅ" localSheetId="24" hidden="1">{"'Sheet1'!$A$4","'Sheet1'!$A$9:$G$28"}</definedName>
    <definedName name="ㅅㅅㅅㅅㅅㅅㅅㅅㅅㅅ" localSheetId="20" hidden="1">{"'Sheet1'!$A$4","'Sheet1'!$A$9:$G$28"}</definedName>
    <definedName name="ㅅㅅㅅㅅㅅㅅㅅㅅㅅㅅ" localSheetId="4" hidden="1">{"'Sheet1'!$A$4","'Sheet1'!$A$9:$G$28"}</definedName>
    <definedName name="ㅅㅅㅅㅅㅅㅅㅅㅅㅅㅅ" localSheetId="17" hidden="1">{"'Sheet1'!$A$4","'Sheet1'!$A$9:$G$28"}</definedName>
    <definedName name="ㅅㅅㅅㅅㅅㅅㅅㅅㅅㅅ" hidden="1">{"'Sheet1'!$A$4","'Sheet1'!$A$9:$G$28"}</definedName>
    <definedName name="ㅅㅅㅅㅅㅅㅅㅅㅅㅅㅅㅅ" hidden="1">{#N/A,#N/A,FALSE,"골재소요량";#N/A,#N/A,FALSE,"골재소요량"}</definedName>
    <definedName name="ㅅ여ㅛ윣ㄴ" hidden="1">{#N/A,#N/A,FALSE,"조골재"}</definedName>
    <definedName name="ㅅ융ㄴㄳ" hidden="1">{#N/A,#N/A,FALSE,"조골재"}</definedName>
    <definedName name="ㅅㅎㄱㄷㅅㄷㄱ" hidden="1">{#N/A,#N/A,FALSE,"표지목차"}</definedName>
    <definedName name="ㅅㅎ공ㅋ" hidden="1">{#N/A,#N/A,FALSE,"단가표지"}</definedName>
    <definedName name="산" localSheetId="22" hidden="1">{"'Sheet1'!$A$4","'Sheet1'!$A$9:$G$28"}</definedName>
    <definedName name="산" localSheetId="18" hidden="1">{"'Sheet1'!$A$4","'Sheet1'!$A$9:$G$28"}</definedName>
    <definedName name="산" localSheetId="8" hidden="1">{"'Sheet1'!$A$4","'Sheet1'!$A$9:$G$28"}</definedName>
    <definedName name="산" localSheetId="3" hidden="1">{"'Sheet1'!$A$4","'Sheet1'!$A$9:$G$28"}</definedName>
    <definedName name="산" localSheetId="24" hidden="1">{"'Sheet1'!$A$4","'Sheet1'!$A$9:$G$28"}</definedName>
    <definedName name="산" localSheetId="20" hidden="1">{"'Sheet1'!$A$4","'Sheet1'!$A$9:$G$28"}</definedName>
    <definedName name="산" localSheetId="4" hidden="1">{"'Sheet1'!$A$4","'Sheet1'!$A$9:$G$28"}</definedName>
    <definedName name="산" hidden="1">{"'Sheet1'!$A$4","'Sheet1'!$A$9:$G$28"}</definedName>
    <definedName name="산재보험료">#REF!</definedName>
    <definedName name="산재보험료_산식">#REF!</definedName>
    <definedName name="산재보험료요율">#REF!</definedName>
    <definedName name="산재보험료요율_변경">#REF!</definedName>
    <definedName name="산출근거" localSheetId="22" hidden="1">#REF!</definedName>
    <definedName name="산출근거" localSheetId="23" hidden="1">#REF!</definedName>
    <definedName name="산출근거" localSheetId="11" hidden="1">#REF!</definedName>
    <definedName name="산출근거" localSheetId="18" hidden="1">#REF!</definedName>
    <definedName name="산출근거" localSheetId="8" hidden="1">#REF!</definedName>
    <definedName name="산출근거" localSheetId="6" hidden="1">#REF!</definedName>
    <definedName name="산출근거" localSheetId="14" hidden="1">#REF!</definedName>
    <definedName name="산출근거" localSheetId="15" hidden="1">#REF!</definedName>
    <definedName name="산출근거" localSheetId="10" hidden="1">#REF!</definedName>
    <definedName name="산출근거" localSheetId="9" hidden="1">#REF!</definedName>
    <definedName name="산출근거" localSheetId="3" hidden="1">#REF!</definedName>
    <definedName name="산출근거" localSheetId="16" hidden="1">#REF!</definedName>
    <definedName name="산출근거" localSheetId="24" hidden="1">#REF!</definedName>
    <definedName name="산출근거" localSheetId="4" hidden="1">#REF!</definedName>
    <definedName name="산출근거" localSheetId="12" hidden="1">#REF!</definedName>
    <definedName name="산출근거" hidden="1">#REF!</definedName>
    <definedName name="새시공">#REF!</definedName>
    <definedName name="서류3" localSheetId="3" hidden="1">{#N/A,"수불부",FALSE,"사급자재수불서";#N/A,"수불부",FALSE,"사급자재수불서"}</definedName>
    <definedName name="서류3" localSheetId="4" hidden="1">{#N/A,"수불부",FALSE,"사급자재수불서";#N/A,"수불부",FALSE,"사급자재수불서"}</definedName>
    <definedName name="서류3" hidden="1">{#N/A,"수불부",FALSE,"사급자재수불서";#N/A,"수불부",FALSE,"사급자재수불서"}</definedName>
    <definedName name="서류4" localSheetId="3" hidden="1">{#N/A,"수불부",FALSE,"사급자재수불서";#N/A,"수불부",FALSE,"사급자재수불서"}</definedName>
    <definedName name="서류4" localSheetId="4" hidden="1">{#N/A,"수불부",FALSE,"사급자재수불서";#N/A,"수불부",FALSE,"사급자재수불서"}</definedName>
    <definedName name="서류4" hidden="1">{#N/A,"수불부",FALSE,"사급자재수불서";#N/A,"수불부",FALSE,"사급자재수불서"}</definedName>
    <definedName name="서류5" localSheetId="3" hidden="1">{#N/A,"수불부",FALSE,"사급자재수불서";#N/A,"수불부",FALSE,"사급자재수불서"}</definedName>
    <definedName name="서류5" localSheetId="4" hidden="1">{#N/A,"수불부",FALSE,"사급자재수불서";#N/A,"수불부",FALSE,"사급자재수불서"}</definedName>
    <definedName name="서류5" hidden="1">{#N/A,"수불부",FALSE,"사급자재수불서";#N/A,"수불부",FALSE,"사급자재수불서"}</definedName>
    <definedName name="석축">#REF!</definedName>
    <definedName name="석축조서">#REF!</definedName>
    <definedName name="석축집계">#REF!</definedName>
    <definedName name="석항" localSheetId="3" hidden="1">{#N/A,#N/A,FALSE,"명세표"}</definedName>
    <definedName name="석항" localSheetId="4" hidden="1">{#N/A,#N/A,FALSE,"명세표"}</definedName>
    <definedName name="석항" hidden="1">{#N/A,#N/A,FALSE,"명세표"}</definedName>
    <definedName name="선부">#REF!</definedName>
    <definedName name="설명판1">#REF!</definedName>
    <definedName name="설명판2">#REF!</definedName>
    <definedName name="설변내역서" localSheetId="22" hidden="1">[24]부경대총괄내역서!#REF!</definedName>
    <definedName name="설변내역서" localSheetId="23" hidden="1">[24]부경대총괄내역서!#REF!</definedName>
    <definedName name="설변내역서" localSheetId="11" hidden="1">[24]부경대총괄내역서!#REF!</definedName>
    <definedName name="설변내역서" localSheetId="18" hidden="1">[24]부경대총괄내역서!#REF!</definedName>
    <definedName name="설변내역서" localSheetId="8" hidden="1">[24]부경대총괄내역서!#REF!</definedName>
    <definedName name="설변내역서" localSheetId="6" hidden="1">[24]부경대총괄내역서!#REF!</definedName>
    <definedName name="설변내역서" localSheetId="14" hidden="1">[24]부경대총괄내역서!#REF!</definedName>
    <definedName name="설변내역서" localSheetId="15" hidden="1">[24]부경대총괄내역서!#REF!</definedName>
    <definedName name="설변내역서" localSheetId="10" hidden="1">[24]부경대총괄내역서!#REF!</definedName>
    <definedName name="설변내역서" localSheetId="9" hidden="1">[24]부경대총괄내역서!#REF!</definedName>
    <definedName name="설변내역서" localSheetId="3" hidden="1">[24]부경대총괄내역서!#REF!</definedName>
    <definedName name="설변내역서" localSheetId="16" hidden="1">[24]부경대총괄내역서!#REF!</definedName>
    <definedName name="설변내역서" localSheetId="24" hidden="1">[24]부경대총괄내역서!#REF!</definedName>
    <definedName name="설변내역서" localSheetId="4" hidden="1">[24]부경대총괄내역서!#REF!</definedName>
    <definedName name="설변내역서" localSheetId="12" hidden="1">[24]부경대총괄내역서!#REF!</definedName>
    <definedName name="설변내역서" hidden="1">[24]부경대총괄내역서!#REF!</definedName>
    <definedName name="성토0.4경">#REF!</definedName>
    <definedName name="성토0.4노">#REF!</definedName>
    <definedName name="성토0.4재">#REF!</definedName>
    <definedName name="성토0.7경">#REF!</definedName>
    <definedName name="성토0.7노">#REF!</definedName>
    <definedName name="성토0.7재">#REF!</definedName>
    <definedName name="센텀베이1차아파트신설공사" localSheetId="10">#REF!</definedName>
    <definedName name="센텀베이1차아파트신설공사" localSheetId="9">#REF!</definedName>
    <definedName name="센텀베이1차아파트인입공사" localSheetId="10">#REF!</definedName>
    <definedName name="센텀베이1차아파트인입공사" localSheetId="9">#REF!</definedName>
    <definedName name="센텀베이1차아파트철거공사" localSheetId="10">#REF!</definedName>
    <definedName name="센텀베이1차아파트철거공사" localSheetId="9">#REF!</definedName>
    <definedName name="소계">#REF!</definedName>
    <definedName name="소방" hidden="1">{"SJ - 기본 보기",#N/A,FALSE,"공사별 외주견적"}</definedName>
    <definedName name="속채움1">#REF!</definedName>
    <definedName name="속채움2">#REF!</definedName>
    <definedName name="송병준" hidden="1">{#N/A,#N/A,FALSE,"명세표"}</definedName>
    <definedName name="송전전공">#REF!</definedName>
    <definedName name="송전활선전공">#REF!</definedName>
    <definedName name="숏" hidden="1">[8]Sheet13!$N$64:$N$131</definedName>
    <definedName name="수" hidden="1">#REF!</definedName>
    <definedName name="수량">#REF!</definedName>
    <definedName name="수목2">#REF!</definedName>
    <definedName name="수목내역서">#REF!</definedName>
    <definedName name="수식1">#REF!</definedName>
    <definedName name="수식2">#REF!</definedName>
    <definedName name="수중토사p1">#REF!</definedName>
    <definedName name="수토1">#REF!</definedName>
    <definedName name="수평연결재">#REF!</definedName>
    <definedName name="순공사비계">#REF!</definedName>
    <definedName name="스1">#REF!</definedName>
    <definedName name="스2">#REF!</definedName>
    <definedName name="스3">#REF!</definedName>
    <definedName name="스마트횡단보도철거" localSheetId="10">'수량산출서(DL)'!#REF!</definedName>
    <definedName name="스마트횡단보도철거" localSheetId="9">'수량산출서(DL)'!#REF!</definedName>
    <definedName name="스페이서수직1">#REF!</definedName>
    <definedName name="스페이서수직2">#REF!</definedName>
    <definedName name="스페이서수평1">#REF!</definedName>
    <definedName name="스페이서수평2">#REF!</definedName>
    <definedName name="슬1">#REF!</definedName>
    <definedName name="슬2">#REF!</definedName>
    <definedName name="슬3">#REF!</definedName>
    <definedName name="시공측량사">#REF!</definedName>
    <definedName name="시공측량사조수">#REF!</definedName>
    <definedName name="시멘트운반경">#REF!</definedName>
    <definedName name="시험보조수">#REF!</definedName>
    <definedName name="시험사1급">#REF!</definedName>
    <definedName name="시험사2급">#REF!</definedName>
    <definedName name="신">#REF!</definedName>
    <definedName name="신도리코">[0]!신도리코</definedName>
    <definedName name="신설" localSheetId="3" hidden="1">{#N/A,#N/A,FALSE,"명세표"}</definedName>
    <definedName name="신설" localSheetId="4" hidden="1">{#N/A,#N/A,FALSE,"명세표"}</definedName>
    <definedName name="신설" hidden="1">{#N/A,#N/A,FALSE,"명세표"}</definedName>
    <definedName name="신설집계">'xx폐기물집계 (2)'!$A$76:$K$141</definedName>
    <definedName name="신설포장" localSheetId="22" hidden="1">#REF!</definedName>
    <definedName name="신설포장" localSheetId="23" hidden="1">#REF!</definedName>
    <definedName name="신설포장" localSheetId="11" hidden="1">#REF!</definedName>
    <definedName name="신설포장" localSheetId="18" hidden="1">#REF!</definedName>
    <definedName name="신설포장" localSheetId="8" hidden="1">#REF!</definedName>
    <definedName name="신설포장" localSheetId="6" hidden="1">#REF!</definedName>
    <definedName name="신설포장" localSheetId="14" hidden="1">#REF!</definedName>
    <definedName name="신설포장" localSheetId="15" hidden="1">#REF!</definedName>
    <definedName name="신설포장" localSheetId="10" hidden="1">#REF!</definedName>
    <definedName name="신설포장" localSheetId="9" hidden="1">#REF!</definedName>
    <definedName name="신설포장" localSheetId="3" hidden="1">#REF!</definedName>
    <definedName name="신설포장" localSheetId="16" hidden="1">#REF!</definedName>
    <definedName name="신설포장" localSheetId="24" hidden="1">#REF!</definedName>
    <definedName name="신설포장" localSheetId="4" hidden="1">#REF!</definedName>
    <definedName name="신설포장" localSheetId="12" hidden="1">#REF!</definedName>
    <definedName name="신설포장" hidden="1">#REF!</definedName>
    <definedName name="신성" hidden="1">{#N/A,#N/A,TRUE,"손익보고"}</definedName>
    <definedName name="신청서출력">[0]!신청서출력</definedName>
    <definedName name="신호등01">'수량산출서(DL)'!$B$106:$H$200</definedName>
    <definedName name="신호등02">'수량산출서(DL)'!$B$201:$H$248</definedName>
    <definedName name="신호등03">'수량산출서(DL)'!$B$249:$H$320</definedName>
    <definedName name="신호등집계">'산출집계(신호등)'!$A$3:$U$62</definedName>
    <definedName name="신홍선" hidden="1">{#N/A,#N/A,TRUE,"총괄"}</definedName>
    <definedName name="실잔여분" localSheetId="22" hidden="1">#REF!</definedName>
    <definedName name="실잔여분" localSheetId="23" hidden="1">#REF!</definedName>
    <definedName name="실잔여분" localSheetId="11" hidden="1">#REF!</definedName>
    <definedName name="실잔여분" localSheetId="18" hidden="1">#REF!</definedName>
    <definedName name="실잔여분" localSheetId="8" hidden="1">#REF!</definedName>
    <definedName name="실잔여분" localSheetId="6" hidden="1">#REF!</definedName>
    <definedName name="실잔여분" localSheetId="14" hidden="1">#REF!</definedName>
    <definedName name="실잔여분" localSheetId="15" hidden="1">#REF!</definedName>
    <definedName name="실잔여분" localSheetId="10" hidden="1">#REF!</definedName>
    <definedName name="실잔여분" localSheetId="9" hidden="1">#REF!</definedName>
    <definedName name="실잔여분" localSheetId="3" hidden="1">#REF!</definedName>
    <definedName name="실잔여분" localSheetId="16" hidden="1">#REF!</definedName>
    <definedName name="실잔여분" localSheetId="24" hidden="1">#REF!</definedName>
    <definedName name="실잔여분" localSheetId="4" hidden="1">#REF!</definedName>
    <definedName name="실잔여분" localSheetId="12" hidden="1">#REF!</definedName>
    <definedName name="실잔여분" hidden="1">#REF!</definedName>
    <definedName name="실행추" hidden="1">{#N/A,#N/A,FALSE,"포장2"}</definedName>
    <definedName name="씨">#REF!</definedName>
    <definedName name="씨그마ck">#REF!</definedName>
    <definedName name="씨그마y">#REF!</definedName>
    <definedName name="ㅇ" hidden="1">{"'Sheet1'!$A$4","'Sheet1'!$A$9:$G$28"}</definedName>
    <definedName name="ㅇㄱ효" hidden="1">{#N/A,#N/A,FALSE,"조골재"}</definedName>
    <definedName name="ㅇㄴ" hidden="1">{#N/A,#N/A,FALSE,"구조2"}</definedName>
    <definedName name="ㅇㄴㄴㄴㄴㄴㄴㄴㄴㄴ" hidden="1">{#N/A,#N/A,FALSE,"혼합골재"}</definedName>
    <definedName name="ㅇㄴㄹ" hidden="1">[25]차액보증!#REF!</definedName>
    <definedName name="ㅇㄴㄹㄴㅇ" localSheetId="3" hidden="1">{#N/A,"수불부",FALSE,"사급자재수불서";#N/A,"수불부",FALSE,"사급자재수불서"}</definedName>
    <definedName name="ㅇㄴㄹㄴㅇ" localSheetId="4" hidden="1">{#N/A,"수불부",FALSE,"사급자재수불서";#N/A,"수불부",FALSE,"사급자재수불서"}</definedName>
    <definedName name="ㅇㄴㄹㄴㅇ" hidden="1">{#N/A,"수불부",FALSE,"사급자재수불서";#N/A,"수불부",FALSE,"사급자재수불서"}</definedName>
    <definedName name="ㅇㄴㄹㅇㄴ" hidden="1">[8]Sheet13!$S$48:$AV$48</definedName>
    <definedName name="ㅇㄴㄹㅇㄴㄹㅇㄴ" hidden="1">{#N/A,#N/A,FALSE,"조골재"}</definedName>
    <definedName name="ㅇㄴㄻㅎㅈㄷㅈㄷㄴ" localSheetId="22" hidden="1">{"'Sheet1'!$D$19","'Sheet1'!$B$22:$E$22"}</definedName>
    <definedName name="ㅇㄴㄻㅎㅈㄷㅈㄷㄴ" localSheetId="18" hidden="1">{"'Sheet1'!$D$19","'Sheet1'!$B$22:$E$22"}</definedName>
    <definedName name="ㅇㄴㄻㅎㅈㄷㅈㄷㄴ" localSheetId="8" hidden="1">{"'Sheet1'!$D$19","'Sheet1'!$B$22:$E$22"}</definedName>
    <definedName name="ㅇㄴㄻㅎㅈㄷㅈㄷㄴ" localSheetId="3" hidden="1">{"'Sheet1'!$D$19","'Sheet1'!$B$22:$E$22"}</definedName>
    <definedName name="ㅇㄴㄻㅎㅈㄷㅈㄷㄴ" localSheetId="4" hidden="1">{"'Sheet1'!$D$19","'Sheet1'!$B$22:$E$22"}</definedName>
    <definedName name="ㅇㄴㄻㅎㅈㄷㅈㄷㄴ" localSheetId="17" hidden="1">{"'Sheet1'!$D$19","'Sheet1'!$B$22:$E$22"}</definedName>
    <definedName name="ㅇㄴㄻㅎㅈㄷㅈㄷㄴ" hidden="1">{"'Sheet1'!$D$19","'Sheet1'!$B$22:$E$22"}</definedName>
    <definedName name="ㅇㄴㅁㄹㅇㄻㅇㄹㄴㅇ" localSheetId="3" hidden="1">{#N/A,"수불부",FALSE,"사급자재수불서";#N/A,"수불부",FALSE,"사급자재수불서"}</definedName>
    <definedName name="ㅇㄴㅁㄹㅇㄻㅇㄹㄴㅇ" localSheetId="4" hidden="1">{#N/A,"수불부",FALSE,"사급자재수불서";#N/A,"수불부",FALSE,"사급자재수불서"}</definedName>
    <definedName name="ㅇㄴㅁㄹㅇㄻㅇㄹㄴㅇ" hidden="1">{#N/A,"수불부",FALSE,"사급자재수불서";#N/A,"수불부",FALSE,"사급자재수불서"}</definedName>
    <definedName name="ㅇㄴㅇㄹ" hidden="1">[8]Sheet13!$O$64:$O$131</definedName>
    <definedName name="ㅇㄴㅇㄹㄴㅁ" hidden="1">[8]Sheet13!$N$202:$N$271</definedName>
    <definedName name="ㅇㄴㅇㅇ" hidden="1">[8]Sheet13!$N$272:$N$341</definedName>
    <definedName name="ㅇㄴㅊ" hidden="1">[8]Sheet14!$M$61:$M$130</definedName>
    <definedName name="ㅇㄴㅋㅋㅌ" hidden="1">{#N/A,#N/A,FALSE,"혼합골재"}</definedName>
    <definedName name="ㅇㄴㅍㄴㄱ" hidden="1">{#N/A,#N/A,FALSE,"골재소요량";#N/A,#N/A,FALSE,"골재소요량"}</definedName>
    <definedName name="ㅇㄶㄹㄷㄱㄹㅈ" localSheetId="3" hidden="1">{#N/A,"수불부",FALSE,"사급자재수불서";#N/A,"수불부",FALSE,"사급자재수불서"}</definedName>
    <definedName name="ㅇㄶㄹㄷㄱㄹㅈ" localSheetId="4" hidden="1">{#N/A,"수불부",FALSE,"사급자재수불서";#N/A,"수불부",FALSE,"사급자재수불서"}</definedName>
    <definedName name="ㅇㄶㄹㄷㄱㄹㅈ" hidden="1">{#N/A,"수불부",FALSE,"사급자재수불서";#N/A,"수불부",FALSE,"사급자재수불서"}</definedName>
    <definedName name="ㅇㄶㅁㄴㄱㄷ" localSheetId="3" hidden="1">{#N/A,"수불부",FALSE,"사급자재수불서";#N/A,"수불부",FALSE,"사급자재수불서"}</definedName>
    <definedName name="ㅇㄶㅁㄴㄱㄷ" localSheetId="4" hidden="1">{#N/A,"수불부",FALSE,"사급자재수불서";#N/A,"수불부",FALSE,"사급자재수불서"}</definedName>
    <definedName name="ㅇㄶㅁㄴㄱㄷ" hidden="1">{#N/A,"수불부",FALSE,"사급자재수불서";#N/A,"수불부",FALSE,"사급자재수불서"}</definedName>
    <definedName name="ㅇㄶㅁㄷㄱㄹㅈ" localSheetId="3" hidden="1">{#N/A,"수불부",FALSE,"사급자재수불서";#N/A,"수불부",FALSE,"사급자재수불서"}</definedName>
    <definedName name="ㅇㄶㅁㄷㄱㄹㅈ" localSheetId="4" hidden="1">{#N/A,"수불부",FALSE,"사급자재수불서";#N/A,"수불부",FALSE,"사급자재수불서"}</definedName>
    <definedName name="ㅇㄶㅁㄷㄱㄹㅈ" hidden="1">{#N/A,"수불부",FALSE,"사급자재수불서";#N/A,"수불부",FALSE,"사급자재수불서"}</definedName>
    <definedName name="ㅇㄹ" localSheetId="3" hidden="1">{#N/A,"수불부",FALSE,"사급자재수불서";#N/A,"수불부",FALSE,"사급자재수불서"}</definedName>
    <definedName name="ㅇㄹ" localSheetId="4" hidden="1">{#N/A,"수불부",FALSE,"사급자재수불서";#N/A,"수불부",FALSE,"사급자재수불서"}</definedName>
    <definedName name="ㅇㄹ" hidden="1">{#N/A,"수불부",FALSE,"사급자재수불서";#N/A,"수불부",FALSE,"사급자재수불서"}</definedName>
    <definedName name="ㅇㄹㄴ" localSheetId="3" hidden="1">{#N/A,"수불부",FALSE,"사급자재수불서";#N/A,"수불부",FALSE,"사급자재수불서"}</definedName>
    <definedName name="ㅇㄹㄴ" localSheetId="4" hidden="1">{#N/A,"수불부",FALSE,"사급자재수불서";#N/A,"수불부",FALSE,"사급자재수불서"}</definedName>
    <definedName name="ㅇㄹㄴ" hidden="1">{#N/A,"수불부",FALSE,"사급자재수불서";#N/A,"수불부",FALSE,"사급자재수불서"}</definedName>
    <definedName name="ㅇㄹㄴㄹ" hidden="1">[8]Sheet13!$O$131:$O$201</definedName>
    <definedName name="ㅇㄹㄴㅀㄹㅇㅎㄹㅇㅎ" hidden="1">{#N/A,#N/A,FALSE,"2~8번"}</definedName>
    <definedName name="ㅇㄹㄴㅁㅇㄹ" hidden="1">[8]Sheet13!$O$202:$O$271</definedName>
    <definedName name="ㅇㄹㄴㅁㅎㅁㄴ" localSheetId="3" hidden="1">{#N/A,"수불부",FALSE,"사급자재수불서";#N/A,"수불부",FALSE,"사급자재수불서"}</definedName>
    <definedName name="ㅇㄹㄴㅁㅎㅁㄴ" localSheetId="4" hidden="1">{#N/A,"수불부",FALSE,"사급자재수불서";#N/A,"수불부",FALSE,"사급자재수불서"}</definedName>
    <definedName name="ㅇㄹㄴㅁㅎㅁㄴ" hidden="1">{#N/A,"수불부",FALSE,"사급자재수불서";#N/A,"수불부",FALSE,"사급자재수불서"}</definedName>
    <definedName name="ㅇㄹㄶ" localSheetId="22" hidden="1">{"'Sheet1'!$A$4","'Sheet1'!$A$9:$G$28"}</definedName>
    <definedName name="ㅇㄹㄶ" localSheetId="18" hidden="1">{"'Sheet1'!$A$4","'Sheet1'!$A$9:$G$28"}</definedName>
    <definedName name="ㅇㄹㄶ" localSheetId="8" hidden="1">{"'Sheet1'!$A$4","'Sheet1'!$A$9:$G$28"}</definedName>
    <definedName name="ㅇㄹㄶ" localSheetId="3" hidden="1">{"'Sheet1'!$A$4","'Sheet1'!$A$9:$G$28"}</definedName>
    <definedName name="ㅇㄹㄶ" localSheetId="24" hidden="1">{"'Sheet1'!$A$4","'Sheet1'!$A$9:$G$28"}</definedName>
    <definedName name="ㅇㄹㄶ" localSheetId="20" hidden="1">{"'Sheet1'!$A$4","'Sheet1'!$A$9:$G$28"}</definedName>
    <definedName name="ㅇㄹㄶ" localSheetId="4" hidden="1">{"'Sheet1'!$A$4","'Sheet1'!$A$9:$G$28"}</definedName>
    <definedName name="ㅇㄹㄶ" localSheetId="17" hidden="1">{"'Sheet1'!$A$4","'Sheet1'!$A$9:$G$28"}</definedName>
    <definedName name="ㅇㄹㄶ" hidden="1">{"'Sheet1'!$A$4","'Sheet1'!$A$9:$G$28"}</definedName>
    <definedName name="ㅇㄹㄹ" localSheetId="22" hidden="1">#REF!</definedName>
    <definedName name="ㅇㄹㄹ" localSheetId="23" hidden="1">#REF!</definedName>
    <definedName name="ㅇㄹㄹ" localSheetId="11" hidden="1">#REF!</definedName>
    <definedName name="ㅇㄹㄹ" localSheetId="18" hidden="1">#REF!</definedName>
    <definedName name="ㅇㄹㄹ" localSheetId="8" hidden="1">#REF!</definedName>
    <definedName name="ㅇㄹㄹ" localSheetId="6" hidden="1">#REF!</definedName>
    <definedName name="ㅇㄹㄹ" localSheetId="14" hidden="1">#REF!</definedName>
    <definedName name="ㅇㄹㄹ" localSheetId="15" hidden="1">#REF!</definedName>
    <definedName name="ㅇㄹㄹ" localSheetId="10" hidden="1">#REF!</definedName>
    <definedName name="ㅇㄹㄹ" localSheetId="9" hidden="1">#REF!</definedName>
    <definedName name="ㅇㄹㄹ" localSheetId="3" hidden="1">#REF!</definedName>
    <definedName name="ㅇㄹㄹ" localSheetId="16" hidden="1">#REF!</definedName>
    <definedName name="ㅇㄹㄹ" localSheetId="24" hidden="1">#REF!</definedName>
    <definedName name="ㅇㄹㄹ" localSheetId="4" hidden="1">#REF!</definedName>
    <definedName name="ㅇㄹㄹ" localSheetId="12" hidden="1">#REF!</definedName>
    <definedName name="ㅇㄹㄹ" hidden="1">#REF!</definedName>
    <definedName name="ㅇㄹㅇㅁㄴㄹㅇ" hidden="1">[8]Sheet13!$N$131:$N$201</definedName>
    <definedName name="ㅇㄺ" hidden="1">{#N/A,#N/A,FALSE,"혼합골재"}</definedName>
    <definedName name="ㅇㄻㄴㅀ" localSheetId="3" hidden="1">{#N/A,"수불부",FALSE,"사급자재수불서";#N/A,"수불부",FALSE,"사급자재수불서"}</definedName>
    <definedName name="ㅇㄻㄴㅀ" localSheetId="4" hidden="1">{#N/A,"수불부",FALSE,"사급자재수불서";#N/A,"수불부",FALSE,"사급자재수불서"}</definedName>
    <definedName name="ㅇㄻㄴㅀ" hidden="1">{#N/A,"수불부",FALSE,"사급자재수불서";#N/A,"수불부",FALSE,"사급자재수불서"}</definedName>
    <definedName name="ㅇㅀㅎㅎㅎㅎㅎㅎㅎㅎㅎㅎㅎㅎㅎㅎㅎ" hidden="1">{#N/A,#N/A,FALSE,"구조2"}</definedName>
    <definedName name="ㅇㅁㄴㄹㅇ" hidden="1">[8]Sheet13!$O$272:$O$341</definedName>
    <definedName name="ㅇㅁㄶㄴㅇㅁㅀㅇㄴ" localSheetId="3" hidden="1">{#N/A,"수불부",FALSE,"사급자재수불서";#N/A,"수불부",FALSE,"사급자재수불서"}</definedName>
    <definedName name="ㅇㅁㄶㄴㅇㅁㅀㅇㄴ" localSheetId="4" hidden="1">{#N/A,"수불부",FALSE,"사급자재수불서";#N/A,"수불부",FALSE,"사급자재수불서"}</definedName>
    <definedName name="ㅇㅁㄶㄴㅇㅁㅀㅇㄴ" hidden="1">{#N/A,"수불부",FALSE,"사급자재수불서";#N/A,"수불부",FALSE,"사급자재수불서"}</definedName>
    <definedName name="ㅇ쇼뉴굔" hidden="1">{#N/A,#N/A,FALSE,"조골재"}</definedName>
    <definedName name="ㅇ수ㅕㅜㅇ" hidden="1">{#N/A,#N/A,FALSE,"단가표지"}</definedName>
    <definedName name="ㅇㅇ" localSheetId="3" hidden="1">{#N/A,"수불부",FALSE,"사급자재수불서";#N/A,"수불부",FALSE,"사급자재수불서"}</definedName>
    <definedName name="ㅇㅇ" localSheetId="4" hidden="1">{#N/A,"수불부",FALSE,"사급자재수불서";#N/A,"수불부",FALSE,"사급자재수불서"}</definedName>
    <definedName name="ㅇㅇ" hidden="1">{#N/A,"수불부",FALSE,"사급자재수불서";#N/A,"수불부",FALSE,"사급자재수불서"}</definedName>
    <definedName name="ㅇㅇㄴㄴㅇㄹ" hidden="1">[8]Sheet13!$O$131:$O$201</definedName>
    <definedName name="ㅇㅇㄴㅇㄴ" hidden="1">[8]Sheet14!$L$61:$L$130</definedName>
    <definedName name="ㅇㅇㄴㅇㅁㅇㄴㄹ" hidden="1">[8]Sheet14!$M$201:$M$270</definedName>
    <definedName name="ㅇㅇㄹㄹㅇ" hidden="1">[8]Sheet14!$M$201:$M$270</definedName>
    <definedName name="ㅇㅇㄹㄹㅇㄹ" hidden="1">[8]Sheet14!$Q$48:$AT$48</definedName>
    <definedName name="ㅇㅇㅇㄴ" hidden="1">[8]Sheet13!$O$272:$O$341</definedName>
    <definedName name="ㅇㅇㅇㅇ" localSheetId="22" hidden="1">#REF!</definedName>
    <definedName name="ㅇㅇㅇㅇ" localSheetId="23" hidden="1">#REF!</definedName>
    <definedName name="ㅇㅇㅇㅇ" localSheetId="11" hidden="1">#REF!</definedName>
    <definedName name="ㅇㅇㅇㅇ" localSheetId="18" hidden="1">#REF!</definedName>
    <definedName name="ㅇㅇㅇㅇ" localSheetId="8" hidden="1">#REF!</definedName>
    <definedName name="ㅇㅇㅇㅇ" localSheetId="6" hidden="1">#REF!</definedName>
    <definedName name="ㅇㅇㅇㅇ" localSheetId="14" hidden="1">#REF!</definedName>
    <definedName name="ㅇㅇㅇㅇ" localSheetId="15" hidden="1">#REF!</definedName>
    <definedName name="ㅇㅇㅇㅇ" localSheetId="10" hidden="1">#REF!</definedName>
    <definedName name="ㅇㅇㅇㅇ" localSheetId="9" hidden="1">#REF!</definedName>
    <definedName name="ㅇㅇㅇㅇ" localSheetId="3" hidden="1">#REF!</definedName>
    <definedName name="ㅇㅇㅇㅇ" localSheetId="16" hidden="1">#REF!</definedName>
    <definedName name="ㅇㅇㅇㅇ" localSheetId="4" hidden="1">#REF!</definedName>
    <definedName name="ㅇㅇㅇㅇ" localSheetId="12" hidden="1">#REF!</definedName>
    <definedName name="ㅇㅇㅇㅇ" hidden="1">#REF!</definedName>
    <definedName name="ㅇㅈㄷㅄㅂㅈㄷㄱ" hidden="1">#REF!</definedName>
    <definedName name="ㅇㅍㄴㅁ3" hidden="1">{#N/A,#N/A,FALSE,"조골재"}</definedName>
    <definedName name="ㅇㅎㅁㅇㅎㄴㅇㅁ" localSheetId="3" hidden="1">{#N/A,"수불부",FALSE,"사급자재수불서";#N/A,"수불부",FALSE,"사급자재수불서"}</definedName>
    <definedName name="ㅇㅎㅁㅇㅎㄴㅇㅁ" localSheetId="4" hidden="1">{#N/A,"수불부",FALSE,"사급자재수불서";#N/A,"수불부",FALSE,"사급자재수불서"}</definedName>
    <definedName name="ㅇㅎㅁㅇㅎㄴㅇㅁ" hidden="1">{#N/A,"수불부",FALSE,"사급자재수불서";#N/A,"수불부",FALSE,"사급자재수불서"}</definedName>
    <definedName name="ㅇㅎㅇㅀ" hidden="1">{#N/A,#N/A,FALSE,"단가표지"}</definedName>
    <definedName name="아러ㅏ러" hidden="1">{"'Firr(선)'!$AS$1:$AY$62","'Firr(사)'!$AS$1:$AY$62","'Firr(회)'!$AS$1:$AY$62","'Firr(선)'!$L$1:$V$62","'Firr(사)'!$L$1:$V$62","'Firr(회)'!$L$1:$V$62"}</definedName>
    <definedName name="아무건다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스콘중기운반경">#REF!</definedName>
    <definedName name="아스콘중기운반노">#REF!</definedName>
    <definedName name="아스콘중기운반재">#REF!</definedName>
    <definedName name="아스콘토적">#REF!</definedName>
    <definedName name="아스콘포설경">#REF!</definedName>
    <definedName name="아스콘포설노">#REF!</definedName>
    <definedName name="아스콘포설재">#REF!</definedName>
    <definedName name="아스팔트운반경">#REF!</definedName>
    <definedName name="안벽">#REF!</definedName>
    <definedName name="안전관리비">#REF!</definedName>
    <definedName name="안전관리비_산식">#REF!</definedName>
    <definedName name="안전관리비요율">#REF!</definedName>
    <definedName name="안전관리비요율_변경">#REF!</definedName>
    <definedName name="알d">#REF!</definedName>
    <definedName name="알파1">#REF!</definedName>
    <definedName name="알파2">#REF!</definedName>
    <definedName name="암거공자재집계">#REF!</definedName>
    <definedName name="암거기초수량">#REF!</definedName>
    <definedName name="암거날개벽기초수량">#REF!</definedName>
    <definedName name="암거조서">#REF!</definedName>
    <definedName name="앤" hidden="1">[8]Sheet14!$L$61:$L$130</definedName>
    <definedName name="앨c">#REF!</definedName>
    <definedName name="앨e">#REF!</definedName>
    <definedName name="야면석경">#REF!</definedName>
    <definedName name="야면석노">#REF!</definedName>
    <definedName name="야면석재">#REF!</definedName>
    <definedName name="야면석채집">#REF!</definedName>
    <definedName name="양생1">#REF!</definedName>
    <definedName name="양생2">#REF!</definedName>
    <definedName name="어랑너ㅣㄹㄴㅇ" localSheetId="3" hidden="1">{#N/A,"수불부",FALSE,"사급자재수불서";#N/A,"수불부",FALSE,"사급자재수불서"}</definedName>
    <definedName name="어랑너ㅣㄹㄴㅇ" localSheetId="4" hidden="1">{#N/A,"수불부",FALSE,"사급자재수불서";#N/A,"수불부",FALSE,"사급자재수불서"}</definedName>
    <definedName name="어랑너ㅣㄹㄴㅇ" hidden="1">{#N/A,"수불부",FALSE,"사급자재수불서";#N/A,"수불부",FALSE,"사급자재수불서"}</definedName>
    <definedName name="여ㅜㅅㅅㄱㅇ" hidden="1">{#N/A,#N/A,FALSE,"골재소요량";#N/A,#N/A,FALSE,"골재소요량"}</definedName>
    <definedName name="연간단가" hidden="1">{#N/A,#N/A,FALSE,"명세표"}</definedName>
    <definedName name="연경1교" localSheetId="3" hidden="1">{#N/A,#N/A,FALSE,"단면 제원"}</definedName>
    <definedName name="연경1교" localSheetId="4" hidden="1">{#N/A,#N/A,FALSE,"단면 제원"}</definedName>
    <definedName name="연경1교" hidden="1">{#N/A,#N/A,FALSE,"단면 제원"}</definedName>
    <definedName name="연경1교1" localSheetId="3" hidden="1">{#N/A,#N/A,FALSE,"단면 제원"}</definedName>
    <definedName name="연경1교1" localSheetId="4" hidden="1">{#N/A,#N/A,FALSE,"단면 제원"}</definedName>
    <definedName name="연경1교1" hidden="1">{#N/A,#N/A,FALSE,"단면 제원"}</definedName>
    <definedName name="연마공">#REF!</definedName>
    <definedName name="염색기술3" hidden="1">{#N/A,#N/A,TRUE,"손익보고"}</definedName>
    <definedName name="영남2차신설공사" localSheetId="10">#REF!</definedName>
    <definedName name="영남2차신설공사" localSheetId="9">#REF!</definedName>
    <definedName name="영남2차인입공사" localSheetId="10">#REF!</definedName>
    <definedName name="영남2차인입공사" localSheetId="9">#REF!</definedName>
    <definedName name="예가작성">[0]!예가작성</definedName>
    <definedName name="예산" hidden="1">{#N/A,#N/A,TRUE,"손익보고"}</definedName>
    <definedName name="오수맨홀위치" localSheetId="22" hidden="1">{"'Sheet1'!$A$4","'Sheet1'!$A$9:$G$28"}</definedName>
    <definedName name="오수맨홀위치" localSheetId="18" hidden="1">{"'Sheet1'!$A$4","'Sheet1'!$A$9:$G$28"}</definedName>
    <definedName name="오수맨홀위치" localSheetId="8" hidden="1">{"'Sheet1'!$A$4","'Sheet1'!$A$9:$G$28"}</definedName>
    <definedName name="오수맨홀위치" localSheetId="3" hidden="1">{"'Sheet1'!$A$4","'Sheet1'!$A$9:$G$28"}</definedName>
    <definedName name="오수맨홀위치" localSheetId="24" hidden="1">{"'Sheet1'!$A$4","'Sheet1'!$A$9:$G$28"}</definedName>
    <definedName name="오수맨홀위치" localSheetId="20" hidden="1">{"'Sheet1'!$A$4","'Sheet1'!$A$9:$G$28"}</definedName>
    <definedName name="오수맨홀위치" localSheetId="4" hidden="1">{"'Sheet1'!$A$4","'Sheet1'!$A$9:$G$28"}</definedName>
    <definedName name="오수맨홀위치" localSheetId="17" hidden="1">{"'Sheet1'!$A$4","'Sheet1'!$A$9:$G$28"}</definedName>
    <definedName name="오수맨홀위치" hidden="1">{"'Sheet1'!$A$4","'Sheet1'!$A$9:$G$28"}</definedName>
    <definedName name="오오오">#REF!</definedName>
    <definedName name="옹2되">#REF!</definedName>
    <definedName name="옹2부">#REF!</definedName>
    <definedName name="옹2블캡">#REF!</definedName>
    <definedName name="옹2블표">#REF!</definedName>
    <definedName name="옹2상">#REF!</definedName>
    <definedName name="옹2속">#REF!</definedName>
    <definedName name="옹2잔">#REF!</definedName>
    <definedName name="옹2잡">#REF!</definedName>
    <definedName name="옹2지1">#REF!</definedName>
    <definedName name="옹2지2">#REF!</definedName>
    <definedName name="옹2지3">#REF!</definedName>
    <definedName name="옹2터">#REF!</definedName>
    <definedName name="옹2합">#REF!</definedName>
    <definedName name="옹되">#REF!</definedName>
    <definedName name="옹벼집계" hidden="1">{#N/A,#N/A,FALSE,"혼합골재"}</definedName>
    <definedName name="옹벽" hidden="1">{#N/A,#N/A,FALSE,"표지목차"}</definedName>
    <definedName name="옹벽공" localSheetId="22" hidden="1">#REF!</definedName>
    <definedName name="옹벽공" localSheetId="23" hidden="1">#REF!</definedName>
    <definedName name="옹벽공" localSheetId="11" hidden="1">#REF!</definedName>
    <definedName name="옹벽공" localSheetId="18" hidden="1">#REF!</definedName>
    <definedName name="옹벽공" localSheetId="8" hidden="1">#REF!</definedName>
    <definedName name="옹벽공" localSheetId="6" hidden="1">#REF!</definedName>
    <definedName name="옹벽공" localSheetId="14" hidden="1">#REF!</definedName>
    <definedName name="옹벽공" localSheetId="15" hidden="1">#REF!</definedName>
    <definedName name="옹벽공" localSheetId="10" hidden="1">#REF!</definedName>
    <definedName name="옹벽공" localSheetId="9" hidden="1">#REF!</definedName>
    <definedName name="옹벽공" localSheetId="3" hidden="1">#REF!</definedName>
    <definedName name="옹벽공" localSheetId="16" hidden="1">#REF!</definedName>
    <definedName name="옹벽공" localSheetId="24" hidden="1">#REF!</definedName>
    <definedName name="옹벽공" localSheetId="4" hidden="1">#REF!</definedName>
    <definedName name="옹벽공" localSheetId="12" hidden="1">#REF!</definedName>
    <definedName name="옹벽공" hidden="1">#REF!</definedName>
    <definedName name="옹벽내역" localSheetId="22" hidden="1">#REF!</definedName>
    <definedName name="옹벽내역" localSheetId="23" hidden="1">#REF!</definedName>
    <definedName name="옹벽내역" localSheetId="11" hidden="1">#REF!</definedName>
    <definedName name="옹벽내역" localSheetId="18" hidden="1">#REF!</definedName>
    <definedName name="옹벽내역" localSheetId="8" hidden="1">#REF!</definedName>
    <definedName name="옹벽내역" localSheetId="6" hidden="1">#REF!</definedName>
    <definedName name="옹벽내역" localSheetId="14" hidden="1">#REF!</definedName>
    <definedName name="옹벽내역" localSheetId="15" hidden="1">#REF!</definedName>
    <definedName name="옹벽내역" localSheetId="10" hidden="1">#REF!</definedName>
    <definedName name="옹벽내역" localSheetId="9" hidden="1">#REF!</definedName>
    <definedName name="옹벽내역" localSheetId="3" hidden="1">#REF!</definedName>
    <definedName name="옹벽내역" localSheetId="16" hidden="1">#REF!</definedName>
    <definedName name="옹벽내역" localSheetId="24" hidden="1">#REF!</definedName>
    <definedName name="옹벽내역" localSheetId="4" hidden="1">#REF!</definedName>
    <definedName name="옹벽내역" localSheetId="12" hidden="1">#REF!</definedName>
    <definedName name="옹벽내역" hidden="1">#REF!</definedName>
    <definedName name="옹벽지" hidden="1">{#N/A,#N/A,FALSE,"혼합골재"}</definedName>
    <definedName name="옹부">#REF!</definedName>
    <definedName name="옹블캡">#REF!</definedName>
    <definedName name="옹블표">#REF!</definedName>
    <definedName name="옹상">#REF!</definedName>
    <definedName name="옹속">#REF!</definedName>
    <definedName name="옹잔">#REF!</definedName>
    <definedName name="옹잡">#REF!</definedName>
    <definedName name="옹지1">#REF!</definedName>
    <definedName name="옹지2">#REF!</definedName>
    <definedName name="옹지3">#REF!</definedName>
    <definedName name="옹터">#REF!</definedName>
    <definedName name="옹합">#REF!</definedName>
    <definedName name="용수로재료집계" localSheetId="22" hidden="1">{"'Sheet1'!$A$4","'Sheet1'!$A$9:$G$28"}</definedName>
    <definedName name="용수로재료집계" localSheetId="18" hidden="1">{"'Sheet1'!$A$4","'Sheet1'!$A$9:$G$28"}</definedName>
    <definedName name="용수로재료집계" localSheetId="8" hidden="1">{"'Sheet1'!$A$4","'Sheet1'!$A$9:$G$28"}</definedName>
    <definedName name="용수로재료집계" localSheetId="3" hidden="1">{"'Sheet1'!$A$4","'Sheet1'!$A$9:$G$28"}</definedName>
    <definedName name="용수로재료집계" localSheetId="24" hidden="1">{"'Sheet1'!$A$4","'Sheet1'!$A$9:$G$28"}</definedName>
    <definedName name="용수로재료집계" localSheetId="20" hidden="1">{"'Sheet1'!$A$4","'Sheet1'!$A$9:$G$28"}</definedName>
    <definedName name="용수로재료집계" localSheetId="4" hidden="1">{"'Sheet1'!$A$4","'Sheet1'!$A$9:$G$28"}</definedName>
    <definedName name="용수로재료집계" localSheetId="17" hidden="1">{"'Sheet1'!$A$4","'Sheet1'!$A$9:$G$28"}</definedName>
    <definedName name="용수로재료집계" hidden="1">{"'Sheet1'!$A$4","'Sheet1'!$A$9:$G$28"}</definedName>
    <definedName name="용접공">#REF!</definedName>
    <definedName name="용접공_철도">#REF!</definedName>
    <definedName name="용접노">#REF!</definedName>
    <definedName name="용접재">#REF!</definedName>
    <definedName name="우안" localSheetId="22" hidden="1">{"'Sheet1'!$A$4","'Sheet1'!$A$9:$G$28"}</definedName>
    <definedName name="우안" localSheetId="18" hidden="1">{"'Sheet1'!$A$4","'Sheet1'!$A$9:$G$28"}</definedName>
    <definedName name="우안" localSheetId="8" hidden="1">{"'Sheet1'!$A$4","'Sheet1'!$A$9:$G$28"}</definedName>
    <definedName name="우안" localSheetId="3" hidden="1">{"'Sheet1'!$A$4","'Sheet1'!$A$9:$G$28"}</definedName>
    <definedName name="우안" localSheetId="24" hidden="1">{"'Sheet1'!$A$4","'Sheet1'!$A$9:$G$28"}</definedName>
    <definedName name="우안" localSheetId="20" hidden="1">{"'Sheet1'!$A$4","'Sheet1'!$A$9:$G$28"}</definedName>
    <definedName name="우안" localSheetId="4" hidden="1">{"'Sheet1'!$A$4","'Sheet1'!$A$9:$G$28"}</definedName>
    <definedName name="우안" hidden="1">{"'Sheet1'!$A$4","'Sheet1'!$A$9:$G$28"}</definedName>
    <definedName name="운반차운전사">#REF!</definedName>
    <definedName name="운전사기계">#REF!</definedName>
    <definedName name="운전사운반차">#REF!</definedName>
    <definedName name="웃ㅇ국ㅇ" hidden="1">{#N/A,#N/A,FALSE,"혼합골재"}</definedName>
    <definedName name="원형1">#REF!</definedName>
    <definedName name="원형2">#REF!</definedName>
    <definedName name="월곶초등학교철거공사" localSheetId="10">'수량산출서(DL)'!#REF!</definedName>
    <definedName name="월곶초등학교철거공사" localSheetId="9">'수량산출서(DL)'!#REF!</definedName>
    <definedName name="월명출력">[0]!월명출력</definedName>
    <definedName name="위" localSheetId="22" hidden="1">{"'Sheet1'!$A$4","'Sheet1'!$A$9:$G$28"}</definedName>
    <definedName name="위" localSheetId="18" hidden="1">{"'Sheet1'!$A$4","'Sheet1'!$A$9:$G$28"}</definedName>
    <definedName name="위" localSheetId="8" hidden="1">{"'Sheet1'!$A$4","'Sheet1'!$A$9:$G$28"}</definedName>
    <definedName name="위" localSheetId="3" hidden="1">{"'Sheet1'!$A$4","'Sheet1'!$A$9:$G$28"}</definedName>
    <definedName name="위" localSheetId="24" hidden="1">{"'Sheet1'!$A$4","'Sheet1'!$A$9:$G$28"}</definedName>
    <definedName name="위" localSheetId="20" hidden="1">{"'Sheet1'!$A$4","'Sheet1'!$A$9:$G$28"}</definedName>
    <definedName name="위" localSheetId="4" hidden="1">{"'Sheet1'!$A$4","'Sheet1'!$A$9:$G$28"}</definedName>
    <definedName name="위" localSheetId="17" hidden="1">{"'Sheet1'!$A$4","'Sheet1'!$A$9:$G$28"}</definedName>
    <definedName name="위" hidden="1">{"'Sheet1'!$A$4","'Sheet1'!$A$9:$G$28"}</definedName>
    <definedName name="위생공">#REF!</definedName>
    <definedName name="위치">#REF!</definedName>
    <definedName name="유동표조정">[0]!유동표조정</definedName>
    <definedName name="유로폼바닥경">#REF!</definedName>
    <definedName name="유로폼바닥노">#REF!</definedName>
    <definedName name="유로폼바닥재">#REF!</definedName>
    <definedName name="유로폼벽경">#REF!</definedName>
    <definedName name="유로폼벽노">#REF!</definedName>
    <definedName name="유로폼벽재">#REF!</definedName>
    <definedName name="유리공">#REF!</definedName>
    <definedName name="이" localSheetId="3" hidden="1">{#N/A,#N/A,FALSE,"명세표"}</definedName>
    <definedName name="이" localSheetId="4" hidden="1">{#N/A,#N/A,FALSE,"명세표"}</definedName>
    <definedName name="이" hidden="1">{#N/A,#N/A,FALSE,"명세표"}</definedName>
    <definedName name="이광훈11" localSheetId="3" hidden="1">{#N/A,#N/A,FALSE,"명세표"}</definedName>
    <definedName name="이광훈11" localSheetId="4" hidden="1">{#N/A,#N/A,FALSE,"명세표"}</definedName>
    <definedName name="이광훈11" hidden="1">{#N/A,#N/A,FALSE,"명세표"}</definedName>
    <definedName name="이광훈15" localSheetId="3" hidden="1">{#N/A,#N/A,FALSE,"명세표"}</definedName>
    <definedName name="이광훈15" localSheetId="4" hidden="1">{#N/A,#N/A,FALSE,"명세표"}</definedName>
    <definedName name="이광훈15" hidden="1">{#N/A,#N/A,FALSE,"명세표"}</definedName>
    <definedName name="이광훈16" localSheetId="3" hidden="1">{#N/A,#N/A,FALSE,"명세표"}</definedName>
    <definedName name="이광훈16" localSheetId="4" hidden="1">{#N/A,#N/A,FALSE,"명세표"}</definedName>
    <definedName name="이광훈16" hidden="1">{#N/A,#N/A,FALSE,"명세표"}</definedName>
    <definedName name="이광훈17" localSheetId="3" hidden="1">{#N/A,#N/A,FALSE,"명세표"}</definedName>
    <definedName name="이광훈17" localSheetId="4" hidden="1">{#N/A,#N/A,FALSE,"명세표"}</definedName>
    <definedName name="이광훈17" hidden="1">{#N/A,#N/A,FALSE,"명세표"}</definedName>
    <definedName name="이광훈18" localSheetId="3" hidden="1">{#N/A,#N/A,FALSE,"명세표"}</definedName>
    <definedName name="이광훈18" localSheetId="4" hidden="1">{#N/A,#N/A,FALSE,"명세표"}</definedName>
    <definedName name="이광훈18" hidden="1">{#N/A,#N/A,FALSE,"명세표"}</definedName>
    <definedName name="이광훈2" localSheetId="3" hidden="1">{#N/A,#N/A,FALSE,"명세표"}</definedName>
    <definedName name="이광훈2" localSheetId="4" hidden="1">{#N/A,#N/A,FALSE,"명세표"}</definedName>
    <definedName name="이광훈2" hidden="1">{#N/A,#N/A,FALSE,"명세표"}</definedName>
    <definedName name="이광훈20" localSheetId="3" hidden="1">{#N/A,#N/A,FALSE,"명세표"}</definedName>
    <definedName name="이광훈20" localSheetId="4" hidden="1">{#N/A,#N/A,FALSE,"명세표"}</definedName>
    <definedName name="이광훈20" hidden="1">{#N/A,#N/A,FALSE,"명세표"}</definedName>
    <definedName name="이광훈21" localSheetId="3" hidden="1">{#N/A,#N/A,FALSE,"명세표"}</definedName>
    <definedName name="이광훈21" localSheetId="4" hidden="1">{#N/A,#N/A,FALSE,"명세표"}</definedName>
    <definedName name="이광훈21" hidden="1">{#N/A,#N/A,FALSE,"명세표"}</definedName>
    <definedName name="이광훈22" localSheetId="3" hidden="1">{#N/A,#N/A,FALSE,"명세표"}</definedName>
    <definedName name="이광훈22" localSheetId="4" hidden="1">{#N/A,#N/A,FALSE,"명세표"}</definedName>
    <definedName name="이광훈22" hidden="1">{#N/A,#N/A,FALSE,"명세표"}</definedName>
    <definedName name="이광훈23" localSheetId="3" hidden="1">{#N/A,#N/A,FALSE,"명세표"}</definedName>
    <definedName name="이광훈23" localSheetId="4" hidden="1">{#N/A,#N/A,FALSE,"명세표"}</definedName>
    <definedName name="이광훈23" hidden="1">{#N/A,#N/A,FALSE,"명세표"}</definedName>
    <definedName name="이광훈24" localSheetId="3" hidden="1">{#N/A,#N/A,FALSE,"명세표"}</definedName>
    <definedName name="이광훈24" localSheetId="4" hidden="1">{#N/A,#N/A,FALSE,"명세표"}</definedName>
    <definedName name="이광훈24" hidden="1">{#N/A,#N/A,FALSE,"명세표"}</definedName>
    <definedName name="이광훈4" localSheetId="3" hidden="1">{#N/A,#N/A,FALSE,"명세표"}</definedName>
    <definedName name="이광훈4" localSheetId="4" hidden="1">{#N/A,#N/A,FALSE,"명세표"}</definedName>
    <definedName name="이광훈4" hidden="1">{#N/A,#N/A,FALSE,"명세표"}</definedName>
    <definedName name="이광훈6" localSheetId="3" hidden="1">{#N/A,#N/A,FALSE,"명세표"}</definedName>
    <definedName name="이광훈6" localSheetId="4" hidden="1">{#N/A,#N/A,FALSE,"명세표"}</definedName>
    <definedName name="이광훈6" hidden="1">{#N/A,#N/A,FALSE,"명세표"}</definedName>
    <definedName name="이광훈7" localSheetId="3" hidden="1">{#N/A,#N/A,FALSE,"명세표"}</definedName>
    <definedName name="이광훈7" localSheetId="4" hidden="1">{#N/A,#N/A,FALSE,"명세표"}</definedName>
    <definedName name="이광훈7" hidden="1">{#N/A,#N/A,FALSE,"명세표"}</definedName>
    <definedName name="이광훈8" localSheetId="3" hidden="1">{#N/A,#N/A,FALSE,"명세표"}</definedName>
    <definedName name="이광훈8" localSheetId="4" hidden="1">{#N/A,#N/A,FALSE,"명세표"}</definedName>
    <definedName name="이광훈8" hidden="1">{#N/A,#N/A,FALSE,"명세표"}</definedName>
    <definedName name="이광훈9" localSheetId="3" hidden="1">{#N/A,#N/A,FALSE,"명세표"}</definedName>
    <definedName name="이광훈9" localSheetId="4" hidden="1">{#N/A,#N/A,FALSE,"명세표"}</definedName>
    <definedName name="이광훈9" hidden="1">{#N/A,#N/A,FALSE,"명세표"}</definedName>
    <definedName name="이름아름" hidden="1">{#N/A,#N/A,FALSE,"명세표"}</definedName>
    <definedName name="이름표" localSheetId="3" hidden="1">{#N/A,#N/A,FALSE,"단가표지"}</definedName>
    <definedName name="이름표" localSheetId="4" hidden="1">{#N/A,#N/A,FALSE,"단가표지"}</definedName>
    <definedName name="이름표" hidden="1">{#N/A,#N/A,FALSE,"단가표지"}</definedName>
    <definedName name="이릉" localSheetId="22" hidden="1">#REF!</definedName>
    <definedName name="이릉" localSheetId="23" hidden="1">#REF!</definedName>
    <definedName name="이릉" localSheetId="11" hidden="1">#REF!</definedName>
    <definedName name="이릉" localSheetId="18" hidden="1">#REF!</definedName>
    <definedName name="이릉" localSheetId="8" hidden="1">#REF!</definedName>
    <definedName name="이릉" localSheetId="6" hidden="1">#REF!</definedName>
    <definedName name="이릉" localSheetId="14" hidden="1">#REF!</definedName>
    <definedName name="이릉" localSheetId="15" hidden="1">#REF!</definedName>
    <definedName name="이릉" localSheetId="10" hidden="1">#REF!</definedName>
    <definedName name="이릉" localSheetId="9" hidden="1">#REF!</definedName>
    <definedName name="이릉" localSheetId="3" hidden="1">#REF!</definedName>
    <definedName name="이릉" localSheetId="16" hidden="1">#REF!</definedName>
    <definedName name="이릉" localSheetId="24" hidden="1">#REF!</definedName>
    <definedName name="이릉" localSheetId="20" hidden="1">#REF!</definedName>
    <definedName name="이릉" localSheetId="4" hidden="1">#REF!</definedName>
    <definedName name="이릉" localSheetId="12" hidden="1">#REF!</definedName>
    <definedName name="이릉" localSheetId="17" hidden="1">#REF!</definedName>
    <definedName name="이릉" hidden="1">#REF!</definedName>
    <definedName name="이삼">#REF!</definedName>
    <definedName name="이윤">#REF!</definedName>
    <definedName name="이윤_산식">#REF!</definedName>
    <definedName name="이윤요율">#REF!</definedName>
    <definedName name="이윤요율_변경">#REF!</definedName>
    <definedName name="이정" hidden="1">{#N/A,#N/A,FALSE,"2~8번"}</definedName>
    <definedName name="이종훈" localSheetId="24" hidden="1">[20]전기!$A$4:$A$163</definedName>
    <definedName name="이종훈" localSheetId="20" hidden="1">[20]전기!$A$4:$A$163</definedName>
    <definedName name="이종훈" hidden="1">[21]전기!$A$4:$A$163</definedName>
    <definedName name="인력되메우기">#REF!</definedName>
    <definedName name="인력터파기">#REF!</definedName>
    <definedName name="인쇄">#REF!</definedName>
    <definedName name="인쇄양식">[0]!인쇄양식</definedName>
    <definedName name="인입LP2" localSheetId="9">'수량산출서(DL)'!#REF!</definedName>
    <definedName name="인입LP3" localSheetId="9">'수량산출서(DL)'!#REF!</definedName>
    <definedName name="인입LP4" localSheetId="9">'수량산출서(DL)'!#REF!</definedName>
    <definedName name="인입집계" localSheetId="9">'산출집계(철거) '!$A$5:$J$22</definedName>
    <definedName name="인입집계">'산출집계(인입) '!$A$5:$J$21</definedName>
    <definedName name="일" localSheetId="22" hidden="1">#REF!</definedName>
    <definedName name="일" localSheetId="23" hidden="1">#REF!</definedName>
    <definedName name="일" localSheetId="11" hidden="1">#REF!</definedName>
    <definedName name="일" localSheetId="18" hidden="1">#REF!</definedName>
    <definedName name="일" localSheetId="8" hidden="1">#REF!</definedName>
    <definedName name="일" localSheetId="6" hidden="1">#REF!</definedName>
    <definedName name="일" localSheetId="14" hidden="1">#REF!</definedName>
    <definedName name="일" localSheetId="15" hidden="1">#REF!</definedName>
    <definedName name="일" localSheetId="10" hidden="1">#REF!</definedName>
    <definedName name="일" localSheetId="9" hidden="1">#REF!</definedName>
    <definedName name="일" localSheetId="3" hidden="1">#REF!</definedName>
    <definedName name="일" localSheetId="16" hidden="1">#REF!</definedName>
    <definedName name="일" localSheetId="4" hidden="1">#REF!</definedName>
    <definedName name="일" localSheetId="12" hidden="1">#REF!</definedName>
    <definedName name="일" hidden="1">#REF!</definedName>
    <definedName name="일반관리비">#REF!</definedName>
    <definedName name="일반관리비_산식">#REF!</definedName>
    <definedName name="일반관리비요율">#REF!</definedName>
    <definedName name="일반관리비요율_변경">#REF!</definedName>
    <definedName name="일반관부설">#REF!</definedName>
    <definedName name="일반토공">#REF!</definedName>
    <definedName name="일위11">#REF!</definedName>
    <definedName name="일위대가11" hidden="1">{#N/A,#N/A,FALSE,"명세표"}</definedName>
    <definedName name="임ㄴ" localSheetId="3" hidden="1">{"'공사부문'!$A$6:$A$32"}</definedName>
    <definedName name="임ㄴ" localSheetId="4" hidden="1">{"'공사부문'!$A$6:$A$32"}</definedName>
    <definedName name="임ㄴ" hidden="1">{"'공사부문'!$A$6:$A$32"}</definedName>
    <definedName name="ㅈ" localSheetId="3" hidden="1">{#N/A,#N/A,FALSE,"명세표"}</definedName>
    <definedName name="ㅈ" localSheetId="4" hidden="1">{#N/A,#N/A,FALSE,"명세표"}</definedName>
    <definedName name="ㅈ" hidden="1">{#N/A,#N/A,FALSE,"명세표"}</definedName>
    <definedName name="ㅈㄷ" localSheetId="22" hidden="1">{"'Sheet1'!$A$4","'Sheet1'!$A$9:$G$28"}</definedName>
    <definedName name="ㅈㄷ" localSheetId="18" hidden="1">{"'Sheet1'!$A$4","'Sheet1'!$A$9:$G$28"}</definedName>
    <definedName name="ㅈㄷ" localSheetId="8" hidden="1">{"'Sheet1'!$A$4","'Sheet1'!$A$9:$G$28"}</definedName>
    <definedName name="ㅈㄷ" localSheetId="3" hidden="1">{"'Sheet1'!$A$4","'Sheet1'!$A$9:$G$28"}</definedName>
    <definedName name="ㅈㄷ" localSheetId="24" hidden="1">BlankMacro1</definedName>
    <definedName name="ㅈㄷ" localSheetId="20" hidden="1">BlankMacro1</definedName>
    <definedName name="ㅈㄷ" localSheetId="4" hidden="1">{"'Sheet1'!$A$4","'Sheet1'!$A$9:$G$28"}</definedName>
    <definedName name="ㅈㄷ" localSheetId="17" hidden="1">{"'Sheet1'!$A$4","'Sheet1'!$A$9:$G$28"}</definedName>
    <definedName name="ㅈㄷ" hidden="1">{"'Sheet1'!$A$4","'Sheet1'!$A$9:$G$28"}</definedName>
    <definedName name="ㅈㄷㄱㄷㅈㄱㄷㅈ" hidden="1">{#N/A,#N/A,FALSE,"표지목차"}</definedName>
    <definedName name="ㅈㄷㄳㅈㄷㅍㅎㄱ" hidden="1">{#N/A,#N/A,FALSE,"표지목차"}</definedName>
    <definedName name="ㅈㄷㄳㅎㅍㅂㅈㄱ" hidden="1">{#N/A,#N/A,FALSE,"골재소요량";#N/A,#N/A,FALSE,"골재소요량"}</definedName>
    <definedName name="ㅈㅁㄱㄷ" hidden="1">{#N/A,#N/A,FALSE,"단가표지"}</definedName>
    <definedName name="ㅈㅂㅂㅂㄷㄷ" hidden="1">#REF!</definedName>
    <definedName name="ㅈㅇㅁㄴ" hidden="1">{#N/A,#N/A,FALSE,"혼합골재"}</definedName>
    <definedName name="ㅈㅈ" localSheetId="3" hidden="1">{#N/A,"수불부",FALSE,"사급자재수불서";#N/A,"수불부",FALSE,"사급자재수불서"}</definedName>
    <definedName name="ㅈㅈ" localSheetId="4" hidden="1">{#N/A,"수불부",FALSE,"사급자재수불서";#N/A,"수불부",FALSE,"사급자재수불서"}</definedName>
    <definedName name="ㅈㅈ" hidden="1">{#N/A,"수불부",FALSE,"사급자재수불서";#N/A,"수불부",FALSE,"사급자재수불서"}</definedName>
    <definedName name="ㅈㅈㅈ" localSheetId="22" hidden="1">{"'Sheet1'!$D$19","'Sheet1'!$B$22:$E$22"}</definedName>
    <definedName name="ㅈㅈㅈ" localSheetId="18" hidden="1">{"'Sheet1'!$D$19","'Sheet1'!$B$22:$E$22"}</definedName>
    <definedName name="ㅈㅈㅈ" localSheetId="8" hidden="1">{"'Sheet1'!$D$19","'Sheet1'!$B$22:$E$22"}</definedName>
    <definedName name="ㅈㅈㅈ" localSheetId="3" hidden="1">{"'Sheet1'!$D$19","'Sheet1'!$B$22:$E$22"}</definedName>
    <definedName name="ㅈㅈㅈ" localSheetId="4" hidden="1">{"'Sheet1'!$D$19","'Sheet1'!$B$22:$E$22"}</definedName>
    <definedName name="ㅈㅈㅈ" localSheetId="17" hidden="1">{"'Sheet1'!$D$19","'Sheet1'!$B$22:$E$22"}</definedName>
    <definedName name="ㅈㅈㅈ" hidden="1">{"'Sheet1'!$D$19","'Sheet1'!$B$22:$E$22"}</definedName>
    <definedName name="ㅈㅈㅈㅈ" localSheetId="3" hidden="1">{#N/A,#N/A,FALSE,"명세표"}</definedName>
    <definedName name="ㅈㅈㅈㅈ" localSheetId="4" hidden="1">{#N/A,#N/A,FALSE,"명세표"}</definedName>
    <definedName name="ㅈㅈㅈㅈ" hidden="1">{#N/A,#N/A,FALSE,"명세표"}</definedName>
    <definedName name="ㅈㅈㅈㅈㅈ" hidden="1">{#N/A,#N/A,FALSE,"혼합골재"}</definedName>
    <definedName name="자갈부설">#REF!</definedName>
    <definedName name="자갈운반경">#REF!</definedName>
    <definedName name="자갈운반노">#REF!</definedName>
    <definedName name="자갈운반재">#REF!</definedName>
    <definedName name="자대단가근거2" hidden="1">#REF!</definedName>
    <definedName name="자미" localSheetId="3" hidden="1">{#N/A,#N/A,FALSE,"명세표"}</definedName>
    <definedName name="자미" localSheetId="4" hidden="1">{#N/A,#N/A,FALSE,"명세표"}</definedName>
    <definedName name="자미" hidden="1">{#N/A,#N/A,FALSE,"명세표"}</definedName>
    <definedName name="자재단가근거" hidden="1">#REF!</definedName>
    <definedName name="자재및골재집계" localSheetId="22" hidden="1">{"'Sheet1'!$A$4","'Sheet1'!$A$9:$G$28"}</definedName>
    <definedName name="자재및골재집계" localSheetId="18" hidden="1">{"'Sheet1'!$A$4","'Sheet1'!$A$9:$G$28"}</definedName>
    <definedName name="자재및골재집계" localSheetId="8" hidden="1">{"'Sheet1'!$A$4","'Sheet1'!$A$9:$G$28"}</definedName>
    <definedName name="자재및골재집계" localSheetId="3" hidden="1">{"'Sheet1'!$A$4","'Sheet1'!$A$9:$G$28"}</definedName>
    <definedName name="자재및골재집계" localSheetId="24" hidden="1">{"'Sheet1'!$A$4","'Sheet1'!$A$9:$G$28"}</definedName>
    <definedName name="자재및골재집계" localSheetId="20" hidden="1">{"'Sheet1'!$A$4","'Sheet1'!$A$9:$G$28"}</definedName>
    <definedName name="자재및골재집계" localSheetId="4" hidden="1">{"'Sheet1'!$A$4","'Sheet1'!$A$9:$G$28"}</definedName>
    <definedName name="자재및골재집계" localSheetId="17" hidden="1">{"'Sheet1'!$A$4","'Sheet1'!$A$9:$G$28"}</definedName>
    <definedName name="자재및골재집계" hidden="1">{"'Sheet1'!$A$4","'Sheet1'!$A$9:$G$28"}</definedName>
    <definedName name="자재비1">#REF!</definedName>
    <definedName name="자재비2">#REF!</definedName>
    <definedName name="자재총괄">#REF!</definedName>
    <definedName name="작업반장">#REF!</definedName>
    <definedName name="잠수부">#REF!</definedName>
    <definedName name="잡">[0]!잡</definedName>
    <definedName name="잡철물경">#REF!</definedName>
    <definedName name="잡철물노">#REF!</definedName>
    <definedName name="잡철물재">#REF!</definedName>
    <definedName name="장H13">#REF!</definedName>
    <definedName name="장H16">#REF!</definedName>
    <definedName name="장H19">#REF!</definedName>
    <definedName name="장H22">#REF!</definedName>
    <definedName name="장H25">#REF!</definedName>
    <definedName name="장H29">#REF!</definedName>
    <definedName name="장H32">#REF!</definedName>
    <definedName name="장산교">#REF!</definedName>
    <definedName name="장성">#REF!</definedName>
    <definedName name="장성H32">#REF!</definedName>
    <definedName name="재료비">#REF!</definedName>
    <definedName name="저압케이블전공">#REF!</definedName>
    <definedName name="전기기사1급">64800</definedName>
    <definedName name="전기기사2급">62990</definedName>
    <definedName name="전석쌓기면적조서" localSheetId="22" hidden="1">{"'Sheet1'!$A$4","'Sheet1'!$A$9:$G$28"}</definedName>
    <definedName name="전석쌓기면적조서" localSheetId="18" hidden="1">{"'Sheet1'!$A$4","'Sheet1'!$A$9:$G$28"}</definedName>
    <definedName name="전석쌓기면적조서" localSheetId="8" hidden="1">{"'Sheet1'!$A$4","'Sheet1'!$A$9:$G$28"}</definedName>
    <definedName name="전석쌓기면적조서" localSheetId="3" hidden="1">{"'Sheet1'!$A$4","'Sheet1'!$A$9:$G$28"}</definedName>
    <definedName name="전석쌓기면적조서" localSheetId="24" hidden="1">{"'Sheet1'!$A$4","'Sheet1'!$A$9:$G$28"}</definedName>
    <definedName name="전석쌓기면적조서" localSheetId="20" hidden="1">{"'Sheet1'!$A$4","'Sheet1'!$A$9:$G$28"}</definedName>
    <definedName name="전석쌓기면적조서" localSheetId="4" hidden="1">{"'Sheet1'!$A$4","'Sheet1'!$A$9:$G$28"}</definedName>
    <definedName name="전석쌓기면적조서" localSheetId="17" hidden="1">{"'Sheet1'!$A$4","'Sheet1'!$A$9:$G$28"}</definedName>
    <definedName name="전석쌓기면적조서" hidden="1">{"'Sheet1'!$A$4","'Sheet1'!$A$9:$G$28"}</definedName>
    <definedName name="전석쌓기면적조서3공구" localSheetId="22" hidden="1">{"'Sheet1'!$A$4","'Sheet1'!$A$9:$G$28"}</definedName>
    <definedName name="전석쌓기면적조서3공구" localSheetId="18" hidden="1">{"'Sheet1'!$A$4","'Sheet1'!$A$9:$G$28"}</definedName>
    <definedName name="전석쌓기면적조서3공구" localSheetId="8" hidden="1">{"'Sheet1'!$A$4","'Sheet1'!$A$9:$G$28"}</definedName>
    <definedName name="전석쌓기면적조서3공구" localSheetId="3" hidden="1">{"'Sheet1'!$A$4","'Sheet1'!$A$9:$G$28"}</definedName>
    <definedName name="전석쌓기면적조서3공구" localSheetId="24" hidden="1">{"'Sheet1'!$A$4","'Sheet1'!$A$9:$G$28"}</definedName>
    <definedName name="전석쌓기면적조서3공구" localSheetId="20" hidden="1">{"'Sheet1'!$A$4","'Sheet1'!$A$9:$G$28"}</definedName>
    <definedName name="전석쌓기면적조서3공구" localSheetId="4" hidden="1">{"'Sheet1'!$A$4","'Sheet1'!$A$9:$G$28"}</definedName>
    <definedName name="전석쌓기면적조서3공구" localSheetId="17" hidden="1">{"'Sheet1'!$A$4","'Sheet1'!$A$9:$G$28"}</definedName>
    <definedName name="전석쌓기면적조서3공구" hidden="1">{"'Sheet1'!$A$4","'Sheet1'!$A$9:$G$28"}</definedName>
    <definedName name="전선관1">#REF!</definedName>
    <definedName name="전선관2">#REF!</definedName>
    <definedName name="전선관및접지내역서" hidden="1">#REF!</definedName>
    <definedName name="전장">#REF!</definedName>
    <definedName name="절단공">#REF!</definedName>
    <definedName name="절토0.4경">#REF!</definedName>
    <definedName name="절토0.4노">#REF!</definedName>
    <definedName name="절토0.4재">#REF!</definedName>
    <definedName name="절토0.7경">#REF!</definedName>
    <definedName name="절토0.7노">#REF!</definedName>
    <definedName name="절토0.7재">#REF!</definedName>
    <definedName name="접속도로">#REF!</definedName>
    <definedName name="정왕동스마트횡단보도철거공사" localSheetId="10">'수량산출서(DL)'!#REF!</definedName>
    <definedName name="정왕동스마트횡단보도철거공사" localSheetId="9">'수량산출서(DL)'!#REF!</definedName>
    <definedName name="정왕신길로02_1신설" localSheetId="10">#REF!</definedName>
    <definedName name="정왕신길로02_1신설" localSheetId="9">#REF!</definedName>
    <definedName name="정왕신길로02_1신설집" localSheetId="22">#REF!</definedName>
    <definedName name="정왕신길로02_1신설집" localSheetId="10">#REF!</definedName>
    <definedName name="정왕신길로02_1신설집" localSheetId="9">#REF!</definedName>
    <definedName name="정왕신길로02_1신설집" localSheetId="12">#REF!</definedName>
    <definedName name="정왕신길로02신설" localSheetId="10">#REF!</definedName>
    <definedName name="정왕신길로02신설" localSheetId="9">#REF!</definedName>
    <definedName name="정왕신길로02신설집" localSheetId="22">#REF!</definedName>
    <definedName name="정왕신길로02신설집" localSheetId="10">#REF!</definedName>
    <definedName name="정왕신길로02신설집" localSheetId="9">#REF!</definedName>
    <definedName name="정왕신길로02신설집" localSheetId="12">#REF!</definedName>
    <definedName name="정왕신길로02철거집" localSheetId="22">#REF!</definedName>
    <definedName name="정왕신길로02철거집" localSheetId="10">#REF!</definedName>
    <definedName name="정왕신길로02철거집" localSheetId="9">#REF!</definedName>
    <definedName name="정왕신길로02철거집" localSheetId="12">#REF!</definedName>
    <definedName name="제도사">#REF!</definedName>
    <definedName name="제수문" hidden="1">#REF!</definedName>
    <definedName name="제철축로공">#REF!</definedName>
    <definedName name="조1">#REF!</definedName>
    <definedName name="조경공">#REF!</definedName>
    <definedName name="조경품의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조력공">#REF!</definedName>
    <definedName name="조림인부">#REF!</definedName>
    <definedName name="조사가" hidden="1">[26]입찰안!#REF!</definedName>
    <definedName name="조약돌경">#REF!</definedName>
    <definedName name="조약돌노">#REF!</definedName>
    <definedName name="조약돌재">#REF!</definedName>
    <definedName name="조약돌채집">#REF!</definedName>
    <definedName name="조적공">#REF!</definedName>
    <definedName name="조직도" hidden="1">[27]총괄!#REF!</definedName>
    <definedName name="조직표" hidden="1">[27]총괄!#REF!</definedName>
    <definedName name="조차장" localSheetId="3" hidden="1">{#N/A,#N/A,FALSE,"명세표"}</definedName>
    <definedName name="조차장" localSheetId="4" hidden="1">{#N/A,#N/A,FALSE,"명세표"}</definedName>
    <definedName name="조차장" hidden="1">{#N/A,#N/A,FALSE,"명세표"}</definedName>
    <definedName name="종배수공집계">#REF!</definedName>
    <definedName name="종배수관기초">#REF!</definedName>
    <definedName name="종배수맨홀">#REF!</definedName>
    <definedName name="주간" localSheetId="3" hidden="1">{#N/A,#N/A,FALSE,"운반시간"}</definedName>
    <definedName name="주간" localSheetId="4" hidden="1">{#N/A,#N/A,FALSE,"운반시간"}</definedName>
    <definedName name="주간" hidden="1">{#N/A,#N/A,FALSE,"운반시간"}</definedName>
    <definedName name="준설선기관사">#REF!</definedName>
    <definedName name="준설선기관장">#REF!</definedName>
    <definedName name="준설선선장">#REF!</definedName>
    <definedName name="준설선운전사">#REF!</definedName>
    <definedName name="준설선전기사">#REF!</definedName>
    <definedName name="줄눈공">#REF!</definedName>
    <definedName name="중기운반경">#REF!</definedName>
    <definedName name="중기운반노">#REF!</definedName>
    <definedName name="중기운반재">#REF!</definedName>
    <definedName name="중기운전기사">#REF!</definedName>
    <definedName name="중기운전조수">#REF!</definedName>
    <definedName name="중기조장">#REF!</definedName>
    <definedName name="중기테이블" localSheetId="22" hidden="1">{"'중기작업1'!$A$1:$V$18"}</definedName>
    <definedName name="중기테이블" localSheetId="18" hidden="1">{"'중기작업1'!$A$1:$V$18"}</definedName>
    <definedName name="중기테이블" localSheetId="8" hidden="1">{"'중기작업1'!$A$1:$V$18"}</definedName>
    <definedName name="중기테이블" localSheetId="3" hidden="1">{"'중기작업1'!$A$1:$V$18"}</definedName>
    <definedName name="중기테이블" localSheetId="24" hidden="1">{"'중기작업1'!$A$1:$V$18"}</definedName>
    <definedName name="중기테이블" localSheetId="20" hidden="1">{"'중기작업1'!$A$1:$V$18"}</definedName>
    <definedName name="중기테이블" localSheetId="4" hidden="1">{"'중기작업1'!$A$1:$V$18"}</definedName>
    <definedName name="중기테이블" localSheetId="17" hidden="1">{"'중기작업1'!$A$1:$V$18"}</definedName>
    <definedName name="중기테이블" hidden="1">{"'중기작업1'!$A$1:$V$18"}</definedName>
    <definedName name="중분대1">#REF!</definedName>
    <definedName name="중분대2">#REF!</definedName>
    <definedName name="중합3회1">#REF!</definedName>
    <definedName name="중합3회2">#REF!</definedName>
    <definedName name="지랄혀" hidden="1">{#N/A,#N/A,FALSE,"명세표"}</definedName>
    <definedName name="지랄혀고자빠졋내" hidden="1">{#N/A,#N/A,FALSE,"명세표"}</definedName>
    <definedName name="지붕잇기공">#REF!</definedName>
    <definedName name="직매54P" hidden="1">{#N/A,#N/A,TRUE,"토적및재료집계";#N/A,#N/A,TRUE,"토적및재료집계";#N/A,#N/A,TRUE,"단위량"}</definedName>
    <definedName name="직접경비">#REF!</definedName>
    <definedName name="직접노무비">#REF!</definedName>
    <definedName name="진동기경">#REF!</definedName>
    <definedName name="진동기재">#REF!</definedName>
    <definedName name="집">#N/A</definedName>
    <definedName name="집계" localSheetId="3" hidden="1">{#N/A,#N/A,FALSE,"명세표"}</definedName>
    <definedName name="집계" localSheetId="4" hidden="1">{#N/A,#N/A,FALSE,"명세표"}</definedName>
    <definedName name="집계" hidden="1">{#N/A,#N/A,FALSE,"명세표"}</definedName>
    <definedName name="ㅊ" hidden="1">{#N/A,#N/A,FALSE,"단가표지"}</definedName>
    <definedName name="ㅊㅊㅊ" hidden="1">{#N/A,#N/A,FALSE,"운반시간"}</definedName>
    <definedName name="ㅊㅊㅊㅊㅊ" hidden="1">{#N/A,#N/A,FALSE,"단가표지"}</definedName>
    <definedName name="ㅊㅊㅊㅊㅊㅊ" hidden="1">{#N/A,#N/A,FALSE,"조골재"}</definedName>
    <definedName name="ㅊㅊㅊㅊㅊㅊㅊ" hidden="1">{#N/A,#N/A,FALSE,"표지목차"}</definedName>
    <definedName name="ㅊ퓿ㅍ" hidden="1">{#N/A,#N/A,FALSE,"혼합골재"}</definedName>
    <definedName name="차선도색경">#REF!</definedName>
    <definedName name="차선도색노">#REF!</definedName>
    <definedName name="차선도색재">#REF!</definedName>
    <definedName name="착암공">#REF!</definedName>
    <definedName name="찰샇기" hidden="1">#REF!</definedName>
    <definedName name="찰쌓기경">#REF!</definedName>
    <definedName name="찰쌓기노">#REF!</definedName>
    <definedName name="찰쌓기재">#REF!</definedName>
    <definedName name="참조">#REF!</definedName>
    <definedName name="창호목공">#REF!</definedName>
    <definedName name="채움조약돌경">#REF!</definedName>
    <definedName name="채움조약돌노">#REF!</definedName>
    <definedName name="채움조약돌재">#REF!</definedName>
    <definedName name="철">#REF!</definedName>
    <definedName name="철거집계">'xx폐기물집계 (2)'!$A$7:$K$50</definedName>
    <definedName name="철거집계1">'산출집계(철거) '!$A$5:$I$18</definedName>
    <definedName name="철골공">#REF!</definedName>
    <definedName name="철공">#REF!</definedName>
    <definedName name="철근1">#REF!</definedName>
    <definedName name="철근1.51.5">#REF!</definedName>
    <definedName name="철근22015">#REF!</definedName>
    <definedName name="철근22515">#REF!</definedName>
    <definedName name="철근간단노">#REF!</definedName>
    <definedName name="철근간단재">#REF!</definedName>
    <definedName name="철근보통노">#REF!</definedName>
    <definedName name="철근보통재">#REF!</definedName>
    <definedName name="철근복잡1">#REF!</definedName>
    <definedName name="철근복잡2">#REF!</definedName>
    <definedName name="철근복잡노">#REF!</definedName>
    <definedName name="철근복잡재">#REF!</definedName>
    <definedName name="철근운반경">#REF!</definedName>
    <definedName name="철근총괄1" hidden="1">{#N/A,#N/A,FALSE,"표지목차"}</definedName>
    <definedName name="철도신호공">#REF!</definedName>
    <definedName name="철판공">#REF!</definedName>
    <definedName name="총공" localSheetId="3" hidden="1">{#N/A,#N/A,FALSE,"운반시간"}</definedName>
    <definedName name="총공" localSheetId="4" hidden="1">{#N/A,#N/A,FALSE,"운반시간"}</definedName>
    <definedName name="총공" hidden="1">{#N/A,#N/A,FALSE,"운반시간"}</definedName>
    <definedName name="총공사비">#REF!</definedName>
    <definedName name="총원가">#REF!</definedName>
    <definedName name="출력공사">[0]!출력공사</definedName>
    <definedName name="측부">#REF!</definedName>
    <definedName name="치장벽돌공">#REF!</definedName>
    <definedName name="칠곡" hidden="1">{#N/A,#N/A,TRUE,"손익보고"}</definedName>
    <definedName name="칤" hidden="1">[8]Sheet14!$Q$45:$AT$45</definedName>
    <definedName name="ㅋ" hidden="1">{"'Sheet1'!$A$4","'Sheet1'!$A$9:$G$28"}</definedName>
    <definedName name="ㅋㅁ" localSheetId="3" hidden="1">{#N/A,#N/A,FALSE,"명세표"}</definedName>
    <definedName name="ㅋㅁ" localSheetId="4" hidden="1">{#N/A,#N/A,FALSE,"명세표"}</definedName>
    <definedName name="ㅋㅁ" hidden="1">{#N/A,#N/A,FALSE,"명세표"}</definedName>
    <definedName name="ㅋㅇㅁㅇ" localSheetId="3" hidden="1">{"'공사부문'!$A$6:$A$32"}</definedName>
    <definedName name="ㅋㅇㅁㅇ" localSheetId="4" hidden="1">{"'공사부문'!$A$6:$A$32"}</definedName>
    <definedName name="ㅋㅇㅁㅇ" hidden="1">{"'공사부문'!$A$6:$A$32"}</definedName>
    <definedName name="ㅋㅋ" localSheetId="3" hidden="1">{#N/A,#N/A,FALSE,"명세표"}</definedName>
    <definedName name="ㅋㅋ" localSheetId="4" hidden="1">{#N/A,#N/A,FALSE,"명세표"}</definedName>
    <definedName name="ㅋㅋ" hidden="1">{#N/A,#N/A,FALSE,"명세표"}</definedName>
    <definedName name="ㅋㅋㅋ" localSheetId="3" hidden="1">{#N/A,#N/A,FALSE,"명세표"}</definedName>
    <definedName name="ㅋㅋㅋ" localSheetId="4" hidden="1">{#N/A,#N/A,FALSE,"명세표"}</definedName>
    <definedName name="ㅋㅋㅋ" hidden="1">{#N/A,#N/A,FALSE,"명세표"}</definedName>
    <definedName name="ㅋㅋㅋㅋ" hidden="1">{#N/A,#N/A,FALSE,"조골재"}</definedName>
    <definedName name="ㅋㅋㅋㅋㅋ" hidden="1">{#N/A,#N/A,FALSE,"표지목차"}</definedName>
    <definedName name="ㅋㅋㅋㅋㅋㅋ" hidden="1">{#N/A,#N/A,FALSE,"골재소요량";#N/A,#N/A,FALSE,"골재소요량"}</definedName>
    <definedName name="ㅋㅋㅋㅋㅋㅋㅋㅋㅋㅋ" hidden="1">{#N/A,#N/A,FALSE,"운반시간"}</definedName>
    <definedName name="커터경">#REF!</definedName>
    <definedName name="커터공경">#REF!</definedName>
    <definedName name="커터공노">#REF!</definedName>
    <definedName name="커터공재">#REF!</definedName>
    <definedName name="커터노">#REF!</definedName>
    <definedName name="커터재">#REF!</definedName>
    <definedName name="케이블간지" hidden="1">{#N/A,#N/A,TRUE,"토적및재료집계";#N/A,#N/A,TRUE,"토적및재료집계";#N/A,#N/A,TRUE,"단위량"}</definedName>
    <definedName name="코팅1">#REF!</definedName>
    <definedName name="코팅2">#REF!</definedName>
    <definedName name="콘1601">#REF!</definedName>
    <definedName name="콘1602">#REF!</definedName>
    <definedName name="콘2701">#REF!</definedName>
    <definedName name="콘2702">#REF!</definedName>
    <definedName name="콘270함">#REF!</definedName>
    <definedName name="콘40믹서경">#REF!</definedName>
    <definedName name="콘40믹서노">#REF!</definedName>
    <definedName name="콘40믹서재">#REF!</definedName>
    <definedName name="콘깨기0.4경">#REF!</definedName>
    <definedName name="콘깨기0.4노">#REF!</definedName>
    <definedName name="콘깨기0.4재">#REF!</definedName>
    <definedName name="콘깨기0.7경">#REF!</definedName>
    <definedName name="콘깨기0.7노">#REF!</definedName>
    <definedName name="콘깨기0.7재">#REF!</definedName>
    <definedName name="콘깨기경">#REF!</definedName>
    <definedName name="콘깨기노">#REF!</definedName>
    <definedName name="콘깨기재">#REF!</definedName>
    <definedName name="콘다짐경">#REF!</definedName>
    <definedName name="콘다짐재">#REF!</definedName>
    <definedName name="콘믹서40경">#REF!</definedName>
    <definedName name="콘믹서40노">#REF!</definedName>
    <definedName name="콘믹서40재">#REF!</definedName>
    <definedName name="콘믹서50경">#REF!</definedName>
    <definedName name="콘믹서50노">#REF!</definedName>
    <definedName name="콘믹서50재">#REF!</definedName>
    <definedName name="콘믹서경">#REF!</definedName>
    <definedName name="콘믹서노">#REF!</definedName>
    <definedName name="콘믹서재">#REF!</definedName>
    <definedName name="콘버림함">#REF!</definedName>
    <definedName name="콘소운반경">#REF!</definedName>
    <definedName name="콘소운반노">#REF!</definedName>
    <definedName name="콘소운반재">#REF!</definedName>
    <definedName name="콘커터경">#REF!</definedName>
    <definedName name="콘커터노">#REF!</definedName>
    <definedName name="콘커터재">#REF!</definedName>
    <definedName name="콘크리트">#REF!</definedName>
    <definedName name="콘크리트2" localSheetId="22" hidden="1">#REF!</definedName>
    <definedName name="콘크리트2" localSheetId="23" hidden="1">#REF!</definedName>
    <definedName name="콘크리트2" localSheetId="11" hidden="1">#REF!</definedName>
    <definedName name="콘크리트2" localSheetId="18" hidden="1">#REF!</definedName>
    <definedName name="콘크리트2" localSheetId="8" hidden="1">#REF!</definedName>
    <definedName name="콘크리트2" localSheetId="6" hidden="1">#REF!</definedName>
    <definedName name="콘크리트2" localSheetId="14" hidden="1">#REF!</definedName>
    <definedName name="콘크리트2" localSheetId="15" hidden="1">#REF!</definedName>
    <definedName name="콘크리트2" localSheetId="10" hidden="1">#REF!</definedName>
    <definedName name="콘크리트2" localSheetId="9" hidden="1">#REF!</definedName>
    <definedName name="콘크리트2" localSheetId="3" hidden="1">#REF!</definedName>
    <definedName name="콘크리트2" localSheetId="16" hidden="1">#REF!</definedName>
    <definedName name="콘크리트2" localSheetId="24" hidden="1">#REF!</definedName>
    <definedName name="콘크리트2" localSheetId="4" hidden="1">#REF!</definedName>
    <definedName name="콘크리트2" localSheetId="12" hidden="1">#REF!</definedName>
    <definedName name="콘크리트2" hidden="1">#REF!</definedName>
    <definedName name="콘크리트함">#REF!</definedName>
    <definedName name="콘타설무근">#REF!</definedName>
    <definedName name="콘타설철근">#REF!</definedName>
    <definedName name="콤팩터경">#REF!</definedName>
    <definedName name="콤팩터노">#REF!</definedName>
    <definedName name="콤팩터재">#REF!</definedName>
    <definedName name="크레인10경">#REF!</definedName>
    <definedName name="크레인10노">#REF!</definedName>
    <definedName name="크레인10재">#REF!</definedName>
    <definedName name="ㅌ" hidden="1">{#N/A,#N/A,FALSE,"골재소요량";#N/A,#N/A,FALSE,"골재소요량"}</definedName>
    <definedName name="ㅌㅁㅋ" hidden="1">[8]Sheet13!$N$64:$N$131</definedName>
    <definedName name="ㅌㅌ" hidden="1">{#N/A,#N/A,FALSE,"조골재"}</definedName>
    <definedName name="ㅌㅌㅌ" hidden="1">{#N/A,#N/A,FALSE,"골재소요량";#N/A,#N/A,FALSE,"골재소요량"}</definedName>
    <definedName name="ㅌㅌㅌㅌ" hidden="1">{#N/A,#N/A,FALSE,"2~8번"}</definedName>
    <definedName name="ㅌㅌㅌㅌㅌ" hidden="1">{#N/A,#N/A,FALSE,"골재소요량";#N/A,#N/A,FALSE,"골재소요량"}</definedName>
    <definedName name="ㅌㅌㅌㅌㅌㅌ" hidden="1">{#N/A,#N/A,FALSE,"조골재"}</definedName>
    <definedName name="타이어경">#REF!</definedName>
    <definedName name="타이어노">#REF!</definedName>
    <definedName name="타이어재">#REF!</definedName>
    <definedName name="타일공">#REF!</definedName>
    <definedName name="탄뎀경">#REF!</definedName>
    <definedName name="탄뎀노">#REF!</definedName>
    <definedName name="탄뎀재">#REF!</definedName>
    <definedName name="태영" hidden="1">{#N/A,#N/A,FALSE,"골재소요량";#N/A,#N/A,FALSE,"골재소요량"}</definedName>
    <definedName name="택코팅1">#REF!</definedName>
    <definedName name="택코팅2">#REF!</definedName>
    <definedName name="택코팅경">#REF!</definedName>
    <definedName name="택코팅노">#REF!</definedName>
    <definedName name="택코팅재">#REF!</definedName>
    <definedName name="터파기경">#REF!</definedName>
    <definedName name="터파기고">#REF!</definedName>
    <definedName name="터파기노">#REF!</definedName>
    <definedName name="터파기재">#REF!</definedName>
    <definedName name="텍코팅경">#REF!</definedName>
    <definedName name="텍코팅노">#REF!</definedName>
    <definedName name="텍코팅재">#REF!</definedName>
    <definedName name="토공." hidden="1">{#N/A,#N/A,FALSE,"운반시간"}</definedName>
    <definedName name="토공222" hidden="1">{#N/A,#N/A,FALSE,"토공2"}</definedName>
    <definedName name="토공유동">#REF!</definedName>
    <definedName name="토공유동표조정">[0]!토공유동표조정</definedName>
    <definedName name="토공집계" hidden="1">{#N/A,#N/A,FALSE,"단가표지"}</definedName>
    <definedName name="토공참조">#REF!</definedName>
    <definedName name="토목설계" localSheetId="3" hidden="1">{#N/A,#N/A,FALSE,"골재소요량";#N/A,#N/A,FALSE,"골재소요량"}</definedName>
    <definedName name="토목설계" localSheetId="4" hidden="1">{#N/A,#N/A,FALSE,"골재소요량";#N/A,#N/A,FALSE,"골재소요량"}</definedName>
    <definedName name="토목설계" hidden="1">{#N/A,#N/A,FALSE,"골재소요량";#N/A,#N/A,FALSE,"골재소요량"}</definedName>
    <definedName name="토사자중">710.185</definedName>
    <definedName name="토적계산" localSheetId="22" hidden="1">'[28]배수통관(좌)'!#REF!</definedName>
    <definedName name="토적계산" localSheetId="23" hidden="1">'[28]배수통관(좌)'!#REF!</definedName>
    <definedName name="토적계산" localSheetId="11" hidden="1">'[28]배수통관(좌)'!#REF!</definedName>
    <definedName name="토적계산" localSheetId="18" hidden="1">'[28]배수통관(좌)'!#REF!</definedName>
    <definedName name="토적계산" localSheetId="8" hidden="1">'[28]배수통관(좌)'!#REF!</definedName>
    <definedName name="토적계산" localSheetId="6" hidden="1">'[28]배수통관(좌)'!#REF!</definedName>
    <definedName name="토적계산" localSheetId="14" hidden="1">'[28]배수통관(좌)'!#REF!</definedName>
    <definedName name="토적계산" localSheetId="15" hidden="1">'[28]배수통관(좌)'!#REF!</definedName>
    <definedName name="토적계산" localSheetId="10" hidden="1">'[28]배수통관(좌)'!#REF!</definedName>
    <definedName name="토적계산" localSheetId="9" hidden="1">'[28]배수통관(좌)'!#REF!</definedName>
    <definedName name="토적계산" localSheetId="3" hidden="1">'[28]배수통관(좌)'!#REF!</definedName>
    <definedName name="토적계산" localSheetId="16" hidden="1">'[28]배수통관(좌)'!#REF!</definedName>
    <definedName name="토적계산" localSheetId="24" hidden="1">'[29]배수통관(좌)'!#REF!</definedName>
    <definedName name="토적계산" localSheetId="4" hidden="1">'[28]배수통관(좌)'!#REF!</definedName>
    <definedName name="토적계산" localSheetId="12" hidden="1">'[28]배수통관(좌)'!#REF!</definedName>
    <definedName name="토적계산" hidden="1">'[28]배수통관(좌)'!#REF!</definedName>
    <definedName name="토적계산서" hidden="1">'[30]#REF'!$A$1:$P$2004</definedName>
    <definedName name="토적표">#REF!</definedName>
    <definedName name="토적표01" localSheetId="22" hidden="1">#REF!</definedName>
    <definedName name="토적표01" localSheetId="23" hidden="1">#REF!</definedName>
    <definedName name="토적표01" localSheetId="11" hidden="1">#REF!</definedName>
    <definedName name="토적표01" localSheetId="18" hidden="1">#REF!</definedName>
    <definedName name="토적표01" localSheetId="8" hidden="1">#REF!</definedName>
    <definedName name="토적표01" localSheetId="6" hidden="1">#REF!</definedName>
    <definedName name="토적표01" localSheetId="14" hidden="1">#REF!</definedName>
    <definedName name="토적표01" localSheetId="15" hidden="1">#REF!</definedName>
    <definedName name="토적표01" localSheetId="10" hidden="1">#REF!</definedName>
    <definedName name="토적표01" localSheetId="9" hidden="1">#REF!</definedName>
    <definedName name="토적표01" localSheetId="3" hidden="1">#REF!</definedName>
    <definedName name="토적표01" localSheetId="16" hidden="1">#REF!</definedName>
    <definedName name="토적표01" localSheetId="24" hidden="1">#REF!</definedName>
    <definedName name="토적표01" localSheetId="4" hidden="1">#REF!</definedName>
    <definedName name="토적표01" localSheetId="12" hidden="1">#REF!</definedName>
    <definedName name="토적표01" hidden="1">#REF!</definedName>
    <definedName name="토피">4.803</definedName>
    <definedName name="통관총괄" localSheetId="15" hidden="1">#REF!</definedName>
    <definedName name="통관총괄" hidden="1">#REF!</definedName>
    <definedName name="통신내선공">#REF!</definedName>
    <definedName name="통신설비공">#REF!</definedName>
    <definedName name="통신외선공">#REF!</definedName>
    <definedName name="통신케이블공">#REF!</definedName>
    <definedName name="퇴직부금비">#REF!</definedName>
    <definedName name="퇴직부금비_산식">#REF!</definedName>
    <definedName name="트레일러20경">#REF!</definedName>
    <definedName name="트레일러20노">#REF!</definedName>
    <definedName name="트레일러20재">#REF!</definedName>
    <definedName name="특고압계이블전공">#REF!</definedName>
    <definedName name="특수비계공">#REF!</definedName>
    <definedName name="ㅍ" localSheetId="3" hidden="1">{#N/A,"수불부",FALSE,"사급자재수불서";#N/A,"수불부",FALSE,"사급자재수불서"}</definedName>
    <definedName name="ㅍ" localSheetId="4" hidden="1">{#N/A,"수불부",FALSE,"사급자재수불서";#N/A,"수불부",FALSE,"사급자재수불서"}</definedName>
    <definedName name="ㅍ" hidden="1">{#N/A,"수불부",FALSE,"사급자재수불서";#N/A,"수불부",FALSE,"사급자재수불서"}</definedName>
    <definedName name="ㅍ49">#REF!</definedName>
    <definedName name="ㅍㄴㄹ" hidden="1">[8]Sheet9!$J$44</definedName>
    <definedName name="ㅍㅊㅊㅍㅊㅍㅍㅊㅊㅍ" hidden="1">[8]Sheet13!$S$48:$AV$48</definedName>
    <definedName name="ㅍㅊㅊㅍㅍㅊㅊㅍ" hidden="1">[8]Sheet13!$S$48:$AV$48</definedName>
    <definedName name="ㅍㅊㅌ" hidden="1">[8]Sheet13!$S$48:$AV$48</definedName>
    <definedName name="ㅍㅊㅍㅊ" hidden="1">[8]Sheet13!$O$272:$O$341</definedName>
    <definedName name="ㅍㅊㅍㅍㅊㅊ" hidden="1">[8]Sheet13!$S$48:$AV$48</definedName>
    <definedName name="ㅍㅍ" hidden="1">{#N/A,#N/A,TRUE,"토적및재료집계";#N/A,#N/A,TRUE,"토적및재료집계";#N/A,#N/A,TRUE,"단위량"}</definedName>
    <definedName name="ㅍㅍㅍ" hidden="1">[8]Sheet13!$O$64:$O$131</definedName>
    <definedName name="ㅍㅍㅍㅍ" hidden="1">[8]Sheet13!$O$131:$O$201</definedName>
    <definedName name="ㅍㅍㅍㅍㅍ" hidden="1">{#N/A,#N/A,FALSE,"표지목차"}</definedName>
    <definedName name="파군재교" localSheetId="3" hidden="1">{#N/A,#N/A,FALSE,"단면 제원"}</definedName>
    <definedName name="파군재교" localSheetId="4" hidden="1">{#N/A,#N/A,FALSE,"단면 제원"}</definedName>
    <definedName name="파군재교" hidden="1">{#N/A,#N/A,FALSE,"단면 제원"}</definedName>
    <definedName name="파이1">#REF!</definedName>
    <definedName name="파이2">#REF!</definedName>
    <definedName name="파일" localSheetId="22" hidden="1">#REF!</definedName>
    <definedName name="파일" localSheetId="23" hidden="1">#REF!</definedName>
    <definedName name="파일" localSheetId="11" hidden="1">#REF!</definedName>
    <definedName name="파일" localSheetId="18" hidden="1">#REF!</definedName>
    <definedName name="파일" localSheetId="8" hidden="1">#REF!</definedName>
    <definedName name="파일" localSheetId="6" hidden="1">#REF!</definedName>
    <definedName name="파일" localSheetId="14" hidden="1">#REF!</definedName>
    <definedName name="파일" localSheetId="15" hidden="1">#REF!</definedName>
    <definedName name="파일" localSheetId="10" hidden="1">#REF!</definedName>
    <definedName name="파일" localSheetId="9" hidden="1">#REF!</definedName>
    <definedName name="파일" localSheetId="3" hidden="1">#REF!</definedName>
    <definedName name="파일" localSheetId="16" hidden="1">#REF!</definedName>
    <definedName name="파일" localSheetId="24" hidden="1">#REF!</definedName>
    <definedName name="파일" localSheetId="20" hidden="1">#REF!</definedName>
    <definedName name="파일" localSheetId="4" hidden="1">#REF!</definedName>
    <definedName name="파일" localSheetId="12" hidden="1">#REF!</definedName>
    <definedName name="파일" localSheetId="17" hidden="1">#REF!</definedName>
    <definedName name="파일" hidden="1">#REF!</definedName>
    <definedName name="파일1간격">0.6</definedName>
    <definedName name="파일간격">1.3</definedName>
    <definedName name="패널조림공">#REF!</definedName>
    <definedName name="펌프카경">#REF!</definedName>
    <definedName name="펌프카노">#REF!</definedName>
    <definedName name="펌프카재">#REF!</definedName>
    <definedName name="평면선형">#REF!</definedName>
    <definedName name="폐기물수수료">#REF!</definedName>
    <definedName name="포">#REF!</definedName>
    <definedName name="포설공">#REF!</definedName>
    <definedName name="포장">#REF!</definedName>
    <definedName name="포장공">#REF!</definedName>
    <definedName name="포장공제" hidden="1">[23]조명시설!#REF!</definedName>
    <definedName name="포장공집계">#REF!</definedName>
    <definedName name="포장공집계표">#REF!</definedName>
    <definedName name="포장토적015">#REF!</definedName>
    <definedName name="포장토적02">#REF!</definedName>
    <definedName name="표지" hidden="1">{"'Sheet1'!$A$4","'Sheet1'!$A$9:$G$28"}</definedName>
    <definedName name="표지1" hidden="1">#REF!</definedName>
    <definedName name="표지2" localSheetId="22" hidden="1">#REF!</definedName>
    <definedName name="표지2" localSheetId="23" hidden="1">#REF!</definedName>
    <definedName name="표지2" localSheetId="11" hidden="1">#REF!</definedName>
    <definedName name="표지2" localSheetId="18" hidden="1">#REF!</definedName>
    <definedName name="표지2" localSheetId="8" hidden="1">#REF!</definedName>
    <definedName name="표지2" localSheetId="6" hidden="1">#REF!</definedName>
    <definedName name="표지2" localSheetId="14" hidden="1">#REF!</definedName>
    <definedName name="표지2" localSheetId="15" hidden="1">#REF!</definedName>
    <definedName name="표지2" localSheetId="10" hidden="1">#REF!</definedName>
    <definedName name="표지2" localSheetId="9" hidden="1">#REF!</definedName>
    <definedName name="표지2" localSheetId="3" hidden="1">#REF!</definedName>
    <definedName name="표지2" localSheetId="16" hidden="1">#REF!</definedName>
    <definedName name="표지2" localSheetId="24" hidden="1">#REF!</definedName>
    <definedName name="표지2" localSheetId="4" hidden="1">#REF!</definedName>
    <definedName name="표지2" localSheetId="12" hidden="1">#REF!</definedName>
    <definedName name="표지2" hidden="1">#REF!</definedName>
    <definedName name="표지4" hidden="1">{#N/A,#N/A,TRUE,"총괄"}</definedName>
    <definedName name="표지5" hidden="1">{#N/A,#N/A,TRUE,"총괄"}</definedName>
    <definedName name="풍전2" hidden="1">{#N/A,#N/A,TRUE,"손익보고"}</definedName>
    <definedName name="플랜트기계설치공">#REF!</definedName>
    <definedName name="플랜트배관공">#REF!</definedName>
    <definedName name="플랜트용접공">#REF!</definedName>
    <definedName name="플랜트전공">#REF!</definedName>
    <definedName name="플랜트제관공">#REF!</definedName>
    <definedName name="플랜트특수용접공">#REF!</definedName>
    <definedName name="플륨350경">#REF!</definedName>
    <definedName name="플륨350노">#REF!</definedName>
    <definedName name="플륨350재">#REF!</definedName>
    <definedName name="피니셔경">#REF!</definedName>
    <definedName name="피니셔노">#REF!</definedName>
    <definedName name="피니셔재">#REF!</definedName>
    <definedName name="피이관50">#REF!</definedName>
    <definedName name="ㅎ" hidden="1">{#N/A,#N/A,FALSE,"혼합골재"}</definedName>
    <definedName name="ㅎㄱㄷㅎ" hidden="1">{#N/A,#N/A,FALSE,"골재소요량";#N/A,#N/A,FALSE,"골재소요량"}</definedName>
    <definedName name="ㅎㄱㅎㅎㄷㄶ" hidden="1">{#N/A,#N/A,FALSE,"골재소요량";#N/A,#N/A,FALSE,"골재소요량"}</definedName>
    <definedName name="ㅎㄴㅁㄹㅇㄹㄴ" localSheetId="3" hidden="1">{#N/A,"수불부",FALSE,"사급자재수불서";#N/A,"수불부",FALSE,"사급자재수불서"}</definedName>
    <definedName name="ㅎㄴㅁㄹㅇㄹㄴ" localSheetId="4" hidden="1">{#N/A,"수불부",FALSE,"사급자재수불서";#N/A,"수불부",FALSE,"사급자재수불서"}</definedName>
    <definedName name="ㅎㄴㅁㄹㅇㄹㄴ" hidden="1">{#N/A,"수불부",FALSE,"사급자재수불서";#N/A,"수불부",FALSE,"사급자재수불서"}</definedName>
    <definedName name="ㅎㄷ" hidden="1">[8]Sheet13!$O$202:$O$271</definedName>
    <definedName name="ㅎㄹㄴ" hidden="1">{#N/A,#N/A,FALSE,"2~8번"}</definedName>
    <definedName name="ㅎㄹㅇㄹㄴㅇㄴㄹ" hidden="1">{#N/A,#N/A,FALSE,"표지목차"}</definedName>
    <definedName name="ㅎㄹㅇㅀ" hidden="1">{#N/A,#N/A,FALSE,"부대1"}</definedName>
    <definedName name="ㅎ로ㅓ" hidden="1">{#N/A,#N/A,FALSE,"운반시간"}</definedName>
    <definedName name="ㅎ류휴ㅠㅎ휴" hidden="1">{#N/A,#N/A,FALSE,"골재소요량";#N/A,#N/A,FALSE,"골재소요량"}</definedName>
    <definedName name="ㅎ류ㅠㅍㅎㅇㅎ" hidden="1">{#N/A,#N/A,FALSE,"골재소요량";#N/A,#N/A,FALSE,"골재소요량"}</definedName>
    <definedName name="ㅎ률" hidden="1">{#N/A,#N/A,FALSE,"조골재"}</definedName>
    <definedName name="ㅎㅇㄴ" hidden="1">{#N/A,#N/A,FALSE,"2~8번"}</definedName>
    <definedName name="ㅎㅇㄶㅇㄴ" hidden="1">[8]Sheet14!$Q$45:$AT$45</definedName>
    <definedName name="ㅎㅇㅀㅇㅀㅇㅎ" hidden="1">{#N/A,#N/A,FALSE,"표지목차"}</definedName>
    <definedName name="ㅎㅇㅇㅀㅎㄹ" hidden="1">{#N/A,#N/A,FALSE,"속도"}</definedName>
    <definedName name="ㅎㅎ" hidden="1">{#N/A,#N/A,FALSE,"표지목차"}</definedName>
    <definedName name="ㅎㅎㅇㅎㅇ">#REF!</definedName>
    <definedName name="ㅎㅎㅎ" hidden="1">{#N/A,#N/A,FALSE,"혼합골재"}</definedName>
    <definedName name="ㅎㅎㅎㅇㄴ" hidden="1">{#N/A,#N/A,FALSE,"표지목차"}</definedName>
    <definedName name="ㅎㅎㅎㅎ" hidden="1">{#N/A,#N/A,FALSE,"2~8번"}</definedName>
    <definedName name="ㅎㅎㅎㅎㅎ" hidden="1">{#N/A,#N/A,FALSE,"단가표지"}</definedName>
    <definedName name="ㅎㅎㅎㅎㅎㅎ" hidden="1">{#N/A,#N/A,FALSE,"2~8번"}</definedName>
    <definedName name="ㅎㅎㅎㅎㅎㅜㅜ" hidden="1">{#N/A,#N/A,FALSE,"조골재"}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하하" localSheetId="3" hidden="1">{#N/A,#N/A,FALSE,"단가표지"}</definedName>
    <definedName name="하하하" localSheetId="4" hidden="1">{#N/A,#N/A,FALSE,"단가표지"}</definedName>
    <definedName name="하하하" hidden="1">{#N/A,#N/A,FALSE,"단가표지"}</definedName>
    <definedName name="한" localSheetId="3" hidden="1">{#N/A,#N/A,FALSE,"명세표"}</definedName>
    <definedName name="한" localSheetId="4" hidden="1">{#N/A,#N/A,FALSE,"명세표"}</definedName>
    <definedName name="한" hidden="1">{#N/A,#N/A,FALSE,"명세표"}</definedName>
    <definedName name="한국산업기술대학교신설공사" localSheetId="10">#REF!</definedName>
    <definedName name="한국산업기술대학교신설공사" localSheetId="9">#REF!</definedName>
    <definedName name="한국산업기술대학교인입공사" localSheetId="10">#REF!</definedName>
    <definedName name="한국산업기술대학교인입공사" localSheetId="9">#REF!</definedName>
    <definedName name="한국산업기술대학교철거공사" localSheetId="10">#REF!</definedName>
    <definedName name="한국산업기술대학교철거공사" localSheetId="9">#REF!</definedName>
    <definedName name="한일화학공업신설공사" localSheetId="10">#REF!</definedName>
    <definedName name="한일화학공업신설공사" localSheetId="9">#REF!</definedName>
    <definedName name="한일화학공업인입공사" localSheetId="10">#REF!</definedName>
    <definedName name="한일화학공업인입공사" localSheetId="9">#REF!</definedName>
    <definedName name="한일화학공업철거공사" localSheetId="10">#REF!</definedName>
    <definedName name="한일화학공업철거공사" localSheetId="9">#REF!</definedName>
    <definedName name="한전" hidden="1">#REF!</definedName>
    <definedName name="한전수" localSheetId="3" hidden="1">{#N/A,#N/A,FALSE,"명세표"}</definedName>
    <definedName name="한전수" localSheetId="4" hidden="1">{#N/A,#N/A,FALSE,"명세표"}</definedName>
    <definedName name="한전수" hidden="1">{#N/A,#N/A,FALSE,"명세표"}</definedName>
    <definedName name="할석공">#REF!</definedName>
    <definedName name="함1">#REF!</definedName>
    <definedName name="함2">#REF!</definedName>
    <definedName name="함석공">#REF!</definedName>
    <definedName name="합37a">#REF!</definedName>
    <definedName name="합37함">#REF!</definedName>
    <definedName name="합3함7">#REF!</definedName>
    <definedName name="합계">#REF!</definedName>
    <definedName name="합판1회1">#REF!</definedName>
    <definedName name="합판1회2">#REF!</definedName>
    <definedName name="합판31">#REF!</definedName>
    <definedName name="합판317">#REF!</definedName>
    <definedName name="합판371">#REF!</definedName>
    <definedName name="합판3함">#REF!</definedName>
    <definedName name="합판3회1">#REF!</definedName>
    <definedName name="합판3회2">#REF!</definedName>
    <definedName name="합판4회1">#REF!</definedName>
    <definedName name="합판4회2">#REF!</definedName>
    <definedName name="합판6회1">#REF!</definedName>
    <definedName name="합판6회2">#REF!</definedName>
    <definedName name="합판731">#REF!</definedName>
    <definedName name="항나" hidden="1">{"'급수관로수리계산서'!$A$1:$V$45"}</definedName>
    <definedName name="항목내역" hidden="1">{#N/A,#N/A,TRUE,"총괄"}</definedName>
    <definedName name="항타비1">#REF!</definedName>
    <definedName name="항타비2">#REF!</definedName>
    <definedName name="허용지반반력">70</definedName>
    <definedName name="현대내역서" localSheetId="22" hidden="1">{"'Sheet1'!$A$4","'Sheet1'!$A$9:$G$28"}</definedName>
    <definedName name="현대내역서" localSheetId="18" hidden="1">{"'Sheet1'!$A$4","'Sheet1'!$A$9:$G$28"}</definedName>
    <definedName name="현대내역서" localSheetId="8" hidden="1">{"'Sheet1'!$A$4","'Sheet1'!$A$9:$G$28"}</definedName>
    <definedName name="현대내역서" localSheetId="3" hidden="1">{"'Sheet1'!$A$4","'Sheet1'!$A$9:$G$28"}</definedName>
    <definedName name="현대내역서" localSheetId="24" hidden="1">{"'Sheet1'!$A$4","'Sheet1'!$A$9:$G$28"}</definedName>
    <definedName name="현대내역서" localSheetId="20" hidden="1">{"'Sheet1'!$A$4","'Sheet1'!$A$9:$G$28"}</definedName>
    <definedName name="현대내역서" localSheetId="4" hidden="1">{"'Sheet1'!$A$4","'Sheet1'!$A$9:$G$28"}</definedName>
    <definedName name="현대내역서" localSheetId="17" hidden="1">{"'Sheet1'!$A$4","'Sheet1'!$A$9:$G$28"}</definedName>
    <definedName name="현대내역서" hidden="1">{"'Sheet1'!$A$4","'Sheet1'!$A$9:$G$28"}</definedName>
    <definedName name="현도사">#REF!</definedName>
    <definedName name="형">#N/A</definedName>
    <definedName name="호호">#REF!</definedName>
    <definedName name="호호호" localSheetId="3" hidden="1">{#N/A,#N/A,FALSE,"명세표"}</definedName>
    <definedName name="호호호" localSheetId="4" hidden="1">{#N/A,#N/A,FALSE,"명세표"}</definedName>
    <definedName name="호호호" hidden="1">{#N/A,#N/A,FALSE,"명세표"}</definedName>
    <definedName name="호ㅓㅗ" hidden="1">{#N/A,#N/A,FALSE,"포장1";#N/A,#N/A,FALSE,"포장1"}</definedName>
    <definedName name="호ㅠ포" hidden="1">{#N/A,#N/A,FALSE,"표지목차"}</definedName>
    <definedName name="화약취급공">#REF!</definedName>
    <definedName name="확폭구간">#REF!</definedName>
    <definedName name="횡단보도신설_LP2" localSheetId="9">'수량산출서(DL)'!#REF!</definedName>
    <definedName name="횡단보도신설_LP3" localSheetId="9">'수량산출서(DL)'!#REF!</definedName>
    <definedName name="횡단보도신설_LP4" localSheetId="9">'수량산출서(DL)'!#REF!</definedName>
    <definedName name="횡배수공집계">#REF!</definedName>
    <definedName name="횡배수관기초">#REF!</definedName>
    <definedName name="횡배수관연장">#REF!</definedName>
    <definedName name="효ㅛㅛㅛㅛ" hidden="1">{#N/A,#N/A,FALSE,"조골재"}</definedName>
    <definedName name="흄관A1000">#REF!</definedName>
    <definedName name="흄관A1100">#REF!</definedName>
    <definedName name="흄관A1200">#REF!</definedName>
    <definedName name="흄관A300">#REF!</definedName>
    <definedName name="흄관A400">#REF!</definedName>
    <definedName name="흄관A450">#REF!</definedName>
    <definedName name="흄관A500">#REF!</definedName>
    <definedName name="흄관A600">#REF!</definedName>
    <definedName name="흄관A800">#REF!</definedName>
    <definedName name="흄관A900">#REF!</definedName>
    <definedName name="흄관B1000">#REF!</definedName>
    <definedName name="흄관B1100">#REF!</definedName>
    <definedName name="흄관B1200">#REF!</definedName>
    <definedName name="흄관B300">#REF!</definedName>
    <definedName name="흄관B400">#REF!</definedName>
    <definedName name="흄관B450">#REF!</definedName>
    <definedName name="흄관B500">#REF!</definedName>
    <definedName name="흄관B600">#REF!</definedName>
    <definedName name="흄관B800">#REF!</definedName>
    <definedName name="흄관B900">#REF!</definedName>
    <definedName name="흄관소켓1000경">#REF!</definedName>
    <definedName name="흄관소켓1000노">#REF!</definedName>
    <definedName name="흄관소켓1000재">#REF!</definedName>
    <definedName name="흄관소켓1200경">#REF!</definedName>
    <definedName name="흄관소켓1200노">#REF!</definedName>
    <definedName name="흄관소켓1200재">#REF!</definedName>
    <definedName name="흄관소켓300노">#REF!</definedName>
    <definedName name="흄관소켓400경">#REF!</definedName>
    <definedName name="흄관소켓400노">#REF!</definedName>
    <definedName name="흄관소켓400재">#REF!</definedName>
    <definedName name="흄관소켓450경">#REF!</definedName>
    <definedName name="흄관소켓450노">#REF!</definedName>
    <definedName name="흄관소켓450재">#REF!</definedName>
    <definedName name="흄관소켓500경">#REF!</definedName>
    <definedName name="흄관소켓500노">#REF!</definedName>
    <definedName name="흄관소켓500재">#REF!</definedName>
    <definedName name="흄관소켓600경">#REF!</definedName>
    <definedName name="흄관소켓600노">#REF!</definedName>
    <definedName name="흄관소켓600재">#REF!</definedName>
    <definedName name="흄관소켓800경">#REF!</definedName>
    <definedName name="흄관소켓800노">#REF!</definedName>
    <definedName name="흄관소켓800재">#REF!</definedName>
    <definedName name="희성" localSheetId="3" hidden="1">{#N/A,#N/A,FALSE,"명세표"}</definedName>
    <definedName name="희성" localSheetId="4" hidden="1">{#N/A,#N/A,FALSE,"명세표"}</definedName>
    <definedName name="희성" hidden="1">{#N/A,#N/A,FALSE,"명세표"}</definedName>
    <definedName name="히히" hidden="1">{#N/A,#N/A,FALSE,"조골재"}</definedName>
    <definedName name="히ㅏㅓㅣㅏㅓㅚㅏ" hidden="1">{#N/A,#N/A,FALSE,"구조1"}</definedName>
    <definedName name="ㅏ" hidden="1">{#N/A,#N/A,FALSE,"골재소요량";#N/A,#N/A,FALSE,"골재소요량"}</definedName>
    <definedName name="ㅏㅏ" hidden="1">{#N/A,#N/A,FALSE,"2~8번"}</definedName>
    <definedName name="ㅏㅏㅏ" localSheetId="3" hidden="1">{#N/A,#N/A,FALSE,"명세표"}</definedName>
    <definedName name="ㅏㅏㅏ" localSheetId="4" hidden="1">{#N/A,#N/A,FALSE,"명세표"}</definedName>
    <definedName name="ㅏㅏㅏ" hidden="1">{#N/A,#N/A,FALSE,"명세표"}</definedName>
    <definedName name="ㅏㅏㅏㅏㅏ" hidden="1">{#N/A,#N/A,FALSE,"단가표지"}</definedName>
    <definedName name="ㅏㅏㅏㅏㅏㅏ">#REF!</definedName>
    <definedName name="ㅏㅏㅏㅏㅏㅏㅏ" hidden="1">{#N/A,#N/A,FALSE,"운반시간"}</definedName>
    <definedName name="ㅏㅏㅏㅏㅏㅏㅏㅏㅏㅏㅏㅏㅏㅏㅏㅏㅏㅏㅏㅏㅏㅏㅏㅏㅏㅏㅏ" hidden="1">{#N/A,#N/A,FALSE,"단가표지"}</definedName>
    <definedName name="ㅏㅓㅣㅏㅓㅣ" hidden="1">{#N/A,#N/A,FALSE,"부대2"}</definedName>
    <definedName name="ㅏㅕ라ㅕ" hidden="1">[2]Sheet14!$Q$48:$AT$48</definedName>
    <definedName name="ㅐㅐㅐㅐㅐ">#REF!</definedName>
    <definedName name="ㅐㅑㅔ" hidden="1">{#N/A,#N/A,FALSE,"단가표지"}</definedName>
    <definedName name="ㅑㅑㅑㅑ" hidden="1">{#N/A,#N/A,FALSE,"운반시간"}</definedName>
    <definedName name="ㅑㅑㅑㅑㅑㅑ" hidden="1">{#N/A,#N/A,FALSE,"조골재"}</definedName>
    <definedName name="ㅑㅑㅑㅑㅑㅑㅑㅑㅑ" hidden="1">{#N/A,#N/A,FALSE,"표지목차"}</definedName>
    <definedName name="ㅑㅕ사" hidden="1">{#N/A,#N/A,FALSE,"혼합골재"}</definedName>
    <definedName name="ㅑㅣㅕㅕㅣㅏㅎ" hidden="1">{#N/A,#N/A,FALSE,"골재소요량";#N/A,#N/A,FALSE,"골재소요량"}</definedName>
    <definedName name="ㅓ" hidden="1">{#N/A,#N/A,FALSE,"표지목차"}</definedName>
    <definedName name="ㅓ39">#REF!</definedName>
    <definedName name="ㅓㅏ" hidden="1">{#N/A,#N/A,FALSE,"표지목차"}</definedName>
    <definedName name="ㅓㅏㅓㅎ" hidden="1">{#N/A,#N/A,FALSE,"단가표지"}</definedName>
    <definedName name="ㅓㅏㅣㅓㅣㅓ" hidden="1">{#N/A,#N/A,FALSE,"혼합골재"}</definedName>
    <definedName name="ㅓㅓ" hidden="1">{#N/A,#N/A,FALSE,"조골재"}</definedName>
    <definedName name="ㅓㅓㅓㅓ" hidden="1">{#N/A,#N/A,FALSE,"골재소요량";#N/A,#N/A,FALSE,"골재소요량"}</definedName>
    <definedName name="ㅓㅓㅓㅓㅓㅓ" hidden="1">{#N/A,#N/A,FALSE,"2~8번"}</definedName>
    <definedName name="ㅓㅓㅓㅓㅓㅓㅓㅓ" hidden="1">{#N/A,#N/A,FALSE,"골재소요량";#N/A,#N/A,FALSE,"골재소요량"}</definedName>
    <definedName name="ㅓㅓㅓㅓㅓㅓㅓㅓㅓㅓㅓ" hidden="1">{#N/A,#N/A,FALSE,"골재소요량";#N/A,#N/A,FALSE,"골재소요량"}</definedName>
    <definedName name="ㅓㅕ" hidden="1">{#N/A,#N/A,FALSE,"조골재"}</definedName>
    <definedName name="ㅓㅗ" localSheetId="3" hidden="1">{#N/A,"수불부",FALSE,"사급자재수불서";#N/A,"수불부",FALSE,"사급자재수불서"}</definedName>
    <definedName name="ㅓㅗ" localSheetId="4" hidden="1">{#N/A,"수불부",FALSE,"사급자재수불서";#N/A,"수불부",FALSE,"사급자재수불서"}</definedName>
    <definedName name="ㅓㅗ" hidden="1">{#N/A,"수불부",FALSE,"사급자재수불서";#N/A,"수불부",FALSE,"사급자재수불서"}</definedName>
    <definedName name="ㅓㅗㅅㄹ" hidden="1">{#N/A,#N/A,FALSE,"조골재"}</definedName>
    <definedName name="ㅓㅛ" hidden="1">{#N/A,#N/A,FALSE,"토공2"}</definedName>
    <definedName name="ㅔ3" hidden="1">{#N/A,#N/A,FALSE,"배수1"}</definedName>
    <definedName name="ㅔㅐㅔ" localSheetId="3" hidden="1">{#N/A,"수불부",FALSE,"사급자재수불서";#N/A,"수불부",FALSE,"사급자재수불서"}</definedName>
    <definedName name="ㅔㅐㅔ" localSheetId="4" hidden="1">{#N/A,"수불부",FALSE,"사급자재수불서";#N/A,"수불부",FALSE,"사급자재수불서"}</definedName>
    <definedName name="ㅔㅐㅔ" hidden="1">{#N/A,"수불부",FALSE,"사급자재수불서";#N/A,"수불부",FALSE,"사급자재수불서"}</definedName>
    <definedName name="ㅔㅔ" localSheetId="3" hidden="1">{#N/A,#N/A,FALSE,"명세표"}</definedName>
    <definedName name="ㅔㅔ" localSheetId="4" hidden="1">{#N/A,#N/A,FALSE,"명세표"}</definedName>
    <definedName name="ㅔㅔ" hidden="1">{#N/A,#N/A,FALSE,"명세표"}</definedName>
    <definedName name="ㅕ" hidden="1">{#N/A,#N/A,FALSE,"혼합골재"}</definedName>
    <definedName name="ㅕㅑ" hidden="1">{#N/A,#N/A,FALSE,"2~8번"}</definedName>
    <definedName name="ㅕㅑㅑㅑ" hidden="1">{#N/A,#N/A,FALSE,"조골재"}</definedName>
    <definedName name="ㅕㅕ" hidden="1">{#N/A,#N/A,FALSE,"표지목차"}</definedName>
    <definedName name="ㅕㅕㅑ" hidden="1">[8]Sheet14!$L$61:$L$130</definedName>
    <definedName name="ㅕㅕㅕ" hidden="1">{#N/A,#N/A,FALSE,"혼합골재"}</definedName>
    <definedName name="ㅕㅕㅕㅕ" hidden="1">{#N/A,#N/A,FALSE,"표지목차"}</definedName>
    <definedName name="ㅕㅕㅕㅕㅕ" hidden="1">{#N/A,#N/A,FALSE,"운반시간"}</definedName>
    <definedName name="ㅕㅕㅕㅕㅕㅕ" hidden="1">{#N/A,#N/A,FALSE,"단가표지"}</definedName>
    <definedName name="ㅕㅕㅕㅕㅕㅕㅕㅕ" hidden="1">{#N/A,#N/A,FALSE,"조골재"}</definedName>
    <definedName name="ㅗ">#REF!</definedName>
    <definedName name="ㅗㄹ호" hidden="1">{#N/A,#N/A,FALSE,"운반시간"}</definedName>
    <definedName name="ㅗㅅ20">#REF!</definedName>
    <definedName name="ㅗㅅㄱ" hidden="1">{"'Firr(선)'!$AS$1:$AY$62","'Firr(사)'!$AS$1:$AY$62","'Firr(회)'!$AS$1:$AY$62","'Firr(선)'!$L$1:$V$62","'Firr(사)'!$L$1:$V$62","'Firr(회)'!$L$1:$V$62"}</definedName>
    <definedName name="ㅗㅍ초" hidden="1">{#N/A,#N/A,FALSE,"2~8번"}</definedName>
    <definedName name="ㅗㅎㅅ" localSheetId="3" hidden="1">{"'공사부문'!$A$6:$A$32"}</definedName>
    <definedName name="ㅗㅎㅅ" localSheetId="4" hidden="1">{"'공사부문'!$A$6:$A$32"}</definedName>
    <definedName name="ㅗㅎㅅ" hidden="1">{"'공사부문'!$A$6:$A$32"}</definedName>
    <definedName name="ㅗㅎㅇㅁㄹㅇㅎ" localSheetId="3" hidden="1">{#N/A,"수불부",FALSE,"사급자재수불서";#N/A,"수불부",FALSE,"사급자재수불서"}</definedName>
    <definedName name="ㅗㅎㅇㅁㄹㅇㅎ" localSheetId="4" hidden="1">{#N/A,"수불부",FALSE,"사급자재수불서";#N/A,"수불부",FALSE,"사급자재수불서"}</definedName>
    <definedName name="ㅗㅎㅇㅁㄹㅇㅎ" hidden="1">{#N/A,"수불부",FALSE,"사급자재수불서";#N/A,"수불부",FALSE,"사급자재수불서"}</definedName>
    <definedName name="ㅗㅎㅎㅌㄹㅋㅅ" hidden="1">{#N/A,#N/A,FALSE,"2~8번"}</definedName>
    <definedName name="ㅗㅗ" localSheetId="3" hidden="1">{#N/A,#N/A,FALSE,"명세표"}</definedName>
    <definedName name="ㅗㅗ" localSheetId="4" hidden="1">{#N/A,#N/A,FALSE,"명세표"}</definedName>
    <definedName name="ㅗㅗ" hidden="1">{#N/A,#N/A,FALSE,"명세표"}</definedName>
    <definedName name="ㅗㅗㅗㅗ" localSheetId="22" hidden="1">#REF!</definedName>
    <definedName name="ㅗㅗㅗㅗ" localSheetId="23" hidden="1">#REF!</definedName>
    <definedName name="ㅗㅗㅗㅗ" localSheetId="11" hidden="1">#REF!</definedName>
    <definedName name="ㅗㅗㅗㅗ" localSheetId="18" hidden="1">#REF!</definedName>
    <definedName name="ㅗㅗㅗㅗ" localSheetId="8" hidden="1">#REF!</definedName>
    <definedName name="ㅗㅗㅗㅗ" localSheetId="6" hidden="1">#REF!</definedName>
    <definedName name="ㅗㅗㅗㅗ" localSheetId="14" hidden="1">#REF!</definedName>
    <definedName name="ㅗㅗㅗㅗ" localSheetId="15" hidden="1">#REF!</definedName>
    <definedName name="ㅗㅗㅗㅗ" localSheetId="10" hidden="1">#REF!</definedName>
    <definedName name="ㅗㅗㅗㅗ" localSheetId="9" hidden="1">#REF!</definedName>
    <definedName name="ㅗㅗㅗㅗ" localSheetId="3" hidden="1">#REF!</definedName>
    <definedName name="ㅗㅗㅗㅗ" localSheetId="16" hidden="1">#REF!</definedName>
    <definedName name="ㅗㅗㅗㅗ" localSheetId="24" hidden="1">#REF!</definedName>
    <definedName name="ㅗㅗㅗㅗ" localSheetId="4" hidden="1">#REF!</definedName>
    <definedName name="ㅗㅗㅗㅗ" localSheetId="12" hidden="1">#REF!</definedName>
    <definedName name="ㅗㅗㅗㅗ" hidden="1">#REF!</definedName>
    <definedName name="ㅗㅗㅗㅗㅗㅗ" hidden="1">{#N/A,#N/A,FALSE,"2~8번"}</definedName>
    <definedName name="ㅛ" hidden="1">{#N/A,#N/A,FALSE,"혼합골재"}</definedName>
    <definedName name="ㅛ셔됴ㅕ" hidden="1">{#N/A,#N/A,FALSE,"운반시간"}</definedName>
    <definedName name="ㅛ셔으ㅜㅅ구" hidden="1">{#N/A,#N/A,FALSE,"2~8번"}</definedName>
    <definedName name="ㅛㅇ수ㅜㅛㅅㅇ" hidden="1">{#N/A,#N/A,FALSE,"2~8번"}</definedName>
    <definedName name="ㅛㅓㄴㄱ5" hidden="1">{#N/A,#N/A,FALSE,"단가표지"}</definedName>
    <definedName name="ㅛㅕ하ㅓ" hidden="1">{#N/A,#N/A,FALSE,"포장2"}</definedName>
    <definedName name="ㅛㅕㅕㅑㅓ" hidden="1">{#N/A,#N/A,FALSE,"표지목차"}</definedName>
    <definedName name="ㅛㅛ" hidden="1">{#N/A,#N/A,FALSE,"골재소요량";#N/A,#N/A,FALSE,"골재소요량"}</definedName>
    <definedName name="ㅛㅛㅛㅛ" hidden="1">{#N/A,#N/A,FALSE,"표지목차"}</definedName>
    <definedName name="ㅛㅛㅛㅛㅛㅛ" hidden="1">{#N/A,#N/A,FALSE,"골재소요량";#N/A,#N/A,FALSE,"골재소요량"}</definedName>
    <definedName name="ㅛㅛㅛㅛㅛㅛㅛ" hidden="1">{#N/A,#N/A,FALSE,"단가표지"}</definedName>
    <definedName name="ㅛㅠㅗㄱ셔ㅛ" hidden="1">{#N/A,#N/A,FALSE,"조골재"}</definedName>
    <definedName name="ㅜ" localSheetId="3" hidden="1">{#N/A,#N/A,FALSE,"명세표"}</definedName>
    <definedName name="ㅜ" localSheetId="4" hidden="1">{#N/A,#N/A,FALSE,"명세표"}</definedName>
    <definedName name="ㅜ" hidden="1">{#N/A,#N/A,FALSE,"명세표"}</definedName>
    <definedName name="ㅜㄴ" hidden="1">{#N/A,#N/A,FALSE,"운반시간"}</definedName>
    <definedName name="ㅜ여숫유" hidden="1">{#N/A,#N/A,FALSE,"운반시간"}</definedName>
    <definedName name="ㅜ후ㅗㅜㅗ" hidden="1">{#N/A,#N/A,FALSE,"단가표지"}</definedName>
    <definedName name="ㅜㅗ" hidden="1">{#N/A,#N/A,FALSE,"이정표"}</definedName>
    <definedName name="ㅝㅎㄹ촉ㅇ" hidden="1">{#N/A,#N/A,FALSE,"조골재"}</definedName>
    <definedName name="ㅠ" hidden="1">{#N/A,#N/A,FALSE,"표지목차"}</definedName>
    <definedName name="ㅠㄱ소슈" hidden="1">{#N/A,#N/A,FALSE,"골재소요량";#N/A,#N/A,FALSE,"골재소요량"}</definedName>
    <definedName name="ㅠㄱㅇ" hidden="1">[8]Sheet13!$N$272:$N$341</definedName>
    <definedName name="ㅠㄴㅀㅎ" hidden="1">[2]Sheet13!$N$131:$N$201</definedName>
    <definedName name="ㅠㄷㅁㄴ" hidden="1">[8]Sheet14!$L$61:$L$130</definedName>
    <definedName name="ㅠㄹ" hidden="1">{#N/A,#N/A,FALSE,"속도"}</definedName>
    <definedName name="ㅠㅁㄹㅇㄹ" hidden="1">[2]Sheet13!$N$272:$N$341</definedName>
    <definedName name="ㅠ뮤ㅐ" localSheetId="22" hidden="1">#REF!</definedName>
    <definedName name="ㅠ뮤ㅐ" localSheetId="23" hidden="1">#REF!</definedName>
    <definedName name="ㅠ뮤ㅐ" localSheetId="11" hidden="1">#REF!</definedName>
    <definedName name="ㅠ뮤ㅐ" localSheetId="18" hidden="1">#REF!</definedName>
    <definedName name="ㅠ뮤ㅐ" localSheetId="8" hidden="1">#REF!</definedName>
    <definedName name="ㅠ뮤ㅐ" localSheetId="6" hidden="1">#REF!</definedName>
    <definedName name="ㅠ뮤ㅐ" localSheetId="14" hidden="1">#REF!</definedName>
    <definedName name="ㅠ뮤ㅐ" localSheetId="15" hidden="1">#REF!</definedName>
    <definedName name="ㅠ뮤ㅐ" localSheetId="10" hidden="1">#REF!</definedName>
    <definedName name="ㅠ뮤ㅐ" localSheetId="9" hidden="1">#REF!</definedName>
    <definedName name="ㅠ뮤ㅐ" localSheetId="3" hidden="1">#REF!</definedName>
    <definedName name="ㅠ뮤ㅐ" localSheetId="16" hidden="1">#REF!</definedName>
    <definedName name="ㅠ뮤ㅐ" localSheetId="24" hidden="1">#REF!</definedName>
    <definedName name="ㅠ뮤ㅐ" localSheetId="4" hidden="1">#REF!</definedName>
    <definedName name="ㅠ뮤ㅐ" localSheetId="12" hidden="1">#REF!</definedName>
    <definedName name="ㅠ뮤ㅐ" hidden="1">#REF!</definedName>
    <definedName name="ㅠㅅ롯고" hidden="1">{#N/A,#N/A,FALSE,"골재소요량";#N/A,#N/A,FALSE,"골재소요량"}</definedName>
    <definedName name="ㅠ숑ㄱ쇼ㅠㅠㅅ" hidden="1">{#N/A,#N/A,FALSE,"단가표지"}</definedName>
    <definedName name="ㅠㅇㅁㄹㅇㅁ" hidden="1">[2]Sheet13!$N$202:$N$271</definedName>
    <definedName name="ㅠㅊㅌ큐" hidden="1">[8]Sheet14!$Q$48:$AT$48</definedName>
    <definedName name="ㅠㅍㄷㄴ" hidden="1">[8]Sheet14!$Q$48:$AT$48</definedName>
    <definedName name="ㅠㅠ" hidden="1">[8]Sheet13!$S$51:$AV$51</definedName>
    <definedName name="ㅠㅠㅠ" hidden="1">[2]Sheet13!$S$48:$AV$48</definedName>
    <definedName name="ㅠㅠㅠㅠ" hidden="1">{#N/A,#N/A,FALSE,"운반시간"}</definedName>
    <definedName name="ㅡ" hidden="1">{#N/A,#N/A,FALSE,"조골재"}</definedName>
    <definedName name="ㅡ37">#REF!</definedName>
    <definedName name="ㅡㅗㅓㅓㅡㅗㅗㅓㅓㅗ" hidden="1">{#N/A,#N/A,FALSE,"운반시간"}</definedName>
    <definedName name="ㅡㅡ" localSheetId="22" hidden="1">{"'Sheet1'!$D$19","'Sheet1'!$B$22:$E$22"}</definedName>
    <definedName name="ㅡㅡ" localSheetId="18" hidden="1">{"'Sheet1'!$D$19","'Sheet1'!$B$22:$E$22"}</definedName>
    <definedName name="ㅡㅡ" localSheetId="8" hidden="1">{"'Sheet1'!$D$19","'Sheet1'!$B$22:$E$22"}</definedName>
    <definedName name="ㅡㅡ" localSheetId="3" hidden="1">{"'Sheet1'!$D$19","'Sheet1'!$B$22:$E$22"}</definedName>
    <definedName name="ㅡㅡ" localSheetId="4" hidden="1">{"'Sheet1'!$D$19","'Sheet1'!$B$22:$E$22"}</definedName>
    <definedName name="ㅡㅡ" localSheetId="17" hidden="1">{"'Sheet1'!$D$19","'Sheet1'!$B$22:$E$22"}</definedName>
    <definedName name="ㅡㅡ" hidden="1">{"'Sheet1'!$D$19","'Sheet1'!$B$22:$E$22"}</definedName>
    <definedName name="ㅡㅡㅡ" hidden="1">{#N/A,#N/A,FALSE,"골재소요량";#N/A,#N/A,FALSE,"골재소요량"}</definedName>
    <definedName name="ㅡㅡㅡㅡㅡ" hidden="1">{#N/A,#N/A,FALSE,"운반시간"}</definedName>
    <definedName name="ㅣ">#REF!</definedName>
    <definedName name="ㅣ189">#REF!</definedName>
    <definedName name="ㅣㅎㄹㅇㅇ" hidden="1">{#N/A,#N/A,FALSE,"토공2"}</definedName>
    <definedName name="ㅣㅏㅓㅣㅏㅓㅣ" hidden="1">{#N/A,#N/A,FALSE,"속도"}</definedName>
    <definedName name="ㅣㅏㅚㅗㅓ" hidden="1">[2]Sheet14!$L$61:$L$130</definedName>
    <definedName name="ㅣㅑㅑ" localSheetId="3" hidden="1">{#N/A,#N/A,FALSE,"단가표지"}</definedName>
    <definedName name="ㅣㅑㅑ" localSheetId="4" hidden="1">{#N/A,#N/A,FALSE,"단가표지"}</definedName>
    <definedName name="ㅣㅑㅑ" hidden="1">{#N/A,#N/A,FALSE,"단가표지"}</definedName>
    <definedName name="ㅣㅑㅣㅣ" hidden="1">{#N/A,#N/A,FALSE,"혼합골재"}</definedName>
    <definedName name="ㅣㅣㅣ" hidden="1">{#N/A,#N/A,FALSE,"조골재"}</definedName>
    <definedName name="ㅣㅣㅣㅣㅣㅣ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" i="310" l="1"/>
  <c r="K7" i="310"/>
  <c r="A2" i="485"/>
  <c r="A2" i="14"/>
  <c r="B2" i="168"/>
  <c r="J13" i="485"/>
  <c r="H13" i="485"/>
  <c r="H11" i="485"/>
  <c r="B8" i="485"/>
  <c r="B8" i="484"/>
  <c r="A4" i="484"/>
  <c r="A43" i="467" l="1"/>
  <c r="A8" i="459" l="1"/>
  <c r="A37" i="467" l="1"/>
  <c r="A7" i="459"/>
  <c r="A36" i="467"/>
  <c r="B10" i="168" l="1"/>
  <c r="G31" i="304" l="1"/>
  <c r="A34" i="467" l="1"/>
  <c r="A40" i="467" l="1"/>
  <c r="A10" i="459"/>
  <c r="A9" i="459"/>
  <c r="A38" i="467"/>
  <c r="B6" i="168"/>
  <c r="K25" i="459" l="1"/>
  <c r="I25" i="459"/>
  <c r="A21" i="481" l="1"/>
  <c r="A20" i="481"/>
  <c r="A19" i="476"/>
  <c r="D21" i="481" l="1"/>
  <c r="E21" i="481"/>
  <c r="F21" i="481"/>
  <c r="E19" i="476"/>
  <c r="G19" i="476"/>
  <c r="F19" i="476"/>
  <c r="H19" i="476"/>
  <c r="I19" i="476"/>
  <c r="D19" i="476"/>
  <c r="F20" i="481"/>
  <c r="D20" i="481"/>
  <c r="E20" i="481"/>
  <c r="I5" i="476"/>
  <c r="H5" i="476"/>
  <c r="G5" i="476"/>
  <c r="G4" i="476"/>
  <c r="B297" i="462"/>
  <c r="F297" i="462" s="1"/>
  <c r="G290" i="462"/>
  <c r="G286" i="462"/>
  <c r="G285" i="462"/>
  <c r="G269" i="462"/>
  <c r="G283" i="462"/>
  <c r="G282" i="462"/>
  <c r="G281" i="462"/>
  <c r="G278" i="462"/>
  <c r="G277" i="462"/>
  <c r="G275" i="462"/>
  <c r="G274" i="462"/>
  <c r="G291" i="462"/>
  <c r="G304" i="462"/>
  <c r="G305" i="462"/>
  <c r="G284" i="462"/>
  <c r="G297" i="462"/>
  <c r="G288" i="462"/>
  <c r="G279" i="462"/>
  <c r="G289" i="462"/>
  <c r="G276" i="462"/>
  <c r="G280" i="462"/>
  <c r="E303" i="462" l="1"/>
  <c r="E302" i="462"/>
  <c r="C297" i="462"/>
  <c r="E300" i="462"/>
  <c r="E287" i="462"/>
  <c r="E299" i="462"/>
  <c r="E301" i="462"/>
  <c r="D297" i="462"/>
  <c r="G259" i="462"/>
  <c r="G258" i="462"/>
  <c r="G194" i="462"/>
  <c r="G260" i="462"/>
  <c r="G261" i="462"/>
  <c r="G256" i="462"/>
  <c r="G257" i="462"/>
  <c r="G252" i="462"/>
  <c r="G255" i="462"/>
  <c r="G254" i="462"/>
  <c r="G251" i="462"/>
  <c r="G264" i="462"/>
  <c r="G268" i="462"/>
  <c r="G287" i="462"/>
  <c r="G266" i="462"/>
  <c r="G253" i="462"/>
  <c r="G262" i="462"/>
  <c r="G302" i="462"/>
  <c r="G300" i="462"/>
  <c r="G303" i="462"/>
  <c r="G299" i="462"/>
  <c r="G301" i="462"/>
  <c r="A29" i="481" l="1"/>
  <c r="B196" i="462"/>
  <c r="A11" i="476"/>
  <c r="A25" i="481"/>
  <c r="B304" i="462"/>
  <c r="B191" i="462"/>
  <c r="A13" i="476"/>
  <c r="A34" i="476"/>
  <c r="A32" i="476"/>
  <c r="A27" i="481"/>
  <c r="B192" i="462"/>
  <c r="A33" i="481"/>
  <c r="B198" i="462"/>
  <c r="A42" i="481"/>
  <c r="B195" i="462"/>
  <c r="A32" i="481"/>
  <c r="B197" i="462"/>
  <c r="A9" i="476"/>
  <c r="A44" i="481"/>
  <c r="B305" i="462"/>
  <c r="B193" i="462"/>
  <c r="A39" i="476"/>
  <c r="E298" i="462"/>
  <c r="E270" i="462"/>
  <c r="E263" i="462"/>
  <c r="G263" i="462"/>
  <c r="G298" i="462"/>
  <c r="G270" i="462"/>
  <c r="Q42" i="481" l="1"/>
  <c r="O42" i="481"/>
  <c r="J42" i="481"/>
  <c r="L42" i="481"/>
  <c r="M42" i="481"/>
  <c r="N42" i="481"/>
  <c r="P42" i="481"/>
  <c r="G42" i="481"/>
  <c r="R42" i="481"/>
  <c r="K42" i="481"/>
  <c r="H42" i="481"/>
  <c r="I42" i="481"/>
  <c r="Q44" i="481"/>
  <c r="R44" i="481"/>
  <c r="G44" i="481"/>
  <c r="P44" i="481"/>
  <c r="K44" i="481"/>
  <c r="I44" i="481"/>
  <c r="N44" i="481"/>
  <c r="O44" i="481"/>
  <c r="H44" i="481"/>
  <c r="M44" i="481"/>
  <c r="L44" i="481"/>
  <c r="J44" i="481"/>
  <c r="E267" i="462"/>
  <c r="G267" i="462"/>
  <c r="A7" i="467" l="1"/>
  <c r="A6" i="476"/>
  <c r="G31" i="462"/>
  <c r="G30" i="462"/>
  <c r="E34" i="462" l="1"/>
  <c r="E35" i="462"/>
  <c r="E38" i="462"/>
  <c r="G35" i="462"/>
  <c r="G34" i="462"/>
  <c r="G38" i="462"/>
  <c r="G113" i="462" l="1"/>
  <c r="G115" i="462"/>
  <c r="G117" i="462"/>
  <c r="G118" i="462"/>
  <c r="G116" i="462"/>
  <c r="G111" i="462"/>
  <c r="G114" i="462"/>
  <c r="G109" i="462"/>
  <c r="G121" i="462"/>
  <c r="G108" i="462"/>
  <c r="G119" i="462"/>
  <c r="G112" i="462"/>
  <c r="G141" i="462"/>
  <c r="G110" i="462"/>
  <c r="A35" i="467" l="1"/>
  <c r="G6" i="476"/>
  <c r="A6" i="481"/>
  <c r="B266" i="462"/>
  <c r="A38" i="476"/>
  <c r="A36" i="476"/>
  <c r="A7" i="481"/>
  <c r="B267" i="462"/>
  <c r="B86" i="462"/>
  <c r="B85" i="462"/>
  <c r="B129" i="462"/>
  <c r="B130" i="462"/>
  <c r="E120" i="462"/>
  <c r="G129" i="462"/>
  <c r="G120" i="462"/>
  <c r="G59" i="462"/>
  <c r="G9" i="462"/>
  <c r="D6" i="481" l="1"/>
  <c r="F6" i="481"/>
  <c r="F7" i="481"/>
  <c r="A42" i="476"/>
  <c r="E130" i="462"/>
  <c r="B36" i="462"/>
  <c r="E72" i="462"/>
  <c r="E15" i="462"/>
  <c r="E16" i="462"/>
  <c r="V19" i="476"/>
  <c r="G61" i="462"/>
  <c r="G56" i="462"/>
  <c r="G62" i="462"/>
  <c r="G63" i="462"/>
  <c r="G15" i="462"/>
  <c r="G130" i="462"/>
  <c r="G72" i="462"/>
  <c r="G16" i="462"/>
  <c r="E80" i="462" l="1"/>
  <c r="D7" i="481"/>
  <c r="A18" i="476"/>
  <c r="A24" i="476"/>
  <c r="B35" i="462"/>
  <c r="E84" i="462"/>
  <c r="E86" i="462"/>
  <c r="E92" i="462"/>
  <c r="E82" i="462"/>
  <c r="E78" i="462"/>
  <c r="E76" i="462"/>
  <c r="E71" i="462"/>
  <c r="B71" i="462"/>
  <c r="R5" i="481"/>
  <c r="Q5" i="481"/>
  <c r="P5" i="481"/>
  <c r="O5" i="481"/>
  <c r="N5" i="481"/>
  <c r="M5" i="481"/>
  <c r="L5" i="481"/>
  <c r="K5" i="481"/>
  <c r="J5" i="481"/>
  <c r="I5" i="481"/>
  <c r="H5" i="481"/>
  <c r="G5" i="481"/>
  <c r="F5" i="481"/>
  <c r="E5" i="481"/>
  <c r="D5" i="481"/>
  <c r="G76" i="462"/>
  <c r="G71" i="462"/>
  <c r="G86" i="462"/>
  <c r="G78" i="462"/>
  <c r="G92" i="462"/>
  <c r="G212" i="462" l="1"/>
  <c r="G205" i="462"/>
  <c r="G136" i="462"/>
  <c r="G218" i="462"/>
  <c r="G240" i="462"/>
  <c r="G204" i="462"/>
  <c r="G219" i="462"/>
  <c r="G217" i="462"/>
  <c r="G137" i="462"/>
  <c r="G247" i="462"/>
  <c r="G242" i="462"/>
  <c r="G203" i="462"/>
  <c r="G244" i="462"/>
  <c r="G8" i="462"/>
  <c r="G135" i="462"/>
  <c r="G246" i="462"/>
  <c r="G191" i="462"/>
  <c r="G245" i="462"/>
  <c r="G131" i="462"/>
  <c r="G248" i="462"/>
  <c r="G241" i="462"/>
  <c r="G206" i="462"/>
  <c r="G215" i="462"/>
  <c r="G213" i="462"/>
  <c r="G207" i="462"/>
  <c r="G208" i="462"/>
  <c r="G211" i="462"/>
  <c r="G220" i="462"/>
  <c r="G214" i="462"/>
  <c r="G243" i="462"/>
  <c r="G210" i="462"/>
  <c r="G209" i="462"/>
  <c r="E239" i="462" l="1"/>
  <c r="E225" i="462"/>
  <c r="E14" i="462"/>
  <c r="E138" i="462"/>
  <c r="E232" i="462"/>
  <c r="E235" i="462"/>
  <c r="E231" i="462"/>
  <c r="E238" i="462"/>
  <c r="E237" i="462"/>
  <c r="E186" i="462"/>
  <c r="E229" i="462"/>
  <c r="E230" i="462"/>
  <c r="E216" i="462"/>
  <c r="E236" i="462"/>
  <c r="E139" i="462"/>
  <c r="G216" i="462"/>
  <c r="G227" i="462"/>
  <c r="G226" i="462"/>
  <c r="G225" i="462"/>
  <c r="G236" i="462"/>
  <c r="G238" i="462"/>
  <c r="G232" i="462"/>
  <c r="G186" i="462"/>
  <c r="G139" i="462"/>
  <c r="G229" i="462"/>
  <c r="G230" i="462"/>
  <c r="G14" i="462"/>
  <c r="G239" i="462"/>
  <c r="G235" i="462"/>
  <c r="G231" i="462"/>
  <c r="G237" i="462"/>
  <c r="E233" i="462" l="1"/>
  <c r="E234" i="462"/>
  <c r="E228" i="462"/>
  <c r="D4" i="481"/>
  <c r="G233" i="462"/>
  <c r="G228" i="462"/>
  <c r="G234" i="462"/>
  <c r="F5" i="476" l="1"/>
  <c r="E5" i="476"/>
  <c r="D5" i="476"/>
  <c r="D4" i="476"/>
  <c r="A30" i="481" l="1"/>
  <c r="A43" i="481"/>
  <c r="A26" i="481"/>
  <c r="A31" i="481"/>
  <c r="A39" i="481"/>
  <c r="A45" i="481"/>
  <c r="B194" i="462"/>
  <c r="A28" i="481"/>
  <c r="A50" i="476"/>
  <c r="B92" i="462"/>
  <c r="B246" i="462"/>
  <c r="B240" i="462"/>
  <c r="B243" i="462"/>
  <c r="B245" i="462"/>
  <c r="B242" i="462"/>
  <c r="B241" i="462"/>
  <c r="B244" i="462"/>
  <c r="G166" i="462"/>
  <c r="G165" i="462"/>
  <c r="G155" i="462"/>
  <c r="G158" i="462"/>
  <c r="G168" i="462"/>
  <c r="G159" i="462"/>
  <c r="G169" i="462"/>
  <c r="G154" i="462"/>
  <c r="G164" i="462"/>
  <c r="G156" i="462"/>
  <c r="G161" i="462"/>
  <c r="G170" i="462"/>
  <c r="G157" i="462"/>
  <c r="G171" i="462"/>
  <c r="G160" i="462"/>
  <c r="G162" i="462"/>
  <c r="G163" i="462"/>
  <c r="G199" i="462"/>
  <c r="G198" i="462"/>
  <c r="G179" i="462"/>
  <c r="G196" i="462"/>
  <c r="G195" i="462"/>
  <c r="G193" i="462"/>
  <c r="G192" i="462"/>
  <c r="G197" i="462"/>
  <c r="G178" i="462"/>
  <c r="E183" i="462" l="1"/>
  <c r="E182" i="462"/>
  <c r="E167" i="462"/>
  <c r="E181" i="462"/>
  <c r="E177" i="462"/>
  <c r="L45" i="481"/>
  <c r="O45" i="481"/>
  <c r="H45" i="481"/>
  <c r="I45" i="481"/>
  <c r="P45" i="481"/>
  <c r="J45" i="481"/>
  <c r="N45" i="481"/>
  <c r="M45" i="481"/>
  <c r="G45" i="481"/>
  <c r="R45" i="481"/>
  <c r="Q45" i="481"/>
  <c r="K45" i="481"/>
  <c r="L43" i="481"/>
  <c r="J43" i="481"/>
  <c r="O43" i="481"/>
  <c r="N43" i="481"/>
  <c r="H43" i="481"/>
  <c r="R43" i="481"/>
  <c r="I43" i="481"/>
  <c r="P43" i="481"/>
  <c r="M43" i="481"/>
  <c r="G43" i="481"/>
  <c r="Q43" i="481"/>
  <c r="K43" i="481"/>
  <c r="E188" i="462"/>
  <c r="E189" i="462"/>
  <c r="E190" i="462"/>
  <c r="E187" i="462"/>
  <c r="E184" i="462"/>
  <c r="G167" i="462"/>
  <c r="G187" i="462"/>
  <c r="G184" i="462"/>
  <c r="G181" i="462"/>
  <c r="G183" i="462"/>
  <c r="G188" i="462"/>
  <c r="G189" i="462"/>
  <c r="G182" i="462"/>
  <c r="G177" i="462"/>
  <c r="G190" i="462"/>
  <c r="E180" i="462" l="1"/>
  <c r="E185" i="462"/>
  <c r="G180" i="462"/>
  <c r="G185" i="462"/>
  <c r="A13" i="481" l="1"/>
  <c r="A15" i="481"/>
  <c r="B136" i="462"/>
  <c r="B138" i="462"/>
  <c r="G133" i="462"/>
  <c r="G132" i="462"/>
  <c r="E140" i="462" l="1"/>
  <c r="G140" i="462"/>
  <c r="A9" i="467" l="1"/>
  <c r="A12" i="476"/>
  <c r="B14" i="462"/>
  <c r="G134" i="462" l="1"/>
  <c r="G7" i="462"/>
  <c r="E12" i="462" l="1"/>
  <c r="E13" i="462"/>
  <c r="E11" i="462"/>
  <c r="G13" i="462"/>
  <c r="G11" i="462"/>
  <c r="G138" i="462"/>
  <c r="G12" i="462"/>
  <c r="A27" i="476" l="1"/>
  <c r="A22" i="476"/>
  <c r="B76" i="462"/>
  <c r="B78" i="462"/>
  <c r="G57" i="462"/>
  <c r="G58" i="462"/>
  <c r="E77" i="462" l="1"/>
  <c r="E75" i="462"/>
  <c r="E70" i="462"/>
  <c r="E74" i="462"/>
  <c r="E69" i="462"/>
  <c r="E31" i="304" l="1"/>
  <c r="A37" i="481" l="1"/>
  <c r="B301" i="462"/>
  <c r="A9" i="481"/>
  <c r="A18" i="481"/>
  <c r="A12" i="481"/>
  <c r="A17" i="481"/>
  <c r="A8" i="481"/>
  <c r="B268" i="462"/>
  <c r="A38" i="481"/>
  <c r="A10" i="481"/>
  <c r="B269" i="462"/>
  <c r="A11" i="481"/>
  <c r="A14" i="481"/>
  <c r="A16" i="481"/>
  <c r="B270" i="462"/>
  <c r="B137" i="462"/>
  <c r="B131" i="462"/>
  <c r="B133" i="462"/>
  <c r="B134" i="462"/>
  <c r="B132" i="462"/>
  <c r="B135" i="462"/>
  <c r="B141" i="462"/>
  <c r="B235" i="462"/>
  <c r="B186" i="462"/>
  <c r="B236" i="462"/>
  <c r="B140" i="462"/>
  <c r="B139" i="462"/>
  <c r="B187" i="462"/>
  <c r="D10" i="481" l="1"/>
  <c r="F10" i="481"/>
  <c r="D17" i="481"/>
  <c r="D18" i="481"/>
  <c r="D11" i="481"/>
  <c r="D13" i="481"/>
  <c r="D15" i="481"/>
  <c r="F8" i="481"/>
  <c r="D8" i="481"/>
  <c r="D12" i="481"/>
  <c r="Q37" i="481"/>
  <c r="N37" i="481"/>
  <c r="O37" i="481"/>
  <c r="H37" i="481"/>
  <c r="M37" i="481"/>
  <c r="R37" i="481"/>
  <c r="L37" i="481"/>
  <c r="G37" i="481"/>
  <c r="P37" i="481"/>
  <c r="J37" i="481"/>
  <c r="I37" i="481"/>
  <c r="K37" i="481"/>
  <c r="F16" i="481"/>
  <c r="D16" i="481"/>
  <c r="D14" i="481"/>
  <c r="D9" i="481"/>
  <c r="K20" i="481"/>
  <c r="J20" i="481"/>
  <c r="I20" i="481"/>
  <c r="H20" i="481"/>
  <c r="G20" i="481"/>
  <c r="Q20" i="481"/>
  <c r="O20" i="481"/>
  <c r="M20" i="481"/>
  <c r="R20" i="481"/>
  <c r="P20" i="481"/>
  <c r="N20" i="481"/>
  <c r="L20" i="481"/>
  <c r="R21" i="481"/>
  <c r="Q21" i="481"/>
  <c r="P21" i="481"/>
  <c r="O21" i="481"/>
  <c r="N21" i="481"/>
  <c r="M21" i="481"/>
  <c r="L21" i="481"/>
  <c r="J21" i="481"/>
  <c r="H21" i="481"/>
  <c r="K21" i="481"/>
  <c r="I21" i="481"/>
  <c r="G21" i="481"/>
  <c r="H8" i="481"/>
  <c r="H17" i="481"/>
  <c r="H18" i="481"/>
  <c r="H10" i="481"/>
  <c r="H16" i="481"/>
  <c r="H13" i="481"/>
  <c r="H15" i="481"/>
  <c r="H11" i="481"/>
  <c r="K17" i="481"/>
  <c r="K8" i="481"/>
  <c r="K18" i="481"/>
  <c r="K10" i="481"/>
  <c r="K16" i="481"/>
  <c r="K13" i="481"/>
  <c r="K11" i="481"/>
  <c r="K15" i="481"/>
  <c r="N8" i="481"/>
  <c r="N17" i="481"/>
  <c r="N10" i="481"/>
  <c r="N18" i="481"/>
  <c r="N16" i="481"/>
  <c r="N13" i="481"/>
  <c r="N15" i="481"/>
  <c r="N11" i="481"/>
  <c r="J9" i="481"/>
  <c r="G9" i="481"/>
  <c r="M9" i="481"/>
  <c r="O9" i="481"/>
  <c r="H9" i="481"/>
  <c r="P9" i="481"/>
  <c r="I9" i="481"/>
  <c r="K9" i="481"/>
  <c r="R9" i="481"/>
  <c r="Q9" i="481"/>
  <c r="N9" i="481"/>
  <c r="L9" i="481"/>
  <c r="G7" i="481"/>
  <c r="M7" i="481"/>
  <c r="L7" i="481"/>
  <c r="N7" i="481"/>
  <c r="I7" i="481"/>
  <c r="H7" i="481"/>
  <c r="O7" i="481"/>
  <c r="K7" i="481"/>
  <c r="P7" i="481"/>
  <c r="R7" i="481"/>
  <c r="J7" i="481"/>
  <c r="Q7" i="481"/>
  <c r="G10" i="481"/>
  <c r="G8" i="481"/>
  <c r="G17" i="481"/>
  <c r="G18" i="481"/>
  <c r="G16" i="481"/>
  <c r="G13" i="481"/>
  <c r="G11" i="481"/>
  <c r="G15" i="481"/>
  <c r="R12" i="481"/>
  <c r="Q12" i="481"/>
  <c r="L12" i="481"/>
  <c r="P12" i="481"/>
  <c r="N12" i="481"/>
  <c r="M12" i="481"/>
  <c r="O12" i="481"/>
  <c r="I12" i="481"/>
  <c r="J12" i="481"/>
  <c r="G12" i="481"/>
  <c r="H12" i="481"/>
  <c r="K12" i="481"/>
  <c r="L14" i="481"/>
  <c r="K14" i="481"/>
  <c r="R14" i="481"/>
  <c r="N14" i="481"/>
  <c r="H14" i="481"/>
  <c r="G14" i="481"/>
  <c r="J14" i="481"/>
  <c r="M14" i="481"/>
  <c r="P14" i="481"/>
  <c r="Q14" i="481"/>
  <c r="O14" i="481"/>
  <c r="I14" i="481"/>
  <c r="I18" i="481"/>
  <c r="I10" i="481"/>
  <c r="I17" i="481"/>
  <c r="I8" i="481"/>
  <c r="I16" i="481"/>
  <c r="I13" i="481"/>
  <c r="I11" i="481"/>
  <c r="I15" i="481"/>
  <c r="J8" i="481"/>
  <c r="J17" i="481"/>
  <c r="J10" i="481"/>
  <c r="J18" i="481"/>
  <c r="J16" i="481"/>
  <c r="J13" i="481"/>
  <c r="J15" i="481"/>
  <c r="J11" i="481"/>
  <c r="R17" i="481"/>
  <c r="R8" i="481"/>
  <c r="R18" i="481"/>
  <c r="R10" i="481"/>
  <c r="R16" i="481"/>
  <c r="R13" i="481"/>
  <c r="R11" i="481"/>
  <c r="R15" i="481"/>
  <c r="Q17" i="481"/>
  <c r="Q8" i="481"/>
  <c r="Q10" i="481"/>
  <c r="Q18" i="481"/>
  <c r="Q16" i="481"/>
  <c r="Q13" i="481"/>
  <c r="Q15" i="481"/>
  <c r="Q11" i="481"/>
  <c r="P18" i="481"/>
  <c r="P17" i="481"/>
  <c r="P8" i="481"/>
  <c r="P10" i="481"/>
  <c r="P16" i="481"/>
  <c r="P13" i="481"/>
  <c r="P11" i="481"/>
  <c r="P15" i="481"/>
  <c r="O17" i="481"/>
  <c r="O10" i="481"/>
  <c r="O8" i="481"/>
  <c r="O18" i="481"/>
  <c r="O16" i="481"/>
  <c r="O13" i="481"/>
  <c r="O11" i="481"/>
  <c r="O15" i="481"/>
  <c r="M18" i="481"/>
  <c r="M17" i="481"/>
  <c r="M10" i="481"/>
  <c r="M8" i="481"/>
  <c r="M16" i="481"/>
  <c r="M13" i="481"/>
  <c r="M11" i="481"/>
  <c r="M15" i="481"/>
  <c r="L10" i="481"/>
  <c r="L17" i="481"/>
  <c r="L8" i="481"/>
  <c r="L18" i="481"/>
  <c r="L16" i="481"/>
  <c r="L13" i="481"/>
  <c r="L11" i="481"/>
  <c r="L15" i="481"/>
  <c r="Q6" i="481"/>
  <c r="M6" i="481"/>
  <c r="P6" i="481"/>
  <c r="O6" i="481"/>
  <c r="R6" i="481"/>
  <c r="N6" i="481"/>
  <c r="I6" i="481"/>
  <c r="H6" i="481"/>
  <c r="B9" i="480"/>
  <c r="B7" i="168" l="1"/>
  <c r="A39" i="467" l="1"/>
  <c r="G67" i="462"/>
  <c r="G65" i="462"/>
  <c r="G60" i="462"/>
  <c r="A35" i="476" l="1"/>
  <c r="A41" i="476"/>
  <c r="A21" i="476"/>
  <c r="A14" i="476"/>
  <c r="A15" i="476"/>
  <c r="A45" i="476"/>
  <c r="A37" i="476"/>
  <c r="E64" i="462"/>
  <c r="E89" i="462"/>
  <c r="E66" i="462"/>
  <c r="E87" i="462"/>
  <c r="E85" i="462"/>
  <c r="E91" i="462"/>
  <c r="E79" i="462"/>
  <c r="B15" i="462"/>
  <c r="B16" i="462"/>
  <c r="B75" i="462"/>
  <c r="B88" i="462"/>
  <c r="B37" i="462"/>
  <c r="B83" i="462"/>
  <c r="B84" i="462"/>
  <c r="G64" i="462"/>
  <c r="G66" i="462"/>
  <c r="G80" i="462"/>
  <c r="G70" i="462"/>
  <c r="G89" i="462"/>
  <c r="G74" i="462"/>
  <c r="G75" i="462"/>
  <c r="G91" i="462"/>
  <c r="G69" i="462"/>
  <c r="G85" i="462"/>
  <c r="G79" i="462"/>
  <c r="G84" i="462"/>
  <c r="E81" i="462" l="1"/>
  <c r="E83" i="462"/>
  <c r="E90" i="462"/>
  <c r="E73" i="462"/>
  <c r="G82" i="462"/>
  <c r="G87" i="462"/>
  <c r="G77" i="462"/>
  <c r="G83" i="462"/>
  <c r="G81" i="462"/>
  <c r="G73" i="462"/>
  <c r="G90" i="462"/>
  <c r="E88" i="462" l="1"/>
  <c r="A41" i="467"/>
  <c r="A33" i="467"/>
  <c r="G32" i="462"/>
  <c r="G88" i="462"/>
  <c r="A8" i="467" l="1"/>
  <c r="A7" i="476"/>
  <c r="A40" i="476"/>
  <c r="A43" i="476"/>
  <c r="A44" i="476"/>
  <c r="A31" i="476"/>
  <c r="A8" i="476"/>
  <c r="A10" i="476"/>
  <c r="A33" i="476"/>
  <c r="A30" i="476"/>
  <c r="B11" i="462"/>
  <c r="B12" i="462"/>
  <c r="B13" i="462"/>
  <c r="B87" i="462"/>
  <c r="B82" i="462"/>
  <c r="B80" i="462"/>
  <c r="B81" i="462"/>
  <c r="E37" i="462"/>
  <c r="E36" i="462"/>
  <c r="G36" i="462"/>
  <c r="D44" i="476" l="1"/>
  <c r="G44" i="476"/>
  <c r="D40" i="476"/>
  <c r="D11" i="476"/>
  <c r="D9" i="476"/>
  <c r="D34" i="476"/>
  <c r="D13" i="476"/>
  <c r="D39" i="476"/>
  <c r="D32" i="476"/>
  <c r="D6" i="476"/>
  <c r="D38" i="476"/>
  <c r="D36" i="476"/>
  <c r="D42" i="476"/>
  <c r="D24" i="476"/>
  <c r="D18" i="476"/>
  <c r="D50" i="476"/>
  <c r="D12" i="476"/>
  <c r="D27" i="476"/>
  <c r="D22" i="476"/>
  <c r="D45" i="476"/>
  <c r="D35" i="476"/>
  <c r="D21" i="476"/>
  <c r="D15" i="476"/>
  <c r="D41" i="476"/>
  <c r="D37" i="476"/>
  <c r="D14" i="476"/>
  <c r="D30" i="476"/>
  <c r="G30" i="476"/>
  <c r="D31" i="476"/>
  <c r="D43" i="476"/>
  <c r="D8" i="476"/>
  <c r="G8" i="476"/>
  <c r="D10" i="476"/>
  <c r="G39" i="476"/>
  <c r="G9" i="476"/>
  <c r="G34" i="476"/>
  <c r="G11" i="476"/>
  <c r="G32" i="476"/>
  <c r="G24" i="476"/>
  <c r="G50" i="476"/>
  <c r="D33" i="476"/>
  <c r="D7" i="476"/>
  <c r="J196" i="359"/>
  <c r="W196" i="359" s="1"/>
  <c r="J156" i="359"/>
  <c r="M196" i="359"/>
  <c r="M156" i="359"/>
  <c r="G37" i="462"/>
  <c r="W156" i="359" l="1"/>
  <c r="A35" i="481" l="1"/>
  <c r="B233" i="462"/>
  <c r="B185" i="462"/>
  <c r="R35" i="481" l="1"/>
  <c r="L35" i="481"/>
  <c r="M35" i="481"/>
  <c r="G35" i="481"/>
  <c r="Q35" i="481"/>
  <c r="K35" i="481"/>
  <c r="I35" i="481"/>
  <c r="H35" i="481"/>
  <c r="O35" i="481"/>
  <c r="N35" i="481"/>
  <c r="P35" i="481"/>
  <c r="J35" i="481"/>
  <c r="A23" i="476" l="1"/>
  <c r="A22" i="481"/>
  <c r="A34" i="481"/>
  <c r="B229" i="462"/>
  <c r="B247" i="462"/>
  <c r="B181" i="462"/>
  <c r="D23" i="476" l="1"/>
  <c r="A46" i="481" l="1"/>
  <c r="B302" i="462"/>
  <c r="B237" i="462"/>
  <c r="B188" i="462"/>
  <c r="Q46" i="481" l="1"/>
  <c r="N46" i="481"/>
  <c r="R46" i="481"/>
  <c r="G46" i="481"/>
  <c r="H46" i="481"/>
  <c r="I46" i="481"/>
  <c r="K46" i="481"/>
  <c r="L46" i="481"/>
  <c r="M46" i="481"/>
  <c r="P46" i="481"/>
  <c r="J46" i="481"/>
  <c r="O46" i="481"/>
  <c r="A48" i="476" l="1"/>
  <c r="B300" i="462"/>
  <c r="B231" i="462"/>
  <c r="B183" i="462"/>
  <c r="B91" i="462"/>
  <c r="D48" i="476" l="1"/>
  <c r="A7" i="478" l="1"/>
  <c r="D4" i="478" l="1"/>
  <c r="D4" i="477"/>
  <c r="K43" i="478"/>
  <c r="K42" i="478"/>
  <c r="K41" i="478"/>
  <c r="G26" i="478"/>
  <c r="F26" i="478"/>
  <c r="E26" i="478"/>
  <c r="G25" i="478"/>
  <c r="F25" i="478"/>
  <c r="E25" i="478"/>
  <c r="G24" i="478"/>
  <c r="F24" i="478"/>
  <c r="E24" i="478"/>
  <c r="G23" i="478"/>
  <c r="F23" i="478"/>
  <c r="E23" i="478"/>
  <c r="G22" i="478"/>
  <c r="F22" i="478"/>
  <c r="E22" i="478"/>
  <c r="G21" i="478"/>
  <c r="F21" i="478"/>
  <c r="E21" i="478"/>
  <c r="G20" i="478"/>
  <c r="F20" i="478"/>
  <c r="E20" i="478"/>
  <c r="G19" i="478"/>
  <c r="F19" i="478"/>
  <c r="E19" i="478"/>
  <c r="G18" i="478"/>
  <c r="F18" i="478"/>
  <c r="E18" i="478"/>
  <c r="G17" i="478"/>
  <c r="F17" i="478"/>
  <c r="E17" i="478"/>
  <c r="M195" i="359" l="1"/>
  <c r="W195" i="359" s="1"/>
  <c r="W194" i="359"/>
  <c r="M192" i="359"/>
  <c r="J192" i="359"/>
  <c r="M191" i="359"/>
  <c r="S190" i="359"/>
  <c r="P190" i="359"/>
  <c r="M190" i="359"/>
  <c r="J190" i="359"/>
  <c r="J191" i="359"/>
  <c r="W192" i="359" l="1"/>
  <c r="W191" i="359"/>
  <c r="W190" i="359"/>
  <c r="J193" i="359" l="1"/>
  <c r="M193" i="359"/>
  <c r="Z1192" i="322"/>
  <c r="BB1208" i="322" s="1"/>
  <c r="AJ1196" i="322"/>
  <c r="AG1007" i="322"/>
  <c r="AG1006" i="322"/>
  <c r="AG1002" i="322"/>
  <c r="W1002" i="322"/>
  <c r="AN1001" i="322"/>
  <c r="AD1001" i="322"/>
  <c r="W1001" i="322"/>
  <c r="EN997" i="322"/>
  <c r="AI997" i="322"/>
  <c r="AI996" i="322"/>
  <c r="AI995" i="322"/>
  <c r="L987" i="322"/>
  <c r="W941" i="322"/>
  <c r="W940" i="322"/>
  <c r="Z889" i="322"/>
  <c r="AA840" i="322"/>
  <c r="X844" i="322"/>
  <c r="Z791" i="322"/>
  <c r="W747" i="322"/>
  <c r="W664" i="322"/>
  <c r="V558" i="322"/>
  <c r="V559" i="322"/>
  <c r="AM559" i="322" s="1"/>
  <c r="N559" i="322"/>
  <c r="AB498" i="322"/>
  <c r="AO498" i="322" s="1"/>
  <c r="Z496" i="322"/>
  <c r="AJ498" i="322" s="1"/>
  <c r="F288" i="320"/>
  <c r="K288" i="320" s="1"/>
  <c r="D287" i="320"/>
  <c r="L287" i="320" s="1"/>
  <c r="L286" i="320" s="1"/>
  <c r="B285" i="320"/>
  <c r="X1222" i="322" l="1"/>
  <c r="AU1001" i="322"/>
  <c r="EO1001" i="322" s="1"/>
  <c r="BB1206" i="322"/>
  <c r="W193" i="359"/>
  <c r="AS498" i="322"/>
  <c r="Y509" i="322" s="1"/>
  <c r="AF559" i="322"/>
  <c r="F289" i="320"/>
  <c r="K289" i="320" s="1"/>
  <c r="K286" i="320" s="1"/>
  <c r="EM1001" i="322" l="1"/>
  <c r="AE1012" i="322"/>
  <c r="Y508" i="322"/>
  <c r="Y510" i="322"/>
  <c r="K42" i="477" l="1"/>
  <c r="K41" i="477"/>
  <c r="K40" i="477"/>
  <c r="M120" i="359" l="1"/>
  <c r="J120" i="359"/>
  <c r="W120" i="359" s="1"/>
  <c r="W118" i="359"/>
  <c r="M117" i="359"/>
  <c r="J117" i="359"/>
  <c r="J116" i="359"/>
  <c r="W116" i="359" s="1"/>
  <c r="J115" i="359"/>
  <c r="W115" i="359" s="1"/>
  <c r="M114" i="359"/>
  <c r="J114" i="359"/>
  <c r="J113" i="359"/>
  <c r="W113" i="359" s="1"/>
  <c r="J112" i="359"/>
  <c r="W112" i="359" s="1"/>
  <c r="M111" i="359"/>
  <c r="J111" i="359"/>
  <c r="M110" i="359"/>
  <c r="J110" i="359"/>
  <c r="M109" i="359"/>
  <c r="J109" i="359"/>
  <c r="M108" i="359"/>
  <c r="J108" i="359"/>
  <c r="M107" i="359"/>
  <c r="J107" i="359"/>
  <c r="W107" i="359" s="1"/>
  <c r="W106" i="359"/>
  <c r="D145" i="359"/>
  <c r="J151" i="359" s="1"/>
  <c r="J150" i="359"/>
  <c r="M150" i="359"/>
  <c r="P150" i="359"/>
  <c r="S150" i="359"/>
  <c r="M151" i="359"/>
  <c r="J152" i="359"/>
  <c r="M152" i="359"/>
  <c r="W154" i="359"/>
  <c r="M155" i="359"/>
  <c r="W155" i="359" s="1"/>
  <c r="W109" i="359" l="1"/>
  <c r="W117" i="359"/>
  <c r="W111" i="359"/>
  <c r="W152" i="359"/>
  <c r="M153" i="359"/>
  <c r="W108" i="359"/>
  <c r="W150" i="359"/>
  <c r="W151" i="359"/>
  <c r="W110" i="359"/>
  <c r="W114" i="359"/>
  <c r="A10" i="477"/>
  <c r="J119" i="359" l="1"/>
  <c r="M119" i="359"/>
  <c r="J153" i="359"/>
  <c r="W153" i="359" s="1"/>
  <c r="W119" i="359" l="1"/>
  <c r="I11" i="478" l="1"/>
  <c r="B31" i="157"/>
  <c r="H5" i="157" s="1"/>
  <c r="P28" i="157"/>
  <c r="P26" i="157"/>
  <c r="P24" i="157"/>
  <c r="T18" i="157"/>
  <c r="P18" i="157"/>
  <c r="M18" i="157"/>
  <c r="J18" i="157"/>
  <c r="H18" i="157"/>
  <c r="B18" i="157"/>
  <c r="H4" i="157" s="1"/>
  <c r="B16" i="157"/>
  <c r="L5" i="157" s="1"/>
  <c r="P9" i="157"/>
  <c r="O8" i="157"/>
  <c r="L8" i="157"/>
  <c r="H8" i="157"/>
  <c r="O4" i="157"/>
  <c r="P30" i="157"/>
  <c r="A7" i="477" l="1"/>
  <c r="B3" i="157"/>
  <c r="L4" i="157" s="1"/>
  <c r="P8" i="157"/>
  <c r="P12" i="157" s="1"/>
  <c r="P6" i="157"/>
  <c r="L16" i="157" l="1"/>
  <c r="P16" i="157" s="1"/>
  <c r="J14" i="157"/>
  <c r="L14" i="157" l="1"/>
  <c r="P14" i="157" s="1"/>
  <c r="C52" i="475" l="1"/>
  <c r="H4" i="475"/>
  <c r="E4" i="475"/>
  <c r="G4" i="475"/>
  <c r="D4" i="475"/>
  <c r="F4" i="475"/>
  <c r="A7" i="474" l="1"/>
  <c r="A7" i="475"/>
  <c r="A111" i="475" l="1"/>
  <c r="A110" i="474"/>
  <c r="A112" i="474"/>
  <c r="A113" i="475"/>
  <c r="A108" i="474"/>
  <c r="A109" i="475"/>
  <c r="A124" i="474" l="1"/>
  <c r="A125" i="475"/>
  <c r="H229" i="359" l="1"/>
  <c r="C15" i="472"/>
  <c r="C28" i="472" s="1"/>
  <c r="C38" i="472" s="1"/>
  <c r="C51" i="472" s="1"/>
  <c r="M965" i="472"/>
  <c r="B965" i="472"/>
  <c r="B960" i="472"/>
  <c r="M958" i="472"/>
  <c r="B958" i="472"/>
  <c r="B953" i="472"/>
  <c r="M951" i="472"/>
  <c r="B951" i="472"/>
  <c r="B946" i="472"/>
  <c r="M941" i="472"/>
  <c r="B941" i="472"/>
  <c r="B937" i="472"/>
  <c r="D937" i="472" s="1"/>
  <c r="D936" i="472" s="1"/>
  <c r="B936" i="472"/>
  <c r="M934" i="472"/>
  <c r="B934" i="472"/>
  <c r="B930" i="472"/>
  <c r="B929" i="472"/>
  <c r="M927" i="472"/>
  <c r="B927" i="472"/>
  <c r="B924" i="472"/>
  <c r="H924" i="472" s="1"/>
  <c r="I924" i="472" s="1"/>
  <c r="I927" i="472" s="1"/>
  <c r="B923" i="472"/>
  <c r="M920" i="472"/>
  <c r="B920" i="472"/>
  <c r="B914" i="472"/>
  <c r="H914" i="472" s="1"/>
  <c r="I914" i="472" s="1"/>
  <c r="B913" i="472"/>
  <c r="B911" i="472"/>
  <c r="B910" i="472"/>
  <c r="H910" i="472" s="1"/>
  <c r="I910" i="472" s="1"/>
  <c r="B909" i="472"/>
  <c r="J909" i="472" s="1"/>
  <c r="K909" i="472" s="1"/>
  <c r="B907" i="472"/>
  <c r="B901" i="472"/>
  <c r="B900" i="472"/>
  <c r="B888" i="472"/>
  <c r="B887" i="472"/>
  <c r="J887" i="472" s="1"/>
  <c r="K887" i="472" s="1"/>
  <c r="B886" i="472"/>
  <c r="H886" i="472" s="1"/>
  <c r="I886" i="472" s="1"/>
  <c r="B884" i="472"/>
  <c r="G883" i="472"/>
  <c r="G882" i="472"/>
  <c r="G881" i="472"/>
  <c r="G880" i="472"/>
  <c r="G879" i="472"/>
  <c r="B878" i="472"/>
  <c r="B877" i="472"/>
  <c r="B865" i="472"/>
  <c r="B864" i="472"/>
  <c r="H864" i="472" s="1"/>
  <c r="I864" i="472" s="1"/>
  <c r="B863" i="472"/>
  <c r="D863" i="472" s="1"/>
  <c r="B861" i="472"/>
  <c r="H861" i="472" s="1"/>
  <c r="I861" i="472" s="1"/>
  <c r="G860" i="472"/>
  <c r="G859" i="472"/>
  <c r="G858" i="472"/>
  <c r="G857" i="472"/>
  <c r="G856" i="472"/>
  <c r="B855" i="472"/>
  <c r="F855" i="472" s="1"/>
  <c r="F854" i="472" s="1"/>
  <c r="B854" i="472"/>
  <c r="M847" i="472"/>
  <c r="B847" i="472"/>
  <c r="B844" i="472"/>
  <c r="H844" i="472" s="1"/>
  <c r="I844" i="472" s="1"/>
  <c r="B843" i="472"/>
  <c r="M841" i="472"/>
  <c r="B841" i="472"/>
  <c r="B838" i="472"/>
  <c r="E838" i="472" s="1"/>
  <c r="E837" i="472" s="1"/>
  <c r="B837" i="472"/>
  <c r="M835" i="472"/>
  <c r="B835" i="472"/>
  <c r="B832" i="472"/>
  <c r="H832" i="472" s="1"/>
  <c r="I832" i="472" s="1"/>
  <c r="I835" i="472" s="1"/>
  <c r="B831" i="472"/>
  <c r="M825" i="472"/>
  <c r="B825" i="472"/>
  <c r="B822" i="472"/>
  <c r="H822" i="472" s="1"/>
  <c r="I822" i="472" s="1"/>
  <c r="B821" i="472"/>
  <c r="M819" i="472"/>
  <c r="B819" i="472"/>
  <c r="B816" i="472"/>
  <c r="F816" i="472" s="1"/>
  <c r="F815" i="472" s="1"/>
  <c r="B815" i="472"/>
  <c r="M813" i="472"/>
  <c r="B813" i="472"/>
  <c r="B809" i="472"/>
  <c r="H809" i="472" s="1"/>
  <c r="I809" i="472" s="1"/>
  <c r="I813" i="472" s="1"/>
  <c r="B808" i="472"/>
  <c r="B807" i="472"/>
  <c r="B803" i="472"/>
  <c r="B802" i="472"/>
  <c r="B801" i="472"/>
  <c r="E801" i="472" s="1"/>
  <c r="E800" i="472" s="1"/>
  <c r="B800" i="472"/>
  <c r="B798" i="472"/>
  <c r="L796" i="472"/>
  <c r="B794" i="472"/>
  <c r="E794" i="472" s="1"/>
  <c r="G793" i="472"/>
  <c r="B793" i="472"/>
  <c r="B792" i="472"/>
  <c r="B791" i="472"/>
  <c r="M789" i="472"/>
  <c r="B789" i="472"/>
  <c r="O786" i="472"/>
  <c r="B785" i="472"/>
  <c r="M781" i="472"/>
  <c r="B781" i="472"/>
  <c r="B776" i="472"/>
  <c r="M774" i="472"/>
  <c r="B774" i="472"/>
  <c r="L772" i="472"/>
  <c r="O770" i="472"/>
  <c r="B769" i="472"/>
  <c r="M767" i="472"/>
  <c r="B767" i="472"/>
  <c r="L765" i="472"/>
  <c r="O763" i="472"/>
  <c r="B762" i="472"/>
  <c r="M760" i="472"/>
  <c r="B760" i="472"/>
  <c r="L758" i="472"/>
  <c r="O756" i="472"/>
  <c r="B755" i="472"/>
  <c r="M753" i="472"/>
  <c r="B753" i="472"/>
  <c r="L751" i="472"/>
  <c r="B748" i="472"/>
  <c r="B746" i="472"/>
  <c r="L744" i="472"/>
  <c r="B742" i="472"/>
  <c r="E742" i="472" s="1"/>
  <c r="G741" i="472"/>
  <c r="B741" i="472"/>
  <c r="B739" i="472"/>
  <c r="B732" i="472"/>
  <c r="L730" i="472"/>
  <c r="B728" i="472"/>
  <c r="G727" i="472"/>
  <c r="G728" i="472" s="1"/>
  <c r="B727" i="472"/>
  <c r="B725" i="472"/>
  <c r="B723" i="472"/>
  <c r="L721" i="472"/>
  <c r="B719" i="472"/>
  <c r="D719" i="472" s="1"/>
  <c r="G718" i="472"/>
  <c r="B718" i="472"/>
  <c r="D718" i="472" s="1"/>
  <c r="B716" i="472"/>
  <c r="M650" i="472"/>
  <c r="B650" i="472"/>
  <c r="B646" i="472"/>
  <c r="M642" i="472"/>
  <c r="B642" i="472"/>
  <c r="B638" i="472"/>
  <c r="M636" i="472"/>
  <c r="B636" i="472"/>
  <c r="L634" i="472"/>
  <c r="L633" i="472"/>
  <c r="L632" i="472"/>
  <c r="B629" i="472"/>
  <c r="M627" i="472"/>
  <c r="K627" i="472"/>
  <c r="B627" i="472"/>
  <c r="B626" i="472"/>
  <c r="B625" i="472"/>
  <c r="B624" i="472"/>
  <c r="D624" i="472" s="1"/>
  <c r="D623" i="472" s="1"/>
  <c r="B623" i="472"/>
  <c r="B618" i="472"/>
  <c r="B616" i="472"/>
  <c r="B614" i="472"/>
  <c r="B612" i="472"/>
  <c r="B610" i="472"/>
  <c r="P609" i="472"/>
  <c r="B608" i="472"/>
  <c r="B606" i="472"/>
  <c r="B604" i="472"/>
  <c r="B601" i="472"/>
  <c r="B599" i="472"/>
  <c r="B597" i="472"/>
  <c r="I590" i="472"/>
  <c r="O590" i="472" s="1"/>
  <c r="B589" i="472"/>
  <c r="B587" i="472"/>
  <c r="G586" i="472"/>
  <c r="B585" i="472"/>
  <c r="B583" i="472"/>
  <c r="B581" i="472"/>
  <c r="B579" i="472"/>
  <c r="B578" i="472"/>
  <c r="H578" i="472" s="1"/>
  <c r="L576" i="472"/>
  <c r="J576" i="472"/>
  <c r="H576" i="472"/>
  <c r="G576" i="472"/>
  <c r="G578" i="472" s="1"/>
  <c r="I572" i="472"/>
  <c r="B571" i="472"/>
  <c r="B569" i="472"/>
  <c r="B568" i="472"/>
  <c r="F568" i="472" s="1"/>
  <c r="B566" i="472"/>
  <c r="B564" i="472"/>
  <c r="B563" i="472"/>
  <c r="H563" i="472" s="1"/>
  <c r="L561" i="472"/>
  <c r="J561" i="472"/>
  <c r="H561" i="472"/>
  <c r="G561" i="472"/>
  <c r="G563" i="472" s="1"/>
  <c r="M563" i="472" s="1"/>
  <c r="M559" i="472"/>
  <c r="B558" i="472"/>
  <c r="M553" i="472"/>
  <c r="B553" i="472"/>
  <c r="B547" i="472"/>
  <c r="B546" i="472"/>
  <c r="M544" i="472"/>
  <c r="B544" i="472"/>
  <c r="B538" i="472"/>
  <c r="F538" i="472" s="1"/>
  <c r="F537" i="472" s="1"/>
  <c r="B537" i="472"/>
  <c r="M530" i="472"/>
  <c r="B530" i="472"/>
  <c r="B523" i="472"/>
  <c r="M520" i="472"/>
  <c r="B520" i="472"/>
  <c r="L518" i="472"/>
  <c r="E518" i="472"/>
  <c r="B515" i="472"/>
  <c r="B514" i="472"/>
  <c r="M512" i="472"/>
  <c r="B512" i="472"/>
  <c r="L510" i="472"/>
  <c r="E510" i="472"/>
  <c r="B507" i="472"/>
  <c r="B506" i="472"/>
  <c r="M502" i="472"/>
  <c r="B502" i="472"/>
  <c r="B498" i="472"/>
  <c r="E498" i="472" s="1"/>
  <c r="E497" i="472" s="1"/>
  <c r="B497" i="472"/>
  <c r="M489" i="472"/>
  <c r="B489" i="472"/>
  <c r="B486" i="472"/>
  <c r="F486" i="472" s="1"/>
  <c r="F485" i="472" s="1"/>
  <c r="B485" i="472"/>
  <c r="B467" i="472"/>
  <c r="B466" i="472"/>
  <c r="G465" i="472"/>
  <c r="B465" i="472"/>
  <c r="E465" i="472" s="1"/>
  <c r="G461" i="472"/>
  <c r="G462" i="472" s="1"/>
  <c r="B460" i="472"/>
  <c r="F460" i="472" s="1"/>
  <c r="F459" i="472" s="1"/>
  <c r="B459" i="472"/>
  <c r="M457" i="472"/>
  <c r="B457" i="472"/>
  <c r="B451" i="472"/>
  <c r="M445" i="472"/>
  <c r="B445" i="472"/>
  <c r="B440" i="472"/>
  <c r="B438" i="472"/>
  <c r="G432" i="472"/>
  <c r="G431" i="472"/>
  <c r="G430" i="472"/>
  <c r="B430" i="472"/>
  <c r="E430" i="472" s="1"/>
  <c r="B428" i="472"/>
  <c r="B423" i="472"/>
  <c r="B422" i="472"/>
  <c r="H422" i="472" s="1"/>
  <c r="B421" i="472"/>
  <c r="P421" i="472" s="1"/>
  <c r="G417" i="472"/>
  <c r="B415" i="472"/>
  <c r="B410" i="472"/>
  <c r="B409" i="472"/>
  <c r="F409" i="472" s="1"/>
  <c r="G405" i="472"/>
  <c r="B405" i="472"/>
  <c r="D405" i="472" s="1"/>
  <c r="G404" i="472"/>
  <c r="B404" i="472"/>
  <c r="D404" i="472" s="1"/>
  <c r="B402" i="472"/>
  <c r="M400" i="472"/>
  <c r="B400" i="472"/>
  <c r="B395" i="472"/>
  <c r="B394" i="472"/>
  <c r="B392" i="472"/>
  <c r="M390" i="472"/>
  <c r="K390" i="472"/>
  <c r="B390" i="472"/>
  <c r="B389" i="472"/>
  <c r="B388" i="472"/>
  <c r="F388" i="472" s="1"/>
  <c r="O387" i="472"/>
  <c r="B387" i="472"/>
  <c r="B386" i="472"/>
  <c r="M384" i="472"/>
  <c r="K384" i="472"/>
  <c r="B384" i="472"/>
  <c r="B383" i="472"/>
  <c r="E383" i="472" s="1"/>
  <c r="B382" i="472"/>
  <c r="E382" i="472" s="1"/>
  <c r="O381" i="472"/>
  <c r="B381" i="472"/>
  <c r="D381" i="472" s="1"/>
  <c r="D380" i="472" s="1"/>
  <c r="B380" i="472"/>
  <c r="M378" i="472"/>
  <c r="K378" i="472"/>
  <c r="B378" i="472"/>
  <c r="B377" i="472"/>
  <c r="H377" i="472" s="1"/>
  <c r="I377" i="472" s="1"/>
  <c r="O377" i="472" s="1"/>
  <c r="B376" i="472"/>
  <c r="H376" i="472" s="1"/>
  <c r="I376" i="472" s="1"/>
  <c r="O375" i="472"/>
  <c r="B375" i="472"/>
  <c r="B374" i="472"/>
  <c r="M372" i="472"/>
  <c r="B372" i="472"/>
  <c r="B369" i="472"/>
  <c r="F369" i="472" s="1"/>
  <c r="F368" i="472" s="1"/>
  <c r="B368" i="472"/>
  <c r="M366" i="472"/>
  <c r="B366" i="472"/>
  <c r="B362" i="472"/>
  <c r="D362" i="472" s="1"/>
  <c r="D361" i="472" s="1"/>
  <c r="B361" i="472"/>
  <c r="M359" i="472"/>
  <c r="B359" i="472"/>
  <c r="O355" i="472"/>
  <c r="B355" i="472"/>
  <c r="D355" i="472" s="1"/>
  <c r="D354" i="472" s="1"/>
  <c r="B354" i="472"/>
  <c r="B352" i="472"/>
  <c r="L350" i="472"/>
  <c r="B348" i="472"/>
  <c r="B347" i="472"/>
  <c r="E347" i="472" s="1"/>
  <c r="B346" i="472"/>
  <c r="D346" i="472" s="1"/>
  <c r="D345" i="472" s="1"/>
  <c r="B345" i="472"/>
  <c r="B342" i="472"/>
  <c r="B338" i="472"/>
  <c r="B337" i="472"/>
  <c r="B336" i="472"/>
  <c r="B335" i="472"/>
  <c r="B330" i="472"/>
  <c r="P329" i="472"/>
  <c r="B328" i="472"/>
  <c r="B325" i="472"/>
  <c r="B323" i="472"/>
  <c r="B321" i="472"/>
  <c r="M320" i="472"/>
  <c r="M321" i="472" s="1"/>
  <c r="B319" i="472"/>
  <c r="B313" i="472"/>
  <c r="B311" i="472"/>
  <c r="G310" i="472"/>
  <c r="P305" i="472"/>
  <c r="B304" i="472"/>
  <c r="M301" i="472"/>
  <c r="B301" i="472"/>
  <c r="B297" i="472"/>
  <c r="F297" i="472" s="1"/>
  <c r="B296" i="472"/>
  <c r="H296" i="472" s="1"/>
  <c r="I296" i="472" s="1"/>
  <c r="O296" i="472" s="1"/>
  <c r="B295" i="472"/>
  <c r="B294" i="472"/>
  <c r="E294" i="472" s="1"/>
  <c r="E293" i="472" s="1"/>
  <c r="B293" i="472"/>
  <c r="B291" i="472"/>
  <c r="P289" i="472"/>
  <c r="B288" i="472"/>
  <c r="B286" i="472"/>
  <c r="B284" i="472"/>
  <c r="J284" i="472" s="1"/>
  <c r="K284" i="472" s="1"/>
  <c r="G281" i="472"/>
  <c r="B279" i="472"/>
  <c r="B278" i="472"/>
  <c r="M277" i="472"/>
  <c r="B277" i="472"/>
  <c r="B274" i="472"/>
  <c r="B273" i="472"/>
  <c r="M266" i="472"/>
  <c r="B266" i="472"/>
  <c r="O263" i="472"/>
  <c r="B263" i="472"/>
  <c r="D263" i="472" s="1"/>
  <c r="D262" i="472" s="1"/>
  <c r="B262" i="472"/>
  <c r="M260" i="472"/>
  <c r="B260" i="472"/>
  <c r="O257" i="472"/>
  <c r="B257" i="472"/>
  <c r="E257" i="472" s="1"/>
  <c r="E256" i="472" s="1"/>
  <c r="B256" i="472"/>
  <c r="M254" i="472"/>
  <c r="B254" i="472"/>
  <c r="B250" i="472"/>
  <c r="B249" i="472"/>
  <c r="M246" i="472"/>
  <c r="B246" i="472"/>
  <c r="L244" i="472"/>
  <c r="E244" i="472"/>
  <c r="B241" i="472"/>
  <c r="H241" i="472" s="1"/>
  <c r="B240" i="472"/>
  <c r="B237" i="472"/>
  <c r="L235" i="472"/>
  <c r="S234" i="472"/>
  <c r="B233" i="472"/>
  <c r="G232" i="472"/>
  <c r="B232" i="472"/>
  <c r="B230" i="472"/>
  <c r="B226" i="472"/>
  <c r="L224" i="472"/>
  <c r="S223" i="472"/>
  <c r="B222" i="472"/>
  <c r="G221" i="472"/>
  <c r="G222" i="472" s="1"/>
  <c r="B221" i="472"/>
  <c r="B219" i="472"/>
  <c r="B216" i="472"/>
  <c r="L214" i="472"/>
  <c r="S213" i="472"/>
  <c r="B212" i="472"/>
  <c r="G211" i="472"/>
  <c r="B211" i="472"/>
  <c r="E211" i="472" s="1"/>
  <c r="B210" i="472"/>
  <c r="D210" i="472" s="1"/>
  <c r="D209" i="472" s="1"/>
  <c r="B209" i="472"/>
  <c r="B206" i="472"/>
  <c r="L204" i="472"/>
  <c r="B202" i="472"/>
  <c r="E202" i="472" s="1"/>
  <c r="G201" i="472"/>
  <c r="B201" i="472"/>
  <c r="D201" i="472" s="1"/>
  <c r="B200" i="472"/>
  <c r="F200" i="472" s="1"/>
  <c r="F199" i="472" s="1"/>
  <c r="B199" i="472"/>
  <c r="B196" i="472"/>
  <c r="B195" i="472"/>
  <c r="L195" i="472" s="1"/>
  <c r="M195" i="472" s="1"/>
  <c r="B194" i="472"/>
  <c r="P194" i="472" s="1"/>
  <c r="B192" i="472"/>
  <c r="L192" i="472" s="1"/>
  <c r="M192" i="472" s="1"/>
  <c r="G191" i="472"/>
  <c r="G190" i="472"/>
  <c r="G189" i="472"/>
  <c r="G188" i="472"/>
  <c r="G187" i="472"/>
  <c r="B186" i="472"/>
  <c r="B185" i="472"/>
  <c r="M175" i="472"/>
  <c r="B171" i="472"/>
  <c r="F171" i="472" s="1"/>
  <c r="F170" i="472" s="1"/>
  <c r="C170" i="472"/>
  <c r="B170" i="472" s="1"/>
  <c r="M138" i="472"/>
  <c r="B138" i="472"/>
  <c r="B134" i="472"/>
  <c r="F134" i="472" s="1"/>
  <c r="B133" i="472"/>
  <c r="B132" i="472"/>
  <c r="D132" i="472" s="1"/>
  <c r="B131" i="472"/>
  <c r="H131" i="472" s="1"/>
  <c r="I131" i="472" s="1"/>
  <c r="B130" i="472"/>
  <c r="B125" i="472"/>
  <c r="L125" i="472" s="1"/>
  <c r="M125" i="472" s="1"/>
  <c r="B124" i="472"/>
  <c r="L124" i="472" s="1"/>
  <c r="M124" i="472" s="1"/>
  <c r="G117" i="472"/>
  <c r="G116" i="472"/>
  <c r="B115" i="472"/>
  <c r="E115" i="472" s="1"/>
  <c r="B114" i="472"/>
  <c r="H114" i="472" s="1"/>
  <c r="I114" i="472" s="1"/>
  <c r="I126" i="472" s="1"/>
  <c r="C113" i="472"/>
  <c r="O88" i="472"/>
  <c r="O65" i="472"/>
  <c r="O44" i="472"/>
  <c r="G44" i="472"/>
  <c r="G45" i="472" s="1"/>
  <c r="G40" i="472"/>
  <c r="O34" i="472"/>
  <c r="G34" i="472"/>
  <c r="G35" i="472" s="1"/>
  <c r="G30" i="472"/>
  <c r="O21" i="472"/>
  <c r="G17" i="472"/>
  <c r="O11" i="472"/>
  <c r="G11" i="472"/>
  <c r="G12" i="472" s="1"/>
  <c r="G7" i="472"/>
  <c r="G283" i="472"/>
  <c r="G235" i="472"/>
  <c r="G804" i="472"/>
  <c r="G787" i="472"/>
  <c r="G243" i="472"/>
  <c r="G631" i="472"/>
  <c r="G758" i="472"/>
  <c r="G720" i="472"/>
  <c r="G275" i="472"/>
  <c r="G264" i="472"/>
  <c r="G772" i="472"/>
  <c r="G203" i="472"/>
  <c r="G258" i="472"/>
  <c r="G962" i="472"/>
  <c r="G810" i="472"/>
  <c r="G765" i="472"/>
  <c r="G407" i="472"/>
  <c r="G252" i="472"/>
  <c r="G729" i="472"/>
  <c r="G743" i="472"/>
  <c r="G917" i="472"/>
  <c r="G795" i="472"/>
  <c r="G487" i="472"/>
  <c r="G938" i="472"/>
  <c r="G918" i="472"/>
  <c r="G817" i="472"/>
  <c r="G406" i="472"/>
  <c r="G122" i="472"/>
  <c r="G32" i="472"/>
  <c r="G542" i="472"/>
  <c r="G750" i="472"/>
  <c r="G364" i="472"/>
  <c r="G757" i="472"/>
  <c r="G135" i="472"/>
  <c r="G224" i="472"/>
  <c r="G939" i="472"/>
  <c r="G517" i="472"/>
  <c r="G453" i="472"/>
  <c r="G370" i="472"/>
  <c r="G121" i="472"/>
  <c r="G282" i="472"/>
  <c r="G43" i="472"/>
  <c r="G931" i="472"/>
  <c r="G434" i="472"/>
  <c r="G796" i="472"/>
  <c r="G811" i="472"/>
  <c r="G839" i="472"/>
  <c r="G454" i="472"/>
  <c r="G823" i="472"/>
  <c r="G234" i="472"/>
  <c r="G420" i="472"/>
  <c r="G833" i="472"/>
  <c r="G173" i="472"/>
  <c r="G956" i="472"/>
  <c r="G528" i="472"/>
  <c r="G550" i="472"/>
  <c r="G357" i="472"/>
  <c r="G419" i="472"/>
  <c r="G356" i="472"/>
  <c r="G541" i="472"/>
  <c r="G120" i="472"/>
  <c r="G778" i="472"/>
  <c r="G721" i="472"/>
  <c r="G350" i="472"/>
  <c r="G948" i="472"/>
  <c r="G443" i="472"/>
  <c r="G223" i="472"/>
  <c r="G518" i="472"/>
  <c r="G33" i="472"/>
  <c r="G299" i="472"/>
  <c r="G925" i="472"/>
  <c r="G744" i="472"/>
  <c r="G915" i="472"/>
  <c r="G397" i="472"/>
  <c r="G19" i="472"/>
  <c r="G764" i="472"/>
  <c r="G119" i="472"/>
  <c r="G298" i="472"/>
  <c r="G244" i="472"/>
  <c r="G779" i="472"/>
  <c r="G398" i="472"/>
  <c r="G633" i="472"/>
  <c r="G771" i="472"/>
  <c r="G510" i="472"/>
  <c r="G213" i="472"/>
  <c r="G214" i="472"/>
  <c r="G805" i="472"/>
  <c r="G916" i="472"/>
  <c r="G42" i="472"/>
  <c r="G436" i="472"/>
  <c r="G632" i="472"/>
  <c r="G845" i="472"/>
  <c r="G963" i="472"/>
  <c r="G339" i="472"/>
  <c r="G20" i="472"/>
  <c r="G551" i="472"/>
  <c r="G435" i="472"/>
  <c r="G634" i="472"/>
  <c r="G290" i="472"/>
  <c r="G527" i="472"/>
  <c r="G751" i="472"/>
  <c r="G509" i="472"/>
  <c r="G340" i="472"/>
  <c r="G363" i="472"/>
  <c r="G455" i="472"/>
  <c r="G463" i="472"/>
  <c r="G396" i="472"/>
  <c r="G648" i="472"/>
  <c r="G437" i="472"/>
  <c r="G349" i="472"/>
  <c r="G136" i="472"/>
  <c r="G500" i="472"/>
  <c r="G204" i="472"/>
  <c r="G932" i="472"/>
  <c r="G949" i="472"/>
  <c r="G640" i="472"/>
  <c r="G955" i="472"/>
  <c r="G10" i="472"/>
  <c r="G9" i="472"/>
  <c r="G464" i="472"/>
  <c r="G730" i="472"/>
  <c r="A99" i="474" l="1"/>
  <c r="A100" i="475"/>
  <c r="A55" i="474"/>
  <c r="A56" i="475"/>
  <c r="A93" i="474"/>
  <c r="A94" i="475"/>
  <c r="H421" i="472"/>
  <c r="F465" i="472"/>
  <c r="D855" i="472"/>
  <c r="D854" i="472" s="1"/>
  <c r="D465" i="472"/>
  <c r="E195" i="472"/>
  <c r="D284" i="472"/>
  <c r="E201" i="472"/>
  <c r="H486" i="472"/>
  <c r="I486" i="472" s="1"/>
  <c r="O486" i="472" s="1"/>
  <c r="D816" i="472"/>
  <c r="D815" i="472" s="1"/>
  <c r="H125" i="472"/>
  <c r="I125" i="472" s="1"/>
  <c r="F498" i="472"/>
  <c r="F497" i="472" s="1"/>
  <c r="E719" i="472"/>
  <c r="D382" i="472"/>
  <c r="D421" i="472"/>
  <c r="D430" i="472"/>
  <c r="F822" i="472"/>
  <c r="F821" i="472" s="1"/>
  <c r="G562" i="472"/>
  <c r="P910" i="472"/>
  <c r="E914" i="472"/>
  <c r="E913" i="472" s="1"/>
  <c r="F376" i="472"/>
  <c r="D801" i="472"/>
  <c r="D800" i="472" s="1"/>
  <c r="E809" i="472"/>
  <c r="E808" i="472" s="1"/>
  <c r="F801" i="472"/>
  <c r="F800" i="472" s="1"/>
  <c r="H132" i="472"/>
  <c r="I132" i="472" s="1"/>
  <c r="O132" i="472" s="1"/>
  <c r="F195" i="472"/>
  <c r="P284" i="472"/>
  <c r="P465" i="472"/>
  <c r="L861" i="472"/>
  <c r="M861" i="472" s="1"/>
  <c r="E114" i="472"/>
  <c r="E113" i="472" s="1"/>
  <c r="E131" i="472"/>
  <c r="E130" i="472" s="1"/>
  <c r="H171" i="472"/>
  <c r="H172" i="472" s="1"/>
  <c r="I172" i="472" s="1"/>
  <c r="O172" i="472" s="1"/>
  <c r="E192" i="472"/>
  <c r="D194" i="472"/>
  <c r="D200" i="472"/>
  <c r="D199" i="472" s="1"/>
  <c r="E263" i="472"/>
  <c r="E262" i="472" s="1"/>
  <c r="F294" i="472"/>
  <c r="F293" i="472" s="1"/>
  <c r="D296" i="472"/>
  <c r="E297" i="472"/>
  <c r="E381" i="472"/>
  <c r="E380" i="472" s="1"/>
  <c r="E405" i="472"/>
  <c r="H568" i="472"/>
  <c r="I568" i="472" s="1"/>
  <c r="O568" i="472" s="1"/>
  <c r="E718" i="472"/>
  <c r="G794" i="472"/>
  <c r="F809" i="472"/>
  <c r="F808" i="472" s="1"/>
  <c r="E816" i="472"/>
  <c r="E815" i="472" s="1"/>
  <c r="E855" i="472"/>
  <c r="E854" i="472" s="1"/>
  <c r="E909" i="472"/>
  <c r="F131" i="472"/>
  <c r="F130" i="472" s="1"/>
  <c r="F192" i="472"/>
  <c r="J194" i="472"/>
  <c r="K194" i="472" s="1"/>
  <c r="E200" i="472"/>
  <c r="E199" i="472" s="1"/>
  <c r="D202" i="472"/>
  <c r="F263" i="472"/>
  <c r="F262" i="472" s="1"/>
  <c r="H294" i="472"/>
  <c r="I294" i="472" s="1"/>
  <c r="O294" i="472" s="1"/>
  <c r="E296" i="472"/>
  <c r="D376" i="472"/>
  <c r="F377" i="472"/>
  <c r="H383" i="472"/>
  <c r="I383" i="472" s="1"/>
  <c r="O383" i="472" s="1"/>
  <c r="D388" i="472"/>
  <c r="L465" i="472"/>
  <c r="M465" i="472" s="1"/>
  <c r="F624" i="472"/>
  <c r="F623" i="472" s="1"/>
  <c r="D838" i="472"/>
  <c r="D837" i="472" s="1"/>
  <c r="F296" i="472"/>
  <c r="E376" i="472"/>
  <c r="I561" i="472"/>
  <c r="K563" i="472"/>
  <c r="H624" i="472"/>
  <c r="I624" i="472" s="1"/>
  <c r="O624" i="472" s="1"/>
  <c r="J886" i="472"/>
  <c r="K886" i="472" s="1"/>
  <c r="G18" i="472"/>
  <c r="F381" i="472"/>
  <c r="F380" i="472" s="1"/>
  <c r="E421" i="472"/>
  <c r="L422" i="472"/>
  <c r="F838" i="472"/>
  <c r="F837" i="472" s="1"/>
  <c r="F421" i="472"/>
  <c r="J421" i="472"/>
  <c r="H311" i="472"/>
  <c r="L311" i="472"/>
  <c r="E311" i="472"/>
  <c r="F395" i="472"/>
  <c r="H395" i="472"/>
  <c r="I395" i="472" s="1"/>
  <c r="O395" i="472" s="1"/>
  <c r="E395" i="472"/>
  <c r="D395" i="472"/>
  <c r="D728" i="472"/>
  <c r="E728" i="472"/>
  <c r="G41" i="472"/>
  <c r="G8" i="472"/>
  <c r="E133" i="472"/>
  <c r="F133" i="472"/>
  <c r="D133" i="472"/>
  <c r="H133" i="472"/>
  <c r="I133" i="472" s="1"/>
  <c r="O133" i="472" s="1"/>
  <c r="G202" i="472"/>
  <c r="E212" i="472"/>
  <c r="D212" i="472"/>
  <c r="E221" i="472"/>
  <c r="D221" i="472"/>
  <c r="F279" i="472"/>
  <c r="F278" i="472" s="1"/>
  <c r="E279" i="472"/>
  <c r="E278" i="472" s="1"/>
  <c r="D279" i="472"/>
  <c r="D278" i="472" s="1"/>
  <c r="D125" i="472"/>
  <c r="F125" i="472"/>
  <c r="E125" i="472"/>
  <c r="E222" i="472"/>
  <c r="D222" i="472"/>
  <c r="J409" i="472"/>
  <c r="K409" i="472" s="1"/>
  <c r="P409" i="472"/>
  <c r="H409" i="472"/>
  <c r="I409" i="472" s="1"/>
  <c r="G118" i="472"/>
  <c r="L194" i="472"/>
  <c r="M194" i="472" s="1"/>
  <c r="F194" i="472"/>
  <c r="E194" i="472"/>
  <c r="F250" i="472"/>
  <c r="F249" i="472" s="1"/>
  <c r="H250" i="472"/>
  <c r="H251" i="472" s="1"/>
  <c r="I251" i="472" s="1"/>
  <c r="O251" i="472" s="1"/>
  <c r="E250" i="472"/>
  <c r="E249" i="472" s="1"/>
  <c r="F274" i="472"/>
  <c r="F273" i="472" s="1"/>
  <c r="E274" i="472"/>
  <c r="E273" i="472" s="1"/>
  <c r="D274" i="472"/>
  <c r="D273" i="472" s="1"/>
  <c r="D336" i="472"/>
  <c r="D335" i="472" s="1"/>
  <c r="F336" i="472"/>
  <c r="F335" i="472" s="1"/>
  <c r="E336" i="472"/>
  <c r="E335" i="472" s="1"/>
  <c r="H547" i="472"/>
  <c r="I547" i="472" s="1"/>
  <c r="F547" i="472"/>
  <c r="F546" i="472" s="1"/>
  <c r="E547" i="472"/>
  <c r="E546" i="472" s="1"/>
  <c r="D741" i="472"/>
  <c r="E741" i="472"/>
  <c r="D124" i="472"/>
  <c r="H124" i="472"/>
  <c r="I124" i="472" s="1"/>
  <c r="F124" i="472"/>
  <c r="D250" i="472"/>
  <c r="D249" i="472" s="1"/>
  <c r="L284" i="472"/>
  <c r="M284" i="472" s="1"/>
  <c r="F284" i="472"/>
  <c r="E284" i="472"/>
  <c r="D338" i="472"/>
  <c r="E338" i="472"/>
  <c r="F355" i="472"/>
  <c r="F354" i="472" s="1"/>
  <c r="E355" i="472"/>
  <c r="E354" i="472" s="1"/>
  <c r="F362" i="472"/>
  <c r="F361" i="472" s="1"/>
  <c r="E362" i="472"/>
  <c r="E361" i="472" s="1"/>
  <c r="H362" i="472"/>
  <c r="I362" i="472" s="1"/>
  <c r="O362" i="472" s="1"/>
  <c r="E404" i="472"/>
  <c r="D547" i="472"/>
  <c r="D546" i="472" s="1"/>
  <c r="J192" i="472"/>
  <c r="K192" i="472" s="1"/>
  <c r="J195" i="472"/>
  <c r="K195" i="472" s="1"/>
  <c r="H369" i="472"/>
  <c r="I369" i="472" s="1"/>
  <c r="I372" i="472" s="1"/>
  <c r="E369" i="472"/>
  <c r="E368" i="472" s="1"/>
  <c r="E507" i="472"/>
  <c r="E506" i="472" s="1"/>
  <c r="H507" i="472"/>
  <c r="I507" i="472" s="1"/>
  <c r="D538" i="472"/>
  <c r="D537" i="472" s="1"/>
  <c r="H538" i="472"/>
  <c r="I538" i="472" s="1"/>
  <c r="I544" i="472" s="1"/>
  <c r="K576" i="472"/>
  <c r="E793" i="472"/>
  <c r="D793" i="472"/>
  <c r="E803" i="472"/>
  <c r="D803" i="472"/>
  <c r="D907" i="472"/>
  <c r="L907" i="472"/>
  <c r="M907" i="472" s="1"/>
  <c r="H907" i="472"/>
  <c r="I907" i="472" s="1"/>
  <c r="F907" i="472"/>
  <c r="D115" i="472"/>
  <c r="D131" i="472"/>
  <c r="D130" i="472" s="1"/>
  <c r="F132" i="472"/>
  <c r="D192" i="472"/>
  <c r="P192" i="472"/>
  <c r="D195" i="472"/>
  <c r="P195" i="472"/>
  <c r="G212" i="472"/>
  <c r="D294" i="472"/>
  <c r="D293" i="472" s="1"/>
  <c r="D369" i="472"/>
  <c r="D368" i="472" s="1"/>
  <c r="H382" i="472"/>
  <c r="I382" i="472" s="1"/>
  <c r="I384" i="472" s="1"/>
  <c r="O384" i="472" s="1"/>
  <c r="F382" i="472"/>
  <c r="H388" i="472"/>
  <c r="I388" i="472" s="1"/>
  <c r="I390" i="472" s="1"/>
  <c r="O390" i="472" s="1"/>
  <c r="E388" i="472"/>
  <c r="G433" i="472"/>
  <c r="E460" i="472"/>
  <c r="E459" i="472" s="1"/>
  <c r="D460" i="472"/>
  <c r="D459" i="472" s="1"/>
  <c r="H498" i="472"/>
  <c r="H499" i="472" s="1"/>
  <c r="I499" i="472" s="1"/>
  <c r="O499" i="472" s="1"/>
  <c r="D498" i="472"/>
  <c r="D497" i="472" s="1"/>
  <c r="E538" i="472"/>
  <c r="E537" i="472" s="1"/>
  <c r="M561" i="472"/>
  <c r="G719" i="472"/>
  <c r="E930" i="472"/>
  <c r="E929" i="472" s="1"/>
  <c r="H930" i="472"/>
  <c r="I930" i="472" s="1"/>
  <c r="I934" i="472" s="1"/>
  <c r="F930" i="472"/>
  <c r="F929" i="472" s="1"/>
  <c r="D930" i="472"/>
  <c r="D929" i="472" s="1"/>
  <c r="E727" i="472"/>
  <c r="D727" i="472"/>
  <c r="L886" i="472"/>
  <c r="M886" i="472" s="1"/>
  <c r="F914" i="472"/>
  <c r="F913" i="472" s="1"/>
  <c r="D794" i="472"/>
  <c r="D822" i="472"/>
  <c r="D821" i="472" s="1"/>
  <c r="F861" i="472"/>
  <c r="D886" i="472"/>
  <c r="L421" i="472"/>
  <c r="J465" i="472"/>
  <c r="K465" i="472" s="1"/>
  <c r="E624" i="472"/>
  <c r="E623" i="472" s="1"/>
  <c r="D742" i="472"/>
  <c r="D809" i="472"/>
  <c r="D808" i="472" s="1"/>
  <c r="E822" i="472"/>
  <c r="E821" i="472" s="1"/>
  <c r="E886" i="472"/>
  <c r="D914" i="472"/>
  <c r="D913" i="472" s="1"/>
  <c r="O924" i="472"/>
  <c r="I42" i="472"/>
  <c r="I19" i="472"/>
  <c r="I9" i="472"/>
  <c r="I10" i="472"/>
  <c r="I20" i="472"/>
  <c r="I32" i="472"/>
  <c r="I33" i="472"/>
  <c r="I43" i="472"/>
  <c r="I213" i="472"/>
  <c r="I214" i="472"/>
  <c r="I419" i="472"/>
  <c r="I203" i="472"/>
  <c r="I224" i="472"/>
  <c r="I204" i="472"/>
  <c r="I234" i="472"/>
  <c r="I282" i="472"/>
  <c r="I283" i="472"/>
  <c r="I350" i="472"/>
  <c r="I223" i="472"/>
  <c r="I235" i="472"/>
  <c r="I339" i="472"/>
  <c r="I349" i="472"/>
  <c r="I407" i="472"/>
  <c r="I743" i="472"/>
  <c r="I406" i="472"/>
  <c r="I420" i="472"/>
  <c r="I464" i="472"/>
  <c r="I730" i="472"/>
  <c r="I795" i="472"/>
  <c r="I290" i="472"/>
  <c r="I340" i="472"/>
  <c r="I463" i="472"/>
  <c r="I804" i="472"/>
  <c r="I720" i="472"/>
  <c r="I744" i="472"/>
  <c r="I751" i="472"/>
  <c r="I805" i="472"/>
  <c r="I810" i="472"/>
  <c r="I721" i="472"/>
  <c r="I729" i="472"/>
  <c r="I750" i="472"/>
  <c r="I796" i="472"/>
  <c r="I811" i="472"/>
  <c r="G31" i="472"/>
  <c r="H242" i="472"/>
  <c r="I242" i="472" s="1"/>
  <c r="O242" i="472" s="1"/>
  <c r="I241" i="472"/>
  <c r="B126" i="472"/>
  <c r="B113" i="472"/>
  <c r="O114" i="472"/>
  <c r="D114" i="472"/>
  <c r="D113" i="472" s="1"/>
  <c r="F114" i="472"/>
  <c r="F113" i="472" s="1"/>
  <c r="I138" i="472"/>
  <c r="O131" i="472"/>
  <c r="I378" i="472"/>
  <c r="O378" i="472" s="1"/>
  <c r="O376" i="472"/>
  <c r="E233" i="472"/>
  <c r="D233" i="472"/>
  <c r="D257" i="472"/>
  <c r="D256" i="472" s="1"/>
  <c r="F257" i="472"/>
  <c r="F256" i="472" s="1"/>
  <c r="D134" i="472"/>
  <c r="E186" i="472"/>
  <c r="E185" i="472" s="1"/>
  <c r="D186" i="472"/>
  <c r="D185" i="472" s="1"/>
  <c r="E394" i="472"/>
  <c r="D394" i="472"/>
  <c r="H394" i="472"/>
  <c r="I394" i="472" s="1"/>
  <c r="O394" i="472" s="1"/>
  <c r="F394" i="472"/>
  <c r="J124" i="472"/>
  <c r="K124" i="472" s="1"/>
  <c r="P124" i="472"/>
  <c r="E134" i="472"/>
  <c r="D171" i="472"/>
  <c r="D170" i="472" s="1"/>
  <c r="F186" i="472"/>
  <c r="F185" i="472" s="1"/>
  <c r="D211" i="472"/>
  <c r="D232" i="472"/>
  <c r="E232" i="472"/>
  <c r="E124" i="472"/>
  <c r="J125" i="472"/>
  <c r="K125" i="472" s="1"/>
  <c r="P125" i="472"/>
  <c r="E132" i="472"/>
  <c r="H134" i="472"/>
  <c r="I134" i="472" s="1"/>
  <c r="O134" i="472" s="1"/>
  <c r="E171" i="472"/>
  <c r="E170" i="472" s="1"/>
  <c r="B175" i="472"/>
  <c r="F210" i="472"/>
  <c r="F209" i="472" s="1"/>
  <c r="E210" i="472"/>
  <c r="E209" i="472" s="1"/>
  <c r="F241" i="472"/>
  <c r="F240" i="472" s="1"/>
  <c r="E241" i="472"/>
  <c r="E240" i="472" s="1"/>
  <c r="D241" i="472"/>
  <c r="D240" i="472" s="1"/>
  <c r="F295" i="472"/>
  <c r="H295" i="472"/>
  <c r="I295" i="472" s="1"/>
  <c r="O295" i="472" s="1"/>
  <c r="E295" i="472"/>
  <c r="D295" i="472"/>
  <c r="D375" i="472"/>
  <c r="D374" i="472" s="1"/>
  <c r="F375" i="472"/>
  <c r="F374" i="472" s="1"/>
  <c r="E375" i="472"/>
  <c r="E374" i="472" s="1"/>
  <c r="G466" i="472"/>
  <c r="K578" i="472"/>
  <c r="G577" i="472"/>
  <c r="M578" i="472"/>
  <c r="I578" i="472"/>
  <c r="H192" i="472"/>
  <c r="I192" i="472" s="1"/>
  <c r="H194" i="472"/>
  <c r="I194" i="472" s="1"/>
  <c r="H195" i="472"/>
  <c r="I195" i="472" s="1"/>
  <c r="D387" i="472"/>
  <c r="D386" i="472" s="1"/>
  <c r="E387" i="472"/>
  <c r="E386" i="472" s="1"/>
  <c r="D389" i="472"/>
  <c r="H389" i="472"/>
  <c r="I389" i="472" s="1"/>
  <c r="O389" i="472" s="1"/>
  <c r="G418" i="472"/>
  <c r="L466" i="472"/>
  <c r="H466" i="472"/>
  <c r="D466" i="472"/>
  <c r="F466" i="472"/>
  <c r="P466" i="472"/>
  <c r="J466" i="472"/>
  <c r="E466" i="472"/>
  <c r="E515" i="472"/>
  <c r="E514" i="472" s="1"/>
  <c r="H515" i="472"/>
  <c r="F515" i="472"/>
  <c r="F514" i="472" s="1"/>
  <c r="D515" i="472"/>
  <c r="D514" i="472" s="1"/>
  <c r="G233" i="472"/>
  <c r="D297" i="472"/>
  <c r="H297" i="472"/>
  <c r="I297" i="472" s="1"/>
  <c r="O297" i="472" s="1"/>
  <c r="P311" i="472"/>
  <c r="J311" i="472"/>
  <c r="F311" i="472"/>
  <c r="D311" i="472"/>
  <c r="D347" i="472"/>
  <c r="D377" i="472"/>
  <c r="E377" i="472"/>
  <c r="D383" i="472"/>
  <c r="F383" i="472"/>
  <c r="F387" i="472"/>
  <c r="F386" i="472" s="1"/>
  <c r="E389" i="472"/>
  <c r="J422" i="472"/>
  <c r="F422" i="472"/>
  <c r="E422" i="472"/>
  <c r="P422" i="472"/>
  <c r="D422" i="472"/>
  <c r="E563" i="472"/>
  <c r="F563" i="472"/>
  <c r="D563" i="472"/>
  <c r="D337" i="472"/>
  <c r="E337" i="472"/>
  <c r="F346" i="472"/>
  <c r="F345" i="472" s="1"/>
  <c r="E346" i="472"/>
  <c r="E345" i="472" s="1"/>
  <c r="D348" i="472"/>
  <c r="E348" i="472"/>
  <c r="F389" i="472"/>
  <c r="D409" i="472"/>
  <c r="E409" i="472"/>
  <c r="L409" i="472"/>
  <c r="M409" i="472" s="1"/>
  <c r="I847" i="472"/>
  <c r="O844" i="472"/>
  <c r="E625" i="472"/>
  <c r="H625" i="472"/>
  <c r="I625" i="472" s="1"/>
  <c r="O625" i="472" s="1"/>
  <c r="F625" i="472"/>
  <c r="O809" i="472"/>
  <c r="K561" i="472"/>
  <c r="O572" i="472"/>
  <c r="D625" i="472"/>
  <c r="F792" i="472"/>
  <c r="F791" i="472" s="1"/>
  <c r="E792" i="472"/>
  <c r="E791" i="472" s="1"/>
  <c r="E802" i="472"/>
  <c r="D802" i="472"/>
  <c r="O832" i="472"/>
  <c r="H465" i="472"/>
  <c r="I465" i="472" s="1"/>
  <c r="D486" i="472"/>
  <c r="D485" i="472" s="1"/>
  <c r="D507" i="472"/>
  <c r="D506" i="472" s="1"/>
  <c r="D568" i="472"/>
  <c r="M576" i="472"/>
  <c r="I576" i="472"/>
  <c r="F578" i="472"/>
  <c r="E578" i="472"/>
  <c r="F626" i="472"/>
  <c r="E626" i="472"/>
  <c r="H626" i="472"/>
  <c r="I626" i="472" s="1"/>
  <c r="O626" i="472" s="1"/>
  <c r="D792" i="472"/>
  <c r="D791" i="472" s="1"/>
  <c r="E486" i="472"/>
  <c r="E485" i="472" s="1"/>
  <c r="F507" i="472"/>
  <c r="F506" i="472" s="1"/>
  <c r="I563" i="472"/>
  <c r="O563" i="472" s="1"/>
  <c r="E568" i="472"/>
  <c r="D578" i="472"/>
  <c r="D626" i="472"/>
  <c r="D878" i="472"/>
  <c r="D877" i="472" s="1"/>
  <c r="F878" i="472"/>
  <c r="F877" i="472" s="1"/>
  <c r="E878" i="472"/>
  <c r="E877" i="472" s="1"/>
  <c r="H284" i="472"/>
  <c r="I284" i="472" s="1"/>
  <c r="I825" i="472"/>
  <c r="O822" i="472"/>
  <c r="G742" i="472"/>
  <c r="D832" i="472"/>
  <c r="D831" i="472" s="1"/>
  <c r="F832" i="472"/>
  <c r="F831" i="472" s="1"/>
  <c r="E832" i="472"/>
  <c r="E831" i="472" s="1"/>
  <c r="F844" i="472"/>
  <c r="F843" i="472" s="1"/>
  <c r="E844" i="472"/>
  <c r="E843" i="472" s="1"/>
  <c r="D844" i="472"/>
  <c r="D843" i="472" s="1"/>
  <c r="H816" i="472"/>
  <c r="I816" i="472" s="1"/>
  <c r="H838" i="472"/>
  <c r="I838" i="472" s="1"/>
  <c r="J863" i="472"/>
  <c r="K863" i="472" s="1"/>
  <c r="E863" i="472"/>
  <c r="H863" i="472"/>
  <c r="I863" i="472" s="1"/>
  <c r="L863" i="472"/>
  <c r="M863" i="472" s="1"/>
  <c r="F863" i="472"/>
  <c r="P863" i="472"/>
  <c r="J864" i="472"/>
  <c r="K864" i="472" s="1"/>
  <c r="E864" i="472"/>
  <c r="L864" i="472"/>
  <c r="M864" i="472" s="1"/>
  <c r="F864" i="472"/>
  <c r="D864" i="472"/>
  <c r="P864" i="472"/>
  <c r="D910" i="472"/>
  <c r="L910" i="472"/>
  <c r="M910" i="472" s="1"/>
  <c r="F910" i="472"/>
  <c r="E910" i="472"/>
  <c r="J910" i="472"/>
  <c r="K910" i="472" s="1"/>
  <c r="I920" i="472"/>
  <c r="O914" i="472"/>
  <c r="J861" i="472"/>
  <c r="K861" i="472" s="1"/>
  <c r="E861" i="472"/>
  <c r="P861" i="472"/>
  <c r="P884" i="472"/>
  <c r="F884" i="472"/>
  <c r="L884" i="472"/>
  <c r="M884" i="472" s="1"/>
  <c r="E884" i="472"/>
  <c r="J884" i="472"/>
  <c r="K884" i="472" s="1"/>
  <c r="D884" i="472"/>
  <c r="P887" i="472"/>
  <c r="F887" i="472"/>
  <c r="H887" i="472"/>
  <c r="I887" i="472" s="1"/>
  <c r="L887" i="472"/>
  <c r="M887" i="472" s="1"/>
  <c r="E887" i="472"/>
  <c r="E901" i="472"/>
  <c r="E900" i="472" s="1"/>
  <c r="F901" i="472"/>
  <c r="F900" i="472" s="1"/>
  <c r="D861" i="472"/>
  <c r="H884" i="472"/>
  <c r="I884" i="472" s="1"/>
  <c r="D887" i="472"/>
  <c r="D901" i="472"/>
  <c r="D900" i="472" s="1"/>
  <c r="D909" i="472"/>
  <c r="H909" i="472"/>
  <c r="I909" i="472" s="1"/>
  <c r="L909" i="472"/>
  <c r="M909" i="472" s="1"/>
  <c r="F909" i="472"/>
  <c r="P909" i="472"/>
  <c r="D924" i="472"/>
  <c r="D923" i="472" s="1"/>
  <c r="F924" i="472"/>
  <c r="F923" i="472" s="1"/>
  <c r="E924" i="472"/>
  <c r="E923" i="472" s="1"/>
  <c r="F937" i="472"/>
  <c r="F936" i="472" s="1"/>
  <c r="H937" i="472"/>
  <c r="I937" i="472" s="1"/>
  <c r="E937" i="472"/>
  <c r="E936" i="472" s="1"/>
  <c r="J907" i="472"/>
  <c r="K907" i="472" s="1"/>
  <c r="P907" i="472"/>
  <c r="P886" i="472"/>
  <c r="F886" i="472"/>
  <c r="E907" i="472"/>
  <c r="H508" i="472" l="1"/>
  <c r="I508" i="472" s="1"/>
  <c r="O508" i="472" s="1"/>
  <c r="I171" i="472"/>
  <c r="O171" i="472" s="1"/>
  <c r="I301" i="472"/>
  <c r="O369" i="472"/>
  <c r="O538" i="472"/>
  <c r="O409" i="472"/>
  <c r="O861" i="472"/>
  <c r="O886" i="472"/>
  <c r="O284" i="472"/>
  <c r="O195" i="472"/>
  <c r="O125" i="472"/>
  <c r="O192" i="472"/>
  <c r="O124" i="472"/>
  <c r="I250" i="472"/>
  <c r="I254" i="472" s="1"/>
  <c r="I366" i="472"/>
  <c r="O930" i="472"/>
  <c r="I627" i="472"/>
  <c r="O627" i="472" s="1"/>
  <c r="O382" i="472"/>
  <c r="I489" i="472"/>
  <c r="O907" i="472"/>
  <c r="O561" i="472"/>
  <c r="I498" i="472"/>
  <c r="O498" i="472" s="1"/>
  <c r="O864" i="472"/>
  <c r="H539" i="472"/>
  <c r="I539" i="472" s="1"/>
  <c r="O539" i="472" s="1"/>
  <c r="O388" i="472"/>
  <c r="H540" i="472"/>
  <c r="I540" i="472" s="1"/>
  <c r="O540" i="472" s="1"/>
  <c r="O194" i="472"/>
  <c r="O910" i="472"/>
  <c r="O909" i="472"/>
  <c r="O887" i="472"/>
  <c r="H548" i="472"/>
  <c r="I548" i="472" s="1"/>
  <c r="O548" i="472" s="1"/>
  <c r="H549" i="472"/>
  <c r="I549" i="472" s="1"/>
  <c r="O549" i="472" s="1"/>
  <c r="O576" i="472"/>
  <c r="O465" i="472"/>
  <c r="O578" i="472"/>
  <c r="M466" i="472"/>
  <c r="K466" i="472"/>
  <c r="I466" i="472"/>
  <c r="O838" i="472"/>
  <c r="I841" i="472"/>
  <c r="O863" i="472"/>
  <c r="I819" i="472"/>
  <c r="O816" i="472"/>
  <c r="O241" i="472"/>
  <c r="I246" i="472"/>
  <c r="H516" i="472"/>
  <c r="I516" i="472" s="1"/>
  <c r="O516" i="472" s="1"/>
  <c r="I515" i="472"/>
  <c r="I941" i="472"/>
  <c r="O937" i="472"/>
  <c r="O884" i="472"/>
  <c r="O507" i="472"/>
  <c r="I512" i="472"/>
  <c r="O547" i="472"/>
  <c r="I553" i="472"/>
  <c r="I175" i="472" l="1"/>
  <c r="I502" i="472"/>
  <c r="O250" i="472"/>
  <c r="O466" i="472"/>
  <c r="O515" i="472"/>
  <c r="I520" i="472"/>
  <c r="A124" i="475" l="1"/>
  <c r="A123" i="474"/>
  <c r="A97" i="474"/>
  <c r="A98" i="475"/>
  <c r="B5" i="472" l="1"/>
  <c r="B13" i="472"/>
  <c r="B23" i="472" l="1"/>
  <c r="B15" i="472"/>
  <c r="B36" i="472" l="1"/>
  <c r="B28" i="472"/>
  <c r="B46" i="472" l="1"/>
  <c r="B38" i="472"/>
  <c r="C74" i="472" l="1"/>
  <c r="B67" i="472"/>
  <c r="B51" i="472"/>
  <c r="B74" i="472" l="1"/>
  <c r="B90" i="472"/>
  <c r="A12" i="474" l="1"/>
  <c r="A12" i="475"/>
  <c r="A10" i="475"/>
  <c r="A10" i="474"/>
  <c r="B39" i="472"/>
  <c r="B34" i="472" l="1"/>
  <c r="B11" i="472"/>
  <c r="B44" i="472"/>
  <c r="B21" i="472"/>
  <c r="B88" i="472"/>
  <c r="B65" i="472"/>
  <c r="A102" i="474" l="1"/>
  <c r="A103" i="475"/>
  <c r="A30" i="467" l="1"/>
  <c r="A29" i="467" l="1"/>
  <c r="A17" i="476"/>
  <c r="A19" i="481"/>
  <c r="A20" i="476"/>
  <c r="A16" i="476"/>
  <c r="B18" i="476"/>
  <c r="C18" i="476"/>
  <c r="Q18" i="476"/>
  <c r="B34" i="462"/>
  <c r="B72" i="462"/>
  <c r="F72" i="462" s="1"/>
  <c r="D71" i="462"/>
  <c r="F71" i="462"/>
  <c r="C71" i="462"/>
  <c r="B227" i="462"/>
  <c r="B225" i="462"/>
  <c r="B226" i="462"/>
  <c r="B179" i="462"/>
  <c r="B177" i="462"/>
  <c r="B178" i="462"/>
  <c r="B74" i="462"/>
  <c r="B69" i="462"/>
  <c r="B70" i="462"/>
  <c r="A6" i="477"/>
  <c r="A76" i="474"/>
  <c r="A77" i="475"/>
  <c r="A78" i="474"/>
  <c r="A79" i="475"/>
  <c r="A89" i="474"/>
  <c r="A90" i="475"/>
  <c r="A53" i="475"/>
  <c r="A75" i="474"/>
  <c r="A76" i="475"/>
  <c r="A52" i="474"/>
  <c r="A77" i="474"/>
  <c r="A78" i="475"/>
  <c r="A53" i="474"/>
  <c r="A54" i="475"/>
  <c r="A79" i="474"/>
  <c r="A80" i="475"/>
  <c r="A90" i="474"/>
  <c r="A91" i="475"/>
  <c r="B908" i="472"/>
  <c r="B885" i="472"/>
  <c r="B862" i="472"/>
  <c r="B193" i="472"/>
  <c r="B123" i="472"/>
  <c r="G21" i="476" l="1"/>
  <c r="E8" i="467"/>
  <c r="E9" i="467"/>
  <c r="E7" i="467"/>
  <c r="F18" i="476"/>
  <c r="F16" i="476"/>
  <c r="D16" i="476"/>
  <c r="E19" i="481"/>
  <c r="D19" i="481"/>
  <c r="N19" i="481"/>
  <c r="G19" i="481"/>
  <c r="R19" i="481"/>
  <c r="H19" i="481"/>
  <c r="I19" i="481"/>
  <c r="Q19" i="481"/>
  <c r="P19" i="481"/>
  <c r="L19" i="481"/>
  <c r="M19" i="481"/>
  <c r="K19" i="481"/>
  <c r="J19" i="481"/>
  <c r="O19" i="481"/>
  <c r="E42" i="476"/>
  <c r="E24" i="476"/>
  <c r="E45" i="476"/>
  <c r="D20" i="476"/>
  <c r="D17" i="476"/>
  <c r="E17" i="476"/>
  <c r="G17" i="476"/>
  <c r="F17" i="476"/>
  <c r="H17" i="476"/>
  <c r="B29" i="467"/>
  <c r="D29" i="467"/>
  <c r="C29" i="467"/>
  <c r="H45" i="476"/>
  <c r="H43" i="476"/>
  <c r="H23" i="476"/>
  <c r="D72" i="462"/>
  <c r="C72" i="462"/>
  <c r="F34" i="462"/>
  <c r="C34" i="462"/>
  <c r="D34" i="462"/>
  <c r="I22" i="481"/>
  <c r="H22" i="481"/>
  <c r="G22" i="481"/>
  <c r="R22" i="481"/>
  <c r="P22" i="481"/>
  <c r="N22" i="481"/>
  <c r="L22" i="481"/>
  <c r="J22" i="481"/>
  <c r="Q22" i="481"/>
  <c r="O22" i="481"/>
  <c r="M22" i="481"/>
  <c r="K22" i="481"/>
  <c r="F225" i="462"/>
  <c r="C225" i="462"/>
  <c r="D225" i="462"/>
  <c r="D226" i="462"/>
  <c r="F226" i="462"/>
  <c r="C226" i="462"/>
  <c r="F227" i="462"/>
  <c r="C227" i="462"/>
  <c r="D227" i="462"/>
  <c r="D179" i="462"/>
  <c r="C179" i="462"/>
  <c r="F179" i="462"/>
  <c r="F178" i="462"/>
  <c r="C178" i="462"/>
  <c r="D178" i="462"/>
  <c r="D177" i="462"/>
  <c r="C177" i="462"/>
  <c r="F177" i="462"/>
  <c r="C69" i="462"/>
  <c r="D69" i="462"/>
  <c r="F69" i="462"/>
  <c r="C70" i="462"/>
  <c r="D70" i="462"/>
  <c r="F70" i="462"/>
  <c r="C6" i="477"/>
  <c r="B6" i="477"/>
  <c r="H6" i="477"/>
  <c r="E7" i="477"/>
  <c r="E6" i="477"/>
  <c r="F7" i="477"/>
  <c r="F6" i="477"/>
  <c r="G6" i="477"/>
  <c r="G7" i="477"/>
  <c r="B52" i="474"/>
  <c r="D52" i="474"/>
  <c r="C52" i="474"/>
  <c r="C76" i="475"/>
  <c r="B76" i="475"/>
  <c r="C75" i="474"/>
  <c r="B75" i="474"/>
  <c r="D75" i="474"/>
  <c r="B53" i="475"/>
  <c r="C53" i="475"/>
  <c r="D862" i="472"/>
  <c r="F862" i="472"/>
  <c r="E862" i="472"/>
  <c r="F908" i="472"/>
  <c r="E908" i="472"/>
  <c r="D908" i="472"/>
  <c r="D123" i="472"/>
  <c r="E123" i="472"/>
  <c r="F123" i="472"/>
  <c r="D885" i="472"/>
  <c r="E885" i="472"/>
  <c r="F885" i="472"/>
  <c r="F193" i="472"/>
  <c r="E193" i="472"/>
  <c r="D193" i="472"/>
  <c r="A101" i="474" l="1"/>
  <c r="A102" i="475"/>
  <c r="A98" i="474"/>
  <c r="A99" i="475"/>
  <c r="A100" i="474"/>
  <c r="A101" i="475"/>
  <c r="A23" i="481" l="1"/>
  <c r="B298" i="462"/>
  <c r="B228" i="462"/>
  <c r="B180" i="462"/>
  <c r="A10" i="478"/>
  <c r="A27" i="474"/>
  <c r="A27" i="475"/>
  <c r="A28" i="474"/>
  <c r="A28" i="475"/>
  <c r="A84" i="474"/>
  <c r="A85" i="475"/>
  <c r="A86" i="474"/>
  <c r="A87" i="475"/>
  <c r="A88" i="474"/>
  <c r="A89" i="475"/>
  <c r="A83" i="474"/>
  <c r="A84" i="475"/>
  <c r="A85" i="474"/>
  <c r="A86" i="475"/>
  <c r="A87" i="474"/>
  <c r="A88" i="475"/>
  <c r="A29" i="475"/>
  <c r="A29" i="474"/>
  <c r="A82" i="474"/>
  <c r="A83" i="475"/>
  <c r="A30" i="475"/>
  <c r="A30" i="474"/>
  <c r="B45" i="472"/>
  <c r="B22" i="472"/>
  <c r="B35" i="472"/>
  <c r="B12" i="472"/>
  <c r="M246" i="359"/>
  <c r="J246" i="359"/>
  <c r="W244" i="359"/>
  <c r="G86" i="472" s="1"/>
  <c r="M243" i="359"/>
  <c r="J243" i="359"/>
  <c r="J242" i="359"/>
  <c r="W242" i="359" s="1"/>
  <c r="G85" i="472" s="1"/>
  <c r="J241" i="359"/>
  <c r="W241" i="359" s="1"/>
  <c r="M240" i="359"/>
  <c r="J240" i="359"/>
  <c r="J239" i="359"/>
  <c r="W239" i="359" s="1"/>
  <c r="G83" i="472" s="1"/>
  <c r="J238" i="359"/>
  <c r="W238" i="359" s="1"/>
  <c r="M237" i="359"/>
  <c r="J237" i="359"/>
  <c r="M236" i="359"/>
  <c r="J236" i="359"/>
  <c r="M235" i="359"/>
  <c r="J235" i="359"/>
  <c r="J234" i="359"/>
  <c r="M233" i="359"/>
  <c r="J233" i="359"/>
  <c r="W232" i="359"/>
  <c r="G76" i="472" s="1"/>
  <c r="D229" i="359"/>
  <c r="M234" i="359" s="1"/>
  <c r="E22" i="481" l="1"/>
  <c r="D22" i="481"/>
  <c r="E23" i="481"/>
  <c r="F23" i="481"/>
  <c r="D23" i="481"/>
  <c r="R23" i="481"/>
  <c r="M23" i="481"/>
  <c r="N23" i="481"/>
  <c r="Q23" i="481"/>
  <c r="K23" i="481"/>
  <c r="L23" i="481"/>
  <c r="P23" i="481"/>
  <c r="I23" i="481"/>
  <c r="H23" i="481"/>
  <c r="O23" i="481"/>
  <c r="G23" i="481"/>
  <c r="J23" i="481"/>
  <c r="H25" i="481"/>
  <c r="K25" i="481"/>
  <c r="Q25" i="481"/>
  <c r="L25" i="481"/>
  <c r="R25" i="481"/>
  <c r="J25" i="481"/>
  <c r="I25" i="481"/>
  <c r="N25" i="481"/>
  <c r="P25" i="481"/>
  <c r="G25" i="481"/>
  <c r="M25" i="481"/>
  <c r="O25" i="481"/>
  <c r="W236" i="359"/>
  <c r="M245" i="359" s="1"/>
  <c r="E10" i="478"/>
  <c r="G10" i="478"/>
  <c r="F10" i="478"/>
  <c r="W235" i="359"/>
  <c r="G79" i="472" s="1"/>
  <c r="W246" i="359"/>
  <c r="G89" i="472" s="1"/>
  <c r="G82" i="472"/>
  <c r="G84" i="472"/>
  <c r="W233" i="359"/>
  <c r="G77" i="472" s="1"/>
  <c r="W243" i="359"/>
  <c r="W237" i="359"/>
  <c r="W240" i="359"/>
  <c r="W234" i="359"/>
  <c r="G80" i="472" l="1"/>
  <c r="G88" i="472"/>
  <c r="G81" i="472"/>
  <c r="A130" i="474"/>
  <c r="A131" i="475"/>
  <c r="A132" i="474"/>
  <c r="A133" i="475"/>
  <c r="A134" i="474"/>
  <c r="A135" i="475"/>
  <c r="A131" i="474"/>
  <c r="A132" i="475"/>
  <c r="A133" i="474"/>
  <c r="A134" i="475"/>
  <c r="J245" i="359"/>
  <c r="W245" i="359" s="1"/>
  <c r="G78" i="472"/>
  <c r="G87" i="472" l="1"/>
  <c r="A104" i="474" l="1"/>
  <c r="A105" i="475"/>
  <c r="A112" i="475"/>
  <c r="A111" i="474"/>
  <c r="B5" i="467" l="1"/>
  <c r="B7" i="433" l="1"/>
  <c r="B10" i="433"/>
  <c r="B9" i="433"/>
  <c r="B5" i="168"/>
  <c r="B6" i="433" s="1"/>
  <c r="A32" i="474" l="1"/>
  <c r="A32" i="475"/>
  <c r="A92" i="474" l="1"/>
  <c r="A93" i="475"/>
  <c r="A31" i="474" l="1"/>
  <c r="A31" i="475"/>
  <c r="A16" i="474"/>
  <c r="A16" i="475"/>
  <c r="A25" i="475"/>
  <c r="A25" i="474"/>
  <c r="A6" i="478" l="1"/>
  <c r="A9" i="475"/>
  <c r="A9" i="474"/>
  <c r="A8" i="474"/>
  <c r="A8" i="475"/>
  <c r="H7" i="475"/>
  <c r="E6" i="478" l="1"/>
  <c r="G6" i="478"/>
  <c r="F6" i="478"/>
  <c r="D6" i="478"/>
  <c r="A126" i="474"/>
  <c r="A127" i="475"/>
  <c r="A121" i="474"/>
  <c r="A122" i="475"/>
  <c r="H9" i="475"/>
  <c r="A125" i="474"/>
  <c r="A126" i="475"/>
  <c r="H10" i="475"/>
  <c r="H8" i="475"/>
  <c r="B75" i="472"/>
  <c r="A127" i="474" l="1"/>
  <c r="A128" i="475"/>
  <c r="I6" i="478" l="1"/>
  <c r="A62" i="474"/>
  <c r="A63" i="475"/>
  <c r="A54" i="474" l="1"/>
  <c r="A55" i="475"/>
  <c r="A80" i="474" l="1"/>
  <c r="A81" i="475"/>
  <c r="B440" i="462" l="1"/>
  <c r="B437" i="462"/>
  <c r="C437" i="462" s="1"/>
  <c r="B436" i="462"/>
  <c r="B434" i="462"/>
  <c r="F434" i="462" s="1"/>
  <c r="B433" i="462"/>
  <c r="F433" i="462" s="1"/>
  <c r="B422" i="462"/>
  <c r="F422" i="462" s="1"/>
  <c r="B420" i="462"/>
  <c r="F420" i="462" s="1"/>
  <c r="B419" i="462"/>
  <c r="F419" i="462" s="1"/>
  <c r="B417" i="462"/>
  <c r="F417" i="462" s="1"/>
  <c r="B416" i="462"/>
  <c r="F416" i="462" s="1"/>
  <c r="B415" i="462"/>
  <c r="F415" i="462" s="1"/>
  <c r="B413" i="462"/>
  <c r="C413" i="462" s="1"/>
  <c r="B412" i="462"/>
  <c r="C412" i="462" s="1"/>
  <c r="B411" i="462"/>
  <c r="C411" i="462" s="1"/>
  <c r="B410" i="462"/>
  <c r="C410" i="462" s="1"/>
  <c r="B375" i="462"/>
  <c r="F375" i="462" s="1"/>
  <c r="B373" i="462"/>
  <c r="F373" i="462" s="1"/>
  <c r="B372" i="462"/>
  <c r="F372" i="462" s="1"/>
  <c r="B370" i="462"/>
  <c r="F370" i="462" s="1"/>
  <c r="B369" i="462"/>
  <c r="F369" i="462" s="1"/>
  <c r="B368" i="462"/>
  <c r="F368" i="462" s="1"/>
  <c r="B366" i="462"/>
  <c r="C366" i="462" s="1"/>
  <c r="B364" i="462"/>
  <c r="C364" i="462" s="1"/>
  <c r="B363" i="462"/>
  <c r="D363" i="462" s="1"/>
  <c r="B362" i="462"/>
  <c r="C362" i="462" s="1"/>
  <c r="B361" i="462"/>
  <c r="F361" i="462" s="1"/>
  <c r="G356" i="462"/>
  <c r="G429" i="462"/>
  <c r="G355" i="462"/>
  <c r="G404" i="462"/>
  <c r="G435" i="462"/>
  <c r="G367" i="462"/>
  <c r="G403" i="462"/>
  <c r="G353" i="462"/>
  <c r="G414" i="462"/>
  <c r="G354" i="462"/>
  <c r="G428" i="462"/>
  <c r="G405" i="462"/>
  <c r="A48" i="481" l="1"/>
  <c r="A49" i="476"/>
  <c r="A41" i="481"/>
  <c r="A40" i="481"/>
  <c r="B303" i="462"/>
  <c r="B89" i="462"/>
  <c r="B248" i="462"/>
  <c r="B239" i="462"/>
  <c r="B238" i="462"/>
  <c r="B190" i="462"/>
  <c r="B189" i="462"/>
  <c r="B199" i="462"/>
  <c r="A109" i="474"/>
  <c r="A110" i="475"/>
  <c r="A107" i="474"/>
  <c r="A108" i="475"/>
  <c r="A115" i="475"/>
  <c r="A114" i="474"/>
  <c r="A117" i="475"/>
  <c r="A116" i="474"/>
  <c r="A106" i="474"/>
  <c r="A107" i="475"/>
  <c r="A105" i="474"/>
  <c r="A106" i="475"/>
  <c r="A116" i="475"/>
  <c r="A115" i="474"/>
  <c r="A62" i="475"/>
  <c r="A61" i="474"/>
  <c r="A123" i="475"/>
  <c r="A122" i="474"/>
  <c r="A113" i="474"/>
  <c r="A114" i="475"/>
  <c r="A117" i="474"/>
  <c r="A118" i="475"/>
  <c r="C434" i="462"/>
  <c r="D411" i="462"/>
  <c r="D422" i="462"/>
  <c r="C363" i="462"/>
  <c r="F366" i="462"/>
  <c r="C369" i="462"/>
  <c r="C417" i="462"/>
  <c r="D420" i="462"/>
  <c r="C433" i="462"/>
  <c r="C372" i="462"/>
  <c r="C368" i="462"/>
  <c r="C370" i="462"/>
  <c r="F410" i="462"/>
  <c r="D416" i="462"/>
  <c r="F362" i="462"/>
  <c r="D373" i="462"/>
  <c r="D375" i="462"/>
  <c r="F413" i="462"/>
  <c r="C416" i="462"/>
  <c r="C420" i="462"/>
  <c r="C422" i="462"/>
  <c r="D362" i="462"/>
  <c r="F363" i="462"/>
  <c r="D369" i="462"/>
  <c r="C373" i="462"/>
  <c r="C375" i="462"/>
  <c r="D413" i="462"/>
  <c r="C415" i="462"/>
  <c r="C419" i="462"/>
  <c r="D434" i="462"/>
  <c r="D437" i="462"/>
  <c r="E366" i="462"/>
  <c r="E363" i="462"/>
  <c r="E359" i="462"/>
  <c r="E407" i="462"/>
  <c r="E412" i="462"/>
  <c r="E410" i="462"/>
  <c r="E421" i="462"/>
  <c r="E420" i="462"/>
  <c r="E418" i="462"/>
  <c r="E417" i="462"/>
  <c r="E416" i="462"/>
  <c r="E361" i="462"/>
  <c r="E358" i="462"/>
  <c r="E364" i="462"/>
  <c r="E432" i="462"/>
  <c r="E360" i="462"/>
  <c r="E370" i="462"/>
  <c r="E369" i="462"/>
  <c r="E374" i="462"/>
  <c r="E373" i="462"/>
  <c r="E371" i="462"/>
  <c r="E365" i="462"/>
  <c r="E362" i="462"/>
  <c r="E413" i="462"/>
  <c r="E411" i="462"/>
  <c r="E408" i="462"/>
  <c r="E433" i="462"/>
  <c r="E434" i="462"/>
  <c r="E431" i="462"/>
  <c r="E409" i="462"/>
  <c r="E438" i="462"/>
  <c r="E439" i="462"/>
  <c r="E437" i="462"/>
  <c r="D436" i="462"/>
  <c r="C436" i="462"/>
  <c r="D440" i="462"/>
  <c r="C440" i="462"/>
  <c r="C361" i="462"/>
  <c r="F364" i="462"/>
  <c r="D412" i="462"/>
  <c r="F436" i="462"/>
  <c r="F440" i="462"/>
  <c r="D361" i="462"/>
  <c r="F412" i="462"/>
  <c r="D364" i="462"/>
  <c r="D366" i="462"/>
  <c r="D410" i="462"/>
  <c r="F411" i="462"/>
  <c r="D368" i="462"/>
  <c r="D370" i="462"/>
  <c r="D372" i="462"/>
  <c r="D415" i="462"/>
  <c r="D417" i="462"/>
  <c r="D419" i="462"/>
  <c r="D433" i="462"/>
  <c r="F437" i="462"/>
  <c r="G411" i="462"/>
  <c r="G437" i="462"/>
  <c r="G370" i="462"/>
  <c r="G407" i="462"/>
  <c r="G416" i="462"/>
  <c r="G432" i="462"/>
  <c r="G412" i="462"/>
  <c r="G363" i="462"/>
  <c r="G373" i="462"/>
  <c r="G374" i="462"/>
  <c r="G439" i="462"/>
  <c r="G361" i="462"/>
  <c r="G369" i="462"/>
  <c r="G420" i="462"/>
  <c r="G366" i="462"/>
  <c r="G360" i="462"/>
  <c r="G413" i="462"/>
  <c r="G410" i="462"/>
  <c r="G358" i="462"/>
  <c r="G365" i="462"/>
  <c r="G434" i="462"/>
  <c r="G364" i="462"/>
  <c r="G409" i="462"/>
  <c r="G421" i="462"/>
  <c r="G362" i="462"/>
  <c r="G371" i="462"/>
  <c r="G433" i="462"/>
  <c r="G438" i="462"/>
  <c r="G359" i="462"/>
  <c r="G431" i="462"/>
  <c r="G417" i="462"/>
  <c r="G408" i="462"/>
  <c r="G418" i="462"/>
  <c r="D49" i="476" l="1"/>
  <c r="P48" i="481"/>
  <c r="I48" i="481"/>
  <c r="H48" i="481"/>
  <c r="G48" i="481"/>
  <c r="O48" i="481"/>
  <c r="N48" i="481"/>
  <c r="R48" i="481"/>
  <c r="M48" i="481"/>
  <c r="L48" i="481"/>
  <c r="Q48" i="481"/>
  <c r="K48" i="481"/>
  <c r="J48" i="481"/>
  <c r="E376" i="462"/>
  <c r="E415" i="462"/>
  <c r="E436" i="462"/>
  <c r="E441" i="462"/>
  <c r="E368" i="462"/>
  <c r="E423" i="462"/>
  <c r="E375" i="462"/>
  <c r="E422" i="462"/>
  <c r="E440" i="462"/>
  <c r="G415" i="462"/>
  <c r="G368" i="462"/>
  <c r="G375" i="462"/>
  <c r="G436" i="462"/>
  <c r="G423" i="462"/>
  <c r="G441" i="462"/>
  <c r="G440" i="462"/>
  <c r="G376" i="462"/>
  <c r="G422" i="462"/>
  <c r="A24" i="481" l="1"/>
  <c r="A46" i="476"/>
  <c r="B234" i="462"/>
  <c r="T23" i="481"/>
  <c r="A58" i="474"/>
  <c r="A59" i="475"/>
  <c r="A61" i="475"/>
  <c r="A60" i="474"/>
  <c r="E419" i="462"/>
  <c r="E372" i="462"/>
  <c r="G419" i="462"/>
  <c r="G372" i="462"/>
  <c r="I24" i="481" l="1"/>
  <c r="G24" i="481"/>
  <c r="H24" i="481"/>
  <c r="Q24" i="481"/>
  <c r="R24" i="481"/>
  <c r="P24" i="481"/>
  <c r="M24" i="481"/>
  <c r="L24" i="481"/>
  <c r="K24" i="481"/>
  <c r="J24" i="481"/>
  <c r="N24" i="481"/>
  <c r="O24" i="481"/>
  <c r="D46" i="476"/>
  <c r="A8" i="477"/>
  <c r="A58" i="475"/>
  <c r="A57" i="474"/>
  <c r="G8" i="477" l="1"/>
  <c r="E8" i="477"/>
  <c r="F8" i="477"/>
  <c r="A96" i="474"/>
  <c r="A97" i="475"/>
  <c r="A94" i="474"/>
  <c r="A95" i="475"/>
  <c r="A95" i="474"/>
  <c r="A96" i="475"/>
  <c r="M37" i="359" l="1"/>
  <c r="J37" i="359"/>
  <c r="W37" i="359" s="1"/>
  <c r="M34" i="359"/>
  <c r="J34" i="359"/>
  <c r="W34" i="359" l="1"/>
  <c r="D281" i="320"/>
  <c r="L281" i="320" s="1"/>
  <c r="L280" i="320" s="1"/>
  <c r="J280" i="320"/>
  <c r="B279" i="320"/>
  <c r="D270" i="320"/>
  <c r="L270" i="320" s="1"/>
  <c r="L269" i="320" s="1"/>
  <c r="B268" i="320"/>
  <c r="D263" i="320"/>
  <c r="L263" i="320" s="1"/>
  <c r="L262" i="320" s="1"/>
  <c r="B261" i="320"/>
  <c r="D256" i="320"/>
  <c r="L256" i="320" s="1"/>
  <c r="L255" i="320" s="1"/>
  <c r="B254" i="320"/>
  <c r="D245" i="320"/>
  <c r="L245" i="320" s="1"/>
  <c r="L244" i="320" s="1"/>
  <c r="B243" i="320"/>
  <c r="D238" i="320"/>
  <c r="L238" i="320" s="1"/>
  <c r="L237" i="320" s="1"/>
  <c r="B236" i="320"/>
  <c r="D231" i="320"/>
  <c r="L231" i="320" s="1"/>
  <c r="L230" i="320" s="1"/>
  <c r="B229" i="320"/>
  <c r="D220" i="320"/>
  <c r="L220" i="320" s="1"/>
  <c r="L219" i="320" s="1"/>
  <c r="B218" i="320"/>
  <c r="D213" i="320"/>
  <c r="L213" i="320" s="1"/>
  <c r="L212" i="320" s="1"/>
  <c r="B211" i="320"/>
  <c r="D206" i="320"/>
  <c r="L206" i="320" s="1"/>
  <c r="L205" i="320" s="1"/>
  <c r="B204" i="320"/>
  <c r="D195" i="320"/>
  <c r="L195" i="320" s="1"/>
  <c r="L194" i="320" s="1"/>
  <c r="B193" i="320"/>
  <c r="D188" i="320"/>
  <c r="L188" i="320" s="1"/>
  <c r="L187" i="320" s="1"/>
  <c r="B186" i="320"/>
  <c r="D181" i="320"/>
  <c r="L181" i="320" s="1"/>
  <c r="L180" i="320" s="1"/>
  <c r="B179" i="320"/>
  <c r="D174" i="320"/>
  <c r="L174" i="320" s="1"/>
  <c r="L173" i="320" s="1"/>
  <c r="K173" i="320"/>
  <c r="J173" i="320"/>
  <c r="B172" i="320"/>
  <c r="D170" i="320"/>
  <c r="L170" i="320" s="1"/>
  <c r="L169" i="320" s="1"/>
  <c r="K169" i="320"/>
  <c r="J169" i="320"/>
  <c r="B168" i="320"/>
  <c r="D163" i="320"/>
  <c r="L163" i="320" s="1"/>
  <c r="L162" i="320" s="1"/>
  <c r="B161" i="320"/>
  <c r="D156" i="320"/>
  <c r="L156" i="320" s="1"/>
  <c r="L155" i="320" s="1"/>
  <c r="B154" i="320"/>
  <c r="D145" i="320"/>
  <c r="L145" i="320" s="1"/>
  <c r="L144" i="320" s="1"/>
  <c r="B143" i="320"/>
  <c r="D138" i="320"/>
  <c r="L138" i="320" s="1"/>
  <c r="L137" i="320" s="1"/>
  <c r="B136" i="320"/>
  <c r="D131" i="320"/>
  <c r="L131" i="320" s="1"/>
  <c r="L130" i="320" s="1"/>
  <c r="B129" i="320"/>
  <c r="D120" i="320"/>
  <c r="L120" i="320" s="1"/>
  <c r="L119" i="320" s="1"/>
  <c r="B118" i="320"/>
  <c r="D113" i="320"/>
  <c r="L113" i="320" s="1"/>
  <c r="L112" i="320" s="1"/>
  <c r="B111" i="320"/>
  <c r="D106" i="320"/>
  <c r="L106" i="320" s="1"/>
  <c r="L105" i="320" s="1"/>
  <c r="B104" i="320"/>
  <c r="D97" i="320"/>
  <c r="L97" i="320" s="1"/>
  <c r="L96" i="320" s="1"/>
  <c r="B95" i="320"/>
  <c r="D90" i="320"/>
  <c r="L90" i="320" s="1"/>
  <c r="D89" i="320"/>
  <c r="L89" i="320" s="1"/>
  <c r="B87" i="320"/>
  <c r="D82" i="320"/>
  <c r="L82" i="320" s="1"/>
  <c r="D81" i="320"/>
  <c r="L81" i="320" s="1"/>
  <c r="B79" i="320"/>
  <c r="D72" i="320"/>
  <c r="L72" i="320" s="1"/>
  <c r="D71" i="320"/>
  <c r="L71" i="320" s="1"/>
  <c r="B69" i="320"/>
  <c r="D64" i="320"/>
  <c r="L64" i="320" s="1"/>
  <c r="D63" i="320"/>
  <c r="L63" i="320" s="1"/>
  <c r="B61" i="320"/>
  <c r="D56" i="320"/>
  <c r="L56" i="320" s="1"/>
  <c r="L55" i="320" s="1"/>
  <c r="B54" i="320"/>
  <c r="D45" i="320"/>
  <c r="L45" i="320" s="1"/>
  <c r="L44" i="320" s="1"/>
  <c r="B43" i="320"/>
  <c r="D38" i="320"/>
  <c r="L38" i="320" s="1"/>
  <c r="L37" i="320" s="1"/>
  <c r="B36" i="320"/>
  <c r="D31" i="320"/>
  <c r="L31" i="320" s="1"/>
  <c r="L30" i="320" s="1"/>
  <c r="B29" i="320"/>
  <c r="D20" i="320"/>
  <c r="L20" i="320" s="1"/>
  <c r="L19" i="320" s="1"/>
  <c r="B18" i="320"/>
  <c r="D13" i="320"/>
  <c r="L13" i="320" s="1"/>
  <c r="L12" i="320" s="1"/>
  <c r="B11" i="320"/>
  <c r="D6" i="320"/>
  <c r="L6" i="320" s="1"/>
  <c r="L5" i="320" s="1"/>
  <c r="B4" i="320"/>
  <c r="L80" i="320" l="1"/>
  <c r="L62" i="320"/>
  <c r="L88" i="320"/>
  <c r="I169" i="320"/>
  <c r="I173" i="320"/>
  <c r="L70" i="320"/>
  <c r="M5" i="8" l="1"/>
  <c r="A128" i="474" l="1"/>
  <c r="A129" i="475"/>
  <c r="A31" i="467" l="1"/>
  <c r="A26" i="476"/>
  <c r="B77" i="462"/>
  <c r="A129" i="474"/>
  <c r="A130" i="475"/>
  <c r="A91" i="474"/>
  <c r="A92" i="475"/>
  <c r="B374" i="462"/>
  <c r="B439" i="462"/>
  <c r="B421" i="462"/>
  <c r="E31" i="467" l="1"/>
  <c r="D26" i="476"/>
  <c r="G26" i="476"/>
  <c r="P26" i="481"/>
  <c r="K26" i="481"/>
  <c r="Q26" i="481"/>
  <c r="L26" i="481"/>
  <c r="O26" i="481"/>
  <c r="M26" i="481"/>
  <c r="R26" i="481"/>
  <c r="I26" i="481"/>
  <c r="J26" i="481"/>
  <c r="N26" i="481"/>
  <c r="H26" i="481"/>
  <c r="G26" i="481"/>
  <c r="F146" i="320" l="1"/>
  <c r="K146" i="320" s="1"/>
  <c r="F147" i="320" s="1"/>
  <c r="K147" i="320" s="1"/>
  <c r="K144" i="320" s="1"/>
  <c r="F264" i="320"/>
  <c r="K264" i="320" s="1"/>
  <c r="F265" i="320" s="1"/>
  <c r="K265" i="320" s="1"/>
  <c r="K262" i="320" s="1"/>
  <c r="F232" i="320"/>
  <c r="K232" i="320" s="1"/>
  <c r="F233" i="320" s="1"/>
  <c r="K233" i="320" s="1"/>
  <c r="K230" i="320" s="1"/>
  <c r="F32" i="320"/>
  <c r="K32" i="320" s="1"/>
  <c r="F83" i="320"/>
  <c r="K83" i="320" s="1"/>
  <c r="F121" i="320"/>
  <c r="K121" i="320" s="1"/>
  <c r="F207" i="320"/>
  <c r="K207" i="320" s="1"/>
  <c r="F208" i="320" s="1"/>
  <c r="K208" i="320" s="1"/>
  <c r="K205" i="320" s="1"/>
  <c r="F21" i="320"/>
  <c r="K21" i="320" s="1"/>
  <c r="F257" i="320"/>
  <c r="K257" i="320" s="1"/>
  <c r="F114" i="320"/>
  <c r="K114" i="320" s="1"/>
  <c r="F115" i="320" s="1"/>
  <c r="K115" i="320" s="1"/>
  <c r="K112" i="320" s="1"/>
  <c r="F65" i="320"/>
  <c r="K65" i="320" s="1"/>
  <c r="F66" i="320" s="1"/>
  <c r="K66" i="320" s="1"/>
  <c r="K62" i="320" s="1"/>
  <c r="F7" i="320"/>
  <c r="K7" i="320" s="1"/>
  <c r="F246" i="320"/>
  <c r="K246" i="320" s="1"/>
  <c r="F39" i="320"/>
  <c r="K39" i="320" s="1"/>
  <c r="F57" i="320"/>
  <c r="K57" i="320" s="1"/>
  <c r="F132" i="320"/>
  <c r="K132" i="320" s="1"/>
  <c r="F239" i="320"/>
  <c r="K239" i="320" s="1"/>
  <c r="F240" i="320" s="1"/>
  <c r="K240" i="320" s="1"/>
  <c r="K237" i="320" s="1"/>
  <c r="F214" i="320"/>
  <c r="K214" i="320" s="1"/>
  <c r="F215" i="320" s="1"/>
  <c r="K215" i="320" s="1"/>
  <c r="K212" i="320" s="1"/>
  <c r="F73" i="320"/>
  <c r="K73" i="320" s="1"/>
  <c r="F182" i="320"/>
  <c r="K182" i="320" s="1"/>
  <c r="F14" i="320"/>
  <c r="K14" i="320" s="1"/>
  <c r="F15" i="320" s="1"/>
  <c r="K15" i="320" s="1"/>
  <c r="K12" i="320" s="1"/>
  <c r="F271" i="320"/>
  <c r="K271" i="320" s="1"/>
  <c r="F272" i="320" s="1"/>
  <c r="K272" i="320" s="1"/>
  <c r="K269" i="320" s="1"/>
  <c r="F91" i="320"/>
  <c r="K91" i="320" s="1"/>
  <c r="F92" i="320" s="1"/>
  <c r="K92" i="320" s="1"/>
  <c r="K88" i="320" s="1"/>
  <c r="F196" i="320"/>
  <c r="K196" i="320" s="1"/>
  <c r="F197" i="320" s="1"/>
  <c r="K197" i="320" s="1"/>
  <c r="K194" i="320" s="1"/>
  <c r="F189" i="320"/>
  <c r="K189" i="320" s="1"/>
  <c r="F46" i="320"/>
  <c r="K46" i="320" s="1"/>
  <c r="F47" i="320" s="1"/>
  <c r="K47" i="320" s="1"/>
  <c r="K44" i="320" s="1"/>
  <c r="F139" i="320"/>
  <c r="K139" i="320" s="1"/>
  <c r="F140" i="320" s="1"/>
  <c r="K140" i="320" s="1"/>
  <c r="K137" i="320" s="1"/>
  <c r="F221" i="320"/>
  <c r="K221" i="320" s="1"/>
  <c r="F222" i="320" s="1"/>
  <c r="K222" i="320" s="1"/>
  <c r="K219" i="320" s="1"/>
  <c r="F282" i="320"/>
  <c r="K282" i="320" s="1"/>
  <c r="F283" i="320" s="1"/>
  <c r="K283" i="320" s="1"/>
  <c r="K280" i="320" s="1"/>
  <c r="I280" i="320" s="1"/>
  <c r="F107" i="320"/>
  <c r="K107" i="320" s="1"/>
  <c r="F98" i="320"/>
  <c r="K98" i="320" s="1"/>
  <c r="F157" i="320"/>
  <c r="K157" i="320" s="1"/>
  <c r="F164" i="320"/>
  <c r="K164" i="320" s="1"/>
  <c r="F108" i="320" l="1"/>
  <c r="K108" i="320" s="1"/>
  <c r="K105" i="320" s="1"/>
  <c r="F247" i="320"/>
  <c r="K247" i="320" s="1"/>
  <c r="K244" i="320" s="1"/>
  <c r="F258" i="320"/>
  <c r="K258" i="320" s="1"/>
  <c r="K255" i="320" s="1"/>
  <c r="F84" i="320"/>
  <c r="K84" i="320" s="1"/>
  <c r="K80" i="320" s="1"/>
  <c r="F158" i="320"/>
  <c r="K158" i="320" s="1"/>
  <c r="K155" i="320" s="1"/>
  <c r="F183" i="320"/>
  <c r="K183" i="320" s="1"/>
  <c r="K180" i="320" s="1"/>
  <c r="F133" i="320"/>
  <c r="K133" i="320" s="1"/>
  <c r="K130" i="320" s="1"/>
  <c r="F8" i="320"/>
  <c r="K8" i="320" s="1"/>
  <c r="K5" i="320" s="1"/>
  <c r="F22" i="320"/>
  <c r="K22" i="320" s="1"/>
  <c r="K19" i="320" s="1"/>
  <c r="F33" i="320"/>
  <c r="K33" i="320" s="1"/>
  <c r="K30" i="320" s="1"/>
  <c r="F190" i="320"/>
  <c r="K190" i="320" s="1"/>
  <c r="K187" i="320" s="1"/>
  <c r="F99" i="320"/>
  <c r="K99" i="320" s="1"/>
  <c r="K96" i="320" s="1"/>
  <c r="F74" i="320"/>
  <c r="K74" i="320" s="1"/>
  <c r="K70" i="320" s="1"/>
  <c r="F58" i="320"/>
  <c r="K58" i="320" s="1"/>
  <c r="K55" i="320" s="1"/>
  <c r="F40" i="320"/>
  <c r="K40" i="320" s="1"/>
  <c r="K37" i="320" s="1"/>
  <c r="F122" i="320"/>
  <c r="K122" i="320" s="1"/>
  <c r="K119" i="320" s="1"/>
  <c r="F165" i="320"/>
  <c r="K165" i="320" s="1"/>
  <c r="K162" i="320" s="1"/>
  <c r="B8" i="433" l="1"/>
  <c r="M1170" i="322" l="1"/>
  <c r="AE1170" i="322" s="1"/>
  <c r="AX1166" i="322"/>
  <c r="BN1168" i="322" s="1"/>
  <c r="AL1166" i="322"/>
  <c r="BJ1168" i="322" s="1"/>
  <c r="Y1166" i="322"/>
  <c r="BE1168" i="322" s="1"/>
  <c r="M1166" i="322"/>
  <c r="BA1168" i="322" s="1"/>
  <c r="AV1163" i="322"/>
  <c r="AB1163" i="322"/>
  <c r="Z1160" i="322"/>
  <c r="BB1160" i="322" s="1"/>
  <c r="AZ1154" i="322"/>
  <c r="AU1170" i="322" s="1"/>
  <c r="AO1154" i="322"/>
  <c r="AE1156" i="322" s="1"/>
  <c r="Y1154" i="322"/>
  <c r="Z1156" i="322" s="1"/>
  <c r="L1154" i="322"/>
  <c r="AP1152" i="322"/>
  <c r="AP1164" i="322" s="1"/>
  <c r="Y1152" i="322"/>
  <c r="AI1164" i="322" s="1"/>
  <c r="L1152" i="322"/>
  <c r="AP1162" i="322" s="1"/>
  <c r="M1145" i="322"/>
  <c r="AL1145" i="322" s="1"/>
  <c r="AB1143" i="322"/>
  <c r="AY1147" i="322" s="1"/>
  <c r="M1143" i="322"/>
  <c r="BJ1145" i="322" s="1"/>
  <c r="AX1141" i="322"/>
  <c r="AT1158" i="322" s="1"/>
  <c r="AC1141" i="322"/>
  <c r="Y1141" i="322"/>
  <c r="M1141" i="322"/>
  <c r="AX1117" i="322"/>
  <c r="BN1119" i="322" s="1"/>
  <c r="L1047" i="322"/>
  <c r="AD952" i="322"/>
  <c r="AD951" i="322"/>
  <c r="AD950" i="322"/>
  <c r="Z760" i="322"/>
  <c r="Z759" i="322"/>
  <c r="Z758" i="322"/>
  <c r="AE706" i="322"/>
  <c r="AX705" i="322"/>
  <c r="AE705" i="322"/>
  <c r="BF705" i="322" s="1"/>
  <c r="V705" i="322"/>
  <c r="AE704" i="322"/>
  <c r="R700" i="322"/>
  <c r="AO700" i="322" s="1"/>
  <c r="L700" i="322"/>
  <c r="AI700" i="322" s="1"/>
  <c r="X696" i="322"/>
  <c r="AP696" i="322" s="1"/>
  <c r="U696" i="322"/>
  <c r="AM696" i="322" s="1"/>
  <c r="AD695" i="322"/>
  <c r="BB697" i="322" s="1"/>
  <c r="L695" i="322"/>
  <c r="AX697" i="322" s="1"/>
  <c r="AD694" i="322"/>
  <c r="AE698" i="322" s="1"/>
  <c r="L694" i="322"/>
  <c r="AP693" i="322"/>
  <c r="AX700" i="322" s="1"/>
  <c r="Y693" i="322"/>
  <c r="AH696" i="322" s="1"/>
  <c r="K693" i="322"/>
  <c r="Q670" i="322"/>
  <c r="Q669" i="322"/>
  <c r="Y670" i="322"/>
  <c r="Y669" i="322"/>
  <c r="AG665" i="322"/>
  <c r="W665" i="322"/>
  <c r="AM664" i="322"/>
  <c r="AF664" i="322"/>
  <c r="AF660" i="322"/>
  <c r="AF659" i="322"/>
  <c r="AF658" i="322"/>
  <c r="S650" i="322"/>
  <c r="T648" i="322"/>
  <c r="AE670" i="322" s="1"/>
  <c r="K618" i="322"/>
  <c r="AB616" i="322"/>
  <c r="K599" i="322"/>
  <c r="AU696" i="322" l="1"/>
  <c r="AO697" i="322" s="1"/>
  <c r="AX1145" i="322"/>
  <c r="AK1156" i="322"/>
  <c r="AI1170" i="322" s="1"/>
  <c r="BH1160" i="322"/>
  <c r="AI1141" i="322"/>
  <c r="AO1170" i="322" s="1"/>
  <c r="W1156" i="322"/>
  <c r="AC1174" i="322"/>
  <c r="AM1158" i="322"/>
  <c r="AM1160" i="322"/>
  <c r="AI1162" i="322"/>
  <c r="BA1163" i="322"/>
  <c r="AV1168" i="322" s="1"/>
  <c r="AS1145" i="322"/>
  <c r="AK697" i="322"/>
  <c r="AS697" i="322"/>
  <c r="AD696" i="322"/>
  <c r="AT664" i="322"/>
  <c r="AL670" i="322"/>
  <c r="K650" i="322"/>
  <c r="Y650" i="322" s="1"/>
  <c r="AE669" i="322"/>
  <c r="AL669" i="322" s="1"/>
  <c r="L421" i="322"/>
  <c r="BG697" i="322" l="1"/>
  <c r="AP698" i="322" s="1"/>
  <c r="BC1158" i="322"/>
  <c r="AS1160" i="322" s="1"/>
  <c r="B79" i="472"/>
  <c r="B56" i="472"/>
  <c r="BR1146" i="322"/>
  <c r="BD1145" i="322"/>
  <c r="AD1158" i="322"/>
  <c r="Q671" i="322"/>
  <c r="EN671" i="322" s="1"/>
  <c r="AF674" i="322" s="1"/>
  <c r="Y652" i="322"/>
  <c r="Y653" i="322"/>
  <c r="Y660" i="322"/>
  <c r="Y659" i="322"/>
  <c r="Y658" i="322"/>
  <c r="Y654" i="322"/>
  <c r="AK698" i="322" l="1"/>
  <c r="AQ702" i="322"/>
  <c r="AB698" i="322"/>
  <c r="BE701" i="322"/>
  <c r="V704" i="322" s="1"/>
  <c r="BQ1160" i="322"/>
  <c r="BS1168" i="322" s="1"/>
  <c r="BA1171" i="322" s="1"/>
  <c r="BJ705" i="322"/>
  <c r="EM671" i="322"/>
  <c r="P654" i="322"/>
  <c r="AD654" i="322" s="1"/>
  <c r="EP655" i="322" s="1"/>
  <c r="Q676" i="322" s="1"/>
  <c r="M706" i="322"/>
  <c r="AL1172" i="322" l="1"/>
  <c r="V706" i="322"/>
  <c r="AL706" i="322"/>
  <c r="EP707" i="322" s="1"/>
  <c r="X712" i="322" s="1"/>
  <c r="AQ1168" i="322"/>
  <c r="V1174" i="322"/>
  <c r="AI1174" i="322"/>
  <c r="M705" i="322"/>
  <c r="P653" i="322"/>
  <c r="AD653" i="322" s="1"/>
  <c r="EO655" i="322" s="1"/>
  <c r="Q675" i="322" s="1"/>
  <c r="AQ705" i="322" l="1"/>
  <c r="BN705" i="322"/>
  <c r="EO707" i="322" s="1"/>
  <c r="X711" i="322" s="1"/>
  <c r="AC1176" i="322"/>
  <c r="AC1177" i="322"/>
  <c r="AC1178" i="322"/>
  <c r="F31" i="304" l="1"/>
  <c r="ES5" i="322" l="1"/>
  <c r="ES22" i="322"/>
  <c r="ES55" i="322"/>
  <c r="ES103" i="322"/>
  <c r="ES135" i="322"/>
  <c r="ES152" i="322"/>
  <c r="ES166" i="322"/>
  <c r="ES201" i="322"/>
  <c r="ES250" i="322"/>
  <c r="ES299" i="322"/>
  <c r="ES348" i="322"/>
  <c r="ES398" i="322"/>
  <c r="ES1188" i="322"/>
  <c r="ES1139" i="322"/>
  <c r="ES1090" i="322"/>
  <c r="ES1041" i="322"/>
  <c r="ES983" i="322"/>
  <c r="ES934" i="322"/>
  <c r="P617" i="472" s="1"/>
  <c r="ES887" i="322"/>
  <c r="P613" i="472" s="1"/>
  <c r="ES839" i="322"/>
  <c r="ES790" i="322"/>
  <c r="P605" i="472" s="1"/>
  <c r="ES742" i="322"/>
  <c r="P600" i="472" s="1"/>
  <c r="ES644" i="322"/>
  <c r="P582" i="472" s="1"/>
  <c r="ES595" i="322"/>
  <c r="P586" i="472" s="1"/>
  <c r="ES548" i="322"/>
  <c r="ES495" i="322"/>
  <c r="ES447" i="322"/>
  <c r="AI369" i="322"/>
  <c r="AG364" i="322"/>
  <c r="AG363" i="322"/>
  <c r="AG362" i="322"/>
  <c r="M377" i="322"/>
  <c r="AJ377" i="322" s="1"/>
  <c r="AR375" i="322"/>
  <c r="BJ377" i="322" s="1"/>
  <c r="AC375" i="322"/>
  <c r="AZ377" i="322" s="1"/>
  <c r="L375" i="322"/>
  <c r="AW379" i="322" s="1"/>
  <c r="AR373" i="322"/>
  <c r="BE377" i="322" s="1"/>
  <c r="AC373" i="322"/>
  <c r="AT377" i="322" s="1"/>
  <c r="L373" i="322"/>
  <c r="Z369" i="322"/>
  <c r="P369" i="322"/>
  <c r="M358" i="322"/>
  <c r="AJ358" i="322" s="1"/>
  <c r="AQ356" i="322"/>
  <c r="AV360" i="322" s="1"/>
  <c r="X356" i="322"/>
  <c r="R356" i="322"/>
  <c r="M356" i="322"/>
  <c r="BD354" i="322"/>
  <c r="AV358" i="322" s="1"/>
  <c r="AH354" i="322"/>
  <c r="AA354" i="322"/>
  <c r="L354" i="322"/>
  <c r="B348" i="322"/>
  <c r="B250" i="322"/>
  <c r="AX228" i="322"/>
  <c r="AS232" i="322" s="1"/>
  <c r="AL228" i="322"/>
  <c r="BE230" i="322" s="1"/>
  <c r="Z228" i="322"/>
  <c r="BB230" i="322" s="1"/>
  <c r="L228" i="322"/>
  <c r="AV230" i="322" s="1"/>
  <c r="AT226" i="322"/>
  <c r="AN230" i="322" s="1"/>
  <c r="T226" i="322"/>
  <c r="L226" i="322"/>
  <c r="AI222" i="322"/>
  <c r="Z222" i="322"/>
  <c r="P222" i="322"/>
  <c r="AF217" i="322"/>
  <c r="AF216" i="322"/>
  <c r="AF215" i="322"/>
  <c r="M211" i="322"/>
  <c r="AJ211" i="322" s="1"/>
  <c r="AQ209" i="322"/>
  <c r="AV213" i="322" s="1"/>
  <c r="X209" i="322"/>
  <c r="R209" i="322"/>
  <c r="M209" i="322"/>
  <c r="BD207" i="322"/>
  <c r="AV211" i="322" s="1"/>
  <c r="AH207" i="322"/>
  <c r="AA207" i="322"/>
  <c r="L207" i="322"/>
  <c r="C201" i="322"/>
  <c r="P576" i="472" l="1"/>
  <c r="P561" i="472"/>
  <c r="P320" i="472"/>
  <c r="P559" i="472"/>
  <c r="P577" i="472"/>
  <c r="P562" i="472"/>
  <c r="P568" i="472"/>
  <c r="P324" i="472"/>
  <c r="P567" i="472"/>
  <c r="AO354" i="322"/>
  <c r="BA358" i="322" s="1"/>
  <c r="AA226" i="322"/>
  <c r="BL231" i="322" s="1"/>
  <c r="BO378" i="322"/>
  <c r="AC383" i="322" s="1"/>
  <c r="AO207" i="322"/>
  <c r="BA211" i="322" s="1"/>
  <c r="AB356" i="322"/>
  <c r="BG358" i="322" s="1"/>
  <c r="AO369" i="322"/>
  <c r="EN369" i="322" s="1"/>
  <c r="EM369" i="322" s="1"/>
  <c r="AQ377" i="322"/>
  <c r="AQ358" i="322"/>
  <c r="AO222" i="322"/>
  <c r="EN222" i="322" s="1"/>
  <c r="EM222" i="322" s="1"/>
  <c r="AB209" i="322"/>
  <c r="BG211" i="322" s="1"/>
  <c r="AQ211" i="322"/>
  <c r="AF230" i="322" l="1"/>
  <c r="AC382" i="322"/>
  <c r="BL359" i="322"/>
  <c r="Z362" i="322" s="1"/>
  <c r="AC381" i="322"/>
  <c r="Z388" i="322"/>
  <c r="Z241" i="322"/>
  <c r="BL212" i="322"/>
  <c r="Z217" i="322" s="1"/>
  <c r="Z235" i="322"/>
  <c r="Z236" i="322"/>
  <c r="Z234" i="322"/>
  <c r="Z363" i="322" l="1"/>
  <c r="Z364" i="322"/>
  <c r="Z215" i="322"/>
  <c r="Z216" i="322"/>
  <c r="A57" i="475" l="1"/>
  <c r="A56" i="474"/>
  <c r="B310" i="472"/>
  <c r="B86" i="472"/>
  <c r="B63" i="472"/>
  <c r="B438" i="462"/>
  <c r="B418" i="462"/>
  <c r="B371" i="462"/>
  <c r="A23" i="474" l="1"/>
  <c r="A23" i="475"/>
  <c r="A26" i="475" l="1"/>
  <c r="A26" i="474"/>
  <c r="I75" i="433"/>
  <c r="H31" i="304" l="1"/>
  <c r="I31" i="304" s="1"/>
  <c r="J31" i="304"/>
  <c r="K31" i="304" l="1"/>
  <c r="K34" i="304" s="1"/>
  <c r="K35" i="304" l="1"/>
  <c r="K37" i="304" l="1"/>
  <c r="AK1198" i="322"/>
  <c r="AB1198" i="322"/>
  <c r="AU1196" i="322"/>
  <c r="A19" i="474" l="1"/>
  <c r="A19" i="475"/>
  <c r="A21" i="475"/>
  <c r="A21" i="474"/>
  <c r="M78" i="359"/>
  <c r="J78" i="359"/>
  <c r="W76" i="359"/>
  <c r="J75" i="359"/>
  <c r="W75" i="359" s="1"/>
  <c r="J74" i="359"/>
  <c r="W74" i="359" s="1"/>
  <c r="J73" i="359"/>
  <c r="W73" i="359" s="1"/>
  <c r="J72" i="359"/>
  <c r="W72" i="359" s="1"/>
  <c r="M71" i="359"/>
  <c r="J71" i="359"/>
  <c r="M70" i="359"/>
  <c r="J70" i="359"/>
  <c r="M69" i="359"/>
  <c r="J69" i="359"/>
  <c r="J68" i="359"/>
  <c r="M67" i="359"/>
  <c r="J67" i="359"/>
  <c r="W66" i="359"/>
  <c r="D63" i="359"/>
  <c r="M68" i="359" s="1"/>
  <c r="G19" i="475" l="1"/>
  <c r="E19" i="475"/>
  <c r="D19" i="475"/>
  <c r="W71" i="359"/>
  <c r="W70" i="359"/>
  <c r="M77" i="359" s="1"/>
  <c r="W69" i="359"/>
  <c r="W78" i="359"/>
  <c r="W67" i="359"/>
  <c r="W68" i="359"/>
  <c r="J77" i="359" l="1"/>
  <c r="W77" i="359" s="1"/>
  <c r="A20" i="474" l="1"/>
  <c r="A20" i="475"/>
  <c r="B6" i="472"/>
  <c r="G20" i="475" l="1"/>
  <c r="D20" i="475"/>
  <c r="E20" i="475"/>
  <c r="X1007" i="322" l="1"/>
  <c r="AR941" i="322"/>
  <c r="O941" i="322"/>
  <c r="AK941" i="322" s="1"/>
  <c r="B63" i="157" l="1"/>
  <c r="B48" i="157"/>
  <c r="B647" i="472"/>
  <c r="B639" i="472"/>
  <c r="B83" i="472" l="1"/>
  <c r="B60" i="472"/>
  <c r="B749" i="472"/>
  <c r="M285" i="359" l="1"/>
  <c r="J285" i="359"/>
  <c r="W283" i="359"/>
  <c r="M279" i="359"/>
  <c r="J279" i="359"/>
  <c r="M278" i="359"/>
  <c r="J278" i="359"/>
  <c r="M277" i="359"/>
  <c r="J277" i="359"/>
  <c r="M276" i="359"/>
  <c r="J276" i="359"/>
  <c r="J275" i="359"/>
  <c r="M274" i="359"/>
  <c r="J274" i="359"/>
  <c r="W273" i="359"/>
  <c r="D270" i="359"/>
  <c r="M275" i="359" s="1"/>
  <c r="W275" i="359" s="1"/>
  <c r="M40" i="359"/>
  <c r="J40" i="359"/>
  <c r="W38" i="359"/>
  <c r="J36" i="359"/>
  <c r="W36" i="359" s="1"/>
  <c r="J35" i="359"/>
  <c r="W35" i="359" s="1"/>
  <c r="J33" i="359"/>
  <c r="W33" i="359" s="1"/>
  <c r="J32" i="359"/>
  <c r="W32" i="359" s="1"/>
  <c r="M31" i="359"/>
  <c r="J31" i="359"/>
  <c r="M30" i="359"/>
  <c r="J30" i="359"/>
  <c r="M29" i="359"/>
  <c r="J29" i="359"/>
  <c r="J28" i="359"/>
  <c r="M27" i="359"/>
  <c r="J27" i="359"/>
  <c r="W26" i="359"/>
  <c r="D23" i="359"/>
  <c r="M28" i="359" s="1"/>
  <c r="G53" i="472" l="1"/>
  <c r="G63" i="472"/>
  <c r="W278" i="359"/>
  <c r="G59" i="472"/>
  <c r="G61" i="472"/>
  <c r="G60" i="472"/>
  <c r="G62" i="472"/>
  <c r="W40" i="359"/>
  <c r="W27" i="359"/>
  <c r="W31" i="359"/>
  <c r="W277" i="359"/>
  <c r="M284" i="359" s="1"/>
  <c r="W279" i="359"/>
  <c r="W276" i="359"/>
  <c r="W29" i="359"/>
  <c r="W30" i="359"/>
  <c r="W274" i="359"/>
  <c r="W285" i="359"/>
  <c r="J284" i="359"/>
  <c r="W28" i="359"/>
  <c r="G55" i="472" l="1"/>
  <c r="G57" i="472"/>
  <c r="W284" i="359"/>
  <c r="G58" i="472"/>
  <c r="G56" i="472"/>
  <c r="G54" i="472"/>
  <c r="G66" i="472"/>
  <c r="G65" i="472"/>
  <c r="K67" i="475" s="1"/>
  <c r="M39" i="359"/>
  <c r="J39" i="359"/>
  <c r="W39" i="359" l="1"/>
  <c r="G64" i="472" l="1"/>
  <c r="B954" i="472" l="1"/>
  <c r="B947" i="472"/>
  <c r="B717" i="472" l="1"/>
  <c r="B726" i="472"/>
  <c r="B231" i="472"/>
  <c r="B961" i="472"/>
  <c r="B220" i="472"/>
  <c r="B763" i="472" l="1"/>
  <c r="B740" i="472"/>
  <c r="B756" i="472"/>
  <c r="A8" i="478"/>
  <c r="A17" i="475"/>
  <c r="A17" i="474"/>
  <c r="B786" i="472"/>
  <c r="F8" i="478" l="1"/>
  <c r="E8" i="478"/>
  <c r="G8" i="478"/>
  <c r="B329" i="472" l="1"/>
  <c r="B289" i="472"/>
  <c r="B50" i="157" l="1"/>
  <c r="B35" i="157"/>
  <c r="G311" i="472" l="1"/>
  <c r="B441" i="472"/>
  <c r="G306" i="472"/>
  <c r="G308" i="472" l="1"/>
  <c r="K311" i="472"/>
  <c r="I311" i="472"/>
  <c r="O311" i="472" l="1"/>
  <c r="G307" i="472"/>
  <c r="G309" i="472"/>
  <c r="B393" i="472" l="1"/>
  <c r="B452" i="472"/>
  <c r="A66" i="475" l="1"/>
  <c r="A120" i="475"/>
  <c r="A119" i="474"/>
  <c r="A65" i="474"/>
  <c r="A18" i="475"/>
  <c r="A18" i="474"/>
  <c r="A121" i="475"/>
  <c r="A120" i="474"/>
  <c r="A66" i="474"/>
  <c r="A67" i="475"/>
  <c r="B305" i="472"/>
  <c r="B52" i="472"/>
  <c r="B429" i="472"/>
  <c r="B630" i="472"/>
  <c r="B416" i="472"/>
  <c r="B403" i="472"/>
  <c r="B770" i="472" l="1"/>
  <c r="A9" i="478"/>
  <c r="D8" i="478"/>
  <c r="I8" i="478" s="1"/>
  <c r="A24" i="474"/>
  <c r="A24" i="475"/>
  <c r="A11" i="474"/>
  <c r="A11" i="475"/>
  <c r="A15" i="474"/>
  <c r="A15" i="475"/>
  <c r="B29" i="472"/>
  <c r="B777" i="472"/>
  <c r="E9" i="478" l="1"/>
  <c r="F9" i="478"/>
  <c r="G9" i="478"/>
  <c r="D9" i="478"/>
  <c r="D10" i="478"/>
  <c r="I10" i="478" s="1"/>
  <c r="D7" i="478"/>
  <c r="F7" i="478"/>
  <c r="G7" i="478"/>
  <c r="E7" i="478"/>
  <c r="D21" i="475"/>
  <c r="D23" i="475"/>
  <c r="H11" i="475"/>
  <c r="H12" i="475"/>
  <c r="D18" i="475"/>
  <c r="D11" i="475"/>
  <c r="D12" i="475"/>
  <c r="D25" i="475"/>
  <c r="D16" i="475"/>
  <c r="D32" i="475"/>
  <c r="D10" i="475"/>
  <c r="D8" i="475"/>
  <c r="D7" i="475"/>
  <c r="D24" i="475"/>
  <c r="D28" i="475"/>
  <c r="D9" i="475"/>
  <c r="D26" i="475"/>
  <c r="D15" i="475"/>
  <c r="D29" i="475"/>
  <c r="D31" i="475"/>
  <c r="D30" i="475"/>
  <c r="D27" i="475"/>
  <c r="D17" i="475"/>
  <c r="T50" i="157"/>
  <c r="I9" i="478" l="1"/>
  <c r="I7" i="478"/>
  <c r="A22" i="475" l="1"/>
  <c r="A22" i="474"/>
  <c r="B435" i="462"/>
  <c r="D22" i="475" l="1"/>
  <c r="E27" i="475"/>
  <c r="E21" i="475"/>
  <c r="E26" i="475"/>
  <c r="E17" i="475"/>
  <c r="E9" i="475"/>
  <c r="E16" i="475"/>
  <c r="E24" i="475"/>
  <c r="E31" i="475"/>
  <c r="E28" i="475"/>
  <c r="E7" i="475"/>
  <c r="E32" i="475"/>
  <c r="E23" i="475"/>
  <c r="E10" i="475"/>
  <c r="E18" i="475"/>
  <c r="E12" i="475"/>
  <c r="E29" i="475"/>
  <c r="E30" i="475"/>
  <c r="E11" i="475"/>
  <c r="E8" i="475"/>
  <c r="E22" i="475"/>
  <c r="E15" i="475"/>
  <c r="E25" i="475"/>
  <c r="G21" i="475"/>
  <c r="G18" i="475"/>
  <c r="G25" i="475"/>
  <c r="G22" i="475"/>
  <c r="G10" i="475"/>
  <c r="G9" i="475"/>
  <c r="G26" i="475"/>
  <c r="G29" i="475"/>
  <c r="G27" i="475"/>
  <c r="G8" i="475"/>
  <c r="G30" i="475"/>
  <c r="G23" i="475"/>
  <c r="G28" i="475"/>
  <c r="G31" i="475"/>
  <c r="G12" i="475"/>
  <c r="G24" i="475"/>
  <c r="G15" i="475"/>
  <c r="G11" i="475"/>
  <c r="G32" i="475"/>
  <c r="G17" i="475"/>
  <c r="G7" i="475"/>
  <c r="G16" i="475"/>
  <c r="J436" i="472" l="1"/>
  <c r="K436" i="472" s="1"/>
  <c r="O436" i="472" s="1"/>
  <c r="J121" i="472"/>
  <c r="K121" i="472" s="1"/>
  <c r="O121" i="472" s="1"/>
  <c r="A63" i="474" l="1"/>
  <c r="A64" i="475"/>
  <c r="P250" i="157" l="1"/>
  <c r="B246" i="157"/>
  <c r="B230" i="157" s="1"/>
  <c r="P240" i="157"/>
  <c r="M240" i="157"/>
  <c r="J240" i="157"/>
  <c r="H240" i="157"/>
  <c r="L233" i="157"/>
  <c r="H233" i="157"/>
  <c r="L232" i="157"/>
  <c r="H232" i="157"/>
  <c r="O228" i="157"/>
  <c r="O232" i="157" s="1"/>
  <c r="P252" i="157"/>
  <c r="P248" i="157"/>
  <c r="L228" i="157" l="1"/>
  <c r="L229" i="157"/>
  <c r="P234" i="157"/>
  <c r="P238" i="157" s="1"/>
  <c r="H229" i="157"/>
  <c r="H228" i="157"/>
  <c r="P230" i="157" l="1"/>
  <c r="P236" i="157" s="1"/>
  <c r="P122" i="157" l="1"/>
  <c r="B118" i="157"/>
  <c r="B102" i="157" s="1"/>
  <c r="P112" i="157"/>
  <c r="M112" i="157"/>
  <c r="J112" i="157"/>
  <c r="H112" i="157"/>
  <c r="L105" i="157"/>
  <c r="H105" i="157"/>
  <c r="L104" i="157"/>
  <c r="H104" i="157"/>
  <c r="O100" i="157"/>
  <c r="O104" i="157" s="1"/>
  <c r="P124" i="157"/>
  <c r="P120" i="157"/>
  <c r="L100" i="157" l="1"/>
  <c r="L101" i="157"/>
  <c r="H101" i="157"/>
  <c r="H100" i="157"/>
  <c r="P106" i="157"/>
  <c r="P110" i="157" s="1"/>
  <c r="P102" i="157" l="1"/>
  <c r="P108" i="157" s="1"/>
  <c r="D26" i="327" l="1"/>
  <c r="D25" i="327"/>
  <c r="G24" i="327"/>
  <c r="L24" i="327" s="1"/>
  <c r="G23" i="327"/>
  <c r="L23" i="327" s="1"/>
  <c r="D31" i="327"/>
  <c r="D30" i="327"/>
  <c r="G29" i="327"/>
  <c r="L29" i="327" s="1"/>
  <c r="G28" i="327"/>
  <c r="L28" i="327" s="1"/>
  <c r="G11" i="327"/>
  <c r="A36" i="481" l="1"/>
  <c r="B184" i="462"/>
  <c r="B232" i="462"/>
  <c r="A9" i="477"/>
  <c r="A59" i="474"/>
  <c r="A60" i="475"/>
  <c r="A103" i="474"/>
  <c r="A104" i="475"/>
  <c r="P176" i="157"/>
  <c r="P186" i="157"/>
  <c r="B182" i="157"/>
  <c r="B166" i="157" s="1"/>
  <c r="M176" i="157"/>
  <c r="J176" i="157"/>
  <c r="H176" i="157"/>
  <c r="L169" i="157"/>
  <c r="H169" i="157"/>
  <c r="L168" i="157"/>
  <c r="H168" i="157"/>
  <c r="O164" i="157"/>
  <c r="L137" i="157"/>
  <c r="H137" i="157"/>
  <c r="L136" i="157"/>
  <c r="H136" i="157"/>
  <c r="P188" i="157"/>
  <c r="P184" i="157"/>
  <c r="F9" i="477" l="1"/>
  <c r="F10" i="477"/>
  <c r="G9" i="477"/>
  <c r="G10" i="477"/>
  <c r="E9" i="477"/>
  <c r="E10" i="477"/>
  <c r="L165" i="157"/>
  <c r="L164" i="157"/>
  <c r="H165" i="157"/>
  <c r="H164" i="157"/>
  <c r="O168" i="157"/>
  <c r="P170" i="157" s="1"/>
  <c r="B220" i="157"/>
  <c r="B198" i="157" s="1"/>
  <c r="H197" i="157" s="1"/>
  <c r="P218" i="157"/>
  <c r="B218" i="157"/>
  <c r="B196" i="157" s="1"/>
  <c r="H196" i="157" s="1"/>
  <c r="J210" i="157"/>
  <c r="H210" i="157"/>
  <c r="F207" i="157"/>
  <c r="M210" i="157" s="1"/>
  <c r="L206" i="157"/>
  <c r="P201" i="157"/>
  <c r="O200" i="157"/>
  <c r="L200" i="157"/>
  <c r="H200" i="157"/>
  <c r="O196" i="157"/>
  <c r="P220" i="157"/>
  <c r="L196" i="157" l="1"/>
  <c r="P210" i="157"/>
  <c r="P200" i="157"/>
  <c r="P204" i="157" s="1"/>
  <c r="P174" i="157"/>
  <c r="P166" i="157"/>
  <c r="L197" i="157"/>
  <c r="P198" i="157" l="1"/>
  <c r="J206" i="157" s="1"/>
  <c r="P206" i="157" s="1"/>
  <c r="P172" i="157"/>
  <c r="P154" i="157" l="1"/>
  <c r="B150" i="157"/>
  <c r="B134" i="157" s="1"/>
  <c r="P144" i="157"/>
  <c r="M144" i="157"/>
  <c r="J144" i="157"/>
  <c r="H144" i="157"/>
  <c r="O132" i="157"/>
  <c r="O136" i="157" s="1"/>
  <c r="P138" i="157" s="1"/>
  <c r="P152" i="157"/>
  <c r="P156" i="157"/>
  <c r="H133" i="157" l="1"/>
  <c r="H132" i="157"/>
  <c r="L133" i="157"/>
  <c r="L132" i="157"/>
  <c r="P142" i="157"/>
  <c r="P134" i="157" l="1"/>
  <c r="P140" i="157" l="1"/>
  <c r="A32" i="467" l="1"/>
  <c r="A29" i="476" l="1"/>
  <c r="E34" i="467" l="1"/>
  <c r="E36" i="467"/>
  <c r="E33" i="467"/>
  <c r="E35" i="467"/>
  <c r="D29" i="476"/>
  <c r="F290" i="320" l="1"/>
  <c r="J243" i="472" l="1"/>
  <c r="K243" i="472" s="1"/>
  <c r="J517" i="472"/>
  <c r="K517" i="472" s="1"/>
  <c r="J509" i="472"/>
  <c r="K509" i="472" s="1"/>
  <c r="F209" i="320"/>
  <c r="F141" i="320"/>
  <c r="F93" i="320"/>
  <c r="F67" i="320"/>
  <c r="F9" i="320"/>
  <c r="F184" i="320"/>
  <c r="F148" i="320"/>
  <c r="F41" i="320"/>
  <c r="F16" i="320"/>
  <c r="F273" i="320"/>
  <c r="F216" i="320"/>
  <c r="F191" i="320"/>
  <c r="F75" i="320"/>
  <c r="F23" i="320"/>
  <c r="F198" i="320"/>
  <c r="F85" i="320"/>
  <c r="F34" i="320"/>
  <c r="J437" i="472"/>
  <c r="K437" i="472" s="1"/>
  <c r="O437" i="472" s="1"/>
  <c r="J122" i="472"/>
  <c r="K122" i="472" s="1"/>
  <c r="O122" i="472" s="1"/>
  <c r="J938" i="472"/>
  <c r="K938" i="472" s="1"/>
  <c r="J948" i="472"/>
  <c r="K948" i="472" s="1"/>
  <c r="J925" i="472"/>
  <c r="K925" i="472" s="1"/>
  <c r="J915" i="472"/>
  <c r="K915" i="472" s="1"/>
  <c r="J823" i="472"/>
  <c r="K823" i="472" s="1"/>
  <c r="J804" i="472"/>
  <c r="K804" i="472" s="1"/>
  <c r="J795" i="472"/>
  <c r="K795" i="472" s="1"/>
  <c r="J787" i="472"/>
  <c r="K787" i="472" s="1"/>
  <c r="J771" i="472"/>
  <c r="K771" i="472" s="1"/>
  <c r="J487" i="472"/>
  <c r="K487" i="472" s="1"/>
  <c r="J463" i="472"/>
  <c r="K463" i="472" s="1"/>
  <c r="O463" i="472" s="1"/>
  <c r="J443" i="472"/>
  <c r="K443" i="472" s="1"/>
  <c r="J282" i="472"/>
  <c r="K282" i="472" s="1"/>
  <c r="O282" i="472" s="1"/>
  <c r="J213" i="472"/>
  <c r="K213" i="472" s="1"/>
  <c r="J173" i="472"/>
  <c r="K173" i="472" s="1"/>
  <c r="J42" i="472"/>
  <c r="K42" i="472" s="1"/>
  <c r="O42" i="472" s="1"/>
  <c r="J845" i="472"/>
  <c r="K845" i="472" s="1"/>
  <c r="J419" i="472"/>
  <c r="K419" i="472" s="1"/>
  <c r="O419" i="472" s="1"/>
  <c r="J339" i="472"/>
  <c r="K339" i="472" s="1"/>
  <c r="J290" i="472"/>
  <c r="K290" i="472" s="1"/>
  <c r="O290" i="472" s="1"/>
  <c r="J955" i="472"/>
  <c r="K955" i="472" s="1"/>
  <c r="J931" i="472"/>
  <c r="K931" i="472" s="1"/>
  <c r="J833" i="472"/>
  <c r="K833" i="472" s="1"/>
  <c r="J810" i="472"/>
  <c r="K810" i="472" s="1"/>
  <c r="J764" i="472"/>
  <c r="K764" i="472" s="1"/>
  <c r="J631" i="472"/>
  <c r="K631" i="472" s="1"/>
  <c r="J500" i="472"/>
  <c r="K500" i="472" s="1"/>
  <c r="J406" i="472"/>
  <c r="K406" i="472" s="1"/>
  <c r="J370" i="472"/>
  <c r="K370" i="472" s="1"/>
  <c r="J356" i="472"/>
  <c r="K356" i="472" s="1"/>
  <c r="J264" i="472"/>
  <c r="K264" i="472" s="1"/>
  <c r="J252" i="472"/>
  <c r="K252" i="472" s="1"/>
  <c r="J223" i="472"/>
  <c r="K223" i="472" s="1"/>
  <c r="J9" i="472"/>
  <c r="K9" i="472" s="1"/>
  <c r="O9" i="472" s="1"/>
  <c r="J817" i="472"/>
  <c r="K817" i="472" s="1"/>
  <c r="J750" i="472"/>
  <c r="K750" i="472" s="1"/>
  <c r="J640" i="472"/>
  <c r="K640" i="472" s="1"/>
  <c r="J962" i="472"/>
  <c r="K962" i="472" s="1"/>
  <c r="J839" i="472"/>
  <c r="K839" i="472" s="1"/>
  <c r="J778" i="472"/>
  <c r="K778" i="472" s="1"/>
  <c r="J757" i="472"/>
  <c r="K757" i="472" s="1"/>
  <c r="J743" i="472"/>
  <c r="K743" i="472" s="1"/>
  <c r="J729" i="472"/>
  <c r="K729" i="472" s="1"/>
  <c r="J720" i="472"/>
  <c r="K720" i="472" s="1"/>
  <c r="J349" i="472"/>
  <c r="K349" i="472" s="1"/>
  <c r="J275" i="472"/>
  <c r="K275" i="472" s="1"/>
  <c r="J234" i="472"/>
  <c r="K234" i="472" s="1"/>
  <c r="J19" i="472"/>
  <c r="K19" i="472" s="1"/>
  <c r="O19" i="472" s="1"/>
  <c r="J648" i="472"/>
  <c r="K648" i="472" s="1"/>
  <c r="J363" i="472"/>
  <c r="K363" i="472" s="1"/>
  <c r="J258" i="472"/>
  <c r="K258" i="472" s="1"/>
  <c r="J203" i="472"/>
  <c r="K203" i="472" s="1"/>
  <c r="J32" i="472"/>
  <c r="K32" i="472" s="1"/>
  <c r="O32" i="472" s="1"/>
  <c r="F259" i="320"/>
  <c r="F266" i="320"/>
  <c r="F100" i="320"/>
  <c r="F159" i="320"/>
  <c r="F134" i="320"/>
  <c r="F248" i="320"/>
  <c r="F223" i="320"/>
  <c r="F166" i="320"/>
  <c r="F109" i="320"/>
  <c r="J434" i="472"/>
  <c r="K434" i="472" s="1"/>
  <c r="O434" i="472" s="1"/>
  <c r="J119" i="472"/>
  <c r="K119" i="472" s="1"/>
  <c r="O119" i="472" s="1"/>
  <c r="J453" i="472"/>
  <c r="K453" i="472" s="1"/>
  <c r="J397" i="472"/>
  <c r="K397" i="472" s="1"/>
  <c r="O397" i="472" s="1"/>
  <c r="J541" i="472"/>
  <c r="K541" i="472" s="1"/>
  <c r="J396" i="472"/>
  <c r="K396" i="472" s="1"/>
  <c r="J550" i="472"/>
  <c r="K550" i="472" s="1"/>
  <c r="J527" i="472"/>
  <c r="K527" i="472" s="1"/>
  <c r="J454" i="472"/>
  <c r="K454" i="472" s="1"/>
  <c r="O454" i="472" s="1"/>
  <c r="J298" i="472"/>
  <c r="K298" i="472" s="1"/>
  <c r="J135" i="472"/>
  <c r="K135" i="472" s="1"/>
  <c r="J963" i="472"/>
  <c r="K963" i="472" s="1"/>
  <c r="O963" i="472" s="1"/>
  <c r="J939" i="472"/>
  <c r="K939" i="472" s="1"/>
  <c r="O939" i="472" s="1"/>
  <c r="J751" i="472"/>
  <c r="K751" i="472" s="1"/>
  <c r="O751" i="472" s="1"/>
  <c r="J542" i="472"/>
  <c r="K542" i="472" s="1"/>
  <c r="O542" i="472" s="1"/>
  <c r="J518" i="472"/>
  <c r="K518" i="472" s="1"/>
  <c r="O518" i="472" s="1"/>
  <c r="J510" i="472"/>
  <c r="K510" i="472" s="1"/>
  <c r="O510" i="472" s="1"/>
  <c r="J420" i="472"/>
  <c r="K420" i="472" s="1"/>
  <c r="O420" i="472" s="1"/>
  <c r="J364" i="472"/>
  <c r="K364" i="472" s="1"/>
  <c r="O364" i="472" s="1"/>
  <c r="J340" i="472"/>
  <c r="K340" i="472" s="1"/>
  <c r="O340" i="472" s="1"/>
  <c r="J235" i="472"/>
  <c r="K235" i="472" s="1"/>
  <c r="O235" i="472" s="1"/>
  <c r="J204" i="472"/>
  <c r="K204" i="472" s="1"/>
  <c r="O204" i="472" s="1"/>
  <c r="J33" i="472"/>
  <c r="K33" i="472" s="1"/>
  <c r="O33" i="472" s="1"/>
  <c r="J758" i="472"/>
  <c r="K758" i="472" s="1"/>
  <c r="O758" i="472" s="1"/>
  <c r="J721" i="472"/>
  <c r="K721" i="472" s="1"/>
  <c r="O721" i="472" s="1"/>
  <c r="J224" i="472"/>
  <c r="K224" i="472" s="1"/>
  <c r="O224" i="472" s="1"/>
  <c r="J136" i="472"/>
  <c r="K136" i="472" s="1"/>
  <c r="O136" i="472" s="1"/>
  <c r="J20" i="472"/>
  <c r="K20" i="472" s="1"/>
  <c r="O20" i="472" s="1"/>
  <c r="J949" i="472"/>
  <c r="K949" i="472" s="1"/>
  <c r="O949" i="472" s="1"/>
  <c r="J916" i="472"/>
  <c r="K916" i="472" s="1"/>
  <c r="O916" i="472" s="1"/>
  <c r="J805" i="472"/>
  <c r="K805" i="472" s="1"/>
  <c r="O805" i="472" s="1"/>
  <c r="J796" i="472"/>
  <c r="K796" i="472" s="1"/>
  <c r="O796" i="472" s="1"/>
  <c r="J772" i="472"/>
  <c r="K772" i="472" s="1"/>
  <c r="O772" i="472" s="1"/>
  <c r="J464" i="472"/>
  <c r="K464" i="472" s="1"/>
  <c r="O464" i="472" s="1"/>
  <c r="J398" i="472"/>
  <c r="K398" i="472" s="1"/>
  <c r="O398" i="472" s="1"/>
  <c r="J283" i="472"/>
  <c r="K283" i="472" s="1"/>
  <c r="O283" i="472" s="1"/>
  <c r="J43" i="472"/>
  <c r="K43" i="472" s="1"/>
  <c r="O43" i="472" s="1"/>
  <c r="J730" i="472"/>
  <c r="K730" i="472" s="1"/>
  <c r="O730" i="472" s="1"/>
  <c r="J350" i="472"/>
  <c r="K350" i="472" s="1"/>
  <c r="O350" i="472" s="1"/>
  <c r="J299" i="472"/>
  <c r="K299" i="472" s="1"/>
  <c r="O299" i="472" s="1"/>
  <c r="J244" i="472"/>
  <c r="K244" i="472" s="1"/>
  <c r="O244" i="472" s="1"/>
  <c r="J956" i="472"/>
  <c r="K956" i="472" s="1"/>
  <c r="O956" i="472" s="1"/>
  <c r="J932" i="472"/>
  <c r="K932" i="472" s="1"/>
  <c r="O932" i="472" s="1"/>
  <c r="J811" i="472"/>
  <c r="K811" i="472" s="1"/>
  <c r="O811" i="472" s="1"/>
  <c r="J765" i="472"/>
  <c r="K765" i="472" s="1"/>
  <c r="O765" i="472" s="1"/>
  <c r="J632" i="472"/>
  <c r="K632" i="472" s="1"/>
  <c r="O632" i="472" s="1"/>
  <c r="J551" i="472"/>
  <c r="K551" i="472" s="1"/>
  <c r="O551" i="472" s="1"/>
  <c r="J528" i="472"/>
  <c r="K528" i="472" s="1"/>
  <c r="O528" i="472" s="1"/>
  <c r="J455" i="472"/>
  <c r="K455" i="472" s="1"/>
  <c r="O455" i="472" s="1"/>
  <c r="J407" i="472"/>
  <c r="K407" i="472" s="1"/>
  <c r="O407" i="472" s="1"/>
  <c r="J357" i="472"/>
  <c r="K357" i="472" s="1"/>
  <c r="O357" i="472" s="1"/>
  <c r="J214" i="472"/>
  <c r="K214" i="472" s="1"/>
  <c r="O214" i="472" s="1"/>
  <c r="J10" i="472"/>
  <c r="K10" i="472" s="1"/>
  <c r="O10" i="472" s="1"/>
  <c r="J779" i="472"/>
  <c r="K779" i="472" s="1"/>
  <c r="O779" i="472" s="1"/>
  <c r="J744" i="472"/>
  <c r="K744" i="472" s="1"/>
  <c r="O744" i="472" s="1"/>
  <c r="F234" i="320"/>
  <c r="F116" i="320"/>
  <c r="F241" i="320"/>
  <c r="F123" i="320"/>
  <c r="F48" i="320"/>
  <c r="F59" i="320"/>
  <c r="J633" i="472"/>
  <c r="K633" i="472" s="1"/>
  <c r="O633" i="472" s="1"/>
  <c r="J917" i="472"/>
  <c r="K917" i="472" s="1"/>
  <c r="O917" i="472" s="1"/>
  <c r="J120" i="472"/>
  <c r="K120" i="472" s="1"/>
  <c r="O120" i="472" s="1"/>
  <c r="J435" i="472"/>
  <c r="K435" i="472" s="1"/>
  <c r="O435" i="472" s="1"/>
  <c r="J918" i="472"/>
  <c r="K918" i="472" s="1"/>
  <c r="O918" i="472" s="1"/>
  <c r="J634" i="472"/>
  <c r="K634" i="472" s="1"/>
  <c r="O634" i="472" s="1"/>
  <c r="O527" i="472" l="1"/>
  <c r="K530" i="472"/>
  <c r="H529" i="472" s="1"/>
  <c r="I529" i="472" s="1"/>
  <c r="O529" i="472" s="1"/>
  <c r="H205" i="472"/>
  <c r="I205" i="472" s="1"/>
  <c r="O205" i="472" s="1"/>
  <c r="O203" i="472"/>
  <c r="H722" i="472"/>
  <c r="I722" i="472" s="1"/>
  <c r="O722" i="472" s="1"/>
  <c r="O720" i="472"/>
  <c r="O778" i="472"/>
  <c r="K781" i="472"/>
  <c r="H780" i="472" s="1"/>
  <c r="I780" i="472" s="1"/>
  <c r="O780" i="472" s="1"/>
  <c r="O640" i="472"/>
  <c r="K642" i="472"/>
  <c r="H641" i="472" s="1"/>
  <c r="I641" i="472" s="1"/>
  <c r="O641" i="472" s="1"/>
  <c r="O356" i="472"/>
  <c r="K359" i="472"/>
  <c r="H358" i="472" s="1"/>
  <c r="I358" i="472" s="1"/>
  <c r="O631" i="472"/>
  <c r="K636" i="472"/>
  <c r="H635" i="472" s="1"/>
  <c r="I635" i="472" s="1"/>
  <c r="O635" i="472" s="1"/>
  <c r="K934" i="472"/>
  <c r="O931" i="472"/>
  <c r="K175" i="472"/>
  <c r="O173" i="472"/>
  <c r="O795" i="472"/>
  <c r="H797" i="472"/>
  <c r="I797" i="472" s="1"/>
  <c r="O797" i="472" s="1"/>
  <c r="O925" i="472"/>
  <c r="K927" i="472"/>
  <c r="O243" i="472"/>
  <c r="K246" i="472"/>
  <c r="K544" i="472"/>
  <c r="O541" i="472"/>
  <c r="O648" i="472"/>
  <c r="K650" i="472"/>
  <c r="H649" i="472" s="1"/>
  <c r="I649" i="472" s="1"/>
  <c r="O649" i="472" s="1"/>
  <c r="H351" i="472"/>
  <c r="I351" i="472" s="1"/>
  <c r="O351" i="472" s="1"/>
  <c r="O349" i="472"/>
  <c r="K760" i="472"/>
  <c r="H759" i="472" s="1"/>
  <c r="I759" i="472" s="1"/>
  <c r="O757" i="472"/>
  <c r="O264" i="472"/>
  <c r="K266" i="472"/>
  <c r="H265" i="472" s="1"/>
  <c r="I265" i="472" s="1"/>
  <c r="O500" i="472"/>
  <c r="K502" i="472"/>
  <c r="O833" i="472"/>
  <c r="K835" i="472"/>
  <c r="H341" i="472"/>
  <c r="I341" i="472" s="1"/>
  <c r="O341" i="472" s="1"/>
  <c r="O339" i="472"/>
  <c r="O443" i="472"/>
  <c r="K445" i="472"/>
  <c r="H444" i="472" s="1"/>
  <c r="I444" i="472" s="1"/>
  <c r="O444" i="472" s="1"/>
  <c r="O787" i="472"/>
  <c r="K789" i="472"/>
  <c r="H788" i="472" s="1"/>
  <c r="I788" i="472" s="1"/>
  <c r="K920" i="472"/>
  <c r="O915" i="472"/>
  <c r="O298" i="472"/>
  <c r="K301" i="472"/>
  <c r="O396" i="472"/>
  <c r="K400" i="472"/>
  <c r="H399" i="472" s="1"/>
  <c r="I399" i="472" s="1"/>
  <c r="O399" i="472" s="1"/>
  <c r="O363" i="472"/>
  <c r="K366" i="472"/>
  <c r="K277" i="472"/>
  <c r="H276" i="472" s="1"/>
  <c r="I276" i="472" s="1"/>
  <c r="O275" i="472"/>
  <c r="H745" i="472"/>
  <c r="I745" i="472" s="1"/>
  <c r="O745" i="472" s="1"/>
  <c r="O743" i="472"/>
  <c r="K965" i="472"/>
  <c r="H964" i="472" s="1"/>
  <c r="I964" i="472" s="1"/>
  <c r="O964" i="472" s="1"/>
  <c r="O962" i="472"/>
  <c r="K819" i="472"/>
  <c r="O817" i="472"/>
  <c r="K254" i="472"/>
  <c r="O252" i="472"/>
  <c r="H408" i="472"/>
  <c r="I408" i="472" s="1"/>
  <c r="O408" i="472" s="1"/>
  <c r="O406" i="472"/>
  <c r="H812" i="472"/>
  <c r="I812" i="472" s="1"/>
  <c r="O812" i="472" s="1"/>
  <c r="O810" i="472"/>
  <c r="K813" i="472"/>
  <c r="O813" i="472" s="1"/>
  <c r="O771" i="472"/>
  <c r="K774" i="472"/>
  <c r="H773" i="472" s="1"/>
  <c r="I773" i="472" s="1"/>
  <c r="K825" i="472"/>
  <c r="O823" i="472"/>
  <c r="O938" i="472"/>
  <c r="K941" i="472"/>
  <c r="O517" i="472"/>
  <c r="K520" i="472"/>
  <c r="O135" i="472"/>
  <c r="K138" i="472"/>
  <c r="K553" i="472"/>
  <c r="O550" i="472"/>
  <c r="O453" i="472"/>
  <c r="K457" i="472"/>
  <c r="H456" i="472" s="1"/>
  <c r="I456" i="472" s="1"/>
  <c r="O456" i="472" s="1"/>
  <c r="K260" i="472"/>
  <c r="H259" i="472" s="1"/>
  <c r="I259" i="472" s="1"/>
  <c r="O258" i="472"/>
  <c r="O234" i="472"/>
  <c r="H236" i="472"/>
  <c r="I236" i="472" s="1"/>
  <c r="O236" i="472" s="1"/>
  <c r="H731" i="472"/>
  <c r="I731" i="472" s="1"/>
  <c r="O731" i="472" s="1"/>
  <c r="O729" i="472"/>
  <c r="O839" i="472"/>
  <c r="K841" i="472"/>
  <c r="K753" i="472"/>
  <c r="H752" i="472"/>
  <c r="I752" i="472" s="1"/>
  <c r="O750" i="472"/>
  <c r="O223" i="472"/>
  <c r="H225" i="472"/>
  <c r="I225" i="472" s="1"/>
  <c r="O225" i="472" s="1"/>
  <c r="O370" i="472"/>
  <c r="K372" i="472"/>
  <c r="O764" i="472"/>
  <c r="K767" i="472"/>
  <c r="H766" i="472" s="1"/>
  <c r="I766" i="472" s="1"/>
  <c r="K958" i="472"/>
  <c r="H957" i="472" s="1"/>
  <c r="I957" i="472" s="1"/>
  <c r="O957" i="472" s="1"/>
  <c r="O955" i="472"/>
  <c r="O845" i="472"/>
  <c r="K847" i="472"/>
  <c r="O213" i="472"/>
  <c r="H215" i="472"/>
  <c r="I215" i="472" s="1"/>
  <c r="O215" i="472" s="1"/>
  <c r="O487" i="472"/>
  <c r="K489" i="472"/>
  <c r="O804" i="472"/>
  <c r="H806" i="472"/>
  <c r="I806" i="472" s="1"/>
  <c r="O806" i="472" s="1"/>
  <c r="O948" i="472"/>
  <c r="K951" i="472"/>
  <c r="H950" i="472" s="1"/>
  <c r="I950" i="472" s="1"/>
  <c r="O950" i="472" s="1"/>
  <c r="O509" i="472"/>
  <c r="K512" i="472"/>
  <c r="H8" i="327"/>
  <c r="G13" i="327" s="1"/>
  <c r="J8" i="327"/>
  <c r="G14" i="327" s="1"/>
  <c r="L8" i="327"/>
  <c r="G41" i="327" s="1"/>
  <c r="L11" i="327"/>
  <c r="G12" i="327"/>
  <c r="L12" i="327" s="1"/>
  <c r="D13" i="327"/>
  <c r="D14" i="327"/>
  <c r="D15" i="327"/>
  <c r="D16" i="327"/>
  <c r="D17" i="327"/>
  <c r="G33" i="327"/>
  <c r="L33" i="327" s="1"/>
  <c r="G34" i="327"/>
  <c r="L34" i="327" s="1"/>
  <c r="D35" i="327"/>
  <c r="D36" i="327"/>
  <c r="G38" i="327"/>
  <c r="L38" i="327" s="1"/>
  <c r="G39" i="327"/>
  <c r="L39" i="327" s="1"/>
  <c r="D40" i="327"/>
  <c r="D41" i="327"/>
  <c r="G19" i="327"/>
  <c r="L19" i="327" s="1"/>
  <c r="D20" i="327"/>
  <c r="D21" i="327"/>
  <c r="G21" i="327" l="1"/>
  <c r="H488" i="472"/>
  <c r="I488" i="472" s="1"/>
  <c r="O488" i="472" s="1"/>
  <c r="O489" i="472"/>
  <c r="H846" i="472"/>
  <c r="I846" i="472" s="1"/>
  <c r="O846" i="472" s="1"/>
  <c r="O847" i="472"/>
  <c r="O766" i="472"/>
  <c r="I767" i="472"/>
  <c r="O767" i="472" s="1"/>
  <c r="I260" i="472"/>
  <c r="O260" i="472" s="1"/>
  <c r="O259" i="472"/>
  <c r="H940" i="472"/>
  <c r="I940" i="472" s="1"/>
  <c r="O940" i="472" s="1"/>
  <c r="O941" i="472"/>
  <c r="O773" i="472"/>
  <c r="I774" i="472"/>
  <c r="O774" i="472" s="1"/>
  <c r="H818" i="472"/>
  <c r="I818" i="472" s="1"/>
  <c r="O818" i="472" s="1"/>
  <c r="O819" i="472"/>
  <c r="I760" i="472"/>
  <c r="O760" i="472" s="1"/>
  <c r="O759" i="472"/>
  <c r="O544" i="472"/>
  <c r="H543" i="472"/>
  <c r="I543" i="472" s="1"/>
  <c r="O543" i="472" s="1"/>
  <c r="H933" i="472"/>
  <c r="I933" i="472" s="1"/>
  <c r="O933" i="472" s="1"/>
  <c r="O934" i="472"/>
  <c r="O752" i="472"/>
  <c r="I753" i="472"/>
  <c r="O753" i="472" s="1"/>
  <c r="H137" i="472"/>
  <c r="I137" i="472" s="1"/>
  <c r="O137" i="472" s="1"/>
  <c r="O138" i="472"/>
  <c r="H824" i="472"/>
  <c r="I824" i="472" s="1"/>
  <c r="O824" i="472" s="1"/>
  <c r="O825" i="472"/>
  <c r="H365" i="472"/>
  <c r="I365" i="472" s="1"/>
  <c r="O365" i="472" s="1"/>
  <c r="O366" i="472"/>
  <c r="O788" i="472"/>
  <c r="I789" i="472"/>
  <c r="O789" i="472" s="1"/>
  <c r="H501" i="472"/>
  <c r="I501" i="472" s="1"/>
  <c r="O501" i="472" s="1"/>
  <c r="O502" i="472"/>
  <c r="H245" i="472"/>
  <c r="I245" i="472" s="1"/>
  <c r="O245" i="472" s="1"/>
  <c r="O246" i="472"/>
  <c r="I359" i="472"/>
  <c r="O359" i="472" s="1"/>
  <c r="O358" i="472"/>
  <c r="H511" i="472"/>
  <c r="I511" i="472" s="1"/>
  <c r="O511" i="472" s="1"/>
  <c r="O512" i="472"/>
  <c r="H371" i="472"/>
  <c r="I371" i="472" s="1"/>
  <c r="O371" i="472" s="1"/>
  <c r="O372" i="472"/>
  <c r="H552" i="472"/>
  <c r="I552" i="472" s="1"/>
  <c r="O552" i="472" s="1"/>
  <c r="O553" i="472"/>
  <c r="H519" i="472"/>
  <c r="I519" i="472" s="1"/>
  <c r="O519" i="472" s="1"/>
  <c r="O520" i="472"/>
  <c r="H253" i="472"/>
  <c r="I253" i="472" s="1"/>
  <c r="O253" i="472" s="1"/>
  <c r="O254" i="472"/>
  <c r="I277" i="472"/>
  <c r="O277" i="472" s="1"/>
  <c r="O276" i="472"/>
  <c r="H919" i="472"/>
  <c r="I919" i="472" s="1"/>
  <c r="O919" i="472" s="1"/>
  <c r="O920" i="472"/>
  <c r="H174" i="472"/>
  <c r="I174" i="472" s="1"/>
  <c r="O174" i="472" s="1"/>
  <c r="O175" i="472"/>
  <c r="H840" i="472"/>
  <c r="I840" i="472" s="1"/>
  <c r="O840" i="472" s="1"/>
  <c r="O841" i="472"/>
  <c r="H300" i="472"/>
  <c r="I300" i="472" s="1"/>
  <c r="O300" i="472" s="1"/>
  <c r="O301" i="472"/>
  <c r="H834" i="472"/>
  <c r="I834" i="472" s="1"/>
  <c r="O834" i="472" s="1"/>
  <c r="O835" i="472"/>
  <c r="O265" i="472"/>
  <c r="I266" i="472"/>
  <c r="O266" i="472" s="1"/>
  <c r="H926" i="472"/>
  <c r="I926" i="472" s="1"/>
  <c r="O926" i="472" s="1"/>
  <c r="O927" i="472"/>
  <c r="G15" i="327"/>
  <c r="L15" i="327" s="1"/>
  <c r="G40" i="327"/>
  <c r="G35" i="327"/>
  <c r="L35" i="327" s="1"/>
  <c r="G25" i="327"/>
  <c r="L25" i="327" s="1"/>
  <c r="G30" i="327"/>
  <c r="L30" i="327" s="1"/>
  <c r="G17" i="327"/>
  <c r="L17" i="327" s="1"/>
  <c r="G26" i="327"/>
  <c r="L26" i="327" s="1"/>
  <c r="G31" i="327"/>
  <c r="L31" i="327" s="1"/>
  <c r="G20" i="327"/>
  <c r="L20" i="327" s="1"/>
  <c r="G16" i="327"/>
  <c r="L16" i="327" s="1"/>
  <c r="G36" i="327"/>
  <c r="L36" i="327" s="1"/>
  <c r="L14" i="327"/>
  <c r="L21" i="327"/>
  <c r="L40" i="327"/>
  <c r="L13" i="327"/>
  <c r="L41" i="327"/>
  <c r="L37" i="327" l="1"/>
  <c r="L22" i="327"/>
  <c r="L42" i="327"/>
  <c r="L32" i="327"/>
  <c r="L27" i="327"/>
  <c r="L18" i="327"/>
  <c r="B561" i="472" l="1"/>
  <c r="B576" i="472"/>
  <c r="B577" i="472"/>
  <c r="B562" i="472"/>
  <c r="B1188" i="322" l="1"/>
  <c r="B1139" i="322"/>
  <c r="B1090" i="322"/>
  <c r="B1041" i="322"/>
  <c r="B983" i="322"/>
  <c r="B934" i="322"/>
  <c r="B887" i="322"/>
  <c r="B839" i="322"/>
  <c r="B790" i="322"/>
  <c r="B742" i="322"/>
  <c r="B644" i="322"/>
  <c r="B595" i="322"/>
  <c r="B548" i="322"/>
  <c r="B495" i="322"/>
  <c r="B447" i="322"/>
  <c r="C5" i="322"/>
  <c r="C22" i="322"/>
  <c r="C55" i="322"/>
  <c r="C103" i="322"/>
  <c r="C135" i="322"/>
  <c r="C152" i="322"/>
  <c r="C166" i="322"/>
  <c r="B299" i="322"/>
  <c r="B398" i="322"/>
  <c r="P1208" i="322"/>
  <c r="P1206" i="322"/>
  <c r="P1007" i="322"/>
  <c r="P1006" i="322"/>
  <c r="P845" i="322"/>
  <c r="P844" i="322"/>
  <c r="AL844" i="322" s="1"/>
  <c r="AH1031" i="322"/>
  <c r="AH1030" i="322"/>
  <c r="BF1030" i="322" s="1"/>
  <c r="AH1029" i="322"/>
  <c r="S1025" i="322"/>
  <c r="AP1025" i="322" s="1"/>
  <c r="M1025" i="322"/>
  <c r="AJ1025" i="322" s="1"/>
  <c r="Y1021" i="322"/>
  <c r="AQ1021" i="322" s="1"/>
  <c r="V1021" i="322"/>
  <c r="AN1021" i="322" s="1"/>
  <c r="AE1020" i="322"/>
  <c r="BC1022" i="322" s="1"/>
  <c r="M1020" i="322"/>
  <c r="AY1022" i="322" s="1"/>
  <c r="AE1019" i="322"/>
  <c r="AT1022" i="322" s="1"/>
  <c r="M1019" i="322"/>
  <c r="AQ1018" i="322"/>
  <c r="AY1025" i="322" s="1"/>
  <c r="Z1018" i="322"/>
  <c r="L1018" i="322"/>
  <c r="AE1021" i="322" s="1"/>
  <c r="X1006" i="322"/>
  <c r="T987" i="322"/>
  <c r="R1222" i="322"/>
  <c r="AI1222" i="322" s="1"/>
  <c r="S1218" i="322"/>
  <c r="U1214" i="322"/>
  <c r="Z1208" i="322"/>
  <c r="AW1208" i="322" s="1"/>
  <c r="Z1206" i="322"/>
  <c r="AW1206" i="322" s="1"/>
  <c r="X845" i="322"/>
  <c r="AU845" i="322" s="1"/>
  <c r="AU844" i="322"/>
  <c r="AI841" i="322"/>
  <c r="AV841" i="322" s="1"/>
  <c r="AO841" i="322"/>
  <c r="M1121" i="322"/>
  <c r="AE1121" i="322" s="1"/>
  <c r="AL1117" i="322"/>
  <c r="BJ1119" i="322" s="1"/>
  <c r="Y1117" i="322"/>
  <c r="BE1119" i="322" s="1"/>
  <c r="M1117" i="322"/>
  <c r="BA1119" i="322" s="1"/>
  <c r="AV1114" i="322"/>
  <c r="AB1114" i="322"/>
  <c r="Z1111" i="322"/>
  <c r="BC1111" i="322" s="1"/>
  <c r="BA1105" i="322"/>
  <c r="AU1121" i="322" s="1"/>
  <c r="AP1105" i="322"/>
  <c r="AF1107" i="322" s="1"/>
  <c r="Y1105" i="322"/>
  <c r="Z1107" i="322" s="1"/>
  <c r="L1105" i="322"/>
  <c r="W1107" i="322" s="1"/>
  <c r="AP1103" i="322"/>
  <c r="AP1115" i="322" s="1"/>
  <c r="Y1103" i="322"/>
  <c r="AI1115" i="322" s="1"/>
  <c r="L1103" i="322"/>
  <c r="AP1113" i="322" s="1"/>
  <c r="M1096" i="322"/>
  <c r="AL1096" i="322" s="1"/>
  <c r="AB1094" i="322"/>
  <c r="M1094" i="322"/>
  <c r="BI1111" i="322" s="1"/>
  <c r="AX1092" i="322"/>
  <c r="AX1096" i="322" s="1"/>
  <c r="AC1092" i="322"/>
  <c r="Y1092" i="322"/>
  <c r="M1092" i="322"/>
  <c r="AM1109" i="322" s="1"/>
  <c r="M1049" i="322"/>
  <c r="AH1049" i="322" s="1"/>
  <c r="Z1047" i="322"/>
  <c r="AU1051" i="322" s="1"/>
  <c r="BF1049" i="322"/>
  <c r="AX1045" i="322"/>
  <c r="AT1049" i="322" s="1"/>
  <c r="AC1045" i="322"/>
  <c r="Y1045" i="322"/>
  <c r="L1045" i="322"/>
  <c r="X612" i="322"/>
  <c r="Y618" i="322"/>
  <c r="K616" i="322"/>
  <c r="O612" i="322"/>
  <c r="P460" i="322"/>
  <c r="Q411" i="322"/>
  <c r="M472" i="322"/>
  <c r="AJ472" i="322" s="1"/>
  <c r="Z470" i="322"/>
  <c r="AW474" i="322" s="1"/>
  <c r="L470" i="322"/>
  <c r="BH472" i="322" s="1"/>
  <c r="AX468" i="322"/>
  <c r="AV472" i="322" s="1"/>
  <c r="AC468" i="322"/>
  <c r="Y468" i="322"/>
  <c r="L468" i="322"/>
  <c r="Y464" i="322"/>
  <c r="Q464" i="322"/>
  <c r="AG460" i="322"/>
  <c r="Y460" i="322"/>
  <c r="L451" i="322"/>
  <c r="AJ464" i="322" s="1"/>
  <c r="M423" i="322"/>
  <c r="AF423" i="322" s="1"/>
  <c r="Z421" i="322"/>
  <c r="AS425" i="322" s="1"/>
  <c r="BD423" i="322"/>
  <c r="AY419" i="322"/>
  <c r="AR423" i="322" s="1"/>
  <c r="AC419" i="322"/>
  <c r="Z419" i="322"/>
  <c r="L419" i="322"/>
  <c r="AM423" i="322" s="1"/>
  <c r="X415" i="322"/>
  <c r="P415" i="322"/>
  <c r="AI411" i="322"/>
  <c r="AA411" i="322"/>
  <c r="L402" i="322"/>
  <c r="Z406" i="322" s="1"/>
  <c r="P139" i="322"/>
  <c r="AA139" i="322"/>
  <c r="EP135" i="322"/>
  <c r="EO135" i="322"/>
  <c r="P320" i="322"/>
  <c r="P158" i="322"/>
  <c r="P155" i="322"/>
  <c r="M328" i="322"/>
  <c r="AJ328" i="322" s="1"/>
  <c r="AR326" i="322"/>
  <c r="BJ328" i="322" s="1"/>
  <c r="AC326" i="322"/>
  <c r="AZ328" i="322" s="1"/>
  <c r="L326" i="322"/>
  <c r="AW330" i="322" s="1"/>
  <c r="AR324" i="322"/>
  <c r="BE328" i="322" s="1"/>
  <c r="AC324" i="322"/>
  <c r="AT328" i="322" s="1"/>
  <c r="L324" i="322"/>
  <c r="AI320" i="322"/>
  <c r="Z320" i="322"/>
  <c r="AG315" i="322"/>
  <c r="AG314" i="322"/>
  <c r="AG313" i="322"/>
  <c r="M309" i="322"/>
  <c r="AJ309" i="322" s="1"/>
  <c r="AQ307" i="322"/>
  <c r="AV311" i="322" s="1"/>
  <c r="X307" i="322"/>
  <c r="R307" i="322"/>
  <c r="M307" i="322"/>
  <c r="BD305" i="322"/>
  <c r="AV309" i="322" s="1"/>
  <c r="AH305" i="322"/>
  <c r="AA305" i="322"/>
  <c r="L305" i="322"/>
  <c r="M273" i="322"/>
  <c r="AJ273" i="322" s="1"/>
  <c r="AR271" i="322"/>
  <c r="BJ273" i="322" s="1"/>
  <c r="AC271" i="322"/>
  <c r="AZ273" i="322" s="1"/>
  <c r="L271" i="322"/>
  <c r="AW275" i="322" s="1"/>
  <c r="AR269" i="322"/>
  <c r="BE273" i="322" s="1"/>
  <c r="AC269" i="322"/>
  <c r="AT273" i="322" s="1"/>
  <c r="L269" i="322"/>
  <c r="M258" i="322"/>
  <c r="AJ258" i="322" s="1"/>
  <c r="AQ256" i="322"/>
  <c r="AV260" i="322" s="1"/>
  <c r="X256" i="322"/>
  <c r="R256" i="322"/>
  <c r="M256" i="322"/>
  <c r="BD254" i="322"/>
  <c r="AV258" i="322" s="1"/>
  <c r="AH254" i="322"/>
  <c r="AA254" i="322"/>
  <c r="L254" i="322"/>
  <c r="AX184" i="322"/>
  <c r="AS188" i="322" s="1"/>
  <c r="AL184" i="322"/>
  <c r="BE186" i="322" s="1"/>
  <c r="Z184" i="322"/>
  <c r="BB186" i="322" s="1"/>
  <c r="L184" i="322"/>
  <c r="AV186" i="322" s="1"/>
  <c r="AT183" i="322"/>
  <c r="AN186" i="322" s="1"/>
  <c r="T183" i="322"/>
  <c r="L183" i="322"/>
  <c r="M173" i="322"/>
  <c r="AJ173" i="322" s="1"/>
  <c r="AQ171" i="322"/>
  <c r="AV175" i="322" s="1"/>
  <c r="X171" i="322"/>
  <c r="R171" i="322"/>
  <c r="M171" i="322"/>
  <c r="BD169" i="322"/>
  <c r="AV173" i="322" s="1"/>
  <c r="AH169" i="322"/>
  <c r="AA169" i="322"/>
  <c r="L169" i="322"/>
  <c r="AG158" i="322"/>
  <c r="AG155" i="322"/>
  <c r="EP152" i="322"/>
  <c r="EO152" i="322"/>
  <c r="P124" i="322"/>
  <c r="P76" i="322"/>
  <c r="AU124" i="322"/>
  <c r="AN124" i="322"/>
  <c r="AH124" i="322"/>
  <c r="AC124" i="322"/>
  <c r="Y124" i="322"/>
  <c r="AL119" i="322"/>
  <c r="AL118" i="322"/>
  <c r="AL117" i="322"/>
  <c r="M113" i="322"/>
  <c r="AJ113" i="322" s="1"/>
  <c r="AT111" i="322"/>
  <c r="AV115" i="322" s="1"/>
  <c r="X111" i="322"/>
  <c r="V111" i="322"/>
  <c r="Q111" i="322"/>
  <c r="M111" i="322"/>
  <c r="BA109" i="322"/>
  <c r="AV113" i="322" s="1"/>
  <c r="AE109" i="322"/>
  <c r="AA109" i="322"/>
  <c r="L109" i="322"/>
  <c r="AU76" i="322"/>
  <c r="AN76" i="322"/>
  <c r="AH76" i="322"/>
  <c r="AC76" i="322"/>
  <c r="Y76" i="322"/>
  <c r="AL71" i="322"/>
  <c r="AL70" i="322"/>
  <c r="AL69" i="322"/>
  <c r="M65" i="322"/>
  <c r="AJ65" i="322" s="1"/>
  <c r="AT63" i="322"/>
  <c r="AV67" i="322" s="1"/>
  <c r="X63" i="322"/>
  <c r="V63" i="322"/>
  <c r="Q63" i="322"/>
  <c r="M63" i="322"/>
  <c r="BA61" i="322"/>
  <c r="AV65" i="322" s="1"/>
  <c r="AE61" i="322"/>
  <c r="AA61" i="322"/>
  <c r="L61" i="322"/>
  <c r="M30" i="322"/>
  <c r="AJ30" i="322" s="1"/>
  <c r="AT28" i="322"/>
  <c r="AV32" i="322" s="1"/>
  <c r="X28" i="322"/>
  <c r="V28" i="322"/>
  <c r="Q28" i="322"/>
  <c r="M28" i="322"/>
  <c r="AV26" i="322"/>
  <c r="AV30" i="322" s="1"/>
  <c r="AA26" i="322"/>
  <c r="W26" i="322"/>
  <c r="L26" i="322"/>
  <c r="P11" i="322"/>
  <c r="AN11" i="322"/>
  <c r="AH11" i="322"/>
  <c r="AC11" i="322"/>
  <c r="Y11" i="322"/>
  <c r="EP5" i="322"/>
  <c r="EO5" i="322"/>
  <c r="BH1206" i="322" l="1"/>
  <c r="BH1208" i="322"/>
  <c r="AE1222" i="322"/>
  <c r="AC1224" i="322"/>
  <c r="AL1206" i="322"/>
  <c r="AO155" i="322"/>
  <c r="EN155" i="322" s="1"/>
  <c r="EM155" i="322" s="1"/>
  <c r="AN1006" i="322"/>
  <c r="Z987" i="322"/>
  <c r="Z990" i="322" s="1"/>
  <c r="AQ415" i="322"/>
  <c r="EO415" i="322" s="1"/>
  <c r="Z435" i="322" s="1"/>
  <c r="AR464" i="322"/>
  <c r="EO464" i="322" s="1"/>
  <c r="EM464" i="322" s="1"/>
  <c r="AN1007" i="322"/>
  <c r="AV1021" i="322"/>
  <c r="AP1022" i="322" s="1"/>
  <c r="AF1023" i="322"/>
  <c r="AI1021" i="322"/>
  <c r="AL1022" i="322"/>
  <c r="AY411" i="322"/>
  <c r="EN411" i="322" s="1"/>
  <c r="EM411" i="322" s="1"/>
  <c r="AC1125" i="322"/>
  <c r="BF845" i="322"/>
  <c r="BD1196" i="322"/>
  <c r="AI468" i="322"/>
  <c r="BB472" i="322" s="1"/>
  <c r="AI1045" i="322"/>
  <c r="AZ1049" i="322" s="1"/>
  <c r="BJ1096" i="322"/>
  <c r="AI419" i="322"/>
  <c r="AX423" i="322" s="1"/>
  <c r="AI1092" i="322"/>
  <c r="BD1096" i="322" s="1"/>
  <c r="AI1113" i="322"/>
  <c r="BA841" i="322"/>
  <c r="AU1198" i="322"/>
  <c r="AL1208" i="322"/>
  <c r="AZ844" i="322"/>
  <c r="AL845" i="322"/>
  <c r="BF844" i="322"/>
  <c r="AZ845" i="322"/>
  <c r="AT1109" i="322"/>
  <c r="BA1114" i="322"/>
  <c r="AV1119" i="322" s="1"/>
  <c r="AS1096" i="322"/>
  <c r="AL1107" i="322"/>
  <c r="AY1098" i="322"/>
  <c r="AM1111" i="322"/>
  <c r="AO1049" i="322"/>
  <c r="Z404" i="322"/>
  <c r="Z405" i="322"/>
  <c r="AP411" i="322"/>
  <c r="AI415" i="322"/>
  <c r="BP473" i="322"/>
  <c r="Z478" i="322" s="1"/>
  <c r="AW460" i="322"/>
  <c r="EN460" i="322" s="1"/>
  <c r="EM460" i="322" s="1"/>
  <c r="Z454" i="322"/>
  <c r="AQ472" i="322"/>
  <c r="Z453" i="322"/>
  <c r="AN460" i="322"/>
  <c r="Z455" i="322"/>
  <c r="AB307" i="322"/>
  <c r="BG309" i="322" s="1"/>
  <c r="AI139" i="322"/>
  <c r="EN139" i="322" s="1"/>
  <c r="EM139" i="322" s="1"/>
  <c r="BO329" i="322"/>
  <c r="AC333" i="322" s="1"/>
  <c r="AL109" i="322"/>
  <c r="BA113" i="322" s="1"/>
  <c r="AB171" i="322"/>
  <c r="BG173" i="322" s="1"/>
  <c r="AA183" i="322"/>
  <c r="BL187" i="322" s="1"/>
  <c r="AO169" i="322"/>
  <c r="BA173" i="322" s="1"/>
  <c r="AO305" i="322"/>
  <c r="BA309" i="322" s="1"/>
  <c r="AP158" i="322"/>
  <c r="EN158" i="322" s="1"/>
  <c r="AC161" i="322" s="1"/>
  <c r="AB256" i="322"/>
  <c r="BG258" i="322" s="1"/>
  <c r="BN274" i="322"/>
  <c r="AO254" i="322"/>
  <c r="BA258" i="322" s="1"/>
  <c r="AO320" i="322"/>
  <c r="EN320" i="322" s="1"/>
  <c r="EM320" i="322" s="1"/>
  <c r="AQ328" i="322"/>
  <c r="AQ309" i="322"/>
  <c r="AQ258" i="322"/>
  <c r="AQ273" i="322"/>
  <c r="AQ173" i="322"/>
  <c r="AL61" i="322"/>
  <c r="BA65" i="322" s="1"/>
  <c r="AE28" i="322"/>
  <c r="BG30" i="322" s="1"/>
  <c r="AE111" i="322"/>
  <c r="BG113" i="322" s="1"/>
  <c r="AE63" i="322"/>
  <c r="BG65" i="322" s="1"/>
  <c r="BA76" i="322"/>
  <c r="EN76" i="322" s="1"/>
  <c r="EM76" i="322" s="1"/>
  <c r="BA124" i="322"/>
  <c r="EN124" i="322" s="1"/>
  <c r="Y128" i="322" s="1"/>
  <c r="AQ65" i="322"/>
  <c r="AQ113" i="322"/>
  <c r="AH26" i="322"/>
  <c r="BA30" i="322" s="1"/>
  <c r="AQ30" i="322"/>
  <c r="AT11" i="322"/>
  <c r="EN11" i="322" s="1"/>
  <c r="EM11" i="322" s="1"/>
  <c r="BM1050" i="322" l="1"/>
  <c r="P846" i="322"/>
  <c r="EN846" i="322" s="1"/>
  <c r="EM415" i="322"/>
  <c r="AC1226" i="322"/>
  <c r="AB484" i="322"/>
  <c r="AC1225" i="322"/>
  <c r="S161" i="322"/>
  <c r="EM158" i="322"/>
  <c r="AO161" i="322"/>
  <c r="EN164" i="322" s="1"/>
  <c r="AF186" i="322"/>
  <c r="BL424" i="322"/>
  <c r="AA428" i="322" s="1"/>
  <c r="BR1097" i="322"/>
  <c r="P1008" i="322"/>
  <c r="EN1008" i="322" s="1"/>
  <c r="Z1011" i="322" s="1"/>
  <c r="AO1121" i="322"/>
  <c r="Z988" i="322"/>
  <c r="Z989" i="322"/>
  <c r="AC870" i="322"/>
  <c r="AA851" i="322"/>
  <c r="S1202" i="322"/>
  <c r="H1214" i="322" s="1"/>
  <c r="AC855" i="322"/>
  <c r="BH1022" i="322"/>
  <c r="AR1027" i="322" s="1"/>
  <c r="Z476" i="322"/>
  <c r="Z434" i="322"/>
  <c r="AA849" i="322"/>
  <c r="AA850" i="322"/>
  <c r="AC857" i="322"/>
  <c r="AC869" i="322"/>
  <c r="AC864" i="322"/>
  <c r="P1210" i="322"/>
  <c r="EN1210" i="322" s="1"/>
  <c r="R1231" i="322" s="1"/>
  <c r="AC332" i="322"/>
  <c r="AC863" i="322"/>
  <c r="AC862" i="322"/>
  <c r="AC856" i="322"/>
  <c r="AC868" i="322"/>
  <c r="Z477" i="322"/>
  <c r="AI1121" i="322"/>
  <c r="AD1109" i="322"/>
  <c r="BC1109" i="322"/>
  <c r="AB483" i="322"/>
  <c r="AC334" i="322"/>
  <c r="S143" i="322"/>
  <c r="EN146" i="322" s="1"/>
  <c r="Z339" i="322"/>
  <c r="AA279" i="322"/>
  <c r="AA278" i="322"/>
  <c r="AA277" i="322"/>
  <c r="BL259" i="322"/>
  <c r="BL310" i="322"/>
  <c r="BL174" i="322"/>
  <c r="AC191" i="322"/>
  <c r="AC189" i="322"/>
  <c r="AC190" i="322"/>
  <c r="EM124" i="322"/>
  <c r="BL66" i="322"/>
  <c r="AC71" i="322" s="1"/>
  <c r="BL114" i="322"/>
  <c r="Y80" i="322"/>
  <c r="BL31" i="322"/>
  <c r="Q15" i="322"/>
  <c r="Q18" i="322" s="1"/>
  <c r="AC995" i="322" l="1"/>
  <c r="AC997" i="322"/>
  <c r="AC996" i="322"/>
  <c r="P64" i="472"/>
  <c r="P87" i="472"/>
  <c r="AA427" i="322"/>
  <c r="AA429" i="322"/>
  <c r="EO1202" i="322"/>
  <c r="Y1054" i="322"/>
  <c r="Y1055" i="322"/>
  <c r="Y1053" i="322"/>
  <c r="S164" i="322"/>
  <c r="Z1214" i="322"/>
  <c r="EO1214" i="322" s="1"/>
  <c r="EM1214" i="322" s="1"/>
  <c r="BF1026" i="322"/>
  <c r="AL1023" i="322"/>
  <c r="AQ1023" i="322"/>
  <c r="BJ1030" i="322" s="1"/>
  <c r="AC1023" i="322"/>
  <c r="X1218" i="322"/>
  <c r="EO1218" i="322" s="1"/>
  <c r="H1218" i="322"/>
  <c r="R1232" i="322"/>
  <c r="R880" i="322"/>
  <c r="AS1111" i="322"/>
  <c r="BR1111" i="322"/>
  <c r="S146" i="322"/>
  <c r="EM146" i="322"/>
  <c r="EM135" i="322" s="1"/>
  <c r="EN135" i="322"/>
  <c r="AC179" i="322"/>
  <c r="AC177" i="322"/>
  <c r="AC178" i="322"/>
  <c r="Z315" i="322"/>
  <c r="Z314" i="322"/>
  <c r="Z313" i="322"/>
  <c r="Z262" i="322"/>
  <c r="Z263" i="322"/>
  <c r="Z264" i="322"/>
  <c r="EM164" i="322"/>
  <c r="EM152" i="322" s="1"/>
  <c r="EN152" i="322"/>
  <c r="AC69" i="322"/>
  <c r="AC70" i="322"/>
  <c r="AC118" i="322"/>
  <c r="AC117" i="322"/>
  <c r="AC119" i="322"/>
  <c r="AC34" i="322"/>
  <c r="AC36" i="322"/>
  <c r="AC35" i="322"/>
  <c r="EN18" i="322"/>
  <c r="EM18" i="322" s="1"/>
  <c r="EM5" i="322" s="1"/>
  <c r="A13" i="475" l="1"/>
  <c r="A13" i="474"/>
  <c r="H64" i="472"/>
  <c r="I64" i="472" s="1"/>
  <c r="H87" i="472"/>
  <c r="I87" i="472" s="1"/>
  <c r="J87" i="472"/>
  <c r="K87" i="472" s="1"/>
  <c r="J64" i="472"/>
  <c r="K64" i="472" s="1"/>
  <c r="L64" i="472"/>
  <c r="M64" i="472" s="1"/>
  <c r="L87" i="472"/>
  <c r="M87" i="472" s="1"/>
  <c r="BS1119" i="322"/>
  <c r="AQ1119" i="322"/>
  <c r="P576" i="322"/>
  <c r="AB1232" i="322"/>
  <c r="Z1029" i="322"/>
  <c r="Z1030" i="322"/>
  <c r="Z1031" i="322"/>
  <c r="AY1030" i="322"/>
  <c r="EM1218" i="322"/>
  <c r="AI1232" i="322"/>
  <c r="P626" i="322"/>
  <c r="Q429" i="322"/>
  <c r="AJ429" i="322" s="1"/>
  <c r="EP430" i="322" s="1"/>
  <c r="Z436" i="322" s="1"/>
  <c r="Q478" i="322"/>
  <c r="AG478" i="322" s="1"/>
  <c r="EP479" i="322" s="1"/>
  <c r="AB485" i="322" s="1"/>
  <c r="EN5" i="322"/>
  <c r="P510" i="322"/>
  <c r="AE510" i="322" s="1"/>
  <c r="EP513" i="322" s="1"/>
  <c r="R518" i="322" s="1"/>
  <c r="EP519" i="322" s="1"/>
  <c r="X133" i="323"/>
  <c r="G905" i="472" s="1"/>
  <c r="X131" i="323"/>
  <c r="G906" i="472" s="1"/>
  <c r="X129" i="323"/>
  <c r="X125" i="323"/>
  <c r="G902" i="472" s="1"/>
  <c r="P608" i="322"/>
  <c r="L620" i="322"/>
  <c r="AG620" i="322" s="1"/>
  <c r="AT622" i="322"/>
  <c r="BE620" i="322"/>
  <c r="AW616" i="322"/>
  <c r="AS620" i="322" s="1"/>
  <c r="X616" i="322"/>
  <c r="AG608" i="322"/>
  <c r="Y608" i="322"/>
  <c r="AH612" i="322"/>
  <c r="G421" i="472" l="1"/>
  <c r="G21" i="472"/>
  <c r="G22" i="472" s="1"/>
  <c r="G904" i="472"/>
  <c r="A14" i="475"/>
  <c r="A14" i="474"/>
  <c r="D13" i="475"/>
  <c r="E13" i="475"/>
  <c r="G13" i="475"/>
  <c r="H13" i="475"/>
  <c r="B16" i="472"/>
  <c r="O87" i="472"/>
  <c r="O64" i="472"/>
  <c r="H20" i="475"/>
  <c r="AL1123" i="322"/>
  <c r="BA1122" i="322"/>
  <c r="X127" i="323"/>
  <c r="G903" i="472" s="1"/>
  <c r="R1226" i="322"/>
  <c r="AN1226" i="322" s="1"/>
  <c r="EP1227" i="322" s="1"/>
  <c r="R1233" i="322" s="1"/>
  <c r="EP1234" i="322" s="1"/>
  <c r="EP1188" i="322" s="1"/>
  <c r="AH616" i="322"/>
  <c r="AY620" i="322" s="1"/>
  <c r="AT608" i="322"/>
  <c r="EN608" i="322" s="1"/>
  <c r="X631" i="322" s="1"/>
  <c r="AM612" i="322"/>
  <c r="EO612" i="322" s="1"/>
  <c r="X632" i="322" s="1"/>
  <c r="X602" i="322"/>
  <c r="AN620" i="322"/>
  <c r="X601" i="322"/>
  <c r="AN608" i="322"/>
  <c r="X603" i="322"/>
  <c r="G422" i="472" l="1"/>
  <c r="M421" i="472"/>
  <c r="I421" i="472"/>
  <c r="K421" i="472"/>
  <c r="D14" i="475"/>
  <c r="E14" i="475"/>
  <c r="G14" i="475"/>
  <c r="H31" i="475"/>
  <c r="H30" i="475"/>
  <c r="H17" i="475"/>
  <c r="H16" i="475"/>
  <c r="H18" i="475"/>
  <c r="H15" i="475"/>
  <c r="H14" i="475"/>
  <c r="H21" i="475"/>
  <c r="H29" i="475"/>
  <c r="H32" i="475"/>
  <c r="H25" i="475"/>
  <c r="H28" i="475"/>
  <c r="H27" i="475"/>
  <c r="H24" i="475"/>
  <c r="V1125" i="322"/>
  <c r="AJ1125" i="322"/>
  <c r="BK621" i="322"/>
  <c r="Y624" i="322" s="1"/>
  <c r="Q1178" i="322"/>
  <c r="AL1178" i="322" s="1"/>
  <c r="EP1179" i="322" s="1"/>
  <c r="S1184" i="322" s="1"/>
  <c r="EP1185" i="322" s="1"/>
  <c r="EM608" i="322"/>
  <c r="EM612" i="322"/>
  <c r="O940" i="322"/>
  <c r="O895" i="322"/>
  <c r="O795" i="322"/>
  <c r="O748" i="322"/>
  <c r="O747" i="322"/>
  <c r="N558" i="322"/>
  <c r="N557" i="322"/>
  <c r="N502" i="322"/>
  <c r="N501" i="322"/>
  <c r="O421" i="472" l="1"/>
  <c r="I422" i="472"/>
  <c r="M422" i="472"/>
  <c r="K422" i="472"/>
  <c r="EP1139" i="322"/>
  <c r="Q1129" i="322"/>
  <c r="AL1129" i="322" s="1"/>
  <c r="EP1130" i="322" s="1"/>
  <c r="S1135" i="322" s="1"/>
  <c r="EP1136" i="322" s="1"/>
  <c r="EP1090" i="322" s="1"/>
  <c r="AC1127" i="322"/>
  <c r="AC1128" i="322"/>
  <c r="AC1129" i="322"/>
  <c r="Y625" i="322"/>
  <c r="AE626" i="322"/>
  <c r="EP627" i="322" s="1"/>
  <c r="X633" i="322" s="1"/>
  <c r="Y626" i="322"/>
  <c r="J50" i="157"/>
  <c r="O36" i="157"/>
  <c r="O422" i="472" l="1"/>
  <c r="L329" i="472"/>
  <c r="M329" i="472" s="1"/>
  <c r="M330" i="472" s="1"/>
  <c r="L289" i="472"/>
  <c r="M289" i="472" s="1"/>
  <c r="M291" i="472" s="1"/>
  <c r="X895" i="322"/>
  <c r="AT895" i="322" s="1"/>
  <c r="AJ895" i="322"/>
  <c r="AH890" i="322"/>
  <c r="AT890" i="322" s="1"/>
  <c r="AY895" i="322"/>
  <c r="AR940" i="322"/>
  <c r="AK940" i="322"/>
  <c r="AH937" i="322"/>
  <c r="AU937" i="322" s="1"/>
  <c r="Z936" i="322"/>
  <c r="W795" i="322"/>
  <c r="AN795" i="322" s="1"/>
  <c r="AG795" i="322"/>
  <c r="AH792" i="322"/>
  <c r="AT792" i="322" s="1"/>
  <c r="W748" i="322"/>
  <c r="AN748" i="322" s="1"/>
  <c r="AF748" i="322"/>
  <c r="AN747" i="322"/>
  <c r="AF747" i="322"/>
  <c r="AH744" i="322"/>
  <c r="AU744" i="322" s="1"/>
  <c r="Z743" i="322"/>
  <c r="AG502" i="322"/>
  <c r="BB502" i="322" s="1"/>
  <c r="W502" i="322"/>
  <c r="AS502" i="322" s="1"/>
  <c r="AL502" i="322"/>
  <c r="W501" i="322"/>
  <c r="AL501" i="322"/>
  <c r="AW502" i="322"/>
  <c r="EP495" i="322"/>
  <c r="T563" i="322"/>
  <c r="AM558" i="322"/>
  <c r="V557" i="322"/>
  <c r="AM557" i="322" s="1"/>
  <c r="AF557" i="322"/>
  <c r="AK554" i="322"/>
  <c r="AE554" i="322"/>
  <c r="AH550" i="322"/>
  <c r="AU550" i="322" s="1"/>
  <c r="AA549" i="322"/>
  <c r="AN550" i="322" l="1"/>
  <c r="AQ559" i="322"/>
  <c r="AU559" i="322"/>
  <c r="AS501" i="322"/>
  <c r="BG501" i="322"/>
  <c r="AW941" i="322"/>
  <c r="BC941" i="322"/>
  <c r="EN941" i="322" s="1"/>
  <c r="EM941" i="322" s="1"/>
  <c r="N754" i="322"/>
  <c r="O946" i="322"/>
  <c r="N760" i="322"/>
  <c r="O952" i="322"/>
  <c r="O958" i="322"/>
  <c r="N773" i="322"/>
  <c r="AX890" i="322"/>
  <c r="BD895" i="322"/>
  <c r="AN890" i="322"/>
  <c r="AZ937" i="322"/>
  <c r="X958" i="322" s="1"/>
  <c r="AZ744" i="322"/>
  <c r="AW940" i="322"/>
  <c r="AN937" i="322"/>
  <c r="BC940" i="322"/>
  <c r="EN940" i="322" s="1"/>
  <c r="AX792" i="322"/>
  <c r="AW748" i="322"/>
  <c r="AN792" i="322"/>
  <c r="AN744" i="322"/>
  <c r="AR795" i="322"/>
  <c r="AW795" i="322"/>
  <c r="EN795" i="322" s="1"/>
  <c r="AR747" i="322"/>
  <c r="AW747" i="322"/>
  <c r="AR748" i="322"/>
  <c r="AW501" i="322"/>
  <c r="AQ557" i="322"/>
  <c r="AQ558" i="322"/>
  <c r="AU558" i="322"/>
  <c r="AF558" i="322"/>
  <c r="AZ550" i="322"/>
  <c r="AU557" i="322"/>
  <c r="BG502" i="322"/>
  <c r="N560" i="322" l="1"/>
  <c r="O749" i="322"/>
  <c r="EN749" i="322" s="1"/>
  <c r="O783" i="322" s="1"/>
  <c r="Q962" i="322"/>
  <c r="L417" i="472"/>
  <c r="M417" i="472" s="1"/>
  <c r="L280" i="472"/>
  <c r="M280" i="472" s="1"/>
  <c r="L40" i="472"/>
  <c r="M40" i="472" s="1"/>
  <c r="L17" i="472"/>
  <c r="M17" i="472" s="1"/>
  <c r="L7" i="472"/>
  <c r="M7" i="472" s="1"/>
  <c r="L30" i="472"/>
  <c r="M30" i="472" s="1"/>
  <c r="L461" i="472"/>
  <c r="M461" i="472" s="1"/>
  <c r="AJ952" i="322"/>
  <c r="EP953" i="322" s="1"/>
  <c r="Y964" i="322" s="1"/>
  <c r="AF760" i="322"/>
  <c r="EP761" i="322" s="1"/>
  <c r="V785" i="322" s="1"/>
  <c r="Q217" i="322"/>
  <c r="AM217" i="322" s="1"/>
  <c r="EP218" i="322" s="1"/>
  <c r="Q364" i="322"/>
  <c r="AN364" i="322" s="1"/>
  <c r="EP365" i="322" s="1"/>
  <c r="P603" i="322"/>
  <c r="AC603" i="322" s="1"/>
  <c r="EP604" i="322" s="1"/>
  <c r="Q455" i="322"/>
  <c r="AH455" i="322" s="1"/>
  <c r="EP456" i="322" s="1"/>
  <c r="Q406" i="322"/>
  <c r="AE406" i="322" s="1"/>
  <c r="EP407" i="322" s="1"/>
  <c r="AI436" i="322" s="1"/>
  <c r="Q315" i="322"/>
  <c r="AN315" i="322" s="1"/>
  <c r="EP316" i="322" s="1"/>
  <c r="Q36" i="322"/>
  <c r="AI36" i="322" s="1"/>
  <c r="EP37" i="322" s="1"/>
  <c r="R43" i="322" s="1"/>
  <c r="EP44" i="322" s="1"/>
  <c r="EP22" i="322" s="1"/>
  <c r="Q264" i="322"/>
  <c r="AH264" i="322" s="1"/>
  <c r="EP265" i="322" s="1"/>
  <c r="Q119" i="322"/>
  <c r="AR119" i="322" s="1"/>
  <c r="EP120" i="322" s="1"/>
  <c r="R130" i="322" s="1"/>
  <c r="EP131" i="322" s="1"/>
  <c r="EP103" i="322" s="1"/>
  <c r="Q71" i="322"/>
  <c r="AR71" i="322" s="1"/>
  <c r="EP72" i="322" s="1"/>
  <c r="R82" i="322" s="1"/>
  <c r="EP83" i="322" s="1"/>
  <c r="EP55" i="322" s="1"/>
  <c r="Q179" i="322"/>
  <c r="AO179" i="322" s="1"/>
  <c r="EP180" i="322" s="1"/>
  <c r="N767" i="322"/>
  <c r="AA767" i="322" s="1"/>
  <c r="EP768" i="322" s="1"/>
  <c r="O902" i="322"/>
  <c r="AD902" i="322" s="1"/>
  <c r="EP903" i="322" s="1"/>
  <c r="O908" i="322" s="1"/>
  <c r="EP909" i="322" s="1"/>
  <c r="EP887" i="322" s="1"/>
  <c r="P800" i="322"/>
  <c r="AC800" i="322" s="1"/>
  <c r="EP801" i="322" s="1"/>
  <c r="P806" i="322" s="1"/>
  <c r="EP807" i="322" s="1"/>
  <c r="EP790" i="322" s="1"/>
  <c r="X800" i="322"/>
  <c r="O896" i="322"/>
  <c r="EN896" i="322" s="1"/>
  <c r="O906" i="322" s="1"/>
  <c r="X952" i="322"/>
  <c r="X957" i="322"/>
  <c r="AE946" i="322"/>
  <c r="EP947" i="322" s="1"/>
  <c r="Q964" i="322" s="1"/>
  <c r="X956" i="322"/>
  <c r="X946" i="322"/>
  <c r="X944" i="322"/>
  <c r="X950" i="322"/>
  <c r="AA754" i="322"/>
  <c r="EP755" i="322" s="1"/>
  <c r="O785" i="322" s="1"/>
  <c r="U771" i="322"/>
  <c r="X945" i="322"/>
  <c r="AE958" i="322"/>
  <c r="EP959" i="322" s="1"/>
  <c r="AG964" i="322" s="1"/>
  <c r="X951" i="322"/>
  <c r="U765" i="322"/>
  <c r="U772" i="322"/>
  <c r="X900" i="322"/>
  <c r="X901" i="322"/>
  <c r="X902" i="322"/>
  <c r="Z773" i="322"/>
  <c r="EP774" i="322" s="1"/>
  <c r="U779" i="322" s="1"/>
  <c r="U753" i="322"/>
  <c r="U760" i="322"/>
  <c r="U759" i="322"/>
  <c r="U767" i="322"/>
  <c r="U752" i="322"/>
  <c r="U754" i="322"/>
  <c r="X799" i="322"/>
  <c r="U766" i="322"/>
  <c r="U773" i="322"/>
  <c r="U758" i="322"/>
  <c r="EM940" i="322"/>
  <c r="X798" i="322"/>
  <c r="P804" i="322"/>
  <c r="EM795" i="322"/>
  <c r="N503" i="322"/>
  <c r="X574" i="322"/>
  <c r="Y570" i="322"/>
  <c r="X575" i="322"/>
  <c r="X576" i="322"/>
  <c r="Y568" i="322"/>
  <c r="Y569" i="322"/>
  <c r="AD576" i="322"/>
  <c r="EP577" i="322" s="1"/>
  <c r="E23" i="310"/>
  <c r="E22" i="310"/>
  <c r="E21" i="310"/>
  <c r="E20" i="310"/>
  <c r="E19" i="310"/>
  <c r="J290" i="320" s="1"/>
  <c r="J286" i="320" s="1"/>
  <c r="I286" i="320" s="1"/>
  <c r="J48" i="320" l="1"/>
  <c r="J44" i="320" s="1"/>
  <c r="I44" i="320" s="1"/>
  <c r="J85" i="320"/>
  <c r="J80" i="320" s="1"/>
  <c r="I80" i="320" s="1"/>
  <c r="J123" i="320"/>
  <c r="J119" i="320" s="1"/>
  <c r="I119" i="320" s="1"/>
  <c r="J198" i="320"/>
  <c r="J194" i="320" s="1"/>
  <c r="I194" i="320" s="1"/>
  <c r="J241" i="320"/>
  <c r="J237" i="320" s="1"/>
  <c r="I237" i="320" s="1"/>
  <c r="J273" i="320"/>
  <c r="J269" i="320" s="1"/>
  <c r="I269" i="320" s="1"/>
  <c r="J116" i="320"/>
  <c r="J112" i="320" s="1"/>
  <c r="I112" i="320" s="1"/>
  <c r="J75" i="320"/>
  <c r="J70" i="320" s="1"/>
  <c r="I70" i="320" s="1"/>
  <c r="J234" i="320"/>
  <c r="J230" i="320" s="1"/>
  <c r="J191" i="320"/>
  <c r="J187" i="320" s="1"/>
  <c r="I187" i="320" s="1"/>
  <c r="J109" i="320"/>
  <c r="J105" i="320" s="1"/>
  <c r="I105" i="320" s="1"/>
  <c r="J216" i="320"/>
  <c r="J212" i="320" s="1"/>
  <c r="I212" i="320" s="1"/>
  <c r="J166" i="320"/>
  <c r="J162" i="320" s="1"/>
  <c r="I162" i="320" s="1"/>
  <c r="J184" i="320"/>
  <c r="J180" i="320" s="1"/>
  <c r="I180" i="320" s="1"/>
  <c r="J223" i="320"/>
  <c r="J219" i="320" s="1"/>
  <c r="I219" i="320" s="1"/>
  <c r="J16" i="320"/>
  <c r="J12" i="320" s="1"/>
  <c r="I12" i="320" s="1"/>
  <c r="J248" i="320"/>
  <c r="J244" i="320" s="1"/>
  <c r="I244" i="320" s="1"/>
  <c r="J41" i="320"/>
  <c r="J37" i="320" s="1"/>
  <c r="I37" i="320" s="1"/>
  <c r="J134" i="320"/>
  <c r="J130" i="320" s="1"/>
  <c r="I130" i="320" s="1"/>
  <c r="J148" i="320"/>
  <c r="J144" i="320" s="1"/>
  <c r="I144" i="320" s="1"/>
  <c r="J159" i="320"/>
  <c r="J155" i="320" s="1"/>
  <c r="I155" i="320" s="1"/>
  <c r="J141" i="320"/>
  <c r="J137" i="320" s="1"/>
  <c r="I137" i="320" s="1"/>
  <c r="J100" i="320"/>
  <c r="J96" i="320" s="1"/>
  <c r="I96" i="320" s="1"/>
  <c r="J9" i="320"/>
  <c r="J5" i="320" s="1"/>
  <c r="I5" i="320" s="1"/>
  <c r="J266" i="320"/>
  <c r="J262" i="320" s="1"/>
  <c r="I262" i="320" s="1"/>
  <c r="J67" i="320"/>
  <c r="J62" i="320" s="1"/>
  <c r="I62" i="320" s="1"/>
  <c r="J259" i="320"/>
  <c r="J255" i="320" s="1"/>
  <c r="I255" i="320" s="1"/>
  <c r="J93" i="320"/>
  <c r="J88" i="320" s="1"/>
  <c r="I88" i="320" s="1"/>
  <c r="J23" i="320"/>
  <c r="J19" i="320" s="1"/>
  <c r="I19" i="320" s="1"/>
  <c r="J59" i="320"/>
  <c r="J55" i="320" s="1"/>
  <c r="I55" i="320" s="1"/>
  <c r="J34" i="320"/>
  <c r="J30" i="320" s="1"/>
  <c r="I30" i="320" s="1"/>
  <c r="J209" i="320"/>
  <c r="J205" i="320" s="1"/>
  <c r="I205" i="320" s="1"/>
  <c r="L613" i="472"/>
  <c r="M613" i="472" s="1"/>
  <c r="M614" i="472" s="1"/>
  <c r="L605" i="472"/>
  <c r="M605" i="472" s="1"/>
  <c r="M606" i="472" s="1"/>
  <c r="R390" i="322"/>
  <c r="Q864" i="322"/>
  <c r="AM864" i="322" s="1"/>
  <c r="EP865" i="322" s="1"/>
  <c r="R876" i="322" s="1"/>
  <c r="Q383" i="322"/>
  <c r="AI383" i="322" s="1"/>
  <c r="EP384" i="322" s="1"/>
  <c r="Z390" i="322" s="1"/>
  <c r="R243" i="322"/>
  <c r="Q334" i="322"/>
  <c r="AI334" i="322" s="1"/>
  <c r="EP335" i="322" s="1"/>
  <c r="Z341" i="322" s="1"/>
  <c r="Q279" i="322"/>
  <c r="AG279" i="322" s="1"/>
  <c r="EP280" i="322" s="1"/>
  <c r="Z286" i="322" s="1"/>
  <c r="P570" i="322"/>
  <c r="AE570" i="322" s="1"/>
  <c r="EP571" i="322" s="1"/>
  <c r="Q582" i="322" s="1"/>
  <c r="R485" i="322"/>
  <c r="AK485" i="322"/>
  <c r="EP486" i="322" s="1"/>
  <c r="EP447" i="322" s="1"/>
  <c r="Q633" i="322"/>
  <c r="AD633" i="322"/>
  <c r="EP634" i="322" s="1"/>
  <c r="EP595" i="322" s="1"/>
  <c r="R341" i="322"/>
  <c r="R286" i="322"/>
  <c r="R197" i="322"/>
  <c r="R436" i="322"/>
  <c r="EP437" i="322"/>
  <c r="EP398" i="322" s="1"/>
  <c r="Q990" i="322"/>
  <c r="AG990" i="322" s="1"/>
  <c r="EP991" i="322" s="1"/>
  <c r="X582" i="322"/>
  <c r="AO964" i="322"/>
  <c r="EP965" i="322" s="1"/>
  <c r="EP934" i="322" s="1"/>
  <c r="AA779" i="322"/>
  <c r="EP780" i="322" s="1"/>
  <c r="AC785" i="322" s="1"/>
  <c r="O779" i="322"/>
  <c r="EN560" i="322"/>
  <c r="Q586" i="322" s="1"/>
  <c r="G563" i="322"/>
  <c r="Y563" i="322"/>
  <c r="EO563" i="322" s="1"/>
  <c r="Y587" i="322" s="1"/>
  <c r="EN503" i="322"/>
  <c r="R1013" i="322" l="1"/>
  <c r="EM503" i="322"/>
  <c r="R516" i="322"/>
  <c r="I230" i="320"/>
  <c r="L617" i="472"/>
  <c r="M617" i="472" s="1"/>
  <c r="M618" i="472" s="1"/>
  <c r="J329" i="472"/>
  <c r="K329" i="472" s="1"/>
  <c r="K330" i="472" s="1"/>
  <c r="J289" i="472"/>
  <c r="K289" i="472" s="1"/>
  <c r="K291" i="472" s="1"/>
  <c r="L586" i="472"/>
  <c r="M586" i="472" s="1"/>
  <c r="M587" i="472" s="1"/>
  <c r="M704" i="322"/>
  <c r="AL704" i="322" s="1"/>
  <c r="P652" i="322"/>
  <c r="AD652" i="322" s="1"/>
  <c r="AI390" i="322"/>
  <c r="EP391" i="322" s="1"/>
  <c r="EP348" i="322" s="1"/>
  <c r="P508" i="322"/>
  <c r="AE508" i="322" s="1"/>
  <c r="Q1176" i="322"/>
  <c r="AL1176" i="322" s="1"/>
  <c r="AD582" i="322"/>
  <c r="EP583" i="322" s="1"/>
  <c r="Q588" i="322" s="1"/>
  <c r="EP589" i="322" s="1"/>
  <c r="EP548" i="322" s="1"/>
  <c r="AH286" i="322"/>
  <c r="EP287" i="322" s="1"/>
  <c r="EP250" i="322" s="1"/>
  <c r="AI341" i="322"/>
  <c r="EP342" i="322" s="1"/>
  <c r="EP299" i="322" s="1"/>
  <c r="P601" i="322"/>
  <c r="AC601" i="322" s="1"/>
  <c r="EN604" i="322" s="1"/>
  <c r="Q453" i="322"/>
  <c r="AH453" i="322" s="1"/>
  <c r="Q404" i="322"/>
  <c r="AE404" i="322" s="1"/>
  <c r="Q988" i="322"/>
  <c r="AG988" i="322" s="1"/>
  <c r="O950" i="322"/>
  <c r="AJ950" i="322" s="1"/>
  <c r="EN953" i="322" s="1"/>
  <c r="N758" i="322"/>
  <c r="AF758" i="322" s="1"/>
  <c r="EN761" i="322" s="1"/>
  <c r="AC783" i="322" s="1"/>
  <c r="O956" i="322"/>
  <c r="AE956" i="322" s="1"/>
  <c r="N771" i="322"/>
  <c r="Z771" i="322" s="1"/>
  <c r="N765" i="322"/>
  <c r="AA765" i="322" s="1"/>
  <c r="N752" i="322"/>
  <c r="AA752" i="322" s="1"/>
  <c r="P798" i="322"/>
  <c r="AC798" i="322" s="1"/>
  <c r="O900" i="322"/>
  <c r="AD900" i="322" s="1"/>
  <c r="O944" i="322"/>
  <c r="AE944" i="322" s="1"/>
  <c r="AI785" i="322"/>
  <c r="EP786" i="322" s="1"/>
  <c r="EP742" i="322" s="1"/>
  <c r="L600" i="472" s="1"/>
  <c r="M600" i="472" s="1"/>
  <c r="M601" i="472" s="1"/>
  <c r="EM563" i="322"/>
  <c r="J461" i="472" l="1"/>
  <c r="K461" i="472" s="1"/>
  <c r="EN513" i="322"/>
  <c r="Q177" i="322"/>
  <c r="AO177" i="322" s="1"/>
  <c r="EN180" i="322" s="1"/>
  <c r="Q215" i="322"/>
  <c r="AM215" i="322" s="1"/>
  <c r="EN218" i="322" s="1"/>
  <c r="Q34" i="322"/>
  <c r="AI34" i="322" s="1"/>
  <c r="EN37" i="322" s="1"/>
  <c r="Q117" i="322"/>
  <c r="AR117" i="322" s="1"/>
  <c r="EN120" i="322" s="1"/>
  <c r="Q313" i="322"/>
  <c r="AN313" i="322" s="1"/>
  <c r="EN316" i="322" s="1"/>
  <c r="Q262" i="322"/>
  <c r="AH262" i="322" s="1"/>
  <c r="EN265" i="322" s="1"/>
  <c r="J40" i="472"/>
  <c r="K40" i="472" s="1"/>
  <c r="Q362" i="322"/>
  <c r="AN362" i="322" s="1"/>
  <c r="EN365" i="322" s="1"/>
  <c r="J17" i="472"/>
  <c r="K17" i="472" s="1"/>
  <c r="Q69" i="322"/>
  <c r="AR69" i="322" s="1"/>
  <c r="EN72" i="322" s="1"/>
  <c r="J30" i="472"/>
  <c r="K30" i="472" s="1"/>
  <c r="J280" i="472"/>
  <c r="K280" i="472" s="1"/>
  <c r="J417" i="472"/>
  <c r="K417" i="472" s="1"/>
  <c r="J7" i="472"/>
  <c r="K7" i="472" s="1"/>
  <c r="L567" i="472"/>
  <c r="M567" i="472" s="1"/>
  <c r="M569" i="472" s="1"/>
  <c r="EN655" i="322"/>
  <c r="P655" i="322"/>
  <c r="EN707" i="322"/>
  <c r="M707" i="322"/>
  <c r="EN1179" i="322"/>
  <c r="Q862" i="322"/>
  <c r="AM862" i="322" s="1"/>
  <c r="EN865" i="322" s="1"/>
  <c r="Q381" i="322"/>
  <c r="AI381" i="322" s="1"/>
  <c r="R1224" i="322"/>
  <c r="AN1224" i="322" s="1"/>
  <c r="Q1127" i="322"/>
  <c r="AL1127" i="322" s="1"/>
  <c r="P574" i="322"/>
  <c r="AD574" i="322" s="1"/>
  <c r="EN577" i="322" s="1"/>
  <c r="Q1053" i="322"/>
  <c r="AF1053" i="322" s="1"/>
  <c r="Q476" i="322"/>
  <c r="AG476" i="322" s="1"/>
  <c r="P624" i="322"/>
  <c r="AE624" i="322" s="1"/>
  <c r="EN627" i="322" s="1"/>
  <c r="AD631" i="322" s="1"/>
  <c r="Q427" i="322"/>
  <c r="AJ427" i="322" s="1"/>
  <c r="EN991" i="322"/>
  <c r="Q857" i="322"/>
  <c r="Q1031" i="322"/>
  <c r="AO1031" i="322" s="1"/>
  <c r="EP1032" i="322" s="1"/>
  <c r="Q332" i="322"/>
  <c r="AI332" i="322" s="1"/>
  <c r="EN335" i="322" s="1"/>
  <c r="Q277" i="322"/>
  <c r="AG277" i="322" s="1"/>
  <c r="EN280" i="322" s="1"/>
  <c r="P568" i="322"/>
  <c r="AE568" i="322" s="1"/>
  <c r="EN571" i="322" s="1"/>
  <c r="EN456" i="322"/>
  <c r="Q631" i="322"/>
  <c r="EN407" i="322"/>
  <c r="EN903" i="322"/>
  <c r="EN755" i="322"/>
  <c r="EN774" i="322"/>
  <c r="EN947" i="322"/>
  <c r="EN801" i="322"/>
  <c r="EN959" i="322"/>
  <c r="EN768" i="322"/>
  <c r="BD962" i="322" l="1"/>
  <c r="Y516" i="322"/>
  <c r="AG516" i="322"/>
  <c r="P77" i="472"/>
  <c r="P54" i="472"/>
  <c r="L324" i="472"/>
  <c r="M324" i="472" s="1"/>
  <c r="M325" i="472" s="1"/>
  <c r="X710" i="322"/>
  <c r="EM707" i="322"/>
  <c r="Q674" i="322"/>
  <c r="EM655" i="322"/>
  <c r="S1182" i="322"/>
  <c r="R241" i="322"/>
  <c r="R388" i="322"/>
  <c r="EN384" i="322"/>
  <c r="AQ388" i="322" s="1"/>
  <c r="AL857" i="322"/>
  <c r="EP858" i="322" s="1"/>
  <c r="Z882" i="322" s="1"/>
  <c r="EN1130" i="322"/>
  <c r="EN479" i="322"/>
  <c r="AS483" i="322" s="1"/>
  <c r="AK631" i="322"/>
  <c r="EN634" i="322" s="1"/>
  <c r="EN595" i="322" s="1"/>
  <c r="EN1056" i="322"/>
  <c r="EN430" i="322"/>
  <c r="EN1227" i="322"/>
  <c r="Q855" i="322"/>
  <c r="AL855" i="322" s="1"/>
  <c r="Q1029" i="322"/>
  <c r="AN1029" i="322" s="1"/>
  <c r="Y1037" i="322"/>
  <c r="R874" i="322"/>
  <c r="R1011" i="322"/>
  <c r="AI1011" i="322"/>
  <c r="R483" i="322"/>
  <c r="AH284" i="322"/>
  <c r="R284" i="322"/>
  <c r="R434" i="322"/>
  <c r="R80" i="322"/>
  <c r="AG80" i="322"/>
  <c r="Z284" i="322"/>
  <c r="R339" i="322"/>
  <c r="AQ339" i="322"/>
  <c r="R195" i="322"/>
  <c r="AG128" i="322"/>
  <c r="R128" i="322"/>
  <c r="AH339" i="322"/>
  <c r="R41" i="322"/>
  <c r="Q870" i="322"/>
  <c r="AL870" i="322" s="1"/>
  <c r="EP871" i="322" s="1"/>
  <c r="O777" i="322"/>
  <c r="AA777" i="322"/>
  <c r="AS962" i="322"/>
  <c r="AA962" i="322"/>
  <c r="AK962" i="322"/>
  <c r="V783" i="322"/>
  <c r="X580" i="322"/>
  <c r="Q580" i="322"/>
  <c r="AD580" i="322"/>
  <c r="AF804" i="322"/>
  <c r="X804" i="322"/>
  <c r="U777" i="322"/>
  <c r="W906" i="322"/>
  <c r="AF906" i="322"/>
  <c r="EN519" i="322" l="1"/>
  <c r="B573" i="472"/>
  <c r="B76" i="472"/>
  <c r="B53" i="472"/>
  <c r="B582" i="472"/>
  <c r="L54" i="472"/>
  <c r="M54" i="472" s="1"/>
  <c r="L77" i="472"/>
  <c r="M77" i="472" s="1"/>
  <c r="J586" i="472"/>
  <c r="K586" i="472" s="1"/>
  <c r="K587" i="472" s="1"/>
  <c r="EN1185" i="322"/>
  <c r="AH388" i="322"/>
  <c r="EN391" i="322"/>
  <c r="AJ483" i="322"/>
  <c r="AH434" i="322"/>
  <c r="R1060" i="322"/>
  <c r="AR434" i="322"/>
  <c r="EN437" i="322" s="1"/>
  <c r="AI1231" i="322"/>
  <c r="Z1231" i="322"/>
  <c r="S1133" i="322"/>
  <c r="Y876" i="322"/>
  <c r="AG876" i="322"/>
  <c r="EP877" i="322" s="1"/>
  <c r="AH882" i="322" s="1"/>
  <c r="EN1014" i="322"/>
  <c r="EN1032" i="322"/>
  <c r="EN858" i="322"/>
  <c r="EN486" i="322"/>
  <c r="EN44" i="322"/>
  <c r="EN131" i="322"/>
  <c r="EN83" i="322"/>
  <c r="EN287" i="322"/>
  <c r="EN342" i="322"/>
  <c r="Q868" i="322"/>
  <c r="AL868" i="322" s="1"/>
  <c r="EN807" i="322"/>
  <c r="EN780" i="322"/>
  <c r="EN909" i="322"/>
  <c r="EN583" i="322"/>
  <c r="EN965" i="322"/>
  <c r="EN495" i="322" l="1"/>
  <c r="P53" i="472"/>
  <c r="P76" i="472"/>
  <c r="P85" i="472"/>
  <c r="P62" i="472"/>
  <c r="EN348" i="322"/>
  <c r="EN1063" i="322"/>
  <c r="EN1136" i="322"/>
  <c r="EN1234" i="322"/>
  <c r="EN871" i="322"/>
  <c r="AJ880" i="322"/>
  <c r="AF1035" i="322"/>
  <c r="R1035" i="322"/>
  <c r="Y1035" i="322"/>
  <c r="EN447" i="322"/>
  <c r="EN55" i="322"/>
  <c r="EN398" i="322"/>
  <c r="EN103" i="322"/>
  <c r="EN22" i="322"/>
  <c r="EN250" i="322"/>
  <c r="EN299" i="322"/>
  <c r="AG586" i="322"/>
  <c r="Y586" i="322"/>
  <c r="EN790" i="322"/>
  <c r="AI783" i="322"/>
  <c r="AQ783" i="322"/>
  <c r="EN934" i="322"/>
  <c r="EN887" i="322"/>
  <c r="J559" i="472" l="1"/>
  <c r="K559" i="472" s="1"/>
  <c r="P84" i="472"/>
  <c r="P61" i="472"/>
  <c r="J605" i="472"/>
  <c r="K605" i="472" s="1"/>
  <c r="K606" i="472" s="1"/>
  <c r="J617" i="472"/>
  <c r="K617" i="472" s="1"/>
  <c r="K618" i="472" s="1"/>
  <c r="J613" i="472"/>
  <c r="K613" i="472" s="1"/>
  <c r="K614" i="472" s="1"/>
  <c r="L85" i="472"/>
  <c r="M85" i="472" s="1"/>
  <c r="L62" i="472"/>
  <c r="M62" i="472" s="1"/>
  <c r="J320" i="472"/>
  <c r="K320" i="472" s="1"/>
  <c r="K321" i="472" s="1"/>
  <c r="EN1090" i="322"/>
  <c r="EN1139" i="322"/>
  <c r="EN1188" i="322"/>
  <c r="EN1041" i="322"/>
  <c r="EN1038" i="322"/>
  <c r="Y874" i="322"/>
  <c r="AG874" i="322"/>
  <c r="Q851" i="322"/>
  <c r="AJ851" i="322" s="1"/>
  <c r="EP852" i="322" s="1"/>
  <c r="Q849" i="322"/>
  <c r="AJ849" i="322" s="1"/>
  <c r="EN589" i="322"/>
  <c r="EN786" i="322"/>
  <c r="P60" i="472" l="1"/>
  <c r="P83" i="472"/>
  <c r="EN852" i="322"/>
  <c r="EN983" i="322"/>
  <c r="R882" i="322"/>
  <c r="AP882" i="322"/>
  <c r="EP883" i="322" s="1"/>
  <c r="EP839" i="322" s="1"/>
  <c r="EN877" i="322"/>
  <c r="EN742" i="322"/>
  <c r="J600" i="472" s="1"/>
  <c r="K600" i="472" s="1"/>
  <c r="K601" i="472" s="1"/>
  <c r="EN548" i="322"/>
  <c r="P59" i="472" l="1"/>
  <c r="P82" i="472"/>
  <c r="J567" i="472"/>
  <c r="K567" i="472" s="1"/>
  <c r="K569" i="472" s="1"/>
  <c r="AR880" i="322"/>
  <c r="AB880" i="322"/>
  <c r="BC880" i="322"/>
  <c r="P81" i="472" l="1"/>
  <c r="P58" i="472"/>
  <c r="J82" i="472"/>
  <c r="K82" i="472" s="1"/>
  <c r="J59" i="472"/>
  <c r="K59" i="472" s="1"/>
  <c r="L83" i="472"/>
  <c r="M83" i="472" s="1"/>
  <c r="L60" i="472"/>
  <c r="M60" i="472" s="1"/>
  <c r="L609" i="472"/>
  <c r="M609" i="472" s="1"/>
  <c r="M610" i="472" s="1"/>
  <c r="L61" i="472"/>
  <c r="M61" i="472" s="1"/>
  <c r="L84" i="472"/>
  <c r="M84" i="472" s="1"/>
  <c r="J324" i="472"/>
  <c r="K324" i="472" s="1"/>
  <c r="K325" i="472" s="1"/>
  <c r="L82" i="472"/>
  <c r="M82" i="472" s="1"/>
  <c r="L59" i="472"/>
  <c r="M59" i="472" s="1"/>
  <c r="J85" i="472"/>
  <c r="K85" i="472" s="1"/>
  <c r="J62" i="472"/>
  <c r="K62" i="472" s="1"/>
  <c r="J54" i="472"/>
  <c r="K54" i="472" s="1"/>
  <c r="J77" i="472"/>
  <c r="K77" i="472" s="1"/>
  <c r="EN883" i="322"/>
  <c r="J81" i="472" l="1"/>
  <c r="K81" i="472" s="1"/>
  <c r="J58" i="472"/>
  <c r="K58" i="472" s="1"/>
  <c r="L81" i="472"/>
  <c r="M81" i="472" s="1"/>
  <c r="L58" i="472"/>
  <c r="M58" i="472" s="1"/>
  <c r="EN839" i="322"/>
  <c r="G575" i="472" l="1"/>
  <c r="G560" i="472"/>
  <c r="J83" i="472"/>
  <c r="K83" i="472" s="1"/>
  <c r="J60" i="472"/>
  <c r="K60" i="472" s="1"/>
  <c r="J609" i="472"/>
  <c r="K609" i="472" s="1"/>
  <c r="K610" i="472" s="1"/>
  <c r="J61" i="472"/>
  <c r="K61" i="472" s="1"/>
  <c r="J84" i="472"/>
  <c r="K84" i="472" s="1"/>
  <c r="G596" i="472" l="1"/>
  <c r="L577" i="472"/>
  <c r="M577" i="472" s="1"/>
  <c r="L562" i="472"/>
  <c r="M562" i="472" s="1"/>
  <c r="J562" i="472"/>
  <c r="K562" i="472" s="1"/>
  <c r="J577" i="472"/>
  <c r="K577" i="472" s="1"/>
  <c r="B590" i="472" l="1"/>
  <c r="B572" i="472"/>
  <c r="L418" i="472" l="1"/>
  <c r="M418" i="472" s="1"/>
  <c r="M423" i="472" s="1"/>
  <c r="L41" i="472"/>
  <c r="M41" i="472" s="1"/>
  <c r="L18" i="472"/>
  <c r="M18" i="472" s="1"/>
  <c r="L8" i="472"/>
  <c r="M8" i="472" s="1"/>
  <c r="L31" i="472"/>
  <c r="M31" i="472" s="1"/>
  <c r="L462" i="472"/>
  <c r="M462" i="472" s="1"/>
  <c r="M467" i="472" s="1"/>
  <c r="L281" i="472"/>
  <c r="M281" i="472" s="1"/>
  <c r="M286" i="472" s="1"/>
  <c r="J281" i="472"/>
  <c r="K281" i="472" s="1"/>
  <c r="K286" i="472" s="1"/>
  <c r="H285" i="472" s="1"/>
  <c r="I285" i="472" s="1"/>
  <c r="O285" i="472" s="1"/>
  <c r="J8" i="472"/>
  <c r="K8" i="472" s="1"/>
  <c r="J462" i="472"/>
  <c r="K462" i="472" s="1"/>
  <c r="K467" i="472" s="1"/>
  <c r="J418" i="472"/>
  <c r="K418" i="472" s="1"/>
  <c r="K423" i="472" s="1"/>
  <c r="J41" i="472"/>
  <c r="K41" i="472" s="1"/>
  <c r="J31" i="472"/>
  <c r="K31" i="472" s="1"/>
  <c r="J18" i="472"/>
  <c r="K18" i="472" s="1"/>
  <c r="Q236" i="322"/>
  <c r="AF236" i="322" s="1"/>
  <c r="EP237" i="322" s="1"/>
  <c r="AH243" i="322" s="1"/>
  <c r="EP244" i="322" s="1"/>
  <c r="EP201" i="322" s="1"/>
  <c r="Q234" i="322"/>
  <c r="AF234" i="322" s="1"/>
  <c r="EN237" i="322" s="1"/>
  <c r="O191" i="322"/>
  <c r="AL191" i="322" s="1"/>
  <c r="EP192" i="322" s="1"/>
  <c r="Z197" i="322" s="1"/>
  <c r="O189" i="322"/>
  <c r="AL189" i="322" s="1"/>
  <c r="EN192" i="322" s="1"/>
  <c r="Z195" i="322" s="1"/>
  <c r="L802" i="472" l="1"/>
  <c r="M802" i="472" s="1"/>
  <c r="L741" i="472"/>
  <c r="M741" i="472" s="1"/>
  <c r="L404" i="472"/>
  <c r="M404" i="472" s="1"/>
  <c r="L201" i="472"/>
  <c r="M201" i="472" s="1"/>
  <c r="L430" i="472"/>
  <c r="M430" i="472" s="1"/>
  <c r="L337" i="472"/>
  <c r="M337" i="472" s="1"/>
  <c r="L232" i="472"/>
  <c r="M232" i="472" s="1"/>
  <c r="L221" i="472"/>
  <c r="M221" i="472" s="1"/>
  <c r="L211" i="472"/>
  <c r="M211" i="472" s="1"/>
  <c r="L115" i="472"/>
  <c r="M115" i="472" s="1"/>
  <c r="L793" i="472"/>
  <c r="M793" i="472" s="1"/>
  <c r="L718" i="472"/>
  <c r="M718" i="472" s="1"/>
  <c r="L347" i="472"/>
  <c r="M347" i="472" s="1"/>
  <c r="L727" i="472"/>
  <c r="M727" i="472" s="1"/>
  <c r="J727" i="472"/>
  <c r="K727" i="472" s="1"/>
  <c r="J430" i="472"/>
  <c r="K430" i="472" s="1"/>
  <c r="J337" i="472"/>
  <c r="K337" i="472" s="1"/>
  <c r="J802" i="472"/>
  <c r="K802" i="472" s="1"/>
  <c r="J741" i="472"/>
  <c r="K741" i="472" s="1"/>
  <c r="J404" i="472"/>
  <c r="K404" i="472" s="1"/>
  <c r="J201" i="472"/>
  <c r="K201" i="472" s="1"/>
  <c r="J232" i="472"/>
  <c r="K232" i="472" s="1"/>
  <c r="J221" i="472"/>
  <c r="K221" i="472" s="1"/>
  <c r="J211" i="472"/>
  <c r="K211" i="472" s="1"/>
  <c r="J115" i="472"/>
  <c r="K115" i="472" s="1"/>
  <c r="J793" i="472"/>
  <c r="K793" i="472" s="1"/>
  <c r="J718" i="472"/>
  <c r="K718" i="472" s="1"/>
  <c r="J347" i="472"/>
  <c r="K347" i="472" s="1"/>
  <c r="Z243" i="322"/>
  <c r="AG241" i="322"/>
  <c r="AO241" i="322"/>
  <c r="AI197" i="322"/>
  <c r="EP198" i="322" s="1"/>
  <c r="EP166" i="322" s="1"/>
  <c r="AI195" i="322"/>
  <c r="EN198" i="322" s="1"/>
  <c r="EN166" i="322" s="1"/>
  <c r="EN244" i="322" l="1"/>
  <c r="EN201" i="322" l="1"/>
  <c r="Q1055" i="322" l="1"/>
  <c r="AF1055" i="322" s="1"/>
  <c r="EP1056" i="322" s="1"/>
  <c r="R1062" i="322" s="1"/>
  <c r="EP1063" i="322" s="1"/>
  <c r="EP1041" i="322" s="1"/>
  <c r="Q995" i="322"/>
  <c r="AQ995" i="322" s="1"/>
  <c r="P659" i="322" l="1"/>
  <c r="Q996" i="322"/>
  <c r="AQ996" i="322" s="1"/>
  <c r="EO997" i="322" s="1"/>
  <c r="P660" i="322"/>
  <c r="AN660" i="322" s="1"/>
  <c r="EP661" i="322" s="1"/>
  <c r="Q997" i="322"/>
  <c r="AQ997" i="322" s="1"/>
  <c r="EP997" i="322" s="1"/>
  <c r="AN659" i="322"/>
  <c r="EO661" i="322" s="1"/>
  <c r="Y675" i="322" s="1"/>
  <c r="L803" i="472"/>
  <c r="M803" i="472" s="1"/>
  <c r="M807" i="472" s="1"/>
  <c r="L742" i="472"/>
  <c r="M742" i="472" s="1"/>
  <c r="M746" i="472" s="1"/>
  <c r="L202" i="472"/>
  <c r="M202" i="472" s="1"/>
  <c r="M206" i="472" s="1"/>
  <c r="L405" i="472"/>
  <c r="M405" i="472" s="1"/>
  <c r="M410" i="472" s="1"/>
  <c r="L233" i="472"/>
  <c r="M233" i="472" s="1"/>
  <c r="M237" i="472" s="1"/>
  <c r="L222" i="472"/>
  <c r="M222" i="472" s="1"/>
  <c r="M226" i="472" s="1"/>
  <c r="L212" i="472"/>
  <c r="M212" i="472" s="1"/>
  <c r="M216" i="472" s="1"/>
  <c r="L794" i="472"/>
  <c r="M794" i="472" s="1"/>
  <c r="M798" i="472" s="1"/>
  <c r="L719" i="472"/>
  <c r="M719" i="472" s="1"/>
  <c r="M723" i="472" s="1"/>
  <c r="L348" i="472"/>
  <c r="M348" i="472" s="1"/>
  <c r="M352" i="472" s="1"/>
  <c r="L338" i="472"/>
  <c r="M338" i="472" s="1"/>
  <c r="M342" i="472" s="1"/>
  <c r="L728" i="472"/>
  <c r="M728" i="472" s="1"/>
  <c r="M732" i="472" s="1"/>
  <c r="J728" i="472"/>
  <c r="K728" i="472" s="1"/>
  <c r="K732" i="472" s="1"/>
  <c r="J405" i="472"/>
  <c r="K405" i="472" s="1"/>
  <c r="K410" i="472" s="1"/>
  <c r="J338" i="472"/>
  <c r="K338" i="472" s="1"/>
  <c r="K342" i="472" s="1"/>
  <c r="J348" i="472"/>
  <c r="K348" i="472" s="1"/>
  <c r="K352" i="472" s="1"/>
  <c r="J803" i="472"/>
  <c r="K803" i="472" s="1"/>
  <c r="K807" i="472" s="1"/>
  <c r="J742" i="472"/>
  <c r="K742" i="472" s="1"/>
  <c r="K746" i="472" s="1"/>
  <c r="J202" i="472"/>
  <c r="K202" i="472" s="1"/>
  <c r="K206" i="472" s="1"/>
  <c r="J233" i="472"/>
  <c r="K233" i="472" s="1"/>
  <c r="K237" i="472" s="1"/>
  <c r="J222" i="472"/>
  <c r="K222" i="472" s="1"/>
  <c r="K226" i="472" s="1"/>
  <c r="J212" i="472"/>
  <c r="K212" i="472" s="1"/>
  <c r="K216" i="472" s="1"/>
  <c r="J794" i="472"/>
  <c r="K794" i="472" s="1"/>
  <c r="K798" i="472" s="1"/>
  <c r="J719" i="472"/>
  <c r="K719" i="472" s="1"/>
  <c r="K723" i="472" s="1"/>
  <c r="P658" i="322"/>
  <c r="AN658" i="322" s="1"/>
  <c r="Z1012" i="322" l="1"/>
  <c r="EM997" i="322"/>
  <c r="W1013" i="322"/>
  <c r="AC1013" i="322"/>
  <c r="EP1014" i="322" s="1"/>
  <c r="Q998" i="322"/>
  <c r="AG676" i="322"/>
  <c r="EP677" i="322" s="1"/>
  <c r="AD712" i="322" s="1"/>
  <c r="EP713" i="322" s="1"/>
  <c r="EP644" i="322" s="1"/>
  <c r="L582" i="472" s="1"/>
  <c r="M582" i="472" s="1"/>
  <c r="M583" i="472" s="1"/>
  <c r="X676" i="322"/>
  <c r="EN661" i="322"/>
  <c r="P661" i="322"/>
  <c r="R1037" i="322" l="1"/>
  <c r="AF1037" i="322"/>
  <c r="EP1038" i="322" s="1"/>
  <c r="EP983" i="322" s="1"/>
  <c r="Q712" i="322"/>
  <c r="Y674" i="322"/>
  <c r="EM661" i="322"/>
  <c r="AO674" i="322"/>
  <c r="EN677" i="322" s="1"/>
  <c r="L76" i="472" l="1"/>
  <c r="M76" i="472" s="1"/>
  <c r="L53" i="472"/>
  <c r="M53" i="472" s="1"/>
  <c r="Q710" i="322"/>
  <c r="AD710" i="322"/>
  <c r="EN713" i="322" s="1"/>
  <c r="EN644" i="322" s="1"/>
  <c r="J582" i="472" s="1"/>
  <c r="K582" i="472" s="1"/>
  <c r="K583" i="472" s="1"/>
  <c r="J53" i="472" l="1"/>
  <c r="K53" i="472" s="1"/>
  <c r="J76" i="472"/>
  <c r="K76" i="472" s="1"/>
  <c r="H50" i="157" l="1"/>
  <c r="I74" i="14" l="1"/>
  <c r="I75" i="168"/>
  <c r="I73" i="8"/>
  <c r="H31" i="8" l="1"/>
  <c r="M31" i="8"/>
  <c r="O31" i="8"/>
  <c r="P31" i="8"/>
  <c r="Q31" i="8"/>
  <c r="H32" i="8"/>
  <c r="M32" i="8"/>
  <c r="O32" i="8"/>
  <c r="P32" i="8"/>
  <c r="Q32" i="8"/>
  <c r="H33" i="8"/>
  <c r="O33" i="8"/>
  <c r="P33" i="8"/>
  <c r="Q33" i="8"/>
  <c r="B414" i="462" l="1"/>
  <c r="B367" i="462"/>
  <c r="P1791" i="157" l="1"/>
  <c r="B1792" i="157"/>
  <c r="B1768" i="157" s="1"/>
  <c r="L1767" i="157" s="1"/>
  <c r="P1789" i="157"/>
  <c r="B1790" i="157"/>
  <c r="H1768" i="157" s="1"/>
  <c r="J1781" i="157"/>
  <c r="H1781" i="157"/>
  <c r="E1779" i="157"/>
  <c r="M1781" i="157" s="1"/>
  <c r="P1772" i="157"/>
  <c r="O1771" i="157"/>
  <c r="L1771" i="157"/>
  <c r="H1771" i="157"/>
  <c r="O1767" i="157"/>
  <c r="O1905" i="157"/>
  <c r="H1905" i="157"/>
  <c r="O1903" i="157"/>
  <c r="H1903" i="157"/>
  <c r="O1873" i="157"/>
  <c r="H1873" i="157"/>
  <c r="O1871" i="157"/>
  <c r="H1871" i="157"/>
  <c r="O1907" i="157"/>
  <c r="H1907" i="157"/>
  <c r="H1875" i="157"/>
  <c r="O1875" i="157"/>
  <c r="B1824" i="157"/>
  <c r="L1800" i="157" s="1"/>
  <c r="B1822" i="157"/>
  <c r="H1800" i="157" s="1"/>
  <c r="J1813" i="157"/>
  <c r="H1813" i="157"/>
  <c r="E1811" i="157"/>
  <c r="M1813" i="157" s="1"/>
  <c r="P1804" i="157"/>
  <c r="O1803" i="157"/>
  <c r="L1803" i="157"/>
  <c r="H1803" i="157"/>
  <c r="O1799" i="157"/>
  <c r="P1941" i="157"/>
  <c r="A42" i="467"/>
  <c r="A5" i="8"/>
  <c r="O5" i="8"/>
  <c r="P5" i="8"/>
  <c r="Q5" i="8"/>
  <c r="A31" i="8"/>
  <c r="A32" i="8"/>
  <c r="A33" i="8"/>
  <c r="H40" i="157"/>
  <c r="L40" i="157"/>
  <c r="P41" i="157"/>
  <c r="P50" i="157"/>
  <c r="H36" i="157"/>
  <c r="P58" i="157"/>
  <c r="L36" i="157"/>
  <c r="P60" i="157"/>
  <c r="O68" i="157"/>
  <c r="O72" i="157" s="1"/>
  <c r="H72" i="157"/>
  <c r="L72" i="157"/>
  <c r="H73" i="157"/>
  <c r="L73" i="157"/>
  <c r="H80" i="157"/>
  <c r="J80" i="157"/>
  <c r="M80" i="157"/>
  <c r="P80" i="157"/>
  <c r="B86" i="157"/>
  <c r="B70" i="157" s="1"/>
  <c r="H68" i="157" s="1"/>
  <c r="P90" i="157"/>
  <c r="O1927" i="157"/>
  <c r="O1931" i="157" s="1"/>
  <c r="H1931" i="157"/>
  <c r="L1931" i="157"/>
  <c r="H1932" i="157"/>
  <c r="L1932" i="157"/>
  <c r="B1946" i="157"/>
  <c r="L1927" i="157" s="1"/>
  <c r="O260" i="157"/>
  <c r="O264" i="157" s="1"/>
  <c r="H264" i="157"/>
  <c r="L264" i="157"/>
  <c r="H265" i="157"/>
  <c r="L265" i="157"/>
  <c r="H272" i="157"/>
  <c r="J272" i="157"/>
  <c r="M272" i="157"/>
  <c r="P272" i="157"/>
  <c r="B279" i="157"/>
  <c r="B263" i="157" s="1"/>
  <c r="P282" i="157"/>
  <c r="O1831" i="157"/>
  <c r="H1835" i="157"/>
  <c r="L1835" i="157"/>
  <c r="O1835" i="157"/>
  <c r="E1843" i="157"/>
  <c r="M1845" i="157" s="1"/>
  <c r="H1845" i="157"/>
  <c r="J1845" i="157"/>
  <c r="P1845" i="157"/>
  <c r="B1854" i="157"/>
  <c r="B1834" i="157" s="1"/>
  <c r="H1831" i="157" s="1"/>
  <c r="B1856" i="157"/>
  <c r="B1832" i="157" s="1"/>
  <c r="L1831" i="157" s="1"/>
  <c r="O292" i="157"/>
  <c r="H296" i="157"/>
  <c r="L296" i="157"/>
  <c r="O296" i="157"/>
  <c r="H297" i="157"/>
  <c r="L297" i="157"/>
  <c r="O297" i="157"/>
  <c r="B315" i="157"/>
  <c r="H293" i="157" s="1"/>
  <c r="P314" i="157"/>
  <c r="B317" i="157"/>
  <c r="L293" i="157" s="1"/>
  <c r="P318" i="157"/>
  <c r="O324" i="157"/>
  <c r="H328" i="157"/>
  <c r="L328" i="157"/>
  <c r="O328" i="157"/>
  <c r="H329" i="157"/>
  <c r="L329" i="157"/>
  <c r="O329" i="157"/>
  <c r="B347" i="157"/>
  <c r="H325" i="157" s="1"/>
  <c r="P346" i="157"/>
  <c r="B349" i="157"/>
  <c r="L325" i="157" s="1"/>
  <c r="P348" i="157"/>
  <c r="P350" i="157"/>
  <c r="O356" i="157"/>
  <c r="H360" i="157"/>
  <c r="L360" i="157"/>
  <c r="O360" i="157"/>
  <c r="H361" i="157"/>
  <c r="L361" i="157"/>
  <c r="O361" i="157"/>
  <c r="B379" i="157"/>
  <c r="H357" i="157" s="1"/>
  <c r="P378" i="157"/>
  <c r="B381" i="157"/>
  <c r="B357" i="157" s="1"/>
  <c r="L356" i="157" s="1"/>
  <c r="P380" i="157"/>
  <c r="P382" i="157"/>
  <c r="O388" i="157"/>
  <c r="H392" i="157"/>
  <c r="L392" i="157"/>
  <c r="O392" i="157"/>
  <c r="H393" i="157"/>
  <c r="L393" i="157"/>
  <c r="O393" i="157"/>
  <c r="B411" i="157"/>
  <c r="H389" i="157" s="1"/>
  <c r="P410" i="157"/>
  <c r="B413" i="157"/>
  <c r="L389" i="157" s="1"/>
  <c r="P412" i="157"/>
  <c r="P414" i="157"/>
  <c r="O420" i="157"/>
  <c r="H424" i="157"/>
  <c r="L424" i="157"/>
  <c r="O424" i="157"/>
  <c r="H425" i="157"/>
  <c r="L425" i="157"/>
  <c r="O425" i="157"/>
  <c r="B443" i="157"/>
  <c r="H421" i="157" s="1"/>
  <c r="P442" i="157"/>
  <c r="B445" i="157"/>
  <c r="L421" i="157" s="1"/>
  <c r="P444" i="157"/>
  <c r="P446" i="157"/>
  <c r="O452" i="157"/>
  <c r="H456" i="157"/>
  <c r="L456" i="157"/>
  <c r="O456" i="157"/>
  <c r="H457" i="157"/>
  <c r="L457" i="157"/>
  <c r="O457" i="157"/>
  <c r="B475" i="157"/>
  <c r="H453" i="157" s="1"/>
  <c r="P474" i="157"/>
  <c r="B477" i="157"/>
  <c r="L453" i="157" s="1"/>
  <c r="P476" i="157"/>
  <c r="P478" i="157"/>
  <c r="O484" i="157"/>
  <c r="H488" i="157"/>
  <c r="L488" i="157"/>
  <c r="O488" i="157"/>
  <c r="H489" i="157"/>
  <c r="L489" i="157"/>
  <c r="O489" i="157"/>
  <c r="B507" i="157"/>
  <c r="B487" i="157" s="1"/>
  <c r="H484" i="157" s="1"/>
  <c r="B509" i="157"/>
  <c r="L485" i="157" s="1"/>
  <c r="O516" i="157"/>
  <c r="H520" i="157"/>
  <c r="L520" i="157"/>
  <c r="O520" i="157"/>
  <c r="H521" i="157"/>
  <c r="L521" i="157"/>
  <c r="O521" i="157"/>
  <c r="B539" i="157"/>
  <c r="B519" i="157" s="1"/>
  <c r="H516" i="157" s="1"/>
  <c r="B541" i="157"/>
  <c r="B517" i="157" s="1"/>
  <c r="L516" i="157" s="1"/>
  <c r="O548" i="157"/>
  <c r="H552" i="157"/>
  <c r="L552" i="157"/>
  <c r="O552" i="157"/>
  <c r="P553" i="157"/>
  <c r="E560" i="157"/>
  <c r="M562" i="157" s="1"/>
  <c r="H562" i="157"/>
  <c r="J562" i="157"/>
  <c r="P562" i="157"/>
  <c r="B571" i="157"/>
  <c r="H549" i="157" s="1"/>
  <c r="B573" i="157"/>
  <c r="L549" i="157" s="1"/>
  <c r="O580" i="157"/>
  <c r="H584" i="157"/>
  <c r="L584" i="157"/>
  <c r="O584" i="157"/>
  <c r="H585" i="157"/>
  <c r="L585" i="157"/>
  <c r="O585" i="157"/>
  <c r="B603" i="157"/>
  <c r="H581" i="157" s="1"/>
  <c r="B605" i="157"/>
  <c r="L581" i="157" s="1"/>
  <c r="O612" i="157"/>
  <c r="H616" i="157"/>
  <c r="L616" i="157"/>
  <c r="O616" i="157"/>
  <c r="H617" i="157"/>
  <c r="L617" i="157"/>
  <c r="O617" i="157"/>
  <c r="B635" i="157"/>
  <c r="H613" i="157" s="1"/>
  <c r="B637" i="157"/>
  <c r="L613" i="157" s="1"/>
  <c r="H1863" i="157"/>
  <c r="E1873" i="157"/>
  <c r="O1863" i="157" s="1"/>
  <c r="B1882" i="157"/>
  <c r="L1873" i="157" s="1"/>
  <c r="H1895" i="157"/>
  <c r="E1905" i="157"/>
  <c r="O1895" i="157" s="1"/>
  <c r="H644" i="157"/>
  <c r="P652" i="157"/>
  <c r="E654" i="157"/>
  <c r="O644" i="157" s="1"/>
  <c r="P654" i="157"/>
  <c r="P656" i="157"/>
  <c r="B663" i="157"/>
  <c r="L644" i="157" s="1"/>
  <c r="O676" i="157"/>
  <c r="H680" i="157"/>
  <c r="L680" i="157"/>
  <c r="O680" i="157"/>
  <c r="O681" i="157"/>
  <c r="P681" i="157" s="1"/>
  <c r="E684" i="157"/>
  <c r="B693" i="157"/>
  <c r="H677" i="157" s="1"/>
  <c r="B694" i="157"/>
  <c r="L677" i="157" s="1"/>
  <c r="O708" i="157"/>
  <c r="B711" i="157"/>
  <c r="H712" i="157"/>
  <c r="L712" i="157"/>
  <c r="O712" i="157"/>
  <c r="B731" i="157"/>
  <c r="H708" i="157" s="1"/>
  <c r="P730" i="157"/>
  <c r="B733" i="157"/>
  <c r="L708" i="157" s="1"/>
  <c r="P732" i="157"/>
  <c r="O740" i="157"/>
  <c r="O744" i="157" s="1"/>
  <c r="H744" i="157"/>
  <c r="L744" i="157"/>
  <c r="H745" i="157"/>
  <c r="L745" i="157"/>
  <c r="B759" i="157"/>
  <c r="B743" i="157" s="1"/>
  <c r="H741" i="157" s="1"/>
  <c r="O772" i="157"/>
  <c r="H776" i="157"/>
  <c r="L776" i="157"/>
  <c r="O776" i="157"/>
  <c r="H777" i="157"/>
  <c r="L777" i="157"/>
  <c r="O777" i="157"/>
  <c r="B795" i="157"/>
  <c r="B775" i="157" s="1"/>
  <c r="H772" i="157" s="1"/>
  <c r="B797" i="157"/>
  <c r="L773" i="157" s="1"/>
  <c r="O804" i="157"/>
  <c r="H808" i="157"/>
  <c r="L808" i="157"/>
  <c r="O808" i="157"/>
  <c r="H809" i="157"/>
  <c r="L809" i="157"/>
  <c r="O809" i="157"/>
  <c r="B827" i="157"/>
  <c r="H805" i="157" s="1"/>
  <c r="B829" i="157"/>
  <c r="B805" i="157" s="1"/>
  <c r="L804" i="157" s="1"/>
  <c r="O836" i="157"/>
  <c r="H840" i="157"/>
  <c r="L840" i="157"/>
  <c r="O840" i="157"/>
  <c r="H841" i="157"/>
  <c r="L841" i="157"/>
  <c r="O841" i="157"/>
  <c r="B859" i="157"/>
  <c r="B839" i="157" s="1"/>
  <c r="H836" i="157" s="1"/>
  <c r="B861" i="157"/>
  <c r="B837" i="157" s="1"/>
  <c r="L836" i="157" s="1"/>
  <c r="O868" i="157"/>
  <c r="H872" i="157"/>
  <c r="L872" i="157"/>
  <c r="O872" i="157"/>
  <c r="H873" i="157"/>
  <c r="L873" i="157"/>
  <c r="O873" i="157"/>
  <c r="B891" i="157"/>
  <c r="H869" i="157" s="1"/>
  <c r="B893" i="157"/>
  <c r="B869" i="157" s="1"/>
  <c r="L868" i="157" s="1"/>
  <c r="H900" i="157"/>
  <c r="L900" i="157"/>
  <c r="O900" i="157"/>
  <c r="H901" i="157"/>
  <c r="L901" i="157"/>
  <c r="H904" i="157"/>
  <c r="L904" i="157"/>
  <c r="O904" i="157"/>
  <c r="H905" i="157"/>
  <c r="L905" i="157"/>
  <c r="O905" i="157"/>
  <c r="L910" i="157"/>
  <c r="O932" i="157"/>
  <c r="O936" i="157" s="1"/>
  <c r="H936" i="157"/>
  <c r="L936" i="157"/>
  <c r="H937" i="157"/>
  <c r="L937" i="157"/>
  <c r="B951" i="157"/>
  <c r="L933" i="157" s="1"/>
  <c r="O964" i="157"/>
  <c r="O968" i="157" s="1"/>
  <c r="H968" i="157"/>
  <c r="L968" i="157"/>
  <c r="H969" i="157"/>
  <c r="L969" i="157"/>
  <c r="B983" i="157"/>
  <c r="L964" i="157" s="1"/>
  <c r="O996" i="157"/>
  <c r="O1000" i="157" s="1"/>
  <c r="H1000" i="157"/>
  <c r="L1000" i="157"/>
  <c r="H1001" i="157"/>
  <c r="L1001" i="157"/>
  <c r="B1015" i="157"/>
  <c r="L996" i="157" s="1"/>
  <c r="O1028" i="157"/>
  <c r="O1032" i="157" s="1"/>
  <c r="H1032" i="157"/>
  <c r="L1032" i="157"/>
  <c r="H1033" i="157"/>
  <c r="L1033" i="157"/>
  <c r="B1047" i="157"/>
  <c r="L1028" i="157" s="1"/>
  <c r="H1060" i="157"/>
  <c r="L1060" i="157"/>
  <c r="O1060" i="157"/>
  <c r="H1061" i="157"/>
  <c r="L1061" i="157"/>
  <c r="H1064" i="157"/>
  <c r="L1064" i="157"/>
  <c r="O1064" i="157"/>
  <c r="H1065" i="157"/>
  <c r="L1065" i="157"/>
  <c r="O1065" i="157"/>
  <c r="E1072" i="157"/>
  <c r="H1092" i="157"/>
  <c r="L1092" i="157"/>
  <c r="O1092" i="157"/>
  <c r="H1093" i="157"/>
  <c r="L1093" i="157"/>
  <c r="H1096" i="157"/>
  <c r="L1096" i="157"/>
  <c r="O1096" i="157"/>
  <c r="O1124" i="157"/>
  <c r="H1128" i="157"/>
  <c r="L1128" i="157"/>
  <c r="O1128" i="157"/>
  <c r="H1129" i="157"/>
  <c r="L1129" i="157"/>
  <c r="O1129" i="157"/>
  <c r="E1136" i="157"/>
  <c r="B1147" i="157"/>
  <c r="B1127" i="157" s="1"/>
  <c r="H1124" i="157" s="1"/>
  <c r="B1149" i="157"/>
  <c r="L1125" i="157" s="1"/>
  <c r="O1156" i="157"/>
  <c r="H1160" i="157"/>
  <c r="L1160" i="157"/>
  <c r="O1160" i="157"/>
  <c r="O1161" i="157" s="1"/>
  <c r="H1161" i="157"/>
  <c r="L1161" i="157"/>
  <c r="K1162" i="157"/>
  <c r="M1162" i="157"/>
  <c r="O1162" i="157"/>
  <c r="L1177" i="157"/>
  <c r="P1177" i="157" s="1"/>
  <c r="B1180" i="157"/>
  <c r="L1156" i="157" s="1"/>
  <c r="H1192" i="157"/>
  <c r="J1192" i="157"/>
  <c r="M1192" i="157"/>
  <c r="O1192" i="157"/>
  <c r="H1193" i="157"/>
  <c r="K1193" i="157"/>
  <c r="M1193" i="157"/>
  <c r="O1193" i="157"/>
  <c r="E1198" i="157"/>
  <c r="O1188" i="157" s="1"/>
  <c r="P1200" i="157"/>
  <c r="P1204" i="157"/>
  <c r="B1207" i="157"/>
  <c r="L1188" i="157" s="1"/>
  <c r="P1206" i="157"/>
  <c r="P1208" i="157"/>
  <c r="L1210" i="157"/>
  <c r="P1210" i="157" s="1"/>
  <c r="A1217" i="157"/>
  <c r="O1220" i="157"/>
  <c r="B1239" i="157"/>
  <c r="L1221" i="157" s="1"/>
  <c r="O1252" i="157"/>
  <c r="H1256" i="157"/>
  <c r="L1256" i="157"/>
  <c r="O1256" i="157"/>
  <c r="H1257" i="157"/>
  <c r="L1257" i="157"/>
  <c r="O1257" i="157"/>
  <c r="E1264" i="157"/>
  <c r="B1275" i="157"/>
  <c r="B1255" i="157" s="1"/>
  <c r="H1252" i="157" s="1"/>
  <c r="P1274" i="157"/>
  <c r="B1277" i="157"/>
  <c r="B1253" i="157" s="1"/>
  <c r="L1252" i="157" s="1"/>
  <c r="P1276" i="157"/>
  <c r="P1278" i="157"/>
  <c r="O1284" i="157"/>
  <c r="H1288" i="157"/>
  <c r="L1288" i="157"/>
  <c r="O1288" i="157"/>
  <c r="H1289" i="157"/>
  <c r="L1289" i="157"/>
  <c r="O1289" i="157"/>
  <c r="E1296" i="157"/>
  <c r="M1298" i="157" s="1"/>
  <c r="H1298" i="157"/>
  <c r="J1298" i="157"/>
  <c r="B1307" i="157"/>
  <c r="H1285" i="157" s="1"/>
  <c r="P1306" i="157"/>
  <c r="B1309" i="157"/>
  <c r="B1285" i="157" s="1"/>
  <c r="L1284" i="157" s="1"/>
  <c r="P1308" i="157"/>
  <c r="P1310" i="157"/>
  <c r="O1316" i="157"/>
  <c r="H1320" i="157"/>
  <c r="L1320" i="157"/>
  <c r="O1320" i="157"/>
  <c r="H1321" i="157"/>
  <c r="L1321" i="157"/>
  <c r="O1321" i="157"/>
  <c r="E1328" i="157"/>
  <c r="P1330" i="157"/>
  <c r="B1339" i="157"/>
  <c r="H1317" i="157" s="1"/>
  <c r="P1338" i="157"/>
  <c r="B1341" i="157"/>
  <c r="L1317" i="157" s="1"/>
  <c r="P1340" i="157"/>
  <c r="P1342" i="157"/>
  <c r="O1348" i="157"/>
  <c r="H1352" i="157"/>
  <c r="L1352" i="157"/>
  <c r="O1352" i="157"/>
  <c r="H1353" i="157"/>
  <c r="L1353" i="157"/>
  <c r="O1353" i="157"/>
  <c r="E1360" i="157"/>
  <c r="P1362" i="157"/>
  <c r="B1371" i="157"/>
  <c r="B1351" i="157" s="1"/>
  <c r="H1348" i="157" s="1"/>
  <c r="P1370" i="157"/>
  <c r="B1373" i="157"/>
  <c r="L1349" i="157" s="1"/>
  <c r="P1372" i="157"/>
  <c r="P1374" i="157"/>
  <c r="O1412" i="157"/>
  <c r="O1416" i="157" s="1"/>
  <c r="H1416" i="157"/>
  <c r="L1416" i="157"/>
  <c r="H1417" i="157"/>
  <c r="L1417" i="157"/>
  <c r="H1424" i="157"/>
  <c r="J1424" i="157"/>
  <c r="M1424" i="157"/>
  <c r="B1431" i="157"/>
  <c r="B1415" i="157" s="1"/>
  <c r="P1432" i="157"/>
  <c r="P1434" i="157"/>
  <c r="P1436" i="157"/>
  <c r="P1438" i="157"/>
  <c r="O1444" i="157"/>
  <c r="O1448" i="157" s="1"/>
  <c r="H1448" i="157"/>
  <c r="L1448" i="157"/>
  <c r="H1449" i="157"/>
  <c r="L1449" i="157"/>
  <c r="H1456" i="157"/>
  <c r="J1456" i="157"/>
  <c r="M1456" i="157"/>
  <c r="B1463" i="157"/>
  <c r="L1445" i="157" s="1"/>
  <c r="P1464" i="157"/>
  <c r="P1466" i="157"/>
  <c r="P1468" i="157"/>
  <c r="P1470" i="157"/>
  <c r="O1476" i="157"/>
  <c r="O1480" i="157" s="1"/>
  <c r="H1480" i="157"/>
  <c r="L1480" i="157"/>
  <c r="H1481" i="157"/>
  <c r="L1481" i="157"/>
  <c r="H1488" i="157"/>
  <c r="J1488" i="157"/>
  <c r="M1488" i="157"/>
  <c r="B1495" i="157"/>
  <c r="L1476" i="157" s="1"/>
  <c r="P1496" i="157"/>
  <c r="P1498" i="157"/>
  <c r="P1500" i="157"/>
  <c r="P1502" i="157"/>
  <c r="O1508" i="157"/>
  <c r="O1512" i="157" s="1"/>
  <c r="H1512" i="157"/>
  <c r="L1512" i="157"/>
  <c r="H1513" i="157"/>
  <c r="L1513" i="157"/>
  <c r="H1520" i="157"/>
  <c r="J1520" i="157"/>
  <c r="M1520" i="157"/>
  <c r="B1527" i="157"/>
  <c r="L1508" i="157" s="1"/>
  <c r="P1528" i="157"/>
  <c r="P1530" i="157"/>
  <c r="P1532" i="157"/>
  <c r="P1534" i="157"/>
  <c r="H1544" i="157"/>
  <c r="J1544" i="157"/>
  <c r="M1544" i="157"/>
  <c r="O1544" i="157"/>
  <c r="H1545" i="157"/>
  <c r="K1545" i="157"/>
  <c r="M1545" i="157"/>
  <c r="O1545" i="157"/>
  <c r="E1550" i="157"/>
  <c r="O1540" i="157" s="1"/>
  <c r="P1552" i="157"/>
  <c r="P1556" i="157"/>
  <c r="B1559" i="157"/>
  <c r="L1540" i="157" s="1"/>
  <c r="P1558" i="157"/>
  <c r="P1560" i="157"/>
  <c r="O1572" i="157"/>
  <c r="H1576" i="157"/>
  <c r="L1576" i="157"/>
  <c r="O1576" i="157"/>
  <c r="H1577" i="157"/>
  <c r="L1577" i="157"/>
  <c r="O1577" i="157"/>
  <c r="E1584" i="157"/>
  <c r="P1586" i="157"/>
  <c r="B1595" i="157"/>
  <c r="H1573" i="157" s="1"/>
  <c r="P1594" i="157"/>
  <c r="B1597" i="157"/>
  <c r="L1573" i="157" s="1"/>
  <c r="P1596" i="157"/>
  <c r="P1598" i="157"/>
  <c r="O1605" i="157"/>
  <c r="H1609" i="157"/>
  <c r="L1609" i="157"/>
  <c r="O1609" i="157"/>
  <c r="H1610" i="157"/>
  <c r="L1610" i="157"/>
  <c r="O1610" i="157"/>
  <c r="E1617" i="157"/>
  <c r="P1619" i="157"/>
  <c r="B1628" i="157"/>
  <c r="H1606" i="157" s="1"/>
  <c r="P1627" i="157"/>
  <c r="B1630" i="157"/>
  <c r="B1606" i="157" s="1"/>
  <c r="L1605" i="157" s="1"/>
  <c r="P1629" i="157"/>
  <c r="P1631" i="157"/>
  <c r="O1637" i="157"/>
  <c r="O1641" i="157" s="1"/>
  <c r="H1641" i="157"/>
  <c r="L1641" i="157"/>
  <c r="H1642" i="157"/>
  <c r="L1642" i="157"/>
  <c r="H1649" i="157"/>
  <c r="J1649" i="157"/>
  <c r="M1649" i="157"/>
  <c r="B1656" i="157"/>
  <c r="B1640" i="157" s="1"/>
  <c r="H1637" i="157" s="1"/>
  <c r="P1657" i="157"/>
  <c r="P1659" i="157"/>
  <c r="P1661" i="157"/>
  <c r="O1667" i="157"/>
  <c r="O1671" i="157" s="1"/>
  <c r="H1671" i="157"/>
  <c r="L1671" i="157"/>
  <c r="H1672" i="157"/>
  <c r="L1672" i="157"/>
  <c r="H1679" i="157"/>
  <c r="J1679" i="157"/>
  <c r="M1679" i="157"/>
  <c r="B1686" i="157"/>
  <c r="B1670" i="157" s="1"/>
  <c r="P1687" i="157"/>
  <c r="P1689" i="157"/>
  <c r="P1691" i="157"/>
  <c r="P1693" i="157"/>
  <c r="O1699" i="157"/>
  <c r="O1703" i="157" s="1"/>
  <c r="H1703" i="157"/>
  <c r="L1703" i="157"/>
  <c r="H1704" i="157"/>
  <c r="L1704" i="157"/>
  <c r="H1711" i="157"/>
  <c r="J1711" i="157"/>
  <c r="M1711" i="157"/>
  <c r="B1718" i="157"/>
  <c r="L1699" i="157" s="1"/>
  <c r="P1719" i="157"/>
  <c r="P1721" i="157"/>
  <c r="P1723" i="157"/>
  <c r="P1725" i="157"/>
  <c r="O1733" i="157"/>
  <c r="H1737" i="157"/>
  <c r="L1737" i="157"/>
  <c r="O1737" i="157"/>
  <c r="H1738" i="157"/>
  <c r="L1738" i="157"/>
  <c r="O1738" i="157"/>
  <c r="E1745" i="157"/>
  <c r="P1747" i="157"/>
  <c r="B1756" i="157"/>
  <c r="B1736" i="157" s="1"/>
  <c r="H1733" i="157" s="1"/>
  <c r="P1755" i="157"/>
  <c r="B1758" i="157"/>
  <c r="L1734" i="157" s="1"/>
  <c r="P1757" i="157"/>
  <c r="P1759" i="157"/>
  <c r="L1541" i="157"/>
  <c r="L260" i="157"/>
  <c r="B391" i="157"/>
  <c r="H388" i="157" s="1"/>
  <c r="H1832" i="157"/>
  <c r="M50" i="157"/>
  <c r="B583" i="157"/>
  <c r="H580" i="157" s="1"/>
  <c r="B551" i="157"/>
  <c r="H548" i="157" s="1"/>
  <c r="L1863" i="157"/>
  <c r="L1895" i="157"/>
  <c r="L1905" i="157"/>
  <c r="L1903" i="157"/>
  <c r="L869" i="157"/>
  <c r="L69" i="157"/>
  <c r="L68" i="157"/>
  <c r="B325" i="157"/>
  <c r="L324" i="157" s="1"/>
  <c r="L37" i="157"/>
  <c r="B1125" i="157"/>
  <c r="L1124" i="157" s="1"/>
  <c r="B453" i="157"/>
  <c r="L452" i="157" s="1"/>
  <c r="B423" i="157"/>
  <c r="H420" i="157" s="1"/>
  <c r="L965" i="157"/>
  <c r="B967" i="157"/>
  <c r="H965" i="157" s="1"/>
  <c r="H37" i="157"/>
  <c r="B327" i="157"/>
  <c r="H324" i="157" s="1"/>
  <c r="B455" i="157"/>
  <c r="H452" i="157" s="1"/>
  <c r="P1793" i="157"/>
  <c r="P722" i="157"/>
  <c r="P62" i="157"/>
  <c r="P894" i="157"/>
  <c r="P1266" i="157"/>
  <c r="P338" i="157"/>
  <c r="P1939" i="157"/>
  <c r="P434" i="157"/>
  <c r="P988" i="157"/>
  <c r="P952" i="157"/>
  <c r="P88" i="157"/>
  <c r="P944" i="157"/>
  <c r="P882" i="157"/>
  <c r="P284" i="157"/>
  <c r="P1138" i="157"/>
  <c r="P984" i="157"/>
  <c r="P956" i="157"/>
  <c r="P862" i="157"/>
  <c r="P1943" i="157"/>
  <c r="P402" i="157"/>
  <c r="P1008" i="157"/>
  <c r="P530" i="157"/>
  <c r="P976" i="157"/>
  <c r="P1179" i="157"/>
  <c r="P1016" i="157"/>
  <c r="P594" i="157"/>
  <c r="P626" i="157"/>
  <c r="P818" i="157"/>
  <c r="P1040" i="157"/>
  <c r="P370" i="157"/>
  <c r="P1171" i="157"/>
  <c r="P826" i="157"/>
  <c r="P786" i="157"/>
  <c r="P498" i="157"/>
  <c r="P1052" i="157"/>
  <c r="P1181" i="157"/>
  <c r="P1074" i="157"/>
  <c r="P858" i="157"/>
  <c r="P890" i="157"/>
  <c r="P1175" i="157"/>
  <c r="P794" i="157"/>
  <c r="P1146" i="157"/>
  <c r="P752" i="157"/>
  <c r="P830" i="157"/>
  <c r="P1020" i="157"/>
  <c r="P280" i="157"/>
  <c r="P466" i="157"/>
  <c r="P850" i="157"/>
  <c r="P92" i="157"/>
  <c r="P306" i="157"/>
  <c r="P798" i="157"/>
  <c r="P1048" i="157"/>
  <c r="B1317" i="157" l="1"/>
  <c r="L1316" i="157" s="1"/>
  <c r="C7" i="467"/>
  <c r="D43" i="467"/>
  <c r="B43" i="467"/>
  <c r="B7" i="467"/>
  <c r="C43" i="467"/>
  <c r="D7" i="467"/>
  <c r="D42" i="467"/>
  <c r="C42" i="467"/>
  <c r="B42" i="467"/>
  <c r="C9" i="459"/>
  <c r="N9" i="459"/>
  <c r="P9" i="459"/>
  <c r="B9" i="459"/>
  <c r="N8" i="459"/>
  <c r="D9" i="459"/>
  <c r="B10" i="459"/>
  <c r="N10" i="459"/>
  <c r="C8" i="459"/>
  <c r="P10" i="459"/>
  <c r="F9" i="459"/>
  <c r="L9" i="459" s="1"/>
  <c r="C10" i="459"/>
  <c r="D8" i="459"/>
  <c r="F8" i="459"/>
  <c r="L8" i="459" s="1"/>
  <c r="P8" i="459"/>
  <c r="D10" i="459"/>
  <c r="F10" i="459"/>
  <c r="L10" i="459" s="1"/>
  <c r="B8" i="459"/>
  <c r="C8" i="467"/>
  <c r="C31" i="467"/>
  <c r="D8" i="467"/>
  <c r="B32" i="467"/>
  <c r="B8" i="467"/>
  <c r="C32" i="467"/>
  <c r="B31" i="467"/>
  <c r="D31" i="467"/>
  <c r="D32" i="467"/>
  <c r="D9" i="467"/>
  <c r="C9" i="467"/>
  <c r="B9" i="467"/>
  <c r="H46" i="476"/>
  <c r="A47" i="476"/>
  <c r="B47" i="476" s="1"/>
  <c r="A47" i="481"/>
  <c r="B299" i="462"/>
  <c r="A25" i="476"/>
  <c r="C25" i="476" s="1"/>
  <c r="D194" i="462"/>
  <c r="B45" i="481"/>
  <c r="F194" i="462"/>
  <c r="B35" i="467"/>
  <c r="B39" i="476"/>
  <c r="Q35" i="476"/>
  <c r="Q33" i="476"/>
  <c r="Q44" i="476"/>
  <c r="Q43" i="476"/>
  <c r="Q40" i="476"/>
  <c r="B15" i="476"/>
  <c r="C44" i="481"/>
  <c r="B42" i="476"/>
  <c r="D270" i="462"/>
  <c r="C304" i="462"/>
  <c r="F267" i="462"/>
  <c r="C14" i="476"/>
  <c r="F305" i="462"/>
  <c r="B44" i="481"/>
  <c r="C13" i="476"/>
  <c r="F304" i="462"/>
  <c r="Q15" i="476"/>
  <c r="D301" i="462"/>
  <c r="C35" i="481"/>
  <c r="F302" i="462"/>
  <c r="D302" i="462"/>
  <c r="Q48" i="476"/>
  <c r="C300" i="462"/>
  <c r="B13" i="476"/>
  <c r="Q45" i="476"/>
  <c r="F266" i="462"/>
  <c r="C38" i="476"/>
  <c r="B45" i="476"/>
  <c r="C50" i="476"/>
  <c r="S46" i="481"/>
  <c r="D37" i="467"/>
  <c r="C45" i="481"/>
  <c r="B43" i="481"/>
  <c r="D35" i="467"/>
  <c r="D40" i="467"/>
  <c r="C34" i="467"/>
  <c r="Q37" i="476"/>
  <c r="B34" i="467"/>
  <c r="C41" i="476"/>
  <c r="B33" i="476"/>
  <c r="C40" i="476"/>
  <c r="B44" i="476"/>
  <c r="C43" i="476"/>
  <c r="B38" i="476"/>
  <c r="B14" i="476"/>
  <c r="B36" i="476"/>
  <c r="C6" i="476"/>
  <c r="B50" i="476"/>
  <c r="F269" i="462"/>
  <c r="F270" i="462"/>
  <c r="C36" i="476"/>
  <c r="C45" i="476"/>
  <c r="S44" i="481"/>
  <c r="Q38" i="476"/>
  <c r="Q14" i="476"/>
  <c r="Q50" i="476"/>
  <c r="D269" i="462"/>
  <c r="C268" i="462"/>
  <c r="S35" i="481"/>
  <c r="D36" i="467"/>
  <c r="C46" i="481"/>
  <c r="C302" i="462"/>
  <c r="D34" i="467"/>
  <c r="B40" i="476"/>
  <c r="D266" i="462"/>
  <c r="B37" i="481"/>
  <c r="C42" i="481"/>
  <c r="C42" i="476"/>
  <c r="B6" i="476"/>
  <c r="C267" i="462"/>
  <c r="S43" i="481"/>
  <c r="C194" i="462"/>
  <c r="C35" i="467"/>
  <c r="B40" i="467"/>
  <c r="C39" i="476"/>
  <c r="B41" i="476"/>
  <c r="C44" i="476"/>
  <c r="F301" i="462"/>
  <c r="Q42" i="476"/>
  <c r="B37" i="467"/>
  <c r="C37" i="467"/>
  <c r="S45" i="481"/>
  <c r="C43" i="481"/>
  <c r="C40" i="467"/>
  <c r="Q39" i="476"/>
  <c r="Q41" i="476"/>
  <c r="Q34" i="476"/>
  <c r="C33" i="476"/>
  <c r="B43" i="476"/>
  <c r="D267" i="462"/>
  <c r="S37" i="481"/>
  <c r="Q6" i="476"/>
  <c r="F268" i="462"/>
  <c r="C269" i="462"/>
  <c r="D304" i="462"/>
  <c r="S42" i="481"/>
  <c r="Q36" i="476"/>
  <c r="C37" i="481"/>
  <c r="C301" i="462"/>
  <c r="C266" i="462"/>
  <c r="D305" i="462"/>
  <c r="Q13" i="476"/>
  <c r="C305" i="462"/>
  <c r="B42" i="481"/>
  <c r="B35" i="481"/>
  <c r="B36" i="467"/>
  <c r="C36" i="467"/>
  <c r="B46" i="481"/>
  <c r="F300" i="462"/>
  <c r="C15" i="476"/>
  <c r="C270" i="462"/>
  <c r="D268" i="462"/>
  <c r="D300" i="462"/>
  <c r="B33" i="467"/>
  <c r="B22" i="481"/>
  <c r="D33" i="467"/>
  <c r="C22" i="481"/>
  <c r="C33" i="467"/>
  <c r="S22" i="481"/>
  <c r="S23" i="481"/>
  <c r="B23" i="481"/>
  <c r="F298" i="462"/>
  <c r="C23" i="481"/>
  <c r="D298" i="462"/>
  <c r="C298" i="462"/>
  <c r="D303" i="462"/>
  <c r="C48" i="481"/>
  <c r="S48" i="481"/>
  <c r="F303" i="462"/>
  <c r="C49" i="476"/>
  <c r="C303" i="462"/>
  <c r="B48" i="481"/>
  <c r="B49" i="476"/>
  <c r="Q49" i="476"/>
  <c r="B46" i="476"/>
  <c r="Q46" i="476"/>
  <c r="C46" i="476"/>
  <c r="D39" i="467"/>
  <c r="B39" i="467"/>
  <c r="C39" i="467"/>
  <c r="A28" i="476"/>
  <c r="Q28" i="476" s="1"/>
  <c r="D92" i="462"/>
  <c r="F129" i="462"/>
  <c r="D35" i="462"/>
  <c r="D130" i="462"/>
  <c r="D129" i="462"/>
  <c r="C129" i="462"/>
  <c r="F130" i="462"/>
  <c r="F35" i="462"/>
  <c r="C130" i="462"/>
  <c r="C35" i="462"/>
  <c r="F92" i="462"/>
  <c r="C92" i="462"/>
  <c r="F85" i="462"/>
  <c r="C141" i="462"/>
  <c r="F141" i="462"/>
  <c r="C85" i="462"/>
  <c r="D85" i="462"/>
  <c r="D141" i="462"/>
  <c r="B21" i="476"/>
  <c r="C21" i="476"/>
  <c r="Q21" i="476"/>
  <c r="Q12" i="476"/>
  <c r="Q11" i="476"/>
  <c r="D89" i="462"/>
  <c r="C89" i="462"/>
  <c r="F89" i="462"/>
  <c r="B38" i="462"/>
  <c r="E42" i="467"/>
  <c r="F14" i="462"/>
  <c r="D16" i="462"/>
  <c r="C14" i="462"/>
  <c r="D14" i="462"/>
  <c r="F15" i="462"/>
  <c r="D15" i="462"/>
  <c r="C15" i="462"/>
  <c r="F16" i="462"/>
  <c r="C16" i="462"/>
  <c r="H1253" i="157"/>
  <c r="L1412" i="157"/>
  <c r="L1413" i="157"/>
  <c r="B23" i="476"/>
  <c r="B19" i="476"/>
  <c r="Q19" i="476"/>
  <c r="C86" i="462"/>
  <c r="C32" i="476"/>
  <c r="Q32" i="476"/>
  <c r="D78" i="462"/>
  <c r="C76" i="462"/>
  <c r="C78" i="462"/>
  <c r="C24" i="476"/>
  <c r="Q22" i="476"/>
  <c r="D86" i="462"/>
  <c r="C48" i="476"/>
  <c r="F78" i="462"/>
  <c r="F76" i="462"/>
  <c r="Q23" i="476"/>
  <c r="Q24" i="476"/>
  <c r="C23" i="476"/>
  <c r="B32" i="476"/>
  <c r="B22" i="476"/>
  <c r="F86" i="462"/>
  <c r="B48" i="476"/>
  <c r="C19" i="476"/>
  <c r="B24" i="476"/>
  <c r="C22" i="476"/>
  <c r="D76" i="462"/>
  <c r="B230" i="462"/>
  <c r="C240" i="462"/>
  <c r="D244" i="462"/>
  <c r="S39" i="481"/>
  <c r="F240" i="462"/>
  <c r="D246" i="462"/>
  <c r="C39" i="481"/>
  <c r="C16" i="481"/>
  <c r="S17" i="481"/>
  <c r="C17" i="481"/>
  <c r="S41" i="481"/>
  <c r="C243" i="462"/>
  <c r="C242" i="462"/>
  <c r="B40" i="481"/>
  <c r="B13" i="481"/>
  <c r="S11" i="481"/>
  <c r="B15" i="481"/>
  <c r="B7" i="481"/>
  <c r="C233" i="462"/>
  <c r="S18" i="481"/>
  <c r="B17" i="481"/>
  <c r="F246" i="462"/>
  <c r="C41" i="481"/>
  <c r="C241" i="462"/>
  <c r="B39" i="481"/>
  <c r="D241" i="462"/>
  <c r="C246" i="462"/>
  <c r="D240" i="462"/>
  <c r="F245" i="462"/>
  <c r="C40" i="481"/>
  <c r="S13" i="481"/>
  <c r="C15" i="481"/>
  <c r="C186" i="462"/>
  <c r="S12" i="481"/>
  <c r="C12" i="481"/>
  <c r="D235" i="462"/>
  <c r="C236" i="462"/>
  <c r="F236" i="462"/>
  <c r="F235" i="462"/>
  <c r="B18" i="481"/>
  <c r="C18" i="481"/>
  <c r="D245" i="462"/>
  <c r="C7" i="481"/>
  <c r="C235" i="462"/>
  <c r="D186" i="462"/>
  <c r="F186" i="462"/>
  <c r="F233" i="462"/>
  <c r="D247" i="462"/>
  <c r="F229" i="462"/>
  <c r="C229" i="462"/>
  <c r="D237" i="462"/>
  <c r="C237" i="462"/>
  <c r="D236" i="462"/>
  <c r="S7" i="481"/>
  <c r="F237" i="462"/>
  <c r="D243" i="462"/>
  <c r="C244" i="462"/>
  <c r="S16" i="481"/>
  <c r="S15" i="481"/>
  <c r="C11" i="481"/>
  <c r="C247" i="462"/>
  <c r="B12" i="481"/>
  <c r="D233" i="462"/>
  <c r="C231" i="462"/>
  <c r="F242" i="462"/>
  <c r="D242" i="462"/>
  <c r="B16" i="481"/>
  <c r="C13" i="481"/>
  <c r="C245" i="462"/>
  <c r="B41" i="481"/>
  <c r="F241" i="462"/>
  <c r="F244" i="462"/>
  <c r="F243" i="462"/>
  <c r="S40" i="481"/>
  <c r="B11" i="481"/>
  <c r="F247" i="462"/>
  <c r="D229" i="462"/>
  <c r="F231" i="462"/>
  <c r="D231" i="462"/>
  <c r="D228" i="462"/>
  <c r="F228" i="462"/>
  <c r="C228" i="462"/>
  <c r="C248" i="462"/>
  <c r="D238" i="462"/>
  <c r="F239" i="462"/>
  <c r="D248" i="462"/>
  <c r="F238" i="462"/>
  <c r="C239" i="462"/>
  <c r="C238" i="462"/>
  <c r="D239" i="462"/>
  <c r="F248" i="462"/>
  <c r="D234" i="462"/>
  <c r="C234" i="462"/>
  <c r="F234" i="462"/>
  <c r="D232" i="462"/>
  <c r="F232" i="462"/>
  <c r="C232" i="462"/>
  <c r="C191" i="462"/>
  <c r="F136" i="462"/>
  <c r="F137" i="462"/>
  <c r="D137" i="462"/>
  <c r="D136" i="462"/>
  <c r="F139" i="462"/>
  <c r="C135" i="462"/>
  <c r="F191" i="462"/>
  <c r="C136" i="462"/>
  <c r="D139" i="462"/>
  <c r="D135" i="462"/>
  <c r="C137" i="462"/>
  <c r="D191" i="462"/>
  <c r="F135" i="462"/>
  <c r="C139" i="462"/>
  <c r="C131" i="462"/>
  <c r="F131" i="462"/>
  <c r="D131" i="462"/>
  <c r="C29" i="481"/>
  <c r="B29" i="481"/>
  <c r="S29" i="481"/>
  <c r="S25" i="481"/>
  <c r="S21" i="481"/>
  <c r="B9" i="481"/>
  <c r="C9" i="481"/>
  <c r="S31" i="481"/>
  <c r="C32" i="481"/>
  <c r="B20" i="481"/>
  <c r="C10" i="481"/>
  <c r="C34" i="481"/>
  <c r="S30" i="481"/>
  <c r="C25" i="481"/>
  <c r="B33" i="481"/>
  <c r="C14" i="481"/>
  <c r="C21" i="481"/>
  <c r="C19" i="481"/>
  <c r="B10" i="481"/>
  <c r="S19" i="481"/>
  <c r="S8" i="481"/>
  <c r="C31" i="481"/>
  <c r="B31" i="481"/>
  <c r="B26" i="481"/>
  <c r="C26" i="481"/>
  <c r="B34" i="481"/>
  <c r="B25" i="481"/>
  <c r="C33" i="481"/>
  <c r="S9" i="481"/>
  <c r="B21" i="481"/>
  <c r="B32" i="481"/>
  <c r="C6" i="481"/>
  <c r="S32" i="481"/>
  <c r="B6" i="481"/>
  <c r="S20" i="481"/>
  <c r="B8" i="481"/>
  <c r="C30" i="481"/>
  <c r="S33" i="481"/>
  <c r="B14" i="481"/>
  <c r="S14" i="481"/>
  <c r="S10" i="481"/>
  <c r="B19" i="481"/>
  <c r="C20" i="481"/>
  <c r="S6" i="481"/>
  <c r="C8" i="481"/>
  <c r="S26" i="481"/>
  <c r="S34" i="481"/>
  <c r="B30" i="481"/>
  <c r="C24" i="481"/>
  <c r="B24" i="481"/>
  <c r="S24" i="481"/>
  <c r="C38" i="481"/>
  <c r="B36" i="481"/>
  <c r="S38" i="481"/>
  <c r="S36" i="481"/>
  <c r="B38" i="481"/>
  <c r="C36" i="481"/>
  <c r="B28" i="481"/>
  <c r="C28" i="481"/>
  <c r="S28" i="481"/>
  <c r="S27" i="481"/>
  <c r="C27" i="481"/>
  <c r="B27" i="481"/>
  <c r="B2" i="478"/>
  <c r="B2" i="481"/>
  <c r="B182" i="462"/>
  <c r="B31" i="476"/>
  <c r="Q26" i="476"/>
  <c r="C34" i="476"/>
  <c r="C185" i="462"/>
  <c r="F181" i="462"/>
  <c r="D187" i="462"/>
  <c r="B35" i="476"/>
  <c r="Q31" i="476"/>
  <c r="C31" i="476"/>
  <c r="C27" i="476"/>
  <c r="B34" i="476"/>
  <c r="Q27" i="476"/>
  <c r="Q9" i="476"/>
  <c r="C188" i="462"/>
  <c r="Q10" i="476"/>
  <c r="C187" i="462"/>
  <c r="B30" i="476"/>
  <c r="Q30" i="476"/>
  <c r="B27" i="476"/>
  <c r="F185" i="462"/>
  <c r="D185" i="462"/>
  <c r="F188" i="462"/>
  <c r="C183" i="462"/>
  <c r="F187" i="462"/>
  <c r="Q16" i="476"/>
  <c r="C35" i="476"/>
  <c r="C30" i="476"/>
  <c r="Q7" i="476"/>
  <c r="Q8" i="476"/>
  <c r="D181" i="462"/>
  <c r="C181" i="462"/>
  <c r="D188" i="462"/>
  <c r="F183" i="462"/>
  <c r="D183" i="462"/>
  <c r="Q17" i="476"/>
  <c r="C7" i="476"/>
  <c r="B7" i="476"/>
  <c r="C180" i="462"/>
  <c r="F180" i="462"/>
  <c r="D180" i="462"/>
  <c r="F189" i="462"/>
  <c r="C190" i="462"/>
  <c r="C189" i="462"/>
  <c r="D190" i="462"/>
  <c r="D189" i="462"/>
  <c r="F190" i="462"/>
  <c r="D184" i="462"/>
  <c r="F184" i="462"/>
  <c r="C184" i="462"/>
  <c r="F197" i="462"/>
  <c r="D195" i="462"/>
  <c r="F195" i="462"/>
  <c r="F192" i="462"/>
  <c r="F196" i="462"/>
  <c r="D193" i="462"/>
  <c r="C192" i="462"/>
  <c r="F138" i="462"/>
  <c r="D197" i="462"/>
  <c r="D196" i="462"/>
  <c r="C196" i="462"/>
  <c r="D192" i="462"/>
  <c r="C197" i="462"/>
  <c r="C138" i="462"/>
  <c r="C195" i="462"/>
  <c r="F193" i="462"/>
  <c r="C193" i="462"/>
  <c r="D138" i="462"/>
  <c r="C140" i="462"/>
  <c r="F140" i="462"/>
  <c r="C198" i="462"/>
  <c r="D198" i="462"/>
  <c r="D140" i="462"/>
  <c r="F198" i="462"/>
  <c r="C199" i="462"/>
  <c r="F199" i="462"/>
  <c r="D199" i="462"/>
  <c r="F132" i="462"/>
  <c r="C134" i="462"/>
  <c r="F133" i="462"/>
  <c r="D132" i="462"/>
  <c r="C133" i="462"/>
  <c r="D134" i="462"/>
  <c r="F134" i="462"/>
  <c r="D133" i="462"/>
  <c r="C132" i="462"/>
  <c r="D13" i="462"/>
  <c r="F13" i="462"/>
  <c r="F11" i="462"/>
  <c r="D11" i="462"/>
  <c r="C13" i="462"/>
  <c r="C12" i="462"/>
  <c r="F12" i="462"/>
  <c r="D12" i="462"/>
  <c r="C11" i="462"/>
  <c r="B73" i="462"/>
  <c r="B79" i="462"/>
  <c r="D79" i="462" s="1"/>
  <c r="B90" i="462"/>
  <c r="F88" i="462"/>
  <c r="C87" i="462"/>
  <c r="D91" i="462"/>
  <c r="F91" i="462"/>
  <c r="D88" i="462"/>
  <c r="D87" i="462"/>
  <c r="C88" i="462"/>
  <c r="C91" i="462"/>
  <c r="F87" i="462"/>
  <c r="D74" i="462"/>
  <c r="D83" i="462"/>
  <c r="C83" i="462"/>
  <c r="F84" i="462"/>
  <c r="F82" i="462"/>
  <c r="D80" i="462"/>
  <c r="C82" i="462"/>
  <c r="C74" i="462"/>
  <c r="D75" i="462"/>
  <c r="F83" i="462"/>
  <c r="C84" i="462"/>
  <c r="D81" i="462"/>
  <c r="D82" i="462"/>
  <c r="C80" i="462"/>
  <c r="F80" i="462"/>
  <c r="F74" i="462"/>
  <c r="F75" i="462"/>
  <c r="C75" i="462"/>
  <c r="D84" i="462"/>
  <c r="F81" i="462"/>
  <c r="C81" i="462"/>
  <c r="D77" i="462"/>
  <c r="F77" i="462"/>
  <c r="C77" i="462"/>
  <c r="F36" i="462"/>
  <c r="D36" i="462"/>
  <c r="C36" i="462"/>
  <c r="F37" i="462"/>
  <c r="D37" i="462"/>
  <c r="C37" i="462"/>
  <c r="P7" i="459"/>
  <c r="B7" i="459"/>
  <c r="N7" i="459"/>
  <c r="C7" i="459"/>
  <c r="D7" i="459"/>
  <c r="F7" i="459"/>
  <c r="L7" i="459" s="1"/>
  <c r="H10" i="478"/>
  <c r="B10" i="478"/>
  <c r="C10" i="478"/>
  <c r="B8" i="478"/>
  <c r="H8" i="478"/>
  <c r="C8" i="478"/>
  <c r="H9" i="478"/>
  <c r="B9" i="478"/>
  <c r="C9" i="478"/>
  <c r="C26" i="476"/>
  <c r="B26" i="476"/>
  <c r="B6" i="478"/>
  <c r="C6" i="478"/>
  <c r="H6" i="478"/>
  <c r="B7" i="478"/>
  <c r="H7" i="478"/>
  <c r="C7" i="478"/>
  <c r="E22" i="477"/>
  <c r="E21" i="477"/>
  <c r="E17" i="477"/>
  <c r="E23" i="477"/>
  <c r="E18" i="477"/>
  <c r="E25" i="477"/>
  <c r="E16" i="477"/>
  <c r="E20" i="477"/>
  <c r="E24" i="477"/>
  <c r="E19" i="477"/>
  <c r="B7" i="477"/>
  <c r="B17" i="476"/>
  <c r="H7" i="477"/>
  <c r="C17" i="476"/>
  <c r="C29" i="476"/>
  <c r="C7" i="477"/>
  <c r="B29" i="476"/>
  <c r="B8" i="476"/>
  <c r="C8" i="476"/>
  <c r="C10" i="476"/>
  <c r="C9" i="476"/>
  <c r="B10" i="476"/>
  <c r="B9" i="476"/>
  <c r="B37" i="476"/>
  <c r="B11" i="476"/>
  <c r="C37" i="476"/>
  <c r="C11" i="476"/>
  <c r="C12" i="476"/>
  <c r="B12" i="476"/>
  <c r="C10" i="477"/>
  <c r="B10" i="477"/>
  <c r="H10" i="477"/>
  <c r="C8" i="477"/>
  <c r="B8" i="477"/>
  <c r="H8" i="477"/>
  <c r="B16" i="476"/>
  <c r="C16" i="476"/>
  <c r="H9" i="477"/>
  <c r="C9" i="477"/>
  <c r="B9" i="477"/>
  <c r="B2" i="476"/>
  <c r="B2" i="477"/>
  <c r="B906" i="472"/>
  <c r="B883" i="472"/>
  <c r="B860" i="472"/>
  <c r="B191" i="472"/>
  <c r="B2" i="474"/>
  <c r="C2" i="472"/>
  <c r="A135" i="474"/>
  <c r="A136" i="475"/>
  <c r="B7" i="474"/>
  <c r="C7" i="474"/>
  <c r="C111" i="475"/>
  <c r="C108" i="474"/>
  <c r="B109" i="475"/>
  <c r="B125" i="475"/>
  <c r="B124" i="474"/>
  <c r="C99" i="474"/>
  <c r="B99" i="474"/>
  <c r="D99" i="474"/>
  <c r="D97" i="474"/>
  <c r="B124" i="475"/>
  <c r="C98" i="475"/>
  <c r="B12" i="474"/>
  <c r="B10" i="474"/>
  <c r="C103" i="475"/>
  <c r="D10" i="474"/>
  <c r="C102" i="474"/>
  <c r="C7" i="475"/>
  <c r="D110" i="474"/>
  <c r="B113" i="475"/>
  <c r="B100" i="475"/>
  <c r="C56" i="475"/>
  <c r="C12" i="475"/>
  <c r="B7" i="475"/>
  <c r="B112" i="474"/>
  <c r="C110" i="474"/>
  <c r="D112" i="474"/>
  <c r="C109" i="475"/>
  <c r="D124" i="474"/>
  <c r="D55" i="474"/>
  <c r="C55" i="474"/>
  <c r="B55" i="474"/>
  <c r="B94" i="475"/>
  <c r="C123" i="474"/>
  <c r="C97" i="474"/>
  <c r="D123" i="474"/>
  <c r="C10" i="475"/>
  <c r="B12" i="475"/>
  <c r="C113" i="475"/>
  <c r="D108" i="474"/>
  <c r="C125" i="475"/>
  <c r="B56" i="475"/>
  <c r="B97" i="474"/>
  <c r="C12" i="474"/>
  <c r="D7" i="474"/>
  <c r="B110" i="474"/>
  <c r="B111" i="475"/>
  <c r="B108" i="474"/>
  <c r="C112" i="474"/>
  <c r="C124" i="474"/>
  <c r="C94" i="475"/>
  <c r="D93" i="474"/>
  <c r="B93" i="474"/>
  <c r="C93" i="474"/>
  <c r="C124" i="475"/>
  <c r="B98" i="475"/>
  <c r="C10" i="474"/>
  <c r="B10" i="475"/>
  <c r="D102" i="474"/>
  <c r="B103" i="475"/>
  <c r="C100" i="475"/>
  <c r="B123" i="474"/>
  <c r="D12" i="474"/>
  <c r="B102" i="474"/>
  <c r="B91" i="475"/>
  <c r="C90" i="475"/>
  <c r="C79" i="475"/>
  <c r="C90" i="474"/>
  <c r="B78" i="474"/>
  <c r="B78" i="475"/>
  <c r="B79" i="474"/>
  <c r="C77" i="474"/>
  <c r="B89" i="474"/>
  <c r="D76" i="474"/>
  <c r="D78" i="474"/>
  <c r="D79" i="474"/>
  <c r="D89" i="474"/>
  <c r="C91" i="475"/>
  <c r="C53" i="474"/>
  <c r="B90" i="475"/>
  <c r="B79" i="475"/>
  <c r="C78" i="474"/>
  <c r="C78" i="475"/>
  <c r="C77" i="475"/>
  <c r="C79" i="474"/>
  <c r="C89" i="474"/>
  <c r="C54" i="475"/>
  <c r="B80" i="475"/>
  <c r="B77" i="474"/>
  <c r="B76" i="474"/>
  <c r="D53" i="474"/>
  <c r="B54" i="475"/>
  <c r="B90" i="474"/>
  <c r="C80" i="475"/>
  <c r="B77" i="475"/>
  <c r="D77" i="474"/>
  <c r="C76" i="474"/>
  <c r="B53" i="474"/>
  <c r="D90" i="474"/>
  <c r="D98" i="474"/>
  <c r="C99" i="475"/>
  <c r="B102" i="475"/>
  <c r="D101" i="474"/>
  <c r="B99" i="475"/>
  <c r="C98" i="474"/>
  <c r="C101" i="475"/>
  <c r="B100" i="474"/>
  <c r="C101" i="474"/>
  <c r="C102" i="475"/>
  <c r="B98" i="474"/>
  <c r="B101" i="475"/>
  <c r="D100" i="474"/>
  <c r="B101" i="474"/>
  <c r="C100" i="474"/>
  <c r="C83" i="475"/>
  <c r="C84" i="475"/>
  <c r="C28" i="475"/>
  <c r="B82" i="474"/>
  <c r="B83" i="474"/>
  <c r="B86" i="474"/>
  <c r="D28" i="474"/>
  <c r="C29" i="474"/>
  <c r="B86" i="475"/>
  <c r="C85" i="475"/>
  <c r="C30" i="475"/>
  <c r="D85" i="474"/>
  <c r="B88" i="474"/>
  <c r="C27" i="474"/>
  <c r="B83" i="475"/>
  <c r="B84" i="475"/>
  <c r="B28" i="475"/>
  <c r="B87" i="474"/>
  <c r="D83" i="474"/>
  <c r="D86" i="474"/>
  <c r="D30" i="474"/>
  <c r="D29" i="474"/>
  <c r="C89" i="475"/>
  <c r="C27" i="475"/>
  <c r="C29" i="475"/>
  <c r="B85" i="474"/>
  <c r="D84" i="474"/>
  <c r="D27" i="474"/>
  <c r="C88" i="475"/>
  <c r="B87" i="475"/>
  <c r="D82" i="474"/>
  <c r="D87" i="474"/>
  <c r="C83" i="474"/>
  <c r="C28" i="474"/>
  <c r="C30" i="474"/>
  <c r="B29" i="474"/>
  <c r="B89" i="475"/>
  <c r="B27" i="475"/>
  <c r="B29" i="475"/>
  <c r="D88" i="474"/>
  <c r="C84" i="474"/>
  <c r="B27" i="474"/>
  <c r="B88" i="475"/>
  <c r="C87" i="475"/>
  <c r="C82" i="474"/>
  <c r="C87" i="474"/>
  <c r="C86" i="474"/>
  <c r="B28" i="474"/>
  <c r="B30" i="474"/>
  <c r="C86" i="475"/>
  <c r="B85" i="475"/>
  <c r="B30" i="475"/>
  <c r="C85" i="474"/>
  <c r="C88" i="474"/>
  <c r="B84" i="474"/>
  <c r="B131" i="475"/>
  <c r="B133" i="475"/>
  <c r="D131" i="474"/>
  <c r="B132" i="474"/>
  <c r="B133" i="474"/>
  <c r="D134" i="474"/>
  <c r="B130" i="474"/>
  <c r="C133" i="475"/>
  <c r="C131" i="474"/>
  <c r="C133" i="474"/>
  <c r="B134" i="474"/>
  <c r="B132" i="475"/>
  <c r="D132" i="474"/>
  <c r="D130" i="474"/>
  <c r="C131" i="475"/>
  <c r="C132" i="474"/>
  <c r="C134" i="474"/>
  <c r="C132" i="475"/>
  <c r="B134" i="475"/>
  <c r="B131" i="474"/>
  <c r="B135" i="475"/>
  <c r="D133" i="474"/>
  <c r="C130" i="474"/>
  <c r="C134" i="475"/>
  <c r="C135" i="475"/>
  <c r="C104" i="474"/>
  <c r="C112" i="475"/>
  <c r="C105" i="475"/>
  <c r="B111" i="474"/>
  <c r="D104" i="474"/>
  <c r="C111" i="474"/>
  <c r="B105" i="475"/>
  <c r="B104" i="474"/>
  <c r="D111" i="474"/>
  <c r="B112" i="475"/>
  <c r="C32" i="475"/>
  <c r="C32" i="474"/>
  <c r="D32" i="474"/>
  <c r="B32" i="475"/>
  <c r="B32" i="474"/>
  <c r="B93" i="475"/>
  <c r="C92" i="474"/>
  <c r="C93" i="475"/>
  <c r="B92" i="474"/>
  <c r="D92" i="474"/>
  <c r="C16" i="475"/>
  <c r="B16" i="474"/>
  <c r="B25" i="474"/>
  <c r="C31" i="474"/>
  <c r="B16" i="475"/>
  <c r="D25" i="474"/>
  <c r="D31" i="474"/>
  <c r="C16" i="474"/>
  <c r="C31" i="475"/>
  <c r="B25" i="475"/>
  <c r="B31" i="474"/>
  <c r="D16" i="474"/>
  <c r="C25" i="474"/>
  <c r="B31" i="475"/>
  <c r="C25" i="475"/>
  <c r="C9" i="474"/>
  <c r="B8" i="475"/>
  <c r="B8" i="474"/>
  <c r="B9" i="474"/>
  <c r="C8" i="475"/>
  <c r="D9" i="474"/>
  <c r="C9" i="475"/>
  <c r="C8" i="474"/>
  <c r="B9" i="475"/>
  <c r="D8" i="474"/>
  <c r="C122" i="475"/>
  <c r="C121" i="474"/>
  <c r="C127" i="475"/>
  <c r="D126" i="474"/>
  <c r="B127" i="475"/>
  <c r="B122" i="475"/>
  <c r="B126" i="475"/>
  <c r="B125" i="474"/>
  <c r="C126" i="474"/>
  <c r="B121" i="474"/>
  <c r="C126" i="475"/>
  <c r="D125" i="474"/>
  <c r="B126" i="474"/>
  <c r="C125" i="474"/>
  <c r="D121" i="474"/>
  <c r="C128" i="475"/>
  <c r="B128" i="475"/>
  <c r="C127" i="474"/>
  <c r="B127" i="474"/>
  <c r="D127" i="474"/>
  <c r="B62" i="474"/>
  <c r="C62" i="474"/>
  <c r="B63" i="475"/>
  <c r="D62" i="474"/>
  <c r="C63" i="475"/>
  <c r="D54" i="474"/>
  <c r="C55" i="475"/>
  <c r="C54" i="474"/>
  <c r="B55" i="475"/>
  <c r="B54" i="474"/>
  <c r="C81" i="475"/>
  <c r="C80" i="474"/>
  <c r="B81" i="475"/>
  <c r="B80" i="474"/>
  <c r="D80" i="474"/>
  <c r="C114" i="475"/>
  <c r="C61" i="474"/>
  <c r="D116" i="474"/>
  <c r="B113" i="474"/>
  <c r="C62" i="475"/>
  <c r="B117" i="475"/>
  <c r="B107" i="474"/>
  <c r="C122" i="474"/>
  <c r="B115" i="474"/>
  <c r="C114" i="474"/>
  <c r="C117" i="474"/>
  <c r="B123" i="475"/>
  <c r="C106" i="474"/>
  <c r="D109" i="474"/>
  <c r="B122" i="474"/>
  <c r="D114" i="474"/>
  <c r="B116" i="475"/>
  <c r="C109" i="474"/>
  <c r="B108" i="475"/>
  <c r="D122" i="474"/>
  <c r="B114" i="474"/>
  <c r="B106" i="474"/>
  <c r="B114" i="475"/>
  <c r="B106" i="475"/>
  <c r="C116" i="474"/>
  <c r="C113" i="474"/>
  <c r="B105" i="474"/>
  <c r="C117" i="475"/>
  <c r="C118" i="475"/>
  <c r="B107" i="475"/>
  <c r="D117" i="474"/>
  <c r="D106" i="474"/>
  <c r="D61" i="474"/>
  <c r="C106" i="475"/>
  <c r="C108" i="475"/>
  <c r="D113" i="474"/>
  <c r="C105" i="474"/>
  <c r="D107" i="474"/>
  <c r="B118" i="475"/>
  <c r="D115" i="474"/>
  <c r="C107" i="475"/>
  <c r="B110" i="475"/>
  <c r="B117" i="474"/>
  <c r="C116" i="475"/>
  <c r="B115" i="475"/>
  <c r="B109" i="474"/>
  <c r="B116" i="474"/>
  <c r="B62" i="475"/>
  <c r="C107" i="474"/>
  <c r="C115" i="474"/>
  <c r="C123" i="475"/>
  <c r="C115" i="475"/>
  <c r="B61" i="474"/>
  <c r="D105" i="474"/>
  <c r="C110" i="475"/>
  <c r="C60" i="474"/>
  <c r="B59" i="475"/>
  <c r="B58" i="474"/>
  <c r="D58" i="474"/>
  <c r="C58" i="474"/>
  <c r="B60" i="474"/>
  <c r="C59" i="475"/>
  <c r="B61" i="475"/>
  <c r="D60" i="474"/>
  <c r="C61" i="475"/>
  <c r="B57" i="474"/>
  <c r="B58" i="475"/>
  <c r="C57" i="474"/>
  <c r="C58" i="475"/>
  <c r="D57" i="474"/>
  <c r="D95" i="474"/>
  <c r="C95" i="475"/>
  <c r="B97" i="475"/>
  <c r="B96" i="474"/>
  <c r="C95" i="474"/>
  <c r="D94" i="474"/>
  <c r="C97" i="475"/>
  <c r="D96" i="474"/>
  <c r="B95" i="474"/>
  <c r="C96" i="475"/>
  <c r="C96" i="474"/>
  <c r="B94" i="474"/>
  <c r="B96" i="475"/>
  <c r="C94" i="474"/>
  <c r="B95" i="475"/>
  <c r="B129" i="475"/>
  <c r="D128" i="474"/>
  <c r="C129" i="475"/>
  <c r="B128" i="474"/>
  <c r="C128" i="474"/>
  <c r="C92" i="475"/>
  <c r="B91" i="474"/>
  <c r="C129" i="474"/>
  <c r="C130" i="475"/>
  <c r="B92" i="475"/>
  <c r="D91" i="474"/>
  <c r="B130" i="475"/>
  <c r="B129" i="474"/>
  <c r="C91" i="474"/>
  <c r="D129" i="474"/>
  <c r="B56" i="474"/>
  <c r="B57" i="475"/>
  <c r="D56" i="474"/>
  <c r="C56" i="474"/>
  <c r="C57" i="475"/>
  <c r="C23" i="475"/>
  <c r="B23" i="474"/>
  <c r="B23" i="475"/>
  <c r="C23" i="474"/>
  <c r="D23" i="474"/>
  <c r="C26" i="474"/>
  <c r="C26" i="475"/>
  <c r="D26" i="474"/>
  <c r="B26" i="474"/>
  <c r="B26" i="475"/>
  <c r="C21" i="474"/>
  <c r="C21" i="475"/>
  <c r="D19" i="474"/>
  <c r="B21" i="474"/>
  <c r="B19" i="475"/>
  <c r="C19" i="474"/>
  <c r="D21" i="474"/>
  <c r="C19" i="475"/>
  <c r="B21" i="475"/>
  <c r="B19" i="474"/>
  <c r="B20" i="475"/>
  <c r="B20" i="474"/>
  <c r="C20" i="475"/>
  <c r="D20" i="474"/>
  <c r="C20" i="474"/>
  <c r="C17" i="474"/>
  <c r="C17" i="475"/>
  <c r="B17" i="474"/>
  <c r="D17" i="474"/>
  <c r="B17" i="475"/>
  <c r="D120" i="474"/>
  <c r="B121" i="475"/>
  <c r="C119" i="474"/>
  <c r="D18" i="474"/>
  <c r="D66" i="474"/>
  <c r="B18" i="475"/>
  <c r="B65" i="474"/>
  <c r="C121" i="475"/>
  <c r="C67" i="475"/>
  <c r="B18" i="474"/>
  <c r="B66" i="474"/>
  <c r="B66" i="475"/>
  <c r="C120" i="474"/>
  <c r="C65" i="474"/>
  <c r="B119" i="474"/>
  <c r="B67" i="475"/>
  <c r="B120" i="475"/>
  <c r="C66" i="474"/>
  <c r="C66" i="475"/>
  <c r="B120" i="474"/>
  <c r="D65" i="474"/>
  <c r="D119" i="474"/>
  <c r="C18" i="474"/>
  <c r="C120" i="475"/>
  <c r="C18" i="475"/>
  <c r="D15" i="474"/>
  <c r="B11" i="475"/>
  <c r="C24" i="475"/>
  <c r="D24" i="474"/>
  <c r="C15" i="474"/>
  <c r="B11" i="474"/>
  <c r="B24" i="475"/>
  <c r="C24" i="474"/>
  <c r="B15" i="474"/>
  <c r="D11" i="474"/>
  <c r="B15" i="475"/>
  <c r="B24" i="474"/>
  <c r="C11" i="475"/>
  <c r="C11" i="474"/>
  <c r="C15" i="475"/>
  <c r="C22" i="474"/>
  <c r="B22" i="475"/>
  <c r="B22" i="474"/>
  <c r="D22" i="474"/>
  <c r="C22" i="475"/>
  <c r="C64" i="475"/>
  <c r="C63" i="474"/>
  <c r="B63" i="474"/>
  <c r="B64" i="475"/>
  <c r="D63" i="474"/>
  <c r="C104" i="475"/>
  <c r="C103" i="474"/>
  <c r="B59" i="474"/>
  <c r="B60" i="475"/>
  <c r="B104" i="475"/>
  <c r="C60" i="475"/>
  <c r="C59" i="474"/>
  <c r="D103" i="474"/>
  <c r="B103" i="474"/>
  <c r="D59" i="474"/>
  <c r="B13" i="474"/>
  <c r="D13" i="474"/>
  <c r="B13" i="475"/>
  <c r="C13" i="474"/>
  <c r="C13" i="475"/>
  <c r="B14" i="475"/>
  <c r="C14" i="475"/>
  <c r="C14" i="474"/>
  <c r="B14" i="474"/>
  <c r="D14" i="474"/>
  <c r="A81" i="474"/>
  <c r="A82" i="475"/>
  <c r="A65" i="475"/>
  <c r="A119" i="475"/>
  <c r="A118" i="474"/>
  <c r="A64" i="474"/>
  <c r="B84" i="472"/>
  <c r="B61" i="472"/>
  <c r="B605" i="472"/>
  <c r="B592" i="472"/>
  <c r="B559" i="472"/>
  <c r="B306" i="472"/>
  <c r="B320" i="472"/>
  <c r="B118" i="472"/>
  <c r="B87" i="472"/>
  <c r="B64" i="472"/>
  <c r="B905" i="472"/>
  <c r="B882" i="472"/>
  <c r="B433" i="472"/>
  <c r="B190" i="472"/>
  <c r="B859" i="472"/>
  <c r="B596" i="472"/>
  <c r="B594" i="472"/>
  <c r="B82" i="472"/>
  <c r="B59" i="472"/>
  <c r="B613" i="472"/>
  <c r="B432" i="472"/>
  <c r="B903" i="472"/>
  <c r="B880" i="472"/>
  <c r="B117" i="472"/>
  <c r="B857" i="472"/>
  <c r="B188" i="472"/>
  <c r="B80" i="472"/>
  <c r="B57" i="472"/>
  <c r="B309" i="472"/>
  <c r="B524" i="472"/>
  <c r="E39" i="472"/>
  <c r="E38" i="472" s="1"/>
  <c r="F39" i="472"/>
  <c r="F38" i="472" s="1"/>
  <c r="D88" i="472"/>
  <c r="E21" i="472"/>
  <c r="E88" i="472"/>
  <c r="E11" i="472"/>
  <c r="F65" i="472"/>
  <c r="F11" i="472"/>
  <c r="D11" i="472"/>
  <c r="D65" i="472"/>
  <c r="F44" i="472"/>
  <c r="E34" i="472"/>
  <c r="E65" i="472"/>
  <c r="E44" i="472"/>
  <c r="D34" i="472"/>
  <c r="D39" i="472"/>
  <c r="D38" i="472" s="1"/>
  <c r="D21" i="472"/>
  <c r="D44" i="472"/>
  <c r="F34" i="472"/>
  <c r="F88" i="472"/>
  <c r="F21" i="472"/>
  <c r="F45" i="472"/>
  <c r="F12" i="472"/>
  <c r="F35" i="472"/>
  <c r="E22" i="472"/>
  <c r="E12" i="472"/>
  <c r="D12" i="472"/>
  <c r="D22" i="472"/>
  <c r="E35" i="472"/>
  <c r="E45" i="472"/>
  <c r="D35" i="472"/>
  <c r="D45" i="472"/>
  <c r="F22" i="472"/>
  <c r="D75" i="472"/>
  <c r="D74" i="472" s="1"/>
  <c r="E75" i="472"/>
  <c r="E74" i="472" s="1"/>
  <c r="F56" i="472"/>
  <c r="E56" i="472"/>
  <c r="D79" i="472"/>
  <c r="E79" i="472"/>
  <c r="D56" i="472"/>
  <c r="H79" i="472"/>
  <c r="I79" i="472" s="1"/>
  <c r="O79" i="472" s="1"/>
  <c r="F79" i="472"/>
  <c r="H56" i="472"/>
  <c r="I56" i="472" s="1"/>
  <c r="O56" i="472" s="1"/>
  <c r="F86" i="472"/>
  <c r="F310" i="472"/>
  <c r="F63" i="472"/>
  <c r="E86" i="472"/>
  <c r="E310" i="472"/>
  <c r="D86" i="472"/>
  <c r="E63" i="472"/>
  <c r="D310" i="472"/>
  <c r="D63" i="472"/>
  <c r="F6" i="472"/>
  <c r="F5" i="472" s="1"/>
  <c r="D6" i="472"/>
  <c r="D5" i="472" s="1"/>
  <c r="E6" i="472"/>
  <c r="E5" i="472" s="1"/>
  <c r="E639" i="472"/>
  <c r="E638" i="472" s="1"/>
  <c r="D647" i="472"/>
  <c r="D646" i="472" s="1"/>
  <c r="H639" i="472"/>
  <c r="I639" i="472" s="1"/>
  <c r="H647" i="472"/>
  <c r="I647" i="472" s="1"/>
  <c r="F639" i="472"/>
  <c r="F638" i="472" s="1"/>
  <c r="F647" i="472"/>
  <c r="F646" i="472" s="1"/>
  <c r="D639" i="472"/>
  <c r="D638" i="472" s="1"/>
  <c r="E647" i="472"/>
  <c r="E646" i="472" s="1"/>
  <c r="D749" i="472"/>
  <c r="D748" i="472" s="1"/>
  <c r="F60" i="472"/>
  <c r="D83" i="472"/>
  <c r="D60" i="472"/>
  <c r="E749" i="472"/>
  <c r="E748" i="472" s="1"/>
  <c r="E60" i="472"/>
  <c r="F749" i="472"/>
  <c r="F748" i="472" s="1"/>
  <c r="F83" i="472"/>
  <c r="E83" i="472"/>
  <c r="E717" i="472"/>
  <c r="E716" i="472" s="1"/>
  <c r="D947" i="472"/>
  <c r="D946" i="472" s="1"/>
  <c r="E954" i="472"/>
  <c r="E953" i="472" s="1"/>
  <c r="F717" i="472"/>
  <c r="F716" i="472" s="1"/>
  <c r="F947" i="472"/>
  <c r="F946" i="472" s="1"/>
  <c r="F954" i="472"/>
  <c r="F953" i="472" s="1"/>
  <c r="D717" i="472"/>
  <c r="D716" i="472" s="1"/>
  <c r="E947" i="472"/>
  <c r="E946" i="472" s="1"/>
  <c r="H954" i="472"/>
  <c r="I954" i="472" s="1"/>
  <c r="H947" i="472"/>
  <c r="I947" i="472" s="1"/>
  <c r="D954" i="472"/>
  <c r="D953" i="472" s="1"/>
  <c r="D740" i="472"/>
  <c r="D739" i="472" s="1"/>
  <c r="F763" i="472"/>
  <c r="F762" i="472" s="1"/>
  <c r="D220" i="472"/>
  <c r="D219" i="472" s="1"/>
  <c r="D726" i="472"/>
  <c r="D725" i="472" s="1"/>
  <c r="D961" i="472"/>
  <c r="D960" i="472" s="1"/>
  <c r="E756" i="472"/>
  <c r="E755" i="472" s="1"/>
  <c r="E740" i="472"/>
  <c r="E739" i="472" s="1"/>
  <c r="E763" i="472"/>
  <c r="E762" i="472" s="1"/>
  <c r="E231" i="472"/>
  <c r="E230" i="472" s="1"/>
  <c r="F726" i="472"/>
  <c r="F725" i="472" s="1"/>
  <c r="F961" i="472"/>
  <c r="F960" i="472" s="1"/>
  <c r="F740" i="472"/>
  <c r="F739" i="472" s="1"/>
  <c r="F220" i="472"/>
  <c r="F219" i="472" s="1"/>
  <c r="D231" i="472"/>
  <c r="D230" i="472" s="1"/>
  <c r="E726" i="472"/>
  <c r="E725" i="472" s="1"/>
  <c r="H961" i="472"/>
  <c r="I961" i="472" s="1"/>
  <c r="D756" i="472"/>
  <c r="D755" i="472" s="1"/>
  <c r="D763" i="472"/>
  <c r="D762" i="472" s="1"/>
  <c r="E220" i="472"/>
  <c r="E219" i="472" s="1"/>
  <c r="F231" i="472"/>
  <c r="F230" i="472" s="1"/>
  <c r="E961" i="472"/>
  <c r="E960" i="472" s="1"/>
  <c r="F756" i="472"/>
  <c r="F755" i="472" s="1"/>
  <c r="E786" i="472"/>
  <c r="E785" i="472" s="1"/>
  <c r="F786" i="472"/>
  <c r="F785" i="472" s="1"/>
  <c r="D786" i="472"/>
  <c r="D785" i="472" s="1"/>
  <c r="F289" i="472"/>
  <c r="F288" i="472" s="1"/>
  <c r="D329" i="472"/>
  <c r="D328" i="472" s="1"/>
  <c r="D289" i="472"/>
  <c r="D288" i="472" s="1"/>
  <c r="F329" i="472"/>
  <c r="F328" i="472" s="1"/>
  <c r="E329" i="472"/>
  <c r="E328" i="472" s="1"/>
  <c r="E289" i="472"/>
  <c r="E288" i="472" s="1"/>
  <c r="D441" i="472"/>
  <c r="D440" i="472" s="1"/>
  <c r="H441" i="472"/>
  <c r="F441" i="472"/>
  <c r="F440" i="472" s="1"/>
  <c r="E441" i="472"/>
  <c r="E440" i="472" s="1"/>
  <c r="H393" i="472"/>
  <c r="I393" i="472" s="1"/>
  <c r="E452" i="472"/>
  <c r="E451" i="472" s="1"/>
  <c r="E393" i="472"/>
  <c r="E392" i="472" s="1"/>
  <c r="H452" i="472"/>
  <c r="I452" i="472" s="1"/>
  <c r="D393" i="472"/>
  <c r="D392" i="472" s="1"/>
  <c r="F452" i="472"/>
  <c r="F451" i="472" s="1"/>
  <c r="F393" i="472"/>
  <c r="F392" i="472" s="1"/>
  <c r="D452" i="472"/>
  <c r="D451" i="472" s="1"/>
  <c r="H429" i="472"/>
  <c r="I429" i="472" s="1"/>
  <c r="O429" i="472" s="1"/>
  <c r="D770" i="472"/>
  <c r="D769" i="472" s="1"/>
  <c r="D416" i="472"/>
  <c r="D415" i="472" s="1"/>
  <c r="D403" i="472"/>
  <c r="D402" i="472" s="1"/>
  <c r="F630" i="472"/>
  <c r="F629" i="472" s="1"/>
  <c r="D305" i="472"/>
  <c r="D304" i="472" s="1"/>
  <c r="F429" i="472"/>
  <c r="F428" i="472" s="1"/>
  <c r="E630" i="472"/>
  <c r="E629" i="472" s="1"/>
  <c r="E429" i="472"/>
  <c r="E428" i="472" s="1"/>
  <c r="F770" i="472"/>
  <c r="F769" i="472" s="1"/>
  <c r="F416" i="472"/>
  <c r="F415" i="472" s="1"/>
  <c r="D630" i="472"/>
  <c r="D629" i="472" s="1"/>
  <c r="E52" i="472"/>
  <c r="E51" i="472" s="1"/>
  <c r="E305" i="472"/>
  <c r="E304" i="472" s="1"/>
  <c r="D429" i="472"/>
  <c r="D428" i="472" s="1"/>
  <c r="E770" i="472"/>
  <c r="E769" i="472" s="1"/>
  <c r="F403" i="472"/>
  <c r="F402" i="472" s="1"/>
  <c r="H630" i="472"/>
  <c r="I630" i="472" s="1"/>
  <c r="D52" i="472"/>
  <c r="D51" i="472" s="1"/>
  <c r="E416" i="472"/>
  <c r="E415" i="472" s="1"/>
  <c r="E403" i="472"/>
  <c r="E402" i="472" s="1"/>
  <c r="F777" i="472"/>
  <c r="F776" i="472" s="1"/>
  <c r="E29" i="472"/>
  <c r="E28" i="472" s="1"/>
  <c r="H777" i="472"/>
  <c r="I777" i="472" s="1"/>
  <c r="D777" i="472"/>
  <c r="D776" i="472" s="1"/>
  <c r="D29" i="472"/>
  <c r="D28" i="472" s="1"/>
  <c r="E777" i="472"/>
  <c r="E776" i="472" s="1"/>
  <c r="F29" i="472"/>
  <c r="F28" i="472" s="1"/>
  <c r="F577" i="472"/>
  <c r="D562" i="472"/>
  <c r="F576" i="472"/>
  <c r="E577" i="472"/>
  <c r="E562" i="472"/>
  <c r="E561" i="472"/>
  <c r="D577" i="472"/>
  <c r="D576" i="472"/>
  <c r="F561" i="472"/>
  <c r="F562" i="472"/>
  <c r="E576" i="472"/>
  <c r="D561" i="472"/>
  <c r="D16" i="472"/>
  <c r="D15" i="472" s="1"/>
  <c r="E16" i="472"/>
  <c r="E15" i="472" s="1"/>
  <c r="F16" i="472"/>
  <c r="F15" i="472" s="1"/>
  <c r="D53" i="472"/>
  <c r="F76" i="472"/>
  <c r="D582" i="472"/>
  <c r="D581" i="472" s="1"/>
  <c r="E53" i="472"/>
  <c r="D76" i="472"/>
  <c r="E582" i="472"/>
  <c r="E581" i="472" s="1"/>
  <c r="F53" i="472"/>
  <c r="E573" i="472"/>
  <c r="F582" i="472"/>
  <c r="F581" i="472" s="1"/>
  <c r="E76" i="472"/>
  <c r="D573" i="472"/>
  <c r="F590" i="472"/>
  <c r="F589" i="472" s="1"/>
  <c r="E572" i="472"/>
  <c r="E571" i="472" s="1"/>
  <c r="D572" i="472"/>
  <c r="D571" i="472" s="1"/>
  <c r="D590" i="472"/>
  <c r="D589" i="472" s="1"/>
  <c r="F572" i="472"/>
  <c r="F571" i="472" s="1"/>
  <c r="E590" i="472"/>
  <c r="E589" i="472" s="1"/>
  <c r="B40" i="472"/>
  <c r="B17" i="472"/>
  <c r="B461" i="472"/>
  <c r="B30" i="472"/>
  <c r="B7" i="472"/>
  <c r="B417" i="472"/>
  <c r="B280" i="472"/>
  <c r="B593" i="472"/>
  <c r="B609" i="472"/>
  <c r="B89" i="472"/>
  <c r="B66" i="472"/>
  <c r="B574" i="472"/>
  <c r="B586" i="472"/>
  <c r="B77" i="472"/>
  <c r="B54" i="472"/>
  <c r="B879" i="472"/>
  <c r="B116" i="472"/>
  <c r="B856" i="472"/>
  <c r="B308" i="472"/>
  <c r="B187" i="472"/>
  <c r="B78" i="472"/>
  <c r="B55" i="472"/>
  <c r="B431" i="472"/>
  <c r="B902" i="472"/>
  <c r="B462" i="472"/>
  <c r="B31" i="472"/>
  <c r="B8" i="472"/>
  <c r="B418" i="472"/>
  <c r="B281" i="472"/>
  <c r="B41" i="472"/>
  <c r="B18" i="472"/>
  <c r="B595" i="472"/>
  <c r="B617" i="472"/>
  <c r="B81" i="472"/>
  <c r="B58" i="472"/>
  <c r="B591" i="472"/>
  <c r="B85" i="472"/>
  <c r="B62" i="472"/>
  <c r="B600" i="472"/>
  <c r="B567" i="472"/>
  <c r="B324" i="472"/>
  <c r="B307" i="472"/>
  <c r="B575" i="472"/>
  <c r="B560" i="472"/>
  <c r="B881" i="472"/>
  <c r="B858" i="472"/>
  <c r="B189" i="472"/>
  <c r="B904" i="472"/>
  <c r="B2" i="467"/>
  <c r="C2" i="462"/>
  <c r="B441" i="462"/>
  <c r="B423" i="462"/>
  <c r="B376" i="462"/>
  <c r="D439" i="462"/>
  <c r="F374" i="462"/>
  <c r="D421" i="462"/>
  <c r="C421" i="462"/>
  <c r="F439" i="462"/>
  <c r="C374" i="462"/>
  <c r="D374" i="462"/>
  <c r="C439" i="462"/>
  <c r="F421" i="462"/>
  <c r="F438" i="462"/>
  <c r="F418" i="462"/>
  <c r="C371" i="462"/>
  <c r="C418" i="462"/>
  <c r="D371" i="462"/>
  <c r="D438" i="462"/>
  <c r="D418" i="462"/>
  <c r="C438" i="462"/>
  <c r="F371" i="462"/>
  <c r="F435" i="462"/>
  <c r="C435" i="462"/>
  <c r="D435" i="462"/>
  <c r="C367" i="462"/>
  <c r="B365" i="462"/>
  <c r="D414" i="462"/>
  <c r="F367" i="462"/>
  <c r="B431" i="462"/>
  <c r="B358" i="462"/>
  <c r="B407" i="462"/>
  <c r="C414" i="462"/>
  <c r="B360" i="462"/>
  <c r="B432" i="462"/>
  <c r="B409" i="462"/>
  <c r="B408" i="462"/>
  <c r="B359" i="462"/>
  <c r="F414" i="462"/>
  <c r="D367" i="462"/>
  <c r="B2" i="459"/>
  <c r="B2" i="433"/>
  <c r="H740" i="157"/>
  <c r="P489" i="157"/>
  <c r="P328" i="157"/>
  <c r="L336" i="157" s="1"/>
  <c r="P336" i="157" s="1"/>
  <c r="L334" i="157" s="1"/>
  <c r="L357" i="157"/>
  <c r="B421" i="157"/>
  <c r="L420" i="157" s="1"/>
  <c r="P422" i="157" s="1"/>
  <c r="J430" i="157" s="1"/>
  <c r="B709" i="157"/>
  <c r="B696" i="157"/>
  <c r="L1029" i="157"/>
  <c r="H773" i="157"/>
  <c r="B1031" i="157"/>
  <c r="H1029" i="157" s="1"/>
  <c r="L740" i="157"/>
  <c r="B676" i="157"/>
  <c r="H676" i="157" s="1"/>
  <c r="B1770" i="157"/>
  <c r="H1767" i="157" s="1"/>
  <c r="P904" i="157"/>
  <c r="P393" i="157"/>
  <c r="B999" i="157"/>
  <c r="H997" i="157" s="1"/>
  <c r="B935" i="157"/>
  <c r="H933" i="157" s="1"/>
  <c r="P1610" i="157"/>
  <c r="P1257" i="157"/>
  <c r="L997" i="157"/>
  <c r="B613" i="157"/>
  <c r="L612" i="157" s="1"/>
  <c r="B293" i="157"/>
  <c r="L292" i="157" s="1"/>
  <c r="L805" i="157"/>
  <c r="H837" i="157"/>
  <c r="L1253" i="157"/>
  <c r="L932" i="157"/>
  <c r="P585" i="157"/>
  <c r="P521" i="157"/>
  <c r="P873" i="157"/>
  <c r="P840" i="157"/>
  <c r="L848" i="157" s="1"/>
  <c r="P848" i="157" s="1"/>
  <c r="L846" i="157" s="1"/>
  <c r="P392" i="157"/>
  <c r="L400" i="157" s="1"/>
  <c r="P400" i="157" s="1"/>
  <c r="L398" i="157" s="1"/>
  <c r="P297" i="157"/>
  <c r="P712" i="157"/>
  <c r="L720" i="157" s="1"/>
  <c r="P720" i="157" s="1"/>
  <c r="L718" i="157" s="1"/>
  <c r="P1353" i="157"/>
  <c r="P1128" i="157"/>
  <c r="L1136" i="157" s="1"/>
  <c r="P1136" i="157" s="1"/>
  <c r="L1134" i="157" s="1"/>
  <c r="P1164" i="157"/>
  <c r="P1163" i="157"/>
  <c r="P841" i="157"/>
  <c r="P844" i="157" s="1"/>
  <c r="P1873" i="157"/>
  <c r="P488" i="157"/>
  <c r="L496" i="157" s="1"/>
  <c r="P496" i="157" s="1"/>
  <c r="L494" i="157" s="1"/>
  <c r="P456" i="157"/>
  <c r="L464" i="157" s="1"/>
  <c r="P464" i="157" s="1"/>
  <c r="L462" i="157" s="1"/>
  <c r="P424" i="157"/>
  <c r="L432" i="157" s="1"/>
  <c r="P432" i="157" s="1"/>
  <c r="L430" i="157" s="1"/>
  <c r="P1488" i="157"/>
  <c r="P1424" i="157"/>
  <c r="P1905" i="157"/>
  <c r="B359" i="157"/>
  <c r="H356" i="157" s="1"/>
  <c r="B1734" i="157"/>
  <c r="L1733" i="157" s="1"/>
  <c r="L1157" i="157"/>
  <c r="P617" i="157"/>
  <c r="P584" i="157"/>
  <c r="L592" i="157" s="1"/>
  <c r="P592" i="157" s="1"/>
  <c r="L590" i="157" s="1"/>
  <c r="H485" i="157"/>
  <c r="B871" i="157"/>
  <c r="H868" i="157" s="1"/>
  <c r="P870" i="157" s="1"/>
  <c r="J878" i="157" s="1"/>
  <c r="B1447" i="157"/>
  <c r="H1444" i="157" s="1"/>
  <c r="B1349" i="157"/>
  <c r="L1348" i="157" s="1"/>
  <c r="P1546" i="157"/>
  <c r="L1444" i="157"/>
  <c r="B1573" i="157"/>
  <c r="L1572" i="157" s="1"/>
  <c r="B807" i="157"/>
  <c r="H804" i="157" s="1"/>
  <c r="L1285" i="157"/>
  <c r="B1608" i="157"/>
  <c r="H1605" i="157" s="1"/>
  <c r="B773" i="157"/>
  <c r="L772" i="157" s="1"/>
  <c r="B1319" i="157"/>
  <c r="H1316" i="157" s="1"/>
  <c r="P1318" i="157" s="1"/>
  <c r="J1326" i="157" s="1"/>
  <c r="B1158" i="157"/>
  <c r="H1157" i="157" s="1"/>
  <c r="P616" i="157"/>
  <c r="L624" i="157" s="1"/>
  <c r="P624" i="157" s="1"/>
  <c r="L622" i="157" s="1"/>
  <c r="P361" i="157"/>
  <c r="B1188" i="157"/>
  <c r="H1188" i="157" s="1"/>
  <c r="B581" i="157"/>
  <c r="L580" i="157" s="1"/>
  <c r="P582" i="157" s="1"/>
  <c r="J590" i="157" s="1"/>
  <c r="B389" i="157"/>
  <c r="L388" i="157" s="1"/>
  <c r="P390" i="157" s="1"/>
  <c r="J398" i="157" s="1"/>
  <c r="L1871" i="157"/>
  <c r="P1871" i="157" s="1"/>
  <c r="H1125" i="157"/>
  <c r="P1126" i="157" s="1"/>
  <c r="J1134" i="157" s="1"/>
  <c r="L1189" i="157"/>
  <c r="L261" i="157"/>
  <c r="P1129" i="157"/>
  <c r="P1065" i="157"/>
  <c r="A699" i="157"/>
  <c r="B677" i="157"/>
  <c r="L676" i="157" s="1"/>
  <c r="B615" i="157"/>
  <c r="H612" i="157" s="1"/>
  <c r="L517" i="157"/>
  <c r="P552" i="157"/>
  <c r="P556" i="157" s="1"/>
  <c r="P329" i="157"/>
  <c r="P457" i="157"/>
  <c r="P425" i="157"/>
  <c r="P428" i="157" s="1"/>
  <c r="P905" i="157"/>
  <c r="P1576" i="157"/>
  <c r="L1584" i="157" s="1"/>
  <c r="P1584" i="157" s="1"/>
  <c r="L1582" i="157" s="1"/>
  <c r="P1482" i="157"/>
  <c r="P1486" i="157" s="1"/>
  <c r="P1352" i="157"/>
  <c r="L1606" i="157"/>
  <c r="B1575" i="157"/>
  <c r="H1572" i="157" s="1"/>
  <c r="H1349" i="157"/>
  <c r="P520" i="157"/>
  <c r="L528" i="157" s="1"/>
  <c r="P528" i="157" s="1"/>
  <c r="L526" i="157" s="1"/>
  <c r="P296" i="157"/>
  <c r="B1511" i="157"/>
  <c r="H1508" i="157" s="1"/>
  <c r="L1509" i="157"/>
  <c r="P1835" i="157"/>
  <c r="P1839" i="157" s="1"/>
  <c r="L1841" i="157" s="1"/>
  <c r="P872" i="157"/>
  <c r="L880" i="157" s="1"/>
  <c r="P880" i="157" s="1"/>
  <c r="L878" i="157" s="1"/>
  <c r="P777" i="157"/>
  <c r="P1875" i="157"/>
  <c r="P1649" i="157"/>
  <c r="P1865" i="157"/>
  <c r="P266" i="157"/>
  <c r="P270" i="157" s="1"/>
  <c r="P1289" i="157"/>
  <c r="P1288" i="157"/>
  <c r="L1296" i="157" s="1"/>
  <c r="P1296" i="157" s="1"/>
  <c r="L1294" i="157" s="1"/>
  <c r="P1256" i="157"/>
  <c r="P1194" i="157"/>
  <c r="P1096" i="157"/>
  <c r="L1104" i="157" s="1"/>
  <c r="P1104" i="157" s="1"/>
  <c r="P1094" i="157"/>
  <c r="P1064" i="157"/>
  <c r="L1072" i="157" s="1"/>
  <c r="P1072" i="157" s="1"/>
  <c r="L1070" i="157" s="1"/>
  <c r="P1062" i="157"/>
  <c r="J1070" i="157" s="1"/>
  <c r="P902" i="157"/>
  <c r="J910" i="157" s="1"/>
  <c r="P910" i="157" s="1"/>
  <c r="P809" i="157"/>
  <c r="P808" i="157"/>
  <c r="L816" i="157" s="1"/>
  <c r="P816" i="157" s="1"/>
  <c r="L814" i="157" s="1"/>
  <c r="P776" i="157"/>
  <c r="P680" i="157"/>
  <c r="P684" i="157" s="1"/>
  <c r="L688" i="157" s="1"/>
  <c r="P688" i="157" s="1"/>
  <c r="L686" i="157" s="1"/>
  <c r="H1734" i="157"/>
  <c r="P1738" i="157"/>
  <c r="P1737" i="157"/>
  <c r="L1745" i="157" s="1"/>
  <c r="P1745" i="157" s="1"/>
  <c r="L1743" i="157" s="1"/>
  <c r="P1643" i="157"/>
  <c r="P1647" i="157" s="1"/>
  <c r="P1609" i="157"/>
  <c r="L1617" i="157" s="1"/>
  <c r="P1617" i="157" s="1"/>
  <c r="L1615" i="157" s="1"/>
  <c r="P1456" i="157"/>
  <c r="P1321" i="157"/>
  <c r="P1320" i="157"/>
  <c r="L1328" i="157" s="1"/>
  <c r="P1328" i="157" s="1"/>
  <c r="L1326" i="157" s="1"/>
  <c r="L1220" i="157"/>
  <c r="B1930" i="157"/>
  <c r="H1928" i="157" s="1"/>
  <c r="B485" i="157"/>
  <c r="L484" i="157" s="1"/>
  <c r="L1638" i="157"/>
  <c r="L1668" i="157"/>
  <c r="B549" i="157"/>
  <c r="L548" i="157" s="1"/>
  <c r="P550" i="157" s="1"/>
  <c r="J558" i="157" s="1"/>
  <c r="L1477" i="157"/>
  <c r="L837" i="157"/>
  <c r="B1479" i="157"/>
  <c r="H1477" i="157" s="1"/>
  <c r="B295" i="157"/>
  <c r="H292" i="157" s="1"/>
  <c r="B1223" i="157"/>
  <c r="H1220" i="157" s="1"/>
  <c r="L1637" i="157"/>
  <c r="L1667" i="157"/>
  <c r="P1711" i="157"/>
  <c r="P1705" i="157"/>
  <c r="P1709" i="157" s="1"/>
  <c r="P1520" i="157"/>
  <c r="P710" i="157"/>
  <c r="J718" i="157" s="1"/>
  <c r="P1781" i="157"/>
  <c r="H1638" i="157"/>
  <c r="P1903" i="157"/>
  <c r="L1928" i="157"/>
  <c r="B1287" i="157"/>
  <c r="H1284" i="157" s="1"/>
  <c r="L1832" i="157"/>
  <c r="P1833" i="157" s="1"/>
  <c r="J1841" i="157" s="1"/>
  <c r="H517" i="157"/>
  <c r="H964" i="157"/>
  <c r="P966" i="157" s="1"/>
  <c r="P646" i="157"/>
  <c r="P648" i="157" s="1"/>
  <c r="P650" i="157" s="1"/>
  <c r="B1540" i="157"/>
  <c r="P1907" i="157"/>
  <c r="P1771" i="157"/>
  <c r="B1800" i="157"/>
  <c r="L1799" i="157" s="1"/>
  <c r="P1933" i="157"/>
  <c r="P1937" i="157" s="1"/>
  <c r="B1802" i="157"/>
  <c r="H1799" i="157" s="1"/>
  <c r="P1002" i="157"/>
  <c r="P1006" i="157" s="1"/>
  <c r="B2" i="8"/>
  <c r="H260" i="157"/>
  <c r="H261" i="157"/>
  <c r="P326" i="157"/>
  <c r="J334" i="157" s="1"/>
  <c r="P1298" i="157"/>
  <c r="P938" i="157"/>
  <c r="P942" i="157" s="1"/>
  <c r="B704" i="157"/>
  <c r="P454" i="157"/>
  <c r="J462" i="157" s="1"/>
  <c r="P1897" i="157"/>
  <c r="P1679" i="157"/>
  <c r="L1768" i="157"/>
  <c r="P1034" i="157"/>
  <c r="P1038" i="157" s="1"/>
  <c r="O40" i="157"/>
  <c r="P40" i="157" s="1"/>
  <c r="P44" i="157" s="1"/>
  <c r="P970" i="157"/>
  <c r="P974" i="157" s="1"/>
  <c r="H69" i="157"/>
  <c r="P70" i="157" s="1"/>
  <c r="M1002" i="322"/>
  <c r="AN1002" i="322" s="1"/>
  <c r="EO1002" i="322" s="1"/>
  <c r="H1668" i="157"/>
  <c r="H1667" i="157"/>
  <c r="H1412" i="157"/>
  <c r="H1413" i="157"/>
  <c r="L1700" i="157"/>
  <c r="P1673" i="157"/>
  <c r="P1677" i="157" s="1"/>
  <c r="P746" i="157"/>
  <c r="P750" i="157" s="1"/>
  <c r="P1803" i="157"/>
  <c r="P1813" i="157"/>
  <c r="P1418" i="157"/>
  <c r="P1422" i="157" s="1"/>
  <c r="P360" i="157"/>
  <c r="P74" i="157"/>
  <c r="B1702" i="157"/>
  <c r="P1577" i="157"/>
  <c r="P1514" i="157"/>
  <c r="P1518" i="157" s="1"/>
  <c r="P1450" i="157"/>
  <c r="P1454" i="157" s="1"/>
  <c r="P38" i="157"/>
  <c r="L741" i="157"/>
  <c r="P1254" i="157" l="1"/>
  <c r="J1262" i="157" s="1"/>
  <c r="B28" i="476"/>
  <c r="E43" i="467"/>
  <c r="E32" i="467"/>
  <c r="E40" i="467"/>
  <c r="C28" i="476"/>
  <c r="E41" i="467"/>
  <c r="E38" i="467"/>
  <c r="E39" i="467"/>
  <c r="E37" i="467"/>
  <c r="C47" i="476"/>
  <c r="E30" i="467"/>
  <c r="B25" i="476"/>
  <c r="Q25" i="476"/>
  <c r="G15" i="476"/>
  <c r="G18" i="476"/>
  <c r="G33" i="476"/>
  <c r="G40" i="476"/>
  <c r="G12" i="476"/>
  <c r="G16" i="476"/>
  <c r="G38" i="476"/>
  <c r="G23" i="476"/>
  <c r="G43" i="476"/>
  <c r="G42" i="476"/>
  <c r="G41" i="476"/>
  <c r="G31" i="476"/>
  <c r="G22" i="476"/>
  <c r="G35" i="476"/>
  <c r="G27" i="476"/>
  <c r="G49" i="476"/>
  <c r="G14" i="476"/>
  <c r="G36" i="476"/>
  <c r="G45" i="476"/>
  <c r="G46" i="476"/>
  <c r="G13" i="476"/>
  <c r="G37" i="476"/>
  <c r="G7" i="476"/>
  <c r="G48" i="476"/>
  <c r="G10" i="476"/>
  <c r="G20" i="476"/>
  <c r="G29" i="476"/>
  <c r="H44" i="476"/>
  <c r="C30" i="467"/>
  <c r="B30" i="467"/>
  <c r="D30" i="467"/>
  <c r="E29" i="467"/>
  <c r="I17" i="476"/>
  <c r="V17" i="476" s="1"/>
  <c r="I16" i="476"/>
  <c r="F28" i="476"/>
  <c r="H28" i="476"/>
  <c r="I28" i="476"/>
  <c r="D28" i="476"/>
  <c r="E28" i="476"/>
  <c r="G28" i="476"/>
  <c r="D38" i="467"/>
  <c r="C38" i="467"/>
  <c r="B38" i="467"/>
  <c r="E29" i="481"/>
  <c r="E38" i="481"/>
  <c r="E27" i="481"/>
  <c r="E11" i="481"/>
  <c r="E25" i="481"/>
  <c r="E13" i="481"/>
  <c r="E46" i="481"/>
  <c r="E31" i="481"/>
  <c r="E35" i="481"/>
  <c r="E39" i="481"/>
  <c r="E45" i="481"/>
  <c r="E28" i="481"/>
  <c r="E9" i="481"/>
  <c r="E37" i="481"/>
  <c r="E32" i="481"/>
  <c r="E10" i="481"/>
  <c r="E6" i="481"/>
  <c r="E8" i="481"/>
  <c r="E42" i="481"/>
  <c r="E12" i="481"/>
  <c r="E33" i="481"/>
  <c r="E15" i="481"/>
  <c r="E34" i="481"/>
  <c r="E43" i="481"/>
  <c r="E26" i="481"/>
  <c r="E16" i="481"/>
  <c r="E30" i="481"/>
  <c r="E17" i="481"/>
  <c r="E7" i="481"/>
  <c r="E18" i="481"/>
  <c r="E44" i="481"/>
  <c r="E14" i="481"/>
  <c r="E41" i="481"/>
  <c r="E40" i="481"/>
  <c r="E48" i="481"/>
  <c r="E24" i="481"/>
  <c r="E36" i="481"/>
  <c r="I25" i="476"/>
  <c r="D25" i="476"/>
  <c r="E25" i="476"/>
  <c r="G25" i="476"/>
  <c r="H25" i="476"/>
  <c r="F25" i="476"/>
  <c r="E47" i="481"/>
  <c r="F47" i="481"/>
  <c r="D47" i="481"/>
  <c r="H47" i="481"/>
  <c r="K47" i="481"/>
  <c r="L47" i="481"/>
  <c r="P47" i="481"/>
  <c r="J47" i="481"/>
  <c r="I47" i="481"/>
  <c r="O47" i="481"/>
  <c r="R47" i="481"/>
  <c r="M47" i="481"/>
  <c r="N47" i="481"/>
  <c r="Q47" i="481"/>
  <c r="G47" i="481"/>
  <c r="B47" i="481"/>
  <c r="S47" i="481"/>
  <c r="C47" i="481"/>
  <c r="D299" i="462"/>
  <c r="F299" i="462"/>
  <c r="C299" i="462"/>
  <c r="F17" i="481"/>
  <c r="F30" i="481"/>
  <c r="F33" i="481"/>
  <c r="F14" i="481"/>
  <c r="F13" i="481"/>
  <c r="F42" i="481"/>
  <c r="F35" i="481"/>
  <c r="F19" i="481"/>
  <c r="F39" i="481"/>
  <c r="F15" i="481"/>
  <c r="F32" i="481"/>
  <c r="F37" i="481"/>
  <c r="F27" i="481"/>
  <c r="F9" i="481"/>
  <c r="F29" i="481"/>
  <c r="F25" i="481"/>
  <c r="F12" i="481"/>
  <c r="F31" i="481"/>
  <c r="F34" i="481"/>
  <c r="F11" i="481"/>
  <c r="F28" i="481"/>
  <c r="F46" i="481"/>
  <c r="F44" i="481"/>
  <c r="F38" i="481"/>
  <c r="F43" i="481"/>
  <c r="F45" i="481"/>
  <c r="F18" i="481"/>
  <c r="F26" i="481"/>
  <c r="F22" i="481"/>
  <c r="F40" i="481"/>
  <c r="F41" i="481"/>
  <c r="F48" i="481"/>
  <c r="F24" i="481"/>
  <c r="F36" i="481"/>
  <c r="E47" i="476"/>
  <c r="F47" i="476"/>
  <c r="I47" i="476"/>
  <c r="H47" i="476"/>
  <c r="D47" i="476"/>
  <c r="G47" i="476"/>
  <c r="Q47" i="476"/>
  <c r="F51" i="476"/>
  <c r="F13" i="476"/>
  <c r="F36" i="476"/>
  <c r="F27" i="476"/>
  <c r="F21" i="476"/>
  <c r="F31" i="476"/>
  <c r="F33" i="476"/>
  <c r="F8" i="476"/>
  <c r="F11" i="476"/>
  <c r="F39" i="476"/>
  <c r="F38" i="476"/>
  <c r="F50" i="476"/>
  <c r="F45" i="476"/>
  <c r="F15" i="476"/>
  <c r="F10" i="476"/>
  <c r="F7" i="476"/>
  <c r="F23" i="476"/>
  <c r="F32" i="476"/>
  <c r="F9" i="476"/>
  <c r="F42" i="476"/>
  <c r="F12" i="476"/>
  <c r="F41" i="476"/>
  <c r="F14" i="476"/>
  <c r="F44" i="476"/>
  <c r="F40" i="476"/>
  <c r="F48" i="476"/>
  <c r="F20" i="476"/>
  <c r="F34" i="476"/>
  <c r="F6" i="476"/>
  <c r="F24" i="476"/>
  <c r="F22" i="476"/>
  <c r="F35" i="476"/>
  <c r="F37" i="476"/>
  <c r="F30" i="476"/>
  <c r="F43" i="476"/>
  <c r="F49" i="476"/>
  <c r="F46" i="476"/>
  <c r="F26" i="476"/>
  <c r="F29" i="476"/>
  <c r="D44" i="481"/>
  <c r="D25" i="481"/>
  <c r="D29" i="481"/>
  <c r="D32" i="481"/>
  <c r="D42" i="481"/>
  <c r="D33" i="481"/>
  <c r="D27" i="481"/>
  <c r="D45" i="481"/>
  <c r="D37" i="481"/>
  <c r="D35" i="481"/>
  <c r="D34" i="481"/>
  <c r="D31" i="481"/>
  <c r="D28" i="481"/>
  <c r="D30" i="481"/>
  <c r="D38" i="481"/>
  <c r="D43" i="481"/>
  <c r="D26" i="481"/>
  <c r="D46" i="481"/>
  <c r="D39" i="481"/>
  <c r="D40" i="481"/>
  <c r="D41" i="481"/>
  <c r="D48" i="481"/>
  <c r="D24" i="481"/>
  <c r="D36" i="481"/>
  <c r="E16" i="476"/>
  <c r="E39" i="476"/>
  <c r="E34" i="476"/>
  <c r="E12" i="476"/>
  <c r="E14" i="476"/>
  <c r="E40" i="476"/>
  <c r="E44" i="476"/>
  <c r="E48" i="476"/>
  <c r="E32" i="476"/>
  <c r="E6" i="476"/>
  <c r="E18" i="476"/>
  <c r="E22" i="476"/>
  <c r="E21" i="476"/>
  <c r="E41" i="476"/>
  <c r="E43" i="476"/>
  <c r="E30" i="476"/>
  <c r="E13" i="476"/>
  <c r="E36" i="476"/>
  <c r="E27" i="476"/>
  <c r="E35" i="476"/>
  <c r="E33" i="476"/>
  <c r="E10" i="476"/>
  <c r="E31" i="476"/>
  <c r="E9" i="476"/>
  <c r="E11" i="476"/>
  <c r="E38" i="476"/>
  <c r="E50" i="476"/>
  <c r="E15" i="476"/>
  <c r="E37" i="476"/>
  <c r="E7" i="476"/>
  <c r="E8" i="476"/>
  <c r="E23" i="476"/>
  <c r="E20" i="476"/>
  <c r="E49" i="476"/>
  <c r="E46" i="476"/>
  <c r="E26" i="476"/>
  <c r="E29" i="476"/>
  <c r="I52" i="476"/>
  <c r="I53" i="476"/>
  <c r="I56" i="476"/>
  <c r="I11" i="476"/>
  <c r="I36" i="476"/>
  <c r="I50" i="476"/>
  <c r="I15" i="476"/>
  <c r="I41" i="476"/>
  <c r="I33" i="476"/>
  <c r="I7" i="476"/>
  <c r="I23" i="476"/>
  <c r="I20" i="476"/>
  <c r="I54" i="476"/>
  <c r="I58" i="476"/>
  <c r="I34" i="476"/>
  <c r="I39" i="476"/>
  <c r="I42" i="476"/>
  <c r="I12" i="476"/>
  <c r="I14" i="476"/>
  <c r="I21" i="476"/>
  <c r="I44" i="476"/>
  <c r="I40" i="476"/>
  <c r="I48" i="476"/>
  <c r="I51" i="476"/>
  <c r="I13" i="476"/>
  <c r="I57" i="476"/>
  <c r="I6" i="476"/>
  <c r="I18" i="476"/>
  <c r="I22" i="476"/>
  <c r="I45" i="476"/>
  <c r="I35" i="476"/>
  <c r="I31" i="476"/>
  <c r="I30" i="476"/>
  <c r="I55" i="476"/>
  <c r="I32" i="476"/>
  <c r="I9" i="476"/>
  <c r="I38" i="476"/>
  <c r="I24" i="476"/>
  <c r="I27" i="476"/>
  <c r="I37" i="476"/>
  <c r="I8" i="476"/>
  <c r="I10" i="476"/>
  <c r="I43" i="476"/>
  <c r="I49" i="476"/>
  <c r="I46" i="476"/>
  <c r="I26" i="476"/>
  <c r="I29" i="476"/>
  <c r="D41" i="467"/>
  <c r="B41" i="467"/>
  <c r="C41" i="467"/>
  <c r="H55" i="476"/>
  <c r="H22" i="476"/>
  <c r="H40" i="476"/>
  <c r="H36" i="476"/>
  <c r="H33" i="476"/>
  <c r="H39" i="476"/>
  <c r="H21" i="476"/>
  <c r="H32" i="476"/>
  <c r="H14" i="476"/>
  <c r="H49" i="476"/>
  <c r="H15" i="476"/>
  <c r="H7" i="476"/>
  <c r="H34" i="476"/>
  <c r="H48" i="476"/>
  <c r="H9" i="476"/>
  <c r="H37" i="476"/>
  <c r="H54" i="476"/>
  <c r="H24" i="476"/>
  <c r="H8" i="476"/>
  <c r="H38" i="476"/>
  <c r="H10" i="476"/>
  <c r="H11" i="476"/>
  <c r="H52" i="476"/>
  <c r="H13" i="476"/>
  <c r="H41" i="476"/>
  <c r="H16" i="476"/>
  <c r="H6" i="476"/>
  <c r="H35" i="476"/>
  <c r="H56" i="476"/>
  <c r="H27" i="476"/>
  <c r="H51" i="476"/>
  <c r="H50" i="476"/>
  <c r="H20" i="476"/>
  <c r="H42" i="476"/>
  <c r="H30" i="476"/>
  <c r="H18" i="476"/>
  <c r="H31" i="476"/>
  <c r="H53" i="476"/>
  <c r="H12" i="476"/>
  <c r="H26" i="476"/>
  <c r="H29" i="476"/>
  <c r="F38" i="462"/>
  <c r="C38" i="462"/>
  <c r="D38" i="462"/>
  <c r="G40" i="481"/>
  <c r="G39" i="481"/>
  <c r="G41" i="481"/>
  <c r="L41" i="481"/>
  <c r="L40" i="481"/>
  <c r="L39" i="481"/>
  <c r="J41" i="481"/>
  <c r="J39" i="481"/>
  <c r="J40" i="481"/>
  <c r="I36" i="481"/>
  <c r="I32" i="481"/>
  <c r="I30" i="481"/>
  <c r="I34" i="481"/>
  <c r="I31" i="481"/>
  <c r="I33" i="481"/>
  <c r="I28" i="481"/>
  <c r="I38" i="481"/>
  <c r="I29" i="481"/>
  <c r="K28" i="481"/>
  <c r="K34" i="481"/>
  <c r="K38" i="481"/>
  <c r="K33" i="481"/>
  <c r="K36" i="481"/>
  <c r="K32" i="481"/>
  <c r="K30" i="481"/>
  <c r="K31" i="481"/>
  <c r="K29" i="481"/>
  <c r="Q30" i="481"/>
  <c r="Q31" i="481"/>
  <c r="Q33" i="481"/>
  <c r="Q34" i="481"/>
  <c r="Q32" i="481"/>
  <c r="Q36" i="481"/>
  <c r="Q28" i="481"/>
  <c r="Q38" i="481"/>
  <c r="Q29" i="481"/>
  <c r="R36" i="481"/>
  <c r="R34" i="481"/>
  <c r="R33" i="481"/>
  <c r="R38" i="481"/>
  <c r="R30" i="481"/>
  <c r="R28" i="481"/>
  <c r="R32" i="481"/>
  <c r="R31" i="481"/>
  <c r="R29" i="481"/>
  <c r="K40" i="481"/>
  <c r="K41" i="481"/>
  <c r="K39" i="481"/>
  <c r="O39" i="481"/>
  <c r="O40" i="481"/>
  <c r="O41" i="481"/>
  <c r="H40" i="481"/>
  <c r="H39" i="481"/>
  <c r="H41" i="481"/>
  <c r="M28" i="481"/>
  <c r="M34" i="481"/>
  <c r="M38" i="481"/>
  <c r="M32" i="481"/>
  <c r="M30" i="481"/>
  <c r="M31" i="481"/>
  <c r="M33" i="481"/>
  <c r="M36" i="481"/>
  <c r="M29" i="481"/>
  <c r="J30" i="481"/>
  <c r="J31" i="481"/>
  <c r="J33" i="481"/>
  <c r="J28" i="481"/>
  <c r="J38" i="481"/>
  <c r="J34" i="481"/>
  <c r="J32" i="481"/>
  <c r="J36" i="481"/>
  <c r="J29" i="481"/>
  <c r="O34" i="481"/>
  <c r="O28" i="481"/>
  <c r="O33" i="481"/>
  <c r="O31" i="481"/>
  <c r="O30" i="481"/>
  <c r="O38" i="481"/>
  <c r="O32" i="481"/>
  <c r="O36" i="481"/>
  <c r="O29" i="481"/>
  <c r="N27" i="481"/>
  <c r="M27" i="481"/>
  <c r="G27" i="481"/>
  <c r="P27" i="481"/>
  <c r="J27" i="481"/>
  <c r="I27" i="481"/>
  <c r="L27" i="481"/>
  <c r="H27" i="481"/>
  <c r="Q27" i="481"/>
  <c r="K27" i="481"/>
  <c r="O27" i="481"/>
  <c r="R27" i="481"/>
  <c r="Q41" i="481"/>
  <c r="Q40" i="481"/>
  <c r="Q39" i="481"/>
  <c r="R41" i="481"/>
  <c r="R40" i="481"/>
  <c r="R39" i="481"/>
  <c r="I40" i="481"/>
  <c r="I41" i="481"/>
  <c r="I39" i="481"/>
  <c r="D230" i="462"/>
  <c r="C230" i="462"/>
  <c r="F230" i="462"/>
  <c r="L30" i="481"/>
  <c r="L38" i="481"/>
  <c r="L32" i="481"/>
  <c r="L28" i="481"/>
  <c r="L33" i="481"/>
  <c r="L31" i="481"/>
  <c r="L34" i="481"/>
  <c r="L36" i="481"/>
  <c r="L29" i="481"/>
  <c r="M41" i="481"/>
  <c r="M39" i="481"/>
  <c r="M40" i="481"/>
  <c r="N39" i="481"/>
  <c r="N41" i="481"/>
  <c r="N40" i="481"/>
  <c r="P39" i="481"/>
  <c r="P41" i="481"/>
  <c r="P40" i="481"/>
  <c r="G33" i="481"/>
  <c r="G34" i="481"/>
  <c r="G32" i="481"/>
  <c r="G31" i="481"/>
  <c r="G28" i="481"/>
  <c r="G30" i="481"/>
  <c r="G36" i="481"/>
  <c r="G38" i="481"/>
  <c r="G29" i="481"/>
  <c r="H36" i="481"/>
  <c r="H28" i="481"/>
  <c r="H31" i="481"/>
  <c r="H30" i="481"/>
  <c r="H33" i="481"/>
  <c r="H34" i="481"/>
  <c r="H32" i="481"/>
  <c r="H38" i="481"/>
  <c r="H29" i="481"/>
  <c r="N34" i="481"/>
  <c r="N30" i="481"/>
  <c r="N31" i="481"/>
  <c r="N33" i="481"/>
  <c r="N36" i="481"/>
  <c r="N28" i="481"/>
  <c r="N32" i="481"/>
  <c r="N38" i="481"/>
  <c r="N29" i="481"/>
  <c r="P34" i="481"/>
  <c r="P36" i="481"/>
  <c r="P33" i="481"/>
  <c r="P30" i="481"/>
  <c r="P32" i="481"/>
  <c r="P38" i="481"/>
  <c r="P28" i="481"/>
  <c r="P31" i="481"/>
  <c r="P29" i="481"/>
  <c r="L6" i="481"/>
  <c r="J6" i="481"/>
  <c r="G6" i="481"/>
  <c r="K6" i="481"/>
  <c r="Q29" i="476"/>
  <c r="D182" i="462"/>
  <c r="F182" i="462"/>
  <c r="C182" i="462"/>
  <c r="Q20" i="476"/>
  <c r="C73" i="462"/>
  <c r="C79" i="462"/>
  <c r="F79" i="462"/>
  <c r="F73" i="462"/>
  <c r="D73" i="462"/>
  <c r="D90" i="462"/>
  <c r="C90" i="462"/>
  <c r="F90" i="462"/>
  <c r="P908" i="157"/>
  <c r="P1260" i="157"/>
  <c r="L560" i="157"/>
  <c r="P560" i="157" s="1"/>
  <c r="L558" i="157" s="1"/>
  <c r="P558" i="157" s="1"/>
  <c r="P774" i="157"/>
  <c r="J782" i="157" s="1"/>
  <c r="P806" i="157"/>
  <c r="J814" i="157" s="1"/>
  <c r="P814" i="157" s="1"/>
  <c r="P334" i="157"/>
  <c r="P332" i="157"/>
  <c r="D26" i="478"/>
  <c r="J26" i="478" s="1"/>
  <c r="D24" i="478"/>
  <c r="J24" i="478" s="1"/>
  <c r="D21" i="478"/>
  <c r="J21" i="478" s="1"/>
  <c r="D19" i="478"/>
  <c r="J19" i="478" s="1"/>
  <c r="D17" i="478"/>
  <c r="J17" i="478" s="1"/>
  <c r="D25" i="478"/>
  <c r="J25" i="478" s="1"/>
  <c r="D23" i="478"/>
  <c r="J23" i="478" s="1"/>
  <c r="D22" i="478"/>
  <c r="J22" i="478" s="1"/>
  <c r="D20" i="478"/>
  <c r="J20" i="478" s="1"/>
  <c r="D18" i="478"/>
  <c r="J18" i="478" s="1"/>
  <c r="G20" i="477"/>
  <c r="G17" i="477"/>
  <c r="G21" i="477"/>
  <c r="G22" i="477"/>
  <c r="G24" i="477"/>
  <c r="G23" i="477"/>
  <c r="G18" i="477"/>
  <c r="G16" i="477"/>
  <c r="G19" i="477"/>
  <c r="G25" i="477"/>
  <c r="C20" i="476"/>
  <c r="B20" i="476"/>
  <c r="F23" i="477"/>
  <c r="F25" i="477"/>
  <c r="F18" i="477"/>
  <c r="F24" i="477"/>
  <c r="F20" i="477"/>
  <c r="F17" i="477"/>
  <c r="F22" i="477"/>
  <c r="F16" i="477"/>
  <c r="F21" i="477"/>
  <c r="F19" i="477"/>
  <c r="EM1002" i="322"/>
  <c r="AK1012" i="322"/>
  <c r="D9" i="477"/>
  <c r="I9" i="477" s="1"/>
  <c r="D10" i="477"/>
  <c r="I10" i="477" s="1"/>
  <c r="D6" i="477"/>
  <c r="I6" i="477" s="1"/>
  <c r="D7" i="477"/>
  <c r="I7" i="477" s="1"/>
  <c r="D8" i="477"/>
  <c r="I8" i="477" s="1"/>
  <c r="D22" i="477"/>
  <c r="D24" i="477"/>
  <c r="D23" i="477"/>
  <c r="D25" i="477"/>
  <c r="D20" i="477"/>
  <c r="D19" i="477"/>
  <c r="D18" i="477"/>
  <c r="D21" i="477"/>
  <c r="D17" i="477"/>
  <c r="D16" i="477"/>
  <c r="H996" i="157"/>
  <c r="P998" i="157" s="1"/>
  <c r="P1004" i="157" s="1"/>
  <c r="H932" i="157"/>
  <c r="P838" i="157"/>
  <c r="J846" i="157" s="1"/>
  <c r="P358" i="157"/>
  <c r="J366" i="157" s="1"/>
  <c r="D883" i="472"/>
  <c r="F883" i="472"/>
  <c r="E883" i="472"/>
  <c r="D906" i="472"/>
  <c r="E906" i="472"/>
  <c r="F906" i="472"/>
  <c r="D191" i="472"/>
  <c r="E191" i="472"/>
  <c r="F191" i="472"/>
  <c r="P742" i="157"/>
  <c r="F860" i="472"/>
  <c r="E860" i="472"/>
  <c r="D860" i="472"/>
  <c r="B65" i="475"/>
  <c r="C65" i="475"/>
  <c r="D64" i="474"/>
  <c r="C64" i="474"/>
  <c r="B64" i="474"/>
  <c r="B82" i="475"/>
  <c r="C82" i="475"/>
  <c r="B118" i="474"/>
  <c r="C118" i="474"/>
  <c r="D118" i="474"/>
  <c r="B81" i="474"/>
  <c r="C81" i="474"/>
  <c r="D81" i="474"/>
  <c r="C136" i="475"/>
  <c r="B136" i="475"/>
  <c r="B119" i="475"/>
  <c r="C119" i="475"/>
  <c r="D135" i="474"/>
  <c r="B135" i="474"/>
  <c r="C135" i="474"/>
  <c r="E54" i="475"/>
  <c r="E63" i="475"/>
  <c r="E57" i="475"/>
  <c r="E64" i="475"/>
  <c r="E55" i="475"/>
  <c r="E61" i="475"/>
  <c r="E62" i="475"/>
  <c r="E65" i="475"/>
  <c r="E53" i="475"/>
  <c r="E67" i="475"/>
  <c r="E60" i="475"/>
  <c r="E59" i="475"/>
  <c r="E66" i="475"/>
  <c r="E58" i="475"/>
  <c r="E56" i="475"/>
  <c r="G113" i="475"/>
  <c r="G125" i="475"/>
  <c r="G109" i="475"/>
  <c r="G111" i="475"/>
  <c r="G122" i="475"/>
  <c r="G95" i="475"/>
  <c r="G103" i="475"/>
  <c r="G120" i="475"/>
  <c r="G96" i="475"/>
  <c r="G104" i="475"/>
  <c r="G128" i="475"/>
  <c r="G84" i="475"/>
  <c r="G93" i="475"/>
  <c r="G99" i="475"/>
  <c r="G129" i="475"/>
  <c r="G91" i="475"/>
  <c r="G90" i="475"/>
  <c r="G102" i="475"/>
  <c r="G106" i="475"/>
  <c r="G80" i="475"/>
  <c r="G98" i="475"/>
  <c r="G124" i="475"/>
  <c r="G86" i="475"/>
  <c r="G88" i="475"/>
  <c r="G87" i="475"/>
  <c r="G83" i="475"/>
  <c r="G89" i="475"/>
  <c r="G85" i="475"/>
  <c r="G131" i="475"/>
  <c r="G133" i="475"/>
  <c r="G132" i="475"/>
  <c r="G134" i="475"/>
  <c r="G135" i="475"/>
  <c r="G136" i="475"/>
  <c r="G77" i="475"/>
  <c r="G101" i="475"/>
  <c r="G79" i="475"/>
  <c r="G97" i="475"/>
  <c r="G94" i="475"/>
  <c r="G82" i="475"/>
  <c r="G121" i="475"/>
  <c r="G117" i="475"/>
  <c r="G76" i="475"/>
  <c r="G110" i="475"/>
  <c r="G118" i="475"/>
  <c r="G116" i="475"/>
  <c r="G81" i="475"/>
  <c r="G108" i="475"/>
  <c r="G123" i="475"/>
  <c r="G119" i="475"/>
  <c r="G92" i="475"/>
  <c r="G107" i="475"/>
  <c r="G78" i="475"/>
  <c r="G100" i="475"/>
  <c r="G105" i="475"/>
  <c r="G114" i="475"/>
  <c r="G112" i="475"/>
  <c r="G126" i="475"/>
  <c r="G115" i="475"/>
  <c r="G127" i="475"/>
  <c r="G130" i="475"/>
  <c r="D119" i="475"/>
  <c r="D110" i="475"/>
  <c r="D87" i="475"/>
  <c r="D107" i="475"/>
  <c r="D125" i="475"/>
  <c r="D96" i="475"/>
  <c r="D103" i="475"/>
  <c r="D90" i="475"/>
  <c r="D86" i="475"/>
  <c r="D98" i="475"/>
  <c r="D89" i="475"/>
  <c r="D112" i="475"/>
  <c r="D91" i="475"/>
  <c r="D122" i="475"/>
  <c r="D84" i="475"/>
  <c r="D100" i="475"/>
  <c r="D106" i="475"/>
  <c r="D102" i="475"/>
  <c r="D126" i="475"/>
  <c r="D127" i="475"/>
  <c r="D108" i="475"/>
  <c r="D80" i="475"/>
  <c r="D93" i="475"/>
  <c r="D101" i="475"/>
  <c r="D124" i="475"/>
  <c r="D83" i="475"/>
  <c r="D88" i="475"/>
  <c r="D85" i="475"/>
  <c r="D131" i="475"/>
  <c r="D132" i="475"/>
  <c r="D133" i="475"/>
  <c r="D134" i="475"/>
  <c r="D135" i="475"/>
  <c r="D136" i="475"/>
  <c r="D77" i="475"/>
  <c r="D94" i="475"/>
  <c r="D128" i="475"/>
  <c r="D129" i="475"/>
  <c r="D130" i="475"/>
  <c r="D82" i="475"/>
  <c r="D81" i="475"/>
  <c r="D111" i="475"/>
  <c r="D99" i="475"/>
  <c r="D78" i="475"/>
  <c r="D120" i="475"/>
  <c r="D123" i="475"/>
  <c r="D109" i="475"/>
  <c r="D76" i="475"/>
  <c r="D97" i="475"/>
  <c r="D117" i="475"/>
  <c r="D121" i="475"/>
  <c r="D116" i="475"/>
  <c r="D118" i="475"/>
  <c r="D79" i="475"/>
  <c r="D95" i="475"/>
  <c r="D92" i="475"/>
  <c r="D113" i="475"/>
  <c r="D104" i="475"/>
  <c r="D114" i="475"/>
  <c r="D115" i="475"/>
  <c r="D105" i="475"/>
  <c r="H26" i="475"/>
  <c r="H19" i="475"/>
  <c r="H23" i="475"/>
  <c r="H22" i="475"/>
  <c r="E109" i="475"/>
  <c r="E98" i="475"/>
  <c r="E103" i="475"/>
  <c r="E100" i="475"/>
  <c r="E86" i="475"/>
  <c r="E106" i="475"/>
  <c r="E97" i="475"/>
  <c r="E101" i="475"/>
  <c r="E131" i="475"/>
  <c r="E135" i="475"/>
  <c r="E124" i="475"/>
  <c r="E90" i="475"/>
  <c r="E113" i="475"/>
  <c r="E91" i="475"/>
  <c r="E102" i="475"/>
  <c r="E133" i="475"/>
  <c r="E119" i="475"/>
  <c r="E87" i="475"/>
  <c r="E81" i="475"/>
  <c r="E84" i="475"/>
  <c r="E96" i="475"/>
  <c r="E136" i="475"/>
  <c r="E94" i="475"/>
  <c r="E80" i="475"/>
  <c r="E111" i="475"/>
  <c r="E107" i="475"/>
  <c r="E134" i="475"/>
  <c r="E93" i="475"/>
  <c r="E132" i="475"/>
  <c r="E89" i="475"/>
  <c r="E105" i="475"/>
  <c r="E121" i="475"/>
  <c r="E125" i="475"/>
  <c r="E99" i="475"/>
  <c r="E130" i="475"/>
  <c r="E88" i="475"/>
  <c r="E85" i="475"/>
  <c r="E83" i="475"/>
  <c r="E77" i="475"/>
  <c r="E117" i="475"/>
  <c r="E95" i="475"/>
  <c r="E123" i="475"/>
  <c r="E92" i="475"/>
  <c r="E108" i="475"/>
  <c r="E116" i="475"/>
  <c r="E122" i="475"/>
  <c r="E78" i="475"/>
  <c r="E120" i="475"/>
  <c r="E82" i="475"/>
  <c r="E118" i="475"/>
  <c r="E110" i="475"/>
  <c r="E76" i="475"/>
  <c r="E79" i="475"/>
  <c r="E126" i="475"/>
  <c r="E112" i="475"/>
  <c r="E104" i="475"/>
  <c r="E115" i="475"/>
  <c r="E114" i="475"/>
  <c r="E127" i="475"/>
  <c r="E128" i="475"/>
  <c r="E129" i="475"/>
  <c r="H82" i="475"/>
  <c r="H125" i="475"/>
  <c r="H99" i="475"/>
  <c r="H107" i="475"/>
  <c r="H109" i="475"/>
  <c r="H129" i="475"/>
  <c r="H98" i="475"/>
  <c r="H81" i="475"/>
  <c r="H111" i="475"/>
  <c r="H113" i="475"/>
  <c r="H100" i="475"/>
  <c r="H128" i="475"/>
  <c r="H122" i="475"/>
  <c r="H130" i="475"/>
  <c r="H101" i="475"/>
  <c r="H119" i="475"/>
  <c r="H126" i="475"/>
  <c r="H127" i="475"/>
  <c r="H94" i="475"/>
  <c r="H124" i="475"/>
  <c r="H85" i="475"/>
  <c r="H84" i="475"/>
  <c r="H86" i="475"/>
  <c r="H87" i="475"/>
  <c r="H89" i="475"/>
  <c r="H91" i="475"/>
  <c r="H88" i="475"/>
  <c r="H133" i="475"/>
  <c r="H131" i="475"/>
  <c r="H134" i="475"/>
  <c r="H132" i="475"/>
  <c r="H135" i="475"/>
  <c r="H136" i="475"/>
  <c r="H90" i="475"/>
  <c r="H97" i="475"/>
  <c r="H93" i="475"/>
  <c r="H120" i="475"/>
  <c r="H116" i="475"/>
  <c r="H96" i="475"/>
  <c r="H80" i="475"/>
  <c r="H110" i="475"/>
  <c r="H76" i="475"/>
  <c r="H78" i="475"/>
  <c r="H79" i="475"/>
  <c r="H92" i="475"/>
  <c r="H95" i="475"/>
  <c r="H102" i="475"/>
  <c r="H83" i="475"/>
  <c r="H118" i="475"/>
  <c r="H77" i="475"/>
  <c r="H108" i="475"/>
  <c r="H123" i="475"/>
  <c r="H121" i="475"/>
  <c r="H106" i="475"/>
  <c r="H104" i="475"/>
  <c r="H115" i="475"/>
  <c r="H114" i="475"/>
  <c r="H117" i="475"/>
  <c r="H112" i="475"/>
  <c r="H105" i="475"/>
  <c r="H103" i="475"/>
  <c r="H54" i="475"/>
  <c r="H65" i="475"/>
  <c r="H67" i="475"/>
  <c r="H56" i="475"/>
  <c r="H55" i="475"/>
  <c r="H64" i="475"/>
  <c r="H63" i="475"/>
  <c r="H61" i="475"/>
  <c r="H57" i="475"/>
  <c r="H53" i="475"/>
  <c r="H58" i="475"/>
  <c r="H66" i="475"/>
  <c r="H59" i="475"/>
  <c r="H60" i="475"/>
  <c r="H62" i="475"/>
  <c r="D61" i="475"/>
  <c r="D66" i="475"/>
  <c r="D60" i="475"/>
  <c r="D58" i="475"/>
  <c r="D53" i="475"/>
  <c r="G56" i="475"/>
  <c r="G64" i="475"/>
  <c r="G55" i="475"/>
  <c r="G63" i="475"/>
  <c r="G67" i="475"/>
  <c r="G54" i="475"/>
  <c r="G66" i="475"/>
  <c r="G61" i="475"/>
  <c r="G65" i="475"/>
  <c r="G58" i="475"/>
  <c r="G59" i="475"/>
  <c r="G62" i="475"/>
  <c r="G53" i="475"/>
  <c r="G60" i="475"/>
  <c r="G57" i="475"/>
  <c r="F113" i="475"/>
  <c r="F111" i="475"/>
  <c r="F125" i="475"/>
  <c r="F105" i="475"/>
  <c r="F133" i="475"/>
  <c r="F103" i="475"/>
  <c r="F91" i="475"/>
  <c r="F81" i="475"/>
  <c r="F94" i="475"/>
  <c r="F107" i="475"/>
  <c r="F93" i="475"/>
  <c r="F84" i="475"/>
  <c r="F122" i="475"/>
  <c r="F131" i="475"/>
  <c r="F99" i="475"/>
  <c r="F90" i="475"/>
  <c r="F89" i="475"/>
  <c r="F106" i="475"/>
  <c r="F86" i="475"/>
  <c r="F98" i="475"/>
  <c r="F130" i="475"/>
  <c r="F128" i="475"/>
  <c r="F119" i="475"/>
  <c r="F126" i="475"/>
  <c r="F134" i="475"/>
  <c r="F127" i="475"/>
  <c r="F132" i="475"/>
  <c r="F135" i="475"/>
  <c r="F129" i="475"/>
  <c r="F109" i="475"/>
  <c r="F87" i="475"/>
  <c r="F97" i="475"/>
  <c r="F102" i="475"/>
  <c r="F101" i="475"/>
  <c r="F82" i="475"/>
  <c r="F80" i="475"/>
  <c r="F88" i="475"/>
  <c r="F100" i="475"/>
  <c r="F96" i="475"/>
  <c r="F136" i="475"/>
  <c r="F124" i="475"/>
  <c r="F83" i="475"/>
  <c r="F85" i="475"/>
  <c r="F77" i="475"/>
  <c r="F78" i="475"/>
  <c r="F121" i="475"/>
  <c r="F120" i="475"/>
  <c r="F117" i="475"/>
  <c r="F116" i="475"/>
  <c r="F123" i="475"/>
  <c r="F76" i="475"/>
  <c r="F95" i="475"/>
  <c r="F108" i="475"/>
  <c r="F92" i="475"/>
  <c r="F79" i="475"/>
  <c r="F114" i="475"/>
  <c r="F118" i="475"/>
  <c r="F104" i="475"/>
  <c r="F110" i="475"/>
  <c r="F115" i="475"/>
  <c r="F112" i="475"/>
  <c r="F24" i="475"/>
  <c r="J24" i="475" s="1"/>
  <c r="F56" i="475"/>
  <c r="F30" i="475"/>
  <c r="J30" i="475" s="1"/>
  <c r="F14" i="475"/>
  <c r="J14" i="475" s="1"/>
  <c r="K14" i="475" s="1"/>
  <c r="F17" i="475"/>
  <c r="J17" i="475" s="1"/>
  <c r="F31" i="475"/>
  <c r="J31" i="475" s="1"/>
  <c r="F9" i="475"/>
  <c r="J9" i="475" s="1"/>
  <c r="F32" i="475"/>
  <c r="J32" i="475" s="1"/>
  <c r="F18" i="475"/>
  <c r="J18" i="475" s="1"/>
  <c r="F28" i="475"/>
  <c r="J28" i="475" s="1"/>
  <c r="F15" i="475"/>
  <c r="J15" i="475" s="1"/>
  <c r="F7" i="475"/>
  <c r="J7" i="475" s="1"/>
  <c r="F25" i="475"/>
  <c r="J25" i="475" s="1"/>
  <c r="F13" i="475"/>
  <c r="J13" i="475" s="1"/>
  <c r="F63" i="475"/>
  <c r="F26" i="475"/>
  <c r="F27" i="475"/>
  <c r="J27" i="475" s="1"/>
  <c r="F10" i="475"/>
  <c r="J10" i="475" s="1"/>
  <c r="F19" i="475"/>
  <c r="F64" i="475"/>
  <c r="F23" i="475"/>
  <c r="F12" i="475"/>
  <c r="J12" i="475" s="1"/>
  <c r="K12" i="475" s="1"/>
  <c r="F61" i="475"/>
  <c r="F65" i="475"/>
  <c r="F8" i="475"/>
  <c r="J8" i="475" s="1"/>
  <c r="F20" i="475"/>
  <c r="J20" i="475" s="1"/>
  <c r="K20" i="475" s="1"/>
  <c r="F55" i="475"/>
  <c r="F29" i="475"/>
  <c r="J29" i="475" s="1"/>
  <c r="F11" i="475"/>
  <c r="J11" i="475" s="1"/>
  <c r="K11" i="475" s="1"/>
  <c r="F22" i="475"/>
  <c r="F16" i="475"/>
  <c r="J16" i="475" s="1"/>
  <c r="F21" i="475"/>
  <c r="J21" i="475" s="1"/>
  <c r="F54" i="475"/>
  <c r="F59" i="475"/>
  <c r="F66" i="475"/>
  <c r="F60" i="475"/>
  <c r="F53" i="475"/>
  <c r="F67" i="475"/>
  <c r="F62" i="475"/>
  <c r="F58" i="475"/>
  <c r="F57" i="475"/>
  <c r="E904" i="472"/>
  <c r="D904" i="472"/>
  <c r="F904" i="472"/>
  <c r="D560" i="472"/>
  <c r="E560" i="472"/>
  <c r="F307" i="472"/>
  <c r="E307" i="472"/>
  <c r="D307" i="472"/>
  <c r="D600" i="472"/>
  <c r="D599" i="472" s="1"/>
  <c r="E600" i="472"/>
  <c r="E599" i="472" s="1"/>
  <c r="F600" i="472"/>
  <c r="F599" i="472" s="1"/>
  <c r="E595" i="472"/>
  <c r="D595" i="472"/>
  <c r="F595" i="472"/>
  <c r="D281" i="472"/>
  <c r="E281" i="472"/>
  <c r="D462" i="472"/>
  <c r="E462" i="472"/>
  <c r="E902" i="472"/>
  <c r="F902" i="472"/>
  <c r="D902" i="472"/>
  <c r="F187" i="472"/>
  <c r="E187" i="472"/>
  <c r="D187" i="472"/>
  <c r="E879" i="472"/>
  <c r="D879" i="472"/>
  <c r="F879" i="472"/>
  <c r="D574" i="472"/>
  <c r="E574" i="472"/>
  <c r="E417" i="472"/>
  <c r="D417" i="472"/>
  <c r="E17" i="472"/>
  <c r="D17" i="472"/>
  <c r="I400" i="472"/>
  <c r="O400" i="472" s="1"/>
  <c r="O393" i="472"/>
  <c r="O954" i="472"/>
  <c r="I958" i="472"/>
  <c r="O958" i="472" s="1"/>
  <c r="E80" i="472"/>
  <c r="D80" i="472"/>
  <c r="F80" i="472"/>
  <c r="D880" i="472"/>
  <c r="F880" i="472"/>
  <c r="E880" i="472"/>
  <c r="E59" i="472"/>
  <c r="F59" i="472"/>
  <c r="D59" i="472"/>
  <c r="D190" i="472"/>
  <c r="F190" i="472"/>
  <c r="E190" i="472"/>
  <c r="E64" i="472"/>
  <c r="F64" i="472"/>
  <c r="D64" i="472"/>
  <c r="F306" i="472"/>
  <c r="D306" i="472"/>
  <c r="E306" i="472"/>
  <c r="F605" i="472"/>
  <c r="F604" i="472" s="1"/>
  <c r="D605" i="472"/>
  <c r="D604" i="472" s="1"/>
  <c r="E605" i="472"/>
  <c r="E604" i="472" s="1"/>
  <c r="D189" i="472"/>
  <c r="E189" i="472"/>
  <c r="F189" i="472"/>
  <c r="D324" i="472"/>
  <c r="D323" i="472" s="1"/>
  <c r="F324" i="472"/>
  <c r="F323" i="472" s="1"/>
  <c r="E324" i="472"/>
  <c r="E323" i="472" s="1"/>
  <c r="F62" i="472"/>
  <c r="E62" i="472"/>
  <c r="D62" i="472"/>
  <c r="F58" i="472"/>
  <c r="D58" i="472"/>
  <c r="E58" i="472"/>
  <c r="D418" i="472"/>
  <c r="E418" i="472"/>
  <c r="D431" i="472"/>
  <c r="F431" i="472"/>
  <c r="E431" i="472"/>
  <c r="E308" i="472"/>
  <c r="F308" i="472"/>
  <c r="D308" i="472"/>
  <c r="F54" i="472"/>
  <c r="E54" i="472"/>
  <c r="D54" i="472"/>
  <c r="E609" i="472"/>
  <c r="E608" i="472" s="1"/>
  <c r="D609" i="472"/>
  <c r="D608" i="472" s="1"/>
  <c r="F609" i="472"/>
  <c r="F608" i="472" s="1"/>
  <c r="E7" i="472"/>
  <c r="D7" i="472"/>
  <c r="E40" i="472"/>
  <c r="D40" i="472"/>
  <c r="O777" i="472"/>
  <c r="I781" i="472"/>
  <c r="O781" i="472" s="1"/>
  <c r="O452" i="472"/>
  <c r="I457" i="472"/>
  <c r="O457" i="472" s="1"/>
  <c r="E524" i="472"/>
  <c r="E523" i="472" s="1"/>
  <c r="F524" i="472"/>
  <c r="F523" i="472" s="1"/>
  <c r="D524" i="472"/>
  <c r="D523" i="472" s="1"/>
  <c r="H524" i="472"/>
  <c r="F188" i="472"/>
  <c r="E188" i="472"/>
  <c r="D188" i="472"/>
  <c r="F903" i="472"/>
  <c r="D903" i="472"/>
  <c r="E903" i="472"/>
  <c r="D82" i="472"/>
  <c r="F82" i="472"/>
  <c r="E82" i="472"/>
  <c r="F433" i="472"/>
  <c r="D433" i="472"/>
  <c r="E433" i="472"/>
  <c r="D87" i="472"/>
  <c r="E87" i="472"/>
  <c r="F87" i="472"/>
  <c r="F559" i="472"/>
  <c r="F558" i="472" s="1"/>
  <c r="E559" i="472"/>
  <c r="E558" i="472" s="1"/>
  <c r="D559" i="472"/>
  <c r="D558" i="472" s="1"/>
  <c r="D61" i="472"/>
  <c r="F61" i="472"/>
  <c r="E61" i="472"/>
  <c r="E858" i="472"/>
  <c r="F858" i="472"/>
  <c r="D858" i="472"/>
  <c r="D575" i="472"/>
  <c r="E575" i="472"/>
  <c r="F567" i="472"/>
  <c r="F566" i="472" s="1"/>
  <c r="E567" i="472"/>
  <c r="E566" i="472" s="1"/>
  <c r="D567" i="472"/>
  <c r="D566" i="472" s="1"/>
  <c r="E85" i="472"/>
  <c r="F85" i="472"/>
  <c r="D85" i="472"/>
  <c r="E81" i="472"/>
  <c r="D81" i="472"/>
  <c r="F81" i="472"/>
  <c r="E18" i="472"/>
  <c r="D18" i="472"/>
  <c r="D8" i="472"/>
  <c r="E8" i="472"/>
  <c r="D55" i="472"/>
  <c r="E55" i="472"/>
  <c r="F55" i="472"/>
  <c r="F856" i="472"/>
  <c r="E856" i="472"/>
  <c r="D856" i="472"/>
  <c r="D77" i="472"/>
  <c r="F77" i="472"/>
  <c r="E77" i="472"/>
  <c r="E66" i="472"/>
  <c r="F66" i="472"/>
  <c r="D66" i="472"/>
  <c r="D593" i="472"/>
  <c r="E593" i="472"/>
  <c r="F593" i="472"/>
  <c r="D30" i="472"/>
  <c r="E30" i="472"/>
  <c r="O630" i="472"/>
  <c r="I636" i="472"/>
  <c r="O636" i="472" s="1"/>
  <c r="O961" i="472"/>
  <c r="I965" i="472"/>
  <c r="O965" i="472" s="1"/>
  <c r="O647" i="472"/>
  <c r="I650" i="472"/>
  <c r="O650" i="472" s="1"/>
  <c r="D309" i="472"/>
  <c r="F309" i="472"/>
  <c r="E309" i="472"/>
  <c r="F857" i="472"/>
  <c r="E857" i="472"/>
  <c r="D857" i="472"/>
  <c r="D432" i="472"/>
  <c r="F432" i="472"/>
  <c r="E432" i="472"/>
  <c r="F594" i="472"/>
  <c r="D594" i="472"/>
  <c r="E594" i="472"/>
  <c r="E596" i="472"/>
  <c r="D596" i="472"/>
  <c r="F596" i="472"/>
  <c r="E882" i="472"/>
  <c r="D882" i="472"/>
  <c r="F882" i="472"/>
  <c r="F118" i="472"/>
  <c r="D118" i="472"/>
  <c r="E118" i="472"/>
  <c r="F84" i="472"/>
  <c r="D84" i="472"/>
  <c r="E84" i="472"/>
  <c r="E881" i="472"/>
  <c r="D881" i="472"/>
  <c r="F881" i="472"/>
  <c r="E591" i="472"/>
  <c r="F591" i="472"/>
  <c r="D591" i="472"/>
  <c r="F617" i="472"/>
  <c r="F616" i="472" s="1"/>
  <c r="E617" i="472"/>
  <c r="E616" i="472" s="1"/>
  <c r="D617" i="472"/>
  <c r="D616" i="472" s="1"/>
  <c r="E41" i="472"/>
  <c r="D41" i="472"/>
  <c r="E31" i="472"/>
  <c r="D31" i="472"/>
  <c r="F78" i="472"/>
  <c r="D78" i="472"/>
  <c r="E78" i="472"/>
  <c r="D116" i="472"/>
  <c r="F116" i="472"/>
  <c r="E116" i="472"/>
  <c r="F586" i="472"/>
  <c r="F585" i="472" s="1"/>
  <c r="E586" i="472"/>
  <c r="E585" i="472" s="1"/>
  <c r="D586" i="472"/>
  <c r="D585" i="472" s="1"/>
  <c r="E89" i="472"/>
  <c r="F89" i="472"/>
  <c r="D89" i="472"/>
  <c r="D280" i="472"/>
  <c r="E280" i="472"/>
  <c r="D461" i="472"/>
  <c r="E461" i="472"/>
  <c r="H442" i="472"/>
  <c r="I442" i="472" s="1"/>
  <c r="O442" i="472" s="1"/>
  <c r="I441" i="472"/>
  <c r="O947" i="472"/>
  <c r="I951" i="472"/>
  <c r="O951" i="472" s="1"/>
  <c r="O639" i="472"/>
  <c r="I642" i="472"/>
  <c r="O642" i="472" s="1"/>
  <c r="D57" i="472"/>
  <c r="F57" i="472"/>
  <c r="E57" i="472"/>
  <c r="E117" i="472"/>
  <c r="D117" i="472"/>
  <c r="F117" i="472"/>
  <c r="E613" i="472"/>
  <c r="E612" i="472" s="1"/>
  <c r="F613" i="472"/>
  <c r="F612" i="472" s="1"/>
  <c r="D613" i="472"/>
  <c r="D612" i="472" s="1"/>
  <c r="D859" i="472"/>
  <c r="F859" i="472"/>
  <c r="E859" i="472"/>
  <c r="E905" i="472"/>
  <c r="D905" i="472"/>
  <c r="F905" i="472"/>
  <c r="F320" i="472"/>
  <c r="F319" i="472" s="1"/>
  <c r="E320" i="472"/>
  <c r="E319" i="472" s="1"/>
  <c r="D320" i="472"/>
  <c r="D319" i="472" s="1"/>
  <c r="E592" i="472"/>
  <c r="D592" i="472"/>
  <c r="F592" i="472"/>
  <c r="D359" i="462"/>
  <c r="C359" i="462"/>
  <c r="F359" i="462"/>
  <c r="C360" i="462"/>
  <c r="D360" i="462"/>
  <c r="F360" i="462"/>
  <c r="C407" i="462"/>
  <c r="D407" i="462"/>
  <c r="F407" i="462"/>
  <c r="C365" i="462"/>
  <c r="D365" i="462"/>
  <c r="F365" i="462"/>
  <c r="C423" i="462"/>
  <c r="F423" i="462"/>
  <c r="D423" i="462"/>
  <c r="C408" i="462"/>
  <c r="D408" i="462"/>
  <c r="F408" i="462"/>
  <c r="C358" i="462"/>
  <c r="D358" i="462"/>
  <c r="F358" i="462"/>
  <c r="C441" i="462"/>
  <c r="F441" i="462"/>
  <c r="D441" i="462"/>
  <c r="C409" i="462"/>
  <c r="D409" i="462"/>
  <c r="F409" i="462"/>
  <c r="F431" i="462"/>
  <c r="C431" i="462"/>
  <c r="D431" i="462"/>
  <c r="F432" i="462"/>
  <c r="D432" i="462"/>
  <c r="C432" i="462"/>
  <c r="C376" i="462"/>
  <c r="D376" i="462"/>
  <c r="F376" i="462"/>
  <c r="M665" i="322"/>
  <c r="AN665" i="322" s="1"/>
  <c r="P666" i="322" s="1"/>
  <c r="EO666" i="322" s="1"/>
  <c r="X554" i="322"/>
  <c r="AR554" i="322" s="1"/>
  <c r="EO554" i="322" s="1"/>
  <c r="P396" i="157"/>
  <c r="P1769" i="157"/>
  <c r="J1777" i="157" s="1"/>
  <c r="H1445" i="157"/>
  <c r="P492" i="157"/>
  <c r="Q1177" i="322"/>
  <c r="AL1177" i="322" s="1"/>
  <c r="P486" i="157"/>
  <c r="J494" i="157" s="1"/>
  <c r="P494" i="157" s="1"/>
  <c r="P1324" i="157"/>
  <c r="P718" i="157"/>
  <c r="P1326" i="157"/>
  <c r="P614" i="157"/>
  <c r="J622" i="157" s="1"/>
  <c r="P622" i="157" s="1"/>
  <c r="P846" i="157"/>
  <c r="H1028" i="157"/>
  <c r="P1030" i="157" s="1"/>
  <c r="P1036" i="157" s="1"/>
  <c r="P1286" i="157"/>
  <c r="J1294" i="157" s="1"/>
  <c r="P1294" i="157" s="1"/>
  <c r="P1350" i="157"/>
  <c r="J1358" i="157" s="1"/>
  <c r="P588" i="157"/>
  <c r="P590" i="157"/>
  <c r="P430" i="157"/>
  <c r="P1735" i="157"/>
  <c r="J1743" i="157" s="1"/>
  <c r="P1743" i="157" s="1"/>
  <c r="P1165" i="157"/>
  <c r="P1169" i="157" s="1"/>
  <c r="P1899" i="157"/>
  <c r="P1901" i="157" s="1"/>
  <c r="P460" i="157"/>
  <c r="P462" i="157"/>
  <c r="P876" i="157"/>
  <c r="P878" i="157"/>
  <c r="P1292" i="157"/>
  <c r="P294" i="157"/>
  <c r="J302" i="157" s="1"/>
  <c r="H1156" i="157"/>
  <c r="P1158" i="157" s="1"/>
  <c r="P716" i="157"/>
  <c r="P398" i="157"/>
  <c r="P300" i="157"/>
  <c r="P1132" i="157"/>
  <c r="P1867" i="157"/>
  <c r="P1869" i="157" s="1"/>
  <c r="P1356" i="157"/>
  <c r="P518" i="157"/>
  <c r="J526" i="157" s="1"/>
  <c r="P526" i="157" s="1"/>
  <c r="P1607" i="157"/>
  <c r="J1615" i="157" s="1"/>
  <c r="P1615" i="157" s="1"/>
  <c r="P1446" i="157"/>
  <c r="P1452" i="157" s="1"/>
  <c r="P678" i="157"/>
  <c r="J686" i="157" s="1"/>
  <c r="P686" i="157" s="1"/>
  <c r="P524" i="157"/>
  <c r="H1476" i="157"/>
  <c r="P1478" i="157" s="1"/>
  <c r="P1484" i="157" s="1"/>
  <c r="P1613" i="157"/>
  <c r="P620" i="157"/>
  <c r="D703" i="157"/>
  <c r="P1574" i="157"/>
  <c r="J1582" i="157" s="1"/>
  <c r="P1582" i="157" s="1"/>
  <c r="H1189" i="157"/>
  <c r="P1190" i="157" s="1"/>
  <c r="P1196" i="157" s="1"/>
  <c r="P1198" i="157" s="1"/>
  <c r="P748" i="157"/>
  <c r="P1741" i="157"/>
  <c r="P1801" i="157"/>
  <c r="J1809" i="157" s="1"/>
  <c r="P972" i="157"/>
  <c r="P1639" i="157"/>
  <c r="P1645" i="157" s="1"/>
  <c r="P1580" i="157"/>
  <c r="L1843" i="157"/>
  <c r="P1843" i="157" s="1"/>
  <c r="H1221" i="157"/>
  <c r="P1222" i="157" s="1"/>
  <c r="P1224" i="157" s="1"/>
  <c r="P1226" i="157" s="1"/>
  <c r="P1841" i="157"/>
  <c r="L1360" i="157"/>
  <c r="P1360" i="157" s="1"/>
  <c r="L1358" i="157" s="1"/>
  <c r="H1509" i="157"/>
  <c r="P1510" i="157" s="1"/>
  <c r="P1516" i="157" s="1"/>
  <c r="L304" i="157"/>
  <c r="P304" i="157" s="1"/>
  <c r="L302" i="157" s="1"/>
  <c r="H1100" i="157"/>
  <c r="P1100" i="157" s="1"/>
  <c r="P780" i="157"/>
  <c r="P812" i="157"/>
  <c r="L784" i="157"/>
  <c r="P784" i="157" s="1"/>
  <c r="L782" i="157" s="1"/>
  <c r="P1070" i="157"/>
  <c r="P1068" i="157"/>
  <c r="L1264" i="157"/>
  <c r="P1264" i="157" s="1"/>
  <c r="L1262" i="157" s="1"/>
  <c r="P1262" i="157" s="1"/>
  <c r="H1927" i="157"/>
  <c r="P1929" i="157" s="1"/>
  <c r="P1935" i="157" s="1"/>
  <c r="H1541" i="157"/>
  <c r="H1540" i="157"/>
  <c r="L1779" i="157"/>
  <c r="P1779" i="157" s="1"/>
  <c r="L1777" i="157" s="1"/>
  <c r="P1775" i="157"/>
  <c r="P934" i="157"/>
  <c r="P940" i="157" s="1"/>
  <c r="P262" i="157"/>
  <c r="P268" i="157" s="1"/>
  <c r="L48" i="157"/>
  <c r="P48" i="157" s="1"/>
  <c r="P1414" i="157"/>
  <c r="P1420" i="157" s="1"/>
  <c r="P78" i="157"/>
  <c r="P1807" i="157"/>
  <c r="L1811" i="157"/>
  <c r="P1811" i="157" s="1"/>
  <c r="L1809" i="157" s="1"/>
  <c r="P1669" i="157"/>
  <c r="P1675" i="157" s="1"/>
  <c r="H1699" i="157"/>
  <c r="H1700" i="157"/>
  <c r="P1134" i="157"/>
  <c r="L368" i="157"/>
  <c r="P368" i="157" s="1"/>
  <c r="L366" i="157" s="1"/>
  <c r="P364" i="157"/>
  <c r="J46" i="157"/>
  <c r="E9" i="459" l="1"/>
  <c r="G9" i="459" s="1"/>
  <c r="M9" i="459" s="1"/>
  <c r="E8" i="459"/>
  <c r="G8" i="459" s="1"/>
  <c r="M8" i="459" s="1"/>
  <c r="P366" i="157"/>
  <c r="P782" i="157"/>
  <c r="E10" i="459"/>
  <c r="G10" i="459" s="1"/>
  <c r="M10" i="459" s="1"/>
  <c r="V23" i="476"/>
  <c r="T46" i="481"/>
  <c r="V22" i="476"/>
  <c r="V32" i="476"/>
  <c r="V12" i="476"/>
  <c r="T43" i="481"/>
  <c r="T24" i="481"/>
  <c r="T42" i="481"/>
  <c r="T48" i="481"/>
  <c r="T37" i="481"/>
  <c r="V21" i="476"/>
  <c r="V24" i="476"/>
  <c r="T35" i="481"/>
  <c r="T44" i="481"/>
  <c r="V48" i="476"/>
  <c r="R6" i="476"/>
  <c r="R40" i="476"/>
  <c r="R45" i="476"/>
  <c r="R49" i="476"/>
  <c r="R38" i="476"/>
  <c r="R36" i="476"/>
  <c r="R41" i="476"/>
  <c r="R39" i="476"/>
  <c r="R37" i="476"/>
  <c r="R33" i="476"/>
  <c r="R13" i="476"/>
  <c r="R14" i="476"/>
  <c r="R42" i="476"/>
  <c r="V25" i="476"/>
  <c r="V18" i="476"/>
  <c r="R15" i="476"/>
  <c r="R35" i="476"/>
  <c r="R48" i="476"/>
  <c r="T45" i="481"/>
  <c r="V47" i="476"/>
  <c r="T47" i="481"/>
  <c r="V28" i="476"/>
  <c r="R46" i="476"/>
  <c r="R50" i="476"/>
  <c r="R43" i="476"/>
  <c r="U18" i="476"/>
  <c r="R18" i="476"/>
  <c r="R44" i="476"/>
  <c r="R34" i="476"/>
  <c r="R47" i="476"/>
  <c r="T26" i="481"/>
  <c r="T25" i="481"/>
  <c r="R21" i="476"/>
  <c r="U21" i="476"/>
  <c r="R12" i="476"/>
  <c r="U12" i="476"/>
  <c r="U22" i="476"/>
  <c r="R22" i="476"/>
  <c r="U47" i="476"/>
  <c r="R24" i="476"/>
  <c r="U24" i="476"/>
  <c r="U32" i="476"/>
  <c r="R32" i="476"/>
  <c r="U48" i="476"/>
  <c r="R19" i="476"/>
  <c r="U19" i="476"/>
  <c r="R23" i="476"/>
  <c r="U23" i="476"/>
  <c r="R25" i="476"/>
  <c r="U25" i="476"/>
  <c r="T39" i="481"/>
  <c r="T41" i="481"/>
  <c r="T40" i="481"/>
  <c r="D65" i="481"/>
  <c r="H65" i="481"/>
  <c r="K65" i="481"/>
  <c r="F65" i="481"/>
  <c r="T14" i="481"/>
  <c r="T29" i="481"/>
  <c r="T16" i="481"/>
  <c r="T12" i="481"/>
  <c r="T7" i="481"/>
  <c r="T20" i="481"/>
  <c r="T22" i="481"/>
  <c r="T11" i="481"/>
  <c r="T21" i="481"/>
  <c r="T33" i="481"/>
  <c r="T30" i="481"/>
  <c r="T9" i="481"/>
  <c r="T10" i="481"/>
  <c r="T27" i="481"/>
  <c r="L65" i="481"/>
  <c r="T15" i="481"/>
  <c r="T31" i="481"/>
  <c r="T13" i="481"/>
  <c r="T34" i="481"/>
  <c r="T17" i="481"/>
  <c r="T38" i="481"/>
  <c r="G65" i="481"/>
  <c r="R65" i="481"/>
  <c r="J65" i="481"/>
  <c r="I65" i="481"/>
  <c r="T19" i="481"/>
  <c r="T28" i="481"/>
  <c r="T18" i="481"/>
  <c r="T36" i="481"/>
  <c r="T8" i="481"/>
  <c r="T32" i="481"/>
  <c r="T6" i="481"/>
  <c r="E65" i="481"/>
  <c r="R8" i="476"/>
  <c r="R10" i="476"/>
  <c r="V29" i="476"/>
  <c r="L65" i="476"/>
  <c r="V31" i="476"/>
  <c r="V11" i="476"/>
  <c r="V27" i="476"/>
  <c r="R20" i="476"/>
  <c r="U20" i="476"/>
  <c r="U29" i="476"/>
  <c r="R29" i="476"/>
  <c r="D65" i="476"/>
  <c r="R16" i="476"/>
  <c r="U16" i="476"/>
  <c r="U26" i="476"/>
  <c r="R26" i="476"/>
  <c r="R30" i="476"/>
  <c r="U30" i="476"/>
  <c r="V26" i="476"/>
  <c r="V20" i="476"/>
  <c r="F65" i="476"/>
  <c r="N65" i="476"/>
  <c r="J65" i="476"/>
  <c r="I65" i="476"/>
  <c r="U35" i="476"/>
  <c r="U11" i="476"/>
  <c r="R11" i="476"/>
  <c r="H65" i="476"/>
  <c r="V30" i="476"/>
  <c r="V37" i="476"/>
  <c r="V16" i="476"/>
  <c r="U37" i="476"/>
  <c r="U17" i="476"/>
  <c r="R17" i="476"/>
  <c r="P65" i="476"/>
  <c r="O65" i="476"/>
  <c r="K65" i="476"/>
  <c r="V7" i="476"/>
  <c r="G65" i="476"/>
  <c r="V34" i="476"/>
  <c r="V35" i="476"/>
  <c r="R28" i="476"/>
  <c r="U28" i="476"/>
  <c r="M65" i="476"/>
  <c r="E65" i="476"/>
  <c r="U7" i="476"/>
  <c r="R27" i="476"/>
  <c r="U27" i="476"/>
  <c r="U31" i="476"/>
  <c r="R31" i="476"/>
  <c r="U34" i="476"/>
  <c r="R7" i="476"/>
  <c r="R9" i="476"/>
  <c r="J17" i="477"/>
  <c r="J24" i="477"/>
  <c r="J22" i="477"/>
  <c r="J25" i="477"/>
  <c r="J19" i="477"/>
  <c r="J23" i="477"/>
  <c r="J21" i="477"/>
  <c r="J16" i="477"/>
  <c r="J18" i="477"/>
  <c r="J20" i="477"/>
  <c r="P1358" i="157"/>
  <c r="P1777" i="157"/>
  <c r="P302" i="157"/>
  <c r="J19" i="475"/>
  <c r="E19" i="474" s="1"/>
  <c r="J26" i="475"/>
  <c r="E26" i="474" s="1"/>
  <c r="J22" i="475"/>
  <c r="E22" i="474" s="1"/>
  <c r="J108" i="475"/>
  <c r="J23" i="475"/>
  <c r="E23" i="474" s="1"/>
  <c r="J117" i="475"/>
  <c r="J76" i="475"/>
  <c r="E75" i="474" s="1"/>
  <c r="J112" i="475"/>
  <c r="J116" i="475"/>
  <c r="J79" i="475"/>
  <c r="J115" i="475"/>
  <c r="J118" i="475"/>
  <c r="J53" i="475"/>
  <c r="J104" i="475"/>
  <c r="J66" i="475"/>
  <c r="E65" i="474" s="1"/>
  <c r="J60" i="475"/>
  <c r="J114" i="475"/>
  <c r="J95" i="475"/>
  <c r="J110" i="475"/>
  <c r="J58" i="475"/>
  <c r="J92" i="475"/>
  <c r="J123" i="475"/>
  <c r="J61" i="475"/>
  <c r="E60" i="474" s="1"/>
  <c r="J103" i="475"/>
  <c r="J121" i="475"/>
  <c r="K121" i="475" s="1"/>
  <c r="J109" i="475"/>
  <c r="E108" i="474" s="1"/>
  <c r="J99" i="475"/>
  <c r="J130" i="475"/>
  <c r="J77" i="475"/>
  <c r="J133" i="475"/>
  <c r="E132" i="474" s="1"/>
  <c r="J88" i="475"/>
  <c r="J127" i="475"/>
  <c r="J107" i="475"/>
  <c r="J101" i="475"/>
  <c r="L4" i="475"/>
  <c r="J83" i="475"/>
  <c r="J80" i="475"/>
  <c r="J93" i="475"/>
  <c r="J125" i="475"/>
  <c r="J111" i="475"/>
  <c r="J129" i="475"/>
  <c r="J136" i="475"/>
  <c r="E135" i="474" s="1"/>
  <c r="J132" i="475"/>
  <c r="J122" i="475"/>
  <c r="K122" i="475" s="1"/>
  <c r="J89" i="475"/>
  <c r="E88" i="474" s="1"/>
  <c r="J86" i="475"/>
  <c r="J102" i="475"/>
  <c r="J96" i="475"/>
  <c r="J105" i="475"/>
  <c r="J113" i="475"/>
  <c r="J97" i="475"/>
  <c r="J120" i="475"/>
  <c r="J81" i="475"/>
  <c r="J128" i="475"/>
  <c r="J135" i="475"/>
  <c r="E134" i="474" s="1"/>
  <c r="J131" i="475"/>
  <c r="J124" i="475"/>
  <c r="J126" i="475"/>
  <c r="J100" i="475"/>
  <c r="J119" i="475"/>
  <c r="J106" i="475"/>
  <c r="J90" i="475"/>
  <c r="J91" i="475"/>
  <c r="J84" i="475"/>
  <c r="J78" i="475"/>
  <c r="J82" i="475"/>
  <c r="J94" i="475"/>
  <c r="E93" i="474" s="1"/>
  <c r="J134" i="475"/>
  <c r="E133" i="474" s="1"/>
  <c r="J85" i="475"/>
  <c r="J87" i="475"/>
  <c r="J98" i="475"/>
  <c r="E12" i="474"/>
  <c r="E10" i="474"/>
  <c r="E27" i="474"/>
  <c r="E25" i="474"/>
  <c r="E20" i="474"/>
  <c r="E24" i="474"/>
  <c r="E14" i="474"/>
  <c r="E31" i="474"/>
  <c r="E30" i="474"/>
  <c r="E13" i="474"/>
  <c r="E32" i="474"/>
  <c r="E28" i="474"/>
  <c r="E16" i="474"/>
  <c r="E7" i="474"/>
  <c r="E8" i="474"/>
  <c r="E17" i="474"/>
  <c r="E15" i="474"/>
  <c r="E21" i="474"/>
  <c r="E11" i="474"/>
  <c r="E9" i="474"/>
  <c r="E29" i="474"/>
  <c r="E18" i="474"/>
  <c r="O441" i="472"/>
  <c r="I445" i="472"/>
  <c r="O445" i="472" s="1"/>
  <c r="H525" i="472"/>
  <c r="I525" i="472" s="1"/>
  <c r="O525" i="472" s="1"/>
  <c r="H526" i="472"/>
  <c r="I526" i="472" s="1"/>
  <c r="O526" i="472" s="1"/>
  <c r="I524" i="472"/>
  <c r="H794" i="472"/>
  <c r="I794" i="472" s="1"/>
  <c r="O794" i="472" s="1"/>
  <c r="H719" i="472"/>
  <c r="I719" i="472" s="1"/>
  <c r="O719" i="472" s="1"/>
  <c r="H348" i="472"/>
  <c r="I348" i="472" s="1"/>
  <c r="O348" i="472" s="1"/>
  <c r="H728" i="472"/>
  <c r="I728" i="472" s="1"/>
  <c r="O728" i="472" s="1"/>
  <c r="H405" i="472"/>
  <c r="I405" i="472" s="1"/>
  <c r="O405" i="472" s="1"/>
  <c r="H338" i="472"/>
  <c r="I338" i="472" s="1"/>
  <c r="O338" i="472" s="1"/>
  <c r="H803" i="472"/>
  <c r="I803" i="472" s="1"/>
  <c r="O803" i="472" s="1"/>
  <c r="H742" i="472"/>
  <c r="I742" i="472" s="1"/>
  <c r="O742" i="472" s="1"/>
  <c r="H202" i="472"/>
  <c r="I202" i="472" s="1"/>
  <c r="O202" i="472" s="1"/>
  <c r="H233" i="472"/>
  <c r="I233" i="472" s="1"/>
  <c r="O233" i="472" s="1"/>
  <c r="H222" i="472"/>
  <c r="I222" i="472" s="1"/>
  <c r="O222" i="472" s="1"/>
  <c r="H212" i="472"/>
  <c r="I212" i="472" s="1"/>
  <c r="O212" i="472" s="1"/>
  <c r="EO1179" i="322"/>
  <c r="Q1179" i="322"/>
  <c r="EM554" i="322"/>
  <c r="Q587" i="322"/>
  <c r="EM666" i="322"/>
  <c r="AF675" i="322"/>
  <c r="AO675" i="322"/>
  <c r="R1225" i="322"/>
  <c r="AN1225" i="322" s="1"/>
  <c r="Q428" i="322"/>
  <c r="AJ428" i="322" s="1"/>
  <c r="P1167" i="157"/>
  <c r="Q1128" i="322"/>
  <c r="AL1128" i="322" s="1"/>
  <c r="P575" i="322"/>
  <c r="L46" i="157"/>
  <c r="P46" i="157" s="1"/>
  <c r="P1809" i="157"/>
  <c r="P1542" i="157"/>
  <c r="P1548" i="157" s="1"/>
  <c r="P1550" i="157" s="1"/>
  <c r="P76" i="157"/>
  <c r="P1701" i="157"/>
  <c r="P1707" i="157" s="1"/>
  <c r="E7" i="459" l="1"/>
  <c r="G7" i="459" s="1"/>
  <c r="P509" i="322"/>
  <c r="AE509" i="322" s="1"/>
  <c r="M4" i="475"/>
  <c r="E105" i="474"/>
  <c r="E112" i="474"/>
  <c r="E102" i="474"/>
  <c r="E110" i="474"/>
  <c r="E130" i="474"/>
  <c r="E92" i="474"/>
  <c r="E99" i="474"/>
  <c r="E124" i="474"/>
  <c r="E113" i="474"/>
  <c r="E125" i="474"/>
  <c r="E118" i="474"/>
  <c r="E84" i="474"/>
  <c r="E96" i="474"/>
  <c r="E83" i="474"/>
  <c r="E111" i="474"/>
  <c r="E126" i="474"/>
  <c r="E103" i="474"/>
  <c r="E123" i="474"/>
  <c r="E107" i="474"/>
  <c r="E121" i="474"/>
  <c r="E98" i="474"/>
  <c r="E94" i="474"/>
  <c r="E100" i="474"/>
  <c r="E97" i="474"/>
  <c r="E81" i="474"/>
  <c r="E57" i="474"/>
  <c r="E89" i="474"/>
  <c r="E120" i="474"/>
  <c r="E129" i="474"/>
  <c r="E116" i="474"/>
  <c r="E104" i="474"/>
  <c r="E114" i="474"/>
  <c r="E127" i="474"/>
  <c r="E79" i="474"/>
  <c r="E122" i="474"/>
  <c r="E85" i="474"/>
  <c r="E78" i="474"/>
  <c r="E87" i="474"/>
  <c r="E91" i="474"/>
  <c r="E82" i="474"/>
  <c r="E101" i="474"/>
  <c r="E117" i="474"/>
  <c r="E95" i="474"/>
  <c r="E119" i="474"/>
  <c r="E106" i="474"/>
  <c r="E90" i="474"/>
  <c r="E115" i="474"/>
  <c r="E131" i="474"/>
  <c r="E59" i="474"/>
  <c r="E109" i="474"/>
  <c r="E128" i="474"/>
  <c r="E76" i="474"/>
  <c r="E77" i="474"/>
  <c r="E52" i="474"/>
  <c r="E86" i="474"/>
  <c r="E80" i="474"/>
  <c r="O524" i="472"/>
  <c r="I530" i="472"/>
  <c r="O530" i="472" s="1"/>
  <c r="H289" i="472"/>
  <c r="I289" i="472" s="1"/>
  <c r="H329" i="472"/>
  <c r="I329" i="472" s="1"/>
  <c r="H461" i="472"/>
  <c r="I461" i="472" s="1"/>
  <c r="H40" i="472"/>
  <c r="I40" i="472" s="1"/>
  <c r="O40" i="472" s="1"/>
  <c r="H417" i="472"/>
  <c r="I417" i="472" s="1"/>
  <c r="O417" i="472" s="1"/>
  <c r="H280" i="472"/>
  <c r="I280" i="472" s="1"/>
  <c r="H17" i="472"/>
  <c r="I17" i="472" s="1"/>
  <c r="O17" i="472" s="1"/>
  <c r="H7" i="472"/>
  <c r="I7" i="472" s="1"/>
  <c r="O7" i="472" s="1"/>
  <c r="H30" i="472"/>
  <c r="I30" i="472" s="1"/>
  <c r="O30" i="472" s="1"/>
  <c r="S1183" i="322"/>
  <c r="EM1179" i="322"/>
  <c r="EO677" i="322"/>
  <c r="R677" i="322"/>
  <c r="Q1054" i="322"/>
  <c r="AF1054" i="322" s="1"/>
  <c r="EO1056" i="322" s="1"/>
  <c r="P625" i="322"/>
  <c r="AE625" i="322" s="1"/>
  <c r="Q477" i="322"/>
  <c r="AG477" i="322" s="1"/>
  <c r="EO479" i="322" s="1"/>
  <c r="Q363" i="322"/>
  <c r="AN363" i="322" s="1"/>
  <c r="Q216" i="322"/>
  <c r="AM216" i="322" s="1"/>
  <c r="EO1130" i="322"/>
  <c r="AH1130" i="322"/>
  <c r="EO430" i="322"/>
  <c r="Q430" i="322"/>
  <c r="EO1227" i="322"/>
  <c r="R1227" i="322"/>
  <c r="Q989" i="322"/>
  <c r="AG989" i="322" s="1"/>
  <c r="EO991" i="322" s="1"/>
  <c r="AR1012" i="322" s="1"/>
  <c r="Q454" i="322"/>
  <c r="AH454" i="322" s="1"/>
  <c r="P602" i="322"/>
  <c r="Q178" i="322"/>
  <c r="AO178" i="322" s="1"/>
  <c r="Q314" i="322"/>
  <c r="AN314" i="322" s="1"/>
  <c r="Q35" i="322"/>
  <c r="AI35" i="322" s="1"/>
  <c r="Q263" i="322"/>
  <c r="AH263" i="322" s="1"/>
  <c r="Q118" i="322"/>
  <c r="AR118" i="322" s="1"/>
  <c r="Q70" i="322"/>
  <c r="AR70" i="322" s="1"/>
  <c r="Q405" i="322"/>
  <c r="AE405" i="322" s="1"/>
  <c r="O945" i="322"/>
  <c r="AE945" i="322" s="1"/>
  <c r="AD575" i="322"/>
  <c r="N772" i="322"/>
  <c r="Z772" i="322" s="1"/>
  <c r="O957" i="322"/>
  <c r="AE957" i="322" s="1"/>
  <c r="N766" i="322"/>
  <c r="AA766" i="322" s="1"/>
  <c r="N753" i="322"/>
  <c r="AA753" i="322" s="1"/>
  <c r="O951" i="322"/>
  <c r="AJ951" i="322" s="1"/>
  <c r="EO953" i="322" s="1"/>
  <c r="EM953" i="322" s="1"/>
  <c r="N759" i="322"/>
  <c r="AF759" i="322" s="1"/>
  <c r="EO761" i="322" s="1"/>
  <c r="O901" i="322"/>
  <c r="AD901" i="322" s="1"/>
  <c r="P799" i="322"/>
  <c r="AC799" i="322" s="1"/>
  <c r="M7" i="459" l="1"/>
  <c r="G25" i="459"/>
  <c r="EO1014" i="322"/>
  <c r="S1014" i="322"/>
  <c r="EO513" i="322"/>
  <c r="P511" i="322"/>
  <c r="H793" i="472"/>
  <c r="I793" i="472" s="1"/>
  <c r="H718" i="472"/>
  <c r="I718" i="472" s="1"/>
  <c r="H347" i="472"/>
  <c r="I347" i="472" s="1"/>
  <c r="H727" i="472"/>
  <c r="I727" i="472" s="1"/>
  <c r="H430" i="472"/>
  <c r="I430" i="472" s="1"/>
  <c r="O430" i="472" s="1"/>
  <c r="H337" i="472"/>
  <c r="I337" i="472" s="1"/>
  <c r="H802" i="472"/>
  <c r="I802" i="472" s="1"/>
  <c r="H741" i="472"/>
  <c r="I741" i="472" s="1"/>
  <c r="H404" i="472"/>
  <c r="I404" i="472" s="1"/>
  <c r="H201" i="472"/>
  <c r="I201" i="472" s="1"/>
  <c r="H115" i="472"/>
  <c r="I115" i="472" s="1"/>
  <c r="O115" i="472" s="1"/>
  <c r="H232" i="472"/>
  <c r="I232" i="472" s="1"/>
  <c r="H221" i="472"/>
  <c r="I221" i="472" s="1"/>
  <c r="H211" i="472"/>
  <c r="I211" i="472" s="1"/>
  <c r="O461" i="472"/>
  <c r="H462" i="472"/>
  <c r="I462" i="472" s="1"/>
  <c r="O462" i="472" s="1"/>
  <c r="H41" i="472"/>
  <c r="I41" i="472" s="1"/>
  <c r="O41" i="472" s="1"/>
  <c r="H31" i="472"/>
  <c r="I31" i="472" s="1"/>
  <c r="O31" i="472" s="1"/>
  <c r="H281" i="472"/>
  <c r="I281" i="472" s="1"/>
  <c r="O281" i="472" s="1"/>
  <c r="H418" i="472"/>
  <c r="I418" i="472" s="1"/>
  <c r="H18" i="472"/>
  <c r="I18" i="472" s="1"/>
  <c r="O18" i="472" s="1"/>
  <c r="H8" i="472"/>
  <c r="I8" i="472" s="1"/>
  <c r="O8" i="472" s="1"/>
  <c r="O280" i="472"/>
  <c r="O329" i="472"/>
  <c r="I330" i="472"/>
  <c r="O330" i="472" s="1"/>
  <c r="O289" i="472"/>
  <c r="I291" i="472"/>
  <c r="O291" i="472" s="1"/>
  <c r="Q235" i="322"/>
  <c r="AF235" i="322" s="1"/>
  <c r="Q237" i="322" s="1"/>
  <c r="EO1185" i="322"/>
  <c r="EM1185" i="322" s="1"/>
  <c r="S1185" i="322"/>
  <c r="Q711" i="322"/>
  <c r="AD711" i="322"/>
  <c r="EM677" i="322"/>
  <c r="Q1056" i="322"/>
  <c r="Q479" i="322"/>
  <c r="Q863" i="322"/>
  <c r="AM863" i="322" s="1"/>
  <c r="EO865" i="322" s="1"/>
  <c r="R875" i="322" s="1"/>
  <c r="Q382" i="322"/>
  <c r="AI382" i="322" s="1"/>
  <c r="EO218" i="322"/>
  <c r="Q218" i="322"/>
  <c r="EO365" i="322"/>
  <c r="Q365" i="322"/>
  <c r="Q278" i="322"/>
  <c r="AG278" i="322" s="1"/>
  <c r="Q280" i="322" s="1"/>
  <c r="Q333" i="322"/>
  <c r="AI333" i="322" s="1"/>
  <c r="Q335" i="322" s="1"/>
  <c r="R1061" i="322"/>
  <c r="EM1056" i="322"/>
  <c r="AJ484" i="322"/>
  <c r="EM479" i="322"/>
  <c r="AH435" i="322"/>
  <c r="EM430" i="322"/>
  <c r="AP1232" i="322"/>
  <c r="AX1232" i="322"/>
  <c r="EM1227" i="322"/>
  <c r="S1134" i="322"/>
  <c r="EM1130" i="322"/>
  <c r="P569" i="322"/>
  <c r="AE569" i="322" s="1"/>
  <c r="P571" i="322" s="1"/>
  <c r="Q1030" i="322"/>
  <c r="AS1030" i="322" s="1"/>
  <c r="Q856" i="322"/>
  <c r="Q991" i="322"/>
  <c r="Q850" i="322"/>
  <c r="AJ850" i="322" s="1"/>
  <c r="Q869" i="322"/>
  <c r="AL869" i="322" s="1"/>
  <c r="R1012" i="322"/>
  <c r="EM991" i="322"/>
  <c r="O190" i="322"/>
  <c r="AL190" i="322" s="1"/>
  <c r="EO456" i="322"/>
  <c r="Q456" i="322"/>
  <c r="EO72" i="322"/>
  <c r="Q72" i="322"/>
  <c r="EO120" i="322"/>
  <c r="Q120" i="322"/>
  <c r="EO316" i="322"/>
  <c r="Q316" i="322"/>
  <c r="EO265" i="322"/>
  <c r="Q265" i="322"/>
  <c r="EO180" i="322"/>
  <c r="Q180" i="322"/>
  <c r="EO407" i="322"/>
  <c r="Q407" i="322"/>
  <c r="EO37" i="322"/>
  <c r="Q37" i="322"/>
  <c r="AC602" i="322"/>
  <c r="EO774" i="322"/>
  <c r="N774" i="322"/>
  <c r="N761" i="322"/>
  <c r="EO755" i="322"/>
  <c r="N755" i="322"/>
  <c r="EO768" i="322"/>
  <c r="N768" i="322"/>
  <c r="EO801" i="322"/>
  <c r="P801" i="322"/>
  <c r="EO627" i="322"/>
  <c r="P627" i="322"/>
  <c r="O953" i="322"/>
  <c r="EO577" i="322"/>
  <c r="P577" i="322"/>
  <c r="EO903" i="322"/>
  <c r="AF907" i="322" s="1"/>
  <c r="O903" i="322"/>
  <c r="EO959" i="322"/>
  <c r="O959" i="322"/>
  <c r="EO947" i="322"/>
  <c r="O947" i="322"/>
  <c r="M25" i="459" l="1"/>
  <c r="G26" i="459" s="1"/>
  <c r="M26" i="459" s="1"/>
  <c r="R517" i="322"/>
  <c r="EM513" i="322"/>
  <c r="I286" i="472"/>
  <c r="O286" i="472" s="1"/>
  <c r="O232" i="472"/>
  <c r="I237" i="472"/>
  <c r="O237" i="472" s="1"/>
  <c r="O741" i="472"/>
  <c r="I746" i="472"/>
  <c r="O746" i="472" s="1"/>
  <c r="O727" i="472"/>
  <c r="I732" i="472"/>
  <c r="O732" i="472" s="1"/>
  <c r="I467" i="472"/>
  <c r="O467" i="472" s="1"/>
  <c r="O802" i="472"/>
  <c r="I807" i="472"/>
  <c r="O807" i="472" s="1"/>
  <c r="O347" i="472"/>
  <c r="I352" i="472"/>
  <c r="O352" i="472" s="1"/>
  <c r="I423" i="472"/>
  <c r="O423" i="472" s="1"/>
  <c r="O418" i="472"/>
  <c r="O211" i="472"/>
  <c r="I216" i="472"/>
  <c r="O216" i="472" s="1"/>
  <c r="O201" i="472"/>
  <c r="I206" i="472"/>
  <c r="O206" i="472" s="1"/>
  <c r="O337" i="472"/>
  <c r="I342" i="472"/>
  <c r="O342" i="472" s="1"/>
  <c r="O718" i="472"/>
  <c r="I723" i="472"/>
  <c r="O723" i="472" s="1"/>
  <c r="I226" i="472"/>
  <c r="O226" i="472" s="1"/>
  <c r="O221" i="472"/>
  <c r="I410" i="472"/>
  <c r="O410" i="472" s="1"/>
  <c r="O404" i="472"/>
  <c r="I798" i="472"/>
  <c r="O798" i="472" s="1"/>
  <c r="O793" i="472"/>
  <c r="EO237" i="322"/>
  <c r="Z242" i="322" s="1"/>
  <c r="EO713" i="322"/>
  <c r="Q713" i="322"/>
  <c r="EM865" i="322"/>
  <c r="Q865" i="322"/>
  <c r="R389" i="322"/>
  <c r="EM365" i="322"/>
  <c r="EO384" i="322"/>
  <c r="Q384" i="322"/>
  <c r="R242" i="322"/>
  <c r="EM218" i="322"/>
  <c r="AL856" i="322"/>
  <c r="Q858" i="322" s="1"/>
  <c r="EO280" i="322"/>
  <c r="AH285" i="322" s="1"/>
  <c r="EO335" i="322"/>
  <c r="EM335" i="322" s="1"/>
  <c r="EO571" i="322"/>
  <c r="EM571" i="322" s="1"/>
  <c r="EO1136" i="322"/>
  <c r="S1136" i="322"/>
  <c r="EO1234" i="322"/>
  <c r="R1234" i="322"/>
  <c r="EO1063" i="322"/>
  <c r="S1063" i="322"/>
  <c r="BO1030" i="322"/>
  <c r="Q1032" i="322" s="1"/>
  <c r="EO852" i="322"/>
  <c r="Q852" i="322"/>
  <c r="EO871" i="322"/>
  <c r="Q871" i="322"/>
  <c r="EO192" i="322"/>
  <c r="Z196" i="322" s="1"/>
  <c r="O192" i="322"/>
  <c r="R484" i="322"/>
  <c r="AS484" i="322"/>
  <c r="EM456" i="322"/>
  <c r="R42" i="322"/>
  <c r="EM37" i="322"/>
  <c r="R196" i="322"/>
  <c r="EM180" i="322"/>
  <c r="R340" i="322"/>
  <c r="EM316" i="322"/>
  <c r="R81" i="322"/>
  <c r="EM72" i="322"/>
  <c r="R435" i="322"/>
  <c r="AR435" i="322"/>
  <c r="EM407" i="322"/>
  <c r="R285" i="322"/>
  <c r="EM265" i="322"/>
  <c r="R129" i="322"/>
  <c r="EM120" i="322"/>
  <c r="AG963" i="322"/>
  <c r="EM959" i="322"/>
  <c r="X581" i="322"/>
  <c r="EM577" i="322"/>
  <c r="Y963" i="322"/>
  <c r="P805" i="322"/>
  <c r="EM801" i="322"/>
  <c r="O784" i="322"/>
  <c r="EM755" i="322"/>
  <c r="U778" i="322"/>
  <c r="EM774" i="322"/>
  <c r="Q963" i="322"/>
  <c r="AP963" i="322"/>
  <c r="EM947" i="322"/>
  <c r="W907" i="322"/>
  <c r="EM903" i="322"/>
  <c r="AD632" i="322"/>
  <c r="EM627" i="322"/>
  <c r="O778" i="322"/>
  <c r="AA778" i="322"/>
  <c r="EM768" i="322"/>
  <c r="V784" i="322"/>
  <c r="EM761" i="322"/>
  <c r="EO604" i="322"/>
  <c r="P604" i="322"/>
  <c r="G27" i="459" l="1"/>
  <c r="M27" i="459" s="1"/>
  <c r="EO519" i="322"/>
  <c r="R519" i="322"/>
  <c r="AH242" i="322"/>
  <c r="EO244" i="322" s="1"/>
  <c r="EM237" i="322"/>
  <c r="EO644" i="322"/>
  <c r="H582" i="472" s="1"/>
  <c r="I582" i="472" s="1"/>
  <c r="EM713" i="322"/>
  <c r="EM644" i="322" s="1"/>
  <c r="EO858" i="322"/>
  <c r="Z881" i="322" s="1"/>
  <c r="Z389" i="322"/>
  <c r="EM384" i="322"/>
  <c r="AI389" i="322"/>
  <c r="Q581" i="322"/>
  <c r="AD581" i="322"/>
  <c r="EO583" i="322" s="1"/>
  <c r="AR587" i="322" s="1"/>
  <c r="Z285" i="322"/>
  <c r="EM280" i="322"/>
  <c r="Z340" i="322"/>
  <c r="AI340" i="322"/>
  <c r="R342" i="322" s="1"/>
  <c r="EO1041" i="322"/>
  <c r="EM1063" i="322"/>
  <c r="EM1041" i="322" s="1"/>
  <c r="EO1139" i="322"/>
  <c r="EM1139" i="322"/>
  <c r="EO1188" i="322"/>
  <c r="EM1234" i="322"/>
  <c r="EM1188" i="322" s="1"/>
  <c r="EO1090" i="322"/>
  <c r="EM1136" i="322"/>
  <c r="EM1090" i="322" s="1"/>
  <c r="EO1032" i="322"/>
  <c r="EM1032" i="322" s="1"/>
  <c r="AI196" i="322"/>
  <c r="EO198" i="322" s="1"/>
  <c r="Y875" i="322"/>
  <c r="EM871" i="322"/>
  <c r="AG875" i="322"/>
  <c r="R1036" i="322"/>
  <c r="EM1014" i="322"/>
  <c r="R881" i="322"/>
  <c r="EM852" i="322"/>
  <c r="EM192" i="322"/>
  <c r="EO486" i="322"/>
  <c r="R486" i="322"/>
  <c r="EO437" i="322"/>
  <c r="R437" i="322"/>
  <c r="EO131" i="322"/>
  <c r="R131" i="322"/>
  <c r="EO287" i="322"/>
  <c r="R287" i="322"/>
  <c r="EO83" i="322"/>
  <c r="R83" i="322"/>
  <c r="EO44" i="322"/>
  <c r="R44" i="322"/>
  <c r="EO780" i="322"/>
  <c r="O780" i="322"/>
  <c r="EM604" i="322"/>
  <c r="AK632" i="322"/>
  <c r="Q632" i="322"/>
  <c r="EO965" i="322"/>
  <c r="R965" i="322"/>
  <c r="EO909" i="322"/>
  <c r="EM909" i="322" s="1"/>
  <c r="O909" i="322"/>
  <c r="EO807" i="322"/>
  <c r="P807" i="322"/>
  <c r="G10" i="168" l="1"/>
  <c r="EO495" i="322"/>
  <c r="EM519" i="322"/>
  <c r="EM495" i="322" s="1"/>
  <c r="I583" i="472"/>
  <c r="O583" i="472" s="1"/>
  <c r="O582" i="472"/>
  <c r="R244" i="322"/>
  <c r="EM858" i="322"/>
  <c r="EO201" i="322"/>
  <c r="EM244" i="322"/>
  <c r="EM201" i="322" s="1"/>
  <c r="EO391" i="322"/>
  <c r="R391" i="322"/>
  <c r="Q583" i="322"/>
  <c r="EO342" i="322"/>
  <c r="EO299" i="322" s="1"/>
  <c r="Y1036" i="322"/>
  <c r="AF1036" i="322"/>
  <c r="EO1038" i="322" s="1"/>
  <c r="R198" i="322"/>
  <c r="EO877" i="322"/>
  <c r="R877" i="322"/>
  <c r="EO447" i="322"/>
  <c r="EM486" i="322"/>
  <c r="EM447" i="322" s="1"/>
  <c r="EO22" i="322"/>
  <c r="EM44" i="322"/>
  <c r="EM22" i="322" s="1"/>
  <c r="EO55" i="322"/>
  <c r="EM83" i="322"/>
  <c r="EM55" i="322" s="1"/>
  <c r="EO166" i="322"/>
  <c r="EM198" i="322"/>
  <c r="EM166" i="322" s="1"/>
  <c r="EO103" i="322"/>
  <c r="EM131" i="322"/>
  <c r="EM103" i="322" s="1"/>
  <c r="EO250" i="322"/>
  <c r="EM287" i="322"/>
  <c r="EM250" i="322" s="1"/>
  <c r="EO398" i="322"/>
  <c r="EM437" i="322"/>
  <c r="EM398" i="322" s="1"/>
  <c r="EO887" i="322"/>
  <c r="H613" i="472" s="1"/>
  <c r="I613" i="472" s="1"/>
  <c r="EM887" i="322"/>
  <c r="EO634" i="322"/>
  <c r="Q634" i="322"/>
  <c r="AL587" i="322"/>
  <c r="EM583" i="322"/>
  <c r="EO790" i="322"/>
  <c r="H605" i="472" s="1"/>
  <c r="I605" i="472" s="1"/>
  <c r="EM807" i="322"/>
  <c r="EM790" i="322" s="1"/>
  <c r="EO934" i="322"/>
  <c r="H617" i="472" s="1"/>
  <c r="I617" i="472" s="1"/>
  <c r="EM965" i="322"/>
  <c r="EM934" i="322" s="1"/>
  <c r="AC784" i="322"/>
  <c r="EM780" i="322"/>
  <c r="AI784" i="322"/>
  <c r="G9" i="168" l="1"/>
  <c r="M9" i="168" s="1"/>
  <c r="D27" i="14" s="1"/>
  <c r="I24" i="485" s="1"/>
  <c r="M10" i="168"/>
  <c r="H559" i="472"/>
  <c r="I559" i="472" s="1"/>
  <c r="O559" i="472" s="1"/>
  <c r="O617" i="472"/>
  <c r="I618" i="472"/>
  <c r="O618" i="472" s="1"/>
  <c r="O613" i="472"/>
  <c r="I614" i="472"/>
  <c r="O614" i="472" s="1"/>
  <c r="H562" i="472"/>
  <c r="I562" i="472" s="1"/>
  <c r="O562" i="472" s="1"/>
  <c r="H577" i="472"/>
  <c r="I577" i="472" s="1"/>
  <c r="O577" i="472" s="1"/>
  <c r="O605" i="472"/>
  <c r="I606" i="472"/>
  <c r="O606" i="472" s="1"/>
  <c r="EO348" i="322"/>
  <c r="EM391" i="322"/>
  <c r="EM348" i="322" s="1"/>
  <c r="H320" i="472"/>
  <c r="I320" i="472" s="1"/>
  <c r="EM342" i="322"/>
  <c r="EM299" i="322" s="1"/>
  <c r="R1038" i="322"/>
  <c r="EO983" i="322"/>
  <c r="EM1038" i="322"/>
  <c r="EM983" i="322" s="1"/>
  <c r="AF881" i="322"/>
  <c r="EM877" i="322"/>
  <c r="AO881" i="322"/>
  <c r="EO786" i="322"/>
  <c r="O786" i="322"/>
  <c r="EO595" i="322"/>
  <c r="H586" i="472" s="1"/>
  <c r="I586" i="472" s="1"/>
  <c r="EM634" i="322"/>
  <c r="EM595" i="322" s="1"/>
  <c r="EO589" i="322"/>
  <c r="Q589" i="322"/>
  <c r="H81" i="472" l="1"/>
  <c r="I81" i="472" s="1"/>
  <c r="O81" i="472" s="1"/>
  <c r="H58" i="472"/>
  <c r="I58" i="472" s="1"/>
  <c r="O58" i="472" s="1"/>
  <c r="I321" i="472"/>
  <c r="O321" i="472" s="1"/>
  <c r="O320" i="472"/>
  <c r="H59" i="472"/>
  <c r="I59" i="472" s="1"/>
  <c r="O59" i="472" s="1"/>
  <c r="H82" i="472"/>
  <c r="I82" i="472" s="1"/>
  <c r="O82" i="472" s="1"/>
  <c r="I587" i="472"/>
  <c r="O586" i="472"/>
  <c r="O587" i="472" s="1"/>
  <c r="EO883" i="322"/>
  <c r="S883" i="322"/>
  <c r="EO548" i="322"/>
  <c r="EM589" i="322"/>
  <c r="EM548" i="322" s="1"/>
  <c r="EO742" i="322"/>
  <c r="H600" i="472" s="1"/>
  <c r="I600" i="472" s="1"/>
  <c r="EM786" i="322"/>
  <c r="EM742" i="322" s="1"/>
  <c r="I601" i="472" l="1"/>
  <c r="O601" i="472" s="1"/>
  <c r="O600" i="472"/>
  <c r="H567" i="472"/>
  <c r="I567" i="472" s="1"/>
  <c r="EO839" i="322"/>
  <c r="EM883" i="322"/>
  <c r="EM839" i="322" s="1"/>
  <c r="H54" i="472" l="1"/>
  <c r="I54" i="472" s="1"/>
  <c r="O54" i="472" s="1"/>
  <c r="H77" i="472"/>
  <c r="I77" i="472" s="1"/>
  <c r="O77" i="472" s="1"/>
  <c r="H85" i="472"/>
  <c r="I85" i="472" s="1"/>
  <c r="O85" i="472" s="1"/>
  <c r="H62" i="472"/>
  <c r="I62" i="472" s="1"/>
  <c r="O62" i="472" s="1"/>
  <c r="O567" i="472"/>
  <c r="I569" i="472"/>
  <c r="O569" i="472" s="1"/>
  <c r="H53" i="472"/>
  <c r="I53" i="472" s="1"/>
  <c r="O53" i="472" s="1"/>
  <c r="H76" i="472"/>
  <c r="I76" i="472" s="1"/>
  <c r="O76" i="472" s="1"/>
  <c r="H324" i="472"/>
  <c r="I324" i="472" s="1"/>
  <c r="H83" i="472" l="1"/>
  <c r="I83" i="472" s="1"/>
  <c r="O83" i="472" s="1"/>
  <c r="H60" i="472"/>
  <c r="I60" i="472" s="1"/>
  <c r="O60" i="472" s="1"/>
  <c r="H609" i="472"/>
  <c r="I609" i="472" s="1"/>
  <c r="H61" i="472"/>
  <c r="I61" i="472" s="1"/>
  <c r="O61" i="472" s="1"/>
  <c r="H84" i="472"/>
  <c r="I84" i="472" s="1"/>
  <c r="O84" i="472" s="1"/>
  <c r="I325" i="472"/>
  <c r="O325" i="472" s="1"/>
  <c r="O324" i="472"/>
  <c r="I610" i="472" l="1"/>
  <c r="O610" i="472" s="1"/>
  <c r="O609" i="472"/>
  <c r="N116" i="474" l="1"/>
  <c r="N126" i="474"/>
  <c r="J107" i="474"/>
  <c r="K107" i="474" s="1"/>
  <c r="F107" i="474"/>
  <c r="G107" i="474" s="1"/>
  <c r="H107" i="474"/>
  <c r="I107" i="474" s="1"/>
  <c r="N107" i="474"/>
  <c r="N106" i="474"/>
  <c r="J106" i="474"/>
  <c r="K106" i="474" s="1"/>
  <c r="H106" i="474"/>
  <c r="I106" i="474" s="1"/>
  <c r="F106" i="474"/>
  <c r="G106" i="474" s="1"/>
  <c r="N123" i="474"/>
  <c r="H123" i="474"/>
  <c r="I123" i="474" s="1"/>
  <c r="J123" i="474"/>
  <c r="K123" i="474" s="1"/>
  <c r="L106" i="474" l="1"/>
  <c r="M107" i="474"/>
  <c r="M106" i="474"/>
  <c r="L107" i="474"/>
  <c r="M123" i="474"/>
  <c r="G10" i="433" l="1"/>
  <c r="G8" i="433"/>
  <c r="G7" i="433" l="1"/>
  <c r="G9" i="433"/>
  <c r="K9" i="433" l="1"/>
  <c r="J126" i="474" l="1"/>
  <c r="K126" i="474" s="1"/>
  <c r="K10" i="433"/>
  <c r="K8" i="433"/>
  <c r="K7" i="433"/>
  <c r="I7" i="433" l="1"/>
  <c r="M7" i="433" s="1"/>
  <c r="I10" i="433"/>
  <c r="M10" i="433" s="1"/>
  <c r="I9" i="433"/>
  <c r="M9" i="433" s="1"/>
  <c r="I8" i="433"/>
  <c r="M8" i="433" s="1"/>
  <c r="F126" i="474" l="1"/>
  <c r="G126" i="474" l="1"/>
  <c r="H126" i="474" l="1"/>
  <c r="I126" i="474" s="1"/>
  <c r="M126" i="474" s="1"/>
  <c r="L126" i="474" l="1"/>
  <c r="H116" i="474" l="1"/>
  <c r="I116" i="474" s="1"/>
  <c r="F116" i="474" l="1"/>
  <c r="G116" i="474" l="1"/>
  <c r="J116" i="474" l="1"/>
  <c r="K116" i="474" l="1"/>
  <c r="M116" i="474" s="1"/>
  <c r="L116" i="474"/>
  <c r="D64" i="475" l="1"/>
  <c r="J64" i="475" s="1"/>
  <c r="E63" i="474" s="1"/>
  <c r="D59" i="475"/>
  <c r="J59" i="475" s="1"/>
  <c r="E58" i="474" s="1"/>
  <c r="D55" i="475"/>
  <c r="J55" i="475" s="1"/>
  <c r="E54" i="474" s="1"/>
  <c r="D65" i="475"/>
  <c r="J65" i="475" s="1"/>
  <c r="E64" i="474" s="1"/>
  <c r="D67" i="475"/>
  <c r="J67" i="475" s="1"/>
  <c r="E66" i="474" s="1"/>
  <c r="D54" i="475"/>
  <c r="J54" i="475" s="1"/>
  <c r="E53" i="474" s="1"/>
  <c r="D57" i="475"/>
  <c r="J57" i="475" s="1"/>
  <c r="E56" i="474" s="1"/>
  <c r="D56" i="475"/>
  <c r="J56" i="475" s="1"/>
  <c r="E55" i="474" s="1"/>
  <c r="D63" i="475"/>
  <c r="J63" i="475" s="1"/>
  <c r="E62" i="474" s="1"/>
  <c r="D62" i="475"/>
  <c r="J62" i="475" s="1"/>
  <c r="E61" i="474" s="1"/>
  <c r="N95" i="474" l="1"/>
  <c r="F95" i="474" l="1"/>
  <c r="G95" i="474" l="1"/>
  <c r="H95" i="474" l="1"/>
  <c r="I95" i="474" s="1"/>
  <c r="F57" i="474" l="1"/>
  <c r="H57" i="474"/>
  <c r="I57" i="474" s="1"/>
  <c r="J57" i="474"/>
  <c r="K57" i="474" s="1"/>
  <c r="N57" i="474"/>
  <c r="G57" i="474" l="1"/>
  <c r="M57" i="474" s="1"/>
  <c r="L57" i="474"/>
  <c r="J95" i="474" l="1"/>
  <c r="K95" i="474" s="1"/>
  <c r="L95" i="474" l="1"/>
  <c r="M95" i="474"/>
  <c r="N117" i="474" l="1"/>
  <c r="N115" i="474"/>
  <c r="J55" i="474"/>
  <c r="K55" i="474" s="1"/>
  <c r="J58" i="474"/>
  <c r="K58" i="474" s="1"/>
  <c r="H56" i="474"/>
  <c r="I56" i="474" s="1"/>
  <c r="J56" i="474"/>
  <c r="K56" i="474" s="1"/>
  <c r="H55" i="474"/>
  <c r="I55" i="474" s="1"/>
  <c r="H58" i="474"/>
  <c r="I58" i="474" s="1"/>
  <c r="F55" i="474"/>
  <c r="F56" i="474"/>
  <c r="F58" i="474"/>
  <c r="N55" i="474"/>
  <c r="N58" i="474"/>
  <c r="N56" i="474"/>
  <c r="L56" i="474" l="1"/>
  <c r="G56" i="474"/>
  <c r="M56" i="474" s="1"/>
  <c r="L58" i="474"/>
  <c r="G58" i="474"/>
  <c r="M58" i="474" s="1"/>
  <c r="G55" i="474"/>
  <c r="M55" i="474" s="1"/>
  <c r="L55" i="474"/>
  <c r="J117" i="474" l="1"/>
  <c r="K117" i="474" s="1"/>
  <c r="H117" i="474" l="1"/>
  <c r="I117" i="474" s="1"/>
  <c r="F117" i="474" l="1"/>
  <c r="G117" i="474" s="1"/>
  <c r="M117" i="474" s="1"/>
  <c r="L117" i="474" l="1"/>
  <c r="H115" i="474" l="1"/>
  <c r="I115" i="474" s="1"/>
  <c r="F115" i="474" l="1"/>
  <c r="G115" i="474" l="1"/>
  <c r="J115" i="474" l="1"/>
  <c r="K115" i="474" l="1"/>
  <c r="M115" i="474" s="1"/>
  <c r="L115" i="474"/>
  <c r="N43" i="467" l="1"/>
  <c r="N42" i="467"/>
  <c r="J29" i="467"/>
  <c r="K29" i="467" s="1"/>
  <c r="N7" i="467"/>
  <c r="N29" i="467"/>
  <c r="H29" i="467"/>
  <c r="I29" i="467" s="1"/>
  <c r="F29" i="467"/>
  <c r="H52" i="474"/>
  <c r="I52" i="474" s="1"/>
  <c r="J52" i="474"/>
  <c r="K52" i="474" s="1"/>
  <c r="P908" i="472"/>
  <c r="L908" i="472"/>
  <c r="M908" i="472" s="1"/>
  <c r="F52" i="474"/>
  <c r="L862" i="472"/>
  <c r="M862" i="472" s="1"/>
  <c r="P885" i="472"/>
  <c r="L123" i="472"/>
  <c r="M123" i="472" s="1"/>
  <c r="P123" i="472"/>
  <c r="P862" i="472"/>
  <c r="N75" i="474"/>
  <c r="H885" i="472"/>
  <c r="I885" i="472" s="1"/>
  <c r="N52" i="474"/>
  <c r="J908" i="472"/>
  <c r="K908" i="472" s="1"/>
  <c r="P193" i="472"/>
  <c r="H75" i="474"/>
  <c r="I75" i="474" s="1"/>
  <c r="J75" i="474"/>
  <c r="K75" i="474" s="1"/>
  <c r="F75" i="474"/>
  <c r="H123" i="472"/>
  <c r="I123" i="472" s="1"/>
  <c r="L193" i="472"/>
  <c r="M193" i="472" s="1"/>
  <c r="H862" i="472"/>
  <c r="I862" i="472" s="1"/>
  <c r="J862" i="472"/>
  <c r="K862" i="472" s="1"/>
  <c r="H193" i="472"/>
  <c r="I193" i="472" s="1"/>
  <c r="J123" i="472"/>
  <c r="K123" i="472" s="1"/>
  <c r="J193" i="472"/>
  <c r="K193" i="472" s="1"/>
  <c r="J885" i="472"/>
  <c r="K885" i="472" s="1"/>
  <c r="L885" i="472"/>
  <c r="M885" i="472" s="1"/>
  <c r="H908" i="472"/>
  <c r="I908" i="472" s="1"/>
  <c r="J30" i="467"/>
  <c r="K30" i="467" s="1"/>
  <c r="F30" i="467"/>
  <c r="H30" i="467"/>
  <c r="I30" i="467" s="1"/>
  <c r="N31" i="467"/>
  <c r="N30" i="467"/>
  <c r="H31" i="467"/>
  <c r="I31" i="467" s="1"/>
  <c r="J31" i="467"/>
  <c r="K31" i="467" s="1"/>
  <c r="F31" i="467"/>
  <c r="N33" i="467"/>
  <c r="N40" i="467"/>
  <c r="N36" i="467"/>
  <c r="N37" i="467"/>
  <c r="N41" i="467"/>
  <c r="N32" i="467"/>
  <c r="N38" i="467"/>
  <c r="N34" i="467"/>
  <c r="N39" i="467"/>
  <c r="N35" i="467"/>
  <c r="N9" i="467"/>
  <c r="N8" i="467"/>
  <c r="N81" i="474"/>
  <c r="N78" i="474"/>
  <c r="N77" i="474"/>
  <c r="N53" i="474"/>
  <c r="N76" i="474"/>
  <c r="N104" i="474"/>
  <c r="N97" i="474"/>
  <c r="P45" i="472"/>
  <c r="N120" i="474"/>
  <c r="P433" i="472"/>
  <c r="N59" i="474"/>
  <c r="J14" i="474"/>
  <c r="K14" i="474" s="1"/>
  <c r="P883" i="472"/>
  <c r="P66" i="472"/>
  <c r="P574" i="472"/>
  <c r="N91" i="474"/>
  <c r="P309" i="472"/>
  <c r="P55" i="472"/>
  <c r="P560" i="472"/>
  <c r="P431" i="472"/>
  <c r="N23" i="474"/>
  <c r="N82" i="474"/>
  <c r="P187" i="472"/>
  <c r="P906" i="472"/>
  <c r="N118" i="474"/>
  <c r="P575" i="472"/>
  <c r="N20" i="474"/>
  <c r="N21" i="474"/>
  <c r="N93" i="474"/>
  <c r="P89" i="472"/>
  <c r="N109" i="474"/>
  <c r="N134" i="474"/>
  <c r="N31" i="474"/>
  <c r="N22" i="474"/>
  <c r="P12" i="472"/>
  <c r="P57" i="472"/>
  <c r="N29" i="474"/>
  <c r="N103" i="474"/>
  <c r="P80" i="472"/>
  <c r="P189" i="472"/>
  <c r="P116" i="472"/>
  <c r="P902" i="472"/>
  <c r="P882" i="472"/>
  <c r="N108" i="474"/>
  <c r="N98" i="474"/>
  <c r="N27" i="474"/>
  <c r="N16" i="474"/>
  <c r="P63" i="472"/>
  <c r="P432" i="472"/>
  <c r="N122" i="474"/>
  <c r="P117" i="472"/>
  <c r="N64" i="474"/>
  <c r="P118" i="472"/>
  <c r="N99" i="474"/>
  <c r="N88" i="474"/>
  <c r="N94" i="474"/>
  <c r="P592" i="472"/>
  <c r="N87" i="474"/>
  <c r="N101" i="474"/>
  <c r="N100" i="474"/>
  <c r="N25" i="474"/>
  <c r="N9" i="474"/>
  <c r="N135" i="474"/>
  <c r="N54" i="474"/>
  <c r="N12" i="474"/>
  <c r="P594" i="472"/>
  <c r="N111" i="474"/>
  <c r="N28" i="474"/>
  <c r="P35" i="472"/>
  <c r="P860" i="472"/>
  <c r="P308" i="472"/>
  <c r="N66" i="474"/>
  <c r="P86" i="472"/>
  <c r="N8" i="474"/>
  <c r="P22" i="472"/>
  <c r="P903" i="472"/>
  <c r="P856" i="472"/>
  <c r="P191" i="472"/>
  <c r="N11" i="474"/>
  <c r="P905" i="472"/>
  <c r="N89" i="474"/>
  <c r="N114" i="474"/>
  <c r="N13" i="474"/>
  <c r="N85" i="474"/>
  <c r="N102" i="474"/>
  <c r="P593" i="472"/>
  <c r="N83" i="474"/>
  <c r="N127" i="474"/>
  <c r="N131" i="474"/>
  <c r="N112" i="474"/>
  <c r="N17" i="474"/>
  <c r="N113" i="474"/>
  <c r="N24" i="474"/>
  <c r="N90" i="474"/>
  <c r="N79" i="474"/>
  <c r="N84" i="474"/>
  <c r="P573" i="472"/>
  <c r="P858" i="472"/>
  <c r="N7" i="474"/>
  <c r="P188" i="472"/>
  <c r="P879" i="472"/>
  <c r="P310" i="472"/>
  <c r="P596" i="472"/>
  <c r="N18" i="474"/>
  <c r="N61" i="474"/>
  <c r="P880" i="472"/>
  <c r="P904" i="472"/>
  <c r="P881" i="472"/>
  <c r="P78" i="472"/>
  <c r="P857" i="472"/>
  <c r="P190" i="472"/>
  <c r="P859" i="472"/>
  <c r="N133" i="474"/>
  <c r="N86" i="474"/>
  <c r="N121" i="474"/>
  <c r="N119" i="474"/>
  <c r="N92" i="474"/>
  <c r="N132" i="474"/>
  <c r="N130" i="474"/>
  <c r="N80" i="474"/>
  <c r="N105" i="474"/>
  <c r="N14" i="474"/>
  <c r="P595" i="472"/>
  <c r="P591" i="472"/>
  <c r="N96" i="474"/>
  <c r="N15" i="474"/>
  <c r="N30" i="474"/>
  <c r="N124" i="474"/>
  <c r="N62" i="474"/>
  <c r="P307" i="472"/>
  <c r="N129" i="474"/>
  <c r="N110" i="474"/>
  <c r="N65" i="474"/>
  <c r="N26" i="474"/>
  <c r="N32" i="474"/>
  <c r="H593" i="472"/>
  <c r="I593" i="472" s="1"/>
  <c r="N125" i="474"/>
  <c r="N10" i="474"/>
  <c r="N63" i="474"/>
  <c r="N60" i="474"/>
  <c r="L594" i="472"/>
  <c r="M594" i="472" s="1"/>
  <c r="N19" i="474"/>
  <c r="P306" i="472"/>
  <c r="H96" i="474"/>
  <c r="I96" i="474" s="1"/>
  <c r="N128" i="474"/>
  <c r="F65" i="474"/>
  <c r="G65" i="474" s="1"/>
  <c r="H29" i="474"/>
  <c r="I29" i="474" s="1"/>
  <c r="F113" i="474"/>
  <c r="G113" i="474" s="1"/>
  <c r="F89" i="474"/>
  <c r="G89" i="474" s="1"/>
  <c r="F134" i="474"/>
  <c r="G134" i="474" s="1"/>
  <c r="F100" i="474"/>
  <c r="G100" i="474" s="1"/>
  <c r="F84" i="474"/>
  <c r="G84" i="474" s="1"/>
  <c r="L591" i="472"/>
  <c r="M591" i="472" s="1"/>
  <c r="F130" i="474"/>
  <c r="G130" i="474" s="1"/>
  <c r="F93" i="474"/>
  <c r="G93" i="474" s="1"/>
  <c r="H121" i="474"/>
  <c r="I121" i="474" s="1"/>
  <c r="L593" i="472"/>
  <c r="M593" i="472" s="1"/>
  <c r="J592" i="472"/>
  <c r="K592" i="472" s="1"/>
  <c r="H591" i="472"/>
  <c r="I591" i="472" s="1"/>
  <c r="H594" i="472"/>
  <c r="I594" i="472" s="1"/>
  <c r="J595" i="472"/>
  <c r="K595" i="472" s="1"/>
  <c r="F54" i="474"/>
  <c r="G54" i="474" s="1"/>
  <c r="F132" i="474"/>
  <c r="G132" i="474" s="1"/>
  <c r="F128" i="474"/>
  <c r="G128" i="474" s="1"/>
  <c r="F119" i="474"/>
  <c r="G119" i="474" s="1"/>
  <c r="F109" i="474"/>
  <c r="G109" i="474" s="1"/>
  <c r="F98" i="474"/>
  <c r="G98" i="474" s="1"/>
  <c r="F86" i="474"/>
  <c r="G86" i="474" s="1"/>
  <c r="H132" i="474"/>
  <c r="I132" i="474" s="1"/>
  <c r="H108" i="474"/>
  <c r="I108" i="474" s="1"/>
  <c r="H87" i="474"/>
  <c r="I87" i="474" s="1"/>
  <c r="H79" i="474"/>
  <c r="I79" i="474" s="1"/>
  <c r="L574" i="472"/>
  <c r="M574" i="472" s="1"/>
  <c r="H12" i="474"/>
  <c r="I12" i="474" s="1"/>
  <c r="F62" i="474"/>
  <c r="G62" i="474" s="1"/>
  <c r="L592" i="472"/>
  <c r="M592" i="472" s="1"/>
  <c r="J591" i="472"/>
  <c r="K591" i="472" s="1"/>
  <c r="H595" i="472"/>
  <c r="I595" i="472" s="1"/>
  <c r="F135" i="474"/>
  <c r="G135" i="474" s="1"/>
  <c r="F131" i="474"/>
  <c r="G131" i="474" s="1"/>
  <c r="F127" i="474"/>
  <c r="G127" i="474" s="1"/>
  <c r="F114" i="474"/>
  <c r="G114" i="474" s="1"/>
  <c r="F105" i="474"/>
  <c r="G105" i="474" s="1"/>
  <c r="F94" i="474"/>
  <c r="G94" i="474" s="1"/>
  <c r="F90" i="474"/>
  <c r="G90" i="474" s="1"/>
  <c r="F85" i="474"/>
  <c r="G85" i="474" s="1"/>
  <c r="F80" i="474"/>
  <c r="G80" i="474" s="1"/>
  <c r="H128" i="474"/>
  <c r="I128" i="474" s="1"/>
  <c r="H100" i="474"/>
  <c r="I100" i="474" s="1"/>
  <c r="H83" i="474"/>
  <c r="I83" i="474" s="1"/>
  <c r="J31" i="474"/>
  <c r="K31" i="474" s="1"/>
  <c r="F63" i="474"/>
  <c r="G63" i="474" s="1"/>
  <c r="J593" i="472"/>
  <c r="K593" i="472" s="1"/>
  <c r="H592" i="472"/>
  <c r="I592" i="472" s="1"/>
  <c r="J594" i="472"/>
  <c r="K594" i="472" s="1"/>
  <c r="L595" i="472"/>
  <c r="M595" i="472" s="1"/>
  <c r="F133" i="474"/>
  <c r="G133" i="474" s="1"/>
  <c r="F110" i="474"/>
  <c r="G110" i="474" s="1"/>
  <c r="F99" i="474"/>
  <c r="G99" i="474" s="1"/>
  <c r="F92" i="474"/>
  <c r="G92" i="474" s="1"/>
  <c r="F88" i="474"/>
  <c r="G88" i="474" s="1"/>
  <c r="F108" i="474"/>
  <c r="G108" i="474" s="1"/>
  <c r="H573" i="472"/>
  <c r="I573" i="472" s="1"/>
  <c r="H112" i="474"/>
  <c r="I112" i="474" s="1"/>
  <c r="J573" i="472"/>
  <c r="K573" i="472" s="1"/>
  <c r="H134" i="474"/>
  <c r="I134" i="474" s="1"/>
  <c r="H130" i="474"/>
  <c r="I130" i="474" s="1"/>
  <c r="H114" i="474"/>
  <c r="I114" i="474" s="1"/>
  <c r="H110" i="474"/>
  <c r="I110" i="474" s="1"/>
  <c r="H102" i="474"/>
  <c r="I102" i="474" s="1"/>
  <c r="H98" i="474"/>
  <c r="I98" i="474" s="1"/>
  <c r="H93" i="474"/>
  <c r="I93" i="474" s="1"/>
  <c r="H89" i="474"/>
  <c r="I89" i="474" s="1"/>
  <c r="H85" i="474"/>
  <c r="I85" i="474" s="1"/>
  <c r="H21" i="474"/>
  <c r="I21" i="474" s="1"/>
  <c r="J23" i="474"/>
  <c r="K23" i="474" s="1"/>
  <c r="H574" i="472"/>
  <c r="I574" i="472" s="1"/>
  <c r="H133" i="474"/>
  <c r="I133" i="474" s="1"/>
  <c r="H113" i="474"/>
  <c r="I113" i="474" s="1"/>
  <c r="H109" i="474"/>
  <c r="I109" i="474" s="1"/>
  <c r="H101" i="474"/>
  <c r="I101" i="474" s="1"/>
  <c r="H92" i="474"/>
  <c r="I92" i="474" s="1"/>
  <c r="H88" i="474"/>
  <c r="I88" i="474" s="1"/>
  <c r="H84" i="474"/>
  <c r="I84" i="474" s="1"/>
  <c r="H80" i="474"/>
  <c r="I80" i="474" s="1"/>
  <c r="H16" i="474"/>
  <c r="I16" i="474" s="1"/>
  <c r="J19" i="474"/>
  <c r="K19" i="474" s="1"/>
  <c r="F121" i="474"/>
  <c r="G121" i="474" s="1"/>
  <c r="F112" i="474"/>
  <c r="G112" i="474" s="1"/>
  <c r="F101" i="474"/>
  <c r="G101" i="474" s="1"/>
  <c r="F96" i="474"/>
  <c r="G96" i="474" s="1"/>
  <c r="F87" i="474"/>
  <c r="G87" i="474" s="1"/>
  <c r="F83" i="474"/>
  <c r="G83" i="474" s="1"/>
  <c r="F79" i="474"/>
  <c r="G79" i="474" s="1"/>
  <c r="J574" i="472"/>
  <c r="K574" i="472" s="1"/>
  <c r="H135" i="474"/>
  <c r="I135" i="474" s="1"/>
  <c r="H131" i="474"/>
  <c r="I131" i="474" s="1"/>
  <c r="H127" i="474"/>
  <c r="I127" i="474" s="1"/>
  <c r="H119" i="474"/>
  <c r="I119" i="474" s="1"/>
  <c r="H105" i="474"/>
  <c r="I105" i="474" s="1"/>
  <c r="H99" i="474"/>
  <c r="I99" i="474" s="1"/>
  <c r="H94" i="474"/>
  <c r="I94" i="474" s="1"/>
  <c r="H90" i="474"/>
  <c r="I90" i="474" s="1"/>
  <c r="H86" i="474"/>
  <c r="I86" i="474" s="1"/>
  <c r="H25" i="474"/>
  <c r="I25" i="474" s="1"/>
  <c r="H65" i="474"/>
  <c r="I65" i="474" s="1"/>
  <c r="J27" i="474"/>
  <c r="K27" i="474" s="1"/>
  <c r="J10" i="474"/>
  <c r="K10" i="474" s="1"/>
  <c r="L573" i="472"/>
  <c r="M573" i="472" s="1"/>
  <c r="H31" i="474"/>
  <c r="I31" i="474" s="1"/>
  <c r="H27" i="474"/>
  <c r="I27" i="474" s="1"/>
  <c r="H23" i="474"/>
  <c r="I23" i="474" s="1"/>
  <c r="H19" i="474"/>
  <c r="I19" i="474" s="1"/>
  <c r="H14" i="474"/>
  <c r="I14" i="474" s="1"/>
  <c r="H9" i="474"/>
  <c r="I9" i="474" s="1"/>
  <c r="H62" i="474"/>
  <c r="I62" i="474" s="1"/>
  <c r="J29" i="474"/>
  <c r="K29" i="474" s="1"/>
  <c r="J25" i="474"/>
  <c r="K25" i="474" s="1"/>
  <c r="J21" i="474"/>
  <c r="K21" i="474" s="1"/>
  <c r="J16" i="474"/>
  <c r="K16" i="474" s="1"/>
  <c r="J12" i="474"/>
  <c r="K12" i="474" s="1"/>
  <c r="H30" i="474"/>
  <c r="I30" i="474" s="1"/>
  <c r="H26" i="474"/>
  <c r="I26" i="474" s="1"/>
  <c r="H22" i="474"/>
  <c r="I22" i="474" s="1"/>
  <c r="H13" i="474"/>
  <c r="I13" i="474" s="1"/>
  <c r="J32" i="474"/>
  <c r="K32" i="474" s="1"/>
  <c r="J24" i="474"/>
  <c r="K24" i="474" s="1"/>
  <c r="J20" i="474"/>
  <c r="K20" i="474" s="1"/>
  <c r="J15" i="474"/>
  <c r="K15" i="474" s="1"/>
  <c r="H32" i="474"/>
  <c r="I32" i="474" s="1"/>
  <c r="H24" i="474"/>
  <c r="I24" i="474" s="1"/>
  <c r="H20" i="474"/>
  <c r="I20" i="474" s="1"/>
  <c r="H15" i="474"/>
  <c r="I15" i="474" s="1"/>
  <c r="H10" i="474"/>
  <c r="I10" i="474" s="1"/>
  <c r="H63" i="474"/>
  <c r="I63" i="474" s="1"/>
  <c r="H54" i="474"/>
  <c r="I54" i="474" s="1"/>
  <c r="J30" i="474"/>
  <c r="K30" i="474" s="1"/>
  <c r="J26" i="474"/>
  <c r="K26" i="474" s="1"/>
  <c r="J22" i="474"/>
  <c r="K22" i="474" s="1"/>
  <c r="J13" i="474"/>
  <c r="K13" i="474" s="1"/>
  <c r="J9" i="474"/>
  <c r="K9" i="474" s="1"/>
  <c r="L306" i="472"/>
  <c r="M306" i="472" s="1"/>
  <c r="J85" i="474"/>
  <c r="J90" i="474"/>
  <c r="J93" i="474"/>
  <c r="J99" i="474"/>
  <c r="J102" i="474"/>
  <c r="K102" i="474" s="1"/>
  <c r="J114" i="474"/>
  <c r="J121" i="474"/>
  <c r="J134" i="474"/>
  <c r="F15" i="474"/>
  <c r="F19" i="474"/>
  <c r="F22" i="474"/>
  <c r="J63" i="474"/>
  <c r="K63" i="474" s="1"/>
  <c r="H307" i="472"/>
  <c r="I307" i="472" s="1"/>
  <c r="J306" i="472"/>
  <c r="K306" i="472" s="1"/>
  <c r="J80" i="474"/>
  <c r="J83" i="474"/>
  <c r="J88" i="474"/>
  <c r="J100" i="474"/>
  <c r="J109" i="474"/>
  <c r="J112" i="474"/>
  <c r="J127" i="474"/>
  <c r="K127" i="474" s="1"/>
  <c r="J132" i="474"/>
  <c r="J135" i="474"/>
  <c r="K135" i="474" s="1"/>
  <c r="F9" i="474"/>
  <c r="F13" i="474"/>
  <c r="F16" i="474"/>
  <c r="F20" i="474"/>
  <c r="F25" i="474"/>
  <c r="F31" i="474"/>
  <c r="J65" i="474"/>
  <c r="K65" i="474" s="1"/>
  <c r="L307" i="472"/>
  <c r="M307" i="472" s="1"/>
  <c r="J86" i="474"/>
  <c r="J89" i="474"/>
  <c r="J94" i="474"/>
  <c r="J98" i="474"/>
  <c r="J105" i="474"/>
  <c r="J110" i="474"/>
  <c r="J119" i="474"/>
  <c r="K119" i="474" s="1"/>
  <c r="J130" i="474"/>
  <c r="J133" i="474"/>
  <c r="K133" i="474" s="1"/>
  <c r="F10" i="474"/>
  <c r="F14" i="474"/>
  <c r="F23" i="474"/>
  <c r="F26" i="474"/>
  <c r="F29" i="474"/>
  <c r="F32" i="474"/>
  <c r="J54" i="474"/>
  <c r="J62" i="474"/>
  <c r="K62" i="474" s="1"/>
  <c r="H306" i="472"/>
  <c r="I306" i="472" s="1"/>
  <c r="J307" i="472"/>
  <c r="K307" i="472" s="1"/>
  <c r="J79" i="474"/>
  <c r="J84" i="474"/>
  <c r="J87" i="474"/>
  <c r="J92" i="474"/>
  <c r="J96" i="474"/>
  <c r="J101" i="474"/>
  <c r="J108" i="474"/>
  <c r="K108" i="474" s="1"/>
  <c r="J113" i="474"/>
  <c r="K113" i="474" s="1"/>
  <c r="J128" i="474"/>
  <c r="J131" i="474"/>
  <c r="F12" i="474"/>
  <c r="F21" i="474"/>
  <c r="F24" i="474"/>
  <c r="F27" i="474"/>
  <c r="F30" i="474"/>
  <c r="O908" i="472" l="1"/>
  <c r="O862" i="472"/>
  <c r="O885" i="472"/>
  <c r="G29" i="467"/>
  <c r="M29" i="467" s="1"/>
  <c r="L29" i="467"/>
  <c r="O193" i="472"/>
  <c r="O123" i="472"/>
  <c r="L75" i="474"/>
  <c r="G75" i="474"/>
  <c r="M75" i="474" s="1"/>
  <c r="L52" i="474"/>
  <c r="G52" i="474"/>
  <c r="M52" i="474" s="1"/>
  <c r="L31" i="467"/>
  <c r="G31" i="467"/>
  <c r="M31" i="467" s="1"/>
  <c r="G30" i="467"/>
  <c r="M30" i="467" s="1"/>
  <c r="L30" i="467"/>
  <c r="O592" i="472"/>
  <c r="O595" i="472"/>
  <c r="O591" i="472"/>
  <c r="O593" i="472"/>
  <c r="M108" i="474"/>
  <c r="O574" i="472"/>
  <c r="M102" i="474"/>
  <c r="M113" i="474"/>
  <c r="O594" i="472"/>
  <c r="M119" i="474"/>
  <c r="M127" i="474"/>
  <c r="M133" i="474"/>
  <c r="O573" i="472"/>
  <c r="L113" i="474"/>
  <c r="M135" i="474"/>
  <c r="L127" i="474"/>
  <c r="L63" i="474"/>
  <c r="L119" i="474"/>
  <c r="L135" i="474"/>
  <c r="L133" i="474"/>
  <c r="M65" i="474"/>
  <c r="M63" i="474"/>
  <c r="M62" i="474"/>
  <c r="L108" i="474"/>
  <c r="G21" i="474"/>
  <c r="M21" i="474" s="1"/>
  <c r="L21" i="474"/>
  <c r="K87" i="474"/>
  <c r="M87" i="474" s="1"/>
  <c r="L87" i="474"/>
  <c r="G32" i="474"/>
  <c r="M32" i="474" s="1"/>
  <c r="L32" i="474"/>
  <c r="G14" i="474"/>
  <c r="M14" i="474" s="1"/>
  <c r="L14" i="474"/>
  <c r="K110" i="474"/>
  <c r="M110" i="474" s="1"/>
  <c r="L110" i="474"/>
  <c r="K89" i="474"/>
  <c r="M89" i="474" s="1"/>
  <c r="L89" i="474"/>
  <c r="G31" i="474"/>
  <c r="M31" i="474" s="1"/>
  <c r="L31" i="474"/>
  <c r="G13" i="474"/>
  <c r="M13" i="474" s="1"/>
  <c r="L13" i="474"/>
  <c r="K132" i="474"/>
  <c r="M132" i="474" s="1"/>
  <c r="L132" i="474"/>
  <c r="K100" i="474"/>
  <c r="M100" i="474" s="1"/>
  <c r="L100" i="474"/>
  <c r="K80" i="474"/>
  <c r="M80" i="474" s="1"/>
  <c r="L80" i="474"/>
  <c r="G19" i="474"/>
  <c r="M19" i="474" s="1"/>
  <c r="L19" i="474"/>
  <c r="K90" i="474"/>
  <c r="M90" i="474" s="1"/>
  <c r="L90" i="474"/>
  <c r="L62" i="474"/>
  <c r="L65" i="474"/>
  <c r="G30" i="474"/>
  <c r="M30" i="474" s="1"/>
  <c r="L30" i="474"/>
  <c r="K131" i="474"/>
  <c r="M131" i="474" s="1"/>
  <c r="L131" i="474"/>
  <c r="K101" i="474"/>
  <c r="M101" i="474" s="1"/>
  <c r="L101" i="474"/>
  <c r="K84" i="474"/>
  <c r="M84" i="474" s="1"/>
  <c r="L84" i="474"/>
  <c r="G29" i="474"/>
  <c r="M29" i="474" s="1"/>
  <c r="L29" i="474"/>
  <c r="G10" i="474"/>
  <c r="M10" i="474" s="1"/>
  <c r="L10" i="474"/>
  <c r="K130" i="474"/>
  <c r="M130" i="474" s="1"/>
  <c r="L130" i="474"/>
  <c r="K105" i="474"/>
  <c r="M105" i="474" s="1"/>
  <c r="L105" i="474"/>
  <c r="K86" i="474"/>
  <c r="M86" i="474" s="1"/>
  <c r="L86" i="474"/>
  <c r="G25" i="474"/>
  <c r="M25" i="474" s="1"/>
  <c r="L25" i="474"/>
  <c r="G9" i="474"/>
  <c r="M9" i="474" s="1"/>
  <c r="L9" i="474"/>
  <c r="G15" i="474"/>
  <c r="M15" i="474" s="1"/>
  <c r="L15" i="474"/>
  <c r="K85" i="474"/>
  <c r="M85" i="474" s="1"/>
  <c r="L85" i="474"/>
  <c r="G27" i="474"/>
  <c r="M27" i="474" s="1"/>
  <c r="L27" i="474"/>
  <c r="G12" i="474"/>
  <c r="M12" i="474" s="1"/>
  <c r="L12" i="474"/>
  <c r="K128" i="474"/>
  <c r="M128" i="474" s="1"/>
  <c r="L128" i="474"/>
  <c r="K96" i="474"/>
  <c r="M96" i="474" s="1"/>
  <c r="L96" i="474"/>
  <c r="K79" i="474"/>
  <c r="M79" i="474" s="1"/>
  <c r="L79" i="474"/>
  <c r="G26" i="474"/>
  <c r="M26" i="474" s="1"/>
  <c r="L26" i="474"/>
  <c r="K98" i="474"/>
  <c r="M98" i="474" s="1"/>
  <c r="L98" i="474"/>
  <c r="G20" i="474"/>
  <c r="M20" i="474" s="1"/>
  <c r="L20" i="474"/>
  <c r="K112" i="474"/>
  <c r="M112" i="474" s="1"/>
  <c r="L112" i="474"/>
  <c r="K88" i="474"/>
  <c r="M88" i="474" s="1"/>
  <c r="L88" i="474"/>
  <c r="O307" i="472"/>
  <c r="K121" i="474"/>
  <c r="M121" i="474" s="1"/>
  <c r="L121" i="474"/>
  <c r="K99" i="474"/>
  <c r="M99" i="474" s="1"/>
  <c r="L99" i="474"/>
  <c r="G24" i="474"/>
  <c r="M24" i="474" s="1"/>
  <c r="L24" i="474"/>
  <c r="K92" i="474"/>
  <c r="M92" i="474" s="1"/>
  <c r="L92" i="474"/>
  <c r="O306" i="472"/>
  <c r="K54" i="474"/>
  <c r="M54" i="474" s="1"/>
  <c r="L54" i="474"/>
  <c r="G23" i="474"/>
  <c r="M23" i="474" s="1"/>
  <c r="L23" i="474"/>
  <c r="K94" i="474"/>
  <c r="M94" i="474" s="1"/>
  <c r="L94" i="474"/>
  <c r="G16" i="474"/>
  <c r="M16" i="474" s="1"/>
  <c r="L16" i="474"/>
  <c r="K109" i="474"/>
  <c r="M109" i="474" s="1"/>
  <c r="L109" i="474"/>
  <c r="K83" i="474"/>
  <c r="M83" i="474" s="1"/>
  <c r="L83" i="474"/>
  <c r="G22" i="474"/>
  <c r="M22" i="474" s="1"/>
  <c r="L22" i="474"/>
  <c r="K134" i="474"/>
  <c r="M134" i="474" s="1"/>
  <c r="L134" i="474"/>
  <c r="K114" i="474"/>
  <c r="M114" i="474" s="1"/>
  <c r="L114" i="474"/>
  <c r="K93" i="474"/>
  <c r="M93" i="474" s="1"/>
  <c r="L93" i="474"/>
  <c r="H8" i="474" l="1"/>
  <c r="I8" i="474" s="1"/>
  <c r="H111" i="474" l="1"/>
  <c r="I111" i="474" s="1"/>
  <c r="H97" i="474" l="1"/>
  <c r="I97" i="474" s="1"/>
  <c r="H7" i="474" l="1"/>
  <c r="I7" i="474" s="1"/>
  <c r="F8" i="474" l="1"/>
  <c r="G8" i="474" s="1"/>
  <c r="H11" i="474"/>
  <c r="I11" i="474" s="1"/>
  <c r="J8" i="474" l="1"/>
  <c r="K8" i="474" s="1"/>
  <c r="M8" i="474" s="1"/>
  <c r="L8" i="474" l="1"/>
  <c r="F28" i="474"/>
  <c r="G28" i="474" s="1"/>
  <c r="J111" i="474" l="1"/>
  <c r="K111" i="474" s="1"/>
  <c r="J17" i="474"/>
  <c r="K17" i="474" s="1"/>
  <c r="J11" i="474"/>
  <c r="K11" i="474" s="1"/>
  <c r="J97" i="474"/>
  <c r="K97" i="474" s="1"/>
  <c r="F111" i="474" l="1"/>
  <c r="L111" i="474" s="1"/>
  <c r="F97" i="474"/>
  <c r="L97" i="474" s="1"/>
  <c r="F7" i="474"/>
  <c r="G111" i="474" l="1"/>
  <c r="M111" i="474" s="1"/>
  <c r="G97" i="474"/>
  <c r="M97" i="474" s="1"/>
  <c r="G7" i="474"/>
  <c r="J7" i="474" l="1"/>
  <c r="K7" i="474" s="1"/>
  <c r="M7" i="474" s="1"/>
  <c r="F11" i="474"/>
  <c r="F17" i="474"/>
  <c r="L7" i="474" l="1"/>
  <c r="G11" i="474"/>
  <c r="M11" i="474" s="1"/>
  <c r="L11" i="474"/>
  <c r="G17" i="474"/>
  <c r="J28" i="474" l="1"/>
  <c r="K28" i="474" s="1"/>
  <c r="H17" i="474" l="1"/>
  <c r="I17" i="474" s="1"/>
  <c r="M17" i="474" s="1"/>
  <c r="H28" i="474"/>
  <c r="I28" i="474" s="1"/>
  <c r="M28" i="474" s="1"/>
  <c r="L17" i="474" l="1"/>
  <c r="L28" i="474"/>
  <c r="H32" i="467" l="1"/>
  <c r="I32" i="467" s="1"/>
  <c r="F32" i="467" l="1"/>
  <c r="G32" i="467" s="1"/>
  <c r="J32" i="467" l="1"/>
  <c r="K32" i="467" s="1"/>
  <c r="M32" i="467" s="1"/>
  <c r="F104" i="474"/>
  <c r="G104" i="474" s="1"/>
  <c r="H104" i="474"/>
  <c r="I104" i="474" s="1"/>
  <c r="L32" i="467" l="1"/>
  <c r="F66" i="474"/>
  <c r="F120" i="474"/>
  <c r="G66" i="474" l="1"/>
  <c r="H66" i="474"/>
  <c r="I66" i="474" s="1"/>
  <c r="H120" i="474"/>
  <c r="I120" i="474" s="1"/>
  <c r="G120" i="474"/>
  <c r="J120" i="474" l="1"/>
  <c r="K120" i="474" s="1"/>
  <c r="M120" i="474" s="1"/>
  <c r="J66" i="474"/>
  <c r="K66" i="474" s="1"/>
  <c r="M66" i="474" s="1"/>
  <c r="L66" i="474" l="1"/>
  <c r="L120" i="474"/>
  <c r="F129" i="474" l="1"/>
  <c r="J104" i="474"/>
  <c r="K104" i="474" s="1"/>
  <c r="M104" i="474" s="1"/>
  <c r="J129" i="474" l="1"/>
  <c r="K129" i="474" s="1"/>
  <c r="G129" i="474"/>
  <c r="L104" i="474"/>
  <c r="H129" i="474" l="1"/>
  <c r="I129" i="474" l="1"/>
  <c r="M129" i="474" s="1"/>
  <c r="L129" i="474"/>
  <c r="I90" i="472" l="1"/>
  <c r="I67" i="472"/>
  <c r="F78" i="474" l="1"/>
  <c r="H78" i="474" l="1"/>
  <c r="I78" i="474" s="1"/>
  <c r="G78" i="474"/>
  <c r="J78" i="474" l="1"/>
  <c r="K78" i="474" l="1"/>
  <c r="M78" i="474" s="1"/>
  <c r="L78" i="474"/>
  <c r="F103" i="474" l="1"/>
  <c r="G103" i="474" s="1"/>
  <c r="J103" i="474" l="1"/>
  <c r="K103" i="474" s="1"/>
  <c r="H103" i="474" l="1"/>
  <c r="I103" i="474" l="1"/>
  <c r="L103" i="474"/>
  <c r="M103" i="474" l="1"/>
  <c r="H81" i="474" l="1"/>
  <c r="I81" i="474" s="1"/>
  <c r="F81" i="474" l="1"/>
  <c r="G81" i="474" l="1"/>
  <c r="J81" i="474"/>
  <c r="K81" i="474" s="1"/>
  <c r="M81" i="474" l="1"/>
  <c r="L81" i="474"/>
  <c r="H125" i="474" l="1"/>
  <c r="I125" i="474" s="1"/>
  <c r="J125" i="474" l="1"/>
  <c r="K125" i="474" s="1"/>
  <c r="F125" i="474"/>
  <c r="G125" i="474" l="1"/>
  <c r="M125" i="474" s="1"/>
  <c r="L125" i="474"/>
  <c r="H53" i="474" l="1"/>
  <c r="I53" i="474" s="1"/>
  <c r="H77" i="474"/>
  <c r="I77" i="474" s="1"/>
  <c r="J53" i="474" l="1"/>
  <c r="K53" i="474" s="1"/>
  <c r="J77" i="474"/>
  <c r="K77" i="474" s="1"/>
  <c r="F53" i="474"/>
  <c r="F77" i="474"/>
  <c r="L77" i="474" l="1"/>
  <c r="G77" i="474"/>
  <c r="M77" i="474" s="1"/>
  <c r="L53" i="474"/>
  <c r="G53" i="474"/>
  <c r="M53" i="474" l="1"/>
  <c r="G73" i="474"/>
  <c r="M73" i="474" s="1"/>
  <c r="H82" i="474"/>
  <c r="I82" i="474" s="1"/>
  <c r="F82" i="474" l="1"/>
  <c r="G82" i="474" l="1"/>
  <c r="J82" i="474" l="1"/>
  <c r="K82" i="474" l="1"/>
  <c r="M82" i="474" s="1"/>
  <c r="L82" i="474"/>
  <c r="H91" i="474" l="1"/>
  <c r="I91" i="474" s="1"/>
  <c r="F91" i="474" l="1"/>
  <c r="G91" i="474" l="1"/>
  <c r="J91" i="474" l="1"/>
  <c r="K91" i="474" l="1"/>
  <c r="M91" i="474" s="1"/>
  <c r="L91" i="474"/>
  <c r="F76" i="474" l="1"/>
  <c r="G76" i="474" l="1"/>
  <c r="G142" i="474" l="1"/>
  <c r="M142" i="474" s="1"/>
  <c r="H76" i="474"/>
  <c r="I76" i="474" l="1"/>
  <c r="J76" i="474" l="1"/>
  <c r="K76" i="474" l="1"/>
  <c r="M76" i="474" s="1"/>
  <c r="L76" i="474"/>
  <c r="H59" i="474" l="1"/>
  <c r="I59" i="474" s="1"/>
  <c r="J59" i="474" l="1"/>
  <c r="K59" i="474" l="1"/>
  <c r="F59" i="474"/>
  <c r="G59" i="474" s="1"/>
  <c r="M59" i="474" l="1"/>
  <c r="L59" i="474"/>
  <c r="J61" i="474" l="1"/>
  <c r="J122" i="474"/>
  <c r="K122" i="474" s="1"/>
  <c r="H18" i="474"/>
  <c r="I18" i="474" s="1"/>
  <c r="I50" i="474" s="1"/>
  <c r="H122" i="474"/>
  <c r="I122" i="474" s="1"/>
  <c r="H61" i="474"/>
  <c r="I61" i="474" s="1"/>
  <c r="K61" i="474" l="1"/>
  <c r="F18" i="474" l="1"/>
  <c r="F61" i="474"/>
  <c r="F122" i="474"/>
  <c r="H37" i="467" l="1"/>
  <c r="I37" i="467" s="1"/>
  <c r="J18" i="474"/>
  <c r="K18" i="474" s="1"/>
  <c r="K50" i="474" s="1"/>
  <c r="L122" i="474"/>
  <c r="G122" i="474"/>
  <c r="M122" i="474" s="1"/>
  <c r="G61" i="474"/>
  <c r="M61" i="474" s="1"/>
  <c r="L61" i="474"/>
  <c r="G18" i="474"/>
  <c r="L18" i="474" l="1"/>
  <c r="G50" i="474"/>
  <c r="M50" i="474" s="1"/>
  <c r="M18" i="474"/>
  <c r="J22" i="472" l="1"/>
  <c r="K22" i="472" s="1"/>
  <c r="K23" i="472" s="1"/>
  <c r="J35" i="472"/>
  <c r="K35" i="472" s="1"/>
  <c r="K36" i="472" s="1"/>
  <c r="J12" i="472"/>
  <c r="K12" i="472" s="1"/>
  <c r="K13" i="472" s="1"/>
  <c r="J45" i="472"/>
  <c r="K45" i="472" s="1"/>
  <c r="K46" i="472" s="1"/>
  <c r="H45" i="472" l="1"/>
  <c r="I45" i="472" s="1"/>
  <c r="H22" i="472"/>
  <c r="I22" i="472" s="1"/>
  <c r="H12" i="472"/>
  <c r="I12" i="472" s="1"/>
  <c r="H35" i="472"/>
  <c r="I35" i="472" s="1"/>
  <c r="I36" i="472" l="1"/>
  <c r="I13" i="472"/>
  <c r="I23" i="472"/>
  <c r="J66" i="472"/>
  <c r="K66" i="472" s="1"/>
  <c r="J89" i="472"/>
  <c r="K89" i="472" s="1"/>
  <c r="I46" i="472"/>
  <c r="L35" i="472" l="1"/>
  <c r="M35" i="472" s="1"/>
  <c r="L22" i="472"/>
  <c r="M22" i="472" s="1"/>
  <c r="L45" i="472"/>
  <c r="M45" i="472" s="1"/>
  <c r="L12" i="472"/>
  <c r="M12" i="472" s="1"/>
  <c r="M13" i="472" l="1"/>
  <c r="O13" i="472" s="1"/>
  <c r="O12" i="472"/>
  <c r="M46" i="472"/>
  <c r="O46" i="472" s="1"/>
  <c r="O45" i="472"/>
  <c r="M23" i="472"/>
  <c r="O23" i="472" s="1"/>
  <c r="O22" i="472"/>
  <c r="M36" i="472"/>
  <c r="O36" i="472" s="1"/>
  <c r="O35" i="472"/>
  <c r="H89" i="472" l="1"/>
  <c r="I89" i="472" s="1"/>
  <c r="H66" i="472"/>
  <c r="I66" i="472" s="1"/>
  <c r="L66" i="472" l="1"/>
  <c r="M66" i="472" s="1"/>
  <c r="O66" i="472" s="1"/>
  <c r="L89" i="472"/>
  <c r="M89" i="472" s="1"/>
  <c r="O89" i="472" s="1"/>
  <c r="J37" i="467" l="1"/>
  <c r="K37" i="467" s="1"/>
  <c r="M37" i="467" s="1"/>
  <c r="F36" i="467" l="1"/>
  <c r="G36" i="467" l="1"/>
  <c r="H36" i="467" l="1"/>
  <c r="H35" i="467"/>
  <c r="I35" i="467" s="1"/>
  <c r="H9" i="467"/>
  <c r="I9" i="467" s="1"/>
  <c r="I36" i="467" l="1"/>
  <c r="J881" i="472" l="1"/>
  <c r="K881" i="472" s="1"/>
  <c r="J858" i="472"/>
  <c r="K858" i="472" s="1"/>
  <c r="J189" i="472"/>
  <c r="K189" i="472" s="1"/>
  <c r="J904" i="472"/>
  <c r="K904" i="472" s="1"/>
  <c r="J36" i="467" l="1"/>
  <c r="J35" i="467"/>
  <c r="K35" i="467" s="1"/>
  <c r="J9" i="467"/>
  <c r="K9" i="467" s="1"/>
  <c r="K36" i="467" l="1"/>
  <c r="M36" i="467" s="1"/>
  <c r="L36" i="467"/>
  <c r="F60" i="474" l="1"/>
  <c r="G60" i="474" s="1"/>
  <c r="F9" i="467" l="1"/>
  <c r="G9" i="467" s="1"/>
  <c r="F35" i="467"/>
  <c r="L9" i="467" l="1"/>
  <c r="L35" i="467"/>
  <c r="G35" i="467"/>
  <c r="M35" i="467" s="1"/>
  <c r="M9" i="467"/>
  <c r="J190" i="472" l="1"/>
  <c r="K190" i="472" s="1"/>
  <c r="J118" i="472"/>
  <c r="K118" i="472" s="1"/>
  <c r="J905" i="472"/>
  <c r="K905" i="472" s="1"/>
  <c r="J433" i="472"/>
  <c r="K433" i="472" s="1"/>
  <c r="J882" i="472"/>
  <c r="K882" i="472" s="1"/>
  <c r="J596" i="472"/>
  <c r="K596" i="472" s="1"/>
  <c r="K597" i="472" s="1"/>
  <c r="J859" i="472"/>
  <c r="K859" i="472" s="1"/>
  <c r="J60" i="474"/>
  <c r="K60" i="474" s="1"/>
  <c r="H60" i="474"/>
  <c r="I60" i="474" s="1"/>
  <c r="L60" i="474" l="1"/>
  <c r="M60" i="474"/>
  <c r="J860" i="472" l="1"/>
  <c r="K860" i="472" s="1"/>
  <c r="J191" i="472"/>
  <c r="K191" i="472" s="1"/>
  <c r="J883" i="472"/>
  <c r="K883" i="472" s="1"/>
  <c r="J906" i="472"/>
  <c r="K906" i="472" s="1"/>
  <c r="J86" i="472"/>
  <c r="K86" i="472" s="1"/>
  <c r="J310" i="472"/>
  <c r="K310" i="472" s="1"/>
  <c r="J63" i="472"/>
  <c r="K63" i="472" s="1"/>
  <c r="J880" i="472" l="1"/>
  <c r="K880" i="472" s="1"/>
  <c r="J309" i="472"/>
  <c r="K309" i="472" s="1"/>
  <c r="J57" i="472"/>
  <c r="K57" i="472" s="1"/>
  <c r="J80" i="472"/>
  <c r="K80" i="472" s="1"/>
  <c r="J903" i="472"/>
  <c r="K903" i="472" s="1"/>
  <c r="J432" i="472"/>
  <c r="K432" i="472" s="1"/>
  <c r="J857" i="472"/>
  <c r="K857" i="472" s="1"/>
  <c r="J117" i="472"/>
  <c r="K117" i="472" s="1"/>
  <c r="J188" i="472"/>
  <c r="K188" i="472" s="1"/>
  <c r="J902" i="472" l="1"/>
  <c r="K902" i="472" s="1"/>
  <c r="K911" i="472" s="1"/>
  <c r="J856" i="472"/>
  <c r="K856" i="472" s="1"/>
  <c r="K865" i="472" s="1"/>
  <c r="J431" i="472"/>
  <c r="K431" i="472" s="1"/>
  <c r="K438" i="472" s="1"/>
  <c r="J78" i="472"/>
  <c r="K78" i="472" s="1"/>
  <c r="K90" i="472" s="1"/>
  <c r="J308" i="472"/>
  <c r="K308" i="472" s="1"/>
  <c r="K313" i="472" s="1"/>
  <c r="H312" i="472" s="1"/>
  <c r="I312" i="472" s="1"/>
  <c r="O312" i="472" s="1"/>
  <c r="J879" i="472"/>
  <c r="K879" i="472" s="1"/>
  <c r="K888" i="472" s="1"/>
  <c r="J55" i="472"/>
  <c r="K55" i="472" s="1"/>
  <c r="K67" i="472" s="1"/>
  <c r="J187" i="472"/>
  <c r="K187" i="472" s="1"/>
  <c r="K196" i="472" s="1"/>
  <c r="J116" i="472"/>
  <c r="K116" i="472" s="1"/>
  <c r="K126" i="472" s="1"/>
  <c r="H124" i="474" l="1"/>
  <c r="I124" i="474" s="1"/>
  <c r="H43" i="467"/>
  <c r="I43" i="467" s="1"/>
  <c r="H39" i="467"/>
  <c r="I39" i="467" s="1"/>
  <c r="H40" i="467"/>
  <c r="I40" i="467" s="1"/>
  <c r="H41" i="467"/>
  <c r="I41" i="467" s="1"/>
  <c r="H38" i="467"/>
  <c r="I38" i="467" s="1"/>
  <c r="H42" i="467"/>
  <c r="I42" i="467" s="1"/>
  <c r="H118" i="474"/>
  <c r="I118" i="474" s="1"/>
  <c r="J575" i="472"/>
  <c r="K575" i="472" s="1"/>
  <c r="K579" i="472" s="1"/>
  <c r="J560" i="472"/>
  <c r="K560" i="472" s="1"/>
  <c r="K564" i="472" s="1"/>
  <c r="H64" i="474"/>
  <c r="I64" i="474" s="1"/>
  <c r="I73" i="474" s="1"/>
  <c r="I142" i="474" l="1"/>
  <c r="H33" i="467"/>
  <c r="I33" i="467" s="1"/>
  <c r="H8" i="467"/>
  <c r="I8" i="467" s="1"/>
  <c r="H7" i="467"/>
  <c r="I7" i="467" s="1"/>
  <c r="I27" i="467" l="1"/>
  <c r="I6" i="168" s="1"/>
  <c r="H34" i="467"/>
  <c r="I34" i="467" s="1"/>
  <c r="I50" i="467" s="1"/>
  <c r="I7" i="168" s="1"/>
  <c r="I5" i="168" l="1"/>
  <c r="D7" i="14" s="1"/>
  <c r="D12" i="14" s="1"/>
  <c r="I6" i="433" l="1"/>
  <c r="I27" i="433" s="1"/>
  <c r="D11" i="14"/>
  <c r="D13" i="14" s="1"/>
  <c r="D8" i="14"/>
  <c r="D9" i="14" s="1"/>
  <c r="D15" i="14" s="1"/>
  <c r="D14" i="14" l="1"/>
  <c r="L86" i="472"/>
  <c r="L63" i="472"/>
  <c r="L310" i="472"/>
  <c r="L906" i="472"/>
  <c r="M906" i="472" s="1"/>
  <c r="L191" i="472"/>
  <c r="M191" i="472" s="1"/>
  <c r="L883" i="472"/>
  <c r="M883" i="472" s="1"/>
  <c r="L860" i="472"/>
  <c r="M860" i="472" s="1"/>
  <c r="L881" i="472"/>
  <c r="M881" i="472" s="1"/>
  <c r="L858" i="472"/>
  <c r="M858" i="472" s="1"/>
  <c r="L904" i="472"/>
  <c r="M904" i="472" s="1"/>
  <c r="L189" i="472"/>
  <c r="M189" i="472" s="1"/>
  <c r="L433" i="472"/>
  <c r="M433" i="472" s="1"/>
  <c r="L859" i="472"/>
  <c r="M859" i="472" s="1"/>
  <c r="L118" i="472"/>
  <c r="M118" i="472" s="1"/>
  <c r="L190" i="472"/>
  <c r="M190" i="472" s="1"/>
  <c r="L596" i="472"/>
  <c r="M596" i="472" s="1"/>
  <c r="M597" i="472" s="1"/>
  <c r="L905" i="472"/>
  <c r="M905" i="472" s="1"/>
  <c r="L882" i="472"/>
  <c r="M882" i="472" s="1"/>
  <c r="L57" i="472" l="1"/>
  <c r="M57" i="472" s="1"/>
  <c r="L309" i="472"/>
  <c r="M309" i="472" s="1"/>
  <c r="L117" i="472"/>
  <c r="M117" i="472" s="1"/>
  <c r="L857" i="472"/>
  <c r="M857" i="472" s="1"/>
  <c r="L880" i="472"/>
  <c r="M880" i="472" s="1"/>
  <c r="L432" i="472"/>
  <c r="M432" i="472" s="1"/>
  <c r="L80" i="472"/>
  <c r="M80" i="472" s="1"/>
  <c r="L903" i="472"/>
  <c r="M903" i="472" s="1"/>
  <c r="L188" i="472"/>
  <c r="M188" i="472" s="1"/>
  <c r="L55" i="472" l="1"/>
  <c r="M55" i="472" s="1"/>
  <c r="M67" i="472" s="1"/>
  <c r="O67" i="472" s="1"/>
  <c r="L78" i="472"/>
  <c r="M78" i="472" s="1"/>
  <c r="M90" i="472" s="1"/>
  <c r="O90" i="472" s="1"/>
  <c r="L187" i="472"/>
  <c r="M187" i="472" s="1"/>
  <c r="M196" i="472" s="1"/>
  <c r="L902" i="472"/>
  <c r="M902" i="472" s="1"/>
  <c r="M911" i="472" s="1"/>
  <c r="L431" i="472"/>
  <c r="M431" i="472" s="1"/>
  <c r="M438" i="472" s="1"/>
  <c r="L308" i="472"/>
  <c r="M308" i="472" s="1"/>
  <c r="M313" i="472" s="1"/>
  <c r="L879" i="472"/>
  <c r="M879" i="472" s="1"/>
  <c r="M888" i="472" s="1"/>
  <c r="L856" i="472"/>
  <c r="M856" i="472" s="1"/>
  <c r="M865" i="472" s="1"/>
  <c r="L116" i="472"/>
  <c r="M116" i="472" s="1"/>
  <c r="M126" i="472" s="1"/>
  <c r="O126" i="472" s="1"/>
  <c r="J43" i="467" l="1"/>
  <c r="K43" i="467" s="1"/>
  <c r="J40" i="467"/>
  <c r="K40" i="467" s="1"/>
  <c r="J124" i="474" l="1"/>
  <c r="K124" i="474" s="1"/>
  <c r="J38" i="467"/>
  <c r="K38" i="467" s="1"/>
  <c r="J39" i="467"/>
  <c r="K39" i="467" s="1"/>
  <c r="J42" i="467"/>
  <c r="K42" i="467" s="1"/>
  <c r="L575" i="472"/>
  <c r="M575" i="472" s="1"/>
  <c r="M579" i="472" s="1"/>
  <c r="J118" i="474"/>
  <c r="K118" i="474" s="1"/>
  <c r="L560" i="472"/>
  <c r="M560" i="472" s="1"/>
  <c r="M564" i="472" s="1"/>
  <c r="J64" i="474"/>
  <c r="K64" i="474" s="1"/>
  <c r="K73" i="474" s="1"/>
  <c r="J41" i="467"/>
  <c r="K41" i="467" s="1"/>
  <c r="K142" i="474" l="1"/>
  <c r="J33" i="467"/>
  <c r="K33" i="467" s="1"/>
  <c r="J8" i="467"/>
  <c r="K8" i="467" s="1"/>
  <c r="J7" i="467"/>
  <c r="K7" i="467" s="1"/>
  <c r="K27" i="467" l="1"/>
  <c r="K6" i="168" s="1"/>
  <c r="J34" i="467"/>
  <c r="K34" i="467" s="1"/>
  <c r="K50" i="467" s="1"/>
  <c r="K7" i="168" s="1"/>
  <c r="K5" i="168" s="1"/>
  <c r="D10" i="14" l="1"/>
  <c r="K6" i="433"/>
  <c r="K27" i="433" s="1"/>
  <c r="H310" i="472" l="1"/>
  <c r="I310" i="472" s="1"/>
  <c r="O310" i="472" s="1"/>
  <c r="H63" i="472"/>
  <c r="I63" i="472" s="1"/>
  <c r="O63" i="472" s="1"/>
  <c r="H86" i="472"/>
  <c r="I86" i="472" s="1"/>
  <c r="O86" i="472" s="1"/>
  <c r="H906" i="472"/>
  <c r="I906" i="472" s="1"/>
  <c r="O906" i="472" s="1"/>
  <c r="H860" i="472"/>
  <c r="I860" i="472" s="1"/>
  <c r="O860" i="472" s="1"/>
  <c r="H191" i="472"/>
  <c r="I191" i="472" s="1"/>
  <c r="O191" i="472" s="1"/>
  <c r="H883" i="472"/>
  <c r="I883" i="472" s="1"/>
  <c r="O883" i="472" s="1"/>
  <c r="H903" i="472"/>
  <c r="I903" i="472" s="1"/>
  <c r="O903" i="472" s="1"/>
  <c r="H857" i="472"/>
  <c r="I857" i="472" s="1"/>
  <c r="O857" i="472" s="1"/>
  <c r="H188" i="472"/>
  <c r="I188" i="472" s="1"/>
  <c r="O188" i="472" s="1"/>
  <c r="H57" i="472"/>
  <c r="I57" i="472" s="1"/>
  <c r="O57" i="472" s="1"/>
  <c r="H309" i="472"/>
  <c r="I309" i="472" s="1"/>
  <c r="O309" i="472" s="1"/>
  <c r="H80" i="472"/>
  <c r="I80" i="472" s="1"/>
  <c r="O80" i="472" s="1"/>
  <c r="H880" i="472"/>
  <c r="I880" i="472" s="1"/>
  <c r="O880" i="472" s="1"/>
  <c r="H117" i="472"/>
  <c r="I117" i="472" s="1"/>
  <c r="O117" i="472" s="1"/>
  <c r="H432" i="472"/>
  <c r="I432" i="472" s="1"/>
  <c r="O432" i="472" s="1"/>
  <c r="H858" i="472"/>
  <c r="I858" i="472" s="1"/>
  <c r="O858" i="472" s="1"/>
  <c r="H881" i="472"/>
  <c r="I881" i="472" s="1"/>
  <c r="O881" i="472" s="1"/>
  <c r="H904" i="472"/>
  <c r="I904" i="472" s="1"/>
  <c r="O904" i="472" s="1"/>
  <c r="H189" i="472"/>
  <c r="I189" i="472" s="1"/>
  <c r="O189" i="472" s="1"/>
  <c r="H190" i="472"/>
  <c r="I190" i="472" s="1"/>
  <c r="O190" i="472" s="1"/>
  <c r="H882" i="472"/>
  <c r="I882" i="472" s="1"/>
  <c r="O882" i="472" s="1"/>
  <c r="H596" i="472"/>
  <c r="I596" i="472" s="1"/>
  <c r="H433" i="472"/>
  <c r="I433" i="472" s="1"/>
  <c r="O433" i="472" s="1"/>
  <c r="H859" i="472"/>
  <c r="I859" i="472" s="1"/>
  <c r="O859" i="472" s="1"/>
  <c r="H118" i="472"/>
  <c r="I118" i="472" s="1"/>
  <c r="O118" i="472" s="1"/>
  <c r="H905" i="472"/>
  <c r="I905" i="472" s="1"/>
  <c r="O905" i="472" s="1"/>
  <c r="I597" i="472" l="1"/>
  <c r="O597" i="472" s="1"/>
  <c r="O596" i="472"/>
  <c r="H879" i="472" l="1"/>
  <c r="I879" i="472" s="1"/>
  <c r="H308" i="472"/>
  <c r="I308" i="472" s="1"/>
  <c r="H187" i="472"/>
  <c r="I187" i="472" s="1"/>
  <c r="H78" i="472"/>
  <c r="I78" i="472" s="1"/>
  <c r="O78" i="472" s="1"/>
  <c r="H856" i="472"/>
  <c r="I856" i="472" s="1"/>
  <c r="H55" i="472"/>
  <c r="I55" i="472" s="1"/>
  <c r="O55" i="472" s="1"/>
  <c r="H902" i="472"/>
  <c r="I902" i="472" s="1"/>
  <c r="H431" i="472"/>
  <c r="I431" i="472" s="1"/>
  <c r="H116" i="472"/>
  <c r="I116" i="472" s="1"/>
  <c r="O116" i="472" s="1"/>
  <c r="O902" i="472" l="1"/>
  <c r="I911" i="472"/>
  <c r="O911" i="472" s="1"/>
  <c r="O187" i="472"/>
  <c r="I196" i="472"/>
  <c r="O196" i="472" s="1"/>
  <c r="O308" i="472"/>
  <c r="I313" i="472"/>
  <c r="O313" i="472" s="1"/>
  <c r="I438" i="472"/>
  <c r="O438" i="472" s="1"/>
  <c r="O431" i="472"/>
  <c r="O856" i="472"/>
  <c r="I865" i="472"/>
  <c r="O865" i="472" s="1"/>
  <c r="O879" i="472"/>
  <c r="I888" i="472"/>
  <c r="O888" i="472" s="1"/>
  <c r="F43" i="467" l="1"/>
  <c r="F124" i="474"/>
  <c r="F39" i="467"/>
  <c r="L39" i="467" s="1"/>
  <c r="F40" i="467"/>
  <c r="F41" i="467"/>
  <c r="G41" i="467" s="1"/>
  <c r="M41" i="467" s="1"/>
  <c r="F38" i="467"/>
  <c r="F118" i="474"/>
  <c r="H575" i="472"/>
  <c r="I575" i="472" s="1"/>
  <c r="F64" i="474"/>
  <c r="H560" i="472"/>
  <c r="I560" i="472" s="1"/>
  <c r="F42" i="467"/>
  <c r="G39" i="467" l="1"/>
  <c r="M39" i="467" s="1"/>
  <c r="G124" i="474"/>
  <c r="M124" i="474" s="1"/>
  <c r="L124" i="474"/>
  <c r="G43" i="467"/>
  <c r="M43" i="467" s="1"/>
  <c r="L43" i="467"/>
  <c r="G40" i="467"/>
  <c r="M40" i="467" s="1"/>
  <c r="L40" i="467"/>
  <c r="L41" i="467"/>
  <c r="G38" i="467"/>
  <c r="M38" i="467" s="1"/>
  <c r="L38" i="467"/>
  <c r="I564" i="472"/>
  <c r="O564" i="472" s="1"/>
  <c r="O560" i="472"/>
  <c r="G64" i="474"/>
  <c r="M64" i="474" s="1"/>
  <c r="L64" i="474"/>
  <c r="I579" i="472"/>
  <c r="O579" i="472" s="1"/>
  <c r="O575" i="472"/>
  <c r="L42" i="467"/>
  <c r="G42" i="467"/>
  <c r="L118" i="474"/>
  <c r="G118" i="474"/>
  <c r="M118" i="474" s="1"/>
  <c r="F8" i="467" l="1"/>
  <c r="L8" i="467" s="1"/>
  <c r="M42" i="467"/>
  <c r="F34" i="467" l="1"/>
  <c r="G34" i="467" s="1"/>
  <c r="M34" i="467" s="1"/>
  <c r="G8" i="467"/>
  <c r="M8" i="467" s="1"/>
  <c r="F33" i="467"/>
  <c r="G33" i="467" s="1"/>
  <c r="F7" i="467"/>
  <c r="L34" i="467" l="1"/>
  <c r="L33" i="467"/>
  <c r="L7" i="467"/>
  <c r="G7" i="467"/>
  <c r="M33" i="467"/>
  <c r="G50" i="467"/>
  <c r="M7" i="467" l="1"/>
  <c r="G27" i="467"/>
  <c r="G7" i="168"/>
  <c r="M50" i="467"/>
  <c r="G6" i="168" l="1"/>
  <c r="M6" i="168" s="1"/>
  <c r="M27" i="467"/>
  <c r="M7" i="168"/>
  <c r="G5" i="168" l="1"/>
  <c r="M5" i="168" s="1"/>
  <c r="G6" i="433" l="1"/>
  <c r="G27" i="433" s="1"/>
  <c r="M27" i="433" s="1"/>
  <c r="D4" i="14"/>
  <c r="D6" i="14" s="1"/>
  <c r="J16" i="14" s="1"/>
  <c r="F16" i="14" s="1"/>
  <c r="M6" i="433" l="1"/>
  <c r="J17" i="14"/>
  <c r="F17" i="14" s="1"/>
  <c r="D16" i="14" s="1"/>
  <c r="D19" i="14"/>
  <c r="D20" i="14" l="1"/>
  <c r="D21" i="14" s="1"/>
  <c r="D22" i="14" s="1"/>
  <c r="D23" i="14" s="1"/>
  <c r="D24" i="14" s="1"/>
  <c r="D25" i="14" s="1"/>
  <c r="D26" i="14" s="1"/>
  <c r="D29" i="14" l="1"/>
  <c r="M24" i="485" s="1"/>
  <c r="I22" i="485"/>
  <c r="I20" i="485" l="1"/>
  <c r="M20" i="485" s="1"/>
  <c r="M22" i="485"/>
</calcChain>
</file>

<file path=xl/sharedStrings.xml><?xml version="1.0" encoding="utf-8"?>
<sst xmlns="http://schemas.openxmlformats.org/spreadsheetml/2006/main" count="10944" uniqueCount="1876">
  <si>
    <t>6. 칼블럭</t>
    <phoneticPr fontId="54" type="noConversion"/>
  </si>
  <si>
    <t>EA</t>
    <phoneticPr fontId="7" type="noConversion"/>
  </si>
  <si>
    <t>6. 앵커볼트</t>
    <phoneticPr fontId="54" type="noConversion"/>
  </si>
  <si>
    <t>Φ25x500L</t>
    <phoneticPr fontId="7" type="noConversion"/>
  </si>
  <si>
    <t>6. 앵커볼트</t>
    <phoneticPr fontId="54" type="noConversion"/>
  </si>
  <si>
    <t>Φ13x200L</t>
    <phoneticPr fontId="7" type="noConversion"/>
  </si>
  <si>
    <t>6. 세트앵커</t>
    <phoneticPr fontId="54" type="noConversion"/>
  </si>
  <si>
    <t>기초산출#10</t>
    <phoneticPr fontId="54" type="noConversion"/>
  </si>
  <si>
    <t>기초산출#11</t>
    <phoneticPr fontId="54" type="noConversion"/>
  </si>
  <si>
    <t>기초산출#12</t>
    <phoneticPr fontId="54" type="noConversion"/>
  </si>
  <si>
    <t>4. 모래</t>
    <phoneticPr fontId="54" type="noConversion"/>
  </si>
  <si>
    <t>지중등</t>
    <phoneticPr fontId="7" type="noConversion"/>
  </si>
  <si>
    <t>모래</t>
    <phoneticPr fontId="7" type="noConversion"/>
  </si>
  <si>
    <t>자갈</t>
    <phoneticPr fontId="7" type="noConversion"/>
  </si>
  <si>
    <t>-</t>
    <phoneticPr fontId="7" type="noConversion"/>
  </si>
  <si>
    <t>번호</t>
    <phoneticPr fontId="7" type="noConversion"/>
  </si>
  <si>
    <t>품    명</t>
    <phoneticPr fontId="7" type="noConversion"/>
  </si>
  <si>
    <t>규    격</t>
    <phoneticPr fontId="7" type="noConversion"/>
  </si>
  <si>
    <t>단위</t>
    <phoneticPr fontId="7" type="noConversion"/>
  </si>
  <si>
    <t>수량</t>
    <phoneticPr fontId="7" type="noConversion"/>
  </si>
  <si>
    <t>재 료 비</t>
    <phoneticPr fontId="7" type="noConversion"/>
  </si>
  <si>
    <t>노 무 비</t>
    <phoneticPr fontId="7" type="noConversion"/>
  </si>
  <si>
    <t>경   비</t>
    <phoneticPr fontId="7" type="noConversion"/>
  </si>
  <si>
    <t>합   계</t>
    <phoneticPr fontId="7" type="noConversion"/>
  </si>
  <si>
    <t>비고</t>
    <phoneticPr fontId="7" type="noConversion"/>
  </si>
  <si>
    <t>단가</t>
    <phoneticPr fontId="7" type="noConversion"/>
  </si>
  <si>
    <t>금액</t>
    <phoneticPr fontId="7" type="noConversion"/>
  </si>
  <si>
    <t>전선관부속품비</t>
    <phoneticPr fontId="7" type="noConversion"/>
  </si>
  <si>
    <t>전선관의 15%</t>
    <phoneticPr fontId="7" type="noConversion"/>
  </si>
  <si>
    <t>식</t>
    <phoneticPr fontId="7" type="noConversion"/>
  </si>
  <si>
    <t>전5-2</t>
    <phoneticPr fontId="7" type="noConversion"/>
  </si>
  <si>
    <t>잡재료비</t>
    <phoneticPr fontId="7" type="noConversion"/>
  </si>
  <si>
    <t>전1-24</t>
    <phoneticPr fontId="7" type="noConversion"/>
  </si>
  <si>
    <t>갈대 LED BASE 기초</t>
    <phoneticPr fontId="9" type="noConversion"/>
  </si>
  <si>
    <t>1000*300*200</t>
    <phoneticPr fontId="7" type="noConversion"/>
  </si>
  <si>
    <t>6. 세트앵커</t>
    <phoneticPr fontId="54" type="noConversion"/>
  </si>
  <si>
    <t>Φ9x70L</t>
    <phoneticPr fontId="7" type="noConversion"/>
  </si>
  <si>
    <t>V1 = a*b*h</t>
    <phoneticPr fontId="54" type="noConversion"/>
  </si>
  <si>
    <t>b =</t>
    <phoneticPr fontId="7" type="noConversion"/>
  </si>
  <si>
    <t>기초산출#6</t>
    <phoneticPr fontId="54" type="noConversion"/>
  </si>
  <si>
    <t>내선전공</t>
    <phoneticPr fontId="7" type="noConversion"/>
  </si>
  <si>
    <t>노무비의 3%</t>
    <phoneticPr fontId="7" type="noConversion"/>
  </si>
  <si>
    <t>전1-22</t>
    <phoneticPr fontId="7" type="noConversion"/>
  </si>
  <si>
    <t>저압케이블전공</t>
    <phoneticPr fontId="7" type="noConversion"/>
  </si>
  <si>
    <t>전4-34</t>
    <phoneticPr fontId="7" type="noConversion"/>
  </si>
  <si>
    <t>보통인부</t>
    <phoneticPr fontId="7" type="noConversion"/>
  </si>
  <si>
    <t>전3-38</t>
    <phoneticPr fontId="7" type="noConversion"/>
  </si>
  <si>
    <t>인</t>
    <phoneticPr fontId="7" type="noConversion"/>
  </si>
  <si>
    <t>계</t>
    <phoneticPr fontId="7" type="noConversion"/>
  </si>
  <si>
    <t>용접기 손료</t>
    <phoneticPr fontId="7" type="noConversion"/>
  </si>
  <si>
    <t>교류500Amp</t>
    <phoneticPr fontId="7" type="noConversion"/>
  </si>
  <si>
    <t>산업용</t>
    <phoneticPr fontId="7" type="noConversion"/>
  </si>
  <si>
    <t>Kwh</t>
    <phoneticPr fontId="7" type="noConversion"/>
  </si>
  <si>
    <t>-</t>
    <phoneticPr fontId="7" type="noConversion"/>
  </si>
  <si>
    <t>m</t>
    <phoneticPr fontId="7" type="noConversion"/>
  </si>
  <si>
    <t>150*150*200</t>
    <phoneticPr fontId="7" type="noConversion"/>
  </si>
  <si>
    <t>조명기구 기초 (TYPE"L"용)</t>
    <phoneticPr fontId="9" type="noConversion"/>
  </si>
  <si>
    <t>조명기구 기초 (TYPE"O"용)</t>
    <phoneticPr fontId="9" type="noConversion"/>
  </si>
  <si>
    <t>200*200*200</t>
    <phoneticPr fontId="7" type="noConversion"/>
  </si>
  <si>
    <t>기초산출#8</t>
    <phoneticPr fontId="54" type="noConversion"/>
  </si>
  <si>
    <t>기초산출#10</t>
    <phoneticPr fontId="54" type="noConversion"/>
  </si>
  <si>
    <t>기초산출#13</t>
    <phoneticPr fontId="54" type="noConversion"/>
  </si>
  <si>
    <t>100*100*200</t>
    <phoneticPr fontId="7" type="noConversion"/>
  </si>
  <si>
    <t>조명기구 기초 (TYPE"P"용)</t>
    <phoneticPr fontId="9" type="noConversion"/>
  </si>
  <si>
    <t>조명기구 기초 (TYPE"N"용)</t>
    <phoneticPr fontId="9" type="noConversion"/>
  </si>
  <si>
    <t>200*200*500</t>
    <phoneticPr fontId="7" type="noConversion"/>
  </si>
  <si>
    <t>경 비</t>
    <phoneticPr fontId="7" type="noConversion"/>
  </si>
  <si>
    <t>기초산출#5</t>
    <phoneticPr fontId="54" type="noConversion"/>
  </si>
  <si>
    <t>CONTROLLER 외함#1용 기초</t>
    <phoneticPr fontId="9" type="noConversion"/>
  </si>
  <si>
    <t>900*700*500</t>
    <phoneticPr fontId="7" type="noConversion"/>
  </si>
  <si>
    <t>7. 전선관 (PE 54C)</t>
    <phoneticPr fontId="7" type="noConversion"/>
  </si>
  <si>
    <t>8. 접지선 (GV난연 16㎟)</t>
    <phoneticPr fontId="7" type="noConversion"/>
  </si>
  <si>
    <t xml:space="preserve"> 9. 접지봉 (14Φ*1000*1본x1EA)</t>
    <phoneticPr fontId="7" type="noConversion"/>
  </si>
  <si>
    <t>기초산출#6</t>
    <phoneticPr fontId="54" type="noConversion"/>
  </si>
  <si>
    <t>1000*1000*400</t>
    <phoneticPr fontId="7" type="noConversion"/>
  </si>
  <si>
    <t>기초산출#7</t>
    <phoneticPr fontId="54" type="noConversion"/>
  </si>
  <si>
    <t>500*500*400</t>
    <phoneticPr fontId="7" type="noConversion"/>
  </si>
  <si>
    <t>750*500*400</t>
    <phoneticPr fontId="7" type="noConversion"/>
  </si>
  <si>
    <t>650*500*400</t>
    <phoneticPr fontId="7" type="noConversion"/>
  </si>
  <si>
    <t>Φ9x70L</t>
    <phoneticPr fontId="7" type="noConversion"/>
  </si>
  <si>
    <t>기초산출#9</t>
    <phoneticPr fontId="54" type="noConversion"/>
  </si>
  <si>
    <t>0.003 - 0.002</t>
    <phoneticPr fontId="7" type="noConversion"/>
  </si>
  <si>
    <t>지중등 기초 (TYPE"J"용)</t>
    <phoneticPr fontId="9" type="noConversion"/>
  </si>
  <si>
    <t>a'=</t>
  </si>
  <si>
    <t>b'=</t>
  </si>
  <si>
    <t>0.6*1*2+0.32*1*2</t>
  </si>
  <si>
    <t>규    격</t>
    <phoneticPr fontId="7" type="noConversion"/>
  </si>
  <si>
    <t>EA</t>
  </si>
  <si>
    <t>EA</t>
    <phoneticPr fontId="7" type="noConversion"/>
  </si>
  <si>
    <t>PAGE</t>
    <phoneticPr fontId="7" type="noConversion"/>
  </si>
  <si>
    <t>m</t>
  </si>
  <si>
    <t>㎥</t>
  </si>
  <si>
    <t>재료비</t>
    <phoneticPr fontId="7" type="noConversion"/>
  </si>
  <si>
    <t>노무비</t>
    <phoneticPr fontId="7" type="noConversion"/>
  </si>
  <si>
    <t>기계경비</t>
    <phoneticPr fontId="7" type="noConversion"/>
  </si>
  <si>
    <t>합계</t>
    <phoneticPr fontId="7" type="noConversion"/>
  </si>
  <si>
    <t>계</t>
  </si>
  <si>
    <t>전4-29</t>
    <phoneticPr fontId="7" type="noConversion"/>
  </si>
  <si>
    <t>배전전공</t>
    <phoneticPr fontId="7" type="noConversion"/>
  </si>
  <si>
    <t>계</t>
    <phoneticPr fontId="7" type="noConversion"/>
  </si>
  <si>
    <t>식</t>
  </si>
  <si>
    <t>내선전공</t>
  </si>
  <si>
    <t>인</t>
  </si>
  <si>
    <t>보통인부</t>
  </si>
  <si>
    <t>공구 손료</t>
  </si>
  <si>
    <t>형틀목공</t>
  </si>
  <si>
    <t>철근공</t>
  </si>
  <si>
    <t>철판공</t>
  </si>
  <si>
    <t>비계공</t>
  </si>
  <si>
    <t>미장공</t>
  </si>
  <si>
    <t>방수공</t>
  </si>
  <si>
    <t>콘크리트공</t>
  </si>
  <si>
    <t>보일러공</t>
  </si>
  <si>
    <t>배관공</t>
  </si>
  <si>
    <t>송전전공</t>
  </si>
  <si>
    <t>송전활선전공</t>
  </si>
  <si>
    <t>배전전공</t>
  </si>
  <si>
    <t>배전활선전공</t>
  </si>
  <si>
    <t>플랜트전공</t>
  </si>
  <si>
    <t>저압케이블전공</t>
  </si>
  <si>
    <t>철도신호공</t>
  </si>
  <si>
    <t>계장공</t>
  </si>
  <si>
    <t>통신외선공</t>
  </si>
  <si>
    <t>통신설비공</t>
  </si>
  <si>
    <t>통신내선공</t>
  </si>
  <si>
    <t>통신케이블공</t>
  </si>
  <si>
    <t>무선안테나공</t>
  </si>
  <si>
    <t>특별인부</t>
  </si>
  <si>
    <t>전기공사기사</t>
  </si>
  <si>
    <t xml:space="preserve">     </t>
    <phoneticPr fontId="7" type="noConversion"/>
  </si>
  <si>
    <t>+</t>
  </si>
  <si>
    <t>-</t>
  </si>
  <si>
    <t>:</t>
  </si>
  <si>
    <t>H</t>
  </si>
  <si>
    <t>=</t>
  </si>
  <si>
    <t>W</t>
  </si>
  <si>
    <t>1)</t>
  </si>
  <si>
    <t>2)</t>
  </si>
  <si>
    <t>3)</t>
  </si>
  <si>
    <t>/</t>
  </si>
  <si>
    <t>4)</t>
  </si>
  <si>
    <t>5)</t>
  </si>
  <si>
    <t>6)</t>
  </si>
  <si>
    <t>7)</t>
  </si>
  <si>
    <t>8)</t>
  </si>
  <si>
    <t>9)</t>
  </si>
  <si>
    <t>10)</t>
  </si>
  <si>
    <t>(</t>
  </si>
  <si>
    <t>)</t>
  </si>
  <si>
    <t>휘발유</t>
    <phoneticPr fontId="7" type="noConversion"/>
  </si>
  <si>
    <t>㎡</t>
    <phoneticPr fontId="7" type="noConversion"/>
  </si>
  <si>
    <t>마스터, 경기장 POLE 기초</t>
    <phoneticPr fontId="9" type="noConversion"/>
  </si>
  <si>
    <t>7. 전선관 (PE 16C)</t>
    <phoneticPr fontId="7" type="noConversion"/>
  </si>
  <si>
    <t xml:space="preserve"> 9. 접지봉 (14Φ*1000*1본x3EA)</t>
    <phoneticPr fontId="7" type="noConversion"/>
  </si>
  <si>
    <t>개소</t>
    <phoneticPr fontId="7" type="noConversion"/>
  </si>
  <si>
    <t>전1-6</t>
    <phoneticPr fontId="7" type="noConversion"/>
  </si>
  <si>
    <t>Φ25x1000L</t>
    <phoneticPr fontId="7" type="noConversion"/>
  </si>
  <si>
    <t>m</t>
    <phoneticPr fontId="7" type="noConversion"/>
  </si>
  <si>
    <t>개소</t>
    <phoneticPr fontId="7" type="noConversion"/>
  </si>
  <si>
    <t>수</t>
    <phoneticPr fontId="7" type="noConversion"/>
  </si>
  <si>
    <t xml:space="preserve">량  </t>
    <phoneticPr fontId="7" type="noConversion"/>
  </si>
  <si>
    <t>산</t>
    <phoneticPr fontId="7" type="noConversion"/>
  </si>
  <si>
    <t>출</t>
    <phoneticPr fontId="7" type="noConversion"/>
  </si>
  <si>
    <t>서</t>
    <phoneticPr fontId="7" type="noConversion"/>
  </si>
  <si>
    <t>계</t>
    <phoneticPr fontId="7" type="noConversion"/>
  </si>
  <si>
    <t>1. 터파기</t>
    <phoneticPr fontId="73" type="noConversion"/>
  </si>
  <si>
    <t>V1 = h/6 { (2a+a')b + (2a'+a)b' }</t>
    <phoneticPr fontId="73" type="noConversion"/>
  </si>
  <si>
    <t>a =</t>
    <phoneticPr fontId="7" type="noConversion"/>
  </si>
  <si>
    <t>a' =</t>
    <phoneticPr fontId="7" type="noConversion"/>
  </si>
  <si>
    <t>h =</t>
    <phoneticPr fontId="7" type="noConversion"/>
  </si>
  <si>
    <t>b =</t>
    <phoneticPr fontId="7" type="noConversion"/>
  </si>
  <si>
    <t>b' =</t>
    <phoneticPr fontId="7" type="noConversion"/>
  </si>
  <si>
    <t>V1=</t>
    <phoneticPr fontId="54" type="noConversion"/>
  </si>
  <si>
    <t>2. 레미콘</t>
    <phoneticPr fontId="73" type="noConversion"/>
  </si>
  <si>
    <t>V2 = a*b*h</t>
    <phoneticPr fontId="54" type="noConversion"/>
  </si>
  <si>
    <t>A</t>
    <phoneticPr fontId="9" type="noConversion"/>
  </si>
  <si>
    <t>B</t>
    <phoneticPr fontId="9" type="noConversion"/>
  </si>
  <si>
    <t>V2 =</t>
    <phoneticPr fontId="73" type="noConversion"/>
  </si>
  <si>
    <t>3. 되메우기.다짐</t>
    <phoneticPr fontId="54" type="noConversion"/>
  </si>
  <si>
    <t xml:space="preserve">V3 = </t>
    <phoneticPr fontId="73" type="noConversion"/>
  </si>
  <si>
    <t>V1 -</t>
    <phoneticPr fontId="7" type="noConversion"/>
  </si>
  <si>
    <t>V4</t>
    <phoneticPr fontId="7" type="noConversion"/>
  </si>
  <si>
    <t>-</t>
    <phoneticPr fontId="9" type="noConversion"/>
  </si>
  <si>
    <t>4. 잔토처리</t>
    <phoneticPr fontId="54" type="noConversion"/>
  </si>
  <si>
    <t xml:space="preserve">V4   = </t>
    <phoneticPr fontId="73" type="noConversion"/>
  </si>
  <si>
    <t>B</t>
    <phoneticPr fontId="7" type="noConversion"/>
  </si>
  <si>
    <t xml:space="preserve"> 5. 합판거푸집</t>
    <phoneticPr fontId="54" type="noConversion"/>
  </si>
  <si>
    <t>{(</t>
    <phoneticPr fontId="7" type="noConversion"/>
  </si>
  <si>
    <t>+</t>
    <phoneticPr fontId="7" type="noConversion"/>
  </si>
  <si>
    <t>) /</t>
    <phoneticPr fontId="7" type="noConversion"/>
  </si>
  <si>
    <t>2  *</t>
    <phoneticPr fontId="7" type="noConversion"/>
  </si>
  <si>
    <t>}  *</t>
    <phoneticPr fontId="7" type="noConversion"/>
  </si>
  <si>
    <t>㎡</t>
    <phoneticPr fontId="54" type="noConversion"/>
  </si>
  <si>
    <t>6. 앵카볼트</t>
    <phoneticPr fontId="54" type="noConversion"/>
  </si>
  <si>
    <t>Φ25x500L</t>
    <phoneticPr fontId="7" type="noConversion"/>
  </si>
  <si>
    <t>EA</t>
    <phoneticPr fontId="7" type="noConversion"/>
  </si>
  <si>
    <t>m</t>
    <phoneticPr fontId="7" type="noConversion"/>
  </si>
  <si>
    <t>V2 = h/6 { (2a+a')b + (2a'+a)b' }</t>
    <phoneticPr fontId="54" type="noConversion"/>
  </si>
  <si>
    <t xml:space="preserve">V3  = </t>
    <phoneticPr fontId="73" type="noConversion"/>
  </si>
  <si>
    <t>3.35-0.58</t>
    <phoneticPr fontId="7" type="noConversion"/>
  </si>
  <si>
    <t>V2</t>
    <phoneticPr fontId="73" type="noConversion"/>
  </si>
  <si>
    <t>1;0.3</t>
    <phoneticPr fontId="7" type="noConversion"/>
  </si>
  <si>
    <t xml:space="preserve"> 8. 접지봉 (14Φ*1000*1본)</t>
    <phoneticPr fontId="7" type="noConversion"/>
  </si>
  <si>
    <t>600X600x600</t>
    <phoneticPr fontId="7" type="noConversion"/>
  </si>
  <si>
    <t>2. 맨홀부피</t>
    <phoneticPr fontId="73" type="noConversion"/>
  </si>
  <si>
    <t>(#40-18-8)</t>
    <phoneticPr fontId="9" type="noConversion"/>
  </si>
  <si>
    <t>V1 = h/3 { (a2 + b2 + (a * b) }</t>
    <phoneticPr fontId="73" type="noConversion"/>
  </si>
  <si>
    <t>V2</t>
    <phoneticPr fontId="7" type="noConversion"/>
  </si>
  <si>
    <t>8. 접지선 (GV난연 6㎟)</t>
    <phoneticPr fontId="7" type="noConversion"/>
  </si>
  <si>
    <t>기초산출#3</t>
    <phoneticPr fontId="54" type="noConversion"/>
  </si>
  <si>
    <t>보행등 기초</t>
    <phoneticPr fontId="9" type="noConversion"/>
  </si>
  <si>
    <t>400*400*1000</t>
    <phoneticPr fontId="7" type="noConversion"/>
  </si>
  <si>
    <t>0.4*1*2+0.4*1*2</t>
    <phoneticPr fontId="9" type="noConversion"/>
  </si>
  <si>
    <t>7. 전선관 (FEP Φ30)</t>
    <phoneticPr fontId="7" type="noConversion"/>
  </si>
  <si>
    <t xml:space="preserve"> 8. 접지봉 (18Φ*2400*1본x1EA)</t>
    <phoneticPr fontId="7" type="noConversion"/>
  </si>
  <si>
    <t>기초산출#4</t>
    <phoneticPr fontId="54" type="noConversion"/>
  </si>
  <si>
    <t>0.9*1*2+0.9*1*2</t>
    <phoneticPr fontId="9" type="noConversion"/>
  </si>
  <si>
    <t>기초산출#5</t>
    <phoneticPr fontId="54" type="noConversion"/>
  </si>
  <si>
    <t>부피=</t>
    <phoneticPr fontId="73" type="noConversion"/>
  </si>
  <si>
    <t>(가로x세로x높이)</t>
    <phoneticPr fontId="9" type="noConversion"/>
  </si>
  <si>
    <t>2. 되메우기.다짐</t>
    <phoneticPr fontId="54" type="noConversion"/>
  </si>
  <si>
    <t>3. 잔토처리</t>
    <phoneticPr fontId="54" type="noConversion"/>
  </si>
  <si>
    <t>가로=</t>
    <phoneticPr fontId="7" type="noConversion"/>
  </si>
  <si>
    <t>세로=</t>
    <phoneticPr fontId="9" type="noConversion"/>
  </si>
  <si>
    <t>높이=</t>
    <phoneticPr fontId="7" type="noConversion"/>
  </si>
  <si>
    <t>5. 자갈</t>
    <phoneticPr fontId="54" type="noConversion"/>
  </si>
  <si>
    <t>6. 등기구 사이즈</t>
    <phoneticPr fontId="9" type="noConversion"/>
  </si>
  <si>
    <t>기초산출#7</t>
    <phoneticPr fontId="54" type="noConversion"/>
  </si>
  <si>
    <t>7. 전선관 (PE 54C)</t>
    <phoneticPr fontId="7" type="noConversion"/>
  </si>
  <si>
    <t>기초산출#8</t>
    <phoneticPr fontId="54" type="noConversion"/>
  </si>
  <si>
    <t>조명기구 TYPE"F"기초</t>
    <phoneticPr fontId="9" type="noConversion"/>
  </si>
  <si>
    <t>300x250x400</t>
    <phoneticPr fontId="7" type="noConversion"/>
  </si>
  <si>
    <t>6. 전선관 (PE 28C)</t>
    <phoneticPr fontId="7" type="noConversion"/>
  </si>
  <si>
    <t>CONT. 외함 기초</t>
    <phoneticPr fontId="9" type="noConversion"/>
  </si>
  <si>
    <t>600*600*400</t>
    <phoneticPr fontId="7" type="noConversion"/>
  </si>
  <si>
    <t xml:space="preserve"> 8. 접지봉 (18Φ*2400*1본)</t>
    <phoneticPr fontId="7" type="noConversion"/>
  </si>
  <si>
    <t>안정기 외함 기초</t>
    <phoneticPr fontId="9" type="noConversion"/>
  </si>
  <si>
    <t>500*600*400</t>
    <phoneticPr fontId="7" type="noConversion"/>
  </si>
  <si>
    <t>안정기함 기초</t>
    <phoneticPr fontId="9" type="noConversion"/>
  </si>
  <si>
    <t>500*400*400</t>
    <phoneticPr fontId="7" type="noConversion"/>
  </si>
  <si>
    <t>1000*500*400</t>
    <phoneticPr fontId="7" type="noConversion"/>
  </si>
  <si>
    <t>식</t>
    <phoneticPr fontId="7" type="noConversion"/>
  </si>
  <si>
    <t>지중등 기초</t>
    <phoneticPr fontId="9" type="noConversion"/>
  </si>
  <si>
    <t>400x400x600</t>
    <phoneticPr fontId="7" type="noConversion"/>
  </si>
  <si>
    <t>열주등 기초</t>
    <phoneticPr fontId="9" type="noConversion"/>
  </si>
  <si>
    <t>1600x2000x2400</t>
    <phoneticPr fontId="7" type="noConversion"/>
  </si>
  <si>
    <t>기초산출#6</t>
    <phoneticPr fontId="54" type="noConversion"/>
  </si>
  <si>
    <t>600x700x800</t>
    <phoneticPr fontId="7" type="noConversion"/>
  </si>
  <si>
    <t>볼라드 기초</t>
    <phoneticPr fontId="9" type="noConversion"/>
  </si>
  <si>
    <t>400x500x500</t>
    <phoneticPr fontId="7" type="noConversion"/>
  </si>
  <si>
    <t>보안등 기초</t>
    <phoneticPr fontId="9" type="noConversion"/>
  </si>
  <si>
    <t>500x600x800</t>
    <phoneticPr fontId="7" type="noConversion"/>
  </si>
  <si>
    <t>부표#3</t>
    <phoneticPr fontId="54" type="noConversion"/>
  </si>
  <si>
    <t>투광등기구 기초</t>
    <phoneticPr fontId="9" type="noConversion"/>
  </si>
  <si>
    <t>500*300*500</t>
    <phoneticPr fontId="7" type="noConversion"/>
  </si>
  <si>
    <t xml:space="preserve"> 5. 유로폼</t>
    <phoneticPr fontId="54" type="noConversion"/>
  </si>
  <si>
    <t>0.3*0.3*2+0.3*0.3*2</t>
    <phoneticPr fontId="9" type="noConversion"/>
  </si>
  <si>
    <t>6. BOLT/NUT</t>
    <phoneticPr fontId="54" type="noConversion"/>
  </si>
  <si>
    <t>M12 x 100L</t>
    <phoneticPr fontId="7" type="noConversion"/>
  </si>
  <si>
    <t>부표#4</t>
    <phoneticPr fontId="54" type="noConversion"/>
  </si>
  <si>
    <t>볼라드</t>
    <phoneticPr fontId="9" type="noConversion"/>
  </si>
  <si>
    <t>콘크리트 4면 포설</t>
    <phoneticPr fontId="9" type="noConversion"/>
  </si>
  <si>
    <t>x</t>
    <phoneticPr fontId="9" type="noConversion"/>
  </si>
  <si>
    <t>콘크리트</t>
    <phoneticPr fontId="9" type="noConversion"/>
  </si>
  <si>
    <t>부표#5</t>
    <phoneticPr fontId="54" type="noConversion"/>
  </si>
  <si>
    <t>성곽안내표지판기초</t>
    <phoneticPr fontId="9" type="noConversion"/>
  </si>
  <si>
    <t>600*400*700</t>
    <phoneticPr fontId="7" type="noConversion"/>
  </si>
  <si>
    <t>0.6*1.0*2+0.4*1.0*2</t>
    <phoneticPr fontId="9" type="noConversion"/>
  </si>
  <si>
    <t>타워POLE 기초</t>
    <phoneticPr fontId="9" type="noConversion"/>
  </si>
  <si>
    <t>800*3000*1800</t>
    <phoneticPr fontId="7" type="noConversion"/>
  </si>
  <si>
    <t>V5 = a*b*c</t>
    <phoneticPr fontId="54" type="noConversion"/>
  </si>
  <si>
    <t>a=</t>
    <phoneticPr fontId="9" type="noConversion"/>
  </si>
  <si>
    <t>b=</t>
    <phoneticPr fontId="9" type="noConversion"/>
  </si>
  <si>
    <t>c=</t>
    <phoneticPr fontId="9" type="noConversion"/>
  </si>
  <si>
    <t>㎥</t>
    <phoneticPr fontId="9" type="noConversion"/>
  </si>
  <si>
    <t>V5=</t>
    <phoneticPr fontId="9" type="noConversion"/>
  </si>
  <si>
    <t>V2+V5=</t>
    <phoneticPr fontId="9" type="noConversion"/>
  </si>
  <si>
    <t xml:space="preserve"> 5. 거푸집 (합판6회)</t>
    <phoneticPr fontId="54" type="noConversion"/>
  </si>
  <si>
    <t>((1.8+0.8)/2*1.2)*4+0.6*2.4*4</t>
    <phoneticPr fontId="9" type="noConversion"/>
  </si>
  <si>
    <t>6. 접지선 (GV5.5㎟)</t>
    <phoneticPr fontId="7" type="noConversion"/>
  </si>
  <si>
    <t>7. 이형철근(D16)</t>
    <phoneticPr fontId="7" type="noConversion"/>
  </si>
  <si>
    <t>2.4x4+0.7x4+1.8x4+2.4x3x4+0.7x3x4+1.8x3x4</t>
    <phoneticPr fontId="9" type="noConversion"/>
  </si>
  <si>
    <t>이윤삭제액</t>
    <phoneticPr fontId="7" type="noConversion"/>
  </si>
  <si>
    <t>폐기물 처리</t>
    <phoneticPr fontId="7" type="noConversion"/>
  </si>
  <si>
    <t>TON</t>
    <phoneticPr fontId="7" type="noConversion"/>
  </si>
  <si>
    <t>m x1.56</t>
    <phoneticPr fontId="9" type="noConversion"/>
  </si>
  <si>
    <t>kg</t>
    <phoneticPr fontId="7" type="noConversion"/>
  </si>
  <si>
    <t>8. 전선관 (ELP Φ30)</t>
    <phoneticPr fontId="7" type="noConversion"/>
  </si>
  <si>
    <t>9. 접지봉 (18Φ*2400*1본x1EA)</t>
    <phoneticPr fontId="7" type="noConversion"/>
  </si>
  <si>
    <t xml:space="preserve"> 통합폴 기초</t>
    <phoneticPr fontId="54" type="noConversion"/>
  </si>
  <si>
    <t>500x300x600</t>
    <phoneticPr fontId="9" type="noConversion"/>
  </si>
  <si>
    <t>V2 = h/6 { (2a+a')b + (2a'+a)b' } +(A*B*H)</t>
    <phoneticPr fontId="73" type="noConversion"/>
  </si>
  <si>
    <t>A =</t>
    <phoneticPr fontId="7" type="noConversion"/>
  </si>
  <si>
    <t>B =</t>
    <phoneticPr fontId="7" type="noConversion"/>
  </si>
  <si>
    <t>H =</t>
    <phoneticPr fontId="7" type="noConversion"/>
  </si>
  <si>
    <t>3. 되메우기</t>
    <phoneticPr fontId="54" type="noConversion"/>
  </si>
  <si>
    <t xml:space="preserve">V3   = </t>
    <phoneticPr fontId="73" type="noConversion"/>
  </si>
  <si>
    <t>V1   -</t>
    <phoneticPr fontId="7" type="noConversion"/>
  </si>
  <si>
    <t xml:space="preserve">V2 </t>
    <phoneticPr fontId="7" type="noConversion"/>
  </si>
  <si>
    <t xml:space="preserve">V4 = </t>
    <phoneticPr fontId="73" type="noConversion"/>
  </si>
  <si>
    <t>(2*2.3*4)+(1+1.2)/2*4</t>
    <phoneticPr fontId="7" type="noConversion"/>
  </si>
  <si>
    <t>(30Φ*2000)</t>
    <phoneticPr fontId="7" type="noConversion"/>
  </si>
  <si>
    <t>(종합폴 업체지급)</t>
    <phoneticPr fontId="7" type="noConversion"/>
  </si>
  <si>
    <t>7. 접지선 (F-GV5.5㎟)</t>
    <phoneticPr fontId="7" type="noConversion"/>
  </si>
  <si>
    <t>7. 접지봉 (18*2400*1본)</t>
    <phoneticPr fontId="7" type="noConversion"/>
  </si>
  <si>
    <t>8. 전선관 (ELP 30Φ)</t>
    <phoneticPr fontId="7" type="noConversion"/>
  </si>
  <si>
    <t>9. 이형철근(D16)</t>
    <phoneticPr fontId="7" type="noConversion"/>
  </si>
  <si>
    <t>핸드홀</t>
    <phoneticPr fontId="54" type="noConversion"/>
  </si>
  <si>
    <t>600x600x600</t>
    <phoneticPr fontId="7" type="noConversion"/>
  </si>
  <si>
    <t xml:space="preserve">V2 = </t>
    <phoneticPr fontId="73" type="noConversion"/>
  </si>
  <si>
    <t>구체체적</t>
    <phoneticPr fontId="7" type="noConversion"/>
  </si>
  <si>
    <t>4. 핸드홀(600x600x600) : 뚜껑포함</t>
    <phoneticPr fontId="7" type="noConversion"/>
  </si>
  <si>
    <t>1:0.3</t>
    <phoneticPr fontId="7" type="noConversion"/>
  </si>
  <si>
    <t>부표#1</t>
    <phoneticPr fontId="54" type="noConversion"/>
  </si>
  <si>
    <t>조명기구기초</t>
    <phoneticPr fontId="9" type="noConversion"/>
  </si>
  <si>
    <t>900x800x300</t>
    <phoneticPr fontId="7" type="noConversion"/>
  </si>
  <si>
    <t>(LP-S1,S2,S3)</t>
    <phoneticPr fontId="9" type="noConversion"/>
  </si>
  <si>
    <t>(#25-180-8)</t>
    <phoneticPr fontId="9" type="noConversion"/>
  </si>
  <si>
    <t xml:space="preserve"> 5. 거푸집 (합판4회)</t>
    <phoneticPr fontId="54" type="noConversion"/>
  </si>
  <si>
    <t>0.3*0.8*2+0.9*0.8*2</t>
    <phoneticPr fontId="9" type="noConversion"/>
  </si>
  <si>
    <t>(3/4"*300)</t>
    <phoneticPr fontId="7" type="noConversion"/>
  </si>
  <si>
    <t>7. 전선관 (PE 28C)</t>
    <phoneticPr fontId="7" type="noConversion"/>
  </si>
  <si>
    <t>8. 접지선 (GV 5.5㎟)</t>
    <phoneticPr fontId="7" type="noConversion"/>
  </si>
  <si>
    <t>9. 접지봉 (18Φ*2400*1본)</t>
    <phoneticPr fontId="7" type="noConversion"/>
  </si>
  <si>
    <t>400x800x800</t>
    <phoneticPr fontId="7" type="noConversion"/>
  </si>
  <si>
    <t>(LP-GB)</t>
    <phoneticPr fontId="9" type="noConversion"/>
  </si>
  <si>
    <t>지중등</t>
    <phoneticPr fontId="9" type="noConversion"/>
  </si>
  <si>
    <t>400*700</t>
    <phoneticPr fontId="7" type="noConversion"/>
  </si>
  <si>
    <t>0.6*1*2+0.32*1*2</t>
    <phoneticPr fontId="9" type="noConversion"/>
  </si>
  <si>
    <t>계량기함 기초</t>
    <phoneticPr fontId="9" type="noConversion"/>
  </si>
  <si>
    <t>500*500*300</t>
    <phoneticPr fontId="7" type="noConversion"/>
  </si>
  <si>
    <t xml:space="preserve">  가 로 등 기 초</t>
    <phoneticPr fontId="54" type="noConversion"/>
  </si>
  <si>
    <t>400 * 500 * 600</t>
    <phoneticPr fontId="7" type="noConversion"/>
  </si>
  <si>
    <t>2.28 - 0.58</t>
    <phoneticPr fontId="7" type="noConversion"/>
  </si>
  <si>
    <t>(25Φ*400)</t>
    <phoneticPr fontId="7" type="noConversion"/>
  </si>
  <si>
    <t>7. 접지선 (GV5.5㎟)</t>
    <phoneticPr fontId="7" type="noConversion"/>
  </si>
  <si>
    <t>8. 접지봉 (14*1000*1본)</t>
    <phoneticPr fontId="7" type="noConversion"/>
  </si>
  <si>
    <t>9. 전선관 (PE 22C)</t>
    <phoneticPr fontId="7" type="noConversion"/>
  </si>
  <si>
    <t>10. 침하방지용 기초콘크리트</t>
    <phoneticPr fontId="9" type="noConversion"/>
  </si>
  <si>
    <t>V5 = h*a*b</t>
    <phoneticPr fontId="54" type="noConversion"/>
  </si>
  <si>
    <t>500 * 1000 * 1100</t>
    <phoneticPr fontId="7" type="noConversion"/>
  </si>
  <si>
    <t>2.61-0.58</t>
    <phoneticPr fontId="7" type="noConversion"/>
  </si>
  <si>
    <t>(25Φ*600)</t>
    <phoneticPr fontId="7" type="noConversion"/>
  </si>
  <si>
    <t>400 * 800 * 1000</t>
    <phoneticPr fontId="7" type="noConversion"/>
  </si>
  <si>
    <t>1.72-0.37</t>
    <phoneticPr fontId="7" type="noConversion"/>
  </si>
  <si>
    <t>합판 거푸집</t>
    <phoneticPr fontId="60" type="noConversion"/>
  </si>
  <si>
    <t>400 * 800 * 1200</t>
    <phoneticPr fontId="7" type="noConversion"/>
  </si>
  <si>
    <t>2.27-0.37</t>
    <phoneticPr fontId="7" type="noConversion"/>
  </si>
  <si>
    <t>2000 * 2000 * 2300</t>
    <phoneticPr fontId="7" type="noConversion"/>
  </si>
  <si>
    <t>7. 접지봉 (14*1000*1본)</t>
    <phoneticPr fontId="7" type="noConversion"/>
  </si>
  <si>
    <t>8. 전선관 (PE 22C)</t>
    <phoneticPr fontId="7" type="noConversion"/>
  </si>
  <si>
    <t xml:space="preserve">  제 어 반 기 초</t>
    <phoneticPr fontId="54" type="noConversion"/>
  </si>
  <si>
    <t>700*500*1000</t>
    <phoneticPr fontId="7" type="noConversion"/>
  </si>
  <si>
    <t>9. 접지봉 (18Φ*2400*3본)</t>
    <phoneticPr fontId="7" type="noConversion"/>
  </si>
  <si>
    <t xml:space="preserve">  조명기구 기초</t>
    <phoneticPr fontId="54" type="noConversion"/>
  </si>
  <si>
    <t>300 * 400 * 400</t>
    <phoneticPr fontId="7" type="noConversion"/>
  </si>
  <si>
    <t xml:space="preserve">  공 원 등 기 초</t>
    <phoneticPr fontId="54" type="noConversion"/>
  </si>
  <si>
    <t>600 * 2000 * 1500</t>
    <phoneticPr fontId="7" type="noConversion"/>
  </si>
  <si>
    <t>300 * 500 * 500</t>
    <phoneticPr fontId="7" type="noConversion"/>
  </si>
  <si>
    <t>기초산출#2</t>
    <phoneticPr fontId="54" type="noConversion"/>
  </si>
  <si>
    <t>700x1500x1200</t>
    <phoneticPr fontId="7" type="noConversion"/>
  </si>
  <si>
    <t xml:space="preserve"> 9. 접지봉 (14Φ*1000*1본)</t>
    <phoneticPr fontId="7" type="noConversion"/>
  </si>
  <si>
    <t>7. 전선관 (PE 16C)</t>
    <phoneticPr fontId="7" type="noConversion"/>
  </si>
  <si>
    <t>8. 접지선 (GV난연 6㎟)</t>
    <phoneticPr fontId="7" type="noConversion"/>
  </si>
  <si>
    <t>핸드홀 설치</t>
    <phoneticPr fontId="54" type="noConversion"/>
  </si>
  <si>
    <t>기초산출#3</t>
    <phoneticPr fontId="54" type="noConversion"/>
  </si>
  <si>
    <t>(</t>
    <phoneticPr fontId="7" type="noConversion"/>
  </si>
  <si>
    <t>300*300*400</t>
    <phoneticPr fontId="7" type="noConversion"/>
  </si>
  <si>
    <t>기초산출#16</t>
    <phoneticPr fontId="54" type="noConversion"/>
  </si>
  <si>
    <t>ℓ</t>
  </si>
  <si>
    <t>본</t>
  </si>
  <si>
    <t>㎡</t>
    <phoneticPr fontId="60" type="noConversion"/>
  </si>
  <si>
    <t>계</t>
    <phoneticPr fontId="7" type="noConversion"/>
  </si>
  <si>
    <t>CONTROLLER 외함#2,3용 기초</t>
    <phoneticPr fontId="9" type="noConversion"/>
  </si>
  <si>
    <t>CONTROLLER 외함#4,5용 기초</t>
    <phoneticPr fontId="9" type="noConversion"/>
  </si>
  <si>
    <t>CONTROLLER 외함#6용 기초</t>
    <phoneticPr fontId="9" type="noConversion"/>
  </si>
  <si>
    <t>CONTROLLER 외함#7용 기초</t>
    <phoneticPr fontId="9" type="noConversion"/>
  </si>
  <si>
    <t>조명기구 기초 (TYPE"S"용)</t>
    <phoneticPr fontId="9" type="noConversion"/>
  </si>
  <si>
    <t>) *</t>
    <phoneticPr fontId="7" type="noConversion"/>
  </si>
  <si>
    <t xml:space="preserve"> 7. 접지봉 (14Φ*1000*1본)</t>
    <phoneticPr fontId="7" type="noConversion"/>
  </si>
  <si>
    <t>경유</t>
    <phoneticPr fontId="7" type="noConversion"/>
  </si>
  <si>
    <t>7. 전선관</t>
    <phoneticPr fontId="7" type="noConversion"/>
  </si>
  <si>
    <t>(FEP Ø30)</t>
    <phoneticPr fontId="7" type="noConversion"/>
  </si>
  <si>
    <t>8. 접지선 (GV난연 6㎟)</t>
    <phoneticPr fontId="7" type="noConversion"/>
  </si>
  <si>
    <t>기초산출#2</t>
    <phoneticPr fontId="54" type="noConversion"/>
  </si>
  <si>
    <t>볼라드 기초</t>
    <phoneticPr fontId="9" type="noConversion"/>
  </si>
  <si>
    <t>300*300*400</t>
    <phoneticPr fontId="7" type="noConversion"/>
  </si>
  <si>
    <t>지중등 기초 (TYPE"I"용)</t>
    <phoneticPr fontId="9" type="noConversion"/>
  </si>
  <si>
    <t>지중등 기초 (TYPE"J"용)</t>
    <phoneticPr fontId="9" type="noConversion"/>
  </si>
  <si>
    <t>기초산출#3</t>
    <phoneticPr fontId="54" type="noConversion"/>
  </si>
  <si>
    <t>기초산출#4</t>
    <phoneticPr fontId="54" type="noConversion"/>
  </si>
  <si>
    <t>기초산출#5</t>
    <phoneticPr fontId="54" type="noConversion"/>
  </si>
  <si>
    <t>SMPS 외함 기초</t>
    <phoneticPr fontId="9" type="noConversion"/>
  </si>
  <si>
    <t>700*700*400</t>
    <phoneticPr fontId="7" type="noConversion"/>
  </si>
  <si>
    <t xml:space="preserve"> 9. 접지봉 (14Φ*1000*1본)</t>
    <phoneticPr fontId="7" type="noConversion"/>
  </si>
  <si>
    <t>투광등 기초</t>
    <phoneticPr fontId="9" type="noConversion"/>
  </si>
  <si>
    <t>200*200*200</t>
    <phoneticPr fontId="7" type="noConversion"/>
  </si>
  <si>
    <t>기초산출#6</t>
    <phoneticPr fontId="54" type="noConversion"/>
  </si>
  <si>
    <t>POLE 기초(H=4m용)</t>
    <phoneticPr fontId="9" type="noConversion"/>
  </si>
  <si>
    <t>500x800x700</t>
    <phoneticPr fontId="7" type="noConversion"/>
  </si>
  <si>
    <t>5. 전선관 (PE 54C)</t>
    <phoneticPr fontId="7" type="noConversion"/>
  </si>
  <si>
    <t>6. 접지선 (GV난연 6㎟)</t>
    <phoneticPr fontId="7" type="noConversion"/>
  </si>
  <si>
    <t>1.03-0.3</t>
    <phoneticPr fontId="7" type="noConversion"/>
  </si>
  <si>
    <t>공구 손료</t>
    <phoneticPr fontId="7" type="noConversion"/>
  </si>
  <si>
    <t xml:space="preserve">1. 원  가  계  산  서 </t>
    <phoneticPr fontId="54" type="noConversion"/>
  </si>
  <si>
    <t>비 목</t>
    <phoneticPr fontId="54" type="noConversion"/>
  </si>
  <si>
    <t>구             분</t>
    <phoneticPr fontId="54" type="noConversion"/>
  </si>
  <si>
    <t>금       액 (원)</t>
    <phoneticPr fontId="54" type="noConversion"/>
  </si>
  <si>
    <t>구        성        비 (%)</t>
    <phoneticPr fontId="54" type="noConversion"/>
  </si>
  <si>
    <t>비  고</t>
    <phoneticPr fontId="54" type="noConversion"/>
  </si>
  <si>
    <t xml:space="preserve">
순
공
사
원
가</t>
    <phoneticPr fontId="54" type="noConversion"/>
  </si>
  <si>
    <t>재   료   비</t>
    <phoneticPr fontId="54" type="noConversion"/>
  </si>
  <si>
    <t>직접재료비</t>
    <phoneticPr fontId="54" type="noConversion"/>
  </si>
  <si>
    <t>간접재료비</t>
    <phoneticPr fontId="54" type="noConversion"/>
  </si>
  <si>
    <t>소      계</t>
    <phoneticPr fontId="54" type="noConversion"/>
  </si>
  <si>
    <t>노   무   비</t>
    <phoneticPr fontId="54" type="noConversion"/>
  </si>
  <si>
    <t>직접노무비</t>
    <phoneticPr fontId="54" type="noConversion"/>
  </si>
  <si>
    <t xml:space="preserve">                                   </t>
    <phoneticPr fontId="54" type="noConversion"/>
  </si>
  <si>
    <t>간접노무비</t>
    <phoneticPr fontId="54" type="noConversion"/>
  </si>
  <si>
    <t>경        비</t>
    <phoneticPr fontId="54" type="noConversion"/>
  </si>
  <si>
    <t>기 계 경 비</t>
    <phoneticPr fontId="54" type="noConversion"/>
  </si>
  <si>
    <t>건강보험료</t>
    <phoneticPr fontId="54" type="noConversion"/>
  </si>
  <si>
    <t>연금보험료</t>
    <phoneticPr fontId="54" type="noConversion"/>
  </si>
  <si>
    <t>노인장기요양보험료</t>
    <phoneticPr fontId="54" type="noConversion"/>
  </si>
  <si>
    <t>산재보험료</t>
    <phoneticPr fontId="54" type="noConversion"/>
  </si>
  <si>
    <t>고용보험료</t>
    <phoneticPr fontId="54" type="noConversion"/>
  </si>
  <si>
    <t>산업안전보건관리비</t>
    <phoneticPr fontId="54" type="noConversion"/>
  </si>
  <si>
    <t>소       계</t>
    <phoneticPr fontId="54" type="noConversion"/>
  </si>
  <si>
    <t>합            계</t>
    <phoneticPr fontId="54" type="noConversion"/>
  </si>
  <si>
    <t>일   반   관   리   비</t>
    <phoneticPr fontId="54" type="noConversion"/>
  </si>
  <si>
    <t>이                  윤</t>
    <phoneticPr fontId="54" type="noConversion"/>
  </si>
  <si>
    <t>총        원        가</t>
    <phoneticPr fontId="7" type="noConversion"/>
  </si>
  <si>
    <t>부   가   가   치   세</t>
    <phoneticPr fontId="54" type="noConversion"/>
  </si>
  <si>
    <t>총    사     업     비</t>
    <phoneticPr fontId="7" type="noConversion"/>
  </si>
  <si>
    <t>품   명</t>
    <phoneticPr fontId="7" type="noConversion"/>
  </si>
  <si>
    <t>규   격</t>
    <phoneticPr fontId="7" type="noConversion"/>
  </si>
  <si>
    <t>단위</t>
    <phoneticPr fontId="7" type="noConversion"/>
  </si>
  <si>
    <t>수량</t>
    <phoneticPr fontId="7" type="noConversion"/>
  </si>
  <si>
    <t>재 료 비</t>
    <phoneticPr fontId="7" type="noConversion"/>
  </si>
  <si>
    <t>노 무 비</t>
    <phoneticPr fontId="7" type="noConversion"/>
  </si>
  <si>
    <t>경 비</t>
    <phoneticPr fontId="7" type="noConversion"/>
  </si>
  <si>
    <t>합   계</t>
    <phoneticPr fontId="7" type="noConversion"/>
  </si>
  <si>
    <t>비 고</t>
    <phoneticPr fontId="7" type="noConversion"/>
  </si>
  <si>
    <t>단 가</t>
    <phoneticPr fontId="7" type="noConversion"/>
  </si>
  <si>
    <t>금  액</t>
    <phoneticPr fontId="7" type="noConversion"/>
  </si>
  <si>
    <t>단  가</t>
    <phoneticPr fontId="7" type="noConversion"/>
  </si>
  <si>
    <t>적용단가</t>
    <phoneticPr fontId="7" type="noConversion"/>
  </si>
  <si>
    <t>시간</t>
    <phoneticPr fontId="7" type="noConversion"/>
  </si>
  <si>
    <t>전력량</t>
    <phoneticPr fontId="7" type="noConversion"/>
  </si>
  <si>
    <t>전1-22</t>
    <phoneticPr fontId="7" type="noConversion"/>
  </si>
  <si>
    <t>POLE 기초(H=5m용)</t>
    <phoneticPr fontId="9" type="noConversion"/>
  </si>
  <si>
    <t xml:space="preserve"> </t>
    <phoneticPr fontId="7" type="noConversion"/>
  </si>
  <si>
    <t>전5-27-1</t>
    <phoneticPr fontId="7" type="noConversion"/>
  </si>
  <si>
    <t>관급자재</t>
    <phoneticPr fontId="7" type="noConversion"/>
  </si>
  <si>
    <t>기초산출#1</t>
    <phoneticPr fontId="54" type="noConversion"/>
  </si>
  <si>
    <t>개소</t>
    <phoneticPr fontId="7" type="noConversion"/>
  </si>
  <si>
    <t>수</t>
    <phoneticPr fontId="7" type="noConversion"/>
  </si>
  <si>
    <t xml:space="preserve">량  </t>
    <phoneticPr fontId="7" type="noConversion"/>
  </si>
  <si>
    <t>산</t>
    <phoneticPr fontId="7" type="noConversion"/>
  </si>
  <si>
    <t>출</t>
    <phoneticPr fontId="7" type="noConversion"/>
  </si>
  <si>
    <t>서</t>
    <phoneticPr fontId="7" type="noConversion"/>
  </si>
  <si>
    <t>계</t>
    <phoneticPr fontId="7" type="noConversion"/>
  </si>
  <si>
    <t>1. 터파기</t>
    <phoneticPr fontId="73" type="noConversion"/>
  </si>
  <si>
    <t>V1 = h/6 { (2a+a')b + (2a'+a)b' }</t>
    <phoneticPr fontId="73" type="noConversion"/>
  </si>
  <si>
    <t>h =</t>
    <phoneticPr fontId="7" type="noConversion"/>
  </si>
  <si>
    <t>b =</t>
    <phoneticPr fontId="7" type="noConversion"/>
  </si>
  <si>
    <t>2. 레미콘</t>
    <phoneticPr fontId="73" type="noConversion"/>
  </si>
  <si>
    <t>V2 = a*b*h</t>
    <phoneticPr fontId="54" type="noConversion"/>
  </si>
  <si>
    <t>h =</t>
    <phoneticPr fontId="7" type="noConversion"/>
  </si>
  <si>
    <t>A</t>
    <phoneticPr fontId="9" type="noConversion"/>
  </si>
  <si>
    <t>B</t>
    <phoneticPr fontId="9" type="noConversion"/>
  </si>
  <si>
    <t>V2 =</t>
    <phoneticPr fontId="73" type="noConversion"/>
  </si>
  <si>
    <t>3. 되메우기.다짐</t>
    <phoneticPr fontId="54" type="noConversion"/>
  </si>
  <si>
    <t xml:space="preserve">V3 = </t>
    <phoneticPr fontId="73" type="noConversion"/>
  </si>
  <si>
    <t>V1 -</t>
    <phoneticPr fontId="7" type="noConversion"/>
  </si>
  <si>
    <t>V4</t>
    <phoneticPr fontId="7" type="noConversion"/>
  </si>
  <si>
    <t>-</t>
    <phoneticPr fontId="9" type="noConversion"/>
  </si>
  <si>
    <t>4. 잔토처리</t>
    <phoneticPr fontId="54" type="noConversion"/>
  </si>
  <si>
    <t xml:space="preserve">V4   = </t>
    <phoneticPr fontId="73" type="noConversion"/>
  </si>
  <si>
    <t>B</t>
    <phoneticPr fontId="7" type="noConversion"/>
  </si>
  <si>
    <t xml:space="preserve"> 5. 합판거푸집</t>
    <phoneticPr fontId="54" type="noConversion"/>
  </si>
  <si>
    <t>(</t>
    <phoneticPr fontId="7" type="noConversion"/>
  </si>
  <si>
    <t>+</t>
    <phoneticPr fontId="7" type="noConversion"/>
  </si>
  <si>
    <t>) *</t>
    <phoneticPr fontId="7" type="noConversion"/>
  </si>
  <si>
    <t>2  *</t>
    <phoneticPr fontId="7" type="noConversion"/>
  </si>
  <si>
    <t>㎡</t>
    <phoneticPr fontId="54" type="noConversion"/>
  </si>
  <si>
    <t>6. 앵카볼트</t>
    <phoneticPr fontId="54" type="noConversion"/>
  </si>
  <si>
    <t>Φ25x500L</t>
    <phoneticPr fontId="7" type="noConversion"/>
  </si>
  <si>
    <t>EA</t>
    <phoneticPr fontId="7" type="noConversion"/>
  </si>
  <si>
    <t>7. 전선관</t>
    <phoneticPr fontId="7" type="noConversion"/>
  </si>
  <si>
    <t>(FEP Ø30)</t>
    <phoneticPr fontId="7" type="noConversion"/>
  </si>
  <si>
    <t>m</t>
    <phoneticPr fontId="7" type="noConversion"/>
  </si>
  <si>
    <t>8. 접지선 (GV난연 6㎟)</t>
    <phoneticPr fontId="7" type="noConversion"/>
  </si>
  <si>
    <t xml:space="preserve"> 9. 접지봉 (18Φ*2400*1본)</t>
    <phoneticPr fontId="7" type="noConversion"/>
  </si>
  <si>
    <t>개소</t>
    <phoneticPr fontId="7" type="noConversion"/>
  </si>
  <si>
    <t>개소</t>
    <phoneticPr fontId="7" type="noConversion"/>
  </si>
  <si>
    <t>수</t>
    <phoneticPr fontId="7" type="noConversion"/>
  </si>
  <si>
    <t xml:space="preserve">량  </t>
    <phoneticPr fontId="7" type="noConversion"/>
  </si>
  <si>
    <t>산</t>
    <phoneticPr fontId="7" type="noConversion"/>
  </si>
  <si>
    <t>출</t>
    <phoneticPr fontId="7" type="noConversion"/>
  </si>
  <si>
    <t>서</t>
    <phoneticPr fontId="7" type="noConversion"/>
  </si>
  <si>
    <t>계</t>
    <phoneticPr fontId="7" type="noConversion"/>
  </si>
  <si>
    <t>1. 터파기</t>
    <phoneticPr fontId="73" type="noConversion"/>
  </si>
  <si>
    <t>a =</t>
    <phoneticPr fontId="7" type="noConversion"/>
  </si>
  <si>
    <t>a' =</t>
    <phoneticPr fontId="7" type="noConversion"/>
  </si>
  <si>
    <t>b' =</t>
    <phoneticPr fontId="7" type="noConversion"/>
  </si>
  <si>
    <t>V1=</t>
    <phoneticPr fontId="54" type="noConversion"/>
  </si>
  <si>
    <t>2. 레미콘</t>
    <phoneticPr fontId="73" type="noConversion"/>
  </si>
  <si>
    <t>a'=</t>
    <phoneticPr fontId="7" type="noConversion"/>
  </si>
  <si>
    <t xml:space="preserve">V4   = </t>
    <phoneticPr fontId="73" type="noConversion"/>
  </si>
  <si>
    <t>V2</t>
    <phoneticPr fontId="7" type="noConversion"/>
  </si>
  <si>
    <t xml:space="preserve"> 5. 합판거푸집</t>
    <phoneticPr fontId="54" type="noConversion"/>
  </si>
  <si>
    <t>+</t>
    <phoneticPr fontId="73" type="noConversion"/>
  </si>
  <si>
    <t>7. 전선관 (PE 54C)</t>
    <phoneticPr fontId="54" type="noConversion"/>
  </si>
  <si>
    <t>8. 접지선 (GV난연 16㎟)</t>
    <phoneticPr fontId="7" type="noConversion"/>
  </si>
  <si>
    <t xml:space="preserve"> 9. 접지봉 (14Φ*1000*1본)</t>
    <phoneticPr fontId="7" type="noConversion"/>
  </si>
  <si>
    <t>전5-29</t>
    <phoneticPr fontId="7" type="noConversion"/>
  </si>
  <si>
    <t>도   급   공   사   비</t>
    <phoneticPr fontId="54" type="noConversion"/>
  </si>
  <si>
    <t>h =</t>
    <phoneticPr fontId="7" type="noConversion"/>
  </si>
  <si>
    <t>a =</t>
    <phoneticPr fontId="7" type="noConversion"/>
  </si>
  <si>
    <t>a' =</t>
    <phoneticPr fontId="7" type="noConversion"/>
  </si>
  <si>
    <t>b =</t>
    <phoneticPr fontId="7" type="noConversion"/>
  </si>
  <si>
    <t>b' =</t>
    <phoneticPr fontId="7" type="noConversion"/>
  </si>
  <si>
    <t>V1=</t>
    <phoneticPr fontId="7" type="noConversion"/>
  </si>
  <si>
    <t>2.28-0.58</t>
    <phoneticPr fontId="7" type="noConversion"/>
  </si>
  <si>
    <t>토10-3-1</t>
    <phoneticPr fontId="7" type="noConversion"/>
  </si>
  <si>
    <t>kg</t>
  </si>
  <si>
    <t>:</t>
    <phoneticPr fontId="7" type="noConversion"/>
  </si>
  <si>
    <t>1㎡ 소요물량의 10%</t>
  </si>
  <si>
    <t>대형브레이카</t>
    <phoneticPr fontId="7" type="noConversion"/>
  </si>
  <si>
    <t>0.7㎥</t>
    <phoneticPr fontId="7" type="noConversion"/>
  </si>
  <si>
    <t>계</t>
    <phoneticPr fontId="7" type="noConversion"/>
  </si>
  <si>
    <t>No</t>
  </si>
  <si>
    <t>규   격</t>
  </si>
  <si>
    <t>단위</t>
  </si>
  <si>
    <t>비   고</t>
  </si>
  <si>
    <t>적용일자</t>
  </si>
  <si>
    <t>단  가</t>
  </si>
  <si>
    <t>1</t>
  </si>
  <si>
    <t/>
  </si>
  <si>
    <t>2</t>
  </si>
  <si>
    <t>3</t>
  </si>
  <si>
    <t>4</t>
  </si>
  <si>
    <t>5</t>
  </si>
  <si>
    <t>KWH</t>
  </si>
  <si>
    <t>6</t>
  </si>
  <si>
    <t>8</t>
  </si>
  <si>
    <t>10</t>
  </si>
  <si>
    <t>㎡</t>
  </si>
  <si>
    <t>20</t>
  </si>
  <si>
    <t>30</t>
  </si>
  <si>
    <t>80</t>
  </si>
  <si>
    <t>90</t>
  </si>
  <si>
    <t>135</t>
  </si>
  <si>
    <t>Ton</t>
  </si>
  <si>
    <t>2016</t>
  </si>
  <si>
    <t>대</t>
  </si>
  <si>
    <t>기</t>
  </si>
  <si>
    <t>회</t>
  </si>
  <si>
    <t>작업반장</t>
  </si>
  <si>
    <t>화약취급공</t>
  </si>
  <si>
    <t>건축목공</t>
  </si>
  <si>
    <t>판넬조립공</t>
  </si>
  <si>
    <t>지붕잇기공</t>
  </si>
  <si>
    <t>인력운반공</t>
  </si>
  <si>
    <t>건설기계조장</t>
  </si>
  <si>
    <t>건설기계운전사</t>
  </si>
  <si>
    <t>화물차운전사</t>
  </si>
  <si>
    <t>일반기계운전사</t>
  </si>
  <si>
    <t>기계설비공</t>
  </si>
  <si>
    <t>준설선선장</t>
  </si>
  <si>
    <t>준설선기관사</t>
  </si>
  <si>
    <t>준설선운전사</t>
  </si>
  <si>
    <t>플랜트배관공</t>
  </si>
  <si>
    <t>플랜트제관공</t>
  </si>
  <si>
    <t>플랜트용접공</t>
  </si>
  <si>
    <t>플랜트특수용접공</t>
  </si>
  <si>
    <t>플랜트기계설치공</t>
  </si>
  <si>
    <t>플랜트특별인부</t>
  </si>
  <si>
    <t>플랜트케이블전공</t>
  </si>
  <si>
    <t>플랜트계장공</t>
  </si>
  <si>
    <t>플랜트덕트공</t>
  </si>
  <si>
    <t>플랜트보온공</t>
  </si>
  <si>
    <t>제철축로공</t>
  </si>
  <si>
    <t>비파괴시험공</t>
  </si>
  <si>
    <t>특급품질관리원</t>
  </si>
  <si>
    <t>고급품질관리원</t>
  </si>
  <si>
    <t>중급품질관리원</t>
  </si>
  <si>
    <t>초급품질관리원</t>
  </si>
  <si>
    <t>지적기사</t>
  </si>
  <si>
    <t>지적산업기사</t>
  </si>
  <si>
    <t>지적기능사</t>
  </si>
  <si>
    <t>특고압케이블전공</t>
  </si>
  <si>
    <t>고압케이블전공</t>
  </si>
  <si>
    <t>석면해체공</t>
  </si>
  <si>
    <t>광케이블설치사</t>
  </si>
  <si>
    <t>드잡이공</t>
  </si>
  <si>
    <t>한식목공</t>
  </si>
  <si>
    <t>한식목공조공</t>
  </si>
  <si>
    <t>한식석공</t>
  </si>
  <si>
    <t>한식미장공</t>
  </si>
  <si>
    <t>한식와공</t>
  </si>
  <si>
    <t>한식와공조공</t>
  </si>
  <si>
    <t>목조각공</t>
  </si>
  <si>
    <t>석조각공</t>
  </si>
  <si>
    <t>특수화공</t>
  </si>
  <si>
    <t>원자력플랜트전공</t>
  </si>
  <si>
    <t>원자력용접공</t>
  </si>
  <si>
    <t>원자력기계설치공</t>
  </si>
  <si>
    <t>원자력품질관리사</t>
  </si>
  <si>
    <t>통신관련기사</t>
  </si>
  <si>
    <t>통신관련산업기사</t>
  </si>
  <si>
    <t>통신관련기능사</t>
  </si>
  <si>
    <t>전기공사산업기사</t>
  </si>
  <si>
    <t>변전전공</t>
  </si>
  <si>
    <t>합  계</t>
  </si>
  <si>
    <t>노무비</t>
  </si>
  <si>
    <t>재료비</t>
  </si>
  <si>
    <t>hr</t>
  </si>
  <si>
    <t>10Ton</t>
  </si>
  <si>
    <t>ton</t>
  </si>
  <si>
    <t>km</t>
  </si>
  <si>
    <t>상</t>
  </si>
  <si>
    <t>기계경비적용기준</t>
  </si>
  <si>
    <t>환 율 (/￦)</t>
  </si>
  <si>
    <t>기본재료비</t>
  </si>
  <si>
    <t>화   폐</t>
  </si>
  <si>
    <t>환  율</t>
  </si>
  <si>
    <t>비     고</t>
  </si>
  <si>
    <t>품   명</t>
  </si>
  <si>
    <t>규  격</t>
  </si>
  <si>
    <t>달러($)</t>
  </si>
  <si>
    <t>엔(100￥)</t>
  </si>
  <si>
    <t>유로(E)</t>
  </si>
  <si>
    <t>마르크(M)</t>
  </si>
  <si>
    <t>파운드(L)</t>
  </si>
  <si>
    <t>노임계수</t>
  </si>
  <si>
    <t>계산결과값 자리수</t>
  </si>
  <si>
    <t>계산값</t>
  </si>
  <si>
    <t>1/8*16/12*25/20</t>
  </si>
  <si>
    <t>1/8*16/12*25/20*24/15</t>
  </si>
  <si>
    <t>경  비 소수 1 미만 절하</t>
  </si>
  <si>
    <t>1/8*16/12*25/20*12/10</t>
  </si>
  <si>
    <t>1/8*16/12*25/20*14/12</t>
  </si>
  <si>
    <t>재료비 소수 1 미만 절하</t>
  </si>
  <si>
    <t>1/8*16/12*25/20*24/5</t>
  </si>
  <si>
    <t>노무비 소수 1 미만 절하</t>
  </si>
  <si>
    <t>기계경비</t>
  </si>
  <si>
    <t>명    칭</t>
  </si>
  <si>
    <t>산   출   근   거</t>
  </si>
  <si>
    <t>합    계</t>
  </si>
  <si>
    <t>경    비</t>
  </si>
  <si>
    <t>×</t>
  </si>
  <si>
    <t>10(-7)</t>
  </si>
  <si>
    <t>주연료</t>
  </si>
  <si>
    <t>경유</t>
  </si>
  <si>
    <t>주연료의</t>
  </si>
  <si>
    <t>%</t>
  </si>
  <si>
    <t>손    료</t>
  </si>
  <si>
    <t>잡    품</t>
  </si>
  <si>
    <t>0.7㎥</t>
  </si>
  <si>
    <t>주 연 료</t>
  </si>
  <si>
    <t>0.57㎥</t>
  </si>
  <si>
    <t>10~12Ton</t>
  </si>
  <si>
    <t>0.7Ton</t>
  </si>
  <si>
    <t>휘발유</t>
  </si>
  <si>
    <t>1.5Ton</t>
  </si>
  <si>
    <t>3.0m</t>
  </si>
  <si>
    <t>400ℓ</t>
  </si>
  <si>
    <t>320~400mm</t>
  </si>
  <si>
    <t>5500ℓ</t>
  </si>
  <si>
    <t>16000ℓ</t>
  </si>
  <si>
    <t>산    출    근    거</t>
  </si>
  <si>
    <t>경  비</t>
  </si>
  <si>
    <t>1.</t>
  </si>
  <si>
    <t>2.</t>
  </si>
  <si>
    <t>인건비의</t>
  </si>
  <si>
    <t>3.</t>
  </si>
  <si>
    <t>합</t>
  </si>
  <si>
    <t>경</t>
  </si>
  <si>
    <t>비</t>
  </si>
  <si>
    <t>※</t>
  </si>
  <si>
    <t>인건비</t>
  </si>
  <si>
    <t>÷</t>
  </si>
  <si>
    <t>인부소계</t>
  </si>
  <si>
    <t>가</t>
  </si>
  <si>
    <t>.</t>
  </si>
  <si>
    <t>Q</t>
  </si>
  <si>
    <t>소</t>
  </si>
  <si>
    <t>나</t>
  </si>
  <si>
    <t>다</t>
  </si>
  <si>
    <t>굴삭기(무한궤도)</t>
  </si>
  <si>
    <t>E</t>
  </si>
  <si>
    <t>Cm</t>
  </si>
  <si>
    <t>─</t>
  </si>
  <si>
    <t>4.</t>
  </si>
  <si>
    <t>5.</t>
  </si>
  <si>
    <t>라</t>
  </si>
  <si>
    <t>절단</t>
  </si>
  <si>
    <t>커터</t>
  </si>
  <si>
    <t>(320~400mm)</t>
  </si>
  <si>
    <t>일당</t>
  </si>
  <si>
    <t>작업량</t>
  </si>
  <si>
    <t>블레이드</t>
  </si>
  <si>
    <t>(14"×3.2mm)</t>
  </si>
  <si>
    <t>물운반</t>
  </si>
  <si>
    <t>물</t>
  </si>
  <si>
    <t>ℓ소요</t>
  </si>
  <si>
    <t>물탱크</t>
  </si>
  <si>
    <t>(5500ℓ)</t>
  </si>
  <si>
    <t>L</t>
  </si>
  <si>
    <t>V</t>
  </si>
  <si>
    <t>t1</t>
  </si>
  <si>
    <t>분</t>
  </si>
  <si>
    <t>준비</t>
  </si>
  <si>
    <t>t3</t>
  </si>
  <si>
    <t>흡입</t>
  </si>
  <si>
    <t>t4</t>
  </si>
  <si>
    <t>대기</t>
  </si>
  <si>
    <t>t5</t>
  </si>
  <si>
    <t>살수</t>
  </si>
  <si>
    <t>t2</t>
  </si>
  <si>
    <t>To</t>
  </si>
  <si>
    <t>공구손료</t>
  </si>
  <si>
    <t>일</t>
  </si>
  <si>
    <t>별도계상</t>
  </si>
  <si>
    <t>로우더(타이어)</t>
  </si>
  <si>
    <t>6.</t>
  </si>
  <si>
    <t>a</t>
  </si>
  <si>
    <t>수</t>
  </si>
  <si>
    <t>설</t>
  </si>
  <si>
    <t>짐</t>
  </si>
  <si>
    <t>(0.6㎥)</t>
  </si>
  <si>
    <t>포</t>
  </si>
  <si>
    <t>살</t>
  </si>
  <si>
    <t>플레이트콤팩터</t>
  </si>
  <si>
    <t>(1.5Ton)</t>
  </si>
  <si>
    <t>진동로울러(핸드가이드식)</t>
  </si>
  <si>
    <t>(0.7Ton)</t>
  </si>
  <si>
    <t>모래,서울,도착도</t>
  </si>
  <si>
    <t>(강모래)</t>
  </si>
  <si>
    <t>시간당</t>
  </si>
  <si>
    <t>배치인원</t>
  </si>
  <si>
    <t>Qd</t>
  </si>
  <si>
    <t>굴삭기(타이어형)</t>
  </si>
  <si>
    <t>시공량</t>
  </si>
  <si>
    <t>포설인부</t>
  </si>
  <si>
    <t>(0.57㎥)</t>
  </si>
  <si>
    <t>아스팔트스프레이어</t>
  </si>
  <si>
    <t>(400ℓ)</t>
  </si>
  <si>
    <t>아스팔트</t>
  </si>
  <si>
    <t>고압블록</t>
  </si>
  <si>
    <t>1.08</t>
  </si>
  <si>
    <t>비고</t>
    <phoneticPr fontId="7" type="noConversion"/>
  </si>
  <si>
    <t>8~15Ton</t>
  </si>
  <si>
    <t>손   료</t>
  </si>
  <si>
    <t>잡  품</t>
  </si>
  <si>
    <t>5Ton</t>
  </si>
  <si>
    <t>80kg</t>
  </si>
  <si>
    <t>토10-3-3</t>
    <phoneticPr fontId="7" type="noConversion"/>
  </si>
  <si>
    <t>토10-3-3</t>
    <phoneticPr fontId="7" type="noConversion"/>
  </si>
  <si>
    <t>토10-3-1</t>
    <phoneticPr fontId="7" type="noConversion"/>
  </si>
  <si>
    <t>토10-3-1</t>
    <phoneticPr fontId="7" type="noConversion"/>
  </si>
  <si>
    <t>토10-3-2</t>
    <phoneticPr fontId="7" type="noConversion"/>
  </si>
  <si>
    <t>토목단가산출</t>
    <phoneticPr fontId="7" type="noConversion"/>
  </si>
  <si>
    <t>계</t>
    <phoneticPr fontId="7" type="noConversion"/>
  </si>
  <si>
    <t>대형브레이카</t>
  </si>
  <si>
    <t>+굴삭기(0.7㎥)</t>
  </si>
  <si>
    <t>cm미만</t>
  </si>
  <si>
    <t>보조인부</t>
  </si>
  <si>
    <t>치즐소모비</t>
  </si>
  <si>
    <t>들어내기</t>
  </si>
  <si>
    <t>(0.7㎥)</t>
  </si>
  <si>
    <t>q</t>
  </si>
  <si>
    <t>f</t>
  </si>
  <si>
    <t>K</t>
  </si>
  <si>
    <t>sec</t>
  </si>
  <si>
    <t>˚</t>
  </si>
  <si>
    <t xml:space="preserve">공 종 </t>
    <phoneticPr fontId="223" type="noConversion"/>
  </si>
  <si>
    <t>수  량</t>
    <phoneticPr fontId="223" type="noConversion"/>
  </si>
  <si>
    <t>비   고</t>
    <phoneticPr fontId="223" type="noConversion"/>
  </si>
  <si>
    <t>보행철주</t>
    <phoneticPr fontId="223" type="noConversion"/>
  </si>
  <si>
    <t>(125A)</t>
    <phoneticPr fontId="223" type="noConversion"/>
  </si>
  <si>
    <t>기초산출근거</t>
    <phoneticPr fontId="223" type="noConversion"/>
  </si>
  <si>
    <t>㎥</t>
    <phoneticPr fontId="223" type="noConversion"/>
  </si>
  <si>
    <t>◎ 되메우기</t>
    <phoneticPr fontId="7" type="noConversion"/>
  </si>
  <si>
    <t>차량철주</t>
    <phoneticPr fontId="223" type="noConversion"/>
  </si>
  <si>
    <t>(200A)</t>
    <phoneticPr fontId="223" type="noConversion"/>
  </si>
  <si>
    <t>기초산출근거</t>
    <phoneticPr fontId="223" type="noConversion"/>
  </si>
  <si>
    <t>◎ 터파기</t>
    <phoneticPr fontId="7" type="noConversion"/>
  </si>
  <si>
    <t>㎥</t>
    <phoneticPr fontId="223" type="noConversion"/>
  </si>
  <si>
    <t>◎ 콘크리트 (25-21-08)</t>
    <phoneticPr fontId="7" type="noConversion"/>
  </si>
  <si>
    <t>㎡</t>
    <phoneticPr fontId="223" type="noConversion"/>
  </si>
  <si>
    <t>◎ 잔토처리</t>
    <phoneticPr fontId="7" type="noConversion"/>
  </si>
  <si>
    <t>제어기</t>
    <phoneticPr fontId="223" type="noConversion"/>
  </si>
  <si>
    <t>(1.6*1.0+1.84*1.24)/2*0.4 =</t>
    <phoneticPr fontId="7" type="noConversion"/>
  </si>
  <si>
    <t>0.78-0.29 =</t>
    <phoneticPr fontId="7" type="noConversion"/>
  </si>
  <si>
    <t>(1.2×0.6×1.0) =</t>
    <phoneticPr fontId="7" type="noConversion"/>
  </si>
  <si>
    <t>(1.2×1.0×2)+(0.6×1.0×2) =</t>
    <phoneticPr fontId="7" type="noConversion"/>
  </si>
  <si>
    <t>(1.2×0.6×0.4) =</t>
    <phoneticPr fontId="7" type="noConversion"/>
  </si>
  <si>
    <t>㎥</t>
    <phoneticPr fontId="223" type="noConversion"/>
  </si>
  <si>
    <t>0.6㎥</t>
  </si>
  <si>
    <t>2.5Ton</t>
  </si>
  <si>
    <t>4.5Ton</t>
  </si>
  <si>
    <t>덤프손료</t>
  </si>
  <si>
    <t>덮개손료</t>
  </si>
  <si>
    <t>15Ton</t>
  </si>
  <si>
    <t>10Km/hr</t>
  </si>
  <si>
    <t>25kW</t>
  </si>
  <si>
    <t>손  료</t>
  </si>
  <si>
    <t>25Ton</t>
  </si>
  <si>
    <t>라인마커</t>
  </si>
  <si>
    <t>덤프트럭</t>
  </si>
  <si>
    <t>덤프트럭(자동덮개)</t>
  </si>
  <si>
    <t>+굴삭기(0.4㎥)</t>
  </si>
  <si>
    <t>+굴삭기(0.2㎥)</t>
  </si>
  <si>
    <t>01.</t>
    <phoneticPr fontId="7" type="noConversion"/>
  </si>
  <si>
    <t>03.</t>
    <phoneticPr fontId="7" type="noConversion"/>
  </si>
  <si>
    <t>증기산출19</t>
    <phoneticPr fontId="7" type="noConversion"/>
  </si>
  <si>
    <t>소형고압블록철거[㎡]</t>
    <phoneticPr fontId="7" type="noConversion"/>
  </si>
  <si>
    <t>력</t>
  </si>
  <si>
    <t>&lt;품셈 3-1-3&gt;</t>
  </si>
  <si>
    <t>보통토</t>
  </si>
  <si>
    <t>,경질토</t>
  </si>
  <si>
    <t>,자갈토</t>
  </si>
  <si>
    <t>의</t>
  </si>
  <si>
    <t>평균</t>
  </si>
  <si>
    <t>(0.2㎥)</t>
  </si>
  <si>
    <t>되메우기</t>
  </si>
  <si>
    <t>&lt;품셈 3-2&gt;</t>
  </si>
  <si>
    <t>다짐</t>
  </si>
  <si>
    <t>램머</t>
  </si>
  <si>
    <t>(80kg)</t>
  </si>
  <si>
    <t>N</t>
  </si>
  <si>
    <t>P</t>
  </si>
  <si>
    <t>D</t>
  </si>
  <si>
    <t>(+굴삭기(0.4㎥)</t>
  </si>
  <si>
    <t>치즐(0.4㎥)</t>
  </si>
  <si>
    <t>(0.4㎥)</t>
  </si>
  <si>
    <t>치즐(0.4㎥)</t>
    <phoneticPr fontId="7" type="noConversion"/>
  </si>
  <si>
    <t>굴삭기</t>
    <phoneticPr fontId="7" type="noConversion"/>
  </si>
  <si>
    <t>(0.4㎥)</t>
    <phoneticPr fontId="7" type="noConversion"/>
  </si>
  <si>
    <t>차</t>
  </si>
  <si>
    <t>qs</t>
  </si>
  <si>
    <t>Es</t>
  </si>
  <si>
    <t>Cms</t>
  </si>
  <si>
    <t>상차비는</t>
  </si>
  <si>
    <t>깨기시</t>
  </si>
  <si>
    <t>적용</t>
  </si>
  <si>
    <t>운</t>
  </si>
  <si>
    <t>반</t>
  </si>
  <si>
    <t>(15Ton)</t>
  </si>
  <si>
    <t>V1</t>
  </si>
  <si>
    <t>V2</t>
  </si>
  <si>
    <t>T</t>
  </si>
  <si>
    <t>rt</t>
  </si>
  <si>
    <t>Lo</t>
  </si>
  <si>
    <t>n</t>
  </si>
  <si>
    <t>Q1</t>
  </si>
  <si>
    <t>年</t>
  </si>
  <si>
    <t>개정품셈</t>
  </si>
  <si>
    <t>차선도색</t>
  </si>
  <si>
    <t>일당시공량</t>
  </si>
  <si>
    <t>&lt; 유리알 살포량은 '교통노면표시 설치관리매뉴얼(경찰청)' 기준 &gt;</t>
  </si>
  <si>
    <t>도로표지용페인트(상온형)</t>
  </si>
  <si>
    <t>(KSM-6080(백색)</t>
  </si>
  <si>
    <t>유리알</t>
  </si>
  <si>
    <t>(1호,고휘도)</t>
  </si>
  <si>
    <t>자재소계</t>
  </si>
  <si>
    <t>잡재료</t>
  </si>
  <si>
    <t>주재료비의</t>
  </si>
  <si>
    <t>및</t>
  </si>
  <si>
    <t>경장비</t>
  </si>
  <si>
    <t>인력품의</t>
  </si>
  <si>
    <t>(4.5Ton)</t>
  </si>
  <si>
    <t>콘크리트</t>
  </si>
  <si>
    <t>&lt;품셈 10-3-2-3&gt;</t>
  </si>
  <si>
    <t>터파기(인력(100%))[㎥]</t>
    <phoneticPr fontId="7" type="noConversion"/>
  </si>
  <si>
    <t>터파기 (백호0.2㎥(100%)) [㎥]</t>
    <phoneticPr fontId="7" type="noConversion"/>
  </si>
  <si>
    <t>터파기 (백호(0.2㎥)90%+인력10%) [㎥]</t>
    <phoneticPr fontId="7" type="noConversion"/>
  </si>
  <si>
    <t>터파기 (백호(0.2㎥)80%+인력20%) [㎥]</t>
    <phoneticPr fontId="7" type="noConversion"/>
  </si>
  <si>
    <t>잔토처리(현장내)(인력)[㎥]</t>
    <phoneticPr fontId="7" type="noConversion"/>
  </si>
  <si>
    <t>되메우기및다짐(인력(100%))[㎥]</t>
    <phoneticPr fontId="7" type="noConversion"/>
  </si>
  <si>
    <t>되메우기및다짐(램머) (백호0.2㎥(100%)) [㎥]</t>
    <phoneticPr fontId="7" type="noConversion"/>
  </si>
  <si>
    <t>되메우기및다짐(램머) (백호(0.2㎥)90%+인력10%) [㎥]</t>
    <phoneticPr fontId="7" type="noConversion"/>
  </si>
  <si>
    <t>되메우기및다짐(콤팩터) (백호0.2㎥(100%)) [㎥]</t>
    <phoneticPr fontId="7" type="noConversion"/>
  </si>
  <si>
    <t>되메우기및다짐(콤팩터) (백호(0.2㎥)90%+인력10%) [㎥]</t>
    <phoneticPr fontId="7" type="noConversion"/>
  </si>
  <si>
    <t>무근콘크리트깨기(T=30cm이상(백호0.4㎥))[㎥]</t>
    <phoneticPr fontId="7" type="noConversion"/>
  </si>
  <si>
    <t>무근콘크리트깨기(T=30cm미만(백호0.4㎥))[㎥]</t>
    <phoneticPr fontId="7" type="noConversion"/>
  </si>
  <si>
    <t>소형고압블록포장(t=6~8cm)[㎡]</t>
    <phoneticPr fontId="7" type="noConversion"/>
  </si>
  <si>
    <t>아스팔트포장깨기(백호0.4㎥)[㎥]</t>
    <phoneticPr fontId="7" type="noConversion"/>
  </si>
  <si>
    <t>아스팔트포장절단(기계)[M]</t>
    <phoneticPr fontId="7" type="noConversion"/>
  </si>
  <si>
    <t>아스콘표층포설및다짐(인력식소규모)[㎡]</t>
    <phoneticPr fontId="7" type="noConversion"/>
  </si>
  <si>
    <t>택코팅(수동식) (RSC-4:30ℓ/a) [a]</t>
    <phoneticPr fontId="7" type="noConversion"/>
  </si>
  <si>
    <t>아스콘기층(BB층)포설및다짐 (소규모현장포설) [㎡]</t>
    <phoneticPr fontId="7" type="noConversion"/>
  </si>
  <si>
    <t>프라임코팅(수동식) (MC-1:75ℓ/a) [a]</t>
    <phoneticPr fontId="7" type="noConversion"/>
  </si>
  <si>
    <t>보조기층포설및다짐 (인력식소규모) [㎥]</t>
    <phoneticPr fontId="7" type="noConversion"/>
  </si>
  <si>
    <t>콘크리트포장절단(1차로(기계))[M]</t>
    <phoneticPr fontId="7" type="noConversion"/>
  </si>
  <si>
    <t>폐기물운반(아스콘) (덤프15톤) [Ton]</t>
    <phoneticPr fontId="7" type="noConversion"/>
  </si>
  <si>
    <t>폐기물운반(콘크리트) (덤프15톤) [Ton]</t>
    <phoneticPr fontId="7" type="noConversion"/>
  </si>
  <si>
    <t>◎ 거푸집 (4회)</t>
  </si>
  <si>
    <t>철거</t>
    <phoneticPr fontId="7" type="noConversion"/>
  </si>
  <si>
    <t>신 호 등 산 출 근 거</t>
    <phoneticPr fontId="223" type="noConversion"/>
  </si>
  <si>
    <t>토3-1-3</t>
    <phoneticPr fontId="7" type="noConversion"/>
  </si>
  <si>
    <t>토9-1</t>
    <phoneticPr fontId="7" type="noConversion"/>
  </si>
  <si>
    <t>토10-3-2</t>
    <phoneticPr fontId="7" type="noConversion"/>
  </si>
  <si>
    <t>토9-3</t>
    <phoneticPr fontId="7" type="noConversion"/>
  </si>
  <si>
    <t>토10-6-3</t>
    <phoneticPr fontId="7" type="noConversion"/>
  </si>
  <si>
    <t>합계</t>
    <phoneticPr fontId="7" type="noConversion"/>
  </si>
  <si>
    <t>개 =</t>
    <phoneticPr fontId="7" type="noConversion"/>
  </si>
  <si>
    <t>×</t>
    <phoneticPr fontId="7" type="noConversion"/>
  </si>
  <si>
    <t>㎡</t>
    <phoneticPr fontId="7" type="noConversion"/>
  </si>
  <si>
    <t>보강판 (12T) :</t>
    <phoneticPr fontId="7" type="noConversion"/>
  </si>
  <si>
    <t>kg =</t>
    <phoneticPr fontId="7" type="noConversion"/>
  </si>
  <si>
    <t>철판 (12T) :</t>
    <phoneticPr fontId="7" type="noConversion"/>
  </si>
  <si>
    <t>(Ø125×4m)</t>
    <phoneticPr fontId="7" type="noConversion"/>
  </si>
  <si>
    <t>m</t>
    <phoneticPr fontId="7" type="noConversion"/>
  </si>
  <si>
    <t>흑관 (Ø139.8) :</t>
    <phoneticPr fontId="7" type="noConversion"/>
  </si>
  <si>
    <t>보행등 철주</t>
    <phoneticPr fontId="7" type="noConversion"/>
  </si>
  <si>
    <t>리브 (9T)</t>
    <phoneticPr fontId="7" type="noConversion"/>
  </si>
  <si>
    <t>철판 (12T)</t>
    <phoneticPr fontId="7" type="noConversion"/>
  </si>
  <si>
    <t>흑관 (Ø76) :</t>
    <phoneticPr fontId="7" type="noConversion"/>
  </si>
  <si>
    <t>흑관 (Ø89) :</t>
    <phoneticPr fontId="7" type="noConversion"/>
  </si>
  <si>
    <t>부착대(5m)</t>
    <phoneticPr fontId="7" type="noConversion"/>
  </si>
  <si>
    <t>부착대(7m)</t>
    <phoneticPr fontId="7" type="noConversion"/>
  </si>
  <si>
    <t>후렌지리브 (9T)</t>
    <phoneticPr fontId="7" type="noConversion"/>
  </si>
  <si>
    <t>후렌지판 (12T)</t>
    <phoneticPr fontId="7" type="noConversion"/>
  </si>
  <si>
    <t>철판 (15T) :</t>
    <phoneticPr fontId="7" type="noConversion"/>
  </si>
  <si>
    <t>흑관 (Ø139) :</t>
    <phoneticPr fontId="7" type="noConversion"/>
  </si>
  <si>
    <t>차량등 철주</t>
    <phoneticPr fontId="7" type="noConversion"/>
  </si>
  <si>
    <t>계</t>
    <phoneticPr fontId="7" type="noConversion"/>
  </si>
  <si>
    <t>산 출 근 거</t>
    <phoneticPr fontId="7" type="noConversion"/>
  </si>
  <si>
    <t>품   명</t>
    <phoneticPr fontId="7" type="noConversion"/>
  </si>
  <si>
    <t>중량 (kg/㎡)</t>
    <phoneticPr fontId="7" type="noConversion"/>
  </si>
  <si>
    <t>중량 (kg/m)</t>
    <phoneticPr fontId="7" type="noConversion"/>
  </si>
  <si>
    <t>두께 (T=mm)</t>
    <phoneticPr fontId="7" type="noConversion"/>
  </si>
  <si>
    <t>두께</t>
    <phoneticPr fontId="7" type="noConversion"/>
  </si>
  <si>
    <t>규  격 (mm)</t>
    <phoneticPr fontId="7" type="noConversion"/>
  </si>
  <si>
    <t>단위중량 및 중량 산출</t>
    <phoneticPr fontId="7" type="noConversion"/>
  </si>
  <si>
    <t>(6.09/1000)*1.4*1.8/2</t>
    <phoneticPr fontId="7" type="noConversion"/>
  </si>
  <si>
    <t>a' =</t>
    <phoneticPr fontId="7" type="noConversion"/>
  </si>
  <si>
    <t xml:space="preserve">V3 = </t>
    <phoneticPr fontId="73" type="noConversion"/>
  </si>
  <si>
    <t>V1 -</t>
    <phoneticPr fontId="7" type="noConversion"/>
  </si>
  <si>
    <t>V4</t>
    <phoneticPr fontId="7" type="noConversion"/>
  </si>
  <si>
    <t xml:space="preserve">V3  = </t>
    <phoneticPr fontId="73" type="noConversion"/>
  </si>
  <si>
    <t>3.35-0.58</t>
    <phoneticPr fontId="7" type="noConversion"/>
  </si>
  <si>
    <t xml:space="preserve">V4   = </t>
    <phoneticPr fontId="73" type="noConversion"/>
  </si>
  <si>
    <t>V2</t>
    <phoneticPr fontId="7" type="noConversion"/>
  </si>
  <si>
    <t>1;0.3</t>
    <phoneticPr fontId="7" type="noConversion"/>
  </si>
  <si>
    <t xml:space="preserve"> 5. 합판거푸집</t>
    <phoneticPr fontId="54" type="noConversion"/>
  </si>
  <si>
    <t>{(</t>
    <phoneticPr fontId="7" type="noConversion"/>
  </si>
  <si>
    <t>+</t>
    <phoneticPr fontId="73" type="noConversion"/>
  </si>
  <si>
    <t>) /</t>
    <phoneticPr fontId="7" type="noConversion"/>
  </si>
  <si>
    <t>2  *</t>
    <phoneticPr fontId="7" type="noConversion"/>
  </si>
  <si>
    <t>}  *</t>
    <phoneticPr fontId="7" type="noConversion"/>
  </si>
  <si>
    <t>㎡</t>
    <phoneticPr fontId="54" type="noConversion"/>
  </si>
  <si>
    <t>6. 앵카볼트</t>
    <phoneticPr fontId="54" type="noConversion"/>
  </si>
  <si>
    <t>Φ25x500L</t>
    <phoneticPr fontId="7" type="noConversion"/>
  </si>
  <si>
    <t>EA</t>
    <phoneticPr fontId="7" type="noConversion"/>
  </si>
  <si>
    <t>7. 전선관 (PE 54C)</t>
    <phoneticPr fontId="54" type="noConversion"/>
  </si>
  <si>
    <t>m</t>
    <phoneticPr fontId="7" type="noConversion"/>
  </si>
  <si>
    <t>8. 접지선 (GV난연 16㎟)</t>
    <phoneticPr fontId="7" type="noConversion"/>
  </si>
  <si>
    <t xml:space="preserve"> 9. 접지봉 (14Φ*1000*1본)</t>
    <phoneticPr fontId="7" type="noConversion"/>
  </si>
  <si>
    <t>개소</t>
    <phoneticPr fontId="7" type="noConversion"/>
  </si>
  <si>
    <t>2심:140%</t>
    <phoneticPr fontId="7" type="noConversion"/>
  </si>
  <si>
    <t>(6.09/1000)*1.4</t>
    <phoneticPr fontId="7" type="noConversion"/>
  </si>
  <si>
    <t>V1=</t>
    <phoneticPr fontId="54" type="noConversion"/>
  </si>
  <si>
    <t>2. 레미콘</t>
    <phoneticPr fontId="73" type="noConversion"/>
  </si>
  <si>
    <t>V2 = a*b*h</t>
    <phoneticPr fontId="54" type="noConversion"/>
  </si>
  <si>
    <t>a =</t>
    <phoneticPr fontId="7" type="noConversion"/>
  </si>
  <si>
    <t>a' =</t>
    <phoneticPr fontId="7" type="noConversion"/>
  </si>
  <si>
    <t>h =</t>
    <phoneticPr fontId="7" type="noConversion"/>
  </si>
  <si>
    <t>A</t>
    <phoneticPr fontId="9" type="noConversion"/>
  </si>
  <si>
    <t>B</t>
    <phoneticPr fontId="9" type="noConversion"/>
  </si>
  <si>
    <t>V2 =</t>
    <phoneticPr fontId="73" type="noConversion"/>
  </si>
  <si>
    <t>3. 되메우기.다짐</t>
    <phoneticPr fontId="54" type="noConversion"/>
  </si>
  <si>
    <t xml:space="preserve"> 4. 합판거푸집</t>
    <phoneticPr fontId="54" type="noConversion"/>
  </si>
  <si>
    <t>{(</t>
    <phoneticPr fontId="7" type="noConversion"/>
  </si>
  <si>
    <t>+</t>
    <phoneticPr fontId="7" type="noConversion"/>
  </si>
  <si>
    <t>) /</t>
    <phoneticPr fontId="7" type="noConversion"/>
  </si>
  <si>
    <t>2  *</t>
    <phoneticPr fontId="7" type="noConversion"/>
  </si>
  <si>
    <t>}  *</t>
    <phoneticPr fontId="7" type="noConversion"/>
  </si>
  <si>
    <t>㎡</t>
    <phoneticPr fontId="54" type="noConversion"/>
  </si>
  <si>
    <t>5. 전선관</t>
    <phoneticPr fontId="7" type="noConversion"/>
  </si>
  <si>
    <t>(PE 16C)</t>
    <phoneticPr fontId="7" type="noConversion"/>
  </si>
  <si>
    <t>m</t>
    <phoneticPr fontId="7" type="noConversion"/>
  </si>
  <si>
    <t xml:space="preserve"> 9. 접지봉 (14Φ*1000*1본)</t>
    <phoneticPr fontId="7" type="noConversion"/>
  </si>
  <si>
    <t>개소</t>
    <phoneticPr fontId="7" type="noConversion"/>
  </si>
  <si>
    <t>POLE 기초(H=5m용)</t>
    <phoneticPr fontId="9" type="noConversion"/>
  </si>
  <si>
    <t>수</t>
    <phoneticPr fontId="7" type="noConversion"/>
  </si>
  <si>
    <t xml:space="preserve">량  </t>
    <phoneticPr fontId="7" type="noConversion"/>
  </si>
  <si>
    <t>산</t>
    <phoneticPr fontId="7" type="noConversion"/>
  </si>
  <si>
    <t>출</t>
    <phoneticPr fontId="7" type="noConversion"/>
  </si>
  <si>
    <t>서</t>
    <phoneticPr fontId="7" type="noConversion"/>
  </si>
  <si>
    <t>계</t>
    <phoneticPr fontId="7" type="noConversion"/>
  </si>
  <si>
    <t>1. 터파기</t>
    <phoneticPr fontId="73" type="noConversion"/>
  </si>
  <si>
    <t>V1 = h/6 { (2a+a')b + (2a'+a)b' }</t>
    <phoneticPr fontId="73" type="noConversion"/>
  </si>
  <si>
    <t>b =</t>
    <phoneticPr fontId="7" type="noConversion"/>
  </si>
  <si>
    <t>b' =</t>
    <phoneticPr fontId="7" type="noConversion"/>
  </si>
  <si>
    <t xml:space="preserve">V3 = </t>
    <phoneticPr fontId="73" type="noConversion"/>
  </si>
  <si>
    <t>V1 -</t>
    <phoneticPr fontId="7" type="noConversion"/>
  </si>
  <si>
    <t>V4</t>
    <phoneticPr fontId="7" type="noConversion"/>
  </si>
  <si>
    <t>-</t>
    <phoneticPr fontId="9" type="noConversion"/>
  </si>
  <si>
    <t>4. 잔토처리</t>
    <phoneticPr fontId="54" type="noConversion"/>
  </si>
  <si>
    <t>3. 되메우기.다짐</t>
    <phoneticPr fontId="54" type="noConversion"/>
  </si>
  <si>
    <t>4. 잔토처리</t>
    <phoneticPr fontId="54" type="noConversion"/>
  </si>
  <si>
    <t>0.031*0.6*1.3</t>
    <phoneticPr fontId="7" type="noConversion"/>
  </si>
  <si>
    <t>0.062*0.6*1.3</t>
    <phoneticPr fontId="7" type="noConversion"/>
  </si>
  <si>
    <t>7. 전선관 (PE 16C)</t>
    <phoneticPr fontId="54" type="noConversion"/>
  </si>
  <si>
    <t>8. 접지선 (GV난연 4㎟)</t>
    <phoneticPr fontId="7" type="noConversion"/>
  </si>
  <si>
    <t>400x700x650</t>
    <phoneticPr fontId="7" type="noConversion"/>
  </si>
  <si>
    <t>컨트롤러 외함기초</t>
    <phoneticPr fontId="9" type="noConversion"/>
  </si>
  <si>
    <t>한   전   불   입   금</t>
    <phoneticPr fontId="54" type="noConversion"/>
  </si>
  <si>
    <t>정면도</t>
  </si>
  <si>
    <t>측면도</t>
  </si>
  <si>
    <t>(Ø250×8m)</t>
    <phoneticPr fontId="7" type="noConversion"/>
  </si>
  <si>
    <t>흑관 (Ø267) :</t>
    <phoneticPr fontId="7" type="noConversion"/>
  </si>
  <si>
    <t>부착대(11m)</t>
    <phoneticPr fontId="7" type="noConversion"/>
  </si>
  <si>
    <t>부착대(9m)</t>
    <phoneticPr fontId="7" type="noConversion"/>
  </si>
  <si>
    <t>POLE 기초(H=8m용)</t>
    <phoneticPr fontId="9" type="noConversion"/>
  </si>
  <si>
    <t>기초산출#3</t>
    <phoneticPr fontId="54" type="noConversion"/>
  </si>
  <si>
    <t>기초산출#4</t>
    <phoneticPr fontId="54" type="noConversion"/>
  </si>
  <si>
    <t>기초산출#5</t>
    <phoneticPr fontId="54" type="noConversion"/>
  </si>
  <si>
    <t>기초산출#6</t>
    <phoneticPr fontId="54" type="noConversion"/>
  </si>
  <si>
    <t>500*900*800</t>
    <phoneticPr fontId="7" type="noConversion"/>
  </si>
  <si>
    <t>500x850x700</t>
    <phoneticPr fontId="7" type="noConversion"/>
  </si>
  <si>
    <t>POLE 기초(H=5m용)</t>
    <phoneticPr fontId="9" type="noConversion"/>
  </si>
  <si>
    <t>420*650*700</t>
    <phoneticPr fontId="7" type="noConversion"/>
  </si>
  <si>
    <t>0.027*1.3</t>
    <phoneticPr fontId="7" type="noConversion"/>
  </si>
  <si>
    <t>0.054*1.3</t>
    <phoneticPr fontId="7" type="noConversion"/>
  </si>
  <si>
    <t>가로등공사:130%</t>
    <phoneticPr fontId="7" type="noConversion"/>
  </si>
  <si>
    <t>전5-4</t>
    <phoneticPr fontId="7" type="noConversion"/>
  </si>
  <si>
    <t>노무비의 3%</t>
    <phoneticPr fontId="7" type="noConversion"/>
  </si>
  <si>
    <t>0.031*1.3</t>
    <phoneticPr fontId="7" type="noConversion"/>
  </si>
  <si>
    <t>0.062*1.3</t>
    <phoneticPr fontId="7" type="noConversion"/>
  </si>
  <si>
    <t>관급자재</t>
    <phoneticPr fontId="7" type="noConversion"/>
  </si>
  <si>
    <t>기초산출#2</t>
    <phoneticPr fontId="54" type="noConversion"/>
  </si>
  <si>
    <t>hr</t>
    <phoneticPr fontId="7" type="noConversion"/>
  </si>
  <si>
    <t>인</t>
    <phoneticPr fontId="7" type="noConversion"/>
  </si>
  <si>
    <t>전5-27-1</t>
    <phoneticPr fontId="7" type="noConversion"/>
  </si>
  <si>
    <t>전5-18-2</t>
    <phoneticPr fontId="7" type="noConversion"/>
  </si>
  <si>
    <t>배전전공</t>
    <phoneticPr fontId="7" type="noConversion"/>
  </si>
  <si>
    <t>보통인부</t>
    <phoneticPr fontId="7" type="noConversion"/>
  </si>
  <si>
    <t>F-CV 2.5㎟/3C (등주내배선)</t>
    <phoneticPr fontId="7" type="noConversion"/>
  </si>
  <si>
    <t>산출근거</t>
    <phoneticPr fontId="7" type="noConversion"/>
  </si>
  <si>
    <t>2. 옥외조명 설치공사 [LP-A]</t>
    <phoneticPr fontId="7" type="noConversion"/>
  </si>
  <si>
    <t>(11)*13</t>
    <phoneticPr fontId="7" type="noConversion"/>
  </si>
  <si>
    <t>2.2 L-2</t>
    <phoneticPr fontId="7" type="noConversion"/>
  </si>
  <si>
    <t>15+(1*2*1)</t>
    <phoneticPr fontId="7" type="noConversion"/>
  </si>
  <si>
    <t>20*6+25+(1*2*7)</t>
    <phoneticPr fontId="7" type="noConversion"/>
  </si>
  <si>
    <t>2.3 L-3</t>
    <phoneticPr fontId="7" type="noConversion"/>
  </si>
  <si>
    <t>25+20+(1*2*2)</t>
    <phoneticPr fontId="7" type="noConversion"/>
  </si>
  <si>
    <t>20*5+45+20*4+(1*2*10)</t>
    <phoneticPr fontId="7" type="noConversion"/>
  </si>
  <si>
    <t>(11)*12*2</t>
    <phoneticPr fontId="7" type="noConversion"/>
  </si>
  <si>
    <t>2.4 L-4</t>
    <phoneticPr fontId="7" type="noConversion"/>
  </si>
  <si>
    <t>6+10+10+15+(1*2*4)</t>
    <phoneticPr fontId="7" type="noConversion"/>
  </si>
  <si>
    <t>(4)*4</t>
    <phoneticPr fontId="7" type="noConversion"/>
  </si>
  <si>
    <t>엘피일이</t>
    <phoneticPr fontId="7" type="noConversion"/>
  </si>
  <si>
    <t>엘피일삼</t>
    <phoneticPr fontId="7" type="noConversion"/>
  </si>
  <si>
    <t>내선전공</t>
    <phoneticPr fontId="7" type="noConversion"/>
  </si>
  <si>
    <t>보통인부</t>
    <phoneticPr fontId="7" type="noConversion"/>
  </si>
  <si>
    <t>(4.62/1000)*1.4*1.3</t>
    <phoneticPr fontId="7" type="noConversion"/>
  </si>
  <si>
    <t>전5-13</t>
    <phoneticPr fontId="7" type="noConversion"/>
  </si>
  <si>
    <t>가공:130%</t>
    <phoneticPr fontId="7" type="noConversion"/>
  </si>
  <si>
    <t>0.032*1.3</t>
    <phoneticPr fontId="7" type="noConversion"/>
  </si>
  <si>
    <t>전5-25-4</t>
    <phoneticPr fontId="7" type="noConversion"/>
  </si>
  <si>
    <t>철거:50%</t>
    <phoneticPr fontId="7" type="noConversion"/>
  </si>
  <si>
    <t>전5-46-나</t>
    <phoneticPr fontId="7" type="noConversion"/>
  </si>
  <si>
    <t>0.98*1.2</t>
    <phoneticPr fontId="7" type="noConversion"/>
  </si>
  <si>
    <t>0.75*1.2</t>
    <phoneticPr fontId="7" type="noConversion"/>
  </si>
  <si>
    <t>0.98*1.4*1.4</t>
    <phoneticPr fontId="7" type="noConversion"/>
  </si>
  <si>
    <t>0.75*1.4*1.4</t>
    <phoneticPr fontId="7" type="noConversion"/>
  </si>
  <si>
    <t>전5-29</t>
    <phoneticPr fontId="7" type="noConversion"/>
  </si>
  <si>
    <t>보통인부</t>
    <phoneticPr fontId="7" type="noConversion"/>
  </si>
  <si>
    <t>전5-46-다</t>
    <phoneticPr fontId="7" type="noConversion"/>
  </si>
  <si>
    <t>S/W 시험사</t>
    <phoneticPr fontId="7" type="noConversion"/>
  </si>
  <si>
    <t>H/W 시험사</t>
    <phoneticPr fontId="7" type="noConversion"/>
  </si>
  <si>
    <t>전5-3</t>
    <phoneticPr fontId="7" type="noConversion"/>
  </si>
  <si>
    <t>전5-46-가</t>
    <phoneticPr fontId="7" type="noConversion"/>
  </si>
  <si>
    <t>전5-25-3</t>
    <phoneticPr fontId="7" type="noConversion"/>
  </si>
  <si>
    <t>비 계 공</t>
    <phoneticPr fontId="7" type="noConversion"/>
  </si>
  <si>
    <t>특별인부</t>
    <phoneticPr fontId="7" type="noConversion"/>
  </si>
  <si>
    <t>작업반장</t>
    <phoneticPr fontId="7" type="noConversion"/>
  </si>
  <si>
    <t>줄 눈 공</t>
    <phoneticPr fontId="7" type="noConversion"/>
  </si>
  <si>
    <t>배전전공</t>
    <phoneticPr fontId="7" type="noConversion"/>
  </si>
  <si>
    <t>전4-7</t>
    <phoneticPr fontId="7" type="noConversion"/>
  </si>
  <si>
    <t>전4-8</t>
    <phoneticPr fontId="7" type="noConversion"/>
  </si>
  <si>
    <t>전5-23-나</t>
    <phoneticPr fontId="7" type="noConversion"/>
  </si>
  <si>
    <t>철거:50%</t>
    <phoneticPr fontId="7" type="noConversion"/>
  </si>
  <si>
    <t>0.98*0.5</t>
    <phoneticPr fontId="7" type="noConversion"/>
  </si>
  <si>
    <t>0.75*0.5</t>
    <phoneticPr fontId="7" type="noConversion"/>
  </si>
  <si>
    <t>전5-27-1</t>
    <phoneticPr fontId="7" type="noConversion"/>
  </si>
  <si>
    <t>0.08*0.5</t>
    <phoneticPr fontId="7" type="noConversion"/>
  </si>
  <si>
    <t>0.19*0.5</t>
    <phoneticPr fontId="7" type="noConversion"/>
  </si>
  <si>
    <t>0.9*0.5</t>
    <phoneticPr fontId="7" type="noConversion"/>
  </si>
  <si>
    <t>0.8*0.5</t>
    <phoneticPr fontId="7" type="noConversion"/>
  </si>
  <si>
    <t>전4-43-3</t>
    <phoneticPr fontId="7" type="noConversion"/>
  </si>
  <si>
    <t>0.53*0.5</t>
    <phoneticPr fontId="7" type="noConversion"/>
  </si>
  <si>
    <t>0.28*0.5</t>
    <phoneticPr fontId="7" type="noConversion"/>
  </si>
  <si>
    <t>0.03*0.5</t>
    <phoneticPr fontId="7" type="noConversion"/>
  </si>
  <si>
    <t>전5-13</t>
    <phoneticPr fontId="7" type="noConversion"/>
  </si>
  <si>
    <t>0.032*1.3*0.5</t>
    <phoneticPr fontId="7" type="noConversion"/>
  </si>
  <si>
    <t>철거:30%</t>
    <phoneticPr fontId="7" type="noConversion"/>
  </si>
  <si>
    <t>0.02*0.5</t>
    <phoneticPr fontId="7" type="noConversion"/>
  </si>
  <si>
    <t>0.048*0.3</t>
    <phoneticPr fontId="7" type="noConversion"/>
  </si>
  <si>
    <t>0.024*0.3</t>
    <phoneticPr fontId="7" type="noConversion"/>
  </si>
  <si>
    <t>관급자재</t>
    <phoneticPr fontId="7" type="noConversion"/>
  </si>
  <si>
    <t>신호등기초산출</t>
    <phoneticPr fontId="7" type="noConversion"/>
  </si>
  <si>
    <t>전5-1</t>
    <phoneticPr fontId="7" type="noConversion"/>
  </si>
  <si>
    <t>전5-26-1</t>
    <phoneticPr fontId="7" type="noConversion"/>
  </si>
  <si>
    <t>0.08*0.5</t>
    <phoneticPr fontId="7" type="noConversion"/>
  </si>
  <si>
    <t>0.19*0.5</t>
    <phoneticPr fontId="7" type="noConversion"/>
  </si>
  <si>
    <t>물가자료부록(2018)</t>
    <phoneticPr fontId="7" type="noConversion"/>
  </si>
  <si>
    <t>물가정보부록(2018)</t>
    <phoneticPr fontId="7" type="noConversion"/>
  </si>
  <si>
    <r>
      <rPr>
        <sz val="10"/>
        <color indexed="8"/>
        <rFont val="돋움"/>
        <family val="3"/>
        <charset val="129"/>
      </rPr>
      <t>경</t>
    </r>
    <r>
      <rPr>
        <sz val="10"/>
        <color indexed="8"/>
        <rFont val="돋움"/>
        <family val="3"/>
        <charset val="129"/>
      </rPr>
      <t>유</t>
    </r>
    <phoneticPr fontId="7" type="noConversion"/>
  </si>
  <si>
    <r>
      <rPr>
        <sz val="10"/>
        <color indexed="8"/>
        <rFont val="돋움"/>
        <family val="3"/>
        <charset val="129"/>
      </rPr>
      <t>치</t>
    </r>
    <r>
      <rPr>
        <sz val="10"/>
        <color indexed="8"/>
        <rFont val="돋움"/>
        <family val="3"/>
        <charset val="129"/>
      </rPr>
      <t>즐</t>
    </r>
    <r>
      <rPr>
        <sz val="10"/>
        <color indexed="8"/>
        <rFont val="Arial"/>
        <family val="2"/>
      </rPr>
      <t>(0.4</t>
    </r>
    <r>
      <rPr>
        <sz val="10"/>
        <color indexed="8"/>
        <rFont val="돋움"/>
        <family val="3"/>
        <charset val="129"/>
      </rPr>
      <t>㎥</t>
    </r>
    <r>
      <rPr>
        <sz val="10"/>
        <color indexed="8"/>
        <rFont val="Arial"/>
        <family val="2"/>
      </rPr>
      <t>)</t>
    </r>
    <phoneticPr fontId="7" type="noConversion"/>
  </si>
  <si>
    <r>
      <rPr>
        <sz val="10"/>
        <color indexed="8"/>
        <rFont val="돋움"/>
        <family val="3"/>
        <charset val="129"/>
      </rPr>
      <t>치</t>
    </r>
    <r>
      <rPr>
        <sz val="10"/>
        <color indexed="8"/>
        <rFont val="돋움"/>
        <family val="3"/>
        <charset val="129"/>
      </rPr>
      <t>즐</t>
    </r>
    <r>
      <rPr>
        <sz val="10"/>
        <color indexed="8"/>
        <rFont val="Arial"/>
        <family val="2"/>
      </rPr>
      <t>(0.7</t>
    </r>
    <r>
      <rPr>
        <sz val="10"/>
        <color indexed="8"/>
        <rFont val="돋움"/>
        <family val="3"/>
        <charset val="129"/>
      </rPr>
      <t>㎥</t>
    </r>
    <r>
      <rPr>
        <sz val="10"/>
        <color indexed="8"/>
        <rFont val="Arial"/>
        <family val="2"/>
      </rPr>
      <t>)</t>
    </r>
    <phoneticPr fontId="7" type="noConversion"/>
  </si>
  <si>
    <r>
      <rPr>
        <sz val="10"/>
        <color indexed="8"/>
        <rFont val="돋움"/>
        <family val="3"/>
        <charset val="129"/>
      </rPr>
      <t>휘</t>
    </r>
    <r>
      <rPr>
        <sz val="10"/>
        <color indexed="8"/>
        <rFont val="돋움"/>
        <family val="3"/>
        <charset val="129"/>
      </rPr>
      <t>발</t>
    </r>
    <r>
      <rPr>
        <sz val="10"/>
        <color indexed="8"/>
        <rFont val="돋움"/>
        <family val="3"/>
        <charset val="129"/>
      </rPr>
      <t>유</t>
    </r>
    <phoneticPr fontId="7" type="noConversion"/>
  </si>
  <si>
    <r>
      <rPr>
        <sz val="10"/>
        <color indexed="8"/>
        <rFont val="돋움"/>
        <family val="3"/>
        <charset val="129"/>
      </rPr>
      <t>중</t>
    </r>
    <r>
      <rPr>
        <sz val="10"/>
        <color indexed="8"/>
        <rFont val="돋움"/>
        <family val="3"/>
        <charset val="129"/>
      </rPr>
      <t>유</t>
    </r>
    <phoneticPr fontId="7" type="noConversion"/>
  </si>
  <si>
    <r>
      <rPr>
        <sz val="10"/>
        <color indexed="8"/>
        <rFont val="돋움"/>
        <family val="3"/>
        <charset val="129"/>
      </rPr>
      <t>전</t>
    </r>
    <r>
      <rPr>
        <sz val="10"/>
        <color indexed="8"/>
        <rFont val="돋움"/>
        <family val="3"/>
        <charset val="129"/>
      </rPr>
      <t>력</t>
    </r>
    <phoneticPr fontId="7" type="noConversion"/>
  </si>
  <si>
    <t>0.98*0.8</t>
    <phoneticPr fontId="7" type="noConversion"/>
  </si>
  <si>
    <t>0.75*0.8</t>
    <phoneticPr fontId="7" type="noConversion"/>
  </si>
  <si>
    <t>재사용철거:0.8</t>
    <phoneticPr fontId="7" type="noConversion"/>
  </si>
  <si>
    <t>0.9*0.8</t>
    <phoneticPr fontId="7" type="noConversion"/>
  </si>
  <si>
    <t>0.8*0.8</t>
    <phoneticPr fontId="7" type="noConversion"/>
  </si>
  <si>
    <t>0.3*0.8</t>
    <phoneticPr fontId="7" type="noConversion"/>
  </si>
  <si>
    <t>0.2*0.8</t>
    <phoneticPr fontId="7" type="noConversion"/>
  </si>
  <si>
    <t>0.208*0.5</t>
    <phoneticPr fontId="7" type="noConversion"/>
  </si>
  <si>
    <t>전5-46-가</t>
    <phoneticPr fontId="7" type="noConversion"/>
  </si>
  <si>
    <t>◎ 터파기</t>
    <phoneticPr fontId="7" type="noConversion"/>
  </si>
  <si>
    <t>[1.3/3×{2.25^2+(2.25+1.4)+1.4^2}] = 4.62㎥</t>
    <phoneticPr fontId="7" type="noConversion"/>
  </si>
  <si>
    <t>㎥</t>
    <phoneticPr fontId="223" type="noConversion"/>
  </si>
  <si>
    <t>◎ 되메우기</t>
    <phoneticPr fontId="7" type="noConversion"/>
  </si>
  <si>
    <t>4.62-1.06 = 3.56㎥</t>
    <phoneticPr fontId="7" type="noConversion"/>
  </si>
  <si>
    <t>◎ 콘크리트 (25-21-08)</t>
    <phoneticPr fontId="7" type="noConversion"/>
  </si>
  <si>
    <t>{(1.0×1.0×1.0)+(0.45×0.45×0.3)} = 1.06㎥</t>
    <phoneticPr fontId="7" type="noConversion"/>
  </si>
  <si>
    <t>◎ 거푸집 (6회)</t>
    <phoneticPr fontId="7" type="noConversion"/>
  </si>
  <si>
    <t>{(1×1×4)+(0.45×0.3×4)} = 4.54㎡</t>
    <phoneticPr fontId="7" type="noConversion"/>
  </si>
  <si>
    <t>㎡</t>
    <phoneticPr fontId="223" type="noConversion"/>
  </si>
  <si>
    <t>◎ 잔토처리</t>
    <phoneticPr fontId="7" type="noConversion"/>
  </si>
  <si>
    <t>4.62-3.56 = 1.06 ㎥</t>
    <phoneticPr fontId="7" type="noConversion"/>
  </si>
  <si>
    <t>[1.6/3×{2.86^2+(2.86+1.8)+1.8^2}] = 8.58㎥</t>
    <phoneticPr fontId="7" type="noConversion"/>
  </si>
  <si>
    <t>8.58-1.87 = 6.71㎥</t>
    <phoneticPr fontId="7" type="noConversion"/>
  </si>
  <si>
    <t>{(1.2×1.2×1.2)+(0.6×0.6×0.4)} = 1.87㎥</t>
    <phoneticPr fontId="7" type="noConversion"/>
  </si>
  <si>
    <t>{(1.2×1.2×4)+(0.6×0.4×4)} = 6.72㎡</t>
    <phoneticPr fontId="7" type="noConversion"/>
  </si>
  <si>
    <t>8.58-6.71 = 1.87 ㎥</t>
    <phoneticPr fontId="7" type="noConversion"/>
  </si>
  <si>
    <t>[1.9/3×{3.06^2+(3.06+1.8)+1.8^2}] = 11.06㎥</t>
    <phoneticPr fontId="7" type="noConversion"/>
  </si>
  <si>
    <t>11.06-2.26 = 8.8㎥</t>
    <phoneticPr fontId="7" type="noConversion"/>
  </si>
  <si>
    <t>{(1.2×1.2×1.4)+(0.7×0.7×0.5)} = 2.26㎥</t>
    <phoneticPr fontId="7" type="noConversion"/>
  </si>
  <si>
    <t>{(1.2×1.4×4)+(0.7×0.5×4)} = 8.12㎡</t>
    <phoneticPr fontId="7" type="noConversion"/>
  </si>
  <si>
    <t>11.06-8.8 = 2.26 ㎥</t>
    <phoneticPr fontId="7" type="noConversion"/>
  </si>
  <si>
    <t>재사용철거:80%</t>
    <phoneticPr fontId="7" type="noConversion"/>
  </si>
  <si>
    <t>1.6*0.8</t>
    <phoneticPr fontId="7" type="noConversion"/>
  </si>
  <si>
    <t>1.5*0.8</t>
    <phoneticPr fontId="7" type="noConversion"/>
  </si>
  <si>
    <t>0.38*0.8</t>
    <phoneticPr fontId="7" type="noConversion"/>
  </si>
  <si>
    <t>0.23*0.8</t>
    <phoneticPr fontId="7" type="noConversion"/>
  </si>
  <si>
    <t>내선전공</t>
    <phoneticPr fontId="7" type="noConversion"/>
  </si>
  <si>
    <t>0.98*1.4*1.4*0.8</t>
    <phoneticPr fontId="7" type="noConversion"/>
  </si>
  <si>
    <t>보통인부</t>
    <phoneticPr fontId="7" type="noConversion"/>
  </si>
  <si>
    <t>0.75*1.4*1.4*0.8</t>
    <phoneticPr fontId="7" type="noConversion"/>
  </si>
  <si>
    <t>0.98*(1+0.4)*1.4*1.4*0.8</t>
    <phoneticPr fontId="7" type="noConversion"/>
  </si>
  <si>
    <t>0.75*(1+0.4)*1.4*1.4*0.8</t>
    <phoneticPr fontId="7" type="noConversion"/>
  </si>
  <si>
    <t>0.98*(1+0.4)*1.2*0.8</t>
    <phoneticPr fontId="7" type="noConversion"/>
  </si>
  <si>
    <t>0.75*(1+0.4)*1.2*0.8</t>
    <phoneticPr fontId="7" type="noConversion"/>
  </si>
  <si>
    <t>0.98*1.2*0.8</t>
    <phoneticPr fontId="7" type="noConversion"/>
  </si>
  <si>
    <t>0.75*1.2*0.8</t>
    <phoneticPr fontId="7" type="noConversion"/>
  </si>
  <si>
    <t>0.98*1.4*1.4</t>
    <phoneticPr fontId="7" type="noConversion"/>
  </si>
  <si>
    <t>0.75*1.4*1.4</t>
    <phoneticPr fontId="7" type="noConversion"/>
  </si>
  <si>
    <t>0.98*(1+0.4)*1.4*1.4</t>
    <phoneticPr fontId="7" type="noConversion"/>
  </si>
  <si>
    <t>0.75*(1+0.4)*1.4*1.4</t>
    <phoneticPr fontId="7" type="noConversion"/>
  </si>
  <si>
    <t>0.98*(1+0.4)*1.2</t>
    <phoneticPr fontId="7" type="noConversion"/>
  </si>
  <si>
    <t>0.75*(1+0.4)*1.2</t>
    <phoneticPr fontId="7" type="noConversion"/>
  </si>
  <si>
    <t>W1</t>
    <phoneticPr fontId="244" type="noConversion"/>
  </si>
  <si>
    <t>D</t>
    <phoneticPr fontId="244" type="noConversion"/>
  </si>
  <si>
    <t>D1</t>
    <phoneticPr fontId="244" type="noConversion"/>
  </si>
  <si>
    <t>D2</t>
    <phoneticPr fontId="244" type="noConversion"/>
  </si>
  <si>
    <t>D3</t>
    <phoneticPr fontId="244" type="noConversion"/>
  </si>
  <si>
    <t>D4</t>
    <phoneticPr fontId="244" type="noConversion"/>
  </si>
  <si>
    <t>D5</t>
    <phoneticPr fontId="244" type="noConversion"/>
  </si>
  <si>
    <t>공종</t>
    <phoneticPr fontId="244" type="noConversion"/>
  </si>
  <si>
    <t>규격</t>
    <phoneticPr fontId="244" type="noConversion"/>
  </si>
  <si>
    <t>산출근거</t>
    <phoneticPr fontId="244" type="noConversion"/>
  </si>
  <si>
    <t>단위</t>
    <phoneticPr fontId="244" type="noConversion"/>
  </si>
  <si>
    <t>수량</t>
    <phoneticPr fontId="244" type="noConversion"/>
  </si>
  <si>
    <t>비고</t>
    <phoneticPr fontId="244" type="noConversion"/>
  </si>
  <si>
    <t>ASP포장절단</t>
    <phoneticPr fontId="244" type="noConversion"/>
  </si>
  <si>
    <t>x</t>
    <phoneticPr fontId="244" type="noConversion"/>
  </si>
  <si>
    <t>m</t>
    <phoneticPr fontId="244" type="noConversion"/>
  </si>
  <si>
    <t>ASP 깨기</t>
    <phoneticPr fontId="244" type="noConversion"/>
  </si>
  <si>
    <t>㎥</t>
    <phoneticPr fontId="244" type="noConversion"/>
  </si>
  <si>
    <t>터파기</t>
    <phoneticPr fontId="244" type="noConversion"/>
  </si>
  <si>
    <t>x</t>
    <phoneticPr fontId="244" type="noConversion"/>
  </si>
  <si>
    <t xml:space="preserve">x </t>
    <phoneticPr fontId="244" type="noConversion"/>
  </si>
  <si>
    <t>㎥</t>
    <phoneticPr fontId="244" type="noConversion"/>
  </si>
  <si>
    <t>모래부설</t>
    <phoneticPr fontId="244" type="noConversion"/>
  </si>
  <si>
    <t>되메우기</t>
    <phoneticPr fontId="244" type="noConversion"/>
  </si>
  <si>
    <t>보조기층 부설</t>
    <phoneticPr fontId="244" type="noConversion"/>
  </si>
  <si>
    <t>x</t>
    <phoneticPr fontId="244" type="noConversion"/>
  </si>
  <si>
    <t>㎥</t>
    <phoneticPr fontId="244" type="noConversion"/>
  </si>
  <si>
    <t>프라임 코팅</t>
    <phoneticPr fontId="244" type="noConversion"/>
  </si>
  <si>
    <t>x</t>
    <phoneticPr fontId="244" type="noConversion"/>
  </si>
  <si>
    <t>㎡</t>
    <phoneticPr fontId="244" type="noConversion"/>
  </si>
  <si>
    <t>ASP 기층</t>
    <phoneticPr fontId="244" type="noConversion"/>
  </si>
  <si>
    <t>t=20cm</t>
    <phoneticPr fontId="244" type="noConversion"/>
  </si>
  <si>
    <t>택코팅</t>
    <phoneticPr fontId="244" type="noConversion"/>
  </si>
  <si>
    <t>ASP 표층</t>
    <phoneticPr fontId="244" type="noConversion"/>
  </si>
  <si>
    <t>t=5cm</t>
    <phoneticPr fontId="244" type="noConversion"/>
  </si>
  <si>
    <t>x</t>
    <phoneticPr fontId="244" type="noConversion"/>
  </si>
  <si>
    <t>㎡</t>
    <phoneticPr fontId="244" type="noConversion"/>
  </si>
  <si>
    <t>경고테이프</t>
    <phoneticPr fontId="244" type="noConversion"/>
  </si>
  <si>
    <t>m</t>
    <phoneticPr fontId="244" type="noConversion"/>
  </si>
  <si>
    <t>잔토처리</t>
    <phoneticPr fontId="244" type="noConversion"/>
  </si>
  <si>
    <t>-</t>
    <phoneticPr fontId="244" type="noConversion"/>
  </si>
  <si>
    <t>폐기물 처리</t>
    <phoneticPr fontId="244" type="noConversion"/>
  </si>
  <si>
    <t>ton</t>
    <phoneticPr fontId="244" type="noConversion"/>
  </si>
  <si>
    <t>관로 굴착도(보도블럭)</t>
    <phoneticPr fontId="244" type="noConversion"/>
  </si>
  <si>
    <t>W</t>
    <phoneticPr fontId="244" type="noConversion"/>
  </si>
  <si>
    <t>보도블럭 걷기</t>
    <phoneticPr fontId="244" type="noConversion"/>
  </si>
  <si>
    <t>㎡</t>
    <phoneticPr fontId="244" type="noConversion"/>
  </si>
  <si>
    <t>보도블럭 포장</t>
    <phoneticPr fontId="244" type="noConversion"/>
  </si>
  <si>
    <t>모래부설</t>
    <phoneticPr fontId="244" type="noConversion"/>
  </si>
  <si>
    <t>+</t>
    <phoneticPr fontId="244" type="noConversion"/>
  </si>
  <si>
    <t>경고테이프</t>
    <phoneticPr fontId="244" type="noConversion"/>
  </si>
  <si>
    <t>관로 굴착도(con'c)</t>
    <phoneticPr fontId="244" type="noConversion"/>
  </si>
  <si>
    <t>콘크리트포장절단</t>
    <phoneticPr fontId="244" type="noConversion"/>
  </si>
  <si>
    <t>콘크리트포장깨기</t>
    <phoneticPr fontId="244" type="noConversion"/>
  </si>
  <si>
    <t xml:space="preserve">x </t>
    <phoneticPr fontId="244" type="noConversion"/>
  </si>
  <si>
    <t>콘크리트타설</t>
    <phoneticPr fontId="244" type="noConversion"/>
  </si>
  <si>
    <t>1.2*0.8</t>
    <phoneticPr fontId="7" type="noConversion"/>
  </si>
  <si>
    <t>0.8*0.8</t>
    <phoneticPr fontId="7" type="noConversion"/>
  </si>
  <si>
    <t>전5-46-가</t>
    <phoneticPr fontId="7" type="noConversion"/>
  </si>
  <si>
    <t>전5-18-2</t>
    <phoneticPr fontId="7" type="noConversion"/>
  </si>
  <si>
    <t>0.86*0.8</t>
    <phoneticPr fontId="7" type="noConversion"/>
  </si>
  <si>
    <t>*</t>
    <phoneticPr fontId="7" type="noConversion"/>
  </si>
  <si>
    <t>폐기물상차 (백호0.4㎥) [TON]</t>
    <phoneticPr fontId="7" type="noConversion"/>
  </si>
  <si>
    <t>㎡</t>
    <phoneticPr fontId="244" type="noConversion"/>
  </si>
  <si>
    <t>차선도색(상온형)-공용구간(수동식,횡단보도,주차장) [㎡]</t>
    <phoneticPr fontId="7" type="noConversion"/>
  </si>
  <si>
    <t xml:space="preserve">■  한전인입 공사비 </t>
    <phoneticPr fontId="7" type="noConversion"/>
  </si>
  <si>
    <t xml:space="preserve">1. 공사비 산출근거 (한국전력공사 전기공급 약관 별표4 표준공사비 단가표) </t>
    <phoneticPr fontId="7" type="noConversion"/>
  </si>
  <si>
    <t>1) 기본공사비 (부가가치세 불포함)</t>
    <phoneticPr fontId="7" type="noConversion"/>
  </si>
  <si>
    <t>구     분</t>
    <phoneticPr fontId="7" type="noConversion"/>
  </si>
  <si>
    <t>금 액</t>
  </si>
  <si>
    <t>비  고</t>
    <phoneticPr fontId="7" type="noConversion"/>
  </si>
  <si>
    <t>가공공급</t>
  </si>
  <si>
    <t>지중공급</t>
  </si>
  <si>
    <t>저        압</t>
    <phoneticPr fontId="7" type="noConversion"/>
  </si>
  <si>
    <t>매 1계약에 대하여 계약전력 5kW까지</t>
    <phoneticPr fontId="7" type="noConversion"/>
  </si>
  <si>
    <t>계약전력 5kW 초과분의 매 1kW에 대하여</t>
    <phoneticPr fontId="7" type="noConversion"/>
  </si>
  <si>
    <t>고압 또는 특별고압</t>
    <phoneticPr fontId="7" type="noConversion"/>
  </si>
  <si>
    <t>신증설 계약전력 매 1kW에 대하여</t>
    <phoneticPr fontId="7" type="noConversion"/>
  </si>
  <si>
    <t>2) 거리공사비 (부가가치세 불포함)</t>
    <phoneticPr fontId="7" type="noConversion"/>
  </si>
  <si>
    <t>구     분</t>
    <phoneticPr fontId="7" type="noConversion"/>
  </si>
  <si>
    <t>비  고</t>
    <phoneticPr fontId="7" type="noConversion"/>
  </si>
  <si>
    <t>단상</t>
  </si>
  <si>
    <t>삼상</t>
  </si>
  <si>
    <t>신설거리 공사비</t>
    <phoneticPr fontId="7" type="noConversion"/>
  </si>
  <si>
    <t>기본거리를 초과하는 신설거리 매 1m에 대하여</t>
    <phoneticPr fontId="7" type="noConversion"/>
  </si>
  <si>
    <t>저압</t>
  </si>
  <si>
    <t>특별고압</t>
    <phoneticPr fontId="7" type="noConversion"/>
  </si>
  <si>
    <t>첨가거리 공사비</t>
    <phoneticPr fontId="7" type="noConversion"/>
  </si>
  <si>
    <t>기본거리를 초과하는 첨가거리 매 1m에 대하여</t>
    <phoneticPr fontId="7" type="noConversion"/>
  </si>
  <si>
    <t>기본거리 : 가공배전선로 (200M), 지중배전선로 (50M)</t>
    <phoneticPr fontId="7" type="noConversion"/>
  </si>
  <si>
    <t>구   분</t>
    <phoneticPr fontId="7" type="noConversion"/>
  </si>
  <si>
    <t>예상수전점
까지의거리</t>
    <phoneticPr fontId="7" type="noConversion"/>
  </si>
  <si>
    <t>계약 전압</t>
    <phoneticPr fontId="7" type="noConversion"/>
  </si>
  <si>
    <t>시설용량
(kW)</t>
    <phoneticPr fontId="7" type="noConversion"/>
  </si>
  <si>
    <t>기본공사비</t>
    <phoneticPr fontId="7" type="noConversion"/>
  </si>
  <si>
    <t>거리공사비</t>
    <phoneticPr fontId="7" type="noConversion"/>
  </si>
  <si>
    <t>소  계</t>
    <phoneticPr fontId="7" type="noConversion"/>
  </si>
  <si>
    <t>비   고</t>
    <phoneticPr fontId="7" type="noConversion"/>
  </si>
  <si>
    <t>계약전력
5kW까지</t>
    <phoneticPr fontId="7" type="noConversion"/>
  </si>
  <si>
    <t>계약전력 5kW초과분의 매 1kW에 대하여</t>
    <phoneticPr fontId="7" type="noConversion"/>
  </si>
  <si>
    <t>계</t>
    <phoneticPr fontId="7" type="noConversion"/>
  </si>
  <si>
    <t>기본거리 
50m (지중),
200m (가공)</t>
    <phoneticPr fontId="7" type="noConversion"/>
  </si>
  <si>
    <t>계</t>
    <phoneticPr fontId="7" type="noConversion"/>
  </si>
  <si>
    <t>부가가치세 10%</t>
    <phoneticPr fontId="7" type="noConversion"/>
  </si>
  <si>
    <t>합 계</t>
    <phoneticPr fontId="7" type="noConversion"/>
  </si>
  <si>
    <t>■  한전인입 공사비</t>
    <phoneticPr fontId="7" type="noConversion"/>
  </si>
  <si>
    <t>계</t>
    <phoneticPr fontId="7" type="noConversion"/>
  </si>
  <si>
    <t>1] 전기공사</t>
    <phoneticPr fontId="7" type="noConversion"/>
  </si>
  <si>
    <t>증기산출01</t>
    <phoneticPr fontId="7" type="noConversion"/>
  </si>
  <si>
    <t>￦ x</t>
    <phoneticPr fontId="7" type="noConversion"/>
  </si>
  <si>
    <t>%  x</t>
    <phoneticPr fontId="7" type="noConversion"/>
  </si>
  <si>
    <t>진동로울러(핸드가이드식)</t>
    <phoneticPr fontId="7" type="noConversion"/>
  </si>
  <si>
    <t>진동로울러(자주식)</t>
    <phoneticPr fontId="7" type="noConversion"/>
  </si>
  <si>
    <t>증기산출20</t>
    <phoneticPr fontId="7" type="noConversion"/>
  </si>
  <si>
    <t>기계손료</t>
    <phoneticPr fontId="7" type="noConversion"/>
  </si>
  <si>
    <t>인 x</t>
    <phoneticPr fontId="7" type="noConversion"/>
  </si>
  <si>
    <t>배관,배선의 2%</t>
  </si>
  <si>
    <t>PE전선관:60%,가로등공사:130%</t>
  </si>
  <si>
    <t>Φ250초과:140%,11m이상:140%</t>
  </si>
  <si>
    <t>Φ250초과:140%,11m이상:140%,재사용철거:80%</t>
  </si>
  <si>
    <t>11m 이상:140%,부착대추가:140%</t>
  </si>
  <si>
    <t>가공:130%,철거:50%</t>
  </si>
  <si>
    <t>2심:140%,2열:180%</t>
  </si>
  <si>
    <t>80</t>
    <phoneticPr fontId="7" type="noConversion"/>
  </si>
  <si>
    <t>20</t>
    <phoneticPr fontId="7" type="noConversion"/>
  </si>
  <si>
    <t>되메우기및다짐(콤팩터) (백호(0.2㎥)80%+인력20%) [㎥]</t>
    <phoneticPr fontId="7" type="noConversion"/>
  </si>
  <si>
    <t>규    격</t>
    <phoneticPr fontId="7" type="noConversion"/>
  </si>
  <si>
    <t>산   출   기   초</t>
    <phoneticPr fontId="7" type="noConversion"/>
  </si>
  <si>
    <t>중심상가로03철거집</t>
    <phoneticPr fontId="7" type="noConversion"/>
  </si>
  <si>
    <t>중심상가로03신설집</t>
    <phoneticPr fontId="7" type="noConversion"/>
  </si>
  <si>
    <t>품    명</t>
    <phoneticPr fontId="7" type="noConversion"/>
  </si>
  <si>
    <t>산  출  기  초</t>
    <phoneticPr fontId="7" type="noConversion"/>
  </si>
  <si>
    <t>20*3+33+22+(1*2*5)</t>
    <phoneticPr fontId="7" type="noConversion"/>
  </si>
  <si>
    <t>엘피일사</t>
    <phoneticPr fontId="7" type="noConversion"/>
  </si>
  <si>
    <t>품   명</t>
    <phoneticPr fontId="7" type="noConversion"/>
  </si>
  <si>
    <t>규   격</t>
    <phoneticPr fontId="7" type="noConversion"/>
  </si>
  <si>
    <t>단위</t>
    <phoneticPr fontId="7" type="noConversion"/>
  </si>
  <si>
    <t>수 량</t>
    <phoneticPr fontId="7" type="noConversion"/>
  </si>
  <si>
    <t>재 료 비</t>
    <phoneticPr fontId="7" type="noConversion"/>
  </si>
  <si>
    <t>합   계</t>
    <phoneticPr fontId="7" type="noConversion"/>
  </si>
  <si>
    <t>비 고</t>
    <phoneticPr fontId="7" type="noConversion"/>
  </si>
  <si>
    <t>단  가</t>
    <phoneticPr fontId="7" type="noConversion"/>
  </si>
  <si>
    <t>금  액</t>
    <phoneticPr fontId="7" type="noConversion"/>
  </si>
  <si>
    <t>소     계</t>
    <phoneticPr fontId="7" type="noConversion"/>
  </si>
  <si>
    <t>[사업명] 도로조명 지중선로 교체공사(중심상가로03)</t>
  </si>
  <si>
    <t>면</t>
  </si>
  <si>
    <t>드잡이공편수</t>
  </si>
  <si>
    <t>한식미장공편수</t>
  </si>
  <si>
    <t>한식와공편수</t>
  </si>
  <si>
    <t>한식단청공편수</t>
  </si>
  <si>
    <t>한식석공조공</t>
  </si>
  <si>
    <t>한식미장공조공</t>
  </si>
  <si>
    <t>코킹공</t>
  </si>
  <si>
    <t>4.85kw</t>
  </si>
  <si>
    <t>20</t>
    <phoneticPr fontId="7" type="noConversion"/>
  </si>
  <si>
    <t>(0.4㎥)</t>
    <phoneticPr fontId="7" type="noConversion"/>
  </si>
  <si>
    <t>토8-2-15</t>
    <phoneticPr fontId="7" type="noConversion"/>
  </si>
  <si>
    <t>&lt;품셈 1-7-2&gt;</t>
    <phoneticPr fontId="7" type="noConversion"/>
  </si>
  <si>
    <t>동력분무기</t>
  </si>
  <si>
    <t>(4.85kw)</t>
  </si>
  <si>
    <t>소모재료</t>
    <phoneticPr fontId="7" type="noConversion"/>
  </si>
  <si>
    <t>특별인부</t>
    <phoneticPr fontId="7" type="noConversion"/>
  </si>
  <si>
    <t>마</t>
    <phoneticPr fontId="7" type="noConversion"/>
  </si>
  <si>
    <t>×</t>
    <phoneticPr fontId="7" type="noConversion"/>
  </si>
  <si>
    <t>×</t>
    <phoneticPr fontId="7" type="noConversion"/>
  </si>
  <si>
    <t>토1-3-1</t>
    <phoneticPr fontId="7" type="noConversion"/>
  </si>
  <si>
    <t>×</t>
    <phoneticPr fontId="7" type="noConversion"/>
  </si>
  <si>
    <t>t6</t>
    <phoneticPr fontId="7" type="noConversion"/>
  </si>
  <si>
    <t>t5</t>
    <phoneticPr fontId="7" type="noConversion"/>
  </si>
  <si>
    <t>t6</t>
    <phoneticPr fontId="7" type="noConversion"/>
  </si>
  <si>
    <t>t6</t>
    <phoneticPr fontId="7" type="noConversion"/>
  </si>
  <si>
    <t>t5</t>
    <phoneticPr fontId="7" type="noConversion"/>
  </si>
  <si>
    <t>관로 굴착도(ASP.)</t>
    <phoneticPr fontId="244" type="noConversion"/>
  </si>
  <si>
    <t>관로 굴착도(투스콘.)</t>
    <phoneticPr fontId="244" type="noConversion"/>
  </si>
  <si>
    <t>품   명</t>
    <phoneticPr fontId="7" type="noConversion"/>
  </si>
  <si>
    <t>규   격</t>
    <phoneticPr fontId="7" type="noConversion"/>
  </si>
  <si>
    <t>단위</t>
    <phoneticPr fontId="7" type="noConversion"/>
  </si>
  <si>
    <t>수 량</t>
    <phoneticPr fontId="7" type="noConversion"/>
  </si>
  <si>
    <t>재 료 비</t>
    <phoneticPr fontId="7" type="noConversion"/>
  </si>
  <si>
    <t>노 무 비</t>
    <phoneticPr fontId="7" type="noConversion"/>
  </si>
  <si>
    <t>경 비</t>
    <phoneticPr fontId="7" type="noConversion"/>
  </si>
  <si>
    <t>합   계</t>
    <phoneticPr fontId="7" type="noConversion"/>
  </si>
  <si>
    <t>비 고</t>
    <phoneticPr fontId="7" type="noConversion"/>
  </si>
  <si>
    <t>단  가</t>
    <phoneticPr fontId="7" type="noConversion"/>
  </si>
  <si>
    <t>금  액</t>
    <phoneticPr fontId="7" type="noConversion"/>
  </si>
  <si>
    <t>내역서1</t>
    <phoneticPr fontId="7" type="noConversion"/>
  </si>
  <si>
    <t>관     급     자    재</t>
    <phoneticPr fontId="54" type="noConversion"/>
  </si>
  <si>
    <t xml:space="preserve"> </t>
    <phoneticPr fontId="7" type="noConversion"/>
  </si>
  <si>
    <t xml:space="preserve"> </t>
    <phoneticPr fontId="7" type="noConversion"/>
  </si>
  <si>
    <t>F-CV 10㎟/2Cx1, F-GV 10㎟ (PE 36C)</t>
  </si>
  <si>
    <t>F-CV 16㎟/2Cx1, F-GV 16㎟ (PE 42C)</t>
  </si>
  <si>
    <t>F-CV 6㎟/2Cx1, F-GV 6㎟ (PE 36C)</t>
  </si>
  <si>
    <t>철거:50%</t>
    <phoneticPr fontId="7" type="noConversion"/>
  </si>
  <si>
    <t>hr</t>
    <phoneticPr fontId="7" type="noConversion"/>
  </si>
  <si>
    <t>전5-27-1</t>
    <phoneticPr fontId="7" type="noConversion"/>
  </si>
  <si>
    <t>내선전공</t>
    <phoneticPr fontId="7" type="noConversion"/>
  </si>
  <si>
    <t>0.08*0.5</t>
    <phoneticPr fontId="7" type="noConversion"/>
  </si>
  <si>
    <t>인</t>
    <phoneticPr fontId="7" type="noConversion"/>
  </si>
  <si>
    <t>보통인부</t>
    <phoneticPr fontId="7" type="noConversion"/>
  </si>
  <si>
    <t>0.19*0.5</t>
    <phoneticPr fontId="7" type="noConversion"/>
  </si>
  <si>
    <t>인</t>
    <phoneticPr fontId="7" type="noConversion"/>
  </si>
  <si>
    <t>철거:50%</t>
    <phoneticPr fontId="7" type="noConversion"/>
  </si>
  <si>
    <t>손    료</t>
    <phoneticPr fontId="7" type="noConversion"/>
  </si>
  <si>
    <t>ℓ x</t>
    <phoneticPr fontId="7" type="noConversion"/>
  </si>
  <si>
    <t>1/8*16/12*25/20</t>
    <phoneticPr fontId="7" type="noConversion"/>
  </si>
  <si>
    <t>굴삭기(유압식 백호)</t>
    <phoneticPr fontId="7" type="noConversion"/>
  </si>
  <si>
    <t>0.4㎥</t>
    <phoneticPr fontId="7" type="noConversion"/>
  </si>
  <si>
    <t>증기산출03</t>
    <phoneticPr fontId="7" type="noConversion"/>
  </si>
  <si>
    <t>04.</t>
    <phoneticPr fontId="7" type="noConversion"/>
  </si>
  <si>
    <t>증기산출04</t>
    <phoneticPr fontId="7" type="noConversion"/>
  </si>
  <si>
    <t>05.</t>
    <phoneticPr fontId="7" type="noConversion"/>
  </si>
  <si>
    <t>굴삭기(타이어형)</t>
    <phoneticPr fontId="7" type="noConversion"/>
  </si>
  <si>
    <t>증기산출05</t>
    <phoneticPr fontId="7" type="noConversion"/>
  </si>
  <si>
    <t>증기산출07</t>
    <phoneticPr fontId="7" type="noConversion"/>
  </si>
  <si>
    <t>17.</t>
    <phoneticPr fontId="7" type="noConversion"/>
  </si>
  <si>
    <t>￦</t>
    <phoneticPr fontId="7" type="noConversion"/>
  </si>
  <si>
    <t>02.</t>
    <phoneticPr fontId="7" type="noConversion"/>
  </si>
  <si>
    <t>증기산출02</t>
    <phoneticPr fontId="7" type="noConversion"/>
  </si>
  <si>
    <t>14.</t>
    <phoneticPr fontId="7" type="noConversion"/>
  </si>
  <si>
    <t>물탱크</t>
    <phoneticPr fontId="7" type="noConversion"/>
  </si>
  <si>
    <t>15.</t>
    <phoneticPr fontId="7" type="noConversion"/>
  </si>
  <si>
    <t>증기산출15</t>
    <phoneticPr fontId="7" type="noConversion"/>
  </si>
  <si>
    <t>증기산출16</t>
    <phoneticPr fontId="7" type="noConversion"/>
  </si>
  <si>
    <t>로우더(타이어)</t>
    <phoneticPr fontId="7" type="noConversion"/>
  </si>
  <si>
    <t>증기산출18</t>
    <phoneticPr fontId="7" type="noConversion"/>
  </si>
  <si>
    <t>아스팔트 스프레이어</t>
    <phoneticPr fontId="7" type="noConversion"/>
  </si>
  <si>
    <t>일반기계운전사</t>
    <phoneticPr fontId="7" type="noConversion"/>
  </si>
  <si>
    <t>20.</t>
    <phoneticPr fontId="7" type="noConversion"/>
  </si>
  <si>
    <t>증기산출21</t>
    <phoneticPr fontId="7" type="noConversion"/>
  </si>
  <si>
    <t>22.</t>
    <phoneticPr fontId="7" type="noConversion"/>
  </si>
  <si>
    <t>35.</t>
    <phoneticPr fontId="7" type="noConversion"/>
  </si>
  <si>
    <t>동력분무기</t>
    <phoneticPr fontId="7" type="noConversion"/>
  </si>
  <si>
    <t>증기산출35</t>
    <phoneticPr fontId="7" type="noConversion"/>
  </si>
  <si>
    <r>
      <rPr>
        <sz val="10"/>
        <color indexed="8"/>
        <rFont val="돋움"/>
        <family val="3"/>
        <charset val="129"/>
      </rPr>
      <t>달러</t>
    </r>
    <r>
      <rPr>
        <sz val="10"/>
        <color indexed="8"/>
        <rFont val="Arial"/>
        <family val="2"/>
      </rPr>
      <t>($)</t>
    </r>
    <phoneticPr fontId="7" type="noConversion"/>
  </si>
  <si>
    <t>0.2㎥</t>
    <phoneticPr fontId="7" type="noConversion"/>
  </si>
  <si>
    <t>￦ x</t>
    <phoneticPr fontId="7" type="noConversion"/>
  </si>
  <si>
    <t>ℓ x</t>
    <phoneticPr fontId="7" type="noConversion"/>
  </si>
  <si>
    <t>인 x</t>
    <phoneticPr fontId="7" type="noConversion"/>
  </si>
  <si>
    <t>%  x</t>
    <phoneticPr fontId="7" type="noConversion"/>
  </si>
  <si>
    <t>굴삭기(유압식 백호)</t>
    <phoneticPr fontId="7" type="noConversion"/>
  </si>
  <si>
    <t>0.6㎥</t>
    <phoneticPr fontId="7" type="noConversion"/>
  </si>
  <si>
    <t>￦ x</t>
    <phoneticPr fontId="7" type="noConversion"/>
  </si>
  <si>
    <t>ℓ x</t>
    <phoneticPr fontId="7" type="noConversion"/>
  </si>
  <si>
    <t>%  x</t>
    <phoneticPr fontId="7" type="noConversion"/>
  </si>
  <si>
    <t>인 x</t>
    <phoneticPr fontId="7" type="noConversion"/>
  </si>
  <si>
    <t>06.</t>
    <phoneticPr fontId="7" type="noConversion"/>
  </si>
  <si>
    <t>덤프트럭</t>
    <phoneticPr fontId="7" type="noConversion"/>
  </si>
  <si>
    <t>증기산출06</t>
    <phoneticPr fontId="7" type="noConversion"/>
  </si>
  <si>
    <t>경유</t>
    <phoneticPr fontId="7" type="noConversion"/>
  </si>
  <si>
    <t>07.</t>
    <phoneticPr fontId="7" type="noConversion"/>
  </si>
  <si>
    <t>08.</t>
    <phoneticPr fontId="7" type="noConversion"/>
  </si>
  <si>
    <t>덤프트럭(자동덮개)</t>
    <phoneticPr fontId="7" type="noConversion"/>
  </si>
  <si>
    <t>증기산출08</t>
    <phoneticPr fontId="7" type="noConversion"/>
  </si>
  <si>
    <t>09.</t>
    <phoneticPr fontId="7" type="noConversion"/>
  </si>
  <si>
    <t>대형브레이카</t>
    <phoneticPr fontId="7" type="noConversion"/>
  </si>
  <si>
    <t>증기산출09</t>
    <phoneticPr fontId="7" type="noConversion"/>
  </si>
  <si>
    <t>손    료 (굴삭기)</t>
    <phoneticPr fontId="7" type="noConversion"/>
  </si>
  <si>
    <t>손    료 (브레이카손료)</t>
    <phoneticPr fontId="7" type="noConversion"/>
  </si>
  <si>
    <t>10.</t>
    <phoneticPr fontId="7" type="noConversion"/>
  </si>
  <si>
    <t>증기산출10</t>
    <phoneticPr fontId="7" type="noConversion"/>
  </si>
  <si>
    <t>11.</t>
    <phoneticPr fontId="7" type="noConversion"/>
  </si>
  <si>
    <t>증기산출11</t>
    <phoneticPr fontId="7" type="noConversion"/>
  </si>
  <si>
    <t>12.</t>
    <phoneticPr fontId="7" type="noConversion"/>
  </si>
  <si>
    <t>플레이트 콤팩터</t>
    <phoneticPr fontId="7" type="noConversion"/>
  </si>
  <si>
    <t>증기산출12</t>
    <phoneticPr fontId="7" type="noConversion"/>
  </si>
  <si>
    <t>10(-7)</t>
    <phoneticPr fontId="7" type="noConversion"/>
  </si>
  <si>
    <t>13.</t>
    <phoneticPr fontId="7" type="noConversion"/>
  </si>
  <si>
    <t>커 터</t>
    <phoneticPr fontId="7" type="noConversion"/>
  </si>
  <si>
    <t>증기산출13</t>
    <phoneticPr fontId="7" type="noConversion"/>
  </si>
  <si>
    <t>증기산출14</t>
    <phoneticPr fontId="7" type="noConversion"/>
  </si>
  <si>
    <t>물탱크</t>
    <phoneticPr fontId="7" type="noConversion"/>
  </si>
  <si>
    <t>16.</t>
    <phoneticPr fontId="7" type="noConversion"/>
  </si>
  <si>
    <t>증기산출17</t>
    <phoneticPr fontId="7" type="noConversion"/>
  </si>
  <si>
    <t>10(-7)</t>
    <phoneticPr fontId="7" type="noConversion"/>
  </si>
  <si>
    <t>ℓ x</t>
    <phoneticPr fontId="7" type="noConversion"/>
  </si>
  <si>
    <t>18.</t>
    <phoneticPr fontId="7" type="noConversion"/>
  </si>
  <si>
    <t>19.</t>
    <phoneticPr fontId="7" type="noConversion"/>
  </si>
  <si>
    <t>300ℓ</t>
    <phoneticPr fontId="7" type="noConversion"/>
  </si>
  <si>
    <t>21.</t>
    <phoneticPr fontId="7" type="noConversion"/>
  </si>
  <si>
    <t>0.4㎥</t>
    <phoneticPr fontId="7" type="noConversion"/>
  </si>
  <si>
    <t>대형브레이카</t>
    <phoneticPr fontId="7" type="noConversion"/>
  </si>
  <si>
    <t>증기산출22</t>
    <phoneticPr fontId="7" type="noConversion"/>
  </si>
  <si>
    <t>기계손료</t>
    <phoneticPr fontId="7" type="noConversion"/>
  </si>
  <si>
    <t>23.</t>
    <phoneticPr fontId="7" type="noConversion"/>
  </si>
  <si>
    <t>크레인(타이어)</t>
    <phoneticPr fontId="7" type="noConversion"/>
  </si>
  <si>
    <t>증기산출23</t>
    <phoneticPr fontId="7" type="noConversion"/>
  </si>
  <si>
    <t>24.</t>
    <phoneticPr fontId="7" type="noConversion"/>
  </si>
  <si>
    <t>증기산출24</t>
    <phoneticPr fontId="7" type="noConversion"/>
  </si>
  <si>
    <t>25.</t>
    <phoneticPr fontId="7" type="noConversion"/>
  </si>
  <si>
    <t>아스팔트 페이버(피니셔)</t>
    <phoneticPr fontId="7" type="noConversion"/>
  </si>
  <si>
    <t>증기산출25</t>
    <phoneticPr fontId="7" type="noConversion"/>
  </si>
  <si>
    <t>26.</t>
    <phoneticPr fontId="7" type="noConversion"/>
  </si>
  <si>
    <t>머캐덤 로울러(자주식)</t>
    <phoneticPr fontId="7" type="noConversion"/>
  </si>
  <si>
    <t>증기산출26</t>
    <phoneticPr fontId="7" type="noConversion"/>
  </si>
  <si>
    <t>27.</t>
    <phoneticPr fontId="7" type="noConversion"/>
  </si>
  <si>
    <t>타이어 로울러(자주식)</t>
    <phoneticPr fontId="7" type="noConversion"/>
  </si>
  <si>
    <t>증기산출27</t>
    <phoneticPr fontId="7" type="noConversion"/>
  </si>
  <si>
    <t>02.</t>
    <phoneticPr fontId="7" type="noConversion"/>
  </si>
  <si>
    <t>램  머</t>
    <phoneticPr fontId="7" type="noConversion"/>
  </si>
  <si>
    <t>증기산출28</t>
    <phoneticPr fontId="7" type="noConversion"/>
  </si>
  <si>
    <t>03.</t>
    <phoneticPr fontId="7" type="noConversion"/>
  </si>
  <si>
    <t>트럭탑재형크레인</t>
    <phoneticPr fontId="7" type="noConversion"/>
  </si>
  <si>
    <t>증기산출29</t>
    <phoneticPr fontId="7" type="noConversion"/>
  </si>
  <si>
    <t>30.</t>
    <phoneticPr fontId="7" type="noConversion"/>
  </si>
  <si>
    <t>증기산출30</t>
    <phoneticPr fontId="7" type="noConversion"/>
  </si>
  <si>
    <t>31.</t>
    <phoneticPr fontId="7" type="noConversion"/>
  </si>
  <si>
    <t>라인마커</t>
    <phoneticPr fontId="7" type="noConversion"/>
  </si>
  <si>
    <t>증기산출31</t>
    <phoneticPr fontId="7" type="noConversion"/>
  </si>
  <si>
    <t>32.</t>
    <phoneticPr fontId="7" type="noConversion"/>
  </si>
  <si>
    <t>발전기</t>
    <phoneticPr fontId="7" type="noConversion"/>
  </si>
  <si>
    <t>증기산출32</t>
    <phoneticPr fontId="7" type="noConversion"/>
  </si>
  <si>
    <t>33.</t>
    <phoneticPr fontId="7" type="noConversion"/>
  </si>
  <si>
    <t>50kW</t>
    <phoneticPr fontId="7" type="noConversion"/>
  </si>
  <si>
    <t>증기산출33</t>
    <phoneticPr fontId="7" type="noConversion"/>
  </si>
  <si>
    <t>34.</t>
    <phoneticPr fontId="7" type="noConversion"/>
  </si>
  <si>
    <t>절연버킷트럭</t>
    <phoneticPr fontId="7" type="noConversion"/>
  </si>
  <si>
    <t>증기산출34</t>
    <phoneticPr fontId="7" type="noConversion"/>
  </si>
  <si>
    <t>`</t>
    <phoneticPr fontId="7" type="noConversion"/>
  </si>
  <si>
    <t>아스콘 기층용</t>
    <phoneticPr fontId="244" type="noConversion"/>
  </si>
  <si>
    <t>t=15cm</t>
    <phoneticPr fontId="244" type="noConversion"/>
  </si>
  <si>
    <t>x</t>
    <phoneticPr fontId="244" type="noConversion"/>
  </si>
  <si>
    <t>ton</t>
    <phoneticPr fontId="244" type="noConversion"/>
  </si>
  <si>
    <t>ton</t>
    <phoneticPr fontId="244" type="noConversion"/>
  </si>
  <si>
    <t>아스콘 표층용</t>
    <phoneticPr fontId="244" type="noConversion"/>
  </si>
  <si>
    <t>t=5cm</t>
    <phoneticPr fontId="244" type="noConversion"/>
  </si>
  <si>
    <t>SET</t>
    <phoneticPr fontId="7" type="noConversion"/>
  </si>
  <si>
    <t>보도블럭</t>
    <phoneticPr fontId="244" type="noConversion"/>
  </si>
  <si>
    <t>(1</t>
    <phoneticPr fontId="7" type="noConversion"/>
  </si>
  <si>
    <t>(350A)</t>
    <phoneticPr fontId="223" type="noConversion"/>
  </si>
  <si>
    <t>(250A)</t>
    <phoneticPr fontId="223" type="noConversion"/>
  </si>
  <si>
    <t>(300A)</t>
    <phoneticPr fontId="223" type="noConversion"/>
  </si>
  <si>
    <t>[2.2/3×{3.06^2+(3.06+1.8)+1.8^2}] = 12.8㎥</t>
    <phoneticPr fontId="7" type="noConversion"/>
  </si>
  <si>
    <t>[2.5/3×{3.06^2+(3.06+1.8)+1.8^2}] = 14.56㎥</t>
    <phoneticPr fontId="7" type="noConversion"/>
  </si>
  <si>
    <t>{(1.2×1.2×1.7)+(0.8×0.8×0.5)} = 2.768㎥</t>
    <phoneticPr fontId="7" type="noConversion"/>
  </si>
  <si>
    <t>12.8-2.768 = 10.032㎥</t>
    <phoneticPr fontId="7" type="noConversion"/>
  </si>
  <si>
    <t>{(1.2×1.2×2.0)+(0.8×0.8×0.5)} = 3.2㎥</t>
    <phoneticPr fontId="7" type="noConversion"/>
  </si>
  <si>
    <t>{(1.2×1.7×4)+(0.8×0.5×4)} = 9.76㎡</t>
    <phoneticPr fontId="7" type="noConversion"/>
  </si>
  <si>
    <t>{(1.2×2.0×4)+(0.8×0.5×4)} = 11.2㎡</t>
    <phoneticPr fontId="7" type="noConversion"/>
  </si>
  <si>
    <t>12.8-10.032 = 2.768 ㎥</t>
    <phoneticPr fontId="7" type="noConversion"/>
  </si>
  <si>
    <t>14.56-3.2 = 11.36㎥</t>
    <phoneticPr fontId="7" type="noConversion"/>
  </si>
  <si>
    <t>14.56-11.36 = 3.2 ㎥</t>
    <phoneticPr fontId="7" type="noConversion"/>
  </si>
  <si>
    <t>2심:140%,가공:130%</t>
  </si>
  <si>
    <t xml:space="preserve">  </t>
    <phoneticPr fontId="7" type="noConversion"/>
  </si>
  <si>
    <t>관로 굴착도(ASP.추가)</t>
    <phoneticPr fontId="244" type="noConversion"/>
  </si>
  <si>
    <t xml:space="preserve"> </t>
    <phoneticPr fontId="7" type="noConversion"/>
  </si>
  <si>
    <t>토목업체</t>
    <phoneticPr fontId="7" type="noConversion"/>
  </si>
  <si>
    <t>9m 이상:120%</t>
  </si>
  <si>
    <t>부착대추가:40%가산,Φ250초과:140%,11m이상:140%</t>
  </si>
  <si>
    <t>부착대추가:40%가산,Φ250초과:140%,11m이상:140%,재사용철거:80%</t>
  </si>
  <si>
    <t>철거:50%</t>
  </si>
  <si>
    <t>부착대추가:40%가산,9m이상:120%,재사용철거:80%</t>
  </si>
  <si>
    <t>9m 이상:120%,재사용철거:0.8</t>
  </si>
  <si>
    <t>부착대추가:40%가산,9m이상:120%</t>
  </si>
  <si>
    <t>일위대가_산근</t>
  </si>
  <si>
    <t>산 출 근 거</t>
  </si>
  <si>
    <t>재 료 비</t>
  </si>
  <si>
    <t>노 무 비</t>
  </si>
  <si>
    <t>비 고</t>
  </si>
  <si>
    <t>#1 폐기물 상차비 | 아스팔트|TON</t>
  </si>
  <si>
    <t>W806E02000</t>
  </si>
  <si>
    <t>F</t>
  </si>
  <si>
    <t xml:space="preserve">     1. 상차비(백호우 0.7M3)</t>
  </si>
  <si>
    <t xml:space="preserve">        qo = 0.70, K = 0.55, Es = 0.35</t>
  </si>
  <si>
    <t xml:space="preserve">        f = 1 / 1.50 = 0.67, Cms= 20</t>
  </si>
  <si>
    <t xml:space="preserve">        f = 1 / 1.50 = ?, Cms= 20</t>
  </si>
  <si>
    <t xml:space="preserve">        Q  = 3600 * qo * k * f * Es / Cms = 16.25 M3/HR</t>
  </si>
  <si>
    <t xml:space="preserve">        Q  = 3600 * qo * k * f * Es / Cms = ?'M3/HR'</t>
  </si>
  <si>
    <t xml:space="preserve">        재 료 비 :  16,430 / Q M3/HR / 2.35 ton/㎥  = 430</t>
  </si>
  <si>
    <t>MA("E0002010070")</t>
  </si>
  <si>
    <t xml:space="preserve">       '재 료 비 :' ~E0002010070.M~ / Q'M3/HR'/ 2.35'ton/㎥' = ?MA+</t>
  </si>
  <si>
    <t xml:space="preserve">        노 무 비 :  42,267 / Q M3/HR / 2.35 ton/㎥  = 1,106</t>
  </si>
  <si>
    <t>LA("E0002010070")</t>
  </si>
  <si>
    <t xml:space="preserve">       '노 무 비 :' ~E0002010070.L~ / Q'M3/HR'/ 2.35'ton/㎥' = ?LA+</t>
  </si>
  <si>
    <t xml:space="preserve">        경    비 :  21,332 / Q M3/HR / 2.35 ton/㎥  = 558</t>
  </si>
  <si>
    <t>EQ("E0002010070")</t>
  </si>
  <si>
    <t xml:space="preserve">       '경    비 :' ~E0002010070.E~ / Q'M3/HR'/ 2.35'ton/㎥' = ?EQ+</t>
  </si>
  <si>
    <t xml:space="preserve">        소    계 :</t>
  </si>
  <si>
    <t>&gt;      '소    계 :'</t>
  </si>
  <si>
    <t xml:space="preserve">   전체 합계</t>
  </si>
  <si>
    <t>#2 폐기물 상차비 | 콘크리트|TON</t>
  </si>
  <si>
    <t>W806E01000</t>
  </si>
  <si>
    <t xml:space="preserve">        재 료 비 :  16,430 / Q M3/HR / 2.4 ton/㎥  = 421</t>
  </si>
  <si>
    <t xml:space="preserve">       '재 료 비 :' ~E0002010070.M~ / Q'M3/HR'/ 2.4'ton/㎥' = ?MA+</t>
  </si>
  <si>
    <t xml:space="preserve">        노 무 비 :  42,267 / Q M3/HR / 2.4 ton/㎥  = 1,083</t>
  </si>
  <si>
    <t xml:space="preserve">       '노 무 비 :' ~E0002010070.L~ / Q'M3/HR'/ 2.4'ton/㎥' = ?LA+</t>
  </si>
  <si>
    <t xml:space="preserve">        경    비 :  21,332 / Q M3/HR / 2.4 ton/㎥  = 546</t>
  </si>
  <si>
    <t xml:space="preserve">       '경    비 :' ~E0002010070.E~ / Q'M3/HR'/ 2.4'ton/㎥' = ?EQ+</t>
  </si>
  <si>
    <t>기 타 경 비</t>
    <phoneticPr fontId="54" type="noConversion"/>
  </si>
  <si>
    <t>1-1. 철거공사</t>
    <phoneticPr fontId="7" type="noConversion"/>
  </si>
  <si>
    <t>1-2. 인입공사</t>
    <phoneticPr fontId="7" type="noConversion"/>
  </si>
  <si>
    <t>1-3. 신설공사</t>
    <phoneticPr fontId="7" type="noConversion"/>
  </si>
  <si>
    <t>아스팔트</t>
    <phoneticPr fontId="7" type="noConversion"/>
  </si>
  <si>
    <t>콘크리트</t>
    <phoneticPr fontId="7" type="noConversion"/>
  </si>
  <si>
    <t>전기공사</t>
    <phoneticPr fontId="7" type="noConversion"/>
  </si>
  <si>
    <t>1-1. 철거집계</t>
    <phoneticPr fontId="7" type="noConversion"/>
  </si>
  <si>
    <t>1-2. 인입집계</t>
    <phoneticPr fontId="7" type="noConversion"/>
  </si>
  <si>
    <t>1-3. 신설집계</t>
    <phoneticPr fontId="7" type="noConversion"/>
  </si>
  <si>
    <t>관급자재</t>
    <phoneticPr fontId="7" type="noConversion"/>
  </si>
  <si>
    <t>제어기 기초</t>
    <phoneticPr fontId="9" type="noConversion"/>
  </si>
  <si>
    <t>600*600*600</t>
    <phoneticPr fontId="7" type="noConversion"/>
  </si>
  <si>
    <t>수</t>
    <phoneticPr fontId="7" type="noConversion"/>
  </si>
  <si>
    <t xml:space="preserve">량  </t>
    <phoneticPr fontId="7" type="noConversion"/>
  </si>
  <si>
    <t>산</t>
    <phoneticPr fontId="7" type="noConversion"/>
  </si>
  <si>
    <t>출</t>
    <phoneticPr fontId="7" type="noConversion"/>
  </si>
  <si>
    <t>서</t>
    <phoneticPr fontId="7" type="noConversion"/>
  </si>
  <si>
    <t>계</t>
    <phoneticPr fontId="7" type="noConversion"/>
  </si>
  <si>
    <t>1. 터파기</t>
    <phoneticPr fontId="73" type="noConversion"/>
  </si>
  <si>
    <t>V1 = h/6 { (2a+a')b + (2a'+a)b' }</t>
    <phoneticPr fontId="73" type="noConversion"/>
  </si>
  <si>
    <t>a =</t>
    <phoneticPr fontId="7" type="noConversion"/>
  </si>
  <si>
    <t>a' =</t>
    <phoneticPr fontId="7" type="noConversion"/>
  </si>
  <si>
    <t>h =</t>
    <phoneticPr fontId="7" type="noConversion"/>
  </si>
  <si>
    <t>b =</t>
    <phoneticPr fontId="7" type="noConversion"/>
  </si>
  <si>
    <t>b' =</t>
    <phoneticPr fontId="7" type="noConversion"/>
  </si>
  <si>
    <t>V1=</t>
    <phoneticPr fontId="7" type="noConversion"/>
  </si>
  <si>
    <t>2. 레미콘</t>
    <phoneticPr fontId="73" type="noConversion"/>
  </si>
  <si>
    <t>V2 = a*b*h</t>
    <phoneticPr fontId="54" type="noConversion"/>
  </si>
  <si>
    <t>A</t>
    <phoneticPr fontId="9" type="noConversion"/>
  </si>
  <si>
    <t>B</t>
    <phoneticPr fontId="9" type="noConversion"/>
  </si>
  <si>
    <t>V2 =</t>
    <phoneticPr fontId="73" type="noConversion"/>
  </si>
  <si>
    <t>3. 되메우기.다짐</t>
    <phoneticPr fontId="54" type="noConversion"/>
  </si>
  <si>
    <t xml:space="preserve">V3 = </t>
    <phoneticPr fontId="73" type="noConversion"/>
  </si>
  <si>
    <t>V1 -</t>
    <phoneticPr fontId="7" type="noConversion"/>
  </si>
  <si>
    <t>V4</t>
    <phoneticPr fontId="7" type="noConversion"/>
  </si>
  <si>
    <t>6. 신호기 좌대앵커</t>
    <phoneticPr fontId="54" type="noConversion"/>
  </si>
  <si>
    <t>(PE 28C)</t>
    <phoneticPr fontId="7" type="noConversion"/>
  </si>
  <si>
    <t>8. 접지선 (F-GV난연 16㎟)</t>
    <phoneticPr fontId="7" type="noConversion"/>
  </si>
  <si>
    <t>9. 접지봉 (14Φ*1000*1본)</t>
    <phoneticPr fontId="7" type="noConversion"/>
  </si>
  <si>
    <t>산출기초</t>
    <phoneticPr fontId="7" type="noConversion"/>
  </si>
  <si>
    <t>F-CVV 2.5㎟/5Cx1 (PE 54C)</t>
    <phoneticPr fontId="7" type="noConversion"/>
  </si>
  <si>
    <t>F-CVV 2.5㎟/5Cx2 (PE 54C)</t>
    <phoneticPr fontId="7" type="noConversion"/>
  </si>
  <si>
    <t>F-CVV 2.5㎟/5Cx3 (PE 54C)</t>
    <phoneticPr fontId="7" type="noConversion"/>
  </si>
  <si>
    <t>F-CVV 2.5㎟/5Cx4 (PE 54C)</t>
    <phoneticPr fontId="7" type="noConversion"/>
  </si>
  <si>
    <t>F-CVV 2.5㎟/5Cx5 (PE 104C)</t>
    <phoneticPr fontId="7" type="noConversion"/>
  </si>
  <si>
    <t>*</t>
    <phoneticPr fontId="244" type="noConversion"/>
  </si>
  <si>
    <t>)</t>
    <phoneticPr fontId="7" type="noConversion"/>
  </si>
  <si>
    <t>㎡</t>
    <phoneticPr fontId="244" type="noConversion"/>
  </si>
  <si>
    <t>식</t>
    <phoneticPr fontId="7" type="noConversion"/>
  </si>
  <si>
    <t>저압(가공)</t>
    <phoneticPr fontId="7" type="noConversion"/>
  </si>
  <si>
    <t>산출기초</t>
    <phoneticPr fontId="7" type="noConversion"/>
  </si>
  <si>
    <t>수량</t>
    <phoneticPr fontId="7" type="noConversion"/>
  </si>
  <si>
    <t>비고</t>
    <phoneticPr fontId="7" type="noConversion"/>
  </si>
  <si>
    <t>인입집계</t>
    <phoneticPr fontId="7" type="noConversion"/>
  </si>
  <si>
    <t>36.</t>
    <phoneticPr fontId="7" type="noConversion"/>
  </si>
  <si>
    <t>굴삭기(유압식 백호)</t>
    <phoneticPr fontId="7" type="noConversion"/>
  </si>
  <si>
    <t>0.4㎥(발파)</t>
    <phoneticPr fontId="7" type="noConversion"/>
  </si>
  <si>
    <t>인 x</t>
    <phoneticPr fontId="7" type="noConversion"/>
  </si>
  <si>
    <t>×</t>
    <phoneticPr fontId="7" type="noConversion"/>
  </si>
  <si>
    <t>증기산출02</t>
    <phoneticPr fontId="7" type="noConversion"/>
  </si>
  <si>
    <t>시간당</t>
    <phoneticPr fontId="7" type="noConversion"/>
  </si>
  <si>
    <t>시공량</t>
    <phoneticPr fontId="7" type="noConversion"/>
  </si>
  <si>
    <t>Qd</t>
    <phoneticPr fontId="7" type="noConversion"/>
  </si>
  <si>
    <t>㎡</t>
    <phoneticPr fontId="7" type="noConversion"/>
  </si>
  <si>
    <t>hr</t>
    <phoneticPr fontId="7" type="noConversion"/>
  </si>
  <si>
    <t>기계경비</t>
    <phoneticPr fontId="7" type="noConversion"/>
  </si>
  <si>
    <t>덤프트럭</t>
    <phoneticPr fontId="7" type="noConversion"/>
  </si>
  <si>
    <t>(2.5Ton)</t>
    <phoneticPr fontId="7" type="noConversion"/>
  </si>
  <si>
    <t>공구손료</t>
    <phoneticPr fontId="7" type="noConversion"/>
  </si>
  <si>
    <t>보통인부</t>
    <phoneticPr fontId="7" type="noConversion"/>
  </si>
  <si>
    <t>다</t>
    <phoneticPr fontId="7" type="noConversion"/>
  </si>
  <si>
    <t>소모재료</t>
    <phoneticPr fontId="7" type="noConversion"/>
  </si>
  <si>
    <t>철거집계1</t>
    <phoneticPr fontId="7" type="noConversion"/>
  </si>
  <si>
    <t>F-CVV 2.5㎟/5Cx1 (등주내배선)</t>
    <phoneticPr fontId="7" type="noConversion"/>
  </si>
  <si>
    <t>퇴직공제부금비</t>
    <phoneticPr fontId="54" type="noConversion"/>
  </si>
  <si>
    <t>공배관 (PE 104C)</t>
    <phoneticPr fontId="7" type="noConversion"/>
  </si>
  <si>
    <t>조력공</t>
  </si>
  <si>
    <t>제도사</t>
  </si>
  <si>
    <t>철공</t>
  </si>
  <si>
    <t>철골공</t>
  </si>
  <si>
    <t>용접공</t>
  </si>
  <si>
    <t>보링공</t>
  </si>
  <si>
    <t>착암공</t>
  </si>
  <si>
    <t>할석공</t>
  </si>
  <si>
    <t>포설공</t>
  </si>
  <si>
    <t>포장공</t>
  </si>
  <si>
    <t>잠수부</t>
  </si>
  <si>
    <t>조적공</t>
  </si>
  <si>
    <t>견출공</t>
  </si>
  <si>
    <t>창호공</t>
  </si>
  <si>
    <t>유리공</t>
  </si>
  <si>
    <t>타일공</t>
  </si>
  <si>
    <t>도장공</t>
  </si>
  <si>
    <t>내장공</t>
  </si>
  <si>
    <t>도배공</t>
  </si>
  <si>
    <t>연마공</t>
  </si>
  <si>
    <t>석공</t>
  </si>
  <si>
    <t>줄눈공</t>
  </si>
  <si>
    <t>벌목부</t>
  </si>
  <si>
    <t>조경공</t>
  </si>
  <si>
    <t>배관공(수도)</t>
  </si>
  <si>
    <t>위생공</t>
  </si>
  <si>
    <t>덕트공</t>
  </si>
  <si>
    <t>보온공</t>
  </si>
  <si>
    <t>궤도공</t>
  </si>
  <si>
    <t>선원</t>
  </si>
  <si>
    <t>H/W시험사</t>
  </si>
  <si>
    <t>S/W시험사</t>
  </si>
  <si>
    <t>도편수</t>
  </si>
  <si>
    <t>화공</t>
  </si>
  <si>
    <t>포장공</t>
    <phoneticPr fontId="7" type="noConversion"/>
  </si>
  <si>
    <t>포장공</t>
    <phoneticPr fontId="7" type="noConversion"/>
  </si>
  <si>
    <t>포장공</t>
    <phoneticPr fontId="7" type="noConversion"/>
  </si>
  <si>
    <t>포설공</t>
    <phoneticPr fontId="7" type="noConversion"/>
  </si>
  <si>
    <t>m</t>
    <phoneticPr fontId="7" type="noConversion"/>
  </si>
  <si>
    <t>F-CVV 2.5㎟/5Cx1 : 신호등</t>
    <phoneticPr fontId="7" type="noConversion"/>
  </si>
  <si>
    <t>6회</t>
    <phoneticPr fontId="72" type="noConversion"/>
  </si>
  <si>
    <t>맨홀(600*600*600)</t>
    <phoneticPr fontId="7" type="noConversion"/>
  </si>
  <si>
    <t>F-CV 2.5㎟/2C (등주내배선)</t>
    <phoneticPr fontId="7" type="noConversion"/>
  </si>
  <si>
    <t>터파기 (W500 x H600)</t>
    <phoneticPr fontId="7" type="noConversion"/>
  </si>
  <si>
    <t>터파기 (W500 x H1200)</t>
    <phoneticPr fontId="7" type="noConversion"/>
  </si>
  <si>
    <t>가로등02</t>
    <phoneticPr fontId="7" type="noConversion"/>
  </si>
  <si>
    <t>2.1.조명 자재</t>
    <phoneticPr fontId="7" type="noConversion"/>
  </si>
  <si>
    <t>공사기간:12개월 이하</t>
    <phoneticPr fontId="54" type="noConversion"/>
  </si>
  <si>
    <t>기초산출#2</t>
    <phoneticPr fontId="54" type="noConversion"/>
  </si>
  <si>
    <t>분전반 기초</t>
    <phoneticPr fontId="9" type="noConversion"/>
  </si>
  <si>
    <t>750*450*1000</t>
    <phoneticPr fontId="7" type="noConversion"/>
  </si>
  <si>
    <t>1. 공사명</t>
    <phoneticPr fontId="7" type="noConversion"/>
  </si>
  <si>
    <t>-</t>
    <phoneticPr fontId="7" type="noConversion"/>
  </si>
  <si>
    <t>2. 공사의 목적</t>
    <phoneticPr fontId="7" type="noConversion"/>
  </si>
  <si>
    <t xml:space="preserve">  </t>
    <phoneticPr fontId="7" type="noConversion"/>
  </si>
  <si>
    <t>3. 공사의 위치 및 범위</t>
    <phoneticPr fontId="7" type="noConversion"/>
  </si>
  <si>
    <t xml:space="preserve"> </t>
    <phoneticPr fontId="7" type="noConversion"/>
  </si>
  <si>
    <t>(1)</t>
    <phoneticPr fontId="199" type="noConversion"/>
  </si>
  <si>
    <t xml:space="preserve">위   치 </t>
    <phoneticPr fontId="7" type="noConversion"/>
  </si>
  <si>
    <t>(2)</t>
    <phoneticPr fontId="7" type="noConversion"/>
  </si>
  <si>
    <t>공사범위:</t>
    <phoneticPr fontId="7" type="noConversion"/>
  </si>
  <si>
    <t>4. 공 사 기 간</t>
    <phoneticPr fontId="7" type="noConversion"/>
  </si>
  <si>
    <t>5. 설계변경조건</t>
    <phoneticPr fontId="7" type="noConversion"/>
  </si>
  <si>
    <t>골재원 및 토취장의 위치 및 운반거리등이 변경될 경우</t>
    <phoneticPr fontId="7" type="noConversion"/>
  </si>
  <si>
    <t xml:space="preserve">연평균 강우일보다 많은 강우일로 인하여 공사진행에 현저한 지장을 주거나 관급자재의 공급지연으로 공사에 지장을 주었다고 </t>
    <phoneticPr fontId="7" type="noConversion"/>
  </si>
  <si>
    <t>인정될 경우에는 상당하는 기일 만큼 연기 할 수 있다</t>
    <phoneticPr fontId="7" type="noConversion"/>
  </si>
  <si>
    <t>-</t>
    <phoneticPr fontId="7" type="noConversion"/>
  </si>
  <si>
    <t>감독관의 동의 후 공법이 변경될 경우</t>
    <phoneticPr fontId="7" type="noConversion"/>
  </si>
  <si>
    <t>천재지변으로 인하여 설계변경이 불가피한 경우</t>
    <phoneticPr fontId="7" type="noConversion"/>
  </si>
  <si>
    <t>-</t>
    <phoneticPr fontId="7" type="noConversion"/>
  </si>
  <si>
    <t>본 공사 시공중 관의 형편상 설계변경이 불가피한 경우</t>
    <phoneticPr fontId="7" type="noConversion"/>
  </si>
  <si>
    <t>물가변동이 발생시 감독관과 협의하여 변경함</t>
    <phoneticPr fontId="7" type="noConversion"/>
  </si>
  <si>
    <t>구조물기초를 설계도서의 기준이상으로 변경해야하는 경우</t>
    <phoneticPr fontId="7" type="noConversion"/>
  </si>
  <si>
    <t>공   종</t>
    <phoneticPr fontId="7" type="noConversion"/>
  </si>
  <si>
    <t>구성비(%)</t>
    <phoneticPr fontId="7" type="noConversion"/>
  </si>
  <si>
    <t>비 고</t>
    <phoneticPr fontId="7" type="noConversion"/>
  </si>
  <si>
    <t>전기인입</t>
    <phoneticPr fontId="7" type="noConversion"/>
  </si>
  <si>
    <t>뒷정리</t>
    <phoneticPr fontId="7" type="noConversion"/>
  </si>
  <si>
    <t>계</t>
    <phoneticPr fontId="7" type="noConversion"/>
  </si>
  <si>
    <t>~</t>
    <phoneticPr fontId="199" type="noConversion"/>
  </si>
  <si>
    <t>~</t>
    <phoneticPr fontId="199" type="noConversion"/>
  </si>
  <si>
    <t>1) 가로등 공사</t>
    <phoneticPr fontId="7" type="noConversion"/>
  </si>
  <si>
    <t>2) 신호등 공사</t>
    <phoneticPr fontId="7" type="noConversion"/>
  </si>
  <si>
    <t>본 공사는 착공일로부터 365일 이내로 한다</t>
    <phoneticPr fontId="7" type="noConversion"/>
  </si>
  <si>
    <t>공 사 기 간 (12개월 / 365일 )</t>
    <phoneticPr fontId="7" type="noConversion"/>
  </si>
  <si>
    <t>180일</t>
    <phoneticPr fontId="7" type="noConversion"/>
  </si>
  <si>
    <t>60일</t>
    <phoneticPr fontId="199" type="noConversion"/>
  </si>
  <si>
    <t>120일</t>
    <phoneticPr fontId="7" type="noConversion"/>
  </si>
  <si>
    <t>240일</t>
    <phoneticPr fontId="7" type="noConversion"/>
  </si>
  <si>
    <t>300일</t>
    <phoneticPr fontId="7" type="noConversion"/>
  </si>
  <si>
    <t>365일</t>
    <phoneticPr fontId="7" type="noConversion"/>
  </si>
  <si>
    <t>가로등설치공사</t>
    <phoneticPr fontId="7" type="noConversion"/>
  </si>
  <si>
    <t>신호등설치공사</t>
    <phoneticPr fontId="7" type="noConversion"/>
  </si>
  <si>
    <t>노임, 중기단가는 2022년 상반기 시중노임을 적용함</t>
    <phoneticPr fontId="7" type="noConversion"/>
  </si>
  <si>
    <t>품     명</t>
  </si>
  <si>
    <t>특급품질관리기술인</t>
  </si>
  <si>
    <t>고급품질관리기술인</t>
  </si>
  <si>
    <t>중급품질관리기술인</t>
  </si>
  <si>
    <t>초급품질관리기술인</t>
  </si>
  <si>
    <t>F-CVV 2.5㎟/5Cx6 (PE 104C)</t>
    <phoneticPr fontId="7" type="noConversion"/>
  </si>
  <si>
    <t>F-CVV 2.5㎟/5Cx7 (PE 104C)</t>
    <phoneticPr fontId="7" type="noConversion"/>
  </si>
  <si>
    <t>F-CVV 2.5㎟/5Cx8 (PE 104C)</t>
    <phoneticPr fontId="7" type="noConversion"/>
  </si>
  <si>
    <t>가로등01</t>
    <phoneticPr fontId="7" type="noConversion"/>
  </si>
  <si>
    <t>1.1.1.철거공사</t>
    <phoneticPr fontId="7" type="noConversion"/>
  </si>
  <si>
    <t>EA</t>
    <phoneticPr fontId="7" type="noConversion"/>
  </si>
  <si>
    <t>1.1.2.인입공사</t>
    <phoneticPr fontId="7" type="noConversion"/>
  </si>
  <si>
    <t>F-CV 6㎟/1Cx4, F-GV 6㎟ (CD-P 36C) / L01~L04</t>
    <phoneticPr fontId="7" type="noConversion"/>
  </si>
  <si>
    <t>F-CV 6㎟/1Cx2, F-GV 6㎟ (CD-P 28C) / L01~L04</t>
    <phoneticPr fontId="7" type="noConversion"/>
  </si>
  <si>
    <t>1.2.1.제어함01</t>
    <phoneticPr fontId="7" type="noConversion"/>
  </si>
  <si>
    <t>1.2.2.제어함02</t>
    <phoneticPr fontId="7" type="noConversion"/>
  </si>
  <si>
    <t>F-CV 16㎟/1Cx2 (PE 36C): 횡단보도 제어반 전원</t>
    <phoneticPr fontId="7" type="noConversion"/>
  </si>
  <si>
    <t>F-CVV 2.5㎟/5Cx9 (PE 104C)</t>
    <phoneticPr fontId="7" type="noConversion"/>
  </si>
  <si>
    <t>F-CVV 2.5㎟/5Cx10 (PE 104C)</t>
    <phoneticPr fontId="7" type="noConversion"/>
  </si>
  <si>
    <t>F-CVV 2.5㎟/5Cx11 (PE 104C)</t>
    <phoneticPr fontId="7" type="noConversion"/>
  </si>
  <si>
    <t>F-CVV 2.5㎟/5Cx12 (PE 104C)</t>
    <phoneticPr fontId="7" type="noConversion"/>
  </si>
  <si>
    <t>가로등03</t>
    <phoneticPr fontId="7" type="noConversion"/>
  </si>
  <si>
    <t>신호등01</t>
    <phoneticPr fontId="7" type="noConversion"/>
  </si>
  <si>
    <t>가로등</t>
    <phoneticPr fontId="7" type="noConversion"/>
  </si>
  <si>
    <t>신호등</t>
    <phoneticPr fontId="7" type="noConversion"/>
  </si>
  <si>
    <t>가로등집계</t>
    <phoneticPr fontId="7" type="noConversion"/>
  </si>
  <si>
    <t>신호등집계</t>
    <phoneticPr fontId="7" type="noConversion"/>
  </si>
  <si>
    <t>3) CCTV 공사</t>
    <phoneticPr fontId="7" type="noConversion"/>
  </si>
  <si>
    <t>CCTV 설치공사</t>
    <phoneticPr fontId="7" type="noConversion"/>
  </si>
  <si>
    <t>본 과업은 도로이용객들의 편의 도모 및 안전교육을 통하여 각종 안전사고 방지에 그 목적이 있음.</t>
    <phoneticPr fontId="199" type="noConversion"/>
  </si>
  <si>
    <t>1.2.1.1.철거공사</t>
    <phoneticPr fontId="7" type="noConversion"/>
  </si>
  <si>
    <t>1.2.1.2.신설공사</t>
    <phoneticPr fontId="7" type="noConversion"/>
  </si>
  <si>
    <t>신호등03</t>
    <phoneticPr fontId="7" type="noConversion"/>
  </si>
  <si>
    <t>1.2.3.제어함03</t>
    <phoneticPr fontId="7" type="noConversion"/>
  </si>
  <si>
    <t>1.2.3.2.신설공사</t>
    <phoneticPr fontId="7" type="noConversion"/>
  </si>
  <si>
    <t>신호등02</t>
    <phoneticPr fontId="7" type="noConversion"/>
  </si>
  <si>
    <t>F-CV 10㎟/1Cx4, F-GV 10㎟ (CD-P 42C) / L01~L04</t>
    <phoneticPr fontId="7" type="noConversion"/>
  </si>
  <si>
    <t>분전반 / 재사용 철거</t>
    <phoneticPr fontId="7" type="noConversion"/>
  </si>
  <si>
    <t>가로등 분전반 / 재사용 신설</t>
    <phoneticPr fontId="7" type="noConversion"/>
  </si>
  <si>
    <t>분전반</t>
    <phoneticPr fontId="7" type="noConversion"/>
  </si>
  <si>
    <t>(13+22+22+11+21+21+21+15+24+21)</t>
    <phoneticPr fontId="7" type="noConversion"/>
  </si>
  <si>
    <t>(11+20)+(9+22+22+22+13+23+23+23+14+20+20)</t>
    <phoneticPr fontId="7" type="noConversion"/>
  </si>
  <si>
    <t>(20)+(20)</t>
    <phoneticPr fontId="7" type="noConversion"/>
  </si>
  <si>
    <t>공배관 (CD-P 54C)</t>
    <phoneticPr fontId="7" type="noConversion"/>
  </si>
  <si>
    <t>10m 1등용 (LED 100W) / 재사용 철거</t>
    <phoneticPr fontId="7" type="noConversion"/>
  </si>
  <si>
    <t>10m 2등용 (LED 100W+ LED 50W) / 재사용 철거</t>
    <phoneticPr fontId="7" type="noConversion"/>
  </si>
  <si>
    <t>CCTV</t>
    <phoneticPr fontId="7" type="noConversion"/>
  </si>
  <si>
    <t>10m 1등용 (LED 100W) / 재사용 신설</t>
    <phoneticPr fontId="7" type="noConversion"/>
  </si>
  <si>
    <t>10m 2등용 (LED 100W + LED 50W) / 재사용 신설</t>
    <phoneticPr fontId="7" type="noConversion"/>
  </si>
  <si>
    <t>10m 1등용 arm 2m (LED 100W) / 신설</t>
    <phoneticPr fontId="7" type="noConversion"/>
  </si>
  <si>
    <t>17+18+22+12</t>
    <phoneticPr fontId="7" type="noConversion"/>
  </si>
  <si>
    <t>29+36</t>
    <phoneticPr fontId="7" type="noConversion"/>
  </si>
  <si>
    <t>(4)+(4)+(8+5)+(4)+(8+9)+(8+9)+(4)+(4)+(8+5)+(4)+(4)+(8+9)+(8+9)+(4)</t>
    <phoneticPr fontId="7" type="noConversion"/>
  </si>
  <si>
    <t>터파기 (W500 x H600) / 가로등전원</t>
    <phoneticPr fontId="7" type="noConversion"/>
  </si>
  <si>
    <t>m</t>
    <phoneticPr fontId="7" type="noConversion"/>
  </si>
  <si>
    <t>F-CV 25㎟/1Cx2 (PE 36C) / 가로등전원</t>
    <phoneticPr fontId="7" type="noConversion"/>
  </si>
  <si>
    <t>17+18+22+12</t>
    <phoneticPr fontId="7" type="noConversion"/>
  </si>
  <si>
    <t>5+5+5+5</t>
    <phoneticPr fontId="7" type="noConversion"/>
  </si>
  <si>
    <t>5+5+5+5+21</t>
    <phoneticPr fontId="7" type="noConversion"/>
  </si>
  <si>
    <t>26+28</t>
    <phoneticPr fontId="7" type="noConversion"/>
  </si>
  <si>
    <t>11+10+11+9</t>
    <phoneticPr fontId="7" type="noConversion"/>
  </si>
  <si>
    <t>(4)+(4+4)+(8+5)+(4+4)+(8+9)+(8+9)+(4)+(4+4)+(8+5)+(4)+(4+4)+(8+9)+(8+9)+(4)</t>
    <phoneticPr fontId="7" type="noConversion"/>
  </si>
  <si>
    <t>11+10+11+9</t>
    <phoneticPr fontId="7" type="noConversion"/>
  </si>
  <si>
    <t>1.2.2.1.신설공사</t>
    <phoneticPr fontId="7" type="noConversion"/>
  </si>
  <si>
    <t>9+14+9+5+9</t>
    <phoneticPr fontId="7" type="noConversion"/>
  </si>
  <si>
    <t>14+9</t>
    <phoneticPr fontId="7" type="noConversion"/>
  </si>
  <si>
    <t>5+9</t>
    <phoneticPr fontId="7" type="noConversion"/>
  </si>
  <si>
    <t>(4)+(4)+(8+7)+(4)+(8+5)+(8+5)+(8+5)+(8+5)+(8+5)+(8+5)+(4)+(8+5)</t>
    <phoneticPr fontId="7" type="noConversion"/>
  </si>
  <si>
    <t>14+9</t>
    <phoneticPr fontId="7" type="noConversion"/>
  </si>
  <si>
    <t>9+5+9</t>
    <phoneticPr fontId="7" type="noConversion"/>
  </si>
  <si>
    <t>1.2.3.1.철거공사</t>
    <phoneticPr fontId="7" type="noConversion"/>
  </si>
  <si>
    <t>1.1.가로등공사[DL]</t>
    <phoneticPr fontId="7" type="noConversion"/>
  </si>
  <si>
    <t>1.1.3.설치공사</t>
    <phoneticPr fontId="7" type="noConversion"/>
  </si>
  <si>
    <t>1.2.신호등등공사[DL]</t>
    <phoneticPr fontId="7" type="noConversion"/>
  </si>
  <si>
    <t>서울 창동 복합시설현장 부지외부 실시설계 용역</t>
    <phoneticPr fontId="7" type="noConversion"/>
  </si>
  <si>
    <t>- 도봉구 창동 1-12 진입도로 일원</t>
    <phoneticPr fontId="199" type="noConversion"/>
  </si>
  <si>
    <t>공사명 : 서울 창동 복합시설현장 부지외부 실시설계 용역</t>
    <phoneticPr fontId="7" type="noConversion"/>
  </si>
  <si>
    <t>본 설계서는 2022년 건설공사표준품셈과 2022년 07월 물가자료, 물가정보를 참고하여 작성하였으며</t>
    <phoneticPr fontId="7" type="noConversion"/>
  </si>
  <si>
    <t>조달수수료(관급자재x0.54%)</t>
    <phoneticPr fontId="7" type="noConversion"/>
  </si>
  <si>
    <t>합     계</t>
    <phoneticPr fontId="7" type="noConversion"/>
  </si>
  <si>
    <t>2022년(하)</t>
  </si>
  <si>
    <t>2] 관급자재</t>
    <phoneticPr fontId="7" type="noConversion"/>
  </si>
  <si>
    <t>300x300x300</t>
    <phoneticPr fontId="7" type="noConversion"/>
  </si>
  <si>
    <t>2] 관급자재</t>
    <phoneticPr fontId="7" type="noConversion"/>
  </si>
  <si>
    <t>1.2.신설공사</t>
    <phoneticPr fontId="7" type="noConversion"/>
  </si>
  <si>
    <t>1.1.철거공사</t>
    <phoneticPr fontId="7" type="noConversion"/>
  </si>
  <si>
    <t>관급</t>
    <phoneticPr fontId="7" type="noConversion"/>
  </si>
  <si>
    <t>23년01월</t>
    <phoneticPr fontId="7" type="noConversion"/>
  </si>
  <si>
    <t>22년09월</t>
    <phoneticPr fontId="7" type="noConversion"/>
  </si>
  <si>
    <t>2023_상반기_노임단가</t>
    <phoneticPr fontId="7" type="noConversion"/>
  </si>
  <si>
    <r>
      <t xml:space="preserve">1. </t>
    </r>
    <r>
      <rPr>
        <b/>
        <sz val="20"/>
        <color indexed="8"/>
        <rFont val="돋움"/>
        <family val="3"/>
        <charset val="129"/>
      </rPr>
      <t>노</t>
    </r>
    <r>
      <rPr>
        <b/>
        <sz val="20"/>
        <color indexed="8"/>
        <rFont val="Arial"/>
        <family val="2"/>
      </rPr>
      <t xml:space="preserve"> </t>
    </r>
    <r>
      <rPr>
        <b/>
        <sz val="20"/>
        <color indexed="8"/>
        <rFont val="돋움"/>
        <family val="3"/>
        <charset val="129"/>
      </rPr>
      <t>임</t>
    </r>
    <r>
      <rPr>
        <b/>
        <sz val="20"/>
        <color indexed="8"/>
        <rFont val="Arial"/>
        <family val="2"/>
      </rPr>
      <t xml:space="preserve"> </t>
    </r>
    <r>
      <rPr>
        <b/>
        <sz val="20"/>
        <color indexed="8"/>
        <rFont val="돋움"/>
        <family val="3"/>
        <charset val="129"/>
      </rPr>
      <t>단</t>
    </r>
    <r>
      <rPr>
        <b/>
        <sz val="20"/>
        <color indexed="8"/>
        <rFont val="Arial"/>
        <family val="2"/>
      </rPr>
      <t xml:space="preserve"> </t>
    </r>
    <r>
      <rPr>
        <b/>
        <sz val="20"/>
        <color indexed="8"/>
        <rFont val="돋움"/>
        <family val="3"/>
        <charset val="129"/>
      </rPr>
      <t>가</t>
    </r>
    <r>
      <rPr>
        <b/>
        <sz val="20"/>
        <color indexed="8"/>
        <rFont val="Arial"/>
        <family val="2"/>
      </rPr>
      <t xml:space="preserve"> (2023. 1. 1</t>
    </r>
    <r>
      <rPr>
        <b/>
        <sz val="20"/>
        <color indexed="8"/>
        <rFont val="돋움"/>
        <family val="3"/>
        <charset val="129"/>
      </rPr>
      <t>공표</t>
    </r>
    <r>
      <rPr>
        <b/>
        <sz val="20"/>
        <color indexed="8"/>
        <rFont val="Arial"/>
        <family val="2"/>
      </rPr>
      <t>)</t>
    </r>
    <phoneticPr fontId="7" type="noConversion"/>
  </si>
  <si>
    <t>설   계   설   명   서</t>
  </si>
  <si>
    <t>1. 공 사 명</t>
  </si>
  <si>
    <t>2022년 경기창작센터 예술공원 조성사업(전기)</t>
    <phoneticPr fontId="7" type="noConversion"/>
  </si>
  <si>
    <t>2. 목     적</t>
  </si>
  <si>
    <t>창작스튜디오 3동 철거부지에 대부도의 생태환경의 이미지를 반영</t>
    <phoneticPr fontId="7" type="noConversion"/>
  </si>
  <si>
    <t>자연환경과 조화를 이루는 예술공원 조성</t>
    <phoneticPr fontId="7" type="noConversion"/>
  </si>
  <si>
    <t>3. 위     치</t>
  </si>
  <si>
    <t>1)</t>
    <phoneticPr fontId="7" type="noConversion"/>
  </si>
  <si>
    <t xml:space="preserve">위   치 : </t>
    <phoneticPr fontId="7" type="noConversion"/>
  </si>
  <si>
    <t>경기도 안산시 단원구 선감동 435번지 일원</t>
    <phoneticPr fontId="7" type="noConversion"/>
  </si>
  <si>
    <t>4. 공사개요</t>
    <phoneticPr fontId="7" type="noConversion"/>
  </si>
  <si>
    <t>공    종</t>
  </si>
  <si>
    <t>수             량</t>
  </si>
  <si>
    <t>전기공</t>
    <phoneticPr fontId="7" type="noConversion"/>
  </si>
  <si>
    <t>가로등 이설 2개소, 가로등 설치 7개소, 볼라드등 설치 9개소</t>
    <phoneticPr fontId="7" type="noConversion"/>
  </si>
  <si>
    <t>5. 공사기간</t>
    <phoneticPr fontId="7" type="noConversion"/>
  </si>
  <si>
    <t xml:space="preserve">본 공사에 소요되는 공사기간은 착공일로부터 3개월(90일)간으로 하며 다음의 경우에 한하여 관의 승인을 득하여 공사기간을 연장할 수 있다. </t>
    <phoneticPr fontId="7" type="noConversion"/>
  </si>
  <si>
    <t>공사중 강우일수가 최근 5년간의 년평균 강수일보다 많을때</t>
  </si>
  <si>
    <t>천재지변으로 인하여 작업이 불가능할 때</t>
  </si>
  <si>
    <t>관의 지시에 의하여 작업이 중단되었을때</t>
  </si>
  <si>
    <t>용지보상업무 지연으로 작업이 현저하게 지연되었을때</t>
  </si>
  <si>
    <t>예산변경이나 공사물량의 변동이 있을때</t>
  </si>
  <si>
    <t>6. 설계변경조건</t>
    <phoneticPr fontId="7" type="noConversion"/>
  </si>
  <si>
    <t xml:space="preserve">설계도서 내용이 불분명하거나 누락 오류 또는 모순되는 점이 있을때 실제에 맞춰 변경할 수 있다. </t>
  </si>
  <si>
    <t xml:space="preserve">본 설계시점과 공사착공시점의 시차에 따른 하천내 홍수등에 따른 지형의 변동이 있을시 설계변경을 할 수 있다. </t>
    <phoneticPr fontId="7" type="noConversion"/>
  </si>
  <si>
    <t xml:space="preserve">설계시 조사 불가능한 부분이나 조사후 변경된 사항에 대하여는 실제에 맞춰 변경을 할 수 있다. </t>
    <phoneticPr fontId="7" type="noConversion"/>
  </si>
  <si>
    <t xml:space="preserve">본 공사용 자재 및 인도지가 변경되었을 때는 설계변경을 할 수 있다. </t>
  </si>
  <si>
    <t xml:space="preserve">발주관서의 형편상 설계변경이 필요한 경우 설계변경을 할 수 있다. </t>
  </si>
  <si>
    <t xml:space="preserve">천재지변 및 불가항력적인 사항으로 인하여 심한 물가변동을 가져온 경우 설계변경을 할 수 있다. </t>
    <phoneticPr fontId="7" type="noConversion"/>
  </si>
  <si>
    <t xml:space="preserve">공시시행시 현지여건 변동 등에 따른 공법변경이 필요할 경우 설계변경을 할 수 있다. </t>
  </si>
  <si>
    <t xml:space="preserve">설계당시의 지반조사 자료와 실제 지반상태가 상이한 경우 설걔변경을 할 수 있다. </t>
    <phoneticPr fontId="7" type="noConversion"/>
  </si>
  <si>
    <t xml:space="preserve">사토장 및 석산등의 재료원의 위치가 변경되었을 경우 설계변경을 할 수 있다. </t>
  </si>
  <si>
    <t xml:space="preserve">시공측량결과 지형의 차이등 현지 여건이 변경되었을 경우 설계변경을 할 수 있다. </t>
  </si>
  <si>
    <t>11)</t>
  </si>
  <si>
    <t xml:space="preserve">기타 발주관서가 필요하다고 인정하거나 관계기관의 협의에 따라 불가피한 경우 설계변경을 할 수 있다. </t>
  </si>
  <si>
    <t>예   정   공   정   표</t>
    <phoneticPr fontId="7" type="noConversion"/>
  </si>
  <si>
    <t>공 사 기 간 (90일)</t>
    <phoneticPr fontId="7" type="noConversion"/>
  </si>
  <si>
    <t>비     고</t>
    <phoneticPr fontId="7" type="noConversion"/>
  </si>
  <si>
    <t>30일</t>
    <phoneticPr fontId="7" type="noConversion"/>
  </si>
  <si>
    <t>60일</t>
    <phoneticPr fontId="7" type="noConversion"/>
  </si>
  <si>
    <t>90일</t>
    <phoneticPr fontId="7" type="noConversion"/>
  </si>
  <si>
    <t>설   계   년   월   일</t>
  </si>
  <si>
    <t>설     계</t>
    <phoneticPr fontId="9" type="noConversion"/>
  </si>
  <si>
    <t>심     사</t>
    <phoneticPr fontId="7" type="noConversion"/>
  </si>
  <si>
    <t>팀     장</t>
    <phoneticPr fontId="7" type="noConversion"/>
  </si>
  <si>
    <t>과     장</t>
    <phoneticPr fontId="7" type="noConversion"/>
  </si>
  <si>
    <t xml:space="preserve">2 0 2 3 년 </t>
    <phoneticPr fontId="7" type="noConversion"/>
  </si>
  <si>
    <t>설계서</t>
    <phoneticPr fontId="7" type="noConversion"/>
  </si>
  <si>
    <t>◆</t>
  </si>
  <si>
    <t>위     치</t>
    <phoneticPr fontId="7" type="noConversion"/>
  </si>
  <si>
    <t>공사개요</t>
  </si>
  <si>
    <t>총 공 사 비</t>
    <phoneticPr fontId="9" type="noConversion"/>
  </si>
  <si>
    <t xml:space="preserve"> </t>
    <phoneticPr fontId="9" type="noConversion"/>
  </si>
  <si>
    <t>도 급 예 정 액</t>
    <phoneticPr fontId="9" type="noConversion"/>
  </si>
  <si>
    <t>관 급 자재대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</si>
</sst>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7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0.0_ "/>
    <numFmt numFmtId="177" formatCode="#,##0;[Red]#,##0"/>
    <numFmt numFmtId="178" formatCode="#,##0.000;[Red]#,##0.000"/>
    <numFmt numFmtId="179" formatCode="#,##0_ "/>
    <numFmt numFmtId="180" formatCode="&quot;₩&quot;#,##0.00;&quot;₩&quot;&quot;₩&quot;&quot;₩&quot;&quot;₩&quot;&quot;₩&quot;\-#,##0.00"/>
    <numFmt numFmtId="181" formatCode="&quot;₩&quot;#,##0;&quot;₩&quot;&quot;₩&quot;&quot;₩&quot;&quot;₩&quot;\-#,##0"/>
    <numFmt numFmtId="182" formatCode="&quot;₩&quot;#,##0;[Red]&quot;₩&quot;&quot;₩&quot;&quot;₩&quot;&quot;₩&quot;\-#,##0"/>
    <numFmt numFmtId="183" formatCode="&quot;₩&quot;#,##0;&quot;₩&quot;&quot;₩&quot;&quot;₩&quot;&quot;₩&quot;\-&quot;₩&quot;#,##0"/>
    <numFmt numFmtId="184" formatCode="#,##0.00\ &quot;Pts&quot;;\-#,##0.00\ &quot;Pts&quot;"/>
    <numFmt numFmtId="185" formatCode="_ * #,##0_ ;_ * \-#,##0_ ;_ * &quot;-&quot;_ ;_ @_ "/>
    <numFmt numFmtId="186" formatCode="_ * #,##0.00_ ;_ * \-#,##0.00_ ;_ * &quot;-&quot;??_ ;_ @_ "/>
    <numFmt numFmtId="187" formatCode="_-[$€-2]* #,##0.00_-;\-[$€-2]* #,##0.00_-;_-[$€-2]* &quot;-&quot;??_-"/>
    <numFmt numFmtId="188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189" formatCode="#,##0;&quot;₩&quot;&quot;₩&quot;&quot;₩&quot;&quot;₩&quot;\(#,##0&quot;₩&quot;&quot;₩&quot;&quot;₩&quot;&quot;₩&quot;\)"/>
    <numFmt numFmtId="190" formatCode="0.0"/>
    <numFmt numFmtId="191" formatCode="_-* #,##0.0000_-;\-* #,##0.0000_-;_-* &quot;-&quot;_-;_-@_-"/>
    <numFmt numFmtId="192" formatCode="&quot;₩&quot;#,##0;&quot;₩&quot;&quot;₩&quot;&quot;₩&quot;&quot;₩&quot;&quot;₩&quot;&quot;₩&quot;&quot;₩&quot;&quot;₩&quot;&quot;₩&quot;&quot;₩&quot;\-&quot;₩&quot;#,##0"/>
    <numFmt numFmtId="193" formatCode="#."/>
    <numFmt numFmtId="194" formatCode="0.000"/>
    <numFmt numFmtId="195" formatCode="&quot;직&quot;&quot;원&quot;\ ##\ &quot;인&quot;"/>
    <numFmt numFmtId="196" formatCode="&quot;순&quot;&quot;공&quot;&quot;사&quot;&quot;비&quot;&quot;의&quot;\ #.##\ %"/>
    <numFmt numFmtId="197" formatCode="#,##0_);\(#,##0\)"/>
    <numFmt numFmtId="198" formatCode="&quot;제 &quot;General&quot;호표&quot;"/>
    <numFmt numFmtId="199" formatCode="#\!."/>
    <numFmt numFmtId="200" formatCode="_-* #,##0.000_-;\-* #,##0.000_-;_-* &quot;-&quot;_-;_-@_-"/>
    <numFmt numFmtId="201" formatCode="#,##0.00_ "/>
    <numFmt numFmtId="202" formatCode="#,##0;[Red]&quot;-&quot;#,##0"/>
    <numFmt numFmtId="203" formatCode="#,##0.00;[Red]&quot;-&quot;#,##0.00"/>
    <numFmt numFmtId="204" formatCode="&quot;₩&quot;#,##0;&quot;₩&quot;&quot;₩&quot;&quot;₩&quot;&quot;₩&quot;&quot;₩&quot;\-#,##0"/>
    <numFmt numFmtId="205" formatCode="&quot;₩&quot;#,##0;[Red]&quot;₩&quot;&quot;₩&quot;&quot;₩&quot;&quot;₩&quot;&quot;₩&quot;\-#,##0"/>
    <numFmt numFmtId="206" formatCode="_-* #,##0.00_-;\-* #,##0.00_-;_-* &quot;-&quot;_-;_-@_-"/>
    <numFmt numFmtId="207" formatCode="&quot; &lt;직접 노무비&gt; x &quot;General&quot;%&quot;"/>
    <numFmt numFmtId="208" formatCode="&quot; &lt;건강 보험료&gt; x &quot;General&quot;%&quot;"/>
    <numFmt numFmtId="209" formatCode="&quot; &lt;노무비&gt; x &quot;General&quot;%&quot;"/>
    <numFmt numFmtId="210" formatCode="&quot; &lt;재료비+노무비&gt; x &quot;General&quot;%&quot;"/>
    <numFmt numFmtId="211" formatCode="&quot; &lt;재료비+노무비+경비&gt; x &quot;General&quot;%&quot;"/>
    <numFmt numFmtId="212" formatCode="&quot; &lt;노무비+경비+일반관리비&gt; x &quot;General&quot;%&quot;"/>
    <numFmt numFmtId="213" formatCode="&quot; &lt;공급가액&gt; x &quot;General&quot;%&quot;"/>
    <numFmt numFmtId="214" formatCode="_-* #,##0.0000_-;\-* #,##0.0000_-;_-* &quot;-&quot;??_-;_-@_-"/>
    <numFmt numFmtId="215" formatCode="_ &quot;₩&quot;* #,##0.00_ ;_ &quot;₩&quot;* \-#,##0.00_ ;_ &quot;₩&quot;* &quot;-&quot;??_ ;_ @_ "/>
    <numFmt numFmtId="216" formatCode="&quot;×&quot;#,##0.00"/>
    <numFmt numFmtId="217" formatCode="&quot;(&quot;\ #,##0&quot;)&quot;"/>
    <numFmt numFmtId="218" formatCode="#,##0.000"/>
    <numFmt numFmtId="219" formatCode="&quot;$&quot;#,##0_);\(&quot;$&quot;#,##0\)"/>
    <numFmt numFmtId="22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21" formatCode=";;;"/>
    <numFmt numFmtId="222" formatCode="0.0%"/>
    <numFmt numFmtId="223" formatCode="#0.00%"/>
    <numFmt numFmtId="224" formatCode="&quot;₩&quot;#,##0;[Red]&quot;₩&quot;\-&quot;₩&quot;#,##0"/>
    <numFmt numFmtId="225" formatCode="_(* #,##0_);_(* \(#,##0\);_(* &quot;-&quot;_);_(@_)"/>
    <numFmt numFmtId="226" formatCode="0.0000"/>
    <numFmt numFmtId="227" formatCode="#,##0,"/>
    <numFmt numFmtId="228" formatCode="#,##0.000\ &quot;10공/㎥ &quot;"/>
    <numFmt numFmtId="229" formatCode="0%\ "/>
    <numFmt numFmtId="230" formatCode="_ * #,##0.00_ ;_ * &quot;₩&quot;\!\-#,##0.00_ ;_ * &quot;-&quot;??_ ;_ @_ "/>
    <numFmt numFmtId="231" formatCode="#,##0.00\ &quot;a &quot;"/>
    <numFmt numFmtId="232" formatCode="_ &quot;₩&quot;* #,##0_ ;_ &quot;₩&quot;* \-#,##0_ ;_ &quot;₩&quot;* &quot;-&quot;_ ;_ @_ "/>
    <numFmt numFmtId="233" formatCode="\$#,##0.00"/>
    <numFmt numFmtId="234" formatCode="#,##0.000\ &quot;㎏ &quot;"/>
    <numFmt numFmtId="235" formatCode="#,##0.00\ &quot;ℓ &quot;"/>
    <numFmt numFmtId="236" formatCode="yyyy&quot;년&quot;\ m&quot;월&quot;\ d&quot;일&quot;"/>
    <numFmt numFmtId="237" formatCode="#,##0.0000"/>
    <numFmt numFmtId="238" formatCode="0.00000"/>
    <numFmt numFmtId="239" formatCode="#,##0.000\ &quot;m  &quot;"/>
    <numFmt numFmtId="240" formatCode="&quot;₩&quot;#,##0.00"/>
    <numFmt numFmtId="241" formatCode="&quot;₩&quot;#,##0"/>
    <numFmt numFmtId="242" formatCode="0.00000_ "/>
    <numFmt numFmtId="243" formatCode="#,##0.000\ &quot;㎡ &quot;"/>
    <numFmt numFmtId="244" formatCode="#,##0.000\ &quot;㎥ &quot;"/>
    <numFmt numFmtId="245" formatCode="\ &quot;~~ &quot;@"/>
    <numFmt numFmtId="246" formatCode="#,##0.000\ &quot;ton &quot;"/>
    <numFmt numFmtId="247" formatCode="#,##0.00\ &quot;개 &quot;"/>
    <numFmt numFmtId="248" formatCode="#,###\ &quot;개&quot;"/>
    <numFmt numFmtId="249" formatCode="_(&quot;$&quot;* #,##0.00_);_(&quot;$&quot;* \(#,##0.00\);_(&quot;$&quot;* &quot;-&quot;??_);_(@_)"/>
    <numFmt numFmtId="250" formatCode="#,##0.0\ &quot;개소 &quot;"/>
    <numFmt numFmtId="251" formatCode="_ * #,##0.0000000_ ;_ * \-#,##0.0000000_ ;_ * &quot;-&quot;_ ;_ @_ "/>
    <numFmt numFmtId="252" formatCode="&quot; &quot;@"/>
    <numFmt numFmtId="253" formatCode="#,###.00\ &quot;매 &quot;"/>
    <numFmt numFmtId="254" formatCode="#,##0.000_ "/>
    <numFmt numFmtId="255" formatCode="_ * #,##0_ ;_ * &quot;₩&quot;\!\-#,##0_ ;_ * &quot;-&quot;_ ;_ @_ "/>
    <numFmt numFmtId="256" formatCode="&quot;  &quot;@"/>
    <numFmt numFmtId="257" formatCode="&quot;     &quot;@"/>
    <numFmt numFmtId="258" formatCode="000.000"/>
    <numFmt numFmtId="259" formatCode="&quot;₩&quot;#,##0.00;\!\-&quot;₩&quot;#,##0.00"/>
    <numFmt numFmtId="260" formatCode="0.00_);[Red]\(0.00\)"/>
    <numFmt numFmtId="261" formatCode="#,##0;&quot;-&quot;#,##0"/>
    <numFmt numFmtId="262" formatCode="&quot;&lt;&quot;#,##0&quot;&gt;&quot;"/>
    <numFmt numFmtId="263" formatCode="&quot;제&quot;General&quot;호표&quot;"/>
    <numFmt numFmtId="264" formatCode="#,##0.00;[Red]#,##0.00"/>
    <numFmt numFmtId="265" formatCode="#,##0.00_);\(#,##0.00\)"/>
    <numFmt numFmtId="266" formatCode="#,##0.0000;[Red]#,##0.0000"/>
    <numFmt numFmtId="267" formatCode="#,##0.000_);\(#,##0.000\)"/>
    <numFmt numFmtId="268" formatCode="&quot;제&quot;\ General&quot;호표&quot;"/>
    <numFmt numFmtId="269" formatCode="#,##0_);[Red]\(#,##0\)"/>
    <numFmt numFmtId="270" formatCode="&quot;계 6-&quot;General&quot;&quot;"/>
    <numFmt numFmtId="271" formatCode="0_);[Red]\(0\)"/>
    <numFmt numFmtId="272" formatCode="_ * #,##0.0_ ;_ * \-#,##0.0_ ;_ * &quot;-&quot;_ ;_ @_ "/>
    <numFmt numFmtId="273" formatCode="_ * #,##0.00_ ;_ * \-#,##0.00_ ;_ * &quot;-&quot;_ ;_ @_ "/>
    <numFmt numFmtId="274" formatCode="_ * #,##0.000_ ;_ * \-#,##0.000_ ;_ * &quot;-&quot;_ ;_ @_ "/>
    <numFmt numFmtId="275" formatCode="_-* #,##0.0_-;\-* #,##0.0_-;_-* &quot;-&quot;_-;_-@_-"/>
    <numFmt numFmtId="276" formatCode="#,##0.0"/>
    <numFmt numFmtId="277" formatCode="_-&quot;₩&quot;* #,##0.00_-;&quot;₩&quot;&quot;₩&quot;\-&quot;₩&quot;* #,##0.00_-;_-&quot;₩&quot;* &quot;-&quot;??_-;_-@_-"/>
    <numFmt numFmtId="278" formatCode="_-* #,##0.00_-;&quot;₩&quot;&quot;₩&quot;\-* #,##0.00_-;_-* &quot;-&quot;??_-;_-@_-"/>
    <numFmt numFmtId="279" formatCode="&quot;₩&quot;#,##0.00;&quot;₩&quot;&quot;₩&quot;&quot;₩&quot;&quot;₩&quot;\-#,##0.00"/>
    <numFmt numFmtId="280" formatCode="0;[Red]0"/>
    <numFmt numFmtId="281" formatCode="#,##0.0;[Red]#,##0.0"/>
    <numFmt numFmtId="282" formatCode="&quot;$&quot;#\!\,##0\!.00_);&quot;₩&quot;&quot;₩&quot;&quot;₩&quot;&quot;₩&quot;&quot;₩&quot;&quot;₩&quot;\!\(&quot;$&quot;#\!\,##0\!.00&quot;₩&quot;&quot;₩&quot;&quot;₩&quot;&quot;₩&quot;&quot;₩&quot;&quot;₩&quot;\!\)"/>
    <numFmt numFmtId="283" formatCode="_(&quot;$&quot;* #\!\,##0_);_(&quot;$&quot;* &quot;₩&quot;&quot;₩&quot;&quot;₩&quot;&quot;₩&quot;&quot;₩&quot;&quot;₩&quot;\!\(#\!\,##0&quot;₩&quot;&quot;₩&quot;&quot;₩&quot;&quot;₩&quot;&quot;₩&quot;&quot;₩&quot;\!\);_(&quot;$&quot;* &quot;-&quot;_);_(@_)"/>
    <numFmt numFmtId="284" formatCode="#,##0;[Red]&quot;△&quot;#,##0"/>
    <numFmt numFmtId="285" formatCode="&quot;·&quot;General"/>
    <numFmt numFmtId="286" formatCode="_ * #,##0.0000000000_ ;_ * \-#,##0.0000000000_ ;_ * &quot;-&quot;_ ;_ @_ "/>
    <numFmt numFmtId="287" formatCode="#,##0.00000"/>
    <numFmt numFmtId="288" formatCode="&quot;$&quot;#,##0.00_);\(&quot;$&quot;#,##0.00\)"/>
    <numFmt numFmtId="289" formatCode="#,##0\ &quot;DM&quot;;[Red]\-#,##0\ &quot;DM&quot;"/>
    <numFmt numFmtId="290" formatCode="#,##0.00\ &quot;DM&quot;;[Red]\-#,##0.00\ &quot;DM&quot;"/>
    <numFmt numFmtId="291" formatCode="_-* #,##0.0_-;&quot;₩&quot;\!\-* #,##0.0_-;_-* &quot;-&quot;_-;_-@_-"/>
    <numFmt numFmtId="292" formatCode="\$#.00"/>
    <numFmt numFmtId="293" formatCode="%#.00"/>
    <numFmt numFmtId="294" formatCode="#.00"/>
    <numFmt numFmtId="295" formatCode="#,##0."/>
    <numFmt numFmtId="296" formatCode="\$#."/>
    <numFmt numFmtId="297" formatCode="General_)"/>
    <numFmt numFmtId="298" formatCode="0.0000%"/>
    <numFmt numFmtId="299" formatCode="_-&quot;₩&quot;* #,##0.00_-;&quot;₩&quot;&quot;₩&quot;&quot;₩&quot;&quot;₩&quot;&quot;₩&quot;&quot;₩&quot;&quot;₩&quot;&quot;₩&quot;&quot;₩&quot;\-&quot;₩&quot;* #,##0.00_-;_-&quot;₩&quot;* &quot;-&quot;??_-;_-@_-"/>
    <numFmt numFmtId="300" formatCode="_-* #,##0.00_-;&quot;₩&quot;&quot;₩&quot;&quot;₩&quot;&quot;₩&quot;&quot;₩&quot;&quot;₩&quot;&quot;₩&quot;&quot;₩&quot;&quot;₩&quot;\-* #,##0.00_-;_-* &quot;-&quot;??_-;_-@_-"/>
    <numFmt numFmtId="301" formatCode="&quot;₩&quot;#,##0;[Red]&quot;₩&quot;&quot;₩&quot;&quot;₩&quot;&quot;₩&quot;&quot;₩&quot;&quot;₩&quot;&quot;₩&quot;&quot;₩&quot;&quot;₩&quot;&quot;₩&quot;\-&quot;₩&quot;#,##0"/>
    <numFmt numFmtId="302" formatCode="&quot;₩&quot;#,##0.00;&quot;₩&quot;&quot;₩&quot;&quot;₩&quot;&quot;₩&quot;&quot;₩&quot;&quot;₩&quot;&quot;₩&quot;&quot;₩&quot;&quot;₩&quot;&quot;₩&quot;\-&quot;₩&quot;#,##0.00"/>
    <numFmt numFmtId="303" formatCode="_(&quot;₩&quot;* #,##0_);_(&quot;₩&quot;* \(#,##0\);_(&quot;₩&quot;* &quot;-&quot;_);_(@_)"/>
    <numFmt numFmtId="304" formatCode="_(&quot;₩&quot;* #,##0.00_);_(&quot;₩&quot;* \(#,##0.00\);_(&quot;₩&quot;* &quot;-&quot;??_);_(@_)"/>
    <numFmt numFmtId="305" formatCode="_(&quot;RM&quot;* #,##0_);_(&quot;RM&quot;* \(#,##0\);_(&quot;RM&quot;* &quot;-&quot;_);_(@_)"/>
    <numFmt numFmtId="306" formatCode="_(&quot;RM&quot;* #,##0.00_);_(&quot;RM&quot;* \(#,##0.00\);_(&quot;RM&quot;* &quot;-&quot;??_);_(@_)"/>
    <numFmt numFmtId="307" formatCode="_ &quot;₩&quot;* #,##0_ ;_ &quot;₩&quot;* &quot;₩&quot;\!\-#,##0_ ;_ &quot;₩&quot;* &quot;-&quot;_ ;_ @_ "/>
    <numFmt numFmtId="308" formatCode="_ &quot;₩&quot;* #,##0.00_ ;_ &quot;₩&quot;* &quot;₩&quot;\!\-#,##0.00_ ;_ &quot;₩&quot;* &quot;-&quot;??_ ;_ @_ "/>
    <numFmt numFmtId="309" formatCode="0.000000"/>
    <numFmt numFmtId="310" formatCode="0.0_)"/>
    <numFmt numFmtId="311" formatCode="0.00\ &quot;)&quot;"/>
    <numFmt numFmtId="312" formatCode="0.00\ &quot;)]&quot;"/>
    <numFmt numFmtId="313" formatCode="0.000\ &quot;²&quot;"/>
    <numFmt numFmtId="314" formatCode="&quot;(&quot;\ 0.00"/>
    <numFmt numFmtId="315" formatCode="&quot;[(&quot;\ 0.00"/>
    <numFmt numFmtId="316" formatCode="0\ &quot;EA&quot;"/>
    <numFmt numFmtId="317" formatCode="0\ &quot;t&quot;"/>
    <numFmt numFmtId="318" formatCode="_ * #,##0.00_)\ _$_ ;_ * \(#,##0.00\)\ _$_ ;_ * &quot;-&quot;??_)\ _$_ ;_ @_ "/>
    <numFmt numFmtId="319" formatCode="0.00_ "/>
    <numFmt numFmtId="321" formatCode="0.000_ "/>
    <numFmt numFmtId="322" formatCode="#,##0\ \ \ "/>
    <numFmt numFmtId="323" formatCode="&quot;₩&quot;\!\$#\!\,##0_);[Red]&quot;₩&quot;\!\(&quot;₩&quot;\!\$#\!\,##0&quot;₩&quot;\!\)"/>
    <numFmt numFmtId="324" formatCode="0\!.0000000000000000"/>
    <numFmt numFmtId="325" formatCode="&quot;$&quot;#\!\,##0\!.00_);[Red]&quot;₩&quot;\!\(&quot;$&quot;#\!\,##0\!.00&quot;₩&quot;\!\)"/>
    <numFmt numFmtId="326" formatCode="#,##0.00000_);[Red]\(#,##0.00000\)"/>
    <numFmt numFmtId="327" formatCode="#,##0.000_);[Red]\(#,##0.000\)"/>
    <numFmt numFmtId="328" formatCode="0.00E+00_)"/>
    <numFmt numFmtId="329" formatCode="_(* #,##0.0_);_(* \(#,##0.0\);_(* &quot;-&quot;??_);_(@_)"/>
    <numFmt numFmtId="330" formatCode="@\ \ \ \ \ \ \ \ \ \ \ \ \ \ "/>
    <numFmt numFmtId="331" formatCode="#,##0;\-#,##0.00"/>
    <numFmt numFmtId="332" formatCode="#\!\,##0;&quot;₩&quot;\!\-#\!\,##0\!.00"/>
    <numFmt numFmtId="333" formatCode="@\ \ \ \ \ \ \ \ \ \ \ \ \ \ \ "/>
    <numFmt numFmtId="334" formatCode="&quot;Rp&quot;#,##0_);[Red]\(&quot;Rp&quot;#,##0\)"/>
    <numFmt numFmtId="335" formatCode="0\ \ "/>
    <numFmt numFmtId="336" formatCode="#,##0\ \ \ \ \ "/>
    <numFmt numFmtId="337" formatCode="#,##0\ \ ;[Red]\-#,##0\ \ ;\-\ \ "/>
    <numFmt numFmtId="338" formatCode="_ * #,##0_ ;_ * &quot;₩&quot;&quot;₩&quot;&quot;₩&quot;&quot;₩&quot;\-#,##0_ ;_ * &quot;-&quot;_ ;_ @_ "/>
    <numFmt numFmtId="339" formatCode="#,##0.0_);[Red]\(#,##0.0\)"/>
    <numFmt numFmtId="340" formatCode="&quot;₩&quot;#,##0.00;&quot;₩&quot;\-#,##0.00"/>
    <numFmt numFmtId="341" formatCode="&quot;₩&quot;#,##0.00;[Red]&quot;₩&quot;\-#,##0.00"/>
    <numFmt numFmtId="342" formatCode="&quot;₩&quot;#,##0;[Red]&quot;₩&quot;\-#,##0"/>
    <numFmt numFmtId="343" formatCode="&quot;₩&quot;#,##0.00;[Red]&quot;₩&quot;&quot;₩&quot;&quot;₩&quot;&quot;₩&quot;&quot;₩&quot;\-#,##0.00"/>
    <numFmt numFmtId="344" formatCode="&quot;₩&quot;#,##0;[Red]&quot;₩&quot;&quot;₩&quot;\-#,##0"/>
    <numFmt numFmtId="345" formatCode="_(&quot;$&quot;* #,##0_);_(&quot;$&quot;* \(#,##0\);_(&quot;$&quot;* &quot;-&quot;_);_(@_)"/>
    <numFmt numFmtId="346" formatCode="&quot;$&quot;#,##0_);[Red]\(&quot;$&quot;#,##0\)"/>
    <numFmt numFmtId="347" formatCode="&quot;$&quot;#,##0.00_);[Red]\(&quot;$&quot;#,##0.00\)"/>
    <numFmt numFmtId="348" formatCode="_ * #,##0.00_ ;_ * &quot;₩&quot;\-#,##0.00_ ;_ * &quot;-&quot;??_ ;_ @_ "/>
    <numFmt numFmtId="349" formatCode="#,##0&quot; &quot;;[Red]&quot;△&quot;#,##0&quot; &quot;"/>
    <numFmt numFmtId="350" formatCode="* #,##0&quot; &quot;;[Red]* &quot;△&quot;#,##0&quot; &quot;;* @"/>
    <numFmt numFmtId="351" formatCode="#,##0.####;[Red]&quot;△&quot;#,##0.####"/>
    <numFmt numFmtId="352" formatCode="#,##0.0########"/>
    <numFmt numFmtId="353" formatCode="#,##0.##"/>
    <numFmt numFmtId="354" formatCode="#,##0.#######"/>
    <numFmt numFmtId="355" formatCode="yy&quot;₩&quot;/mm&quot;₩&quot;/dd"/>
    <numFmt numFmtId="356" formatCode="&quot;₩&quot;\!\$#,##0_);[Red]&quot;₩&quot;\!\(&quot;₩&quot;\!\$#,##0&quot;₩&quot;\!\)"/>
    <numFmt numFmtId="357" formatCode="_-* #,##0_-;\-* #,##0_-;_-* &quot;-&quot;??_-;_-@_-"/>
    <numFmt numFmtId="358" formatCode="_ * #,##0.00_ ;_ * &quot;₩&quot;&quot;₩&quot;&quot;₩&quot;&quot;₩&quot;&quot;₩&quot;&quot;₩&quot;&quot;₩&quot;&quot;₩&quot;&quot;₩&quot;&quot;₩&quot;&quot;₩&quot;&quot;₩&quot;&quot;₩&quot;\-#,##0.00_ ;_ * &quot;-&quot;??_ ;_ @_ "/>
    <numFmt numFmtId="359" formatCode="&quot;?#,##0.00;\-&quot;&quot;?&quot;#,##0.00"/>
    <numFmt numFmtId="360" formatCode="yyyy\/m\/d"/>
    <numFmt numFmtId="361" formatCode="&quot;SFr.&quot;\ #,##0;&quot;SFr.&quot;\ \-#,##0"/>
    <numFmt numFmtId="362" formatCode="&quot;＋ &quot;0.0\ "/>
    <numFmt numFmtId="363" formatCode="0.00_);[Red]&quot;₩&quot;\!\(0.00&quot;₩&quot;\!\)"/>
    <numFmt numFmtId="364" formatCode="yyyy&quot;年&quot;m&quot;月&quot;d&quot;日&quot;"/>
    <numFmt numFmtId="365" formatCode="yy&quot;년&quot;m&quot;월&quot;d&quot;일&quot;"/>
    <numFmt numFmtId="369" formatCode="#,##0_ ;[Red]\-#,##0\ "/>
    <numFmt numFmtId="370" formatCode="#,##0&quot;원&quot;"/>
    <numFmt numFmtId="371" formatCode="#,###&quot;m&quot;"/>
    <numFmt numFmtId="372" formatCode="#,###\ &quot;kW&quot;"/>
    <numFmt numFmtId="373" formatCode="#,##0\ &quot;원&quot;"/>
    <numFmt numFmtId="374" formatCode="&quot;토&quot;&quot;목&quot;&quot;단&quot;&quot;가&quot;&quot;#&quot;#,##0"/>
    <numFmt numFmtId="375" formatCode="&quot;(재료비+직접노무비+관급자재) x &quot;0.##&quot;%&quot;\ "/>
    <numFmt numFmtId="376" formatCode="General;\-General\,&quot;&quot;;@"/>
    <numFmt numFmtId="377" formatCode="#,###;\-#,###;&quot;&quot;;@"/>
    <numFmt numFmtId="378" formatCode="0_ "/>
    <numFmt numFmtId="379" formatCode="&quot; (재료비+직접노무비) x &quot;General&quot;% x 1.2%&quot;"/>
    <numFmt numFmtId="380" formatCode="&quot;금&quot;#,##0&quot;원&quot;"/>
    <numFmt numFmtId="381" formatCode="[DBNum4]&quot;(금&quot;[$-412]General&quot;원)&quot;"/>
  </numFmts>
  <fonts count="290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name val="바탕체"/>
      <family val="1"/>
      <charset val="129"/>
    </font>
    <font>
      <sz val="12"/>
      <name val="바탕체"/>
      <family val="1"/>
      <charset val="129"/>
    </font>
    <font>
      <sz val="10"/>
      <name val="Times New Roman"/>
      <family val="1"/>
    </font>
    <font>
      <b/>
      <sz val="11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9"/>
      <name val="돋움체"/>
      <family val="3"/>
      <charset val="129"/>
    </font>
    <font>
      <sz val="10"/>
      <name val="굴림체"/>
      <family val="3"/>
      <charset val="129"/>
    </font>
    <font>
      <sz val="10"/>
      <name val="MS Sans Serif"/>
      <family val="2"/>
    </font>
    <font>
      <b/>
      <sz val="22"/>
      <name val="바탕체"/>
      <family val="1"/>
      <charset val="129"/>
    </font>
    <font>
      <sz val="12"/>
      <name val="굴림체"/>
      <family val="3"/>
      <charset val="129"/>
    </font>
    <font>
      <i/>
      <sz val="12"/>
      <name val="굴림체"/>
      <family val="3"/>
      <charset val="129"/>
    </font>
    <font>
      <sz val="10"/>
      <name val="Arial"/>
      <family val="2"/>
    </font>
    <font>
      <sz val="10"/>
      <name val="Helv"/>
      <family val="2"/>
    </font>
    <font>
      <sz val="12"/>
      <name val="Times New Roman"/>
      <family val="1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1"/>
      <name val="바탕"/>
      <family val="1"/>
      <charset val="129"/>
    </font>
    <font>
      <sz val="9"/>
      <name val="MS Sans Serif"/>
      <family val="2"/>
    </font>
    <font>
      <sz val="10"/>
      <name val="명조"/>
      <family val="3"/>
      <charset val="129"/>
    </font>
    <font>
      <sz val="12"/>
      <name val="견고딕"/>
      <family val="1"/>
      <charset val="129"/>
    </font>
    <font>
      <sz val="16"/>
      <name val="굴림체"/>
      <family val="3"/>
      <charset val="129"/>
    </font>
    <font>
      <sz val="12"/>
      <name val="ⓒoUAAA¨u"/>
      <family val="1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"/>
      <color indexed="16"/>
      <name val="Courier"/>
      <family val="3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"/>
      <color indexed="16"/>
      <name val="Courier"/>
      <family val="3"/>
    </font>
    <font>
      <b/>
      <sz val="11"/>
      <name val="Helv"/>
      <family val="2"/>
    </font>
    <font>
      <sz val="7"/>
      <name val="Small Fonts"/>
      <family val="2"/>
    </font>
    <font>
      <b/>
      <sz val="12"/>
      <name val="Book Antiqua"/>
      <family val="1"/>
    </font>
    <font>
      <b/>
      <sz val="8"/>
      <name val="Times New Roman"/>
      <family val="1"/>
    </font>
    <font>
      <b/>
      <i/>
      <sz val="14"/>
      <name val="Arial"/>
      <family val="2"/>
    </font>
    <font>
      <b/>
      <sz val="24"/>
      <name val="Arial"/>
      <family val="2"/>
    </font>
    <font>
      <b/>
      <sz val="14"/>
      <name val="Arial"/>
      <family val="2"/>
    </font>
    <font>
      <u/>
      <sz val="10"/>
      <color indexed="36"/>
      <name val="Arial"/>
      <family val="2"/>
    </font>
    <font>
      <u/>
      <sz val="9"/>
      <color indexed="12"/>
      <name val="Helv"/>
      <family val="2"/>
    </font>
    <font>
      <sz val="8"/>
      <name val="바탕"/>
      <family val="1"/>
      <charset val="129"/>
    </font>
    <font>
      <b/>
      <sz val="12"/>
      <name val="돋움체"/>
      <family val="3"/>
      <charset val="129"/>
    </font>
    <font>
      <sz val="10"/>
      <name val="돋움체"/>
      <family val="3"/>
      <charset val="129"/>
    </font>
    <font>
      <sz val="12"/>
      <name val="돋움체"/>
      <family val="3"/>
      <charset val="129"/>
    </font>
    <font>
      <b/>
      <sz val="10"/>
      <name val="돋움체"/>
      <family val="3"/>
      <charset val="129"/>
    </font>
    <font>
      <sz val="10"/>
      <color indexed="10"/>
      <name val="돋움체"/>
      <family val="3"/>
      <charset val="129"/>
    </font>
    <font>
      <sz val="11"/>
      <name val="굴림체"/>
      <family val="3"/>
      <charset val="129"/>
    </font>
    <font>
      <sz val="12"/>
      <name val="©öUAAA¨ù"/>
      <family val="1"/>
      <charset val="129"/>
    </font>
    <font>
      <sz val="11"/>
      <name val="￥i￠￢￠?o"/>
      <family val="3"/>
      <charset val="129"/>
    </font>
    <font>
      <sz val="11"/>
      <name val="¡¾¨u￠￢ⓒ÷A¨u"/>
      <family val="3"/>
      <charset val="129"/>
    </font>
    <font>
      <sz val="12"/>
      <name val="¡¾¨ù¢¬©÷A¨ù"/>
      <family val="3"/>
      <charset val="129"/>
    </font>
    <font>
      <sz val="11"/>
      <name val="±¼¸²Ã¼"/>
      <family val="3"/>
      <charset val="129"/>
    </font>
    <font>
      <sz val="12"/>
      <name val="±¼¸²A¼"/>
      <family val="1"/>
      <charset val="129"/>
    </font>
    <font>
      <sz val="8"/>
      <name val="©öUAAA¨ù"/>
      <family val="1"/>
      <charset val="129"/>
    </font>
    <font>
      <sz val="12"/>
      <name val="¥ì¢¬¢¯oA¨ù"/>
      <family val="3"/>
      <charset val="129"/>
    </font>
    <font>
      <sz val="10"/>
      <name val="¡¾¨ù¢¬©÷A¨ù"/>
      <family val="3"/>
      <charset val="129"/>
    </font>
    <font>
      <sz val="10"/>
      <name val="©öUAAA¨ù"/>
      <family val="1"/>
      <charset val="129"/>
    </font>
    <font>
      <sz val="8"/>
      <name val="¹UAAA¼"/>
      <family val="3"/>
      <charset val="129"/>
    </font>
    <font>
      <sz val="12"/>
      <color indexed="24"/>
      <name val="Arial"/>
      <family val="2"/>
    </font>
    <font>
      <sz val="10"/>
      <name val="굴림"/>
      <family val="3"/>
      <charset val="129"/>
    </font>
    <font>
      <sz val="9"/>
      <color indexed="8"/>
      <name val="돋움체"/>
      <family val="3"/>
      <charset val="129"/>
    </font>
    <font>
      <b/>
      <sz val="9"/>
      <name val="돋움체"/>
      <family val="3"/>
      <charset val="129"/>
    </font>
    <font>
      <b/>
      <sz val="11"/>
      <name val="돋움체"/>
      <family val="3"/>
      <charset val="129"/>
    </font>
    <font>
      <sz val="11"/>
      <name val="돋움체"/>
      <family val="3"/>
      <charset val="129"/>
    </font>
    <font>
      <b/>
      <sz val="13"/>
      <name val="돋움체"/>
      <family val="3"/>
      <charset val="129"/>
    </font>
    <font>
      <sz val="10"/>
      <color indexed="9"/>
      <name val="돋움체"/>
      <family val="3"/>
      <charset val="129"/>
    </font>
    <font>
      <b/>
      <u/>
      <sz val="20"/>
      <name val="돋움체"/>
      <family val="3"/>
      <charset val="129"/>
    </font>
    <font>
      <sz val="10"/>
      <color indexed="8"/>
      <name val="돋움체"/>
      <family val="3"/>
      <charset val="129"/>
    </font>
    <font>
      <b/>
      <sz val="12"/>
      <name val="바탕체"/>
      <family val="1"/>
      <charset val="129"/>
    </font>
    <font>
      <sz val="1"/>
      <color indexed="0"/>
      <name val="Courier"/>
      <family val="3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1"/>
      <color indexed="8"/>
      <name val="맑은 고딕"/>
      <family val="3"/>
      <charset val="129"/>
    </font>
    <font>
      <sz val="1"/>
      <color indexed="0"/>
      <name val="Courier"/>
      <family val="3"/>
    </font>
    <font>
      <i/>
      <outline/>
      <shadow/>
      <u/>
      <sz val="1"/>
      <color indexed="24"/>
      <name val="Courier"/>
      <family val="3"/>
    </font>
    <font>
      <sz val="1"/>
      <color indexed="8"/>
      <name val="Courier"/>
      <family val="3"/>
    </font>
    <font>
      <sz val="9"/>
      <name val="굴림"/>
      <family val="3"/>
      <charset val="129"/>
    </font>
    <font>
      <sz val="10"/>
      <name val="바탕"/>
      <family val="1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1"/>
      <name val="굴림"/>
      <family val="3"/>
      <charset val="129"/>
    </font>
    <font>
      <sz val="10"/>
      <name val="MS Serif"/>
      <family val="1"/>
    </font>
    <font>
      <sz val="10"/>
      <color indexed="16"/>
      <name val="MS Serif"/>
      <family val="1"/>
    </font>
    <font>
      <sz val="10"/>
      <name val="Univers (WN)"/>
      <family val="2"/>
    </font>
    <font>
      <b/>
      <i/>
      <sz val="12"/>
      <name val="Times New Roman"/>
      <family val="1"/>
    </font>
    <font>
      <sz val="8"/>
      <name val="Helv"/>
      <family val="2"/>
    </font>
    <font>
      <b/>
      <sz val="8"/>
      <color indexed="8"/>
      <name val="Helv"/>
      <family val="2"/>
    </font>
    <font>
      <b/>
      <i/>
      <sz val="9"/>
      <name val="Times New Roman"/>
      <family val="1"/>
    </font>
    <font>
      <b/>
      <u/>
      <sz val="13"/>
      <name val="굴림체"/>
      <family val="3"/>
      <charset val="129"/>
    </font>
    <font>
      <sz val="8"/>
      <name val="바탕체"/>
      <family val="1"/>
      <charset val="129"/>
    </font>
    <font>
      <b/>
      <sz val="10"/>
      <color indexed="8"/>
      <name val="돋움체"/>
      <family val="3"/>
      <charset val="129"/>
    </font>
    <font>
      <b/>
      <sz val="12"/>
      <color indexed="16"/>
      <name val="±¼¸²A¼"/>
      <family val="1"/>
      <charset val="129"/>
    </font>
    <font>
      <sz val="11"/>
      <name val="±¼¸²A¼"/>
      <family val="1"/>
      <charset val="129"/>
    </font>
    <font>
      <u/>
      <sz val="14"/>
      <color indexed="36"/>
      <name val="Cordia New"/>
      <family val="2"/>
    </font>
    <font>
      <u/>
      <sz val="14"/>
      <color indexed="12"/>
      <name val="Cordia New"/>
      <family val="2"/>
    </font>
    <font>
      <sz val="14"/>
      <name val="Helv"/>
      <family val="2"/>
    </font>
    <font>
      <sz val="12"/>
      <name val="Helv"/>
      <family val="2"/>
    </font>
    <font>
      <sz val="24"/>
      <name val="Helv"/>
      <family val="2"/>
    </font>
    <font>
      <b/>
      <sz val="11"/>
      <color indexed="10"/>
      <name val="돋움체"/>
      <family val="3"/>
      <charset val="129"/>
    </font>
    <font>
      <b/>
      <sz val="9"/>
      <color indexed="8"/>
      <name val="돋움체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1"/>
      <color indexed="8"/>
      <name val="굴림"/>
      <family val="3"/>
      <charset val="129"/>
    </font>
    <font>
      <sz val="10"/>
      <name val="바탕체"/>
      <family val="1"/>
      <charset val="129"/>
    </font>
    <font>
      <sz val="12"/>
      <name val="¹????¼"/>
      <family val="1"/>
      <charset val="129"/>
    </font>
    <font>
      <sz val="10"/>
      <name val="Courier New"/>
      <family val="3"/>
    </font>
    <font>
      <sz val="12"/>
      <name val="견명조"/>
      <family val="1"/>
      <charset val="129"/>
    </font>
    <font>
      <sz val="12"/>
      <name val="¡§IoUAAA￠R¡×u"/>
      <family val="3"/>
      <charset val="129"/>
    </font>
    <font>
      <b/>
      <sz val="9"/>
      <name val="Helv"/>
      <family val="2"/>
    </font>
    <font>
      <b/>
      <sz val="10"/>
      <name val="Arial"/>
      <family val="2"/>
    </font>
    <font>
      <i/>
      <sz val="10"/>
      <color indexed="8"/>
      <name val="궁서체"/>
      <family val="1"/>
      <charset val="129"/>
    </font>
    <font>
      <b/>
      <sz val="11"/>
      <name val="Times New Roman"/>
      <family val="1"/>
    </font>
    <font>
      <sz val="10"/>
      <name val="태-물방울B"/>
      <family val="1"/>
      <charset val="129"/>
    </font>
    <font>
      <sz val="9.5"/>
      <name val="돋움"/>
      <family val="3"/>
      <charset val="129"/>
    </font>
    <font>
      <sz val="12"/>
      <name val="굴림"/>
      <family val="3"/>
      <charset val="129"/>
    </font>
    <font>
      <sz val="12"/>
      <color indexed="10"/>
      <name val="바탕체"/>
      <family val="1"/>
      <charset val="129"/>
    </font>
    <font>
      <i/>
      <sz val="10"/>
      <name val="바탕체"/>
      <family val="1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11"/>
      <color indexed="8"/>
      <name val="돋움"/>
      <family val="3"/>
      <charset val="129"/>
    </font>
    <font>
      <sz val="10"/>
      <name val="한양신명조"/>
      <family val="1"/>
      <charset val="129"/>
    </font>
    <font>
      <sz val="10"/>
      <name val="돋움"/>
      <family val="3"/>
      <charset val="129"/>
    </font>
    <font>
      <sz val="10"/>
      <name val="궁서(English)"/>
      <family val="3"/>
      <charset val="129"/>
    </font>
    <font>
      <b/>
      <u/>
      <sz val="10"/>
      <color indexed="12"/>
      <name val="고딕"/>
      <family val="3"/>
      <charset val="129"/>
    </font>
    <font>
      <sz val="7.5"/>
      <name val="돋움체"/>
      <family val="3"/>
      <charset val="129"/>
    </font>
    <font>
      <u/>
      <sz val="20"/>
      <name val="돋움체"/>
      <family val="3"/>
      <charset val="129"/>
    </font>
    <font>
      <sz val="11"/>
      <color indexed="8"/>
      <name val="돋움체"/>
      <family val="3"/>
      <charset val="129"/>
    </font>
    <font>
      <sz val="10"/>
      <color theme="0"/>
      <name val="돋움체"/>
      <family val="3"/>
      <charset val="129"/>
    </font>
    <font>
      <u/>
      <sz val="9"/>
      <color indexed="36"/>
      <name val="Helv"/>
      <family val="2"/>
    </font>
    <font>
      <sz val="12"/>
      <name val="¹UAAA¼"/>
      <family val="1"/>
      <charset val="129"/>
    </font>
    <font>
      <sz val="10"/>
      <name val="¹UAAA¼"/>
      <family val="1"/>
      <charset val="129"/>
    </font>
    <font>
      <sz val="9"/>
      <name val="바탕체"/>
      <family val="1"/>
      <charset val="129"/>
    </font>
    <font>
      <sz val="12"/>
      <name val="μ¸¿oA¼"/>
      <family val="1"/>
      <charset val="129"/>
    </font>
    <font>
      <sz val="12"/>
      <name val="Arial"/>
      <family val="2"/>
    </font>
    <font>
      <sz val="10"/>
      <color indexed="12"/>
      <name val="굴림체"/>
      <family val="3"/>
      <charset val="129"/>
    </font>
    <font>
      <sz val="12"/>
      <name val="¹UAAA¼"/>
      <family val="3"/>
    </font>
    <font>
      <sz val="9"/>
      <color indexed="8"/>
      <name val="굴림체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명조"/>
      <family val="3"/>
      <charset val="129"/>
    </font>
    <font>
      <u/>
      <sz val="10"/>
      <color indexed="14"/>
      <name val="MS Sans Serif"/>
      <family val="2"/>
    </font>
    <font>
      <b/>
      <sz val="16"/>
      <name val="돋움체"/>
      <family val="3"/>
      <charset val="129"/>
    </font>
    <font>
      <sz val="12"/>
      <name val="¹ÙÅÁÃ¼"/>
      <family val="3"/>
      <charset val="129"/>
    </font>
    <font>
      <sz val="12"/>
      <name val="±¼¸²A¼"/>
      <family val="3"/>
      <charset val="129"/>
    </font>
    <font>
      <sz val="9"/>
      <name val="Arial"/>
      <family val="2"/>
    </font>
    <font>
      <b/>
      <i/>
      <sz val="11"/>
      <name val="Times New Roman"/>
      <family val="1"/>
    </font>
    <font>
      <sz val="10"/>
      <color indexed="12"/>
      <name val="Arial"/>
      <family val="2"/>
    </font>
    <font>
      <sz val="8"/>
      <color indexed="12"/>
      <name val="Arial"/>
      <family val="2"/>
    </font>
    <font>
      <b/>
      <sz val="12"/>
      <name val="???"/>
      <family val="1"/>
    </font>
    <font>
      <b/>
      <sz val="10"/>
      <name val="MS Sans Serif"/>
      <family val="2"/>
    </font>
    <font>
      <sz val="11"/>
      <name val="±¼¸²A¼"/>
      <family val="3"/>
      <charset val="129"/>
    </font>
    <font>
      <u/>
      <sz val="11"/>
      <color indexed="36"/>
      <name val="돋움"/>
      <family val="3"/>
      <charset val="129"/>
    </font>
    <font>
      <sz val="9"/>
      <name val="돋움"/>
      <family val="3"/>
      <charset val="129"/>
    </font>
    <font>
      <sz val="8"/>
      <name val="¹ÙÅÁÃ¼"/>
      <family val="3"/>
      <charset val="129"/>
    </font>
    <font>
      <sz val="12"/>
      <name val="±¼¸²Ã¼"/>
      <family val="3"/>
      <charset val="129"/>
    </font>
    <font>
      <sz val="12"/>
      <name val="µ¸¿òÃ¼"/>
      <family val="3"/>
      <charset val="129"/>
    </font>
    <font>
      <sz val="11"/>
      <name val="Times New Roman"/>
      <family val="1"/>
    </font>
    <font>
      <sz val="12"/>
      <name val="Courier New"/>
      <family val="3"/>
    </font>
    <font>
      <b/>
      <sz val="11"/>
      <color indexed="63"/>
      <name val="맑은 고딕"/>
      <family val="3"/>
    </font>
    <font>
      <sz val="24"/>
      <name val="Courier New"/>
      <family val="3"/>
    </font>
    <font>
      <sz val="10"/>
      <name val="맑은 고딕"/>
      <family val="3"/>
      <charset val="129"/>
    </font>
    <font>
      <sz val="11"/>
      <name val="바탕"/>
      <family val="1"/>
      <charset val="129"/>
    </font>
    <font>
      <sz val="12"/>
      <color indexed="24"/>
      <name val="바탕체"/>
      <family val="1"/>
      <charset val="129"/>
    </font>
    <font>
      <sz val="12"/>
      <name val="COUR"/>
      <family val="3"/>
    </font>
    <font>
      <sz val="7"/>
      <name val="바탕체"/>
      <family val="1"/>
      <charset val="129"/>
    </font>
    <font>
      <sz val="1"/>
      <color indexed="18"/>
      <name val="Courier"/>
      <family val="3"/>
    </font>
    <font>
      <sz val="10"/>
      <name val="Geneva"/>
      <family val="2"/>
    </font>
    <font>
      <sz val="12"/>
      <name val="¹UAAA¼"/>
      <family val="1"/>
    </font>
    <font>
      <sz val="12"/>
      <name val="¹ÙÅÁÃ¼"/>
      <family val="1"/>
    </font>
    <font>
      <sz val="11"/>
      <name val="µ¸¿ò"/>
      <family val="1"/>
      <charset val="129"/>
    </font>
    <font>
      <b/>
      <i/>
      <sz val="10"/>
      <name val="Times New Roman"/>
      <family val="1"/>
    </font>
    <font>
      <sz val="11"/>
      <name val="明朝"/>
      <family val="3"/>
      <charset val="129"/>
    </font>
    <font>
      <sz val="8"/>
      <name val="굴림체"/>
      <family val="3"/>
      <charset val="129"/>
    </font>
    <font>
      <sz val="14"/>
      <name val="뼥?ⓒ"/>
      <family val="3"/>
      <charset val="129"/>
    </font>
    <font>
      <sz val="14"/>
      <name val="ＭＳ 明朝"/>
      <family val="3"/>
      <charset val="129"/>
    </font>
    <font>
      <sz val="12"/>
      <name val="뼻뮝"/>
      <family val="3"/>
      <charset val="129"/>
    </font>
    <font>
      <sz val="8"/>
      <name val="#중고딕"/>
      <family val="3"/>
      <charset val="129"/>
    </font>
    <font>
      <sz val="10"/>
      <color indexed="8"/>
      <name val="바탕체"/>
      <family val="1"/>
      <charset val="129"/>
    </font>
    <font>
      <sz val="12"/>
      <name val="明朝"/>
      <family val="3"/>
      <charset val="129"/>
    </font>
    <font>
      <b/>
      <sz val="12"/>
      <color indexed="8"/>
      <name val="돋움체"/>
      <family val="3"/>
      <charset val="129"/>
    </font>
    <font>
      <b/>
      <u/>
      <sz val="16"/>
      <name val="굴림체"/>
      <family val="3"/>
      <charset val="129"/>
    </font>
    <font>
      <sz val="9"/>
      <color indexed="8"/>
      <name val="Arial"/>
      <family val="2"/>
    </font>
    <font>
      <sz val="11"/>
      <name val="ＭＳ 明朝"/>
      <family val="3"/>
      <charset val="129"/>
    </font>
    <font>
      <sz val="10"/>
      <name val="Arial Narrow"/>
      <family val="2"/>
    </font>
    <font>
      <sz val="12"/>
      <name val="Courier"/>
      <family val="3"/>
    </font>
    <font>
      <sz val="11"/>
      <color theme="1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theme="1"/>
      <name val="돋움체"/>
      <family val="3"/>
      <charset val="129"/>
    </font>
    <font>
      <b/>
      <sz val="20"/>
      <color indexed="8"/>
      <name val="Arial"/>
      <family val="2"/>
    </font>
    <font>
      <b/>
      <sz val="9"/>
      <color indexed="8"/>
      <name val="굴림체"/>
      <family val="3"/>
    </font>
    <font>
      <sz val="9"/>
      <color indexed="8"/>
      <name val="굴림체"/>
      <family val="3"/>
    </font>
    <font>
      <b/>
      <sz val="13"/>
      <color indexed="8"/>
      <name val="Arial"/>
      <family val="2"/>
    </font>
    <font>
      <sz val="10"/>
      <color indexed="8"/>
      <name val="돋움"/>
      <family val="3"/>
      <charset val="129"/>
    </font>
    <font>
      <b/>
      <sz val="9"/>
      <color indexed="8"/>
      <name val="굴림체"/>
      <family val="3"/>
      <charset val="129"/>
    </font>
    <font>
      <b/>
      <sz val="20"/>
      <color indexed="8"/>
      <name val="돋움"/>
      <family val="3"/>
      <charset val="129"/>
    </font>
    <font>
      <b/>
      <sz val="11"/>
      <name val="굴림"/>
      <family val="3"/>
      <charset val="129"/>
    </font>
    <font>
      <sz val="8"/>
      <name val="굴림"/>
      <family val="3"/>
      <charset val="129"/>
    </font>
    <font>
      <sz val="10"/>
      <color indexed="10"/>
      <name val="바탕체"/>
      <family val="1"/>
      <charset val="129"/>
    </font>
    <font>
      <i/>
      <sz val="12"/>
      <name val="바탕체"/>
      <family val="1"/>
      <charset val="129"/>
    </font>
    <font>
      <sz val="10"/>
      <name val="¸íÁ¶"/>
      <family val="3"/>
      <charset val="129"/>
    </font>
    <font>
      <sz val="9"/>
      <name val="굴림체"/>
      <family val="3"/>
      <charset val="129"/>
    </font>
    <font>
      <sz val="11"/>
      <color theme="1"/>
      <name val="굴림"/>
      <family val="3"/>
      <charset val="129"/>
    </font>
    <font>
      <b/>
      <sz val="24"/>
      <name val="견고딕"/>
      <family val="1"/>
      <charset val="129"/>
    </font>
    <font>
      <sz val="12"/>
      <name val="¸íÁ¶"/>
      <family val="3"/>
      <charset val="129"/>
    </font>
    <font>
      <sz val="11"/>
      <color indexed="8"/>
      <name val="굴림체"/>
      <family val="3"/>
      <charset val="129"/>
    </font>
    <font>
      <sz val="9"/>
      <color indexed="10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sz val="9"/>
      <name val="새굴림"/>
      <family val="1"/>
      <charset val="129"/>
    </font>
    <font>
      <sz val="8"/>
      <name val="돋움체"/>
      <family val="3"/>
      <charset val="129"/>
    </font>
    <font>
      <sz val="9.5"/>
      <name val="굴림"/>
      <family val="3"/>
      <charset val="129"/>
    </font>
    <font>
      <b/>
      <sz val="16"/>
      <name val="굴림"/>
      <family val="3"/>
      <charset val="129"/>
    </font>
    <font>
      <b/>
      <sz val="12"/>
      <color indexed="16"/>
      <name val="±¼¸²A¼"/>
      <family val="3"/>
      <charset val="129"/>
    </font>
    <font>
      <sz val="12"/>
      <name val="μ¸¿oA¼"/>
      <family val="3"/>
      <charset val="129"/>
    </font>
    <font>
      <sz val="11"/>
      <color theme="1"/>
      <name val="돋움"/>
      <family val="3"/>
      <charset val="129"/>
    </font>
    <font>
      <sz val="10"/>
      <color theme="1"/>
      <name val="돋움체"/>
      <family val="3"/>
      <charset val="129"/>
    </font>
    <font>
      <sz val="9"/>
      <color indexed="8"/>
      <name val="굴림체"/>
      <family val="2"/>
      <charset val="129"/>
    </font>
    <font>
      <sz val="2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8"/>
      <name val="굴림"/>
      <family val="3"/>
      <charset val="129"/>
    </font>
    <font>
      <b/>
      <sz val="10"/>
      <name val="굴림체"/>
      <family val="3"/>
      <charset val="129"/>
    </font>
    <font>
      <b/>
      <sz val="10"/>
      <color indexed="8"/>
      <name val="굴림"/>
      <family val="3"/>
      <charset val="129"/>
    </font>
    <font>
      <sz val="10"/>
      <color indexed="8"/>
      <name val="굴림"/>
      <family val="3"/>
      <charset val="129"/>
    </font>
    <font>
      <sz val="9"/>
      <name val="굴림체"/>
      <family val="3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color rgb="FF000000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2"/>
      <name val="맑은 고딕"/>
      <family val="3"/>
      <charset val="129"/>
    </font>
    <font>
      <sz val="12"/>
      <name val="돋움"/>
      <family val="3"/>
      <charset val="129"/>
    </font>
    <font>
      <sz val="8.5"/>
      <name val="맑은 고딕"/>
      <family val="3"/>
      <charset val="129"/>
      <scheme val="minor"/>
    </font>
    <font>
      <sz val="6.7"/>
      <name val="HY울릉도L"/>
      <family val="1"/>
      <charset val="129"/>
    </font>
    <font>
      <sz val="12"/>
      <name val="HY울릉도L"/>
      <family val="1"/>
      <charset val="129"/>
    </font>
    <font>
      <sz val="10"/>
      <color theme="1"/>
      <name val="맑은 고딕"/>
      <family val="3"/>
      <charset val="129"/>
      <scheme val="minor"/>
    </font>
    <font>
      <sz val="12"/>
      <color rgb="FF000000"/>
      <name val="돋움"/>
      <family val="3"/>
      <charset val="129"/>
    </font>
    <font>
      <sz val="12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2"/>
      <name val="맑은 고딕"/>
      <family val="3"/>
      <charset val="129"/>
    </font>
    <font>
      <sz val="9"/>
      <name val="맑은 고딕"/>
      <family val="3"/>
      <charset val="129"/>
    </font>
    <font>
      <b/>
      <sz val="1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2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HY울릉도L"/>
      <family val="1"/>
      <charset val="129"/>
    </font>
    <font>
      <b/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9"/>
      <color theme="1"/>
      <name val="돋움"/>
      <family val="3"/>
      <charset val="129"/>
    </font>
    <font>
      <b/>
      <sz val="20"/>
      <name val="맑은 고딕"/>
      <family val="3"/>
      <charset val="129"/>
    </font>
    <font>
      <b/>
      <sz val="12"/>
      <name val="돋움"/>
      <family val="3"/>
      <charset val="129"/>
    </font>
    <font>
      <b/>
      <sz val="18"/>
      <name val="돋움"/>
      <family val="3"/>
      <charset val="129"/>
    </font>
    <font>
      <sz val="20"/>
      <name val="휴먼세엑스포"/>
      <family val="1"/>
      <charset val="129"/>
    </font>
    <font>
      <b/>
      <sz val="18"/>
      <name val="HY울릉도M"/>
      <family val="1"/>
      <charset val="129"/>
    </font>
    <font>
      <b/>
      <sz val="34"/>
      <name val="HY울릉도M"/>
      <family val="1"/>
      <charset val="129"/>
    </font>
    <font>
      <sz val="28"/>
      <name val="돋움"/>
      <family val="3"/>
      <charset val="129"/>
    </font>
    <font>
      <b/>
      <sz val="24"/>
      <name val="돋움"/>
      <family val="3"/>
      <charset val="129"/>
    </font>
    <font>
      <b/>
      <sz val="16"/>
      <name val="돋움"/>
      <family val="3"/>
      <charset val="129"/>
    </font>
    <font>
      <b/>
      <sz val="14"/>
      <name val="돋움"/>
      <family val="3"/>
      <charset val="129"/>
    </font>
    <font>
      <sz val="11"/>
      <name val="휴먼옛체"/>
      <family val="1"/>
      <charset val="129"/>
    </font>
    <font>
      <sz val="16"/>
      <name val="돋움"/>
      <family val="3"/>
      <charset val="129"/>
    </font>
    <font>
      <sz val="14"/>
      <name val="돋움"/>
      <family val="3"/>
      <charset val="129"/>
    </font>
    <font>
      <sz val="11"/>
      <color theme="0"/>
      <name val="돋움"/>
      <family val="3"/>
      <charset val="129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rgb="FFFFFF00"/>
        <bgColor indexed="64"/>
      </patternFill>
    </fill>
    <fill>
      <patternFill patternType="lightUp">
        <fgColor indexed="19"/>
      </patternFill>
    </fill>
    <fill>
      <patternFill patternType="darkGray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</fills>
  <borders count="4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0"/>
      </left>
      <right style="thin">
        <color indexed="10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7547">
    <xf numFmtId="0" fontId="0" fillId="0" borderId="0">
      <alignment vertical="center"/>
    </xf>
    <xf numFmtId="0" fontId="117" fillId="0" borderId="0"/>
    <xf numFmtId="0" fontId="15" fillId="0" borderId="1">
      <alignment horizontal="center"/>
    </xf>
    <xf numFmtId="0" fontId="16" fillId="0" borderId="0">
      <alignment vertical="center"/>
    </xf>
    <xf numFmtId="218" fontId="9" fillId="0" borderId="2">
      <alignment horizontal="centerContinuous" vertical="center"/>
    </xf>
    <xf numFmtId="3" fontId="57" fillId="0" borderId="3"/>
    <xf numFmtId="219" fontId="9" fillId="0" borderId="0">
      <alignment vertical="center"/>
    </xf>
    <xf numFmtId="4" fontId="9" fillId="0" borderId="0">
      <alignment vertical="center"/>
    </xf>
    <xf numFmtId="218" fontId="9" fillId="0" borderId="0">
      <alignment vertical="center"/>
    </xf>
    <xf numFmtId="24" fontId="15" fillId="0" borderId="0" applyFont="0" applyFill="0" applyBorder="0" applyAlignment="0" applyProtection="0"/>
    <xf numFmtId="22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22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7" fillId="0" borderId="0">
      <alignment vertical="center"/>
    </xf>
    <xf numFmtId="40" fontId="9" fillId="0" borderId="4"/>
    <xf numFmtId="0" fontId="18" fillId="0" borderId="0">
      <alignment vertical="center"/>
    </xf>
    <xf numFmtId="0" fontId="17" fillId="0" borderId="0">
      <alignment vertical="center"/>
    </xf>
    <xf numFmtId="221" fontId="117" fillId="0" borderId="3">
      <alignment vertical="center"/>
    </xf>
    <xf numFmtId="0" fontId="2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9" fillId="0" borderId="0"/>
    <xf numFmtId="0" fontId="9" fillId="0" borderId="0"/>
    <xf numFmtId="0" fontId="6" fillId="0" borderId="0" applyFont="0" applyFill="0" applyBorder="0" applyAlignment="0" applyProtection="0"/>
    <xf numFmtId="0" fontId="34" fillId="0" borderId="0"/>
    <xf numFmtId="0" fontId="19" fillId="0" borderId="0"/>
    <xf numFmtId="0" fontId="19" fillId="0" borderId="0" applyNumberForma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0" fillId="0" borderId="0"/>
    <xf numFmtId="0" fontId="6" fillId="0" borderId="0" applyFont="0" applyFill="0" applyBorder="0" applyAlignment="0" applyProtection="0"/>
    <xf numFmtId="0" fontId="19" fillId="0" borderId="0"/>
    <xf numFmtId="0" fontId="6" fillId="0" borderId="0"/>
    <xf numFmtId="0" fontId="14" fillId="0" borderId="0" applyFont="0" applyFill="0" applyBorder="0" applyAlignment="0" applyProtection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20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/>
    <xf numFmtId="0" fontId="14" fillId="0" borderId="0"/>
    <xf numFmtId="0" fontId="19" fillId="0" borderId="0" applyFont="0" applyFill="0" applyBorder="0" applyAlignment="0" applyProtection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 applyFont="0" applyFill="0" applyBorder="0" applyAlignment="0" applyProtection="0"/>
    <xf numFmtId="0" fontId="19" fillId="0" borderId="0"/>
    <xf numFmtId="0" fontId="19" fillId="0" borderId="0"/>
    <xf numFmtId="193" fontId="23" fillId="0" borderId="0">
      <protection locked="0"/>
    </xf>
    <xf numFmtId="0" fontId="14" fillId="0" borderId="0"/>
    <xf numFmtId="0" fontId="6" fillId="0" borderId="0"/>
    <xf numFmtId="0" fontId="14" fillId="0" borderId="0" applyFont="0" applyFill="0" applyBorder="0" applyAlignment="0" applyProtection="0"/>
    <xf numFmtId="0" fontId="20" fillId="0" borderId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20" fillId="0" borderId="0"/>
    <xf numFmtId="0" fontId="19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4" fillId="0" borderId="0" applyFon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21" fillId="0" borderId="0"/>
    <xf numFmtId="0" fontId="23" fillId="0" borderId="0">
      <protection locked="0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" fillId="0" borderId="0"/>
    <xf numFmtId="0" fontId="56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204" fontId="30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9" fontId="117" fillId="0" borderId="0">
      <alignment vertical="center"/>
    </xf>
    <xf numFmtId="3" fontId="57" fillId="0" borderId="3"/>
    <xf numFmtId="222" fontId="117" fillId="0" borderId="0">
      <alignment vertical="center"/>
    </xf>
    <xf numFmtId="3" fontId="57" fillId="0" borderId="3"/>
    <xf numFmtId="10" fontId="117" fillId="0" borderId="0">
      <alignment vertical="center"/>
    </xf>
    <xf numFmtId="223" fontId="6" fillId="0" borderId="0">
      <alignment vertical="center"/>
    </xf>
    <xf numFmtId="224" fontId="9" fillId="0" borderId="0">
      <alignment vertical="center"/>
    </xf>
    <xf numFmtId="0" fontId="19" fillId="0" borderId="0"/>
    <xf numFmtId="202" fontId="105" fillId="0" borderId="0">
      <alignment vertical="center"/>
    </xf>
    <xf numFmtId="0" fontId="60" fillId="0" borderId="0">
      <alignment horizontal="center"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3" fontId="119" fillId="0" borderId="5">
      <alignment horizontal="right" vertical="center"/>
    </xf>
    <xf numFmtId="225" fontId="9" fillId="0" borderId="0">
      <alignment horizontal="center" vertical="center"/>
    </xf>
    <xf numFmtId="226" fontId="9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5" fontId="9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6" fontId="9" fillId="0" borderId="0">
      <alignment horizontal="center" vertical="center"/>
    </xf>
    <xf numFmtId="226" fontId="9" fillId="0" borderId="0">
      <alignment horizontal="center"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5" fontId="9" fillId="0" borderId="0">
      <alignment horizontal="center" vertical="center"/>
    </xf>
    <xf numFmtId="194" fontId="120" fillId="0" borderId="0">
      <alignment horizontal="center" vertical="center"/>
    </xf>
    <xf numFmtId="0" fontId="120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0" fontId="9" fillId="0" borderId="0">
      <alignment horizontal="center" vertical="center"/>
    </xf>
    <xf numFmtId="225" fontId="9" fillId="0" borderId="0">
      <alignment horizontal="center" vertical="center"/>
    </xf>
    <xf numFmtId="228" fontId="117" fillId="0" borderId="6" applyBorder="0">
      <alignment vertical="center" wrapText="1"/>
    </xf>
    <xf numFmtId="0" fontId="19" fillId="0" borderId="0" applyNumberFormat="0" applyFill="0" applyBorder="0" applyAlignment="0" applyProtection="0"/>
    <xf numFmtId="193" fontId="87" fillId="0" borderId="0">
      <protection locked="0"/>
    </xf>
    <xf numFmtId="9" fontId="106" fillId="2" borderId="0" applyFill="0" applyBorder="0" applyProtection="0">
      <alignment horizontal="right"/>
    </xf>
    <xf numFmtId="10" fontId="106" fillId="0" borderId="0" applyFill="0" applyBorder="0" applyProtection="0">
      <alignment horizontal="right"/>
    </xf>
    <xf numFmtId="9" fontId="30" fillId="0" borderId="0" applyFont="0" applyFill="0" applyBorder="0" applyAlignment="0" applyProtection="0"/>
    <xf numFmtId="185" fontId="82" fillId="0" borderId="0" applyFont="0" applyFill="0" applyBorder="0" applyAlignment="0" applyProtection="0"/>
    <xf numFmtId="185" fontId="9" fillId="0" borderId="7" applyBorder="0"/>
    <xf numFmtId="0" fontId="9" fillId="0" borderId="8">
      <alignment horizontal="center"/>
    </xf>
    <xf numFmtId="0" fontId="23" fillId="0" borderId="0">
      <protection locked="0"/>
    </xf>
    <xf numFmtId="9" fontId="9" fillId="0" borderId="0">
      <protection locked="0"/>
    </xf>
    <xf numFmtId="229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230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191" fontId="6" fillId="0" borderId="3">
      <alignment vertical="center"/>
    </xf>
    <xf numFmtId="231" fontId="117" fillId="0" borderId="3">
      <alignment vertical="center"/>
    </xf>
    <xf numFmtId="229" fontId="6" fillId="0" borderId="0" applyFont="0" applyFill="0" applyBorder="0" applyAlignment="0" applyProtection="0"/>
    <xf numFmtId="22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1" fillId="0" borderId="0" applyFont="0" applyFill="0" applyBorder="0" applyAlignment="0" applyProtection="0"/>
    <xf numFmtId="41" fontId="63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1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60" fillId="0" borderId="9" applyProtection="0">
      <alignment horizontal="left" vertical="center" wrapText="1"/>
    </xf>
    <xf numFmtId="0" fontId="9" fillId="0" borderId="0" applyFont="0" applyFill="0" applyBorder="0" applyAlignment="0" applyProtection="0"/>
    <xf numFmtId="193" fontId="89" fillId="0" borderId="0">
      <protection locked="0"/>
    </xf>
    <xf numFmtId="193" fontId="89" fillId="0" borderId="0">
      <protection locked="0"/>
    </xf>
    <xf numFmtId="193" fontId="89" fillId="0" borderId="0">
      <protection locked="0"/>
    </xf>
    <xf numFmtId="0" fontId="6" fillId="0" borderId="0">
      <protection locked="0"/>
    </xf>
    <xf numFmtId="193" fontId="87" fillId="0" borderId="0">
      <protection locked="0"/>
    </xf>
    <xf numFmtId="232" fontId="31" fillId="0" borderId="0" applyFont="0" applyFill="0" applyBorder="0" applyAlignment="0" applyProtection="0"/>
    <xf numFmtId="42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42" fontId="6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6" fontId="6" fillId="0" borderId="0" applyFont="0" applyFill="0" applyBorder="0" applyAlignment="0" applyProtection="0"/>
    <xf numFmtId="3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195" fontId="15" fillId="0" borderId="0" applyFont="0" applyFill="0" applyBorder="0" applyAlignment="0" applyProtection="0"/>
    <xf numFmtId="215" fontId="31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0" fillId="0" borderId="0" applyFont="0" applyFill="0" applyBorder="0" applyAlignment="0" applyProtection="0"/>
    <xf numFmtId="44" fontId="6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33" fillId="0" borderId="0" applyFont="0" applyFill="0" applyBorder="0" applyAlignment="0" applyProtection="0"/>
    <xf numFmtId="3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196" fontId="15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93" fontId="89" fillId="0" borderId="0">
      <protection locked="0"/>
    </xf>
    <xf numFmtId="0" fontId="29" fillId="0" borderId="0" applyFont="0" applyFill="0" applyBorder="0" applyAlignment="0" applyProtection="0"/>
    <xf numFmtId="193" fontId="23" fillId="0" borderId="0">
      <protection locked="0"/>
    </xf>
    <xf numFmtId="0" fontId="29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0" fillId="0" borderId="0">
      <protection locked="0"/>
    </xf>
    <xf numFmtId="0" fontId="15" fillId="0" borderId="0"/>
    <xf numFmtId="193" fontId="87" fillId="0" borderId="0">
      <protection locked="0"/>
    </xf>
    <xf numFmtId="193" fontId="87" fillId="0" borderId="0">
      <protection locked="0"/>
    </xf>
    <xf numFmtId="185" fontId="31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41" fontId="65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217" fontId="17" fillId="0" borderId="0" applyFont="0" applyFill="0" applyBorder="0" applyAlignment="0" applyProtection="0"/>
    <xf numFmtId="0" fontId="33" fillId="0" borderId="0" applyFont="0" applyFill="0" applyBorder="0" applyAlignment="0" applyProtection="0"/>
    <xf numFmtId="214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3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201" fontId="106" fillId="2" borderId="0" applyFill="0" applyBorder="0" applyProtection="0">
      <alignment horizontal="right"/>
    </xf>
    <xf numFmtId="186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33" fillId="0" borderId="0" applyFont="0" applyFill="0" applyBorder="0" applyAlignment="0" applyProtection="0"/>
    <xf numFmtId="37" fontId="30" fillId="0" borderId="0" applyFont="0" applyFill="0" applyBorder="0" applyAlignment="0" applyProtection="0"/>
    <xf numFmtId="0" fontId="31" fillId="0" borderId="0" applyFont="0" applyFill="0" applyBorder="0" applyAlignment="0" applyProtection="0"/>
    <xf numFmtId="4" fontId="23" fillId="0" borderId="0">
      <protection locked="0"/>
    </xf>
    <xf numFmtId="205" fontId="30" fillId="0" borderId="0">
      <protection locked="0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3" fontId="89" fillId="0" borderId="0">
      <protection locked="0"/>
    </xf>
    <xf numFmtId="0" fontId="34" fillId="0" borderId="0"/>
    <xf numFmtId="0" fontId="67" fillId="0" borderId="0"/>
    <xf numFmtId="0" fontId="29" fillId="0" borderId="0"/>
    <xf numFmtId="0" fontId="68" fillId="0" borderId="0"/>
    <xf numFmtId="0" fontId="29" fillId="0" borderId="0"/>
    <xf numFmtId="0" fontId="61" fillId="0" borderId="0"/>
    <xf numFmtId="0" fontId="29" fillId="0" borderId="0"/>
    <xf numFmtId="0" fontId="61" fillId="0" borderId="0"/>
    <xf numFmtId="0" fontId="6" fillId="0" borderId="0"/>
    <xf numFmtId="0" fontId="69" fillId="0" borderId="0"/>
    <xf numFmtId="0" fontId="62" fillId="0" borderId="0"/>
    <xf numFmtId="0" fontId="61" fillId="0" borderId="0"/>
    <xf numFmtId="0" fontId="29" fillId="0" borderId="0"/>
    <xf numFmtId="0" fontId="70" fillId="0" borderId="0"/>
    <xf numFmtId="0" fontId="6" fillId="0" borderId="0"/>
    <xf numFmtId="193" fontId="87" fillId="0" borderId="0">
      <protection locked="0"/>
    </xf>
    <xf numFmtId="0" fontId="31" fillId="0" borderId="0"/>
    <xf numFmtId="0" fontId="32" fillId="0" borderId="0"/>
    <xf numFmtId="0" fontId="31" fillId="0" borderId="0"/>
    <xf numFmtId="0" fontId="30" fillId="0" borderId="0"/>
    <xf numFmtId="37" fontId="31" fillId="0" borderId="0" applyFill="0"/>
    <xf numFmtId="0" fontId="33" fillId="0" borderId="0"/>
    <xf numFmtId="0" fontId="34" fillId="0" borderId="0"/>
    <xf numFmtId="0" fontId="31" fillId="0" borderId="0"/>
    <xf numFmtId="0" fontId="84" fillId="0" borderId="0"/>
    <xf numFmtId="0" fontId="85" fillId="0" borderId="0"/>
    <xf numFmtId="0" fontId="31" fillId="0" borderId="0"/>
    <xf numFmtId="0" fontId="30" fillId="0" borderId="0"/>
    <xf numFmtId="0" fontId="31" fillId="0" borderId="0"/>
    <xf numFmtId="0" fontId="33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3" fillId="0" borderId="0"/>
    <xf numFmtId="0" fontId="19" fillId="0" borderId="0"/>
    <xf numFmtId="0" fontId="19" fillId="0" borderId="0"/>
    <xf numFmtId="0" fontId="6" fillId="0" borderId="0" applyFill="0" applyBorder="0" applyAlignment="0"/>
    <xf numFmtId="0" fontId="35" fillId="0" borderId="0"/>
    <xf numFmtId="0" fontId="36" fillId="0" borderId="0" applyNumberFormat="0" applyFill="0" applyBorder="0" applyAlignment="0" applyProtection="0">
      <alignment vertical="top"/>
      <protection locked="0"/>
    </xf>
    <xf numFmtId="192" fontId="9" fillId="0" borderId="0" applyFont="0" applyFill="0" applyBorder="0" applyAlignment="0" applyProtection="0"/>
    <xf numFmtId="0" fontId="23" fillId="0" borderId="10">
      <protection locked="0"/>
    </xf>
    <xf numFmtId="193" fontId="89" fillId="0" borderId="0">
      <protection locked="0"/>
    </xf>
    <xf numFmtId="185" fontId="82" fillId="0" borderId="0" applyFont="0" applyFill="0" applyBorder="0" applyAlignment="0" applyProtection="0"/>
    <xf numFmtId="193" fontId="37" fillId="0" borderId="0">
      <protection locked="0"/>
    </xf>
    <xf numFmtId="38" fontId="19" fillId="0" borderId="0" applyFont="0" applyFill="0" applyBorder="0" applyAlignment="0" applyProtection="0"/>
    <xf numFmtId="189" fontId="10" fillId="0" borderId="0"/>
    <xf numFmtId="3" fontId="38" fillId="0" borderId="0" applyFont="0" applyFill="0" applyBorder="0" applyAlignment="0" applyProtection="0"/>
    <xf numFmtId="0" fontId="95" fillId="0" borderId="0" applyNumberFormat="0" applyAlignment="0">
      <alignment horizontal="left"/>
    </xf>
    <xf numFmtId="0" fontId="14" fillId="0" borderId="0" applyFont="0" applyFill="0" applyBorder="0" applyAlignment="0" applyProtection="0"/>
    <xf numFmtId="193" fontId="37" fillId="0" borderId="0">
      <protection locked="0"/>
    </xf>
    <xf numFmtId="0" fontId="19" fillId="0" borderId="0" applyFont="0" applyFill="0" applyBorder="0" applyAlignment="0" applyProtection="0"/>
    <xf numFmtId="233" fontId="122" fillId="0" borderId="3" applyFill="0" applyBorder="0" applyAlignment="0"/>
    <xf numFmtId="184" fontId="6" fillId="0" borderId="0" applyFont="0" applyFill="0" applyBorder="0" applyAlignment="0" applyProtection="0"/>
    <xf numFmtId="0" fontId="10" fillId="0" borderId="0"/>
    <xf numFmtId="0" fontId="38" fillId="0" borderId="0" applyFont="0" applyFill="0" applyBorder="0" applyAlignment="0" applyProtection="0"/>
    <xf numFmtId="37" fontId="117" fillId="0" borderId="3">
      <alignment horizontal="center" vertical="distributed"/>
    </xf>
    <xf numFmtId="188" fontId="10" fillId="0" borderId="0"/>
    <xf numFmtId="0" fontId="82" fillId="0" borderId="3"/>
    <xf numFmtId="0" fontId="30" fillId="0" borderId="0">
      <protection locked="0"/>
    </xf>
    <xf numFmtId="180" fontId="30" fillId="0" borderId="0">
      <protection locked="0"/>
    </xf>
    <xf numFmtId="0" fontId="96" fillId="0" borderId="0" applyNumberFormat="0" applyAlignment="0">
      <alignment horizontal="left"/>
    </xf>
    <xf numFmtId="187" fontId="6" fillId="0" borderId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2" fontId="38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38" fontId="39" fillId="3" borderId="0" applyNumberFormat="0" applyBorder="0" applyAlignment="0" applyProtection="0"/>
    <xf numFmtId="3" fontId="117" fillId="0" borderId="11">
      <alignment horizontal="right" vertical="center"/>
    </xf>
    <xf numFmtId="4" fontId="117" fillId="0" borderId="11">
      <alignment horizontal="right" vertical="center"/>
    </xf>
    <xf numFmtId="0" fontId="123" fillId="0" borderId="0"/>
    <xf numFmtId="0" fontId="40" fillId="0" borderId="0">
      <alignment horizontal="left"/>
    </xf>
    <xf numFmtId="0" fontId="41" fillId="0" borderId="12" applyNumberFormat="0" applyAlignment="0" applyProtection="0">
      <alignment horizontal="left" vertical="center"/>
    </xf>
    <xf numFmtId="0" fontId="41" fillId="0" borderId="13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3" fontId="44" fillId="0" borderId="0">
      <protection locked="0"/>
    </xf>
    <xf numFmtId="193" fontId="44" fillId="0" borderId="0">
      <protection locked="0"/>
    </xf>
    <xf numFmtId="0" fontId="97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9" fillId="0" borderId="0" applyFont="0" applyFill="0" applyBorder="0" applyAlignment="0" applyProtection="0"/>
    <xf numFmtId="10" fontId="39" fillId="4" borderId="3" applyNumberFormat="0" applyBorder="0" applyAlignment="0" applyProtection="0"/>
    <xf numFmtId="234" fontId="117" fillId="0" borderId="3">
      <alignment vertical="center"/>
    </xf>
    <xf numFmtId="235" fontId="117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7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8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236" fontId="6" fillId="0" borderId="3">
      <alignment vertical="center"/>
    </xf>
    <xf numFmtId="0" fontId="6" fillId="0" borderId="14">
      <protection locked="0"/>
    </xf>
    <xf numFmtId="0" fontId="9" fillId="0" borderId="0" applyFont="0" applyFill="0" applyBorder="0" applyAlignment="0" applyProtection="0"/>
    <xf numFmtId="239" fontId="117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1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2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0" fontId="6" fillId="0" borderId="3">
      <alignment horizontal="right" vertical="center"/>
    </xf>
    <xf numFmtId="243" fontId="117" fillId="0" borderId="3">
      <alignment vertical="center"/>
    </xf>
    <xf numFmtId="244" fontId="117" fillId="0" borderId="3">
      <alignment vertical="center"/>
    </xf>
    <xf numFmtId="0" fontId="98" fillId="0" borderId="0">
      <alignment horizontal="left"/>
    </xf>
    <xf numFmtId="0" fontId="109" fillId="0" borderId="0"/>
    <xf numFmtId="0" fontId="110" fillId="0" borderId="0"/>
    <xf numFmtId="0" fontId="109" fillId="0" borderId="0"/>
    <xf numFmtId="0" fontId="110" fillId="0" borderId="0"/>
    <xf numFmtId="0" fontId="111" fillId="0" borderId="0"/>
    <xf numFmtId="185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5" fillId="0" borderId="14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5" fontId="82" fillId="0" borderId="0" applyFont="0" applyFill="0" applyBorder="0" applyAlignment="0" applyProtection="0"/>
    <xf numFmtId="37" fontId="46" fillId="0" borderId="0"/>
    <xf numFmtId="0" fontId="109" fillId="0" borderId="0"/>
    <xf numFmtId="0" fontId="110" fillId="0" borderId="0"/>
    <xf numFmtId="0" fontId="110" fillId="0" borderId="0"/>
    <xf numFmtId="180" fontId="6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9" fillId="0" borderId="0"/>
    <xf numFmtId="0" fontId="19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/>
    <xf numFmtId="193" fontId="37" fillId="0" borderId="0">
      <protection locked="0"/>
    </xf>
    <xf numFmtId="10" fontId="19" fillId="0" borderId="0" applyFont="0" applyFill="0" applyBorder="0" applyAlignment="0" applyProtection="0"/>
    <xf numFmtId="0" fontId="47" fillId="3" borderId="0" applyNumberFormat="0">
      <alignment vertical="center"/>
    </xf>
    <xf numFmtId="0" fontId="9" fillId="0" borderId="0" applyFont="0" applyFill="0" applyBorder="0" applyAlignment="0" applyProtection="0"/>
    <xf numFmtId="30" fontId="99" fillId="0" borderId="0" applyNumberForma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245" fontId="124" fillId="0" borderId="15">
      <alignment vertical="center" wrapText="1"/>
    </xf>
    <xf numFmtId="0" fontId="15" fillId="0" borderId="0"/>
    <xf numFmtId="0" fontId="48" fillId="0" borderId="0">
      <alignment horizontal="center" vertical="center"/>
    </xf>
    <xf numFmtId="0" fontId="49" fillId="0" borderId="0"/>
    <xf numFmtId="0" fontId="45" fillId="0" borderId="0"/>
    <xf numFmtId="40" fontId="100" fillId="0" borderId="0" applyBorder="0">
      <alignment horizontal="right"/>
    </xf>
    <xf numFmtId="0" fontId="101" fillId="0" borderId="0">
      <alignment horizontal="center"/>
    </xf>
    <xf numFmtId="0" fontId="30" fillId="0" borderId="0"/>
    <xf numFmtId="0" fontId="50" fillId="3" borderId="13">
      <alignment vertical="center"/>
    </xf>
    <xf numFmtId="0" fontId="102" fillId="0" borderId="0" applyFill="0" applyBorder="0" applyProtection="0">
      <alignment horizontal="centerContinuous" vertical="center"/>
    </xf>
    <xf numFmtId="0" fontId="17" fillId="2" borderId="0" applyFill="0" applyBorder="0" applyProtection="0">
      <alignment horizontal="center" vertical="center"/>
    </xf>
    <xf numFmtId="0" fontId="125" fillId="0" borderId="0">
      <alignment horizontal="left" vertical="center"/>
    </xf>
    <xf numFmtId="0" fontId="51" fillId="0" borderId="0"/>
    <xf numFmtId="246" fontId="117" fillId="0" borderId="3">
      <alignment vertical="center"/>
    </xf>
    <xf numFmtId="0" fontId="38" fillId="0" borderId="10" applyNumberFormat="0" applyFont="0" applyFill="0" applyAlignment="0" applyProtection="0"/>
    <xf numFmtId="0" fontId="103" fillId="0" borderId="8">
      <alignment horizontal="left"/>
    </xf>
    <xf numFmtId="0" fontId="9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6" fillId="0" borderId="0" applyFont="0" applyFill="0" applyBorder="0" applyAlignment="0" applyProtection="0"/>
    <xf numFmtId="0" fontId="88" fillId="0" borderId="0">
      <protection locked="0"/>
    </xf>
    <xf numFmtId="49" fontId="117" fillId="0" borderId="3">
      <alignment horizontal="center" vertical="center"/>
    </xf>
    <xf numFmtId="247" fontId="117" fillId="0" borderId="3">
      <alignment vertical="center"/>
    </xf>
    <xf numFmtId="248" fontId="117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206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0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176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18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49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00" fontId="6" fillId="0" borderId="3">
      <alignment vertical="center"/>
    </xf>
    <xf numFmtId="250" fontId="117" fillId="0" borderId="3">
      <alignment vertical="center"/>
    </xf>
    <xf numFmtId="251" fontId="9" fillId="0" borderId="0"/>
    <xf numFmtId="181" fontId="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49" fontId="126" fillId="0" borderId="15">
      <alignment horizontal="center" vertical="center" wrapText="1"/>
    </xf>
    <xf numFmtId="177" fontId="127" fillId="0" borderId="9">
      <alignment horizontal="right" vertical="center"/>
    </xf>
    <xf numFmtId="252" fontId="9" fillId="0" borderId="0"/>
    <xf numFmtId="0" fontId="6" fillId="0" borderId="0">
      <protection locked="0"/>
    </xf>
    <xf numFmtId="0" fontId="23" fillId="0" borderId="0">
      <protection locked="0"/>
    </xf>
    <xf numFmtId="49" fontId="6" fillId="0" borderId="0" applyFont="0" applyFill="0" applyBorder="0" applyAlignment="0" applyProtection="0"/>
    <xf numFmtId="0" fontId="128" fillId="0" borderId="0">
      <alignment vertical="center"/>
    </xf>
    <xf numFmtId="0" fontId="24" fillId="0" borderId="16">
      <alignment vertical="center"/>
    </xf>
    <xf numFmtId="0" fontId="94" fillId="0" borderId="9">
      <alignment horizontal="center" vertical="center"/>
    </xf>
    <xf numFmtId="0" fontId="129" fillId="5" borderId="0">
      <alignment horizontal="left"/>
    </xf>
    <xf numFmtId="0" fontId="23" fillId="0" borderId="0">
      <protection locked="0"/>
    </xf>
    <xf numFmtId="49" fontId="130" fillId="0" borderId="15">
      <alignment horizontal="center" vertical="center" wrapText="1"/>
    </xf>
    <xf numFmtId="0" fontId="12" fillId="0" borderId="0" applyNumberFormat="0" applyFill="0" applyBorder="0" applyAlignment="0" applyProtection="0">
      <alignment vertical="top"/>
      <protection locked="0"/>
    </xf>
    <xf numFmtId="0" fontId="131" fillId="0" borderId="0"/>
    <xf numFmtId="0" fontId="132" fillId="0" borderId="0"/>
    <xf numFmtId="0" fontId="131" fillId="0" borderId="0"/>
    <xf numFmtId="0" fontId="132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5" fontId="14" fillId="0" borderId="11">
      <alignment vertical="center"/>
    </xf>
    <xf numFmtId="253" fontId="117" fillId="0" borderId="0">
      <alignment vertical="center"/>
    </xf>
    <xf numFmtId="253" fontId="117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4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55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237" fontId="6" fillId="0" borderId="0">
      <alignment vertical="center"/>
    </xf>
    <xf numFmtId="0" fontId="131" fillId="0" borderId="0"/>
    <xf numFmtId="0" fontId="132" fillId="0" borderId="0"/>
    <xf numFmtId="0" fontId="40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1" fillId="0" borderId="3" applyNumberFormat="0" applyFont="0" applyFill="0" applyAlignment="0" applyProtection="0">
      <alignment horizontal="center" vertical="center"/>
    </xf>
    <xf numFmtId="0" fontId="56" fillId="0" borderId="0" applyNumberFormat="0" applyFont="0" applyFill="0" applyBorder="0" applyProtection="0">
      <alignment horizontal="distributed" vertical="center"/>
    </xf>
    <xf numFmtId="199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9" fontId="87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9" fontId="87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9" fontId="90" fillId="0" borderId="0" applyFont="0" applyFill="0" applyBorder="0" applyAlignment="0" applyProtection="0"/>
    <xf numFmtId="0" fontId="56" fillId="0" borderId="0" applyFont="0" applyFill="0" applyBorder="0" applyProtection="0">
      <alignment horizontal="center" vertical="center"/>
    </xf>
    <xf numFmtId="10" fontId="60" fillId="0" borderId="0" applyFill="0" applyBorder="0" applyProtection="0">
      <alignment horizontal="right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9" fontId="133" fillId="0" borderId="0" applyFont="0" applyFill="0" applyBorder="0" applyAlignment="0" applyProtection="0">
      <alignment vertical="center"/>
    </xf>
    <xf numFmtId="0" fontId="77" fillId="0" borderId="0" applyFont="0" applyFill="0" applyBorder="0" applyProtection="0">
      <alignment horizontal="center" vertical="center"/>
    </xf>
    <xf numFmtId="0" fontId="77" fillId="0" borderId="0" applyFont="0" applyFill="0" applyBorder="0" applyProtection="0">
      <alignment horizontal="center" vertical="center"/>
    </xf>
    <xf numFmtId="0" fontId="25" fillId="0" borderId="4" applyFont="0" applyFill="0" applyAlignment="0" applyProtection="0">
      <alignment horizontal="center" vertical="center"/>
    </xf>
    <xf numFmtId="0" fontId="9" fillId="0" borderId="0"/>
    <xf numFmtId="0" fontId="56" fillId="0" borderId="0" applyNumberFormat="0" applyFont="0" applyFill="0" applyBorder="0" applyProtection="0">
      <alignment horizontal="centerContinuous" vertical="center"/>
    </xf>
    <xf numFmtId="179" fontId="91" fillId="0" borderId="9">
      <alignment vertical="center"/>
    </xf>
    <xf numFmtId="3" fontId="56" fillId="0" borderId="3"/>
    <xf numFmtId="0" fontId="56" fillId="0" borderId="3"/>
    <xf numFmtId="3" fontId="56" fillId="0" borderId="17"/>
    <xf numFmtId="3" fontId="56" fillId="0" borderId="18"/>
    <xf numFmtId="0" fontId="92" fillId="0" borderId="3"/>
    <xf numFmtId="0" fontId="93" fillId="0" borderId="0">
      <alignment horizontal="center"/>
    </xf>
    <xf numFmtId="0" fontId="82" fillId="0" borderId="19">
      <alignment horizontal="center"/>
    </xf>
    <xf numFmtId="0" fontId="6" fillId="0" borderId="0" applyFont="0" applyFill="0" applyBorder="0" applyAlignment="0" applyProtection="0"/>
    <xf numFmtId="3" fontId="114" fillId="0" borderId="0">
      <alignment vertical="center" wrapText="1"/>
    </xf>
    <xf numFmtId="3" fontId="115" fillId="0" borderId="0">
      <alignment vertical="center" wrapText="1"/>
    </xf>
    <xf numFmtId="0" fontId="94" fillId="0" borderId="9">
      <alignment horizontal="center" vertical="center"/>
    </xf>
    <xf numFmtId="183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  <xf numFmtId="41" fontId="6" fillId="0" borderId="0"/>
    <xf numFmtId="225" fontId="6" fillId="0" borderId="0" applyFont="0" applyFill="0" applyBorder="0" applyAlignment="0" applyProtection="0">
      <alignment vertical="center"/>
    </xf>
    <xf numFmtId="41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225" fontId="86" fillId="0" borderId="0" applyFont="0" applyFill="0" applyBorder="0" applyAlignment="0" applyProtection="0">
      <alignment vertical="center"/>
    </xf>
    <xf numFmtId="225" fontId="86" fillId="0" borderId="0" applyFont="0" applyFill="0" applyBorder="0" applyAlignment="0" applyProtection="0">
      <alignment vertical="center"/>
    </xf>
    <xf numFmtId="225" fontId="86" fillId="0" borderId="0" applyFont="0" applyFill="0" applyBorder="0" applyAlignment="0" applyProtection="0">
      <alignment vertical="center"/>
    </xf>
    <xf numFmtId="225" fontId="86" fillId="0" borderId="0" applyFont="0" applyFill="0" applyBorder="0" applyAlignment="0" applyProtection="0">
      <alignment vertical="center"/>
    </xf>
    <xf numFmtId="0" fontId="14" fillId="0" borderId="0" applyFont="0" applyFill="0" applyBorder="0" applyAlignment="0" applyProtection="0"/>
    <xf numFmtId="0" fontId="17" fillId="0" borderId="0"/>
    <xf numFmtId="0" fontId="60" fillId="0" borderId="0"/>
    <xf numFmtId="0" fontId="60" fillId="0" borderId="0"/>
    <xf numFmtId="0" fontId="9" fillId="0" borderId="0"/>
    <xf numFmtId="0" fontId="9" fillId="0" borderId="0"/>
    <xf numFmtId="0" fontId="6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6" fillId="0" borderId="20"/>
    <xf numFmtId="0" fontId="134" fillId="0" borderId="3">
      <alignment vertical="center"/>
    </xf>
    <xf numFmtId="0" fontId="134" fillId="0" borderId="3">
      <alignment vertical="center"/>
    </xf>
    <xf numFmtId="0" fontId="117" fillId="0" borderId="21">
      <alignment vertical="center"/>
    </xf>
    <xf numFmtId="256" fontId="117" fillId="0" borderId="3" applyBorder="0">
      <alignment vertical="center"/>
    </xf>
    <xf numFmtId="257" fontId="117" fillId="0" borderId="3" applyBorder="0">
      <alignment horizontal="left" vertical="center"/>
    </xf>
    <xf numFmtId="258" fontId="6" fillId="0" borderId="0" applyFont="0" applyFill="0" applyBorder="0" applyAlignment="0" applyProtection="0"/>
    <xf numFmtId="259" fontId="135" fillId="0" borderId="0" applyFont="0" applyFill="0" applyBorder="0" applyAlignment="0" applyProtection="0"/>
    <xf numFmtId="260" fontId="56" fillId="0" borderId="0" applyFont="0" applyFill="0" applyBorder="0" applyAlignment="0" applyProtection="0"/>
    <xf numFmtId="259" fontId="135" fillId="0" borderId="0" applyFont="0" applyFill="0" applyBorder="0" applyAlignment="0" applyProtection="0"/>
    <xf numFmtId="260" fontId="5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27" fillId="0" borderId="0">
      <alignment horizontal="center" vertical="center"/>
    </xf>
    <xf numFmtId="3" fontId="6" fillId="0" borderId="3"/>
    <xf numFmtId="0" fontId="137" fillId="0" borderId="0"/>
    <xf numFmtId="0" fontId="8" fillId="0" borderId="0" applyNumberFormat="0" applyBorder="0" applyAlignment="0">
      <alignment horizontal="centerContinuous" vertical="center"/>
    </xf>
    <xf numFmtId="4" fontId="23" fillId="0" borderId="0">
      <protection locked="0"/>
    </xf>
    <xf numFmtId="182" fontId="9" fillId="0" borderId="0">
      <protection locked="0"/>
    </xf>
    <xf numFmtId="0" fontId="94" fillId="0" borderId="0" applyNumberFormat="0" applyFont="0" applyBorder="0">
      <alignment vertical="center" shrinkToFit="1"/>
    </xf>
    <xf numFmtId="0" fontId="28" fillId="0" borderId="0"/>
    <xf numFmtId="0" fontId="9" fillId="0" borderId="0"/>
    <xf numFmtId="0" fontId="94" fillId="0" borderId="9" applyFill="0" applyProtection="0">
      <alignment horizontal="center" vertical="center"/>
    </xf>
    <xf numFmtId="199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9" fontId="87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9" fontId="87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85" fontId="9" fillId="0" borderId="3">
      <alignment horizontal="center" vertical="center"/>
    </xf>
    <xf numFmtId="199" fontId="87" fillId="0" borderId="0">
      <protection locked="0"/>
    </xf>
    <xf numFmtId="41" fontId="6" fillId="0" borderId="0" applyFont="0" applyFill="0" applyBorder="0" applyAlignment="0" applyProtection="0"/>
    <xf numFmtId="185" fontId="9" fillId="0" borderId="0" applyNumberFormat="0" applyFont="0" applyFill="0" applyBorder="0" applyProtection="0">
      <alignment vertical="center"/>
    </xf>
    <xf numFmtId="201" fontId="60" fillId="2" borderId="0" applyFill="0" applyBorder="0" applyProtection="0">
      <alignment horizontal="right"/>
    </xf>
    <xf numFmtId="0" fontId="56" fillId="0" borderId="0" applyFont="0" applyFill="0" applyBorder="0" applyAlignment="0" applyProtection="0">
      <alignment vertical="center"/>
    </xf>
    <xf numFmtId="262" fontId="138" fillId="0" borderId="22"/>
    <xf numFmtId="40" fontId="9" fillId="0" borderId="4"/>
    <xf numFmtId="0" fontId="1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00" fontId="77" fillId="0" borderId="3">
      <alignment vertical="center"/>
    </xf>
    <xf numFmtId="0" fontId="14" fillId="0" borderId="0" applyFont="0" applyFill="0" applyBorder="0" applyAlignment="0" applyProtection="0"/>
    <xf numFmtId="0" fontId="17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4" fillId="0" borderId="0" applyFont="0" applyFill="0" applyBorder="0" applyAlignment="0" applyProtection="0"/>
    <xf numFmtId="199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73" fillId="0" borderId="0"/>
    <xf numFmtId="0" fontId="6" fillId="0" borderId="0">
      <alignment vertical="center"/>
    </xf>
    <xf numFmtId="0" fontId="9" fillId="0" borderId="0"/>
    <xf numFmtId="185" fontId="9" fillId="0" borderId="0" applyFont="0" applyFill="0" applyBorder="0" applyAlignment="0" applyProtection="0"/>
    <xf numFmtId="0" fontId="60" fillId="0" borderId="0"/>
    <xf numFmtId="0" fontId="6" fillId="0" borderId="0"/>
    <xf numFmtId="193" fontId="8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204" fontId="14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0" fontId="14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205" fontId="14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0" fontId="144" fillId="0" borderId="0"/>
    <xf numFmtId="0" fontId="143" fillId="0" borderId="0"/>
    <xf numFmtId="193" fontId="23" fillId="0" borderId="0">
      <protection locked="0"/>
    </xf>
    <xf numFmtId="0" fontId="143" fillId="0" borderId="0">
      <protection locked="0"/>
    </xf>
    <xf numFmtId="180" fontId="143" fillId="0" borderId="0">
      <protection locked="0"/>
    </xf>
    <xf numFmtId="0" fontId="143" fillId="0" borderId="0"/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0" fontId="9" fillId="0" borderId="0" applyFont="0" applyFill="0" applyBorder="0" applyAlignment="0" applyProtection="0"/>
    <xf numFmtId="278" fontId="9" fillId="0" borderId="0">
      <protection locked="0"/>
    </xf>
    <xf numFmtId="199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199" fontId="83" fillId="0" borderId="0"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86" fillId="0" borderId="0">
      <alignment vertical="center"/>
    </xf>
    <xf numFmtId="0" fontId="9" fillId="0" borderId="9">
      <alignment vertical="center" wrapText="1"/>
    </xf>
    <xf numFmtId="0" fontId="6" fillId="0" borderId="3" applyNumberFormat="0" applyFill="0" applyProtection="0">
      <alignment vertical="center"/>
    </xf>
    <xf numFmtId="280" fontId="6" fillId="0" borderId="0" applyNumberFormat="0" applyAlignment="0">
      <alignment horizontal="center"/>
    </xf>
    <xf numFmtId="0" fontId="23" fillId="0" borderId="10">
      <protection locked="0"/>
    </xf>
    <xf numFmtId="277" fontId="9" fillId="0" borderId="0">
      <protection locked="0"/>
    </xf>
    <xf numFmtId="279" fontId="9" fillId="0" borderId="0">
      <protection locked="0"/>
    </xf>
    <xf numFmtId="0" fontId="54" fillId="0" borderId="0"/>
    <xf numFmtId="0" fontId="117" fillId="0" borderId="2">
      <alignment horizontal="centerContinuous" vertical="center"/>
    </xf>
    <xf numFmtId="3" fontId="9" fillId="0" borderId="0">
      <alignment vertical="center"/>
    </xf>
    <xf numFmtId="276" fontId="9" fillId="0" borderId="0">
      <alignment vertical="center"/>
    </xf>
    <xf numFmtId="0" fontId="19" fillId="0" borderId="0" applyFont="0" applyFill="0" applyBorder="0" applyAlignment="0" applyProtection="0"/>
    <xf numFmtId="0" fontId="175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20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0" fontId="15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20" fillId="0" borderId="0"/>
    <xf numFmtId="0" fontId="14" fillId="0" borderId="0" applyFont="0" applyFill="0" applyBorder="0" applyAlignment="0" applyProtection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14" fillId="0" borderId="0" applyFont="0" applyFill="0" applyBorder="0" applyAlignment="0" applyProtection="0"/>
    <xf numFmtId="0" fontId="20" fillId="0" borderId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294" fontId="23" fillId="0" borderId="0">
      <protection locked="0"/>
    </xf>
    <xf numFmtId="275" fontId="9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294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203" fontId="176" fillId="0" borderId="42" applyFill="0" applyProtection="0">
      <alignment horizontal="center"/>
    </xf>
    <xf numFmtId="0" fontId="117" fillId="0" borderId="0">
      <alignment vertical="center"/>
    </xf>
    <xf numFmtId="0" fontId="117" fillId="0" borderId="0">
      <alignment vertical="center"/>
    </xf>
    <xf numFmtId="291" fontId="6" fillId="0" borderId="0">
      <alignment vertical="center"/>
    </xf>
    <xf numFmtId="225" fontId="9" fillId="0" borderId="0">
      <alignment horizontal="center" vertical="center"/>
    </xf>
    <xf numFmtId="225" fontId="9" fillId="0" borderId="0">
      <alignment horizontal="center" vertical="center"/>
    </xf>
    <xf numFmtId="3" fontId="119" fillId="0" borderId="5">
      <alignment horizontal="right" vertical="center"/>
    </xf>
    <xf numFmtId="225" fontId="9" fillId="0" borderId="0">
      <alignment horizontal="center" vertical="center"/>
    </xf>
    <xf numFmtId="0" fontId="60" fillId="0" borderId="0">
      <alignment horizontal="center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227" fontId="6" fillId="0" borderId="0">
      <alignment horizontal="center" vertical="center"/>
    </xf>
    <xf numFmtId="0" fontId="60" fillId="0" borderId="0">
      <alignment horizontal="center" vertical="center"/>
    </xf>
    <xf numFmtId="41" fontId="9" fillId="0" borderId="3">
      <alignment horizontal="center" vertical="center"/>
    </xf>
    <xf numFmtId="9" fontId="177" fillId="2" borderId="0" applyFill="0" applyBorder="0" applyProtection="0">
      <alignment horizontal="right"/>
    </xf>
    <xf numFmtId="10" fontId="177" fillId="0" borderId="0" applyFill="0" applyBorder="0" applyProtection="0">
      <alignment horizontal="right"/>
    </xf>
    <xf numFmtId="9" fontId="169" fillId="0" borderId="0" applyFont="0" applyFill="0" applyBorder="0" applyAlignment="0" applyProtection="0"/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2" fontId="119" fillId="0" borderId="5">
      <alignment horizontal="right" vertical="center"/>
    </xf>
    <xf numFmtId="0" fontId="86" fillId="7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86" fillId="13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47" fillId="0" borderId="0"/>
    <xf numFmtId="0" fontId="145" fillId="0" borderId="51">
      <alignment horizontal="center" vertical="center"/>
    </xf>
    <xf numFmtId="202" fontId="29" fillId="0" borderId="0" applyFont="0" applyFill="0" applyBorder="0" applyAlignment="0" applyProtection="0"/>
    <xf numFmtId="203" fontId="29" fillId="0" borderId="0" applyFont="0" applyFill="0" applyBorder="0" applyAlignment="0" applyProtection="0"/>
    <xf numFmtId="288" fontId="17" fillId="21" borderId="52">
      <alignment horizontal="center" vertical="center"/>
    </xf>
    <xf numFmtId="42" fontId="33" fillId="0" borderId="0" applyFont="0" applyFill="0" applyBorder="0" applyAlignment="0" applyProtection="0"/>
    <xf numFmtId="232" fontId="143" fillId="0" borderId="0" applyFont="0" applyFill="0" applyBorder="0" applyAlignment="0" applyProtection="0"/>
    <xf numFmtId="232" fontId="169" fillId="0" borderId="0" applyFont="0" applyFill="0" applyBorder="0" applyAlignment="0" applyProtection="0"/>
    <xf numFmtId="42" fontId="32" fillId="0" borderId="0" applyFont="0" applyFill="0" applyBorder="0" applyAlignment="0" applyProtection="0"/>
    <xf numFmtId="42" fontId="33" fillId="0" borderId="0" applyFont="0" applyFill="0" applyBorder="0" applyAlignment="0" applyProtection="0"/>
    <xf numFmtId="232" fontId="143" fillId="0" borderId="0" applyFont="0" applyFill="0" applyBorder="0" applyAlignment="0" applyProtection="0"/>
    <xf numFmtId="232" fontId="169" fillId="0" borderId="0" applyFont="0" applyFill="0" applyBorder="0" applyAlignment="0" applyProtection="0"/>
    <xf numFmtId="307" fontId="170" fillId="0" borderId="0" applyFont="0" applyFill="0" applyBorder="0" applyAlignment="0" applyProtection="0"/>
    <xf numFmtId="0" fontId="33" fillId="0" borderId="0" applyFont="0" applyFill="0" applyBorder="0" applyAlignment="0" applyProtection="0"/>
    <xf numFmtId="42" fontId="32" fillId="0" borderId="0" applyFont="0" applyFill="0" applyBorder="0" applyAlignment="0" applyProtection="0"/>
    <xf numFmtId="42" fontId="33" fillId="0" borderId="0" applyFont="0" applyFill="0" applyBorder="0" applyAlignment="0" applyProtection="0"/>
    <xf numFmtId="0" fontId="143" fillId="0" borderId="0" applyFont="0" applyFill="0" applyBorder="0" applyAlignment="0" applyProtection="0"/>
    <xf numFmtId="232" fontId="33" fillId="0" borderId="0" applyFont="0" applyFill="0" applyBorder="0" applyAlignment="0" applyProtection="0"/>
    <xf numFmtId="232" fontId="143" fillId="0" borderId="0" applyFont="0" applyFill="0" applyBorder="0" applyAlignment="0" applyProtection="0"/>
    <xf numFmtId="232" fontId="169" fillId="0" borderId="0" applyFont="0" applyFill="0" applyBorder="0" applyAlignment="0" applyProtection="0"/>
    <xf numFmtId="303" fontId="143" fillId="0" borderId="0" applyFont="0" applyFill="0" applyBorder="0" applyAlignment="0" applyProtection="0"/>
    <xf numFmtId="303" fontId="169" fillId="0" borderId="0" applyFont="0" applyFill="0" applyBorder="0" applyAlignment="0" applyProtection="0"/>
    <xf numFmtId="305" fontId="19" fillId="0" borderId="0" applyFont="0" applyFill="0" applyBorder="0" applyAlignment="0" applyProtection="0"/>
    <xf numFmtId="305" fontId="19" fillId="0" borderId="0" applyFont="0" applyFill="0" applyBorder="0" applyAlignment="0" applyProtection="0"/>
    <xf numFmtId="42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215" fontId="143" fillId="0" borderId="0" applyFont="0" applyFill="0" applyBorder="0" applyAlignment="0" applyProtection="0"/>
    <xf numFmtId="215" fontId="169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3" fillId="0" borderId="0" applyFont="0" applyFill="0" applyBorder="0" applyAlignment="0" applyProtection="0"/>
    <xf numFmtId="215" fontId="143" fillId="0" borderId="0" applyFont="0" applyFill="0" applyBorder="0" applyAlignment="0" applyProtection="0"/>
    <xf numFmtId="215" fontId="169" fillId="0" borderId="0" applyFont="0" applyFill="0" applyBorder="0" applyAlignment="0" applyProtection="0"/>
    <xf numFmtId="308" fontId="170" fillId="0" borderId="0" applyFont="0" applyFill="0" applyBorder="0" applyAlignment="0" applyProtection="0"/>
    <xf numFmtId="0" fontId="3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43" fillId="0" borderId="0" applyFont="0" applyFill="0" applyBorder="0" applyAlignment="0" applyProtection="0"/>
    <xf numFmtId="215" fontId="33" fillId="0" borderId="0" applyFont="0" applyFill="0" applyBorder="0" applyAlignment="0" applyProtection="0"/>
    <xf numFmtId="215" fontId="143" fillId="0" borderId="0" applyFont="0" applyFill="0" applyBorder="0" applyAlignment="0" applyProtection="0"/>
    <xf numFmtId="215" fontId="169" fillId="0" borderId="0" applyFont="0" applyFill="0" applyBorder="0" applyAlignment="0" applyProtection="0"/>
    <xf numFmtId="304" fontId="143" fillId="0" borderId="0" applyFont="0" applyFill="0" applyBorder="0" applyAlignment="0" applyProtection="0"/>
    <xf numFmtId="304" fontId="169" fillId="0" borderId="0" applyFont="0" applyFill="0" applyBorder="0" applyAlignment="0" applyProtection="0"/>
    <xf numFmtId="306" fontId="19" fillId="0" borderId="0" applyFont="0" applyFill="0" applyBorder="0" applyAlignment="0" applyProtection="0"/>
    <xf numFmtId="306" fontId="19" fillId="0" borderId="0" applyFont="0" applyFill="0" applyBorder="0" applyAlignment="0" applyProtection="0"/>
    <xf numFmtId="44" fontId="33" fillId="0" borderId="0" applyFont="0" applyFill="0" applyBorder="0" applyAlignment="0" applyProtection="0"/>
    <xf numFmtId="300" fontId="94" fillId="0" borderId="0">
      <protection locked="0"/>
    </xf>
    <xf numFmtId="293" fontId="23" fillId="0" borderId="0">
      <protection locked="0"/>
    </xf>
    <xf numFmtId="293" fontId="23" fillId="0" borderId="0">
      <protection locked="0"/>
    </xf>
    <xf numFmtId="0" fontId="143" fillId="0" borderId="0"/>
    <xf numFmtId="41" fontId="33" fillId="0" borderId="0" applyFont="0" applyFill="0" applyBorder="0" applyAlignment="0" applyProtection="0"/>
    <xf numFmtId="185" fontId="143" fillId="0" borderId="0" applyFont="0" applyFill="0" applyBorder="0" applyAlignment="0" applyProtection="0"/>
    <xf numFmtId="185" fontId="169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185" fontId="143" fillId="0" borderId="0" applyFont="0" applyFill="0" applyBorder="0" applyAlignment="0" applyProtection="0"/>
    <xf numFmtId="185" fontId="169" fillId="0" borderId="0" applyFont="0" applyFill="0" applyBorder="0" applyAlignment="0" applyProtection="0"/>
    <xf numFmtId="255" fontId="170" fillId="0" borderId="0" applyFont="0" applyFill="0" applyBorder="0" applyAlignment="0" applyProtection="0"/>
    <xf numFmtId="0" fontId="169" fillId="0" borderId="0" applyFont="0" applyFill="0" applyBorder="0" applyAlignment="0" applyProtection="0"/>
    <xf numFmtId="185" fontId="143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14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143" fillId="0" borderId="0" applyFont="0" applyFill="0" applyBorder="0" applyAlignment="0" applyProtection="0"/>
    <xf numFmtId="185" fontId="169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3" fillId="0" borderId="0" applyFont="0" applyFill="0" applyBorder="0" applyAlignment="0" applyProtection="0"/>
    <xf numFmtId="201" fontId="177" fillId="2" borderId="0" applyFill="0" applyBorder="0" applyProtection="0">
      <alignment horizontal="right"/>
    </xf>
    <xf numFmtId="0" fontId="149" fillId="0" borderId="0" applyFont="0" applyFill="0" applyBorder="0" applyAlignment="0" applyProtection="0"/>
    <xf numFmtId="43" fontId="33" fillId="0" borderId="0" applyFont="0" applyFill="0" applyBorder="0" applyAlignment="0" applyProtection="0"/>
    <xf numFmtId="186" fontId="143" fillId="0" borderId="0" applyFont="0" applyFill="0" applyBorder="0" applyAlignment="0" applyProtection="0"/>
    <xf numFmtId="186" fontId="1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186" fontId="143" fillId="0" borderId="0" applyFont="0" applyFill="0" applyBorder="0" applyAlignment="0" applyProtection="0"/>
    <xf numFmtId="186" fontId="169" fillId="0" borderId="0" applyFont="0" applyFill="0" applyBorder="0" applyAlignment="0" applyProtection="0"/>
    <xf numFmtId="230" fontId="170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143" fillId="0" borderId="0" applyFont="0" applyFill="0" applyBorder="0" applyAlignment="0" applyProtection="0"/>
    <xf numFmtId="186" fontId="33" fillId="0" borderId="0" applyFont="0" applyFill="0" applyBorder="0" applyAlignment="0" applyProtection="0"/>
    <xf numFmtId="186" fontId="143" fillId="0" borderId="0" applyFont="0" applyFill="0" applyBorder="0" applyAlignment="0" applyProtection="0"/>
    <xf numFmtId="186" fontId="1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" fontId="23" fillId="0" borderId="0">
      <protection locked="0"/>
    </xf>
    <xf numFmtId="4" fontId="23" fillId="0" borderId="0">
      <protection locked="0"/>
    </xf>
    <xf numFmtId="301" fontId="94" fillId="0" borderId="0">
      <protection locked="0"/>
    </xf>
    <xf numFmtId="4" fontId="23" fillId="0" borderId="0">
      <protection locked="0"/>
    </xf>
    <xf numFmtId="295" fontId="23" fillId="0" borderId="0">
      <protection locked="0"/>
    </xf>
    <xf numFmtId="295" fontId="23" fillId="0" borderId="0">
      <protection locked="0"/>
    </xf>
    <xf numFmtId="0" fontId="171" fillId="0" borderId="0"/>
    <xf numFmtId="37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0" fontId="169" fillId="0" borderId="0"/>
    <xf numFmtId="0" fontId="143" fillId="0" borderId="0"/>
    <xf numFmtId="0" fontId="33" fillId="0" borderId="0"/>
    <xf numFmtId="37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0" fontId="169" fillId="0" borderId="0"/>
    <xf numFmtId="0" fontId="143" fillId="0" borderId="0"/>
    <xf numFmtId="0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2" fontId="143" fillId="0" borderId="0"/>
    <xf numFmtId="2" fontId="169" fillId="0" borderId="0"/>
    <xf numFmtId="2" fontId="143" fillId="0" borderId="0"/>
    <xf numFmtId="0" fontId="169" fillId="0" borderId="0"/>
    <xf numFmtId="0" fontId="143" fillId="0" borderId="0"/>
    <xf numFmtId="37" fontId="169" fillId="0" borderId="0"/>
    <xf numFmtId="37" fontId="143" fillId="0" borderId="0"/>
    <xf numFmtId="261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0" fontId="169" fillId="0" borderId="0"/>
    <xf numFmtId="0" fontId="143" fillId="0" borderId="0"/>
    <xf numFmtId="37" fontId="143" fillId="0" borderId="0"/>
    <xf numFmtId="37" fontId="169" fillId="0" borderId="0"/>
    <xf numFmtId="0" fontId="71" fillId="0" borderId="0"/>
    <xf numFmtId="0" fontId="180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0" fontId="33" fillId="0" borderId="0"/>
    <xf numFmtId="0" fontId="32" fillId="0" borderId="0"/>
    <xf numFmtId="0" fontId="169" fillId="0" borderId="0"/>
    <xf numFmtId="0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0" fontId="169" fillId="0" borderId="0"/>
    <xf numFmtId="0" fontId="143" fillId="0" borderId="0"/>
    <xf numFmtId="0" fontId="169" fillId="0" borderId="0"/>
    <xf numFmtId="0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69" fillId="0" borderId="0"/>
    <xf numFmtId="37" fontId="143" fillId="0" borderId="0"/>
    <xf numFmtId="0" fontId="32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0" fontId="169" fillId="0" borderId="0"/>
    <xf numFmtId="0" fontId="143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0" fontId="180" fillId="0" borderId="0"/>
    <xf numFmtId="0" fontId="71" fillId="0" borderId="0"/>
    <xf numFmtId="0" fontId="180" fillId="0" borderId="0"/>
    <xf numFmtId="0" fontId="71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0" fontId="33" fillId="0" borderId="0"/>
    <xf numFmtId="0" fontId="170" fillId="0" borderId="0"/>
    <xf numFmtId="0" fontId="170" fillId="0" borderId="0"/>
    <xf numFmtId="0" fontId="181" fillId="0" borderId="0"/>
    <xf numFmtId="0" fontId="170" fillId="0" borderId="0"/>
    <xf numFmtId="0" fontId="33" fillId="0" borderId="0"/>
    <xf numFmtId="0" fontId="32" fillId="0" borderId="0"/>
    <xf numFmtId="0" fontId="65" fillId="0" borderId="0"/>
    <xf numFmtId="0" fontId="177" fillId="0" borderId="0"/>
    <xf numFmtId="0" fontId="19" fillId="0" borderId="0"/>
    <xf numFmtId="0" fontId="146" fillId="0" borderId="0"/>
    <xf numFmtId="0" fontId="182" fillId="0" borderId="0"/>
    <xf numFmtId="0" fontId="146" fillId="0" borderId="0"/>
    <xf numFmtId="0" fontId="143" fillId="0" borderId="0"/>
    <xf numFmtId="0" fontId="3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37" fontId="169" fillId="0" borderId="0"/>
    <xf numFmtId="37" fontId="143" fillId="0" borderId="0"/>
    <xf numFmtId="0" fontId="180" fillId="0" borderId="0"/>
    <xf numFmtId="0" fontId="71" fillId="0" borderId="0"/>
    <xf numFmtId="0" fontId="180" fillId="0" borderId="0"/>
    <xf numFmtId="0" fontId="71" fillId="0" borderId="0"/>
    <xf numFmtId="0" fontId="169" fillId="0" borderId="0"/>
    <xf numFmtId="0" fontId="143" fillId="0" borderId="0"/>
    <xf numFmtId="0" fontId="33" fillId="0" borderId="0"/>
    <xf numFmtId="0" fontId="32" fillId="0" borderId="0"/>
    <xf numFmtId="285" fontId="6" fillId="0" borderId="0" applyFill="0" applyBorder="0" applyAlignment="0"/>
    <xf numFmtId="0" fontId="23" fillId="0" borderId="10">
      <protection locked="0"/>
    </xf>
    <xf numFmtId="0" fontId="23" fillId="0" borderId="10">
      <protection locked="0"/>
    </xf>
    <xf numFmtId="0" fontId="23" fillId="0" borderId="10">
      <protection locked="0"/>
    </xf>
    <xf numFmtId="298" fontId="183" fillId="0" borderId="0" applyFont="0" applyFill="0" applyBorder="0" applyAlignment="0" applyProtection="0"/>
    <xf numFmtId="0" fontId="117" fillId="0" borderId="0"/>
    <xf numFmtId="0" fontId="23" fillId="0" borderId="0">
      <protection locked="0"/>
    </xf>
    <xf numFmtId="309" fontId="9" fillId="0" borderId="3" applyFill="0" applyBorder="0" applyAlignment="0"/>
    <xf numFmtId="282" fontId="117" fillId="0" borderId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283" fontId="117" fillId="0" borderId="0"/>
    <xf numFmtId="316" fontId="171" fillId="0" borderId="0" applyFill="0" applyBorder="0">
      <alignment horizontal="centerContinuous"/>
    </xf>
    <xf numFmtId="292" fontId="23" fillId="0" borderId="0">
      <protection locked="0"/>
    </xf>
    <xf numFmtId="299" fontId="94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2" fontId="23" fillId="0" borderId="0">
      <protection locked="0"/>
    </xf>
    <xf numFmtId="296" fontId="23" fillId="0" borderId="0">
      <protection locked="0"/>
    </xf>
    <xf numFmtId="302" fontId="94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296" fontId="23" fillId="0" borderId="0">
      <protection locked="0"/>
    </xf>
    <xf numFmtId="38" fontId="39" fillId="3" borderId="0" applyNumberFormat="0" applyBorder="0" applyAlignment="0" applyProtection="0"/>
    <xf numFmtId="38" fontId="39" fillId="2" borderId="0" applyNumberFormat="0" applyBorder="0" applyAlignment="0" applyProtection="0"/>
    <xf numFmtId="0" fontId="172" fillId="0" borderId="0" applyAlignment="0">
      <alignment horizontal="right"/>
    </xf>
    <xf numFmtId="287" fontId="9" fillId="0" borderId="0">
      <protection locked="0"/>
    </xf>
    <xf numFmtId="287" fontId="9" fillId="0" borderId="0">
      <protection locked="0"/>
    </xf>
    <xf numFmtId="0" fontId="173" fillId="0" borderId="53" applyNumberFormat="0" applyFill="0" applyAlignment="0" applyProtection="0"/>
    <xf numFmtId="10" fontId="39" fillId="4" borderId="3" applyNumberFormat="0" applyBorder="0" applyAlignment="0" applyProtection="0"/>
    <xf numFmtId="10" fontId="39" fillId="2" borderId="3" applyNumberFormat="0" applyBorder="0" applyAlignment="0" applyProtection="0"/>
    <xf numFmtId="0" fontId="184" fillId="0" borderId="3" applyFill="0" applyBorder="0" applyProtection="0">
      <alignment vertical="center"/>
    </xf>
    <xf numFmtId="297" fontId="98" fillId="0" borderId="0">
      <alignment horizontal="left"/>
    </xf>
    <xf numFmtId="0" fontId="9" fillId="0" borderId="0" applyNumberFormat="0" applyFill="0" applyBorder="0" applyAlignment="0" applyProtection="0"/>
    <xf numFmtId="180" fontId="6" fillId="0" borderId="0"/>
    <xf numFmtId="0" fontId="9" fillId="0" borderId="0"/>
    <xf numFmtId="186" fontId="56" fillId="0" borderId="0">
      <alignment vertical="center"/>
    </xf>
    <xf numFmtId="0" fontId="185" fillId="22" borderId="54" applyNumberFormat="0" applyAlignment="0" applyProtection="0">
      <alignment vertical="center"/>
    </xf>
    <xf numFmtId="0" fontId="23" fillId="0" borderId="0">
      <protection locked="0"/>
    </xf>
    <xf numFmtId="0" fontId="186" fillId="0" borderId="3" applyProtection="0">
      <alignment vertical="center"/>
    </xf>
    <xf numFmtId="310" fontId="101" fillId="0" borderId="0">
      <alignment horizontal="center"/>
    </xf>
    <xf numFmtId="0" fontId="50" fillId="3" borderId="13">
      <alignment vertical="center"/>
    </xf>
    <xf numFmtId="317" fontId="171" fillId="0" borderId="0" applyFill="0" applyBorder="0">
      <alignment horizontal="centerContinuous"/>
    </xf>
    <xf numFmtId="37" fontId="39" fillId="23" borderId="0" applyNumberFormat="0" applyBorder="0" applyAlignment="0" applyProtection="0"/>
    <xf numFmtId="37" fontId="39" fillId="0" borderId="0"/>
    <xf numFmtId="3" fontId="174" fillId="0" borderId="53" applyProtection="0"/>
    <xf numFmtId="289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0" fontId="151" fillId="24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6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15" fontId="6" fillId="0" borderId="0"/>
    <xf numFmtId="271" fontId="6" fillId="0" borderId="0" applyNumberFormat="0" applyFill="0" applyBorder="0" applyAlignment="0">
      <alignment horizontal="left"/>
    </xf>
    <xf numFmtId="286" fontId="9" fillId="0" borderId="9">
      <alignment horizontal="right" vertical="center"/>
    </xf>
    <xf numFmtId="38" fontId="60" fillId="0" borderId="0"/>
    <xf numFmtId="284" fontId="14" fillId="0" borderId="47" applyFont="0" applyFill="0" applyBorder="0" applyAlignment="0">
      <alignment horizontal="left" vertical="center"/>
    </xf>
    <xf numFmtId="0" fontId="150" fillId="0" borderId="0" applyFont="0" applyBorder="0" applyAlignment="0">
      <alignment horizontal="left" vertical="center"/>
    </xf>
    <xf numFmtId="0" fontId="154" fillId="8" borderId="0" applyNumberFormat="0" applyBorder="0" applyAlignment="0" applyProtection="0">
      <alignment vertical="center"/>
    </xf>
    <xf numFmtId="3" fontId="15" fillId="0" borderId="26">
      <alignment horizontal="center"/>
    </xf>
    <xf numFmtId="0" fontId="9" fillId="5" borderId="0">
      <alignment horizontal="left"/>
    </xf>
    <xf numFmtId="0" fontId="167" fillId="0" borderId="0" applyNumberFormat="0" applyFill="0" applyBorder="0" applyAlignment="0" applyProtection="0"/>
    <xf numFmtId="0" fontId="54" fillId="28" borderId="56" applyNumberFormat="0" applyFont="0" applyAlignment="0" applyProtection="0">
      <alignment vertical="center"/>
    </xf>
    <xf numFmtId="0" fontId="54" fillId="28" borderId="56" applyNumberFormat="0" applyFont="0" applyAlignment="0" applyProtection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9" fontId="60" fillId="2" borderId="0" applyFill="0" applyBorder="0" applyProtection="0">
      <alignment horizontal="right"/>
    </xf>
    <xf numFmtId="9" fontId="6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318" fontId="6" fillId="0" borderId="48" applyBorder="0"/>
    <xf numFmtId="0" fontId="6" fillId="0" borderId="0"/>
    <xf numFmtId="0" fontId="156" fillId="0" borderId="0" applyNumberFormat="0" applyFill="0" applyBorder="0" applyAlignment="0" applyProtection="0">
      <alignment vertical="center"/>
    </xf>
    <xf numFmtId="0" fontId="157" fillId="30" borderId="57" applyNumberFormat="0" applyAlignment="0" applyProtection="0">
      <alignment vertical="center"/>
    </xf>
    <xf numFmtId="41" fontId="54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9" fillId="0" borderId="0"/>
    <xf numFmtId="0" fontId="20" fillId="0" borderId="0"/>
    <xf numFmtId="0" fontId="20" fillId="0" borderId="0"/>
    <xf numFmtId="0" fontId="20" fillId="0" borderId="0"/>
    <xf numFmtId="0" fontId="158" fillId="0" borderId="58" applyNumberFormat="0" applyFill="0" applyAlignment="0" applyProtection="0">
      <alignment vertical="center"/>
    </xf>
    <xf numFmtId="0" fontId="178" fillId="0" borderId="0" applyNumberFormat="0" applyFill="0" applyBorder="0" applyAlignment="0" applyProtection="0">
      <alignment vertical="top"/>
      <protection locked="0"/>
    </xf>
    <xf numFmtId="0" fontId="159" fillId="0" borderId="59" applyNumberFormat="0" applyFill="0" applyAlignment="0" applyProtection="0">
      <alignment vertical="center"/>
    </xf>
    <xf numFmtId="311" fontId="179" fillId="0" borderId="0" applyFill="0" applyBorder="0">
      <alignment horizontal="centerContinuous"/>
    </xf>
    <xf numFmtId="312" fontId="179" fillId="0" borderId="0" applyFill="0" applyBorder="0">
      <alignment horizontal="centerContinuous"/>
    </xf>
    <xf numFmtId="0" fontId="148" fillId="0" borderId="0">
      <alignment vertical="center"/>
    </xf>
    <xf numFmtId="41" fontId="135" fillId="0" borderId="3" applyNumberFormat="0">
      <alignment vertical="center"/>
    </xf>
    <xf numFmtId="0" fontId="160" fillId="12" borderId="55" applyNumberFormat="0" applyAlignment="0" applyProtection="0">
      <alignment vertical="center"/>
    </xf>
    <xf numFmtId="0" fontId="166" fillId="0" borderId="0"/>
    <xf numFmtId="313" fontId="171" fillId="0" borderId="0" applyFill="0" applyBorder="0">
      <alignment horizontal="centerContinuous"/>
    </xf>
    <xf numFmtId="0" fontId="161" fillId="0" borderId="60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9" fillId="0" borderId="3">
      <alignment horizontal="distributed" vertical="center"/>
    </xf>
    <xf numFmtId="0" fontId="9" fillId="0" borderId="48">
      <alignment horizontal="distributed" vertical="top"/>
    </xf>
    <xf numFmtId="0" fontId="9" fillId="0" borderId="49">
      <alignment horizontal="distributed"/>
    </xf>
    <xf numFmtId="255" fontId="168" fillId="0" borderId="0">
      <alignment vertical="center"/>
    </xf>
    <xf numFmtId="0" fontId="164" fillId="9" borderId="0" applyNumberFormat="0" applyBorder="0" applyAlignment="0" applyProtection="0">
      <alignment vertical="center"/>
    </xf>
    <xf numFmtId="314" fontId="179" fillId="0" borderId="0" applyFill="0" applyBorder="0">
      <alignment horizontal="centerContinuous"/>
    </xf>
    <xf numFmtId="315" fontId="179" fillId="0" borderId="0" applyFill="0" applyBorder="0">
      <alignment horizontal="centerContinuous"/>
    </xf>
    <xf numFmtId="0" fontId="165" fillId="22" borderId="54" applyNumberFormat="0" applyAlignment="0" applyProtection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86" fontId="14" fillId="0" borderId="37"/>
    <xf numFmtId="185" fontId="9" fillId="0" borderId="0" applyFont="0" applyFill="0" applyBorder="0" applyAlignment="0" applyProtection="0"/>
    <xf numFmtId="232" fontId="9" fillId="0" borderId="0" applyFont="0" applyFill="0" applyBorder="0" applyAlignment="0" applyProtection="0"/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35" fillId="0" borderId="9">
      <alignment horizontal="center" vertical="center"/>
    </xf>
    <xf numFmtId="0" fontId="135" fillId="0" borderId="9">
      <alignment horizontal="left" vertical="center"/>
    </xf>
    <xf numFmtId="0" fontId="135" fillId="0" borderId="9">
      <alignment vertical="center" textRotation="255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45" fillId="0" borderId="51">
      <alignment horizontal="center" vertical="center"/>
    </xf>
    <xf numFmtId="0" fontId="14" fillId="0" borderId="9">
      <alignment horizontal="center" vertical="center" wrapText="1"/>
    </xf>
    <xf numFmtId="0" fontId="32" fillId="0" borderId="0"/>
    <xf numFmtId="0" fontId="22" fillId="0" borderId="0">
      <protection locked="0"/>
    </xf>
    <xf numFmtId="0" fontId="22" fillId="0" borderId="0">
      <protection locked="0"/>
    </xf>
    <xf numFmtId="0" fontId="54" fillId="28" borderId="56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>
      <alignment vertical="center"/>
    </xf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1" fontId="86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6" fillId="0" borderId="0">
      <alignment vertical="center"/>
    </xf>
    <xf numFmtId="0" fontId="19" fillId="0" borderId="0"/>
    <xf numFmtId="0" fontId="6" fillId="0" borderId="0" applyFont="0" applyFill="0" applyBorder="0" applyAlignment="0" applyProtection="0"/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5" fillId="0" borderId="1">
      <alignment horizont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9" fillId="0" borderId="0">
      <alignment vertical="center"/>
    </xf>
    <xf numFmtId="218" fontId="9" fillId="0" borderId="2">
      <alignment horizontal="centerContinuous" vertical="center"/>
    </xf>
    <xf numFmtId="218" fontId="9" fillId="0" borderId="2">
      <alignment horizontal="centerContinuous" vertical="center"/>
    </xf>
    <xf numFmtId="218" fontId="9" fillId="0" borderId="2">
      <alignment horizontal="centerContinuous" vertical="center"/>
    </xf>
    <xf numFmtId="218" fontId="9" fillId="0" borderId="2">
      <alignment horizontal="centerContinuous" vertical="center"/>
    </xf>
    <xf numFmtId="218" fontId="9" fillId="0" borderId="2">
      <alignment horizontal="centerContinuous" vertical="center"/>
    </xf>
    <xf numFmtId="218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0" fontId="6" fillId="0" borderId="2">
      <alignment horizontal="centerContinuous" vertical="center"/>
    </xf>
    <xf numFmtId="322" fontId="9" fillId="0" borderId="0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0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" fillId="0" borderId="2">
      <alignment horizontal="centerContinuous" vertical="center"/>
    </xf>
    <xf numFmtId="0" fontId="9" fillId="0" borderId="2">
      <alignment horizontal="centerContinuous" vertical="center"/>
    </xf>
    <xf numFmtId="0" fontId="9" fillId="0" borderId="2">
      <alignment horizontal="centerContinuous" vertical="center"/>
    </xf>
    <xf numFmtId="0" fontId="9" fillId="0" borderId="2">
      <alignment horizontal="centerContinuous" vertical="center"/>
    </xf>
    <xf numFmtId="0" fontId="9" fillId="0" borderId="2">
      <alignment horizontal="centerContinuous" vertical="center"/>
    </xf>
    <xf numFmtId="0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0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117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0" fontId="94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322" fontId="9" fillId="0" borderId="2">
      <alignment horizontal="centerContinuous" vertical="center"/>
    </xf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4" fontId="6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5" fontId="6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4" fontId="6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5" fontId="6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23" fontId="15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89" fillId="0" borderId="0"/>
    <xf numFmtId="0" fontId="190" fillId="31" borderId="0"/>
    <xf numFmtId="0" fontId="60" fillId="0" borderId="7">
      <alignment vertical="center"/>
    </xf>
    <xf numFmtId="0" fontId="60" fillId="0" borderId="7">
      <alignment vertical="center"/>
    </xf>
    <xf numFmtId="0" fontId="60" fillId="0" borderId="7">
      <alignment vertical="center"/>
    </xf>
    <xf numFmtId="0" fontId="60" fillId="0" borderId="7">
      <alignment vertical="center"/>
    </xf>
    <xf numFmtId="0" fontId="60" fillId="0" borderId="7">
      <alignment vertical="center"/>
    </xf>
    <xf numFmtId="0" fontId="60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7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15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20" fillId="0" borderId="0"/>
    <xf numFmtId="0" fontId="1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/>
    <xf numFmtId="0" fontId="9" fillId="0" borderId="0"/>
    <xf numFmtId="0" fontId="19" fillId="0" borderId="0"/>
    <xf numFmtId="0" fontId="20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9" fillId="0" borderId="0"/>
    <xf numFmtId="0" fontId="14" fillId="0" borderId="0"/>
    <xf numFmtId="0" fontId="15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9" fillId="0" borderId="0"/>
    <xf numFmtId="0" fontId="14" fillId="0" borderId="0"/>
    <xf numFmtId="0" fontId="6" fillId="0" borderId="0" applyFont="0" applyFill="0" applyBorder="0" applyAlignment="0" applyProtection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326" fontId="9" fillId="0" borderId="0" applyFont="0" applyFill="0" applyBorder="0" applyAlignment="0" applyProtection="0"/>
    <xf numFmtId="0" fontId="19" fillId="0" borderId="0"/>
    <xf numFmtId="0" fontId="20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19" fillId="0" borderId="0"/>
    <xf numFmtId="0" fontId="19" fillId="0" borderId="0"/>
    <xf numFmtId="201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9" fillId="0" borderId="0"/>
    <xf numFmtId="0" fontId="20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19" fillId="0" borderId="0"/>
    <xf numFmtId="0" fontId="14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9" fillId="0" borderId="0"/>
    <xf numFmtId="0" fontId="15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327" fontId="9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" fillId="0" borderId="0"/>
    <xf numFmtId="0" fontId="9" fillId="0" borderId="0"/>
    <xf numFmtId="0" fontId="19" fillId="0" borderId="0"/>
    <xf numFmtId="0" fontId="14" fillId="0" borderId="0"/>
    <xf numFmtId="0" fontId="9" fillId="0" borderId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9" fillId="0" borderId="0" applyFont="0" applyFill="0" applyBorder="0" applyAlignment="0" applyProtection="0"/>
    <xf numFmtId="326" fontId="9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5" fillId="0" borderId="0"/>
    <xf numFmtId="0" fontId="14" fillId="0" borderId="0" applyFont="0" applyFill="0" applyBorder="0" applyAlignment="0" applyProtection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23" fillId="0" borderId="0">
      <protection locked="0"/>
    </xf>
    <xf numFmtId="0" fontId="23" fillId="0" borderId="0">
      <protection locked="0"/>
    </xf>
    <xf numFmtId="328" fontId="6" fillId="0" borderId="0">
      <protection locked="0"/>
    </xf>
    <xf numFmtId="328" fontId="6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85" fontId="8" fillId="0" borderId="3">
      <alignment vertical="center"/>
    </xf>
    <xf numFmtId="185" fontId="8" fillId="0" borderId="3">
      <alignment vertical="center"/>
    </xf>
    <xf numFmtId="185" fontId="8" fillId="0" borderId="3">
      <alignment vertical="center"/>
    </xf>
    <xf numFmtId="185" fontId="8" fillId="0" borderId="3">
      <alignment vertical="center"/>
    </xf>
    <xf numFmtId="185" fontId="8" fillId="0" borderId="3">
      <alignment vertical="center"/>
    </xf>
    <xf numFmtId="185" fontId="8" fillId="0" borderId="3">
      <alignment vertical="center"/>
    </xf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3" fontId="57" fillId="0" borderId="3"/>
    <xf numFmtId="261" fontId="9" fillId="0" borderId="0">
      <alignment vertical="center"/>
    </xf>
    <xf numFmtId="0" fontId="60" fillId="0" borderId="0">
      <alignment horizontal="center" vertical="center"/>
    </xf>
    <xf numFmtId="0" fontId="60" fillId="0" borderId="0">
      <alignment horizontal="center" vertical="center"/>
    </xf>
    <xf numFmtId="225" fontId="9" fillId="0" borderId="0">
      <alignment horizontal="center" vertical="center"/>
    </xf>
    <xf numFmtId="0" fontId="60" fillId="0" borderId="0">
      <alignment horizontal="center" vertical="center"/>
    </xf>
    <xf numFmtId="3" fontId="119" fillId="0" borderId="5">
      <alignment horizontal="right" vertical="center"/>
    </xf>
    <xf numFmtId="0" fontId="60" fillId="0" borderId="0">
      <alignment horizontal="center" vertical="center"/>
    </xf>
    <xf numFmtId="0" fontId="17" fillId="0" borderId="0"/>
    <xf numFmtId="0" fontId="17" fillId="0" borderId="0"/>
    <xf numFmtId="0" fontId="15" fillId="0" borderId="38"/>
    <xf numFmtId="4" fontId="191" fillId="0" borderId="66">
      <alignment vertical="center"/>
    </xf>
    <xf numFmtId="193" fontId="192" fillId="0" borderId="0">
      <protection locked="0"/>
    </xf>
    <xf numFmtId="0" fontId="6" fillId="0" borderId="0"/>
    <xf numFmtId="0" fontId="9" fillId="0" borderId="8">
      <alignment horizontal="center"/>
    </xf>
    <xf numFmtId="0" fontId="23" fillId="0" borderId="0">
      <protection locked="0"/>
    </xf>
    <xf numFmtId="0" fontId="23" fillId="0" borderId="0">
      <protection locked="0"/>
    </xf>
    <xf numFmtId="0" fontId="9" fillId="0" borderId="0"/>
    <xf numFmtId="0" fontId="9" fillId="0" borderId="0"/>
    <xf numFmtId="193" fontId="192" fillId="0" borderId="0">
      <protection locked="0"/>
    </xf>
    <xf numFmtId="0" fontId="6" fillId="0" borderId="0">
      <protection locked="0"/>
    </xf>
    <xf numFmtId="193" fontId="192" fillId="0" borderId="0">
      <protection locked="0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6" fillId="0" borderId="0">
      <protection locked="0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31" fillId="0" borderId="0" applyFont="0" applyFill="0" applyBorder="0" applyAlignment="0" applyProtection="0"/>
    <xf numFmtId="297" fontId="6" fillId="0" borderId="0">
      <protection locked="0"/>
    </xf>
    <xf numFmtId="297" fontId="6" fillId="0" borderId="0">
      <protection locked="0"/>
    </xf>
    <xf numFmtId="193" fontId="192" fillId="0" borderId="0">
      <protection locked="0"/>
    </xf>
    <xf numFmtId="193" fontId="192" fillId="0" borderId="0">
      <protection locked="0"/>
    </xf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31" fillId="0" borderId="0" applyFont="0" applyFill="0" applyBorder="0" applyAlignment="0" applyProtection="0"/>
    <xf numFmtId="185" fontId="193" fillId="0" borderId="0" applyFont="0" applyFill="0" applyBorder="0" applyAlignment="0" applyProtection="0"/>
    <xf numFmtId="185" fontId="193" fillId="0" borderId="0" applyFont="0" applyFill="0" applyBorder="0" applyAlignment="0" applyProtection="0"/>
    <xf numFmtId="38" fontId="193" fillId="0" borderId="0" applyFont="0" applyFill="0" applyBorder="0" applyAlignment="0" applyProtection="0"/>
    <xf numFmtId="38" fontId="19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31" fillId="0" borderId="0" applyFont="0" applyFill="0" applyBorder="0" applyAlignment="0" applyProtection="0"/>
    <xf numFmtId="186" fontId="193" fillId="0" borderId="0" applyFont="0" applyFill="0" applyBorder="0" applyAlignment="0" applyProtection="0"/>
    <xf numFmtId="186" fontId="193" fillId="0" borderId="0" applyFont="0" applyFill="0" applyBorder="0" applyAlignment="0" applyProtection="0"/>
    <xf numFmtId="40" fontId="193" fillId="0" borderId="0" applyFont="0" applyFill="0" applyBorder="0" applyAlignment="0" applyProtection="0"/>
    <xf numFmtId="40" fontId="193" fillId="0" borderId="0" applyFont="0" applyFill="0" applyBorder="0" applyAlignment="0" applyProtection="0"/>
    <xf numFmtId="4" fontId="23" fillId="0" borderId="0">
      <protection locked="0"/>
    </xf>
    <xf numFmtId="4" fontId="23" fillId="0" borderId="0">
      <protection locked="0"/>
    </xf>
    <xf numFmtId="295" fontId="23" fillId="0" borderId="0">
      <protection locked="0"/>
    </xf>
    <xf numFmtId="295" fontId="23" fillId="0" borderId="0">
      <protection locked="0"/>
    </xf>
    <xf numFmtId="295" fontId="23" fillId="0" borderId="0">
      <protection locked="0"/>
    </xf>
    <xf numFmtId="0" fontId="34" fillId="0" borderId="0"/>
    <xf numFmtId="0" fontId="19" fillId="0" borderId="0"/>
    <xf numFmtId="0" fontId="19" fillId="0" borderId="0"/>
    <xf numFmtId="0" fontId="34" fillId="0" borderId="0"/>
    <xf numFmtId="193" fontId="192" fillId="0" borderId="0">
      <protection locked="0"/>
    </xf>
    <xf numFmtId="0" fontId="33" fillId="0" borderId="0"/>
    <xf numFmtId="0" fontId="31" fillId="0" borderId="0"/>
    <xf numFmtId="0" fontId="30" fillId="0" borderId="0"/>
    <xf numFmtId="37" fontId="31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194" fillId="0" borderId="0"/>
    <xf numFmtId="0" fontId="195" fillId="0" borderId="0"/>
    <xf numFmtId="0" fontId="149" fillId="0" borderId="0"/>
    <xf numFmtId="0" fontId="195" fillId="0" borderId="0"/>
    <xf numFmtId="0" fontId="149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169" fillId="0" borderId="0"/>
    <xf numFmtId="0" fontId="31" fillId="0" borderId="0"/>
    <xf numFmtId="0" fontId="196" fillId="0" borderId="0"/>
    <xf numFmtId="0" fontId="32" fillId="0" borderId="0"/>
    <xf numFmtId="0" fontId="196" fillId="0" borderId="0"/>
    <xf numFmtId="0" fontId="30" fillId="0" borderId="0"/>
    <xf numFmtId="0" fontId="23" fillId="0" borderId="10">
      <protection locked="0"/>
    </xf>
    <xf numFmtId="0" fontId="23" fillId="0" borderId="10">
      <protection locked="0"/>
    </xf>
    <xf numFmtId="189" fontId="10" fillId="0" borderId="0"/>
    <xf numFmtId="3" fontId="3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4" fontId="6" fillId="0" borderId="0" applyFont="0" applyFill="0" applyBorder="0" applyAlignment="0" applyProtection="0"/>
    <xf numFmtId="0" fontId="38" fillId="0" borderId="0" applyFont="0" applyFill="0" applyBorder="0" applyAlignment="0" applyProtection="0"/>
    <xf numFmtId="188" fontId="10" fillId="0" borderId="0"/>
    <xf numFmtId="249" fontId="6" fillId="0" borderId="0">
      <protection locked="0"/>
    </xf>
    <xf numFmtId="249" fontId="6" fillId="0" borderId="0">
      <protection locked="0"/>
    </xf>
    <xf numFmtId="329" fontId="6" fillId="0" borderId="0">
      <protection locked="0"/>
    </xf>
    <xf numFmtId="329" fontId="6" fillId="0" borderId="0">
      <protection locked="0"/>
    </xf>
    <xf numFmtId="187" fontId="6" fillId="0" borderId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0" fontId="72" fillId="0" borderId="0" applyNumberFormat="0" applyFont="0" applyFill="0" applyBorder="0" applyAlignment="0" applyProtection="0"/>
    <xf numFmtId="2" fontId="38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9" fillId="0" borderId="0"/>
    <xf numFmtId="3" fontId="117" fillId="0" borderId="11">
      <alignment horizontal="right" vertical="center"/>
    </xf>
    <xf numFmtId="4" fontId="117" fillId="0" borderId="11">
      <alignment horizontal="right" vertical="center"/>
    </xf>
    <xf numFmtId="0" fontId="197" fillId="0" borderId="0"/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1" fillId="0" borderId="13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10" fontId="39" fillId="2" borderId="3" applyNumberFormat="0" applyBorder="0" applyAlignment="0" applyProtection="0"/>
    <xf numFmtId="10" fontId="39" fillId="2" borderId="3" applyNumberFormat="0" applyBorder="0" applyAlignment="0" applyProtection="0"/>
    <xf numFmtId="10" fontId="39" fillId="2" borderId="3" applyNumberFormat="0" applyBorder="0" applyAlignment="0" applyProtection="0"/>
    <xf numFmtId="10" fontId="39" fillId="4" borderId="3" applyNumberFormat="0" applyBorder="0" applyAlignment="0" applyProtection="0"/>
    <xf numFmtId="234" fontId="117" fillId="0" borderId="3">
      <alignment vertical="center"/>
    </xf>
    <xf numFmtId="234" fontId="117" fillId="0" borderId="3">
      <alignment vertical="center"/>
    </xf>
    <xf numFmtId="234" fontId="117" fillId="0" borderId="3">
      <alignment vertical="center"/>
    </xf>
    <xf numFmtId="234" fontId="117" fillId="0" borderId="3">
      <alignment vertical="center"/>
    </xf>
    <xf numFmtId="234" fontId="117" fillId="0" borderId="3">
      <alignment vertical="center"/>
    </xf>
    <xf numFmtId="239" fontId="117" fillId="0" borderId="3">
      <alignment horizontal="right" vertical="center"/>
    </xf>
    <xf numFmtId="239" fontId="117" fillId="0" borderId="3">
      <alignment horizontal="right" vertical="center"/>
    </xf>
    <xf numFmtId="239" fontId="117" fillId="0" borderId="3">
      <alignment horizontal="right" vertical="center"/>
    </xf>
    <xf numFmtId="239" fontId="117" fillId="0" borderId="3">
      <alignment horizontal="right" vertical="center"/>
    </xf>
    <xf numFmtId="239" fontId="117" fillId="0" borderId="3">
      <alignment horizontal="right" vertical="center"/>
    </xf>
    <xf numFmtId="243" fontId="117" fillId="0" borderId="3">
      <alignment vertical="center"/>
    </xf>
    <xf numFmtId="243" fontId="117" fillId="0" borderId="3">
      <alignment vertical="center"/>
    </xf>
    <xf numFmtId="243" fontId="117" fillId="0" borderId="3">
      <alignment vertical="center"/>
    </xf>
    <xf numFmtId="243" fontId="117" fillId="0" borderId="3">
      <alignment vertical="center"/>
    </xf>
    <xf numFmtId="243" fontId="117" fillId="0" borderId="3">
      <alignment vertical="center"/>
    </xf>
    <xf numFmtId="244" fontId="117" fillId="0" borderId="3">
      <alignment vertical="center"/>
    </xf>
    <xf numFmtId="244" fontId="117" fillId="0" borderId="3">
      <alignment vertical="center"/>
    </xf>
    <xf numFmtId="244" fontId="117" fillId="0" borderId="3">
      <alignment vertical="center"/>
    </xf>
    <xf numFmtId="244" fontId="117" fillId="0" borderId="3">
      <alignment vertical="center"/>
    </xf>
    <xf numFmtId="244" fontId="117" fillId="0" borderId="3">
      <alignment vertical="center"/>
    </xf>
    <xf numFmtId="0" fontId="9" fillId="0" borderId="0">
      <alignment horizontal="center" vertical="center"/>
    </xf>
    <xf numFmtId="0" fontId="57" fillId="0" borderId="67" applyNumberFormat="0" applyFont="0" applyBorder="0" applyProtection="0">
      <alignment horizontal="center" vertical="center"/>
    </xf>
    <xf numFmtId="0" fontId="10" fillId="0" borderId="0"/>
    <xf numFmtId="37" fontId="19" fillId="0" borderId="0" applyFont="0" applyFill="0" applyBorder="0" applyAlignment="0" applyProtection="0"/>
    <xf numFmtId="0" fontId="19" fillId="0" borderId="0"/>
    <xf numFmtId="0" fontId="19" fillId="0" borderId="0"/>
    <xf numFmtId="0" fontId="50" fillId="3" borderId="13">
      <alignment vertical="center"/>
    </xf>
    <xf numFmtId="0" fontId="50" fillId="3" borderId="13">
      <alignment vertical="center"/>
    </xf>
    <xf numFmtId="0" fontId="50" fillId="3" borderId="13">
      <alignment vertical="center"/>
    </xf>
    <xf numFmtId="193" fontId="37" fillId="0" borderId="68">
      <protection locked="0"/>
    </xf>
    <xf numFmtId="193" fontId="37" fillId="0" borderId="68">
      <protection locked="0"/>
    </xf>
    <xf numFmtId="193" fontId="37" fillId="0" borderId="68">
      <protection locked="0"/>
    </xf>
    <xf numFmtId="193" fontId="37" fillId="0" borderId="68">
      <protection locked="0"/>
    </xf>
    <xf numFmtId="193" fontId="37" fillId="0" borderId="68">
      <protection locked="0"/>
    </xf>
    <xf numFmtId="193" fontId="37" fillId="0" borderId="68">
      <protection locked="0"/>
    </xf>
    <xf numFmtId="0" fontId="38" fillId="0" borderId="10" applyNumberFormat="0" applyFont="0" applyFill="0" applyAlignment="0" applyProtection="0"/>
    <xf numFmtId="9" fontId="198" fillId="0" borderId="0" applyFont="0" applyFill="0" applyBorder="0" applyAlignment="0" applyProtection="0"/>
    <xf numFmtId="0" fontId="6" fillId="0" borderId="0" applyFont="0" applyFill="0" applyBorder="0" applyAlignment="0" applyProtection="0"/>
    <xf numFmtId="181" fontId="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9" fillId="0" borderId="0"/>
    <xf numFmtId="271" fontId="6" fillId="0" borderId="0" applyNumberFormat="0" applyFill="0" applyBorder="0" applyAlignment="0">
      <alignment horizontal="left"/>
    </xf>
    <xf numFmtId="271" fontId="6" fillId="0" borderId="0" applyNumberFormat="0" applyFill="0" applyBorder="0" applyAlignment="0">
      <alignment horizontal="left"/>
    </xf>
    <xf numFmtId="0" fontId="6" fillId="0" borderId="3">
      <alignment horizontal="right" vertical="center" shrinkToFit="1"/>
    </xf>
    <xf numFmtId="0" fontId="6" fillId="0" borderId="3">
      <alignment horizontal="right" vertical="center" shrinkToFit="1"/>
    </xf>
    <xf numFmtId="0" fontId="6" fillId="0" borderId="3">
      <alignment horizontal="right" vertical="center" shrinkToFit="1"/>
    </xf>
    <xf numFmtId="0" fontId="6" fillId="0" borderId="3">
      <alignment horizontal="right" vertical="center" shrinkToFit="1"/>
    </xf>
    <xf numFmtId="0" fontId="6" fillId="0" borderId="3">
      <alignment horizontal="right" vertical="center" shrinkToFit="1"/>
    </xf>
    <xf numFmtId="0" fontId="6" fillId="0" borderId="3">
      <alignment horizontal="right" vertical="center" shrinkToFit="1"/>
    </xf>
    <xf numFmtId="38" fontId="60" fillId="0" borderId="0"/>
    <xf numFmtId="0" fontId="23" fillId="0" borderId="0">
      <protection locked="0"/>
    </xf>
    <xf numFmtId="49" fontId="6" fillId="0" borderId="0" applyFont="0" applyFill="0" applyBorder="0" applyAlignment="0" applyProtection="0"/>
    <xf numFmtId="0" fontId="24" fillId="0" borderId="16">
      <alignment vertical="center"/>
    </xf>
    <xf numFmtId="0" fontId="24" fillId="0" borderId="16">
      <alignment vertical="center"/>
    </xf>
    <xf numFmtId="0" fontId="24" fillId="0" borderId="16">
      <alignment vertical="center"/>
    </xf>
    <xf numFmtId="0" fontId="24" fillId="0" borderId="16">
      <alignment vertical="center"/>
    </xf>
    <xf numFmtId="0" fontId="23" fillId="0" borderId="0">
      <protection locked="0"/>
    </xf>
    <xf numFmtId="330" fontId="9" fillId="0" borderId="0">
      <alignment horizontal="right" vertical="center"/>
    </xf>
    <xf numFmtId="40" fontId="200" fillId="0" borderId="0" applyFont="0" applyFill="0" applyBorder="0" applyAlignment="0" applyProtection="0"/>
    <xf numFmtId="38" fontId="200" fillId="0" borderId="0" applyFont="0" applyFill="0" applyBorder="0" applyAlignment="0" applyProtection="0"/>
    <xf numFmtId="185" fontId="14" fillId="0" borderId="11">
      <alignment vertical="center"/>
    </xf>
    <xf numFmtId="0" fontId="200" fillId="0" borderId="0" applyFont="0" applyFill="0" applyBorder="0" applyAlignment="0" applyProtection="0"/>
    <xf numFmtId="0" fontId="200" fillId="0" borderId="0" applyFont="0" applyFill="0" applyBorder="0" applyAlignment="0" applyProtection="0"/>
    <xf numFmtId="0" fontId="201" fillId="0" borderId="0"/>
    <xf numFmtId="41" fontId="56" fillId="0" borderId="3" applyNumberFormat="0" applyFont="0" applyFill="0" applyBorder="0" applyProtection="0">
      <alignment horizontal="distributed"/>
    </xf>
    <xf numFmtId="41" fontId="56" fillId="0" borderId="3" applyNumberFormat="0" applyFont="0" applyFill="0" applyBorder="0" applyProtection="0">
      <alignment horizontal="distributed"/>
    </xf>
    <xf numFmtId="41" fontId="56" fillId="0" borderId="3" applyNumberFormat="0" applyFont="0" applyFill="0" applyBorder="0" applyProtection="0">
      <alignment horizontal="distributed"/>
    </xf>
    <xf numFmtId="41" fontId="56" fillId="0" borderId="3" applyNumberFormat="0" applyFont="0" applyFill="0" applyBorder="0" applyProtection="0">
      <alignment horizontal="distributed"/>
    </xf>
    <xf numFmtId="41" fontId="56" fillId="0" borderId="3" applyNumberFormat="0" applyFont="0" applyFill="0" applyBorder="0" applyProtection="0">
      <alignment horizontal="distributed"/>
    </xf>
    <xf numFmtId="199" fontId="83" fillId="0" borderId="0">
      <protection locked="0"/>
    </xf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25" fillId="0" borderId="4" applyFont="0" applyFill="0" applyAlignment="0" applyProtection="0">
      <alignment horizontal="center" vertical="center"/>
    </xf>
    <xf numFmtId="0" fontId="202" fillId="0" borderId="0"/>
    <xf numFmtId="0" fontId="9" fillId="0" borderId="0"/>
    <xf numFmtId="0" fontId="202" fillId="0" borderId="0"/>
    <xf numFmtId="179" fontId="6" fillId="0" borderId="0" applyNumberFormat="0" applyFont="0" applyFill="0" applyBorder="0" applyProtection="0">
      <alignment horizontal="centerContinuous"/>
    </xf>
    <xf numFmtId="3" fontId="56" fillId="0" borderId="3"/>
    <xf numFmtId="3" fontId="56" fillId="0" borderId="3"/>
    <xf numFmtId="3" fontId="56" fillId="0" borderId="3"/>
    <xf numFmtId="3" fontId="56" fillId="0" borderId="3"/>
    <xf numFmtId="3" fontId="56" fillId="0" borderId="3"/>
    <xf numFmtId="3" fontId="56" fillId="0" borderId="3"/>
    <xf numFmtId="0" fontId="56" fillId="0" borderId="3"/>
    <xf numFmtId="0" fontId="56" fillId="0" borderId="3"/>
    <xf numFmtId="0" fontId="56" fillId="0" borderId="3"/>
    <xf numFmtId="0" fontId="56" fillId="0" borderId="3"/>
    <xf numFmtId="0" fontId="56" fillId="0" borderId="3"/>
    <xf numFmtId="0" fontId="56" fillId="0" borderId="3"/>
    <xf numFmtId="3" fontId="56" fillId="0" borderId="17"/>
    <xf numFmtId="3" fontId="56" fillId="0" borderId="17"/>
    <xf numFmtId="3" fontId="56" fillId="0" borderId="17"/>
    <xf numFmtId="3" fontId="56" fillId="0" borderId="17"/>
    <xf numFmtId="3" fontId="56" fillId="0" borderId="17"/>
    <xf numFmtId="3" fontId="56" fillId="0" borderId="17"/>
    <xf numFmtId="3" fontId="56" fillId="0" borderId="18"/>
    <xf numFmtId="3" fontId="56" fillId="0" borderId="18"/>
    <xf numFmtId="3" fontId="56" fillId="0" borderId="18"/>
    <xf numFmtId="3" fontId="56" fillId="0" borderId="18"/>
    <xf numFmtId="3" fontId="56" fillId="0" borderId="18"/>
    <xf numFmtId="3" fontId="56" fillId="0" borderId="18"/>
    <xf numFmtId="0" fontId="92" fillId="0" borderId="3"/>
    <xf numFmtId="0" fontId="92" fillId="0" borderId="3"/>
    <xf numFmtId="0" fontId="92" fillId="0" borderId="3"/>
    <xf numFmtId="0" fontId="92" fillId="0" borderId="3"/>
    <xf numFmtId="0" fontId="92" fillId="0" borderId="3"/>
    <xf numFmtId="0" fontId="92" fillId="0" borderId="3"/>
    <xf numFmtId="4" fontId="203" fillId="0" borderId="0" applyNumberFormat="0" applyFill="0" applyBorder="0" applyAlignment="0">
      <alignment horizontal="centerContinuous" vertical="center"/>
    </xf>
    <xf numFmtId="183" fontId="6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6" fillId="0" borderId="20"/>
    <xf numFmtId="0" fontId="26" fillId="0" borderId="20"/>
    <xf numFmtId="0" fontId="26" fillId="0" borderId="20"/>
    <xf numFmtId="0" fontId="26" fillId="0" borderId="20"/>
    <xf numFmtId="0" fontId="26" fillId="0" borderId="20"/>
    <xf numFmtId="256" fontId="117" fillId="0" borderId="3" applyBorder="0">
      <alignment vertical="center"/>
    </xf>
    <xf numFmtId="256" fontId="117" fillId="0" borderId="3" applyBorder="0">
      <alignment vertical="center"/>
    </xf>
    <xf numFmtId="256" fontId="117" fillId="0" borderId="3" applyBorder="0">
      <alignment vertical="center"/>
    </xf>
    <xf numFmtId="256" fontId="117" fillId="0" borderId="3" applyBorder="0">
      <alignment vertical="center"/>
    </xf>
    <xf numFmtId="256" fontId="117" fillId="0" borderId="3" applyBorder="0">
      <alignment vertical="center"/>
    </xf>
    <xf numFmtId="258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261" fontId="13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261" fontId="136" fillId="0" borderId="0" applyFont="0" applyFill="0" applyBorder="0" applyAlignment="0" applyProtection="0"/>
    <xf numFmtId="258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258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261" fontId="13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1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2" fontId="6" fillId="0" borderId="0" applyFont="0" applyFill="0" applyBorder="0" applyAlignment="0" applyProtection="0"/>
    <xf numFmtId="333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0" fontId="204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204" fillId="0" borderId="0">
      <alignment horizontal="right" vertical="center"/>
    </xf>
    <xf numFmtId="0" fontId="204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0" fontId="204" fillId="0" borderId="0">
      <alignment horizontal="right" vertical="center"/>
    </xf>
    <xf numFmtId="334" fontId="9" fillId="0" borderId="0">
      <alignment horizontal="right" vertical="center"/>
    </xf>
    <xf numFmtId="0" fontId="204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0" fontId="204" fillId="0" borderId="0">
      <alignment horizontal="right" vertical="center"/>
    </xf>
    <xf numFmtId="334" fontId="9" fillId="0" borderId="0">
      <alignment horizontal="right" vertical="center"/>
    </xf>
    <xf numFmtId="0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0" fontId="204" fillId="0" borderId="0">
      <alignment horizontal="right" vertical="center"/>
    </xf>
    <xf numFmtId="0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204" fillId="0" borderId="0">
      <alignment horizontal="right" vertical="center"/>
    </xf>
    <xf numFmtId="0" fontId="204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5" fontId="9" fillId="0" borderId="0">
      <alignment horizontal="right" vertical="center"/>
    </xf>
    <xf numFmtId="0" fontId="204" fillId="0" borderId="0">
      <alignment horizontal="right" vertical="center"/>
    </xf>
    <xf numFmtId="334" fontId="9" fillId="0" borderId="0">
      <alignment horizontal="right" vertical="center"/>
    </xf>
    <xf numFmtId="336" fontId="9" fillId="0" borderId="0">
      <alignment horizontal="right" vertical="center"/>
    </xf>
    <xf numFmtId="336" fontId="9" fillId="0" borderId="0">
      <alignment horizontal="right" vertical="center"/>
    </xf>
    <xf numFmtId="0" fontId="9" fillId="0" borderId="0">
      <alignment horizontal="right" vertical="center"/>
    </xf>
    <xf numFmtId="176" fontId="9" fillId="0" borderId="0">
      <alignment horizontal="right" vertical="center"/>
    </xf>
    <xf numFmtId="0" fontId="9" fillId="0" borderId="0">
      <alignment horizontal="right" vertical="center"/>
    </xf>
    <xf numFmtId="176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7" fontId="9" fillId="0" borderId="0">
      <alignment horizontal="right" vertical="center"/>
    </xf>
    <xf numFmtId="334" fontId="9" fillId="0" borderId="0">
      <alignment horizontal="right" vertical="center"/>
    </xf>
    <xf numFmtId="176" fontId="9" fillId="0" borderId="0">
      <alignment horizontal="right" vertical="center"/>
    </xf>
    <xf numFmtId="176" fontId="9" fillId="0" borderId="0">
      <alignment horizontal="right" vertical="center"/>
    </xf>
    <xf numFmtId="0" fontId="204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3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0" fontId="9" fillId="0" borderId="0">
      <alignment horizontal="right" vertical="center"/>
    </xf>
    <xf numFmtId="334" fontId="9" fillId="0" borderId="0">
      <alignment horizontal="right" vertical="center"/>
    </xf>
    <xf numFmtId="335" fontId="9" fillId="0" borderId="0">
      <alignment horizontal="right" vertical="center"/>
    </xf>
    <xf numFmtId="0" fontId="204" fillId="0" borderId="0">
      <alignment horizontal="right" vertical="center"/>
    </xf>
    <xf numFmtId="334" fontId="9" fillId="0" borderId="0">
      <alignment horizontal="right" vertical="center"/>
    </xf>
    <xf numFmtId="0" fontId="14" fillId="0" borderId="9" applyFill="0" applyProtection="0">
      <alignment horizontal="center" vertical="center"/>
    </xf>
    <xf numFmtId="4" fontId="23" fillId="0" borderId="0">
      <protection locked="0"/>
    </xf>
    <xf numFmtId="4" fontId="23" fillId="0" borderId="0">
      <protection locked="0"/>
    </xf>
    <xf numFmtId="4" fontId="23" fillId="0" borderId="0">
      <protection locked="0"/>
    </xf>
    <xf numFmtId="4" fontId="23" fillId="0" borderId="0">
      <protection locked="0"/>
    </xf>
    <xf numFmtId="182" fontId="9" fillId="0" borderId="0">
      <protection locked="0"/>
    </xf>
    <xf numFmtId="0" fontId="205" fillId="0" borderId="9" applyFill="0" applyBorder="0" applyProtection="0">
      <alignment horizontal="left" vertical="center"/>
    </xf>
    <xf numFmtId="0" fontId="9" fillId="0" borderId="69" applyNumberFormat="0"/>
    <xf numFmtId="0" fontId="166" fillId="32" borderId="0"/>
    <xf numFmtId="0" fontId="28" fillId="0" borderId="0"/>
    <xf numFmtId="0" fontId="9" fillId="0" borderId="3">
      <alignment horizontal="distributed" vertical="center"/>
    </xf>
    <xf numFmtId="0" fontId="9" fillId="0" borderId="3">
      <alignment horizontal="distributed" vertical="center"/>
    </xf>
    <xf numFmtId="0" fontId="9" fillId="0" borderId="3">
      <alignment horizontal="distributed" vertical="center"/>
    </xf>
    <xf numFmtId="0" fontId="9" fillId="0" borderId="3">
      <alignment horizontal="distributed" vertical="center"/>
    </xf>
    <xf numFmtId="0" fontId="9" fillId="0" borderId="3">
      <alignment horizontal="distributed" vertical="center"/>
    </xf>
    <xf numFmtId="0" fontId="9" fillId="0" borderId="49">
      <alignment horizontal="distributed"/>
    </xf>
    <xf numFmtId="0" fontId="9" fillId="0" borderId="49">
      <alignment horizontal="distributed"/>
    </xf>
    <xf numFmtId="0" fontId="9" fillId="0" borderId="49">
      <alignment horizontal="distributed"/>
    </xf>
    <xf numFmtId="0" fontId="9" fillId="0" borderId="49">
      <alignment horizontal="distributed"/>
    </xf>
    <xf numFmtId="0" fontId="9" fillId="0" borderId="49">
      <alignment horizontal="distributed"/>
    </xf>
    <xf numFmtId="0" fontId="9" fillId="0" borderId="49">
      <alignment horizontal="distributed"/>
    </xf>
    <xf numFmtId="1" fontId="206" fillId="2" borderId="0" applyNumberFormat="0" applyFont="0" applyFill="0" applyBorder="0" applyAlignment="0">
      <alignment vertical="center"/>
    </xf>
    <xf numFmtId="199" fontId="83" fillId="0" borderId="0">
      <protection locked="0"/>
    </xf>
    <xf numFmtId="199" fontId="83" fillId="0" borderId="0">
      <protection locked="0"/>
    </xf>
    <xf numFmtId="215" fontId="6" fillId="0" borderId="0" applyFont="0" applyFill="0" applyBorder="0" applyProtection="0">
      <alignment vertical="center"/>
    </xf>
    <xf numFmtId="215" fontId="6" fillId="0" borderId="0" applyFont="0" applyFill="0" applyBorder="0" applyProtection="0">
      <alignment vertical="center"/>
    </xf>
    <xf numFmtId="185" fontId="9" fillId="0" borderId="3">
      <alignment horizontal="center" vertical="center"/>
    </xf>
    <xf numFmtId="41" fontId="6" fillId="0" borderId="0" applyFont="0" applyFill="0" applyBorder="0" applyAlignment="0" applyProtection="0"/>
    <xf numFmtId="338" fontId="19" fillId="0" borderId="3"/>
    <xf numFmtId="338" fontId="19" fillId="0" borderId="3"/>
    <xf numFmtId="338" fontId="19" fillId="0" borderId="3"/>
    <xf numFmtId="338" fontId="19" fillId="0" borderId="3"/>
    <xf numFmtId="338" fontId="19" fillId="0" borderId="3"/>
    <xf numFmtId="338" fontId="19" fillId="0" borderId="3"/>
    <xf numFmtId="185" fontId="6" fillId="0" borderId="0"/>
    <xf numFmtId="201" fontId="60" fillId="2" borderId="0" applyFill="0" applyBorder="0" applyProtection="0">
      <alignment horizontal="right"/>
    </xf>
    <xf numFmtId="38" fontId="56" fillId="0" borderId="0" applyFont="0" applyFill="0" applyBorder="0" applyAlignment="0" applyProtection="0">
      <alignment vertical="center"/>
    </xf>
    <xf numFmtId="339" fontId="6" fillId="0" borderId="0" applyFont="0" applyFill="0" applyBorder="0" applyAlignment="0" applyProtection="0">
      <alignment vertical="center"/>
    </xf>
    <xf numFmtId="339" fontId="6" fillId="0" borderId="0" applyFont="0" applyFill="0" applyBorder="0" applyAlignment="0" applyProtection="0">
      <alignment vertical="center"/>
    </xf>
    <xf numFmtId="340" fontId="6" fillId="0" borderId="0" applyFont="0" applyFill="0" applyBorder="0" applyAlignment="0" applyProtection="0">
      <alignment vertical="center"/>
    </xf>
    <xf numFmtId="340" fontId="6" fillId="0" borderId="0" applyFont="0" applyFill="0" applyBorder="0" applyAlignment="0" applyProtection="0">
      <alignment vertical="center"/>
    </xf>
    <xf numFmtId="0" fontId="207" fillId="0" borderId="0">
      <alignment horizontal="center" vertical="center"/>
    </xf>
    <xf numFmtId="199" fontId="83" fillId="0" borderId="0">
      <protection locked="0"/>
    </xf>
    <xf numFmtId="341" fontId="198" fillId="0" borderId="0" applyFont="0" applyFill="0" applyBorder="0" applyAlignment="0" applyProtection="0"/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342" fontId="198" fillId="0" borderId="0" applyFont="0" applyFill="0" applyBorder="0" applyAlignment="0" applyProtection="0"/>
    <xf numFmtId="199" fontId="83" fillId="0" borderId="0">
      <protection locked="0"/>
    </xf>
    <xf numFmtId="193" fontId="83" fillId="0" borderId="0">
      <protection locked="0"/>
    </xf>
    <xf numFmtId="0" fontId="6" fillId="0" borderId="0"/>
    <xf numFmtId="338" fontId="6" fillId="0" borderId="0" applyFill="0" applyBorder="0" applyProtection="0">
      <alignment vertical="center"/>
    </xf>
    <xf numFmtId="338" fontId="6" fillId="0" borderId="0" applyFill="0" applyBorder="0" applyProtection="0">
      <alignment vertical="center"/>
    </xf>
    <xf numFmtId="338" fontId="6" fillId="0" borderId="0" applyFill="0" applyBorder="0" applyProtection="0">
      <alignment vertical="center"/>
    </xf>
    <xf numFmtId="343" fontId="6" fillId="0" borderId="0" applyFill="0" applyBorder="0" applyProtection="0">
      <alignment vertical="center"/>
      <protection locked="0"/>
    </xf>
    <xf numFmtId="343" fontId="6" fillId="0" borderId="0" applyFill="0" applyBorder="0" applyProtection="0">
      <alignment vertical="center"/>
      <protection locked="0"/>
    </xf>
    <xf numFmtId="343" fontId="6" fillId="0" borderId="0" applyFill="0" applyBorder="0" applyProtection="0">
      <alignment vertical="center"/>
      <protection locked="0"/>
    </xf>
    <xf numFmtId="0" fontId="1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208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9" fillId="0" borderId="0"/>
    <xf numFmtId="14" fontId="210" fillId="0" borderId="0" applyFont="0" applyFill="0" applyBorder="0" applyAlignment="0" applyProtection="0"/>
    <xf numFmtId="275" fontId="9" fillId="0" borderId="0" applyFont="0" applyFill="0" applyBorder="0" applyAlignment="0" applyProtection="0"/>
    <xf numFmtId="186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" fontId="60" fillId="0" borderId="70">
      <alignment vertical="center"/>
    </xf>
    <xf numFmtId="38" fontId="9" fillId="0" borderId="0"/>
    <xf numFmtId="0" fontId="15" fillId="0" borderId="72">
      <alignment horizontal="center"/>
    </xf>
    <xf numFmtId="3" fontId="57" fillId="0" borderId="71"/>
    <xf numFmtId="328" fontId="6" fillId="0" borderId="0">
      <protection locked="0"/>
    </xf>
    <xf numFmtId="204" fontId="143" fillId="0" borderId="0">
      <protection locked="0"/>
    </xf>
    <xf numFmtId="204" fontId="30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3" fontId="57" fillId="0" borderId="71"/>
    <xf numFmtId="3" fontId="57" fillId="0" borderId="71"/>
    <xf numFmtId="0" fontId="82" fillId="0" borderId="71"/>
    <xf numFmtId="0" fontId="41" fillId="0" borderId="73">
      <alignment horizontal="left" vertical="center"/>
    </xf>
    <xf numFmtId="10" fontId="39" fillId="4" borderId="71" applyNumberFormat="0" applyBorder="0" applyAlignment="0" applyProtection="0"/>
    <xf numFmtId="0" fontId="50" fillId="3" borderId="73">
      <alignment vertical="center"/>
    </xf>
    <xf numFmtId="0" fontId="11" fillId="0" borderId="71" applyNumberFormat="0" applyFont="0" applyFill="0" applyAlignment="0" applyProtection="0">
      <alignment horizontal="center" vertical="center"/>
    </xf>
    <xf numFmtId="3" fontId="56" fillId="0" borderId="71"/>
    <xf numFmtId="0" fontId="56" fillId="0" borderId="71"/>
    <xf numFmtId="3" fontId="56" fillId="0" borderId="74"/>
    <xf numFmtId="3" fontId="56" fillId="0" borderId="75"/>
    <xf numFmtId="0" fontId="92" fillId="0" borderId="71"/>
    <xf numFmtId="3" fontId="6" fillId="0" borderId="71"/>
    <xf numFmtId="185" fontId="9" fillId="0" borderId="71">
      <alignment horizontal="center" vertical="center"/>
    </xf>
    <xf numFmtId="200" fontId="77" fillId="0" borderId="71">
      <alignment vertical="center"/>
    </xf>
    <xf numFmtId="0" fontId="50" fillId="3" borderId="73">
      <alignment vertical="center"/>
    </xf>
    <xf numFmtId="0" fontId="19" fillId="0" borderId="0" applyNumberFormat="0" applyFill="0" applyBorder="0" applyAlignment="0" applyProtection="0"/>
    <xf numFmtId="180" fontId="30" fillId="0" borderId="0">
      <protection locked="0"/>
    </xf>
    <xf numFmtId="0" fontId="30" fillId="0" borderId="0">
      <protection locked="0"/>
    </xf>
    <xf numFmtId="347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0" fontId="6" fillId="0" borderId="71" applyNumberFormat="0" applyFill="0" applyProtection="0">
      <alignment vertical="center"/>
    </xf>
    <xf numFmtId="0" fontId="15" fillId="0" borderId="72">
      <alignment horizontal="center"/>
    </xf>
    <xf numFmtId="0" fontId="15" fillId="0" borderId="72">
      <alignment horizontal="center"/>
    </xf>
    <xf numFmtId="0" fontId="15" fillId="0" borderId="72">
      <alignment horizontal="center"/>
    </xf>
    <xf numFmtId="0" fontId="15" fillId="0" borderId="72">
      <alignment horizontal="center"/>
    </xf>
    <xf numFmtId="0" fontId="15" fillId="0" borderId="72">
      <alignment horizontal="center"/>
    </xf>
    <xf numFmtId="0" fontId="15" fillId="0" borderId="72">
      <alignment horizont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218" fontId="9" fillId="0" borderId="76">
      <alignment horizontal="centerContinuous" vertical="center"/>
    </xf>
    <xf numFmtId="218" fontId="9" fillId="0" borderId="76">
      <alignment horizontal="centerContinuous" vertical="center"/>
    </xf>
    <xf numFmtId="218" fontId="9" fillId="0" borderId="76">
      <alignment horizontal="centerContinuous" vertical="center"/>
    </xf>
    <xf numFmtId="218" fontId="9" fillId="0" borderId="76">
      <alignment horizontal="centerContinuous" vertical="center"/>
    </xf>
    <xf numFmtId="218" fontId="9" fillId="0" borderId="76">
      <alignment horizontal="centerContinuous" vertical="center"/>
    </xf>
    <xf numFmtId="218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0" fontId="6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" fillId="0" borderId="76">
      <alignment horizontal="centerContinuous" vertical="center"/>
    </xf>
    <xf numFmtId="0" fontId="9" fillId="0" borderId="76">
      <alignment horizontal="centerContinuous" vertical="center"/>
    </xf>
    <xf numFmtId="0" fontId="9" fillId="0" borderId="76">
      <alignment horizontal="centerContinuous" vertical="center"/>
    </xf>
    <xf numFmtId="0" fontId="9" fillId="0" borderId="76">
      <alignment horizontal="centerContinuous" vertical="center"/>
    </xf>
    <xf numFmtId="0" fontId="9" fillId="0" borderId="76">
      <alignment horizontal="centerContinuous" vertical="center"/>
    </xf>
    <xf numFmtId="0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117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0" fontId="94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2" fontId="9" fillId="0" borderId="76">
      <alignment horizontal="centerContinuous" vertical="center"/>
    </xf>
    <xf numFmtId="323" fontId="15" fillId="0" borderId="0" applyFont="0" applyFill="0" applyBorder="0" applyAlignment="0" applyProtection="0"/>
    <xf numFmtId="0" fontId="19" fillId="0" borderId="0" applyNumberFormat="0" applyFill="0" applyBorder="0" applyAlignment="0" applyProtection="0"/>
    <xf numFmtId="180" fontId="143" fillId="0" borderId="0">
      <protection locked="0"/>
    </xf>
    <xf numFmtId="329" fontId="6" fillId="0" borderId="0">
      <protection locked="0"/>
    </xf>
    <xf numFmtId="0" fontId="143" fillId="0" borderId="0">
      <protection locked="0"/>
    </xf>
    <xf numFmtId="249" fontId="6" fillId="0" borderId="0">
      <protection locked="0"/>
    </xf>
    <xf numFmtId="347" fontId="193" fillId="0" borderId="0" applyFont="0" applyFill="0" applyBorder="0" applyAlignment="0" applyProtection="0"/>
    <xf numFmtId="347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180" fontId="143" fillId="0" borderId="0">
      <protection locked="0"/>
    </xf>
    <xf numFmtId="329" fontId="6" fillId="0" borderId="0">
      <protection locked="0"/>
    </xf>
    <xf numFmtId="0" fontId="143" fillId="0" borderId="0">
      <protection locked="0"/>
    </xf>
    <xf numFmtId="249" fontId="6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204" fontId="143" fillId="0" borderId="0">
      <protection locked="0"/>
    </xf>
    <xf numFmtId="328" fontId="6" fillId="0" borderId="0">
      <protection locked="0"/>
    </xf>
    <xf numFmtId="347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204" fontId="30" fillId="0" borderId="0">
      <protection locked="0"/>
    </xf>
    <xf numFmtId="204" fontId="143" fillId="0" borderId="0">
      <protection locked="0"/>
    </xf>
    <xf numFmtId="328" fontId="6" fillId="0" borderId="0">
      <protection locked="0"/>
    </xf>
    <xf numFmtId="0" fontId="6" fillId="0" borderId="0"/>
    <xf numFmtId="0" fontId="22" fillId="0" borderId="0">
      <protection locked="0"/>
    </xf>
    <xf numFmtId="345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347" fontId="193" fillId="0" borderId="0" applyFont="0" applyFill="0" applyBorder="0" applyAlignment="0" applyProtection="0"/>
    <xf numFmtId="347" fontId="193" fillId="0" borderId="0" applyFont="0" applyFill="0" applyBorder="0" applyAlignment="0" applyProtection="0"/>
    <xf numFmtId="249" fontId="6" fillId="0" borderId="0">
      <protection locked="0"/>
    </xf>
    <xf numFmtId="0" fontId="143" fillId="0" borderId="0">
      <protection locked="0"/>
    </xf>
    <xf numFmtId="0" fontId="30" fillId="0" borderId="0">
      <protection locked="0"/>
    </xf>
    <xf numFmtId="329" fontId="6" fillId="0" borderId="0">
      <protection locked="0"/>
    </xf>
    <xf numFmtId="180" fontId="143" fillId="0" borderId="0">
      <protection locked="0"/>
    </xf>
    <xf numFmtId="180" fontId="30" fillId="0" borderId="0">
      <protection locked="0"/>
    </xf>
    <xf numFmtId="0" fontId="19" fillId="0" borderId="0" applyNumberFormat="0" applyFill="0" applyBorder="0" applyAlignment="0" applyProtection="0"/>
    <xf numFmtId="328" fontId="6" fillId="0" borderId="0">
      <protection locked="0"/>
    </xf>
    <xf numFmtId="204" fontId="143" fillId="0" borderId="0">
      <protection locked="0"/>
    </xf>
    <xf numFmtId="204" fontId="30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85" fontId="8" fillId="0" borderId="71">
      <alignment vertical="center"/>
    </xf>
    <xf numFmtId="185" fontId="8" fillId="0" borderId="71">
      <alignment vertical="center"/>
    </xf>
    <xf numFmtId="185" fontId="8" fillId="0" borderId="71">
      <alignment vertical="center"/>
    </xf>
    <xf numFmtId="185" fontId="8" fillId="0" borderId="71">
      <alignment vertical="center"/>
    </xf>
    <xf numFmtId="185" fontId="8" fillId="0" borderId="71">
      <alignment vertical="center"/>
    </xf>
    <xf numFmtId="185" fontId="8" fillId="0" borderId="71">
      <alignment vertical="center"/>
    </xf>
    <xf numFmtId="0" fontId="14" fillId="0" borderId="0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3" fontId="57" fillId="0" borderId="71"/>
    <xf numFmtId="0" fontId="9" fillId="0" borderId="0"/>
    <xf numFmtId="185" fontId="9" fillId="0" borderId="7" applyBorder="0"/>
    <xf numFmtId="3" fontId="117" fillId="0" borderId="0"/>
    <xf numFmtId="345" fontId="193" fillId="0" borderId="0" applyFont="0" applyFill="0" applyBorder="0" applyAlignment="0" applyProtection="0"/>
    <xf numFmtId="345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346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249" fontId="193" fillId="0" borderId="0" applyFont="0" applyFill="0" applyBorder="0" applyAlignment="0" applyProtection="0"/>
    <xf numFmtId="347" fontId="193" fillId="0" borderId="0" applyFont="0" applyFill="0" applyBorder="0" applyAlignment="0" applyProtection="0"/>
    <xf numFmtId="347" fontId="193" fillId="0" borderId="0" applyFont="0" applyFill="0" applyBorder="0" applyAlignment="0" applyProtection="0"/>
    <xf numFmtId="0" fontId="30" fillId="0" borderId="0">
      <protection locked="0"/>
    </xf>
    <xf numFmtId="205" fontId="30" fillId="0" borderId="0">
      <protection locked="0"/>
    </xf>
    <xf numFmtId="0" fontId="30" fillId="0" borderId="0"/>
    <xf numFmtId="0" fontId="6" fillId="0" borderId="0" applyFill="0" applyBorder="0" applyAlignment="0"/>
    <xf numFmtId="344" fontId="6" fillId="0" borderId="0"/>
    <xf numFmtId="348" fontId="6" fillId="0" borderId="0"/>
    <xf numFmtId="0" fontId="82" fillId="0" borderId="71"/>
    <xf numFmtId="249" fontId="6" fillId="0" borderId="0">
      <protection locked="0"/>
    </xf>
    <xf numFmtId="0" fontId="143" fillId="0" borderId="0">
      <protection locked="0"/>
    </xf>
    <xf numFmtId="0" fontId="30" fillId="0" borderId="0">
      <protection locked="0"/>
    </xf>
    <xf numFmtId="329" fontId="6" fillId="0" borderId="0">
      <protection locked="0"/>
    </xf>
    <xf numFmtId="180" fontId="143" fillId="0" borderId="0">
      <protection locked="0"/>
    </xf>
    <xf numFmtId="180" fontId="30" fillId="0" borderId="0">
      <protection locked="0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0" fontId="41" fillId="0" borderId="73">
      <alignment horizontal="left" vertical="center"/>
    </xf>
    <xf numFmtId="10" fontId="39" fillId="2" borderId="71" applyNumberFormat="0" applyBorder="0" applyAlignment="0" applyProtection="0"/>
    <xf numFmtId="10" fontId="39" fillId="2" borderId="71" applyNumberFormat="0" applyBorder="0" applyAlignment="0" applyProtection="0"/>
    <xf numFmtId="10" fontId="39" fillId="2" borderId="71" applyNumberFormat="0" applyBorder="0" applyAlignment="0" applyProtection="0"/>
    <xf numFmtId="10" fontId="39" fillId="2" borderId="71" applyNumberFormat="0" applyBorder="0" applyAlignment="0" applyProtection="0"/>
    <xf numFmtId="10" fontId="39" fillId="2" borderId="71" applyNumberFormat="0" applyBorder="0" applyAlignment="0" applyProtection="0"/>
    <xf numFmtId="10" fontId="39" fillId="4" borderId="71" applyNumberFormat="0" applyBorder="0" applyAlignment="0" applyProtection="0"/>
    <xf numFmtId="234" fontId="117" fillId="0" borderId="71">
      <alignment vertical="center"/>
    </xf>
    <xf numFmtId="234" fontId="117" fillId="0" borderId="71">
      <alignment vertical="center"/>
    </xf>
    <xf numFmtId="234" fontId="117" fillId="0" borderId="71">
      <alignment vertical="center"/>
    </xf>
    <xf numFmtId="234" fontId="117" fillId="0" borderId="71">
      <alignment vertical="center"/>
    </xf>
    <xf numFmtId="234" fontId="117" fillId="0" borderId="71">
      <alignment vertical="center"/>
    </xf>
    <xf numFmtId="234" fontId="117" fillId="0" borderId="71">
      <alignment vertical="center"/>
    </xf>
    <xf numFmtId="239" fontId="117" fillId="0" borderId="71">
      <alignment horizontal="right" vertical="center"/>
    </xf>
    <xf numFmtId="239" fontId="117" fillId="0" borderId="71">
      <alignment horizontal="right" vertical="center"/>
    </xf>
    <xf numFmtId="239" fontId="117" fillId="0" borderId="71">
      <alignment horizontal="right" vertical="center"/>
    </xf>
    <xf numFmtId="239" fontId="117" fillId="0" borderId="71">
      <alignment horizontal="right" vertical="center"/>
    </xf>
    <xf numFmtId="239" fontId="117" fillId="0" borderId="71">
      <alignment horizontal="right" vertical="center"/>
    </xf>
    <xf numFmtId="239" fontId="117" fillId="0" borderId="71">
      <alignment horizontal="right" vertical="center"/>
    </xf>
    <xf numFmtId="243" fontId="117" fillId="0" borderId="71">
      <alignment vertical="center"/>
    </xf>
    <xf numFmtId="243" fontId="117" fillId="0" borderId="71">
      <alignment vertical="center"/>
    </xf>
    <xf numFmtId="243" fontId="117" fillId="0" borderId="71">
      <alignment vertical="center"/>
    </xf>
    <xf numFmtId="243" fontId="117" fillId="0" borderId="71">
      <alignment vertical="center"/>
    </xf>
    <xf numFmtId="243" fontId="117" fillId="0" borderId="71">
      <alignment vertical="center"/>
    </xf>
    <xf numFmtId="243" fontId="117" fillId="0" borderId="71">
      <alignment vertical="center"/>
    </xf>
    <xf numFmtId="244" fontId="117" fillId="0" borderId="71">
      <alignment vertical="center"/>
    </xf>
    <xf numFmtId="244" fontId="117" fillId="0" borderId="71">
      <alignment vertical="center"/>
    </xf>
    <xf numFmtId="244" fontId="117" fillId="0" borderId="71">
      <alignment vertical="center"/>
    </xf>
    <xf numFmtId="244" fontId="117" fillId="0" borderId="71">
      <alignment vertical="center"/>
    </xf>
    <xf numFmtId="244" fontId="117" fillId="0" borderId="71">
      <alignment vertical="center"/>
    </xf>
    <xf numFmtId="244" fontId="117" fillId="0" borderId="71">
      <alignment vertical="center"/>
    </xf>
    <xf numFmtId="0" fontId="98" fillId="0" borderId="0">
      <alignment horizontal="left"/>
    </xf>
    <xf numFmtId="0" fontId="19" fillId="0" borderId="0" applyNumberFormat="0" applyFill="0" applyBorder="0" applyAlignment="0" applyProtection="0"/>
    <xf numFmtId="0" fontId="101" fillId="0" borderId="0">
      <alignment horizontal="center"/>
    </xf>
    <xf numFmtId="0" fontId="30" fillId="0" borderId="0"/>
    <xf numFmtId="0" fontId="50" fillId="3" borderId="73">
      <alignment vertical="center"/>
    </xf>
    <xf numFmtId="0" fontId="50" fillId="3" borderId="73">
      <alignment vertical="center"/>
    </xf>
    <xf numFmtId="0" fontId="50" fillId="3" borderId="73">
      <alignment vertical="center"/>
    </xf>
    <xf numFmtId="193" fontId="37" fillId="0" borderId="78">
      <protection locked="0"/>
    </xf>
    <xf numFmtId="193" fontId="37" fillId="0" borderId="78">
      <protection locked="0"/>
    </xf>
    <xf numFmtId="193" fontId="37" fillId="0" borderId="78">
      <protection locked="0"/>
    </xf>
    <xf numFmtId="193" fontId="37" fillId="0" borderId="78">
      <protection locked="0"/>
    </xf>
    <xf numFmtId="193" fontId="37" fillId="0" borderId="78">
      <protection locked="0"/>
    </xf>
    <xf numFmtId="193" fontId="37" fillId="0" borderId="78">
      <protection locked="0"/>
    </xf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297" fontId="211" fillId="0" borderId="0"/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6" fillId="0" borderId="71">
      <alignment horizontal="right" vertical="center" shrinkToFit="1"/>
    </xf>
    <xf numFmtId="0" fontId="12" fillId="0" borderId="0" applyNumberFormat="0" applyFill="0" applyBorder="0" applyAlignment="0" applyProtection="0">
      <alignment vertical="top"/>
      <protection locked="0"/>
    </xf>
    <xf numFmtId="41" fontId="56" fillId="0" borderId="71" applyNumberFormat="0" applyFont="0" applyFill="0" applyBorder="0" applyProtection="0">
      <alignment horizontal="distributed"/>
    </xf>
    <xf numFmtId="41" fontId="56" fillId="0" borderId="71" applyNumberFormat="0" applyFont="0" applyFill="0" applyBorder="0" applyProtection="0">
      <alignment horizontal="distributed"/>
    </xf>
    <xf numFmtId="41" fontId="56" fillId="0" borderId="71" applyNumberFormat="0" applyFont="0" applyFill="0" applyBorder="0" applyProtection="0">
      <alignment horizontal="distributed"/>
    </xf>
    <xf numFmtId="41" fontId="56" fillId="0" borderId="71" applyNumberFormat="0" applyFont="0" applyFill="0" applyBorder="0" applyProtection="0">
      <alignment horizontal="distributed"/>
    </xf>
    <xf numFmtId="41" fontId="56" fillId="0" borderId="71" applyNumberFormat="0" applyFont="0" applyFill="0" applyBorder="0" applyProtection="0">
      <alignment horizontal="distributed"/>
    </xf>
    <xf numFmtId="41" fontId="56" fillId="0" borderId="71" applyNumberFormat="0" applyFont="0" applyFill="0" applyBorder="0" applyProtection="0">
      <alignment horizontal="distributed"/>
    </xf>
    <xf numFmtId="9" fontId="90" fillId="0" borderId="0" applyFont="0" applyFill="0" applyBorder="0" applyAlignment="0" applyProtection="0"/>
    <xf numFmtId="3" fontId="56" fillId="0" borderId="71"/>
    <xf numFmtId="3" fontId="56" fillId="0" borderId="71"/>
    <xf numFmtId="3" fontId="56" fillId="0" borderId="71"/>
    <xf numFmtId="3" fontId="56" fillId="0" borderId="71"/>
    <xf numFmtId="3" fontId="56" fillId="0" borderId="71"/>
    <xf numFmtId="3" fontId="56" fillId="0" borderId="71"/>
    <xf numFmtId="0" fontId="56" fillId="0" borderId="71"/>
    <xf numFmtId="0" fontId="56" fillId="0" borderId="71"/>
    <xf numFmtId="0" fontId="56" fillId="0" borderId="71"/>
    <xf numFmtId="0" fontId="56" fillId="0" borderId="71"/>
    <xf numFmtId="0" fontId="56" fillId="0" borderId="71"/>
    <xf numFmtId="0" fontId="56" fillId="0" borderId="71"/>
    <xf numFmtId="3" fontId="56" fillId="0" borderId="74"/>
    <xf numFmtId="3" fontId="56" fillId="0" borderId="74"/>
    <xf numFmtId="3" fontId="56" fillId="0" borderId="74"/>
    <xf numFmtId="3" fontId="56" fillId="0" borderId="74"/>
    <xf numFmtId="3" fontId="56" fillId="0" borderId="74"/>
    <xf numFmtId="3" fontId="56" fillId="0" borderId="74"/>
    <xf numFmtId="3" fontId="56" fillId="0" borderId="75"/>
    <xf numFmtId="3" fontId="56" fillId="0" borderId="75"/>
    <xf numFmtId="3" fontId="56" fillId="0" borderId="75"/>
    <xf numFmtId="3" fontId="56" fillId="0" borderId="75"/>
    <xf numFmtId="3" fontId="56" fillId="0" borderId="75"/>
    <xf numFmtId="3" fontId="56" fillId="0" borderId="75"/>
    <xf numFmtId="0" fontId="92" fillId="0" borderId="71"/>
    <xf numFmtId="0" fontId="92" fillId="0" borderId="71"/>
    <xf numFmtId="0" fontId="92" fillId="0" borderId="71"/>
    <xf numFmtId="0" fontId="92" fillId="0" borderId="71"/>
    <xf numFmtId="0" fontId="92" fillId="0" borderId="71"/>
    <xf numFmtId="0" fontId="92" fillId="0" borderId="71"/>
    <xf numFmtId="1" fontId="9" fillId="0" borderId="0"/>
    <xf numFmtId="41" fontId="6" fillId="0" borderId="0" applyFont="0" applyFill="0" applyBorder="0" applyAlignment="0" applyProtection="0"/>
    <xf numFmtId="41" fontId="8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272" fontId="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60" fillId="0" borderId="0"/>
    <xf numFmtId="0" fontId="17" fillId="0" borderId="0"/>
    <xf numFmtId="0" fontId="17" fillId="0" borderId="0"/>
    <xf numFmtId="256" fontId="117" fillId="0" borderId="71" applyBorder="0">
      <alignment vertical="center"/>
    </xf>
    <xf numFmtId="256" fontId="117" fillId="0" borderId="71" applyBorder="0">
      <alignment vertical="center"/>
    </xf>
    <xf numFmtId="256" fontId="117" fillId="0" borderId="71" applyBorder="0">
      <alignment vertical="center"/>
    </xf>
    <xf numFmtId="256" fontId="117" fillId="0" borderId="71" applyBorder="0">
      <alignment vertical="center"/>
    </xf>
    <xf numFmtId="256" fontId="117" fillId="0" borderId="71" applyBorder="0">
      <alignment vertical="center"/>
    </xf>
    <xf numFmtId="256" fontId="117" fillId="0" borderId="71" applyBorder="0">
      <alignment vertical="center"/>
    </xf>
    <xf numFmtId="2" fontId="179" fillId="0" borderId="0" applyFill="0" applyBorder="0" applyProtection="0">
      <alignment horizontal="centerContinuous"/>
    </xf>
    <xf numFmtId="0" fontId="9" fillId="0" borderId="71">
      <alignment horizontal="distributed" vertical="center"/>
    </xf>
    <xf numFmtId="0" fontId="9" fillId="0" borderId="71">
      <alignment horizontal="distributed" vertical="center"/>
    </xf>
    <xf numFmtId="0" fontId="9" fillId="0" borderId="71">
      <alignment horizontal="distributed" vertical="center"/>
    </xf>
    <xf numFmtId="0" fontId="9" fillId="0" borderId="71">
      <alignment horizontal="distributed" vertical="center"/>
    </xf>
    <xf numFmtId="0" fontId="9" fillId="0" borderId="71">
      <alignment horizontal="distributed" vertical="center"/>
    </xf>
    <xf numFmtId="0" fontId="9" fillId="0" borderId="71">
      <alignment horizontal="distributed" vertical="center"/>
    </xf>
    <xf numFmtId="0" fontId="9" fillId="0" borderId="77">
      <alignment horizontal="distributed"/>
    </xf>
    <xf numFmtId="0" fontId="9" fillId="0" borderId="77">
      <alignment horizontal="distributed"/>
    </xf>
    <xf numFmtId="0" fontId="9" fillId="0" borderId="77">
      <alignment horizontal="distributed"/>
    </xf>
    <xf numFmtId="0" fontId="9" fillId="0" borderId="77">
      <alignment horizontal="distributed"/>
    </xf>
    <xf numFmtId="0" fontId="9" fillId="0" borderId="77">
      <alignment horizontal="distributed"/>
    </xf>
    <xf numFmtId="0" fontId="9" fillId="0" borderId="77">
      <alignment horizontal="distributed"/>
    </xf>
    <xf numFmtId="0" fontId="9" fillId="0" borderId="77">
      <alignment horizontal="distributed"/>
    </xf>
    <xf numFmtId="185" fontId="168" fillId="0" borderId="0">
      <alignment vertical="center"/>
    </xf>
    <xf numFmtId="185" fontId="9" fillId="0" borderId="71">
      <alignment horizontal="center" vertical="center"/>
    </xf>
    <xf numFmtId="338" fontId="19" fillId="0" borderId="71"/>
    <xf numFmtId="338" fontId="19" fillId="0" borderId="71"/>
    <xf numFmtId="338" fontId="19" fillId="0" borderId="71"/>
    <xf numFmtId="338" fontId="19" fillId="0" borderId="71"/>
    <xf numFmtId="338" fontId="19" fillId="0" borderId="71"/>
    <xf numFmtId="338" fontId="19" fillId="0" borderId="71"/>
    <xf numFmtId="349" fontId="15" fillId="0" borderId="0" applyFont="0" applyFill="0" applyBorder="0" applyAlignment="0" applyProtection="0"/>
    <xf numFmtId="350" fontId="15" fillId="0" borderId="0" applyFont="0" applyFill="0" applyBorder="0" applyAlignment="0" applyProtection="0"/>
    <xf numFmtId="351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12" fillId="0" borderId="0">
      <alignment vertical="center"/>
    </xf>
    <xf numFmtId="0" fontId="213" fillId="0" borderId="0"/>
    <xf numFmtId="0" fontId="5" fillId="0" borderId="0">
      <alignment vertical="center"/>
    </xf>
    <xf numFmtId="0" fontId="6" fillId="0" borderId="71" applyNumberFormat="0" applyFill="0" applyProtection="0">
      <alignment vertical="center"/>
    </xf>
    <xf numFmtId="0" fontId="50" fillId="3" borderId="73">
      <alignment vertical="center"/>
    </xf>
    <xf numFmtId="0" fontId="50" fillId="3" borderId="73">
      <alignment vertical="center"/>
    </xf>
    <xf numFmtId="0" fontId="213" fillId="0" borderId="0"/>
    <xf numFmtId="218" fontId="9" fillId="0" borderId="76">
      <alignment horizontal="centerContinuous" vertical="center"/>
    </xf>
    <xf numFmtId="203" fontId="176" fillId="0" borderId="81" applyFill="0" applyProtection="0">
      <alignment horizontal="center"/>
    </xf>
    <xf numFmtId="0" fontId="185" fillId="22" borderId="92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0" fontId="54" fillId="28" borderId="94" applyNumberFormat="0" applyFont="0" applyAlignment="0" applyProtection="0">
      <alignment vertical="center"/>
    </xf>
    <xf numFmtId="0" fontId="54" fillId="28" borderId="94" applyNumberFormat="0" applyFont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0" fontId="160" fillId="12" borderId="93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186" fontId="14" fillId="0" borderId="84"/>
    <xf numFmtId="0" fontId="54" fillId="28" borderId="94" applyNumberFormat="0" applyFont="0" applyAlignment="0" applyProtection="0">
      <alignment vertical="center"/>
    </xf>
    <xf numFmtId="0" fontId="94" fillId="0" borderId="0">
      <alignment vertical="center"/>
    </xf>
    <xf numFmtId="186" fontId="10" fillId="0" borderId="0" applyFont="0" applyFill="0" applyBorder="0" applyAlignment="0" applyProtection="0"/>
    <xf numFmtId="0" fontId="224" fillId="0" borderId="76">
      <alignment horizontal="centerContinuous" vertical="center"/>
    </xf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355" fontId="6" fillId="0" borderId="0" applyNumberFormat="0" applyFont="0" applyFill="0" applyBorder="0" applyAlignment="0" applyProtection="0"/>
    <xf numFmtId="305" fontId="17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355" fontId="6" fillId="0" borderId="0" applyNumberFormat="0" applyFont="0" applyFill="0" applyBorder="0" applyAlignment="0" applyProtection="0"/>
    <xf numFmtId="305" fontId="17" fillId="0" borderId="0" applyNumberFormat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356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24" fontId="15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225" fillId="0" borderId="0" applyNumberForma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18" fillId="0" borderId="0" applyFont="0" applyFill="0" applyBorder="0" applyAlignment="0" applyProtection="0"/>
    <xf numFmtId="0" fontId="14" fillId="0" borderId="0"/>
    <xf numFmtId="0" fontId="19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9" fillId="0" borderId="0"/>
    <xf numFmtId="0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19" fillId="0" borderId="0"/>
    <xf numFmtId="0" fontId="19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4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3" fontId="37" fillId="0" borderId="0">
      <protection locked="0"/>
    </xf>
    <xf numFmtId="0" fontId="37" fillId="0" borderId="0">
      <protection locked="0"/>
    </xf>
    <xf numFmtId="0" fontId="37" fillId="0" borderId="0">
      <protection locked="0"/>
    </xf>
    <xf numFmtId="0" fontId="226" fillId="0" borderId="20"/>
    <xf numFmtId="0" fontId="60" fillId="0" borderId="0">
      <alignment horizontal="center" vertical="center"/>
    </xf>
    <xf numFmtId="0" fontId="60" fillId="0" borderId="0">
      <alignment horizontal="center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0" fontId="116" fillId="0" borderId="0">
      <alignment vertical="center"/>
    </xf>
    <xf numFmtId="3" fontId="119" fillId="0" borderId="5">
      <alignment horizontal="right" vertical="center"/>
    </xf>
    <xf numFmtId="3" fontId="119" fillId="0" borderId="5">
      <alignment horizontal="right" vertical="center"/>
    </xf>
    <xf numFmtId="0" fontId="60" fillId="0" borderId="0">
      <alignment horizontal="center" vertical="center"/>
    </xf>
    <xf numFmtId="0" fontId="116" fillId="0" borderId="0">
      <alignment vertical="center"/>
    </xf>
    <xf numFmtId="0" fontId="86" fillId="7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86" fillId="7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8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9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1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0" fontId="86" fillId="12" borderId="0" applyNumberFormat="0" applyBorder="0" applyAlignment="0" applyProtection="0">
      <alignment vertical="center"/>
    </xf>
    <xf numFmtId="357" fontId="227" fillId="0" borderId="9">
      <alignment horizontal="center" vertical="center"/>
    </xf>
    <xf numFmtId="193" fontId="37" fillId="0" borderId="0">
      <protection locked="0"/>
    </xf>
    <xf numFmtId="0" fontId="116" fillId="0" borderId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0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7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4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5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151" fillId="20" borderId="0" applyNumberFormat="0" applyBorder="0" applyAlignment="0" applyProtection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9" fillId="0" borderId="0" applyNumberFormat="0" applyFont="0" applyFill="0" applyBorder="0" applyAlignment="0">
      <alignment horizontal="center"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232" fontId="30" fillId="0" borderId="0" applyFont="0" applyFill="0" applyBorder="0" applyAlignment="0" applyProtection="0"/>
    <xf numFmtId="341" fontId="230" fillId="0" borderId="0" applyFont="0" applyFill="0" applyBorder="0" applyAlignment="0" applyProtection="0"/>
    <xf numFmtId="0" fontId="228" fillId="0" borderId="0">
      <alignment vertical="center"/>
    </xf>
    <xf numFmtId="215" fontId="30" fillId="0" borderId="0" applyFont="0" applyFill="0" applyBorder="0" applyAlignment="0" applyProtection="0"/>
    <xf numFmtId="342" fontId="230" fillId="0" borderId="0" applyFont="0" applyFill="0" applyBorder="0" applyAlignment="0" applyProtection="0"/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185" fontId="30" fillId="0" borderId="0" applyFont="0" applyFill="0" applyBorder="0" applyAlignment="0" applyProtection="0"/>
    <xf numFmtId="38" fontId="230" fillId="0" borderId="0" applyFont="0" applyFill="0" applyBorder="0" applyAlignment="0" applyProtection="0"/>
    <xf numFmtId="186" fontId="30" fillId="0" borderId="0" applyFont="0" applyFill="0" applyBorder="0" applyAlignment="0" applyProtection="0"/>
    <xf numFmtId="40" fontId="230" fillId="0" borderId="0" applyFont="0" applyFill="0" applyBorder="0" applyAlignment="0" applyProtection="0"/>
    <xf numFmtId="0" fontId="228" fillId="0" borderId="0">
      <alignment vertical="center"/>
    </xf>
    <xf numFmtId="193" fontId="37" fillId="0" borderId="0">
      <protection locked="0"/>
    </xf>
    <xf numFmtId="0" fontId="11" fillId="0" borderId="0" applyNumberFormat="0" applyFill="0" applyBorder="0" applyAlignment="0" applyProtection="0"/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228" fillId="0" borderId="0">
      <alignment vertical="center"/>
    </xf>
    <xf numFmtId="0" fontId="31" fillId="0" borderId="0"/>
    <xf numFmtId="0" fontId="30" fillId="0" borderId="0"/>
    <xf numFmtId="0" fontId="228" fillId="0" borderId="0">
      <alignment vertical="center"/>
    </xf>
    <xf numFmtId="0" fontId="228" fillId="0" borderId="0">
      <alignment vertical="center"/>
    </xf>
    <xf numFmtId="193" fontId="37" fillId="0" borderId="10">
      <protection locked="0"/>
    </xf>
    <xf numFmtId="0" fontId="192" fillId="0" borderId="0">
      <protection locked="0"/>
    </xf>
    <xf numFmtId="0" fontId="228" fillId="0" borderId="0">
      <alignment vertical="center"/>
    </xf>
    <xf numFmtId="0" fontId="9" fillId="0" borderId="0" applyFont="0" applyFill="0" applyBorder="0" applyAlignment="0" applyProtection="0"/>
    <xf numFmtId="0" fontId="228" fillId="0" borderId="0">
      <alignment vertical="center"/>
    </xf>
    <xf numFmtId="193" fontId="37" fillId="0" borderId="0">
      <protection locked="0"/>
    </xf>
    <xf numFmtId="193" fontId="37" fillId="0" borderId="0">
      <protection locked="0"/>
    </xf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8" fontId="39" fillId="2" borderId="0" applyNumberFormat="0" applyBorder="0" applyAlignment="0" applyProtection="0"/>
    <xf numFmtId="38" fontId="39" fillId="2" borderId="0" applyNumberFormat="0" applyBorder="0" applyAlignment="0" applyProtection="0"/>
    <xf numFmtId="38" fontId="39" fillId="2" borderId="0" applyNumberFormat="0" applyBorder="0" applyAlignment="0" applyProtection="0"/>
    <xf numFmtId="38" fontId="39" fillId="2" borderId="0" applyNumberFormat="0" applyBorder="0" applyAlignment="0" applyProtection="0"/>
    <xf numFmtId="38" fontId="39" fillId="2" borderId="0" applyNumberFormat="0" applyBorder="0" applyAlignment="0" applyProtection="0"/>
    <xf numFmtId="38" fontId="39" fillId="3" borderId="0" applyNumberFormat="0" applyBorder="0" applyAlignment="0" applyProtection="0"/>
    <xf numFmtId="38" fontId="39" fillId="3" borderId="0" applyNumberFormat="0" applyBorder="0" applyAlignment="0" applyProtection="0"/>
    <xf numFmtId="10" fontId="39" fillId="4" borderId="71" applyNumberFormat="0" applyBorder="0" applyAlignment="0" applyProtection="0"/>
    <xf numFmtId="10" fontId="39" fillId="4" borderId="71" applyNumberFormat="0" applyBorder="0" applyAlignment="0" applyProtection="0"/>
    <xf numFmtId="358" fontId="6" fillId="0" borderId="0"/>
    <xf numFmtId="358" fontId="6" fillId="0" borderId="0"/>
    <xf numFmtId="358" fontId="6" fillId="0" borderId="0"/>
    <xf numFmtId="358" fontId="6" fillId="0" borderId="0"/>
    <xf numFmtId="358" fontId="6" fillId="0" borderId="0"/>
    <xf numFmtId="0" fontId="57" fillId="0" borderId="0"/>
    <xf numFmtId="359" fontId="6" fillId="0" borderId="0"/>
    <xf numFmtId="0" fontId="19" fillId="0" borderId="0"/>
    <xf numFmtId="293" fontId="23" fillId="0" borderId="0">
      <protection locked="0"/>
    </xf>
    <xf numFmtId="0" fontId="228" fillId="0" borderId="0">
      <alignment vertical="center"/>
    </xf>
    <xf numFmtId="0" fontId="82" fillId="0" borderId="0" applyNumberFormat="0" applyFill="0" applyBorder="0" applyAlignment="0" applyProtection="0"/>
    <xf numFmtId="0" fontId="151" fillId="24" borderId="0" applyNumberFormat="0" applyBorder="0" applyAlignment="0" applyProtection="0">
      <alignment vertical="center"/>
    </xf>
    <xf numFmtId="0" fontId="151" fillId="24" borderId="0" applyNumberFormat="0" applyBorder="0" applyAlignment="0" applyProtection="0">
      <alignment vertical="center"/>
    </xf>
    <xf numFmtId="0" fontId="151" fillId="24" borderId="0" applyNumberFormat="0" applyBorder="0" applyAlignment="0" applyProtection="0">
      <alignment vertical="center"/>
    </xf>
    <xf numFmtId="0" fontId="151" fillId="24" borderId="0" applyNumberFormat="0" applyBorder="0" applyAlignment="0" applyProtection="0">
      <alignment vertical="center"/>
    </xf>
    <xf numFmtId="0" fontId="151" fillId="24" borderId="0" applyNumberFormat="0" applyBorder="0" applyAlignment="0" applyProtection="0">
      <alignment vertical="center"/>
    </xf>
    <xf numFmtId="0" fontId="151" fillId="24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5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26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8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1" fillId="27" borderId="0" applyNumberFormat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2" fillId="0" borderId="0" applyNumberFormat="0" applyFill="0" applyBorder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53" fillId="22" borderId="55" applyNumberFormat="0" applyAlignment="0" applyProtection="0">
      <alignment vertical="center"/>
    </xf>
    <xf numFmtId="0" fontId="153" fillId="22" borderId="55" applyNumberFormat="0" applyAlignment="0" applyProtection="0">
      <alignment vertical="center"/>
    </xf>
    <xf numFmtId="360" fontId="56" fillId="0" borderId="0">
      <protection locked="0"/>
    </xf>
    <xf numFmtId="360" fontId="56" fillId="0" borderId="0">
      <protection locked="0"/>
    </xf>
    <xf numFmtId="360" fontId="56" fillId="0" borderId="0">
      <protection locked="0"/>
    </xf>
    <xf numFmtId="360" fontId="56" fillId="0" borderId="0">
      <protection locked="0"/>
    </xf>
    <xf numFmtId="181" fontId="9" fillId="0" borderId="0">
      <protection locked="0"/>
    </xf>
    <xf numFmtId="181" fontId="9" fillId="0" borderId="0">
      <protection locked="0"/>
    </xf>
    <xf numFmtId="0" fontId="154" fillId="8" borderId="0" applyNumberFormat="0" applyBorder="0" applyAlignment="0" applyProtection="0">
      <alignment vertical="center"/>
    </xf>
    <xf numFmtId="0" fontId="154" fillId="8" borderId="0" applyNumberFormat="0" applyBorder="0" applyAlignment="0" applyProtection="0">
      <alignment vertical="center"/>
    </xf>
    <xf numFmtId="0" fontId="154" fillId="8" borderId="0" applyNumberFormat="0" applyBorder="0" applyAlignment="0" applyProtection="0">
      <alignment vertical="center"/>
    </xf>
    <xf numFmtId="0" fontId="154" fillId="8" borderId="0" applyNumberFormat="0" applyBorder="0" applyAlignment="0" applyProtection="0">
      <alignment vertical="center"/>
    </xf>
    <xf numFmtId="0" fontId="154" fillId="8" borderId="0" applyNumberFormat="0" applyBorder="0" applyAlignment="0" applyProtection="0">
      <alignment vertical="center"/>
    </xf>
    <xf numFmtId="0" fontId="154" fillId="8" borderId="0" applyNumberFormat="0" applyBorder="0" applyAlignment="0" applyProtection="0">
      <alignment vertical="center"/>
    </xf>
    <xf numFmtId="3" fontId="231" fillId="0" borderId="9" applyNumberFormat="0" applyAlignment="0">
      <alignment vertical="center"/>
    </xf>
    <xf numFmtId="0" fontId="178" fillId="0" borderId="0" applyNumberFormat="0" applyFill="0" applyBorder="0" applyAlignment="0" applyProtection="0">
      <alignment vertical="top"/>
      <protection locked="0"/>
    </xf>
    <xf numFmtId="0" fontId="6" fillId="28" borderId="56" applyNumberFormat="0" applyFont="0" applyAlignment="0" applyProtection="0">
      <alignment vertical="center"/>
    </xf>
    <xf numFmtId="0" fontId="57" fillId="28" borderId="56" applyNumberFormat="0" applyFont="0" applyAlignment="0" applyProtection="0">
      <alignment vertical="center"/>
    </xf>
    <xf numFmtId="0" fontId="57" fillId="28" borderId="56" applyNumberFormat="0" applyFont="0" applyAlignment="0" applyProtection="0">
      <alignment vertical="center"/>
    </xf>
    <xf numFmtId="0" fontId="57" fillId="28" borderId="56" applyNumberFormat="0" applyFont="0" applyAlignment="0" applyProtection="0">
      <alignment vertical="center"/>
    </xf>
    <xf numFmtId="0" fontId="57" fillId="28" borderId="56" applyNumberFormat="0" applyFont="0" applyAlignment="0" applyProtection="0">
      <alignment vertical="center"/>
    </xf>
    <xf numFmtId="0" fontId="116" fillId="0" borderId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55" fillId="29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55" fillId="29" borderId="0" applyNumberFormat="0" applyBorder="0" applyAlignment="0" applyProtection="0">
      <alignment vertical="center"/>
    </xf>
    <xf numFmtId="0" fontId="145" fillId="0" borderId="0" applyNumberFormat="0" applyFont="0" applyFill="0" applyBorder="0" applyProtection="0">
      <alignment horizontal="centerContinuous" vertical="center"/>
    </xf>
    <xf numFmtId="321" fontId="145" fillId="0" borderId="0" applyFill="0" applyBorder="0" applyProtection="0">
      <alignment horizontal="centerContinuous" vertical="center"/>
    </xf>
    <xf numFmtId="0" fontId="145" fillId="0" borderId="0" applyNumberFormat="0" applyFont="0" applyFill="0" applyBorder="0" applyProtection="0">
      <alignment horizontal="centerContinuous"/>
    </xf>
    <xf numFmtId="0" fontId="117" fillId="0" borderId="0" applyNumberFormat="0" applyFont="0" applyFill="0" applyBorder="0" applyProtection="0">
      <alignment horizontal="centerContinuous" vertical="center"/>
    </xf>
    <xf numFmtId="0" fontId="145" fillId="0" borderId="0" applyNumberFormat="0" applyFont="0" applyFill="0" applyBorder="0" applyProtection="0">
      <alignment horizontal="centerContinuous"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157" fillId="30" borderId="57" applyNumberFormat="0" applyAlignment="0" applyProtection="0">
      <alignment vertical="center"/>
    </xf>
    <xf numFmtId="0" fontId="227" fillId="0" borderId="64" applyFont="0" applyFill="0" applyBorder="0" applyAlignment="0" applyProtection="0">
      <alignment vertical="center"/>
    </xf>
    <xf numFmtId="321" fontId="227" fillId="0" borderId="64" applyFont="0" applyFill="0" applyBorder="0" applyAlignment="0" applyProtection="0">
      <alignment vertical="center"/>
    </xf>
    <xf numFmtId="0" fontId="135" fillId="0" borderId="0"/>
    <xf numFmtId="0" fontId="232" fillId="0" borderId="3" applyFont="0" applyFill="0" applyBorder="0" applyAlignment="0" applyProtection="0">
      <alignment horizontal="centerContinuous" vertical="center"/>
    </xf>
    <xf numFmtId="0" fontId="145" fillId="0" borderId="0" applyFont="0" applyFill="0" applyBorder="0" applyProtection="0">
      <alignment horizontal="centerContinuous" vertical="center"/>
    </xf>
    <xf numFmtId="361" fontId="56" fillId="0" borderId="0">
      <alignment vertical="center"/>
    </xf>
    <xf numFmtId="361" fontId="56" fillId="0" borderId="0">
      <alignment vertical="center"/>
    </xf>
    <xf numFmtId="361" fontId="56" fillId="0" borderId="0">
      <alignment vertical="center"/>
    </xf>
    <xf numFmtId="361" fontId="56" fillId="0" borderId="0">
      <alignment vertical="center"/>
    </xf>
    <xf numFmtId="183" fontId="6" fillId="0" borderId="0">
      <alignment vertical="center"/>
    </xf>
    <xf numFmtId="190" fontId="145" fillId="0" borderId="0" applyFont="0" applyFill="0" applyBorder="0" applyAlignment="0" applyProtection="0">
      <alignment horizontal="centerContinuous" vertical="center"/>
    </xf>
    <xf numFmtId="190" fontId="145" fillId="0" borderId="0" applyFont="0" applyFill="0" applyBorder="0" applyProtection="0">
      <alignment horizontal="centerContinuous" vertical="center"/>
    </xf>
    <xf numFmtId="194" fontId="145" fillId="0" borderId="0" applyFont="0" applyFill="0" applyBorder="0" applyAlignment="0" applyProtection="0">
      <alignment vertical="center"/>
    </xf>
    <xf numFmtId="194" fontId="145" fillId="0" borderId="0" applyFont="0" applyFill="0" applyBorder="0" applyProtection="0">
      <alignment horizontal="centerContinuous" vertical="center"/>
    </xf>
    <xf numFmtId="362" fontId="6" fillId="0" borderId="9" applyFont="0" applyFill="0" applyBorder="0" applyProtection="0">
      <alignment horizontal="right" vertical="center"/>
      <protection locked="0"/>
    </xf>
    <xf numFmtId="362" fontId="6" fillId="0" borderId="0" applyFont="0" applyFill="0" applyBorder="0" applyAlignment="0" applyProtection="0">
      <alignment vertical="center"/>
    </xf>
    <xf numFmtId="255" fontId="9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86" fillId="0" borderId="0" applyFont="0" applyFill="0" applyBorder="0" applyAlignment="0" applyProtection="0">
      <alignment vertical="center"/>
    </xf>
    <xf numFmtId="41" fontId="94" fillId="0" borderId="0" applyFont="0" applyFill="0" applyBorder="0" applyAlignment="0" applyProtection="0"/>
    <xf numFmtId="0" fontId="158" fillId="0" borderId="58" applyNumberFormat="0" applyFill="0" applyAlignment="0" applyProtection="0">
      <alignment vertical="center"/>
    </xf>
    <xf numFmtId="0" fontId="158" fillId="0" borderId="58" applyNumberFormat="0" applyFill="0" applyAlignment="0" applyProtection="0">
      <alignment vertical="center"/>
    </xf>
    <xf numFmtId="0" fontId="158" fillId="0" borderId="58" applyNumberFormat="0" applyFill="0" applyAlignment="0" applyProtection="0">
      <alignment vertical="center"/>
    </xf>
    <xf numFmtId="0" fontId="158" fillId="0" borderId="58" applyNumberFormat="0" applyFill="0" applyAlignment="0" applyProtection="0">
      <alignment vertical="center"/>
    </xf>
    <xf numFmtId="0" fontId="158" fillId="0" borderId="58" applyNumberFormat="0" applyFill="0" applyAlignment="0" applyProtection="0">
      <alignment vertical="center"/>
    </xf>
    <xf numFmtId="0" fontId="158" fillId="0" borderId="58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59" fillId="0" borderId="59" applyNumberFormat="0" applyFill="0" applyAlignment="0" applyProtection="0">
      <alignment vertical="center"/>
    </xf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16" fillId="0" borderId="0">
      <alignment vertical="center"/>
    </xf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260" fontId="56" fillId="0" borderId="0" applyFont="0" applyFill="0" applyBorder="0" applyAlignment="0" applyProtection="0"/>
    <xf numFmtId="0" fontId="116" fillId="0" borderId="0">
      <alignment vertical="center"/>
    </xf>
    <xf numFmtId="363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260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260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260" fontId="56" fillId="0" borderId="0" applyFont="0" applyFill="0" applyBorder="0" applyAlignment="0" applyProtection="0"/>
    <xf numFmtId="363" fontId="56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59" fontId="135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/>
    <xf numFmtId="261" fontId="13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9" fontId="60" fillId="0" borderId="41" applyNumberFormat="0" applyAlignment="0"/>
    <xf numFmtId="0" fontId="160" fillId="12" borderId="55" applyNumberFormat="0" applyAlignment="0" applyProtection="0">
      <alignment vertical="center"/>
    </xf>
    <xf numFmtId="0" fontId="160" fillId="12" borderId="55" applyNumberFormat="0" applyAlignment="0" applyProtection="0">
      <alignment vertical="center"/>
    </xf>
    <xf numFmtId="0" fontId="160" fillId="12" borderId="55" applyNumberFormat="0" applyAlignment="0" applyProtection="0">
      <alignment vertical="center"/>
    </xf>
    <xf numFmtId="0" fontId="160" fillId="12" borderId="55" applyNumberFormat="0" applyAlignment="0" applyProtection="0">
      <alignment vertical="center"/>
    </xf>
    <xf numFmtId="0" fontId="160" fillId="12" borderId="55" applyNumberFormat="0" applyAlignment="0" applyProtection="0">
      <alignment vertical="center"/>
    </xf>
    <xf numFmtId="0" fontId="160" fillId="12" borderId="55" applyNumberFormat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161" fillId="0" borderId="60" applyNumberFormat="0" applyFill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2" fillId="0" borderId="61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62" applyNumberFormat="0" applyFill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164" fillId="9" borderId="0" applyNumberFormat="0" applyBorder="0" applyAlignment="0" applyProtection="0">
      <alignment vertical="center"/>
    </xf>
    <xf numFmtId="0" fontId="6" fillId="0" borderId="0"/>
    <xf numFmtId="0" fontId="165" fillId="22" borderId="54" applyNumberFormat="0" applyAlignment="0" applyProtection="0">
      <alignment vertical="center"/>
    </xf>
    <xf numFmtId="0" fontId="165" fillId="22" borderId="54" applyNumberFormat="0" applyAlignment="0" applyProtection="0">
      <alignment vertical="center"/>
    </xf>
    <xf numFmtId="0" fontId="165" fillId="22" borderId="54" applyNumberFormat="0" applyAlignment="0" applyProtection="0">
      <alignment vertical="center"/>
    </xf>
    <xf numFmtId="0" fontId="165" fillId="22" borderId="54" applyNumberFormat="0" applyAlignment="0" applyProtection="0">
      <alignment vertical="center"/>
    </xf>
    <xf numFmtId="0" fontId="165" fillId="22" borderId="54" applyNumberFormat="0" applyAlignment="0" applyProtection="0">
      <alignment vertical="center"/>
    </xf>
    <xf numFmtId="0" fontId="165" fillId="22" borderId="54" applyNumberFormat="0" applyAlignment="0" applyProtection="0">
      <alignment vertical="center"/>
    </xf>
    <xf numFmtId="0" fontId="14" fillId="0" borderId="11">
      <alignment horizontal="center"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234" fillId="0" borderId="0">
      <protection locked="0"/>
    </xf>
    <xf numFmtId="176" fontId="234" fillId="0" borderId="0">
      <protection locked="0"/>
    </xf>
    <xf numFmtId="0" fontId="234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16" fillId="0" borderId="0">
      <alignment vertical="center"/>
    </xf>
    <xf numFmtId="185" fontId="14" fillId="0" borderId="25">
      <alignment vertical="center"/>
    </xf>
    <xf numFmtId="185" fontId="235" fillId="0" borderId="3"/>
    <xf numFmtId="2" fontId="236" fillId="0" borderId="9" applyNumberFormat="0" applyFont="0" applyFill="0" applyAlignment="0" applyProtection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234" fillId="0" borderId="0">
      <protection locked="0"/>
    </xf>
    <xf numFmtId="176" fontId="234" fillId="0" borderId="0">
      <protection locked="0"/>
    </xf>
    <xf numFmtId="0" fontId="234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364" fontId="56" fillId="0" borderId="0">
      <protection locked="0"/>
    </xf>
    <xf numFmtId="364" fontId="56" fillId="0" borderId="0">
      <protection locked="0"/>
    </xf>
    <xf numFmtId="364" fontId="56" fillId="0" borderId="0">
      <protection locked="0"/>
    </xf>
    <xf numFmtId="364" fontId="56" fillId="0" borderId="0">
      <protection locked="0"/>
    </xf>
    <xf numFmtId="278" fontId="9" fillId="0" borderId="0">
      <protection locked="0"/>
    </xf>
    <xf numFmtId="278" fontId="9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234" fillId="0" borderId="0">
      <protection locked="0"/>
    </xf>
    <xf numFmtId="176" fontId="234" fillId="0" borderId="0">
      <protection locked="0"/>
    </xf>
    <xf numFmtId="0" fontId="234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93" fontId="83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alignment vertical="center"/>
    </xf>
    <xf numFmtId="365" fontId="56" fillId="0" borderId="0">
      <protection locked="0"/>
    </xf>
    <xf numFmtId="365" fontId="56" fillId="0" borderId="0">
      <protection locked="0"/>
    </xf>
    <xf numFmtId="365" fontId="56" fillId="0" borderId="0">
      <protection locked="0"/>
    </xf>
    <xf numFmtId="365" fontId="56" fillId="0" borderId="0">
      <protection locked="0"/>
    </xf>
    <xf numFmtId="0" fontId="9" fillId="0" borderId="0">
      <protection locked="0"/>
    </xf>
    <xf numFmtId="277" fontId="9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0" fontId="56" fillId="0" borderId="0">
      <protection locked="0"/>
    </xf>
    <xf numFmtId="279" fontId="9" fillId="0" borderId="0">
      <protection locked="0"/>
    </xf>
    <xf numFmtId="279" fontId="9" fillId="0" borderId="0">
      <protection locked="0"/>
    </xf>
    <xf numFmtId="0" fontId="228" fillId="0" borderId="0">
      <alignment vertical="center"/>
    </xf>
    <xf numFmtId="218" fontId="9" fillId="0" borderId="101">
      <alignment horizontal="centerContinuous" vertical="center"/>
    </xf>
    <xf numFmtId="0" fontId="6" fillId="0" borderId="183">
      <alignment horizontal="centerContinuous" vertical="center"/>
    </xf>
    <xf numFmtId="0" fontId="94" fillId="0" borderId="218">
      <alignment horizontal="centerContinuous" vertical="center"/>
    </xf>
    <xf numFmtId="338" fontId="19" fillId="0" borderId="124"/>
    <xf numFmtId="256" fontId="117" fillId="0" borderId="124" applyBorder="0">
      <alignment vertical="center"/>
    </xf>
    <xf numFmtId="221" fontId="117" fillId="0" borderId="71">
      <alignment vertical="center"/>
    </xf>
    <xf numFmtId="3" fontId="57" fillId="0" borderId="172"/>
    <xf numFmtId="218" fontId="6" fillId="0" borderId="160">
      <alignment vertical="center"/>
    </xf>
    <xf numFmtId="218" fontId="6" fillId="0" borderId="181">
      <alignment vertical="center"/>
    </xf>
    <xf numFmtId="200" fontId="6" fillId="0" borderId="181">
      <alignment vertical="center"/>
    </xf>
    <xf numFmtId="0" fontId="41" fillId="0" borderId="185">
      <alignment horizontal="left" vertical="center"/>
    </xf>
    <xf numFmtId="218" fontId="9" fillId="0" borderId="186">
      <alignment horizontal="centerContinuous" vertical="center"/>
    </xf>
    <xf numFmtId="0" fontId="153" fillId="22" borderId="213" applyNumberFormat="0" applyAlignment="0" applyProtection="0">
      <alignment vertical="center"/>
    </xf>
    <xf numFmtId="0" fontId="186" fillId="0" borderId="196" applyProtection="0">
      <alignment vertical="center"/>
    </xf>
    <xf numFmtId="256" fontId="117" fillId="0" borderId="196" applyBorder="0">
      <alignment vertical="center"/>
    </xf>
    <xf numFmtId="176" fontId="6" fillId="0" borderId="160">
      <alignment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218" fontId="9" fillId="0" borderId="218">
      <alignment horizontal="centerContinuous" vertical="center"/>
    </xf>
    <xf numFmtId="0" fontId="117" fillId="0" borderId="218">
      <alignment horizontal="centerContinuous" vertical="center"/>
    </xf>
    <xf numFmtId="10" fontId="39" fillId="4" borderId="216" applyNumberFormat="0" applyBorder="0" applyAlignment="0" applyProtection="0"/>
    <xf numFmtId="0" fontId="56" fillId="0" borderId="181"/>
    <xf numFmtId="322" fontId="9" fillId="0" borderId="198">
      <alignment horizontal="centerContinuous" vertical="center"/>
    </xf>
    <xf numFmtId="322" fontId="9" fillId="0" borderId="183">
      <alignment horizontal="centerContinuous" vertical="center"/>
    </xf>
    <xf numFmtId="242" fontId="6" fillId="0" borderId="160">
      <alignment horizontal="right" vertical="center"/>
    </xf>
    <xf numFmtId="237" fontId="6" fillId="0" borderId="181">
      <alignment vertical="center"/>
    </xf>
    <xf numFmtId="0" fontId="184" fillId="0" borderId="172" applyFill="0" applyBorder="0" applyProtection="0">
      <alignment vertical="center"/>
    </xf>
    <xf numFmtId="185" fontId="8" fillId="0" borderId="196">
      <alignment vertical="center"/>
    </xf>
    <xf numFmtId="0" fontId="94" fillId="0" borderId="198">
      <alignment horizontal="centerContinuous" vertical="center"/>
    </xf>
    <xf numFmtId="191" fontId="6" fillId="0" borderId="160">
      <alignment vertical="center"/>
    </xf>
    <xf numFmtId="0" fontId="94" fillId="0" borderId="198">
      <alignment horizontal="centerContinuous" vertical="center"/>
    </xf>
    <xf numFmtId="242" fontId="6" fillId="0" borderId="181">
      <alignment horizontal="right" vertical="center"/>
    </xf>
    <xf numFmtId="191" fontId="6" fillId="0" borderId="148">
      <alignment vertical="center"/>
    </xf>
    <xf numFmtId="191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191" fontId="6" fillId="0" borderId="148">
      <alignment vertical="center"/>
    </xf>
    <xf numFmtId="322" fontId="9" fillId="0" borderId="186">
      <alignment horizontal="centerContinuous" vertical="center"/>
    </xf>
    <xf numFmtId="0" fontId="184" fillId="0" borderId="181" applyFill="0" applyBorder="0" applyProtection="0">
      <alignment vertical="center"/>
    </xf>
    <xf numFmtId="200" fontId="6" fillId="0" borderId="196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206" fontId="6" fillId="0" borderId="124">
      <alignment vertical="center"/>
    </xf>
    <xf numFmtId="176" fontId="6" fillId="0" borderId="124">
      <alignment vertical="center"/>
    </xf>
    <xf numFmtId="248" fontId="117" fillId="0" borderId="124">
      <alignment vertical="center"/>
    </xf>
    <xf numFmtId="0" fontId="9" fillId="0" borderId="172">
      <alignment horizontal="distributed" vertical="center"/>
    </xf>
    <xf numFmtId="246" fontId="117" fillId="0" borderId="124">
      <alignment vertical="center"/>
    </xf>
    <xf numFmtId="191" fontId="6" fillId="0" borderId="172">
      <alignment vertical="center"/>
    </xf>
    <xf numFmtId="0" fontId="50" fillId="3" borderId="125">
      <alignment vertical="center"/>
    </xf>
    <xf numFmtId="37" fontId="117" fillId="0" borderId="172">
      <alignment horizontal="center" vertical="distributed"/>
    </xf>
    <xf numFmtId="242" fontId="6" fillId="0" borderId="172">
      <alignment horizontal="right" vertical="center"/>
    </xf>
    <xf numFmtId="0" fontId="56" fillId="0" borderId="172"/>
    <xf numFmtId="0" fontId="56" fillId="0" borderId="172"/>
    <xf numFmtId="3" fontId="56" fillId="0" borderId="172"/>
    <xf numFmtId="41" fontId="56" fillId="0" borderId="172" applyNumberFormat="0" applyFont="0" applyFill="0" applyBorder="0" applyProtection="0">
      <alignment horizontal="distributed"/>
    </xf>
    <xf numFmtId="240" fontId="6" fillId="0" borderId="124">
      <alignment horizontal="right" vertical="center"/>
    </xf>
    <xf numFmtId="218" fontId="9" fillId="0" borderId="126">
      <alignment horizontal="centerContinuous" vertical="center"/>
    </xf>
    <xf numFmtId="322" fontId="9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" fillId="0" borderId="126">
      <alignment horizontal="centerContinuous" vertical="center"/>
    </xf>
    <xf numFmtId="0" fontId="9" fillId="0" borderId="126">
      <alignment horizontal="centerContinuous" vertical="center"/>
    </xf>
    <xf numFmtId="0" fontId="9" fillId="0" borderId="126">
      <alignment horizontal="centerContinuous" vertical="center"/>
    </xf>
    <xf numFmtId="0" fontId="9" fillId="0" borderId="126">
      <alignment horizontal="centerContinuous" vertical="center"/>
    </xf>
    <xf numFmtId="0" fontId="9" fillId="0" borderId="126">
      <alignment horizontal="centerContinuous" vertical="center"/>
    </xf>
    <xf numFmtId="0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218" fontId="6" fillId="0" borderId="136">
      <alignment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38" fontId="6" fillId="0" borderId="196">
      <alignment vertical="center"/>
    </xf>
    <xf numFmtId="10" fontId="39" fillId="2" borderId="216" applyNumberFormat="0" applyBorder="0" applyAlignment="0" applyProtection="0"/>
    <xf numFmtId="200" fontId="6" fillId="0" borderId="181">
      <alignment vertical="center"/>
    </xf>
    <xf numFmtId="0" fontId="117" fillId="0" borderId="162">
      <alignment horizontal="centerContinuous" vertical="center"/>
    </xf>
    <xf numFmtId="322" fontId="9" fillId="0" borderId="198">
      <alignment horizontal="centerContinuous" vertical="center"/>
    </xf>
    <xf numFmtId="3" fontId="57" fillId="0" borderId="181"/>
    <xf numFmtId="3" fontId="57" fillId="0" borderId="160"/>
    <xf numFmtId="240" fontId="6" fillId="0" borderId="196">
      <alignment horizontal="right" vertical="center"/>
    </xf>
    <xf numFmtId="0" fontId="186" fillId="0" borderId="160" applyProtection="0">
      <alignment vertical="center"/>
    </xf>
    <xf numFmtId="0" fontId="6" fillId="0" borderId="160" applyNumberFormat="0" applyFill="0" applyProtection="0">
      <alignment vertical="center"/>
    </xf>
    <xf numFmtId="0" fontId="6" fillId="0" borderId="181" applyNumberFormat="0" applyFill="0" applyProtection="0">
      <alignment vertical="center"/>
    </xf>
    <xf numFmtId="0" fontId="50" fillId="3" borderId="217">
      <alignment vertical="center"/>
    </xf>
    <xf numFmtId="3" fontId="57" fillId="0" borderId="181"/>
    <xf numFmtId="0" fontId="56" fillId="0" borderId="181"/>
    <xf numFmtId="185" fontId="8" fillId="0" borderId="181">
      <alignment vertical="center"/>
    </xf>
    <xf numFmtId="239" fontId="117" fillId="0" borderId="181">
      <alignment horizontal="right" vertical="center"/>
    </xf>
    <xf numFmtId="243" fontId="117" fillId="0" borderId="181">
      <alignment vertical="center"/>
    </xf>
    <xf numFmtId="244" fontId="117" fillId="0" borderId="181">
      <alignment vertical="center"/>
    </xf>
    <xf numFmtId="0" fontId="153" fillId="22" borderId="168" applyNumberFormat="0" applyAlignment="0" applyProtection="0">
      <alignment vertical="center"/>
    </xf>
    <xf numFmtId="240" fontId="6" fillId="0" borderId="196">
      <alignment horizontal="right" vertical="center"/>
    </xf>
    <xf numFmtId="0" fontId="185" fillId="22" borderId="176" applyNumberFormat="0" applyAlignment="0" applyProtection="0">
      <alignment vertical="center"/>
    </xf>
    <xf numFmtId="41" fontId="56" fillId="0" borderId="160" applyNumberFormat="0" applyFont="0" applyFill="0" applyBorder="0" applyProtection="0">
      <alignment horizontal="distributed"/>
    </xf>
    <xf numFmtId="0" fontId="117" fillId="0" borderId="198">
      <alignment horizontal="centerContinuous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41" fillId="0" borderId="125">
      <alignment horizontal="left" vertical="center"/>
    </xf>
    <xf numFmtId="0" fontId="6" fillId="0" borderId="172">
      <alignment vertical="center"/>
    </xf>
    <xf numFmtId="238" fontId="6" fillId="0" borderId="172">
      <alignment vertical="center"/>
    </xf>
    <xf numFmtId="236" fontId="6" fillId="0" borderId="172">
      <alignment vertical="center"/>
    </xf>
    <xf numFmtId="240" fontId="6" fillId="0" borderId="172">
      <alignment horizontal="right" vertical="center"/>
    </xf>
    <xf numFmtId="3" fontId="57" fillId="0" borderId="208"/>
    <xf numFmtId="0" fontId="153" fillId="22" borderId="213" applyNumberFormat="0" applyAlignment="0" applyProtection="0">
      <alignment vertical="center"/>
    </xf>
    <xf numFmtId="322" fontId="9" fillId="0" borderId="183">
      <alignment horizontal="centerContinuous" vertical="center"/>
    </xf>
    <xf numFmtId="0" fontId="94" fillId="0" borderId="162">
      <alignment horizontal="centerContinuous" vertical="center"/>
    </xf>
    <xf numFmtId="0" fontId="50" fillId="3" borderId="125">
      <alignment vertical="center"/>
    </xf>
    <xf numFmtId="0" fontId="50" fillId="3" borderId="125">
      <alignment vertical="center"/>
    </xf>
    <xf numFmtId="0" fontId="50" fillId="3" borderId="125">
      <alignment vertical="center"/>
    </xf>
    <xf numFmtId="322" fontId="9" fillId="0" borderId="198">
      <alignment horizontal="centerContinuous" vertical="center"/>
    </xf>
    <xf numFmtId="256" fontId="117" fillId="0" borderId="160" applyBorder="0">
      <alignment vertical="center"/>
    </xf>
    <xf numFmtId="240" fontId="6" fillId="0" borderId="160">
      <alignment horizontal="right" vertical="center"/>
    </xf>
    <xf numFmtId="0" fontId="9" fillId="0" borderId="160">
      <alignment horizontal="distributed" vertical="center"/>
    </xf>
    <xf numFmtId="0" fontId="9" fillId="0" borderId="163">
      <alignment horizontal="distributed"/>
    </xf>
    <xf numFmtId="0" fontId="9" fillId="0" borderId="163">
      <alignment horizontal="distributed"/>
    </xf>
    <xf numFmtId="338" fontId="19" fillId="0" borderId="160"/>
    <xf numFmtId="338" fontId="19" fillId="0" borderId="160"/>
    <xf numFmtId="240" fontId="6" fillId="0" borderId="172">
      <alignment horizontal="right" vertical="center"/>
    </xf>
    <xf numFmtId="236" fontId="6" fillId="0" borderId="172">
      <alignment vertical="center"/>
    </xf>
    <xf numFmtId="238" fontId="6" fillId="0" borderId="172">
      <alignment vertical="center"/>
    </xf>
    <xf numFmtId="236" fontId="6" fillId="0" borderId="172">
      <alignment vertical="center"/>
    </xf>
    <xf numFmtId="240" fontId="6" fillId="0" borderId="172">
      <alignment horizontal="right" vertical="center"/>
    </xf>
    <xf numFmtId="3" fontId="57" fillId="0" borderId="181"/>
    <xf numFmtId="0" fontId="94" fillId="0" borderId="198">
      <alignment horizontal="centerContinuous" vertical="center"/>
    </xf>
    <xf numFmtId="191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28" fontId="117" fillId="0" borderId="171" applyBorder="0">
      <alignment vertical="center" wrapText="1"/>
    </xf>
    <xf numFmtId="237" fontId="6" fillId="0" borderId="196">
      <alignment vertical="center"/>
    </xf>
    <xf numFmtId="0" fontId="6" fillId="0" borderId="198">
      <alignment horizontal="centerContinuous" vertical="center"/>
    </xf>
    <xf numFmtId="231" fontId="117" fillId="0" borderId="148">
      <alignment vertical="center"/>
    </xf>
    <xf numFmtId="191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242" fontId="6" fillId="0" borderId="124">
      <alignment horizontal="right" vertical="center"/>
    </xf>
    <xf numFmtId="236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0" fontId="9" fillId="0" borderId="127">
      <alignment horizontal="distributed"/>
    </xf>
    <xf numFmtId="0" fontId="9" fillId="0" borderId="127">
      <alignment horizontal="distributed"/>
    </xf>
    <xf numFmtId="0" fontId="9" fillId="0" borderId="127">
      <alignment horizontal="distributed"/>
    </xf>
    <xf numFmtId="0" fontId="9" fillId="0" borderId="127">
      <alignment horizontal="distributed"/>
    </xf>
    <xf numFmtId="0" fontId="9" fillId="0" borderId="127">
      <alignment horizontal="distributed"/>
    </xf>
    <xf numFmtId="0" fontId="9" fillId="0" borderId="127">
      <alignment horizontal="distributed"/>
    </xf>
    <xf numFmtId="0" fontId="9" fillId="0" borderId="127">
      <alignment horizontal="distributed"/>
    </xf>
    <xf numFmtId="3" fontId="57" fillId="0" borderId="181"/>
    <xf numFmtId="0" fontId="6" fillId="0" borderId="198">
      <alignment horizontal="centerContinuous" vertical="center"/>
    </xf>
    <xf numFmtId="200" fontId="6" fillId="0" borderId="196">
      <alignment vertical="center"/>
    </xf>
    <xf numFmtId="0" fontId="50" fillId="3" borderId="125">
      <alignment vertical="center"/>
    </xf>
    <xf numFmtId="0" fontId="50" fillId="3" borderId="125">
      <alignment vertical="center"/>
    </xf>
    <xf numFmtId="218" fontId="9" fillId="0" borderId="126">
      <alignment horizontal="centerContinuous" vertical="center"/>
    </xf>
    <xf numFmtId="203" fontId="176" fillId="0" borderId="128" applyFill="0" applyProtection="0">
      <alignment horizontal="center"/>
    </xf>
    <xf numFmtId="0" fontId="185" fillId="22" borderId="131" applyNumberFormat="0" applyAlignment="0" applyProtection="0">
      <alignment vertical="center"/>
    </xf>
    <xf numFmtId="0" fontId="153" fillId="22" borderId="132" applyNumberFormat="0" applyAlignment="0" applyProtection="0">
      <alignment vertical="center"/>
    </xf>
    <xf numFmtId="0" fontId="54" fillId="28" borderId="133" applyNumberFormat="0" applyFont="0" applyAlignment="0" applyProtection="0">
      <alignment vertical="center"/>
    </xf>
    <xf numFmtId="0" fontId="54" fillId="28" borderId="133" applyNumberFormat="0" applyFont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186" fontId="14" fillId="0" borderId="130"/>
    <xf numFmtId="0" fontId="54" fillId="28" borderId="133" applyNumberFormat="0" applyFont="0" applyAlignment="0" applyProtection="0">
      <alignment vertical="center"/>
    </xf>
    <xf numFmtId="200" fontId="6" fillId="0" borderId="196">
      <alignment vertical="center"/>
    </xf>
    <xf numFmtId="0" fontId="224" fillId="0" borderId="126">
      <alignment horizontal="centerContinuous" vertical="center"/>
    </xf>
    <xf numFmtId="200" fontId="6" fillId="0" borderId="136">
      <alignment vertical="center"/>
    </xf>
    <xf numFmtId="0" fontId="153" fillId="22" borderId="177" applyNumberFormat="0" applyAlignment="0" applyProtection="0">
      <alignment vertical="center"/>
    </xf>
    <xf numFmtId="218" fontId="9" fillId="0" borderId="183">
      <alignment horizontal="centerContinuous" vertical="center"/>
    </xf>
    <xf numFmtId="218" fontId="9" fillId="0" borderId="183">
      <alignment horizontal="centerContinuous" vertical="center"/>
    </xf>
    <xf numFmtId="200" fontId="6" fillId="0" borderId="172">
      <alignment vertical="center"/>
    </xf>
    <xf numFmtId="200" fontId="6" fillId="0" borderId="181">
      <alignment vertical="center"/>
    </xf>
    <xf numFmtId="176" fontId="6" fillId="0" borderId="181">
      <alignment vertical="center"/>
    </xf>
    <xf numFmtId="0" fontId="159" fillId="0" borderId="134" applyNumberFormat="0" applyFill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159" fillId="0" borderId="134" applyNumberFormat="0" applyFill="0" applyAlignment="0" applyProtection="0">
      <alignment vertical="center"/>
    </xf>
    <xf numFmtId="0" fontId="92" fillId="0" borderId="196"/>
    <xf numFmtId="0" fontId="92" fillId="0" borderId="196"/>
    <xf numFmtId="0" fontId="6" fillId="0" borderId="196">
      <alignment horizontal="right" vertical="center" shrinkToFit="1"/>
    </xf>
    <xf numFmtId="0" fontId="134" fillId="0" borderId="172">
      <alignment vertical="center"/>
    </xf>
    <xf numFmtId="3" fontId="57" fillId="0" borderId="196"/>
    <xf numFmtId="206" fontId="6" fillId="0" borderId="181">
      <alignment vertical="center"/>
    </xf>
    <xf numFmtId="0" fontId="57" fillId="28" borderId="193" applyNumberFormat="0" applyFont="0" applyAlignment="0" applyProtection="0">
      <alignment vertical="center"/>
    </xf>
    <xf numFmtId="200" fontId="6" fillId="0" borderId="160">
      <alignment vertical="center"/>
    </xf>
    <xf numFmtId="238" fontId="6" fillId="0" borderId="196">
      <alignment vertical="center"/>
    </xf>
    <xf numFmtId="191" fontId="6" fillId="0" borderId="172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240" fontId="6" fillId="0" borderId="160">
      <alignment horizontal="right" vertical="center"/>
    </xf>
    <xf numFmtId="240" fontId="6" fillId="0" borderId="160">
      <alignment horizontal="right" vertical="center"/>
    </xf>
    <xf numFmtId="176" fontId="6" fillId="0" borderId="196">
      <alignment vertical="center"/>
    </xf>
    <xf numFmtId="236" fontId="6" fillId="0" borderId="160">
      <alignment vertical="center"/>
    </xf>
    <xf numFmtId="238" fontId="6" fillId="0" borderId="160">
      <alignment vertical="center"/>
    </xf>
    <xf numFmtId="237" fontId="6" fillId="0" borderId="160">
      <alignment vertical="center"/>
    </xf>
    <xf numFmtId="237" fontId="6" fillId="0" borderId="160">
      <alignment vertical="center"/>
    </xf>
    <xf numFmtId="236" fontId="6" fillId="0" borderId="160">
      <alignment vertical="center"/>
    </xf>
    <xf numFmtId="0" fontId="6" fillId="0" borderId="196">
      <alignment vertical="center"/>
    </xf>
    <xf numFmtId="0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200" fontId="6" fillId="0" borderId="196">
      <alignment vertical="center"/>
    </xf>
    <xf numFmtId="218" fontId="6" fillId="0" borderId="196">
      <alignment vertical="center"/>
    </xf>
    <xf numFmtId="249" fontId="6" fillId="0" borderId="196">
      <alignment vertical="center"/>
    </xf>
    <xf numFmtId="41" fontId="56" fillId="0" borderId="196" applyNumberFormat="0" applyFont="0" applyFill="0" applyBorder="0" applyProtection="0">
      <alignment horizontal="distributed"/>
    </xf>
    <xf numFmtId="0" fontId="94" fillId="0" borderId="198">
      <alignment horizontal="centerContinuous" vertical="center"/>
    </xf>
    <xf numFmtId="322" fontId="9" fillId="0" borderId="198">
      <alignment horizontal="centerContinuous" vertical="center"/>
    </xf>
    <xf numFmtId="176" fontId="6" fillId="0" borderId="181">
      <alignment vertical="center"/>
    </xf>
    <xf numFmtId="0" fontId="50" fillId="3" borderId="185">
      <alignment vertical="center"/>
    </xf>
    <xf numFmtId="0" fontId="94" fillId="0" borderId="183">
      <alignment horizontal="centerContinuous" vertical="center"/>
    </xf>
    <xf numFmtId="0" fontId="160" fillId="12" borderId="177" applyNumberFormat="0" applyAlignment="0" applyProtection="0">
      <alignment vertical="center"/>
    </xf>
    <xf numFmtId="0" fontId="54" fillId="28" borderId="178" applyNumberFormat="0" applyFont="0" applyAlignment="0" applyProtection="0">
      <alignment vertical="center"/>
    </xf>
    <xf numFmtId="0" fontId="153" fillId="22" borderId="177" applyNumberFormat="0" applyAlignment="0" applyProtection="0">
      <alignment vertical="center"/>
    </xf>
    <xf numFmtId="0" fontId="9" fillId="0" borderId="172">
      <alignment horizontal="distributed" vertical="center"/>
    </xf>
    <xf numFmtId="0" fontId="92" fillId="0" borderId="172"/>
    <xf numFmtId="0" fontId="186" fillId="0" borderId="124" applyProtection="0">
      <alignment vertical="center"/>
    </xf>
    <xf numFmtId="41" fontId="56" fillId="0" borderId="172" applyNumberFormat="0" applyFont="0" applyFill="0" applyBorder="0" applyProtection="0">
      <alignment horizontal="distributed"/>
    </xf>
    <xf numFmtId="0" fontId="6" fillId="0" borderId="172">
      <alignment horizontal="right" vertical="center" shrinkToFit="1"/>
    </xf>
    <xf numFmtId="234" fontId="117" fillId="0" borderId="172">
      <alignment vertical="center"/>
    </xf>
    <xf numFmtId="10" fontId="39" fillId="2" borderId="172" applyNumberFormat="0" applyBorder="0" applyAlignment="0" applyProtection="0"/>
    <xf numFmtId="3" fontId="57" fillId="0" borderId="172"/>
    <xf numFmtId="0" fontId="184" fillId="0" borderId="124" applyFill="0" applyBorder="0" applyProtection="0">
      <alignment vertical="center"/>
    </xf>
    <xf numFmtId="10" fontId="39" fillId="2" borderId="208" applyNumberFormat="0" applyBorder="0" applyAlignment="0" applyProtection="0"/>
    <xf numFmtId="206" fontId="6" fillId="0" borderId="172">
      <alignment vertical="center"/>
    </xf>
    <xf numFmtId="0" fontId="117" fillId="0" borderId="218">
      <alignment horizontal="centerContinuous" vertical="center"/>
    </xf>
    <xf numFmtId="0" fontId="56" fillId="0" borderId="172"/>
    <xf numFmtId="256" fontId="117" fillId="0" borderId="160" applyBorder="0">
      <alignment vertical="center"/>
    </xf>
    <xf numFmtId="338" fontId="19" fillId="0" borderId="160"/>
    <xf numFmtId="322" fontId="9" fillId="0" borderId="198">
      <alignment horizontal="centerContinuous" vertical="center"/>
    </xf>
    <xf numFmtId="176" fontId="6" fillId="0" borderId="196">
      <alignment vertical="center"/>
    </xf>
    <xf numFmtId="206" fontId="6" fillId="0" borderId="196">
      <alignment vertical="center"/>
    </xf>
    <xf numFmtId="230" fontId="6" fillId="0" borderId="172">
      <alignment vertical="center"/>
    </xf>
    <xf numFmtId="338" fontId="19" fillId="0" borderId="208"/>
    <xf numFmtId="200" fontId="6" fillId="0" borderId="181">
      <alignment vertical="center"/>
    </xf>
    <xf numFmtId="206" fontId="6" fillId="0" borderId="181">
      <alignment vertical="center"/>
    </xf>
    <xf numFmtId="218" fontId="9" fillId="0" borderId="186">
      <alignment horizontal="centerContinuous" vertical="center"/>
    </xf>
    <xf numFmtId="3" fontId="57" fillId="0" borderId="160"/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0" fontId="6" fillId="0" borderId="160">
      <alignment horizontal="right" vertical="center" shrinkToFit="1"/>
    </xf>
    <xf numFmtId="41" fontId="56" fillId="0" borderId="160" applyNumberFormat="0" applyFont="0" applyFill="0" applyBorder="0" applyProtection="0">
      <alignment horizontal="distributed"/>
    </xf>
    <xf numFmtId="3" fontId="56" fillId="0" borderId="160"/>
    <xf numFmtId="3" fontId="56" fillId="0" borderId="160"/>
    <xf numFmtId="0" fontId="56" fillId="0" borderId="160"/>
    <xf numFmtId="0" fontId="92" fillId="0" borderId="160"/>
    <xf numFmtId="0" fontId="41" fillId="0" borderId="197">
      <alignment horizontal="left"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322" fontId="9" fillId="0" borderId="218">
      <alignment horizontal="centerContinuous" vertical="center"/>
    </xf>
    <xf numFmtId="257" fontId="117" fillId="0" borderId="136" applyBorder="0">
      <alignment horizontal="left" vertical="center"/>
    </xf>
    <xf numFmtId="0" fontId="41" fillId="0" borderId="184">
      <alignment horizontal="left" vertical="center"/>
    </xf>
    <xf numFmtId="236" fontId="6" fillId="0" borderId="148">
      <alignment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94" fillId="0" borderId="198">
      <alignment horizontal="centerContinuous" vertical="center"/>
    </xf>
    <xf numFmtId="230" fontId="6" fillId="0" borderId="181">
      <alignment vertical="center"/>
    </xf>
    <xf numFmtId="3" fontId="57" fillId="0" borderId="181"/>
    <xf numFmtId="200" fontId="6" fillId="0" borderId="148">
      <alignment vertical="center"/>
    </xf>
    <xf numFmtId="200" fontId="6" fillId="0" borderId="148">
      <alignment vertical="center"/>
    </xf>
    <xf numFmtId="191" fontId="6" fillId="0" borderId="148">
      <alignment vertical="center"/>
    </xf>
    <xf numFmtId="228" fontId="117" fillId="0" borderId="159" applyBorder="0">
      <alignment vertical="center" wrapText="1"/>
    </xf>
    <xf numFmtId="240" fontId="6" fillId="0" borderId="181">
      <alignment horizontal="right" vertical="center"/>
    </xf>
    <xf numFmtId="240" fontId="6" fillId="0" borderId="181">
      <alignment horizontal="right" vertical="center"/>
    </xf>
    <xf numFmtId="322" fontId="9" fillId="0" borderId="183">
      <alignment horizontal="centerContinuous" vertical="center"/>
    </xf>
    <xf numFmtId="0" fontId="6" fillId="0" borderId="183">
      <alignment horizontal="centerContinuous" vertical="center"/>
    </xf>
    <xf numFmtId="238" fontId="6" fillId="0" borderId="172">
      <alignment vertical="center"/>
    </xf>
    <xf numFmtId="240" fontId="6" fillId="0" borderId="172">
      <alignment horizontal="right" vertical="center"/>
    </xf>
    <xf numFmtId="200" fontId="6" fillId="0" borderId="172">
      <alignment vertical="center"/>
    </xf>
    <xf numFmtId="0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94" fillId="0" borderId="138">
      <alignment horizontal="centerContinuous" vertical="center"/>
    </xf>
    <xf numFmtId="0" fontId="6" fillId="0" borderId="138">
      <alignment horizontal="centerContinuous" vertical="center"/>
    </xf>
    <xf numFmtId="242" fontId="6" fillId="0" borderId="172">
      <alignment horizontal="right" vertical="center"/>
    </xf>
    <xf numFmtId="0" fontId="186" fillId="0" borderId="148" applyProtection="0">
      <alignment vertical="center"/>
    </xf>
    <xf numFmtId="234" fontId="117" fillId="0" borderId="216">
      <alignment vertical="center"/>
    </xf>
    <xf numFmtId="37" fontId="117" fillId="0" borderId="136">
      <alignment horizontal="center" vertical="distributed"/>
    </xf>
    <xf numFmtId="10" fontId="39" fillId="2" borderId="196" applyNumberFormat="0" applyBorder="0" applyAlignment="0" applyProtection="0"/>
    <xf numFmtId="243" fontId="117" fillId="0" borderId="216">
      <alignment vertical="center"/>
    </xf>
    <xf numFmtId="244" fontId="117" fillId="0" borderId="208">
      <alignment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86">
      <alignment horizontal="centerContinuous" vertical="center"/>
    </xf>
    <xf numFmtId="0" fontId="41" fillId="0" borderId="185">
      <alignment horizontal="left" vertical="center"/>
    </xf>
    <xf numFmtId="0" fontId="41" fillId="0" borderId="185">
      <alignment horizontal="left" vertical="center"/>
    </xf>
    <xf numFmtId="0" fontId="41" fillId="0" borderId="185">
      <alignment horizontal="left" vertical="center"/>
    </xf>
    <xf numFmtId="241" fontId="6" fillId="0" borderId="181">
      <alignment horizontal="right" vertical="center"/>
    </xf>
    <xf numFmtId="0" fontId="153" fillId="22" borderId="192" applyNumberFormat="0" applyAlignment="0" applyProtection="0">
      <alignment vertical="center"/>
    </xf>
    <xf numFmtId="3" fontId="57" fillId="0" borderId="196"/>
    <xf numFmtId="185" fontId="8" fillId="0" borderId="196">
      <alignment vertical="center"/>
    </xf>
    <xf numFmtId="250" fontId="117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41" fontId="56" fillId="0" borderId="181" applyNumberFormat="0" applyFont="0" applyFill="0" applyBorder="0" applyProtection="0">
      <alignment horizontal="distributed"/>
    </xf>
    <xf numFmtId="0" fontId="56" fillId="0" borderId="181"/>
    <xf numFmtId="0" fontId="6" fillId="0" borderId="198">
      <alignment horizontal="centerContinuous" vertical="center"/>
    </xf>
    <xf numFmtId="0" fontId="94" fillId="0" borderId="198">
      <alignment horizontal="centerContinuous" vertical="center"/>
    </xf>
    <xf numFmtId="3" fontId="57" fillId="0" borderId="216"/>
    <xf numFmtId="0" fontId="159" fillId="0" borderId="179" applyNumberFormat="0" applyFill="0" applyAlignment="0" applyProtection="0">
      <alignment vertical="center"/>
    </xf>
    <xf numFmtId="0" fontId="6" fillId="0" borderId="218">
      <alignment horizontal="centerContinuous" vertical="center"/>
    </xf>
    <xf numFmtId="221" fontId="117" fillId="0" borderId="148">
      <alignment vertical="center"/>
    </xf>
    <xf numFmtId="3" fontId="57" fillId="0" borderId="148"/>
    <xf numFmtId="236" fontId="6" fillId="0" borderId="196">
      <alignment vertical="center"/>
    </xf>
    <xf numFmtId="240" fontId="6" fillId="0" borderId="160">
      <alignment horizontal="right" vertical="center"/>
    </xf>
    <xf numFmtId="240" fontId="6" fillId="0" borderId="160">
      <alignment horizontal="right" vertical="center"/>
    </xf>
    <xf numFmtId="236" fontId="6" fillId="0" borderId="160">
      <alignment vertical="center"/>
    </xf>
    <xf numFmtId="3" fontId="57" fillId="0" borderId="148"/>
    <xf numFmtId="3" fontId="57" fillId="0" borderId="148"/>
    <xf numFmtId="0" fontId="82" fillId="0" borderId="148"/>
    <xf numFmtId="0" fontId="41" fillId="0" borderId="149">
      <alignment horizontal="left" vertical="center"/>
    </xf>
    <xf numFmtId="10" fontId="39" fillId="4" borderId="148" applyNumberFormat="0" applyBorder="0" applyAlignment="0" applyProtection="0"/>
    <xf numFmtId="0" fontId="50" fillId="3" borderId="149">
      <alignment vertical="center"/>
    </xf>
    <xf numFmtId="0" fontId="11" fillId="0" borderId="148" applyNumberFormat="0" applyFont="0" applyFill="0" applyAlignment="0" applyProtection="0">
      <alignment horizontal="center" vertical="center"/>
    </xf>
    <xf numFmtId="3" fontId="56" fillId="0" borderId="148"/>
    <xf numFmtId="0" fontId="56" fillId="0" borderId="148"/>
    <xf numFmtId="0" fontId="92" fillId="0" borderId="148"/>
    <xf numFmtId="0" fontId="50" fillId="3" borderId="149">
      <alignment vertical="center"/>
    </xf>
    <xf numFmtId="0" fontId="9" fillId="0" borderId="198">
      <alignment horizontal="centerContinuous" vertical="center"/>
    </xf>
    <xf numFmtId="0" fontId="6" fillId="0" borderId="148" applyNumberFormat="0" applyFill="0" applyProtection="0">
      <alignment vertical="center"/>
    </xf>
    <xf numFmtId="322" fontId="9" fillId="0" borderId="198">
      <alignment horizontal="centerContinuous" vertical="center"/>
    </xf>
    <xf numFmtId="256" fontId="117" fillId="0" borderId="148" applyBorder="0">
      <alignment vertical="center"/>
    </xf>
    <xf numFmtId="256" fontId="117" fillId="0" borderId="148" applyBorder="0">
      <alignment vertical="center"/>
    </xf>
    <xf numFmtId="256" fontId="117" fillId="0" borderId="148" applyBorder="0">
      <alignment vertical="center"/>
    </xf>
    <xf numFmtId="256" fontId="117" fillId="0" borderId="148" applyBorder="0">
      <alignment vertical="center"/>
    </xf>
    <xf numFmtId="236" fontId="6" fillId="0" borderId="148">
      <alignment vertical="center"/>
    </xf>
    <xf numFmtId="0" fontId="9" fillId="0" borderId="148">
      <alignment horizontal="distributed" vertical="center"/>
    </xf>
    <xf numFmtId="0" fontId="9" fillId="0" borderId="148">
      <alignment horizontal="distributed" vertical="center"/>
    </xf>
    <xf numFmtId="0" fontId="9" fillId="0" borderId="148">
      <alignment horizontal="distributed" vertical="center"/>
    </xf>
    <xf numFmtId="0" fontId="9" fillId="0" borderId="148">
      <alignment horizontal="distributed" vertical="center"/>
    </xf>
    <xf numFmtId="0" fontId="9" fillId="0" borderId="148">
      <alignment horizontal="distributed" vertical="center"/>
    </xf>
    <xf numFmtId="0" fontId="9" fillId="0" borderId="148">
      <alignment horizontal="distributed" vertical="center"/>
    </xf>
    <xf numFmtId="0" fontId="9" fillId="0" borderId="151">
      <alignment horizontal="distributed"/>
    </xf>
    <xf numFmtId="0" fontId="9" fillId="0" borderId="151">
      <alignment horizontal="distributed"/>
    </xf>
    <xf numFmtId="0" fontId="9" fillId="0" borderId="151">
      <alignment horizontal="distributed"/>
    </xf>
    <xf numFmtId="0" fontId="9" fillId="0" borderId="151">
      <alignment horizontal="distributed"/>
    </xf>
    <xf numFmtId="0" fontId="9" fillId="0" borderId="151">
      <alignment horizontal="distributed"/>
    </xf>
    <xf numFmtId="0" fontId="9" fillId="0" borderId="151">
      <alignment horizontal="distributed"/>
    </xf>
    <xf numFmtId="0" fontId="9" fillId="0" borderId="151">
      <alignment horizontal="distributed"/>
    </xf>
    <xf numFmtId="185" fontId="9" fillId="0" borderId="148">
      <alignment horizontal="center" vertical="center"/>
    </xf>
    <xf numFmtId="338" fontId="19" fillId="0" borderId="148"/>
    <xf numFmtId="338" fontId="19" fillId="0" borderId="148"/>
    <xf numFmtId="338" fontId="19" fillId="0" borderId="148"/>
    <xf numFmtId="338" fontId="19" fillId="0" borderId="148"/>
    <xf numFmtId="338" fontId="19" fillId="0" borderId="148"/>
    <xf numFmtId="338" fontId="19" fillId="0" borderId="148"/>
    <xf numFmtId="3" fontId="57" fillId="0" borderId="216"/>
    <xf numFmtId="0" fontId="6" fillId="0" borderId="148" applyNumberFormat="0" applyFill="0" applyProtection="0">
      <alignment vertical="center"/>
    </xf>
    <xf numFmtId="0" fontId="50" fillId="3" borderId="149">
      <alignment vertical="center"/>
    </xf>
    <xf numFmtId="0" fontId="50" fillId="3" borderId="149">
      <alignment vertical="center"/>
    </xf>
    <xf numFmtId="218" fontId="9" fillId="0" borderId="150">
      <alignment horizontal="centerContinuous" vertical="center"/>
    </xf>
    <xf numFmtId="203" fontId="176" fillId="0" borderId="152" applyFill="0" applyProtection="0">
      <alignment horizontal="center"/>
    </xf>
    <xf numFmtId="0" fontId="185" fillId="22" borderId="155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0" fontId="54" fillId="28" borderId="157" applyNumberFormat="0" applyFont="0" applyAlignment="0" applyProtection="0">
      <alignment vertical="center"/>
    </xf>
    <xf numFmtId="0" fontId="54" fillId="28" borderId="157" applyNumberFormat="0" applyFont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186" fontId="14" fillId="0" borderId="154"/>
    <xf numFmtId="0" fontId="54" fillId="28" borderId="157" applyNumberFormat="0" applyFont="0" applyAlignment="0" applyProtection="0">
      <alignment vertical="center"/>
    </xf>
    <xf numFmtId="0" fontId="224" fillId="0" borderId="150">
      <alignment horizontal="centerContinuous" vertical="center"/>
    </xf>
    <xf numFmtId="0" fontId="6" fillId="0" borderId="186">
      <alignment horizontal="centerContinuous" vertical="center"/>
    </xf>
    <xf numFmtId="206" fontId="6" fillId="0" borderId="160">
      <alignment vertical="center"/>
    </xf>
    <xf numFmtId="206" fontId="6" fillId="0" borderId="160">
      <alignment vertical="center"/>
    </xf>
    <xf numFmtId="241" fontId="6" fillId="0" borderId="196">
      <alignment horizontal="right" vertical="center"/>
    </xf>
    <xf numFmtId="242" fontId="6" fillId="0" borderId="160">
      <alignment horizontal="right" vertical="center"/>
    </xf>
    <xf numFmtId="3" fontId="57" fillId="0" borderId="160"/>
    <xf numFmtId="3" fontId="56" fillId="0" borderId="160"/>
    <xf numFmtId="0" fontId="50" fillId="3" borderId="161">
      <alignment vertical="center"/>
    </xf>
    <xf numFmtId="218" fontId="9" fillId="0" borderId="162">
      <alignment horizontal="centerContinuous" vertical="center"/>
    </xf>
    <xf numFmtId="203" fontId="176" fillId="0" borderId="164" applyFill="0" applyProtection="0">
      <alignment horizontal="center"/>
    </xf>
    <xf numFmtId="0" fontId="185" fillId="22" borderId="167" applyNumberFormat="0" applyAlignment="0" applyProtection="0">
      <alignment vertical="center"/>
    </xf>
    <xf numFmtId="0" fontId="153" fillId="22" borderId="168" applyNumberFormat="0" applyAlignment="0" applyProtection="0">
      <alignment vertical="center"/>
    </xf>
    <xf numFmtId="0" fontId="54" fillId="28" borderId="169" applyNumberFormat="0" applyFont="0" applyAlignment="0" applyProtection="0">
      <alignment vertical="center"/>
    </xf>
    <xf numFmtId="0" fontId="54" fillId="28" borderId="169" applyNumberFormat="0" applyFont="0" applyAlignment="0" applyProtection="0">
      <alignment vertical="center"/>
    </xf>
    <xf numFmtId="0" fontId="159" fillId="0" borderId="170" applyNumberFormat="0" applyFill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0" fontId="165" fillId="22" borderId="167" applyNumberFormat="0" applyAlignment="0" applyProtection="0">
      <alignment vertical="center"/>
    </xf>
    <xf numFmtId="186" fontId="14" fillId="0" borderId="166"/>
    <xf numFmtId="0" fontId="54" fillId="28" borderId="169" applyNumberFormat="0" applyFont="0" applyAlignment="0" applyProtection="0">
      <alignment vertical="center"/>
    </xf>
    <xf numFmtId="0" fontId="165" fillId="22" borderId="167" applyNumberFormat="0" applyAlignment="0" applyProtection="0">
      <alignment vertical="center"/>
    </xf>
    <xf numFmtId="0" fontId="224" fillId="0" borderId="162">
      <alignment horizontal="centerContinuous" vertical="center"/>
    </xf>
    <xf numFmtId="0" fontId="159" fillId="0" borderId="170" applyNumberFormat="0" applyFill="0" applyAlignment="0" applyProtection="0">
      <alignment vertical="center"/>
    </xf>
    <xf numFmtId="0" fontId="6" fillId="28" borderId="169" applyNumberFormat="0" applyFont="0" applyAlignment="0" applyProtection="0">
      <alignment vertical="center"/>
    </xf>
    <xf numFmtId="0" fontId="153" fillId="22" borderId="168" applyNumberFormat="0" applyAlignment="0" applyProtection="0">
      <alignment vertical="center"/>
    </xf>
    <xf numFmtId="0" fontId="153" fillId="22" borderId="168" applyNumberFormat="0" applyAlignment="0" applyProtection="0">
      <alignment vertical="center"/>
    </xf>
    <xf numFmtId="0" fontId="153" fillId="22" borderId="168" applyNumberFormat="0" applyAlignment="0" applyProtection="0">
      <alignment vertical="center"/>
    </xf>
    <xf numFmtId="0" fontId="94" fillId="0" borderId="198">
      <alignment horizontal="centerContinuous" vertical="center"/>
    </xf>
    <xf numFmtId="0" fontId="117" fillId="0" borderId="198">
      <alignment horizontal="centerContinuous"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185" fontId="8" fillId="0" borderId="216">
      <alignment vertical="center"/>
    </xf>
    <xf numFmtId="0" fontId="117" fillId="0" borderId="218">
      <alignment horizontal="centerContinuous" vertical="center"/>
    </xf>
    <xf numFmtId="0" fontId="117" fillId="0" borderId="218">
      <alignment horizontal="centerContinuous" vertical="center"/>
    </xf>
    <xf numFmtId="322" fontId="9" fillId="0" borderId="218">
      <alignment horizontal="centerContinuous" vertical="center"/>
    </xf>
    <xf numFmtId="0" fontId="9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218" fontId="9" fillId="0" borderId="218">
      <alignment horizontal="centerContinuous" vertical="center"/>
    </xf>
    <xf numFmtId="3" fontId="57" fillId="0" borderId="216"/>
    <xf numFmtId="3" fontId="57" fillId="0" borderId="216"/>
    <xf numFmtId="0" fontId="117" fillId="0" borderId="218">
      <alignment horizontal="centerContinuous" vertical="center"/>
    </xf>
    <xf numFmtId="0" fontId="6" fillId="0" borderId="216" applyNumberFormat="0" applyFill="0" applyProtection="0">
      <alignment vertical="center"/>
    </xf>
    <xf numFmtId="0" fontId="11" fillId="0" borderId="216" applyNumberFormat="0" applyFont="0" applyFill="0" applyAlignment="0" applyProtection="0">
      <alignment horizontal="center" vertical="center"/>
    </xf>
    <xf numFmtId="0" fontId="50" fillId="3" borderId="161">
      <alignment vertical="center"/>
    </xf>
    <xf numFmtId="236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41" fontId="135" fillId="0" borderId="124" applyNumberFormat="0">
      <alignment vertical="center"/>
    </xf>
    <xf numFmtId="338" fontId="19" fillId="0" borderId="196"/>
    <xf numFmtId="0" fontId="94" fillId="0" borderId="162">
      <alignment horizontal="centerContinuous" vertical="center"/>
    </xf>
    <xf numFmtId="0" fontId="232" fillId="0" borderId="181" applyFont="0" applyFill="0" applyBorder="0" applyAlignment="0" applyProtection="0">
      <alignment horizontal="centerContinuous" vertical="center"/>
    </xf>
    <xf numFmtId="239" fontId="117" fillId="0" borderId="216">
      <alignment horizontal="right" vertical="center"/>
    </xf>
    <xf numFmtId="3" fontId="57" fillId="0" borderId="181"/>
    <xf numFmtId="185" fontId="8" fillId="0" borderId="181">
      <alignment vertical="center"/>
    </xf>
    <xf numFmtId="185" fontId="8" fillId="0" borderId="181">
      <alignment vertical="center"/>
    </xf>
    <xf numFmtId="185" fontId="8" fillId="0" borderId="181">
      <alignment vertical="center"/>
    </xf>
    <xf numFmtId="3" fontId="57" fillId="0" borderId="181"/>
    <xf numFmtId="239" fontId="117" fillId="0" borderId="181">
      <alignment horizontal="right" vertical="center"/>
    </xf>
    <xf numFmtId="244" fontId="117" fillId="0" borderId="181">
      <alignment vertical="center"/>
    </xf>
    <xf numFmtId="244" fontId="117" fillId="0" borderId="181">
      <alignment vertical="center"/>
    </xf>
    <xf numFmtId="41" fontId="9" fillId="0" borderId="124">
      <alignment horizontal="center" vertical="center"/>
    </xf>
    <xf numFmtId="41" fontId="56" fillId="0" borderId="181" applyNumberFormat="0" applyFont="0" applyFill="0" applyBorder="0" applyProtection="0">
      <alignment horizontal="distributed"/>
    </xf>
    <xf numFmtId="10" fontId="39" fillId="4" borderId="208" applyNumberFormat="0" applyBorder="0" applyAlignment="0" applyProtection="0"/>
    <xf numFmtId="322" fontId="9" fillId="0" borderId="183">
      <alignment horizontal="centerContinuous" vertical="center"/>
    </xf>
    <xf numFmtId="236" fontId="6" fillId="0" borderId="181">
      <alignment vertical="center"/>
    </xf>
    <xf numFmtId="236" fontId="6" fillId="0" borderId="181">
      <alignment vertical="center"/>
    </xf>
    <xf numFmtId="236" fontId="6" fillId="0" borderId="181">
      <alignment vertical="center"/>
    </xf>
    <xf numFmtId="236" fontId="6" fillId="0" borderId="172">
      <alignment vertical="center"/>
    </xf>
    <xf numFmtId="237" fontId="6" fillId="0" borderId="172">
      <alignment vertical="center"/>
    </xf>
    <xf numFmtId="191" fontId="6" fillId="0" borderId="196">
      <alignment vertical="center"/>
    </xf>
    <xf numFmtId="0" fontId="159" fillId="0" borderId="215" applyNumberFormat="0" applyFill="0" applyAlignment="0" applyProtection="0">
      <alignment vertical="center"/>
    </xf>
    <xf numFmtId="200" fontId="6" fillId="0" borderId="172">
      <alignment vertical="center"/>
    </xf>
    <xf numFmtId="249" fontId="6" fillId="0" borderId="181">
      <alignment vertical="center"/>
    </xf>
    <xf numFmtId="185" fontId="8" fillId="0" borderId="216">
      <alignment vertical="center"/>
    </xf>
    <xf numFmtId="41" fontId="135" fillId="0" borderId="112" applyNumberFormat="0">
      <alignment vertical="center"/>
    </xf>
    <xf numFmtId="0" fontId="50" fillId="3" borderId="113">
      <alignment vertical="center"/>
    </xf>
    <xf numFmtId="200" fontId="6" fillId="0" borderId="181">
      <alignment vertical="center"/>
    </xf>
    <xf numFmtId="0" fontId="41" fillId="0" borderId="184">
      <alignment horizontal="left" vertical="center"/>
    </xf>
    <xf numFmtId="10" fontId="39" fillId="4" borderId="148" applyNumberFormat="0" applyBorder="0" applyAlignment="0" applyProtection="0"/>
    <xf numFmtId="230" fontId="6" fillId="0" borderId="136">
      <alignment vertical="center"/>
    </xf>
    <xf numFmtId="230" fontId="6" fillId="0" borderId="136">
      <alignment vertical="center"/>
    </xf>
    <xf numFmtId="176" fontId="6" fillId="0" borderId="181">
      <alignment vertical="center"/>
    </xf>
    <xf numFmtId="0" fontId="224" fillId="0" borderId="186">
      <alignment horizontal="centerContinuous" vertical="center"/>
    </xf>
    <xf numFmtId="233" fontId="122" fillId="0" borderId="136" applyFill="0" applyBorder="0" applyAlignment="0"/>
    <xf numFmtId="200" fontId="6" fillId="0" borderId="148">
      <alignment vertical="center"/>
    </xf>
    <xf numFmtId="200" fontId="6" fillId="0" borderId="172">
      <alignment vertical="center"/>
    </xf>
    <xf numFmtId="0" fontId="56" fillId="0" borderId="172"/>
    <xf numFmtId="3" fontId="56" fillId="0" borderId="172"/>
    <xf numFmtId="3" fontId="56" fillId="0" borderId="172"/>
    <xf numFmtId="3" fontId="56" fillId="0" borderId="172"/>
    <xf numFmtId="41" fontId="56" fillId="0" borderId="172" applyNumberFormat="0" applyFont="0" applyFill="0" applyBorder="0" applyProtection="0">
      <alignment horizontal="distributed"/>
    </xf>
    <xf numFmtId="41" fontId="56" fillId="0" borderId="172" applyNumberFormat="0" applyFont="0" applyFill="0" applyBorder="0" applyProtection="0">
      <alignment horizontal="distributed"/>
    </xf>
    <xf numFmtId="41" fontId="56" fillId="0" borderId="172" applyNumberFormat="0" applyFont="0" applyFill="0" applyBorder="0" applyProtection="0">
      <alignment horizontal="distributed"/>
    </xf>
    <xf numFmtId="0" fontId="92" fillId="0" borderId="196"/>
    <xf numFmtId="0" fontId="6" fillId="0" borderId="172">
      <alignment horizontal="right" vertical="center" shrinkToFit="1"/>
    </xf>
    <xf numFmtId="0" fontId="6" fillId="0" borderId="172">
      <alignment horizontal="right" vertical="center" shrinkToFit="1"/>
    </xf>
    <xf numFmtId="0" fontId="6" fillId="0" borderId="172">
      <alignment horizontal="right" vertical="center" shrinkToFit="1"/>
    </xf>
    <xf numFmtId="10" fontId="39" fillId="4" borderId="196" applyNumberFormat="0" applyBorder="0" applyAlignment="0" applyProtection="0"/>
    <xf numFmtId="0" fontId="41" fillId="0" borderId="197">
      <alignment horizontal="left" vertical="center"/>
    </xf>
    <xf numFmtId="3" fontId="57" fillId="0" borderId="196"/>
    <xf numFmtId="185" fontId="9" fillId="0" borderId="196">
      <alignment horizontal="center" vertical="center"/>
    </xf>
    <xf numFmtId="0" fontId="50" fillId="3" borderId="197">
      <alignment vertical="center"/>
    </xf>
    <xf numFmtId="240" fontId="6" fillId="0" borderId="196">
      <alignment horizontal="right" vertical="center"/>
    </xf>
    <xf numFmtId="244" fontId="117" fillId="0" borderId="172">
      <alignment vertical="center"/>
    </xf>
    <xf numFmtId="244" fontId="117" fillId="0" borderId="172">
      <alignment vertical="center"/>
    </xf>
    <xf numFmtId="244" fontId="117" fillId="0" borderId="172">
      <alignment vertical="center"/>
    </xf>
    <xf numFmtId="243" fontId="117" fillId="0" borderId="172">
      <alignment vertical="center"/>
    </xf>
    <xf numFmtId="243" fontId="117" fillId="0" borderId="172">
      <alignment vertical="center"/>
    </xf>
    <xf numFmtId="243" fontId="117" fillId="0" borderId="172">
      <alignment vertical="center"/>
    </xf>
    <xf numFmtId="239" fontId="117" fillId="0" borderId="172">
      <alignment horizontal="right" vertical="center"/>
    </xf>
    <xf numFmtId="239" fontId="117" fillId="0" borderId="172">
      <alignment horizontal="right" vertical="center"/>
    </xf>
    <xf numFmtId="239" fontId="117" fillId="0" borderId="172">
      <alignment horizontal="right" vertical="center"/>
    </xf>
    <xf numFmtId="234" fontId="117" fillId="0" borderId="172">
      <alignment vertical="center"/>
    </xf>
    <xf numFmtId="234" fontId="117" fillId="0" borderId="172">
      <alignment vertical="center"/>
    </xf>
    <xf numFmtId="234" fontId="117" fillId="0" borderId="172">
      <alignment vertical="center"/>
    </xf>
    <xf numFmtId="10" fontId="39" fillId="4" borderId="172" applyNumberFormat="0" applyBorder="0" applyAlignment="0" applyProtection="0"/>
    <xf numFmtId="10" fontId="39" fillId="2" borderId="172" applyNumberFormat="0" applyBorder="0" applyAlignment="0" applyProtection="0"/>
    <xf numFmtId="10" fontId="39" fillId="2" borderId="172" applyNumberFormat="0" applyBorder="0" applyAlignment="0" applyProtection="0"/>
    <xf numFmtId="206" fontId="6" fillId="0" borderId="181">
      <alignment vertical="center"/>
    </xf>
    <xf numFmtId="256" fontId="117" fillId="0" borderId="216" applyBorder="0">
      <alignment vertical="center"/>
    </xf>
    <xf numFmtId="0" fontId="92" fillId="0" borderId="216"/>
    <xf numFmtId="0" fontId="117" fillId="0" borderId="198">
      <alignment horizontal="centerContinuous" vertical="center"/>
    </xf>
    <xf numFmtId="240" fontId="6" fillId="0" borderId="181">
      <alignment horizontal="right" vertical="center"/>
    </xf>
    <xf numFmtId="176" fontId="6" fillId="0" borderId="172">
      <alignment vertical="center"/>
    </xf>
    <xf numFmtId="200" fontId="6" fillId="0" borderId="172">
      <alignment vertical="center"/>
    </xf>
    <xf numFmtId="200" fontId="6" fillId="0" borderId="172">
      <alignment vertical="center"/>
    </xf>
    <xf numFmtId="218" fontId="6" fillId="0" borderId="172">
      <alignment vertical="center"/>
    </xf>
    <xf numFmtId="218" fontId="6" fillId="0" borderId="172">
      <alignment vertical="center"/>
    </xf>
    <xf numFmtId="244" fontId="117" fillId="0" borderId="216">
      <alignment vertical="center"/>
    </xf>
    <xf numFmtId="243" fontId="117" fillId="0" borderId="216">
      <alignment vertical="center"/>
    </xf>
    <xf numFmtId="237" fontId="6" fillId="0" borderId="160">
      <alignment vertical="center"/>
    </xf>
    <xf numFmtId="0" fontId="6" fillId="0" borderId="181">
      <alignment vertical="center"/>
    </xf>
    <xf numFmtId="230" fontId="6" fillId="0" borderId="160">
      <alignment vertical="center"/>
    </xf>
    <xf numFmtId="322" fontId="9" fillId="0" borderId="183">
      <alignment horizontal="centerContinuous" vertical="center"/>
    </xf>
    <xf numFmtId="0" fontId="117" fillId="0" borderId="183">
      <alignment horizontal="centerContinuous" vertical="center"/>
    </xf>
    <xf numFmtId="0" fontId="117" fillId="0" borderId="183">
      <alignment horizontal="centerContinuous" vertical="center"/>
    </xf>
    <xf numFmtId="0" fontId="117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41" fillId="0" borderId="184">
      <alignment horizontal="left" vertical="center"/>
    </xf>
    <xf numFmtId="0" fontId="6" fillId="0" borderId="186">
      <alignment horizontal="centerContinuous" vertical="center"/>
    </xf>
    <xf numFmtId="0" fontId="6" fillId="0" borderId="218">
      <alignment horizontal="centerContinuous" vertical="center"/>
    </xf>
    <xf numFmtId="176" fontId="6" fillId="0" borderId="172">
      <alignment vertical="center"/>
    </xf>
    <xf numFmtId="191" fontId="6" fillId="0" borderId="196">
      <alignment vertical="center"/>
    </xf>
    <xf numFmtId="3" fontId="57" fillId="0" borderId="172"/>
    <xf numFmtId="0" fontId="6" fillId="0" borderId="172" applyNumberFormat="0" applyFill="0" applyProtection="0">
      <alignment vertical="center"/>
    </xf>
    <xf numFmtId="0" fontId="56" fillId="0" borderId="216"/>
    <xf numFmtId="0" fontId="186" fillId="0" borderId="112" applyProtection="0">
      <alignment vertical="center"/>
    </xf>
    <xf numFmtId="200" fontId="6" fillId="0" borderId="160">
      <alignment vertical="center"/>
    </xf>
    <xf numFmtId="0" fontId="184" fillId="0" borderId="112" applyFill="0" applyBorder="0" applyProtection="0">
      <alignment vertical="center"/>
    </xf>
    <xf numFmtId="10" fontId="39" fillId="4" borderId="112" applyNumberFormat="0" applyBorder="0" applyAlignment="0" applyProtection="0"/>
    <xf numFmtId="249" fontId="6" fillId="0" borderId="172">
      <alignment vertical="center"/>
    </xf>
    <xf numFmtId="176" fontId="6" fillId="0" borderId="160">
      <alignment vertical="center"/>
    </xf>
    <xf numFmtId="185" fontId="8" fillId="0" borderId="160">
      <alignment vertical="center"/>
    </xf>
    <xf numFmtId="244" fontId="117" fillId="0" borderId="216">
      <alignment vertical="center"/>
    </xf>
    <xf numFmtId="239" fontId="117" fillId="0" borderId="196">
      <alignment horizontal="right" vertical="center"/>
    </xf>
    <xf numFmtId="0" fontId="94" fillId="0" borderId="162">
      <alignment horizontal="centerContinuous" vertical="center"/>
    </xf>
    <xf numFmtId="236" fontId="6" fillId="0" borderId="172">
      <alignment vertical="center"/>
    </xf>
    <xf numFmtId="236" fontId="6" fillId="0" borderId="172">
      <alignment vertical="center"/>
    </xf>
    <xf numFmtId="237" fontId="6" fillId="0" borderId="172">
      <alignment vertical="center"/>
    </xf>
    <xf numFmtId="237" fontId="6" fillId="0" borderId="172">
      <alignment vertical="center"/>
    </xf>
    <xf numFmtId="241" fontId="6" fillId="0" borderId="172">
      <alignment horizontal="right" vertical="center"/>
    </xf>
    <xf numFmtId="176" fontId="6" fillId="0" borderId="196">
      <alignment vertical="center"/>
    </xf>
    <xf numFmtId="0" fontId="9" fillId="0" borderId="208">
      <alignment horizontal="distributed" vertical="center"/>
    </xf>
    <xf numFmtId="241" fontId="6" fillId="0" borderId="181">
      <alignment horizontal="right" vertical="center"/>
    </xf>
    <xf numFmtId="236" fontId="6" fillId="0" borderId="181">
      <alignment vertical="center"/>
    </xf>
    <xf numFmtId="191" fontId="6" fillId="0" borderId="196">
      <alignment vertical="center"/>
    </xf>
    <xf numFmtId="0" fontId="159" fillId="0" borderId="215" applyNumberFormat="0" applyFill="0" applyAlignment="0" applyProtection="0">
      <alignment vertical="center"/>
    </xf>
    <xf numFmtId="322" fontId="9" fillId="0" borderId="186">
      <alignment horizontal="centerContinuous" vertical="center"/>
    </xf>
    <xf numFmtId="309" fontId="9" fillId="0" borderId="112" applyFill="0" applyBorder="0" applyAlignment="0"/>
    <xf numFmtId="256" fontId="117" fillId="0" borderId="208" applyBorder="0">
      <alignment vertical="center"/>
    </xf>
    <xf numFmtId="0" fontId="6" fillId="0" borderId="208" applyNumberFormat="0" applyFill="0" applyProtection="0">
      <alignment vertical="center"/>
    </xf>
    <xf numFmtId="10" fontId="39" fillId="2" borderId="208" applyNumberFormat="0" applyBorder="0" applyAlignment="0" applyProtection="0"/>
    <xf numFmtId="3" fontId="56" fillId="0" borderId="208"/>
    <xf numFmtId="0" fontId="92" fillId="0" borderId="208"/>
    <xf numFmtId="218" fontId="6" fillId="0" borderId="181">
      <alignment vertical="center"/>
    </xf>
    <xf numFmtId="200" fontId="6" fillId="0" borderId="181">
      <alignment vertical="center"/>
    </xf>
    <xf numFmtId="0" fontId="94" fillId="0" borderId="186">
      <alignment horizontal="centerContinuous" vertical="center"/>
    </xf>
    <xf numFmtId="185" fontId="8" fillId="0" borderId="216">
      <alignment vertical="center"/>
    </xf>
    <xf numFmtId="3" fontId="56" fillId="0" borderId="172"/>
    <xf numFmtId="242" fontId="6" fillId="0" borderId="172">
      <alignment horizontal="right" vertical="center"/>
    </xf>
    <xf numFmtId="0" fontId="50" fillId="3" borderId="184">
      <alignment vertical="center"/>
    </xf>
    <xf numFmtId="236" fontId="6" fillId="0" borderId="172">
      <alignment vertical="center"/>
    </xf>
    <xf numFmtId="238" fontId="6" fillId="0" borderId="181">
      <alignment vertical="center"/>
    </xf>
    <xf numFmtId="236" fontId="6" fillId="0" borderId="181">
      <alignment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0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117" fillId="0" borderId="186">
      <alignment horizontal="centerContinuous" vertical="center"/>
    </xf>
    <xf numFmtId="0" fontId="117" fillId="0" borderId="186">
      <alignment horizontal="centerContinuous" vertical="center"/>
    </xf>
    <xf numFmtId="0" fontId="94" fillId="0" borderId="186">
      <alignment horizontal="centerContinuous" vertical="center"/>
    </xf>
    <xf numFmtId="0" fontId="6" fillId="0" borderId="172">
      <alignment vertical="center"/>
    </xf>
    <xf numFmtId="0" fontId="159" fillId="0" borderId="225" applyNumberFormat="0" applyFill="0" applyAlignment="0" applyProtection="0">
      <alignment vertical="center"/>
    </xf>
    <xf numFmtId="243" fontId="117" fillId="0" borderId="196">
      <alignment vertical="center"/>
    </xf>
    <xf numFmtId="0" fontId="94" fillId="0" borderId="198">
      <alignment horizontal="centerContinuous" vertical="center"/>
    </xf>
    <xf numFmtId="0" fontId="94" fillId="0" borderId="186">
      <alignment horizontal="centerContinuous" vertical="center"/>
    </xf>
    <xf numFmtId="176" fontId="6" fillId="0" borderId="160">
      <alignment vertical="center"/>
    </xf>
    <xf numFmtId="241" fontId="6" fillId="0" borderId="196">
      <alignment horizontal="right" vertical="center"/>
    </xf>
    <xf numFmtId="49" fontId="117" fillId="0" borderId="160">
      <alignment horizontal="center" vertical="center"/>
    </xf>
    <xf numFmtId="221" fontId="117" fillId="0" borderId="160">
      <alignment vertical="center"/>
    </xf>
    <xf numFmtId="3" fontId="57" fillId="0" borderId="160"/>
    <xf numFmtId="3" fontId="57" fillId="0" borderId="181"/>
    <xf numFmtId="0" fontId="57" fillId="28" borderId="193" applyNumberFormat="0" applyFont="0" applyAlignment="0" applyProtection="0">
      <alignment vertical="center"/>
    </xf>
    <xf numFmtId="240" fontId="6" fillId="0" borderId="181">
      <alignment horizontal="right" vertical="center"/>
    </xf>
    <xf numFmtId="41" fontId="56" fillId="0" borderId="181" applyNumberFormat="0" applyFont="0" applyFill="0" applyBorder="0" applyProtection="0">
      <alignment horizontal="distributed"/>
    </xf>
    <xf numFmtId="0" fontId="57" fillId="28" borderId="193" applyNumberFormat="0" applyFont="0" applyAlignment="0" applyProtection="0">
      <alignment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3" fontId="57" fillId="0" borderId="196"/>
    <xf numFmtId="191" fontId="6" fillId="0" borderId="160">
      <alignment vertical="center"/>
    </xf>
    <xf numFmtId="0" fontId="56" fillId="0" borderId="148"/>
    <xf numFmtId="0" fontId="94" fillId="0" borderId="198">
      <alignment horizontal="centerContinuous" vertical="center"/>
    </xf>
    <xf numFmtId="185" fontId="235" fillId="0" borderId="172"/>
    <xf numFmtId="228" fontId="117" fillId="0" borderId="103" applyBorder="0">
      <alignment vertical="center" wrapText="1"/>
    </xf>
    <xf numFmtId="41" fontId="9" fillId="0" borderId="112">
      <alignment horizontal="center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230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191" fontId="6" fillId="0" borderId="71">
      <alignment vertical="center"/>
    </xf>
    <xf numFmtId="231" fontId="117" fillId="0" borderId="71">
      <alignment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218" fontId="9" fillId="0" borderId="138">
      <alignment horizontal="centerContinuous" vertical="center"/>
    </xf>
    <xf numFmtId="218" fontId="9" fillId="0" borderId="138">
      <alignment horizontal="centerContinuous" vertical="center"/>
    </xf>
    <xf numFmtId="218" fontId="9" fillId="0" borderId="138">
      <alignment horizontal="centerContinuous" vertical="center"/>
    </xf>
    <xf numFmtId="218" fontId="9" fillId="0" borderId="138">
      <alignment horizontal="centerContinuous" vertical="center"/>
    </xf>
    <xf numFmtId="3" fontId="57" fillId="0" borderId="136"/>
    <xf numFmtId="3" fontId="57" fillId="0" borderId="136"/>
    <xf numFmtId="3" fontId="57" fillId="0" borderId="136"/>
    <xf numFmtId="3" fontId="57" fillId="0" borderId="136"/>
    <xf numFmtId="0" fontId="6" fillId="0" borderId="136" applyNumberFormat="0" applyFill="0" applyProtection="0">
      <alignment vertical="center"/>
    </xf>
    <xf numFmtId="193" fontId="23" fillId="0" borderId="0">
      <protection locked="0"/>
    </xf>
    <xf numFmtId="176" fontId="6" fillId="0" borderId="136">
      <alignment vertical="center"/>
    </xf>
    <xf numFmtId="242" fontId="6" fillId="0" borderId="196">
      <alignment horizontal="right" vertical="center"/>
    </xf>
    <xf numFmtId="256" fontId="117" fillId="0" borderId="172" applyBorder="0">
      <alignment vertical="center"/>
    </xf>
    <xf numFmtId="240" fontId="6" fillId="0" borderId="172">
      <alignment horizontal="right" vertical="center"/>
    </xf>
    <xf numFmtId="3" fontId="56" fillId="0" borderId="216"/>
    <xf numFmtId="0" fontId="6" fillId="0" borderId="216">
      <alignment horizontal="right" vertical="center" shrinkToFit="1"/>
    </xf>
    <xf numFmtId="322" fontId="9" fillId="0" borderId="198">
      <alignment horizontal="centerContinuous" vertical="center"/>
    </xf>
    <xf numFmtId="238" fontId="6" fillId="0" borderId="172">
      <alignment vertical="center"/>
    </xf>
    <xf numFmtId="236" fontId="6" fillId="0" borderId="172">
      <alignment vertical="center"/>
    </xf>
    <xf numFmtId="206" fontId="6" fillId="0" borderId="172">
      <alignment vertical="center"/>
    </xf>
    <xf numFmtId="249" fontId="6" fillId="0" borderId="148">
      <alignment vertical="center"/>
    </xf>
    <xf numFmtId="249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247" fontId="117" fillId="0" borderId="148">
      <alignment vertical="center"/>
    </xf>
    <xf numFmtId="237" fontId="6" fillId="0" borderId="172">
      <alignment vertical="center"/>
    </xf>
    <xf numFmtId="3" fontId="57" fillId="0" borderId="216"/>
    <xf numFmtId="0" fontId="50" fillId="3" borderId="149">
      <alignment vertical="center"/>
    </xf>
    <xf numFmtId="0" fontId="94" fillId="0" borderId="183">
      <alignment horizontal="centerContinuous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0" fontId="6" fillId="0" borderId="186">
      <alignment horizontal="centerContinuous" vertical="center"/>
    </xf>
    <xf numFmtId="0" fontId="6" fillId="0" borderId="198">
      <alignment horizontal="centerContinuous" vertical="center"/>
    </xf>
    <xf numFmtId="0" fontId="50" fillId="3" borderId="197">
      <alignment vertical="center"/>
    </xf>
    <xf numFmtId="0" fontId="94" fillId="0" borderId="186">
      <alignment horizontal="centerContinuous"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3" fontId="57" fillId="0" borderId="148"/>
    <xf numFmtId="3" fontId="57" fillId="0" borderId="148"/>
    <xf numFmtId="3" fontId="57" fillId="0" borderId="148"/>
    <xf numFmtId="218" fontId="9" fillId="0" borderId="150">
      <alignment horizontal="centerContinuous" vertical="center"/>
    </xf>
    <xf numFmtId="218" fontId="9" fillId="0" borderId="150">
      <alignment horizontal="centerContinuous" vertical="center"/>
    </xf>
    <xf numFmtId="218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9" fillId="0" borderId="150">
      <alignment horizontal="centerContinuous" vertical="center"/>
    </xf>
    <xf numFmtId="0" fontId="9" fillId="0" borderId="150">
      <alignment horizontal="centerContinuous" vertical="center"/>
    </xf>
    <xf numFmtId="0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6" fillId="0" borderId="186">
      <alignment horizontal="centerContinuous" vertical="center"/>
    </xf>
    <xf numFmtId="0" fontId="94" fillId="0" borderId="198">
      <alignment horizontal="centerContinuous" vertical="center"/>
    </xf>
    <xf numFmtId="240" fontId="6" fillId="0" borderId="160">
      <alignment horizontal="right" vertical="center"/>
    </xf>
    <xf numFmtId="3" fontId="57" fillId="0" borderId="148"/>
    <xf numFmtId="3" fontId="57" fillId="0" borderId="148"/>
    <xf numFmtId="0" fontId="82" fillId="0" borderId="181"/>
    <xf numFmtId="234" fontId="117" fillId="0" borderId="181">
      <alignment vertical="center"/>
    </xf>
    <xf numFmtId="0" fontId="6" fillId="0" borderId="148">
      <alignment horizontal="right" vertical="center" shrinkToFit="1"/>
    </xf>
    <xf numFmtId="218" fontId="6" fillId="0" borderId="160">
      <alignment vertical="center"/>
    </xf>
    <xf numFmtId="0" fontId="94" fillId="0" borderId="162">
      <alignment horizontal="centerContinuous" vertical="center"/>
    </xf>
    <xf numFmtId="230" fontId="6" fillId="0" borderId="181">
      <alignment vertical="center"/>
    </xf>
    <xf numFmtId="176" fontId="6" fillId="0" borderId="181">
      <alignment vertical="center"/>
    </xf>
    <xf numFmtId="200" fontId="6" fillId="0" borderId="181">
      <alignment vertical="center"/>
    </xf>
    <xf numFmtId="250" fontId="117" fillId="0" borderId="181">
      <alignment vertical="center"/>
    </xf>
    <xf numFmtId="200" fontId="6" fillId="0" borderId="160">
      <alignment vertical="center"/>
    </xf>
    <xf numFmtId="0" fontId="6" fillId="0" borderId="160">
      <alignment vertical="center"/>
    </xf>
    <xf numFmtId="0" fontId="117" fillId="0" borderId="198">
      <alignment horizontal="centerContinuous" vertical="center"/>
    </xf>
    <xf numFmtId="176" fontId="6" fillId="0" borderId="172">
      <alignment vertical="center"/>
    </xf>
    <xf numFmtId="10" fontId="39" fillId="2" borderId="216" applyNumberFormat="0" applyBorder="0" applyAlignment="0" applyProtection="0"/>
    <xf numFmtId="233" fontId="122" fillId="0" borderId="71" applyFill="0" applyBorder="0" applyAlignment="0"/>
    <xf numFmtId="37" fontId="117" fillId="0" borderId="71">
      <alignment horizontal="center" vertical="distributed"/>
    </xf>
    <xf numFmtId="0" fontId="6" fillId="0" borderId="148">
      <alignment vertical="center"/>
    </xf>
    <xf numFmtId="0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248" fontId="117" fillId="0" borderId="148">
      <alignment vertical="center"/>
    </xf>
    <xf numFmtId="0" fontId="50" fillId="3" borderId="184">
      <alignment vertical="center"/>
    </xf>
    <xf numFmtId="0" fontId="94" fillId="0" borderId="183">
      <alignment horizontal="centerContinuous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0" fontId="41" fillId="0" borderId="102">
      <alignment horizontal="lef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0" fontId="6" fillId="0" borderId="148">
      <alignment horizontal="right" vertical="center"/>
    </xf>
    <xf numFmtId="235" fontId="117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7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8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71">
      <alignment vertical="center"/>
    </xf>
    <xf numFmtId="236" fontId="6" fillId="0" borderId="148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1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2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240" fontId="6" fillId="0" borderId="71">
      <alignment horizontal="right" vertical="center"/>
    </xf>
    <xf numFmtId="0" fontId="117" fillId="0" borderId="150">
      <alignment horizontal="centerContinuous" vertical="center"/>
    </xf>
    <xf numFmtId="218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9" fillId="0" borderId="150">
      <alignment horizontal="centerContinuous" vertical="center"/>
    </xf>
    <xf numFmtId="0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322" fontId="9" fillId="0" borderId="150">
      <alignment horizontal="centerContinuous" vertical="center"/>
    </xf>
    <xf numFmtId="0" fontId="50" fillId="3" borderId="102">
      <alignment vertical="center"/>
    </xf>
    <xf numFmtId="246" fontId="117" fillId="0" borderId="71">
      <alignment vertical="center"/>
    </xf>
    <xf numFmtId="240" fontId="6" fillId="0" borderId="160">
      <alignment horizontal="right" vertical="center"/>
    </xf>
    <xf numFmtId="49" fontId="117" fillId="0" borderId="71">
      <alignment horizontal="center" vertical="center"/>
    </xf>
    <xf numFmtId="247" fontId="117" fillId="0" borderId="71">
      <alignment vertical="center"/>
    </xf>
    <xf numFmtId="248" fontId="117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206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0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176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18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49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00" fontId="6" fillId="0" borderId="71">
      <alignment vertical="center"/>
    </xf>
    <xf numFmtId="250" fontId="117" fillId="0" borderId="71">
      <alignment vertical="center"/>
    </xf>
    <xf numFmtId="0" fontId="6" fillId="0" borderId="148">
      <alignment horizontal="right" vertical="center" shrinkToFit="1"/>
    </xf>
    <xf numFmtId="206" fontId="6" fillId="0" borderId="160">
      <alignment vertical="center"/>
    </xf>
    <xf numFmtId="241" fontId="6" fillId="0" borderId="181">
      <alignment horizontal="right" vertical="center"/>
    </xf>
    <xf numFmtId="240" fontId="6" fillId="0" borderId="181">
      <alignment horizontal="right" vertical="center"/>
    </xf>
    <xf numFmtId="236" fontId="6" fillId="0" borderId="181">
      <alignment vertical="center"/>
    </xf>
    <xf numFmtId="0" fontId="153" fillId="22" borderId="144" applyNumberFormat="0" applyAlignment="0" applyProtection="0">
      <alignment vertical="center"/>
    </xf>
    <xf numFmtId="0" fontId="153" fillId="22" borderId="144" applyNumberFormat="0" applyAlignment="0" applyProtection="0">
      <alignment vertical="center"/>
    </xf>
    <xf numFmtId="0" fontId="153" fillId="22" borderId="144" applyNumberFormat="0" applyAlignment="0" applyProtection="0">
      <alignment vertical="center"/>
    </xf>
    <xf numFmtId="242" fontId="6" fillId="0" borderId="181">
      <alignment horizontal="right" vertical="center"/>
    </xf>
    <xf numFmtId="185" fontId="8" fillId="0" borderId="181">
      <alignment vertical="center"/>
    </xf>
    <xf numFmtId="0" fontId="6" fillId="0" borderId="181">
      <alignment horizontal="right" vertical="center" shrinkToFit="1"/>
    </xf>
    <xf numFmtId="0" fontId="6" fillId="0" borderId="181">
      <alignment horizontal="right" vertical="center" shrinkToFit="1"/>
    </xf>
    <xf numFmtId="0" fontId="57" fillId="28" borderId="145" applyNumberFormat="0" applyFont="0" applyAlignment="0" applyProtection="0">
      <alignment vertical="center"/>
    </xf>
    <xf numFmtId="0" fontId="57" fillId="28" borderId="145" applyNumberFormat="0" applyFont="0" applyAlignment="0" applyProtection="0">
      <alignment vertical="center"/>
    </xf>
    <xf numFmtId="236" fontId="6" fillId="0" borderId="172">
      <alignment vertical="center"/>
    </xf>
    <xf numFmtId="230" fontId="6" fillId="0" borderId="181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176" fontId="6" fillId="0" borderId="160">
      <alignment vertical="center"/>
    </xf>
    <xf numFmtId="0" fontId="6" fillId="0" borderId="160">
      <alignment vertical="center"/>
    </xf>
    <xf numFmtId="0" fontId="6" fillId="0" borderId="160">
      <alignment vertical="center"/>
    </xf>
    <xf numFmtId="206" fontId="6" fillId="0" borderId="160">
      <alignment vertical="center"/>
    </xf>
    <xf numFmtId="0" fontId="94" fillId="0" borderId="218">
      <alignment horizontal="centerContinuous" vertical="center"/>
    </xf>
    <xf numFmtId="0" fontId="94" fillId="0" borderId="198">
      <alignment horizontal="centerContinuous" vertical="center"/>
    </xf>
    <xf numFmtId="322" fontId="9" fillId="0" borderId="198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218" fontId="9" fillId="0" borderId="183">
      <alignment horizontal="centerContinuous" vertical="center"/>
    </xf>
    <xf numFmtId="218" fontId="9" fillId="0" borderId="183">
      <alignment horizontal="centerContinuous" vertical="center"/>
    </xf>
    <xf numFmtId="218" fontId="9" fillId="0" borderId="183">
      <alignment horizontal="centerContinuous" vertical="center"/>
    </xf>
    <xf numFmtId="0" fontId="117" fillId="0" borderId="183">
      <alignment horizontal="centerContinuous" vertical="center"/>
    </xf>
    <xf numFmtId="0" fontId="117" fillId="0" borderId="183">
      <alignment horizontal="centerContinuous" vertical="center"/>
    </xf>
    <xf numFmtId="0" fontId="50" fillId="3" borderId="184">
      <alignment vertical="center"/>
    </xf>
    <xf numFmtId="206" fontId="6" fillId="0" borderId="172">
      <alignment vertical="center"/>
    </xf>
    <xf numFmtId="0" fontId="117" fillId="0" borderId="183">
      <alignment horizontal="centerContinuous" vertical="center"/>
    </xf>
    <xf numFmtId="185" fontId="8" fillId="0" borderId="208">
      <alignment vertical="center"/>
    </xf>
    <xf numFmtId="3" fontId="57" fillId="0" borderId="208"/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198">
      <alignment horizontal="centerContinuous" vertical="center"/>
    </xf>
    <xf numFmtId="238" fontId="6" fillId="0" borderId="172">
      <alignment vertical="center"/>
    </xf>
    <xf numFmtId="240" fontId="6" fillId="0" borderId="172">
      <alignment horizontal="right" vertical="center"/>
    </xf>
    <xf numFmtId="240" fontId="6" fillId="0" borderId="172">
      <alignment horizontal="right" vertical="center"/>
    </xf>
    <xf numFmtId="0" fontId="57" fillId="28" borderId="205" applyNumberFormat="0" applyFont="0" applyAlignment="0" applyProtection="0">
      <alignment vertical="center"/>
    </xf>
    <xf numFmtId="309" fontId="9" fillId="0" borderId="124" applyFill="0" applyBorder="0" applyAlignment="0"/>
    <xf numFmtId="240" fontId="6" fillId="0" borderId="181">
      <alignment horizontal="right" vertical="center"/>
    </xf>
    <xf numFmtId="193" fontId="23" fillId="0" borderId="0">
      <protection locked="0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6" fillId="0" borderId="183">
      <alignment horizontal="centerContinuous" vertical="center"/>
    </xf>
    <xf numFmtId="0" fontId="50" fillId="3" borderId="184">
      <alignment vertical="center"/>
    </xf>
    <xf numFmtId="237" fontId="6" fillId="0" borderId="172">
      <alignment vertical="center"/>
    </xf>
    <xf numFmtId="241" fontId="6" fillId="0" borderId="172">
      <alignment horizontal="right" vertical="center"/>
    </xf>
    <xf numFmtId="191" fontId="6" fillId="0" borderId="172">
      <alignment vertical="center"/>
    </xf>
    <xf numFmtId="228" fontId="117" fillId="0" borderId="207" applyBorder="0">
      <alignment vertical="center" wrapText="1"/>
    </xf>
    <xf numFmtId="176" fontId="6" fillId="0" borderId="181">
      <alignment vertical="center"/>
    </xf>
    <xf numFmtId="185" fontId="8" fillId="0" borderId="208">
      <alignment vertical="center"/>
    </xf>
    <xf numFmtId="230" fontId="6" fillId="0" borderId="196">
      <alignment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38" fontId="19" fillId="0" borderId="172"/>
    <xf numFmtId="0" fontId="92" fillId="0" borderId="172"/>
    <xf numFmtId="206" fontId="6" fillId="0" borderId="172">
      <alignment vertical="center"/>
    </xf>
    <xf numFmtId="242" fontId="6" fillId="0" borderId="160">
      <alignment horizontal="right" vertical="center"/>
    </xf>
    <xf numFmtId="242" fontId="6" fillId="0" borderId="160">
      <alignment horizontal="right" vertical="center"/>
    </xf>
    <xf numFmtId="236" fontId="6" fillId="0" borderId="160">
      <alignment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0" fontId="50" fillId="3" borderId="197">
      <alignment vertical="center"/>
    </xf>
    <xf numFmtId="3" fontId="57" fillId="0" borderId="208"/>
    <xf numFmtId="3" fontId="57" fillId="0" borderId="208"/>
    <xf numFmtId="3" fontId="57" fillId="0" borderId="208"/>
    <xf numFmtId="0" fontId="94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50" fillId="3" borderId="149">
      <alignment vertical="center"/>
    </xf>
    <xf numFmtId="0" fontId="6" fillId="0" borderId="186">
      <alignment horizontal="centerContinuous" vertical="center"/>
    </xf>
    <xf numFmtId="0" fontId="41" fillId="0" borderId="185">
      <alignment horizontal="left" vertical="center"/>
    </xf>
    <xf numFmtId="0" fontId="41" fillId="0" borderId="185">
      <alignment horizontal="left" vertical="center"/>
    </xf>
    <xf numFmtId="0" fontId="41" fillId="0" borderId="185">
      <alignment horizontal="left" vertical="center"/>
    </xf>
    <xf numFmtId="236" fontId="6" fillId="0" borderId="181">
      <alignment vertical="center"/>
    </xf>
    <xf numFmtId="10" fontId="39" fillId="4" borderId="196" applyNumberFormat="0" applyBorder="0" applyAlignment="0" applyProtection="0"/>
    <xf numFmtId="0" fontId="94" fillId="0" borderId="186">
      <alignment horizontal="centerContinuous" vertical="center"/>
    </xf>
    <xf numFmtId="0" fontId="134" fillId="0" borderId="148">
      <alignment vertical="center"/>
    </xf>
    <xf numFmtId="241" fontId="6" fillId="0" borderId="181">
      <alignment horizontal="right" vertical="center"/>
    </xf>
    <xf numFmtId="241" fontId="6" fillId="0" borderId="181">
      <alignment horizontal="right" vertical="center"/>
    </xf>
    <xf numFmtId="309" fontId="9" fillId="0" borderId="172" applyFill="0" applyBorder="0" applyAlignment="0"/>
    <xf numFmtId="233" fontId="122" fillId="0" borderId="160" applyFill="0" applyBorder="0" applyAlignment="0"/>
    <xf numFmtId="200" fontId="6" fillId="0" borderId="160">
      <alignment vertical="center"/>
    </xf>
    <xf numFmtId="0" fontId="134" fillId="0" borderId="136">
      <alignment vertical="center"/>
    </xf>
    <xf numFmtId="0" fontId="134" fillId="0" borderId="136">
      <alignment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9" fillId="0" borderId="218">
      <alignment horizontal="centerContinuous" vertical="center"/>
    </xf>
    <xf numFmtId="0" fontId="41" fillId="0" borderId="197">
      <alignment horizontal="left" vertical="center"/>
    </xf>
    <xf numFmtId="10" fontId="39" fillId="2" borderId="196" applyNumberFormat="0" applyBorder="0" applyAlignment="0" applyProtection="0"/>
    <xf numFmtId="191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00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249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33" fontId="122" fillId="0" borderId="124" applyFill="0" applyBorder="0" applyAlignment="0"/>
    <xf numFmtId="49" fontId="117" fillId="0" borderId="181">
      <alignment horizontal="center" vertical="center"/>
    </xf>
    <xf numFmtId="0" fontId="6" fillId="0" borderId="160">
      <alignment vertical="center"/>
    </xf>
    <xf numFmtId="0" fontId="6" fillId="0" borderId="160">
      <alignment vertical="center"/>
    </xf>
    <xf numFmtId="0" fontId="6" fillId="0" borderId="160">
      <alignment vertical="center"/>
    </xf>
    <xf numFmtId="206" fontId="6" fillId="0" borderId="160">
      <alignment vertical="center"/>
    </xf>
    <xf numFmtId="176" fontId="6" fillId="0" borderId="160">
      <alignment vertical="center"/>
    </xf>
    <xf numFmtId="176" fontId="6" fillId="0" borderId="160">
      <alignment vertical="center"/>
    </xf>
    <xf numFmtId="176" fontId="6" fillId="0" borderId="160">
      <alignment vertical="center"/>
    </xf>
    <xf numFmtId="176" fontId="6" fillId="0" borderId="160">
      <alignment vertical="center"/>
    </xf>
    <xf numFmtId="248" fontId="117" fillId="0" borderId="160">
      <alignment vertical="center"/>
    </xf>
    <xf numFmtId="218" fontId="9" fillId="0" borderId="198">
      <alignment horizontal="centerContinuous" vertical="center"/>
    </xf>
    <xf numFmtId="206" fontId="6" fillId="0" borderId="196">
      <alignment vertical="center"/>
    </xf>
    <xf numFmtId="242" fontId="6" fillId="0" borderId="160">
      <alignment horizontal="right" vertical="center"/>
    </xf>
    <xf numFmtId="241" fontId="6" fillId="0" borderId="160">
      <alignment horizontal="right" vertical="center"/>
    </xf>
    <xf numFmtId="240" fontId="6" fillId="0" borderId="160">
      <alignment horizontal="right" vertical="center"/>
    </xf>
    <xf numFmtId="236" fontId="6" fillId="0" borderId="160">
      <alignment vertical="center"/>
    </xf>
    <xf numFmtId="236" fontId="6" fillId="0" borderId="160">
      <alignment vertical="center"/>
    </xf>
    <xf numFmtId="230" fontId="6" fillId="0" borderId="196">
      <alignment vertical="center"/>
    </xf>
    <xf numFmtId="218" fontId="9" fillId="0" borderId="162">
      <alignment horizontal="centerContinuous" vertical="center"/>
    </xf>
    <xf numFmtId="218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193" fontId="23" fillId="0" borderId="0">
      <protection locked="0"/>
    </xf>
    <xf numFmtId="0" fontId="57" fillId="28" borderId="169" applyNumberFormat="0" applyFont="0" applyAlignment="0" applyProtection="0">
      <alignment vertical="center"/>
    </xf>
    <xf numFmtId="0" fontId="54" fillId="28" borderId="205" applyNumberFormat="0" applyFont="0" applyAlignment="0" applyProtection="0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191" fontId="6" fillId="0" borderId="181">
      <alignment vertical="center"/>
    </xf>
    <xf numFmtId="0" fontId="9" fillId="0" borderId="181">
      <alignment horizontal="distributed" vertical="center"/>
    </xf>
    <xf numFmtId="0" fontId="9" fillId="0" borderId="181">
      <alignment horizontal="distributed" vertical="center"/>
    </xf>
    <xf numFmtId="234" fontId="117" fillId="0" borderId="216">
      <alignment vertical="center"/>
    </xf>
    <xf numFmtId="0" fontId="117" fillId="0" borderId="218">
      <alignment horizontal="centerContinuous" vertical="center"/>
    </xf>
    <xf numFmtId="3" fontId="57" fillId="0" borderId="208"/>
    <xf numFmtId="236" fontId="6" fillId="0" borderId="181">
      <alignment vertical="center"/>
    </xf>
    <xf numFmtId="237" fontId="6" fillId="0" borderId="181">
      <alignment vertical="center"/>
    </xf>
    <xf numFmtId="0" fontId="134" fillId="0" borderId="71">
      <alignment vertical="center"/>
    </xf>
    <xf numFmtId="0" fontId="134" fillId="0" borderId="71">
      <alignment vertical="center"/>
    </xf>
    <xf numFmtId="257" fontId="117" fillId="0" borderId="71" applyBorder="0">
      <alignment horizontal="left" vertical="center"/>
    </xf>
    <xf numFmtId="17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176" fontId="6" fillId="0" borderId="112">
      <alignment vertical="center"/>
    </xf>
    <xf numFmtId="242" fontId="6" fillId="0" borderId="112">
      <alignment horizontal="right" vertical="center"/>
    </xf>
    <xf numFmtId="237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186" fontId="14" fillId="0" borderId="202"/>
    <xf numFmtId="0" fontId="94" fillId="0" borderId="218">
      <alignment horizontal="centerContinuous" vertical="center"/>
    </xf>
    <xf numFmtId="0" fontId="159" fillId="0" borderId="206" applyNumberFormat="0" applyFill="0" applyAlignment="0" applyProtection="0">
      <alignment vertical="center"/>
    </xf>
    <xf numFmtId="239" fontId="117" fillId="0" borderId="196">
      <alignment horizontal="right" vertical="center"/>
    </xf>
    <xf numFmtId="0" fontId="6" fillId="0" borderId="196">
      <alignment horizontal="right" vertical="center" shrinkToFit="1"/>
    </xf>
    <xf numFmtId="249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18" fontId="6" fillId="0" borderId="160">
      <alignment vertical="center"/>
    </xf>
    <xf numFmtId="176" fontId="6" fillId="0" borderId="160">
      <alignment vertical="center"/>
    </xf>
    <xf numFmtId="206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240" fontId="6" fillId="0" borderId="160">
      <alignment horizontal="right" vertical="center"/>
    </xf>
    <xf numFmtId="237" fontId="6" fillId="0" borderId="160">
      <alignment vertical="center"/>
    </xf>
    <xf numFmtId="236" fontId="6" fillId="0" borderId="160">
      <alignment vertical="center"/>
    </xf>
    <xf numFmtId="236" fontId="6" fillId="0" borderId="160">
      <alignment vertical="center"/>
    </xf>
    <xf numFmtId="236" fontId="6" fillId="0" borderId="160">
      <alignment vertical="center"/>
    </xf>
    <xf numFmtId="322" fontId="9" fillId="0" borderId="186">
      <alignment horizontal="centerContinuous" vertical="center"/>
    </xf>
    <xf numFmtId="0" fontId="6" fillId="0" borderId="198">
      <alignment horizontal="centerContinuous" vertical="center"/>
    </xf>
    <xf numFmtId="0" fontId="9" fillId="0" borderId="198">
      <alignment horizontal="centerContinuous" vertical="center"/>
    </xf>
    <xf numFmtId="218" fontId="9" fillId="0" borderId="198">
      <alignment horizontal="centerContinuous" vertical="center"/>
    </xf>
    <xf numFmtId="206" fontId="6" fillId="0" borderId="196">
      <alignment vertical="center"/>
    </xf>
    <xf numFmtId="0" fontId="6" fillId="0" borderId="196">
      <alignment vertical="center"/>
    </xf>
    <xf numFmtId="0" fontId="6" fillId="0" borderId="196">
      <alignment vertical="center"/>
    </xf>
    <xf numFmtId="249" fontId="6" fillId="0" borderId="172">
      <alignment vertical="center"/>
    </xf>
    <xf numFmtId="200" fontId="6" fillId="0" borderId="172">
      <alignment vertical="center"/>
    </xf>
    <xf numFmtId="200" fontId="6" fillId="0" borderId="196">
      <alignment vertical="center"/>
    </xf>
    <xf numFmtId="191" fontId="6" fillId="0" borderId="172">
      <alignment vertical="center"/>
    </xf>
    <xf numFmtId="218" fontId="9" fillId="0" borderId="198">
      <alignment horizontal="centerContinuous" vertical="center"/>
    </xf>
    <xf numFmtId="242" fontId="6" fillId="0" borderId="181">
      <alignment horizontal="right" vertical="center"/>
    </xf>
    <xf numFmtId="0" fontId="6" fillId="0" borderId="183">
      <alignment horizontal="centerContinuous" vertical="center"/>
    </xf>
    <xf numFmtId="0" fontId="50" fillId="3" borderId="184">
      <alignment vertical="center"/>
    </xf>
    <xf numFmtId="0" fontId="6" fillId="0" borderId="172">
      <alignment vertical="center"/>
    </xf>
    <xf numFmtId="0" fontId="6" fillId="0" borderId="172">
      <alignment vertical="center"/>
    </xf>
    <xf numFmtId="176" fontId="6" fillId="0" borderId="172">
      <alignment vertical="center"/>
    </xf>
    <xf numFmtId="200" fontId="6" fillId="0" borderId="172">
      <alignment vertical="center"/>
    </xf>
    <xf numFmtId="0" fontId="185" fillId="22" borderId="222" applyNumberFormat="0" applyAlignment="0" applyProtection="0">
      <alignment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6" fillId="0" borderId="218">
      <alignment horizontal="centerContinuous"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228" fontId="117" fillId="0" borderId="123" applyBorder="0">
      <alignment vertical="center" wrapText="1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0" fontId="9" fillId="0" borderId="162">
      <alignment horizontal="centerContinuous" vertical="center"/>
    </xf>
    <xf numFmtId="0" fontId="9" fillId="0" borderId="162">
      <alignment horizontal="centerContinuous" vertical="center"/>
    </xf>
    <xf numFmtId="0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117" fillId="0" borderId="162">
      <alignment horizontal="centerContinuous" vertical="center"/>
    </xf>
    <xf numFmtId="0" fontId="117" fillId="0" borderId="162">
      <alignment horizontal="centerContinuous" vertical="center"/>
    </xf>
    <xf numFmtId="0" fontId="117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238" fontId="6" fillId="0" borderId="181">
      <alignment vertical="center"/>
    </xf>
    <xf numFmtId="242" fontId="6" fillId="0" borderId="181">
      <alignment horizontal="right" vertical="center"/>
    </xf>
    <xf numFmtId="238" fontId="6" fillId="0" borderId="181">
      <alignment vertical="center"/>
    </xf>
    <xf numFmtId="0" fontId="56" fillId="0" borderId="196"/>
    <xf numFmtId="0" fontId="117" fillId="0" borderId="198">
      <alignment horizontal="centerContinuous" vertical="center"/>
    </xf>
    <xf numFmtId="240" fontId="6" fillId="0" borderId="181">
      <alignment horizontal="right" vertical="center"/>
    </xf>
    <xf numFmtId="238" fontId="6" fillId="0" borderId="181">
      <alignment vertical="center"/>
    </xf>
    <xf numFmtId="3" fontId="57" fillId="0" borderId="160"/>
    <xf numFmtId="242" fontId="6" fillId="0" borderId="181">
      <alignment horizontal="right" vertical="center"/>
    </xf>
    <xf numFmtId="0" fontId="82" fillId="0" borderId="160"/>
    <xf numFmtId="238" fontId="6" fillId="0" borderId="181">
      <alignment vertical="center"/>
    </xf>
    <xf numFmtId="237" fontId="6" fillId="0" borderId="181">
      <alignment vertical="center"/>
    </xf>
    <xf numFmtId="0" fontId="41" fillId="0" borderId="161">
      <alignment horizontal="left" vertical="center"/>
    </xf>
    <xf numFmtId="0" fontId="41" fillId="0" borderId="161">
      <alignment horizontal="left" vertical="center"/>
    </xf>
    <xf numFmtId="10" fontId="39" fillId="2" borderId="160" applyNumberFormat="0" applyBorder="0" applyAlignment="0" applyProtection="0"/>
    <xf numFmtId="234" fontId="117" fillId="0" borderId="160">
      <alignment vertical="center"/>
    </xf>
    <xf numFmtId="234" fontId="117" fillId="0" borderId="160">
      <alignment vertical="center"/>
    </xf>
    <xf numFmtId="239" fontId="117" fillId="0" borderId="160">
      <alignment horizontal="right" vertical="center"/>
    </xf>
    <xf numFmtId="239" fontId="117" fillId="0" borderId="160">
      <alignment horizontal="right" vertical="center"/>
    </xf>
    <xf numFmtId="239" fontId="117" fillId="0" borderId="160">
      <alignment horizontal="right" vertical="center"/>
    </xf>
    <xf numFmtId="243" fontId="117" fillId="0" borderId="160">
      <alignment vertical="center"/>
    </xf>
    <xf numFmtId="243" fontId="117" fillId="0" borderId="160">
      <alignment vertical="center"/>
    </xf>
    <xf numFmtId="243" fontId="117" fillId="0" borderId="160">
      <alignment vertical="center"/>
    </xf>
    <xf numFmtId="244" fontId="117" fillId="0" borderId="160">
      <alignment vertical="center"/>
    </xf>
    <xf numFmtId="244" fontId="117" fillId="0" borderId="160">
      <alignment vertical="center"/>
    </xf>
    <xf numFmtId="244" fontId="117" fillId="0" borderId="160">
      <alignment vertical="center"/>
    </xf>
    <xf numFmtId="0" fontId="92" fillId="0" borderId="208"/>
    <xf numFmtId="0" fontId="6" fillId="0" borderId="186">
      <alignment horizontal="centerContinuous" vertical="center"/>
    </xf>
    <xf numFmtId="0" fontId="50" fillId="3" borderId="161">
      <alignment vertical="center"/>
    </xf>
    <xf numFmtId="0" fontId="50" fillId="3" borderId="161">
      <alignment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9" fillId="0" borderId="186">
      <alignment horizontal="centerContinuous" vertical="center"/>
    </xf>
    <xf numFmtId="0" fontId="6" fillId="0" borderId="160">
      <alignment horizontal="right" vertical="center" shrinkToFit="1"/>
    </xf>
    <xf numFmtId="0" fontId="6" fillId="0" borderId="160">
      <alignment horizontal="right" vertical="center" shrinkToFit="1"/>
    </xf>
    <xf numFmtId="0" fontId="6" fillId="0" borderId="160">
      <alignment horizontal="right" vertical="center" shrinkToFit="1"/>
    </xf>
    <xf numFmtId="0" fontId="6" fillId="0" borderId="160">
      <alignment horizontal="right" vertical="center" shrinkToFit="1"/>
    </xf>
    <xf numFmtId="41" fontId="56" fillId="0" borderId="160" applyNumberFormat="0" applyFont="0" applyFill="0" applyBorder="0" applyProtection="0">
      <alignment horizontal="distributed"/>
    </xf>
    <xf numFmtId="3" fontId="56" fillId="0" borderId="160"/>
    <xf numFmtId="0" fontId="56" fillId="0" borderId="160"/>
    <xf numFmtId="185" fontId="9" fillId="0" borderId="160">
      <alignment horizontal="center" vertical="center"/>
    </xf>
    <xf numFmtId="338" fontId="19" fillId="0" borderId="160"/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240" fontId="6" fillId="0" borderId="196">
      <alignment horizontal="right" vertical="center"/>
    </xf>
    <xf numFmtId="0" fontId="92" fillId="0" borderId="216"/>
    <xf numFmtId="309" fontId="9" fillId="0" borderId="160" applyFill="0" applyBorder="0" applyAlignment="0"/>
    <xf numFmtId="10" fontId="39" fillId="2" borderId="216" applyNumberFormat="0" applyBorder="0" applyAlignment="0" applyProtection="0"/>
    <xf numFmtId="240" fontId="6" fillId="0" borderId="181">
      <alignment horizontal="right" vertical="center"/>
    </xf>
    <xf numFmtId="193" fontId="23" fillId="0" borderId="0">
      <protection locked="0"/>
    </xf>
    <xf numFmtId="200" fontId="6" fillId="0" borderId="181">
      <alignment vertical="center"/>
    </xf>
    <xf numFmtId="191" fontId="6" fillId="0" borderId="181">
      <alignment vertical="center"/>
    </xf>
    <xf numFmtId="230" fontId="6" fillId="0" borderId="196">
      <alignment vertical="center"/>
    </xf>
    <xf numFmtId="236" fontId="6" fillId="0" borderId="160">
      <alignment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0" fontId="6" fillId="0" borderId="218">
      <alignment horizontal="centerContinuous" vertical="center"/>
    </xf>
    <xf numFmtId="3" fontId="57" fillId="0" borderId="181"/>
    <xf numFmtId="191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30" fontId="6" fillId="0" borderId="148">
      <alignment vertical="center"/>
    </xf>
    <xf numFmtId="200" fontId="6" fillId="0" borderId="148">
      <alignment vertical="center"/>
    </xf>
    <xf numFmtId="191" fontId="6" fillId="0" borderId="148">
      <alignment vertical="center"/>
    </xf>
    <xf numFmtId="176" fontId="6" fillId="0" borderId="124">
      <alignment vertical="center"/>
    </xf>
    <xf numFmtId="242" fontId="6" fillId="0" borderId="124">
      <alignment horizontal="right"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36" fontId="6" fillId="0" borderId="124">
      <alignment vertical="center"/>
    </xf>
    <xf numFmtId="236" fontId="6" fillId="0" borderId="124">
      <alignment vertical="center"/>
    </xf>
    <xf numFmtId="238" fontId="6" fillId="0" borderId="124">
      <alignment vertical="center"/>
    </xf>
    <xf numFmtId="237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40" fontId="6" fillId="0" borderId="181">
      <alignment horizontal="right" vertical="center"/>
    </xf>
    <xf numFmtId="3" fontId="6" fillId="0" borderId="208"/>
    <xf numFmtId="3" fontId="57" fillId="0" borderId="172"/>
    <xf numFmtId="3" fontId="57" fillId="0" borderId="172"/>
    <xf numFmtId="3" fontId="57" fillId="0" borderId="172"/>
    <xf numFmtId="3" fontId="57" fillId="0" borderId="172"/>
    <xf numFmtId="3" fontId="57" fillId="0" borderId="172"/>
    <xf numFmtId="3" fontId="57" fillId="0" borderId="172"/>
    <xf numFmtId="185" fontId="8" fillId="0" borderId="172">
      <alignment vertical="center"/>
    </xf>
    <xf numFmtId="185" fontId="8" fillId="0" borderId="172">
      <alignment vertical="center"/>
    </xf>
    <xf numFmtId="185" fontId="8" fillId="0" borderId="172">
      <alignment vertical="center"/>
    </xf>
    <xf numFmtId="0" fontId="117" fillId="0" borderId="183">
      <alignment horizontal="centerContinuous" vertical="center"/>
    </xf>
    <xf numFmtId="240" fontId="6" fillId="0" borderId="181">
      <alignment horizontal="right" vertical="center"/>
    </xf>
    <xf numFmtId="240" fontId="6" fillId="0" borderId="196">
      <alignment horizontal="right" vertical="center"/>
    </xf>
    <xf numFmtId="0" fontId="56" fillId="0" borderId="208"/>
    <xf numFmtId="3" fontId="57" fillId="0" borderId="208"/>
    <xf numFmtId="3" fontId="57" fillId="0" borderId="208"/>
    <xf numFmtId="0" fontId="159" fillId="0" borderId="215" applyNumberFormat="0" applyFill="0" applyAlignment="0" applyProtection="0">
      <alignment vertical="center"/>
    </xf>
    <xf numFmtId="0" fontId="56" fillId="0" borderId="208"/>
    <xf numFmtId="0" fontId="56" fillId="0" borderId="208"/>
    <xf numFmtId="0" fontId="57" fillId="28" borderId="178" applyNumberFormat="0" applyFont="0" applyAlignment="0" applyProtection="0">
      <alignment vertical="center"/>
    </xf>
    <xf numFmtId="200" fontId="6" fillId="0" borderId="181">
      <alignment vertical="center"/>
    </xf>
    <xf numFmtId="191" fontId="6" fillId="0" borderId="181">
      <alignment vertical="center"/>
    </xf>
    <xf numFmtId="200" fontId="6" fillId="0" borderId="172">
      <alignment vertical="center"/>
    </xf>
    <xf numFmtId="230" fontId="6" fillId="0" borderId="172">
      <alignment vertical="center"/>
    </xf>
    <xf numFmtId="242" fontId="6" fillId="0" borderId="172">
      <alignment horizontal="right" vertical="center"/>
    </xf>
    <xf numFmtId="230" fontId="6" fillId="0" borderId="196">
      <alignment vertical="center"/>
    </xf>
    <xf numFmtId="191" fontId="6" fillId="0" borderId="196">
      <alignment vertical="center"/>
    </xf>
    <xf numFmtId="3" fontId="56" fillId="0" borderId="196"/>
    <xf numFmtId="242" fontId="6" fillId="0" borderId="160">
      <alignment horizontal="right" vertical="center"/>
    </xf>
    <xf numFmtId="242" fontId="6" fillId="0" borderId="160">
      <alignment horizontal="right" vertical="center"/>
    </xf>
    <xf numFmtId="242" fontId="6" fillId="0" borderId="160">
      <alignment horizontal="right" vertical="center"/>
    </xf>
    <xf numFmtId="0" fontId="165" fillId="22" borderId="212" applyNumberFormat="0" applyAlignment="0" applyProtection="0">
      <alignment vertical="center"/>
    </xf>
    <xf numFmtId="191" fontId="6" fillId="0" borderId="172">
      <alignment vertical="center"/>
    </xf>
    <xf numFmtId="200" fontId="6" fillId="0" borderId="172">
      <alignment vertical="center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322" fontId="9" fillId="0" borderId="198">
      <alignment horizontal="centerContinuous" vertical="center"/>
    </xf>
    <xf numFmtId="236" fontId="6" fillId="0" borderId="196">
      <alignment vertical="center"/>
    </xf>
    <xf numFmtId="0" fontId="41" fillId="0" borderId="217">
      <alignment horizontal="left" vertical="center"/>
    </xf>
    <xf numFmtId="176" fontId="6" fillId="0" borderId="181">
      <alignment vertical="center"/>
    </xf>
    <xf numFmtId="237" fontId="6" fillId="0" borderId="181">
      <alignment vertical="center"/>
    </xf>
    <xf numFmtId="3" fontId="57" fillId="0" borderId="208"/>
    <xf numFmtId="3" fontId="57" fillId="0" borderId="208"/>
    <xf numFmtId="41" fontId="56" fillId="0" borderId="196" applyNumberFormat="0" applyFont="0" applyFill="0" applyBorder="0" applyProtection="0">
      <alignment horizontal="distributed"/>
    </xf>
    <xf numFmtId="0" fontId="6" fillId="0" borderId="216">
      <alignment horizontal="right" vertical="center" shrinkToFit="1"/>
    </xf>
    <xf numFmtId="0" fontId="6" fillId="0" borderId="198">
      <alignment horizontal="centerContinuous" vertical="center"/>
    </xf>
    <xf numFmtId="0" fontId="94" fillId="0" borderId="198">
      <alignment horizontal="centerContinuous" vertical="center"/>
    </xf>
    <xf numFmtId="218" fontId="9" fillId="0" borderId="183">
      <alignment horizontal="centerContinuous" vertical="center"/>
    </xf>
    <xf numFmtId="244" fontId="117" fillId="0" borderId="216">
      <alignment vertical="center"/>
    </xf>
    <xf numFmtId="0" fontId="160" fillId="12" borderId="223" applyNumberFormat="0" applyAlignment="0" applyProtection="0">
      <alignment vertical="center"/>
    </xf>
    <xf numFmtId="0" fontId="6" fillId="0" borderId="183">
      <alignment horizontal="centerContinuous" vertical="center"/>
    </xf>
    <xf numFmtId="241" fontId="6" fillId="0" borderId="172">
      <alignment horizontal="right" vertical="center"/>
    </xf>
    <xf numFmtId="322" fontId="9" fillId="0" borderId="218">
      <alignment horizontal="centerContinuous" vertical="center"/>
    </xf>
    <xf numFmtId="41" fontId="56" fillId="0" borderId="216" applyNumberFormat="0" applyFont="0" applyFill="0" applyBorder="0" applyProtection="0">
      <alignment horizontal="distributed"/>
    </xf>
    <xf numFmtId="41" fontId="56" fillId="0" borderId="216" applyNumberFormat="0" applyFont="0" applyFill="0" applyBorder="0" applyProtection="0">
      <alignment horizontal="distributed"/>
    </xf>
    <xf numFmtId="0" fontId="50" fillId="3" borderId="217">
      <alignment vertical="center"/>
    </xf>
    <xf numFmtId="200" fontId="6" fillId="0" borderId="136">
      <alignment vertical="center"/>
    </xf>
    <xf numFmtId="3" fontId="56" fillId="0" borderId="181"/>
    <xf numFmtId="0" fontId="92" fillId="0" borderId="181"/>
    <xf numFmtId="256" fontId="117" fillId="0" borderId="181" applyBorder="0">
      <alignment vertical="center"/>
    </xf>
    <xf numFmtId="0" fontId="9" fillId="0" borderId="181">
      <alignment horizontal="distributed" vertical="center"/>
    </xf>
    <xf numFmtId="0" fontId="9" fillId="0" borderId="196">
      <alignment horizontal="distributed" vertical="center"/>
    </xf>
    <xf numFmtId="200" fontId="6" fillId="0" borderId="196">
      <alignment vertical="center"/>
    </xf>
    <xf numFmtId="322" fontId="9" fillId="0" borderId="218">
      <alignment horizontal="centerContinuous" vertical="center"/>
    </xf>
    <xf numFmtId="0" fontId="160" fillId="12" borderId="204" applyNumberFormat="0" applyAlignment="0" applyProtection="0">
      <alignment vertical="center"/>
    </xf>
    <xf numFmtId="193" fontId="23" fillId="0" borderId="0">
      <protection locked="0"/>
    </xf>
    <xf numFmtId="0" fontId="6" fillId="0" borderId="196">
      <alignment horizontal="right" vertical="center" shrinkToFit="1"/>
    </xf>
    <xf numFmtId="0" fontId="50" fillId="3" borderId="197">
      <alignment vertical="center"/>
    </xf>
    <xf numFmtId="0" fontId="232" fillId="0" borderId="124" applyFont="0" applyFill="0" applyBorder="0" applyAlignment="0" applyProtection="0">
      <alignment horizontal="centerContinuous" vertical="center"/>
    </xf>
    <xf numFmtId="240" fontId="6" fillId="0" borderId="181">
      <alignment horizontal="right" vertical="center"/>
    </xf>
    <xf numFmtId="191" fontId="6" fillId="0" borderId="196">
      <alignment vertical="center"/>
    </xf>
    <xf numFmtId="236" fontId="6" fillId="0" borderId="196">
      <alignment vertical="center"/>
    </xf>
    <xf numFmtId="3" fontId="57" fillId="0" borderId="216"/>
    <xf numFmtId="0" fontId="41" fillId="0" borderId="184">
      <alignment horizontal="left" vertical="center"/>
    </xf>
    <xf numFmtId="0" fontId="54" fillId="28" borderId="214" applyNumberFormat="0" applyFont="0" applyAlignment="0" applyProtection="0">
      <alignment vertical="center"/>
    </xf>
    <xf numFmtId="191" fontId="6" fillId="0" borderId="172">
      <alignment vertical="center"/>
    </xf>
    <xf numFmtId="230" fontId="6" fillId="0" borderId="172">
      <alignment vertical="center"/>
    </xf>
    <xf numFmtId="0" fontId="57" fillId="28" borderId="133" applyNumberFormat="0" applyFont="0" applyAlignment="0" applyProtection="0">
      <alignment vertical="center"/>
    </xf>
    <xf numFmtId="0" fontId="57" fillId="28" borderId="133" applyNumberFormat="0" applyFont="0" applyAlignment="0" applyProtection="0">
      <alignment vertical="center"/>
    </xf>
    <xf numFmtId="322" fontId="9" fillId="0" borderId="218">
      <alignment horizontal="centerContinuous" vertical="center"/>
    </xf>
    <xf numFmtId="0" fontId="153" fillId="22" borderId="132" applyNumberFormat="0" applyAlignment="0" applyProtection="0">
      <alignment vertical="center"/>
    </xf>
    <xf numFmtId="0" fontId="153" fillId="22" borderId="132" applyNumberFormat="0" applyAlignment="0" applyProtection="0">
      <alignment vertical="center"/>
    </xf>
    <xf numFmtId="0" fontId="153" fillId="22" borderId="132" applyNumberFormat="0" applyAlignment="0" applyProtection="0">
      <alignment vertical="center"/>
    </xf>
    <xf numFmtId="0" fontId="94" fillId="0" borderId="183">
      <alignment horizontal="centerContinuous" vertical="center"/>
    </xf>
    <xf numFmtId="240" fontId="6" fillId="0" borderId="172">
      <alignment horizontal="right" vertical="center"/>
    </xf>
    <xf numFmtId="243" fontId="117" fillId="0" borderId="172">
      <alignment vertical="center"/>
    </xf>
    <xf numFmtId="239" fontId="117" fillId="0" borderId="172">
      <alignment horizontal="right" vertical="center"/>
    </xf>
    <xf numFmtId="239" fontId="117" fillId="0" borderId="172">
      <alignment horizontal="right" vertical="center"/>
    </xf>
    <xf numFmtId="234" fontId="117" fillId="0" borderId="172">
      <alignment vertical="center"/>
    </xf>
    <xf numFmtId="10" fontId="39" fillId="4" borderId="136" applyNumberFormat="0" applyBorder="0" applyAlignment="0" applyProtection="0"/>
    <xf numFmtId="0" fontId="57" fillId="28" borderId="178" applyNumberFormat="0" applyFont="0" applyAlignment="0" applyProtection="0">
      <alignment vertical="center"/>
    </xf>
    <xf numFmtId="0" fontId="6" fillId="0" borderId="183">
      <alignment horizontal="centerContinuous" vertical="center"/>
    </xf>
    <xf numFmtId="0" fontId="41" fillId="0" borderId="217">
      <alignment horizontal="left" vertical="center"/>
    </xf>
    <xf numFmtId="233" fontId="122" fillId="0" borderId="172" applyFill="0" applyBorder="0" applyAlignment="0"/>
    <xf numFmtId="0" fontId="6" fillId="0" borderId="160">
      <alignment vertical="center"/>
    </xf>
    <xf numFmtId="241" fontId="6" fillId="0" borderId="160">
      <alignment horizontal="right" vertical="center"/>
    </xf>
    <xf numFmtId="241" fontId="6" fillId="0" borderId="160">
      <alignment horizontal="right" vertical="center"/>
    </xf>
    <xf numFmtId="0" fontId="56" fillId="0" borderId="160"/>
    <xf numFmtId="0" fontId="94" fillId="0" borderId="162">
      <alignment horizontal="centerContinuous" vertical="center"/>
    </xf>
    <xf numFmtId="41" fontId="9" fillId="0" borderId="136">
      <alignment horizontal="center" vertical="center"/>
    </xf>
    <xf numFmtId="236" fontId="6" fillId="0" borderId="172">
      <alignment vertical="center"/>
    </xf>
    <xf numFmtId="239" fontId="117" fillId="0" borderId="216">
      <alignment horizontal="right" vertical="center"/>
    </xf>
    <xf numFmtId="0" fontId="160" fillId="12" borderId="213" applyNumberFormat="0" applyAlignment="0" applyProtection="0">
      <alignment vertical="center"/>
    </xf>
    <xf numFmtId="10" fontId="39" fillId="4" borderId="196" applyNumberFormat="0" applyBorder="0" applyAlignment="0" applyProtection="0"/>
    <xf numFmtId="0" fontId="9" fillId="0" borderId="187">
      <alignment horizontal="distributed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206" fontId="6" fillId="0" borderId="196">
      <alignment vertical="center"/>
    </xf>
    <xf numFmtId="200" fontId="6" fillId="0" borderId="172">
      <alignment vertical="center"/>
    </xf>
    <xf numFmtId="200" fontId="6" fillId="0" borderId="196">
      <alignment vertical="center"/>
    </xf>
    <xf numFmtId="200" fontId="6" fillId="0" borderId="160">
      <alignment vertical="center"/>
    </xf>
    <xf numFmtId="241" fontId="6" fillId="0" borderId="196">
      <alignment horizontal="right" vertical="center"/>
    </xf>
    <xf numFmtId="3" fontId="57" fillId="0" borderId="160"/>
    <xf numFmtId="0" fontId="94" fillId="0" borderId="162">
      <alignment horizontal="centerContinuous" vertical="center"/>
    </xf>
    <xf numFmtId="0" fontId="6" fillId="0" borderId="218">
      <alignment horizontal="centerContinuous" vertical="center"/>
    </xf>
    <xf numFmtId="0" fontId="54" fillId="28" borderId="145" applyNumberFormat="0" applyFon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54" fillId="28" borderId="145" applyNumberFormat="0" applyFont="0" applyAlignment="0" applyProtection="0">
      <alignment vertical="center"/>
    </xf>
    <xf numFmtId="0" fontId="185" fillId="22" borderId="143" applyNumberFormat="0" applyAlignment="0" applyProtection="0">
      <alignment vertical="center"/>
    </xf>
    <xf numFmtId="218" fontId="9" fillId="0" borderId="138">
      <alignment horizontal="centerContinuous" vertical="center"/>
    </xf>
    <xf numFmtId="0" fontId="50" fillId="3" borderId="137">
      <alignment vertical="center"/>
    </xf>
    <xf numFmtId="0" fontId="6" fillId="0" borderId="136" applyNumberFormat="0" applyFill="0" applyProtection="0">
      <alignment vertical="center"/>
    </xf>
    <xf numFmtId="338" fontId="19" fillId="0" borderId="136"/>
    <xf numFmtId="338" fontId="19" fillId="0" borderId="136"/>
    <xf numFmtId="185" fontId="9" fillId="0" borderId="136">
      <alignment horizontal="center" vertical="center"/>
    </xf>
    <xf numFmtId="0" fontId="9" fillId="0" borderId="139">
      <alignment horizontal="distributed"/>
    </xf>
    <xf numFmtId="0" fontId="9" fillId="0" borderId="139">
      <alignment horizontal="distributed"/>
    </xf>
    <xf numFmtId="0" fontId="9" fillId="0" borderId="139">
      <alignment horizontal="distributed"/>
    </xf>
    <xf numFmtId="0" fontId="9" fillId="0" borderId="139">
      <alignment horizontal="distributed"/>
    </xf>
    <xf numFmtId="0" fontId="9" fillId="0" borderId="136">
      <alignment horizontal="distributed" vertical="center"/>
    </xf>
    <xf numFmtId="0" fontId="9" fillId="0" borderId="136">
      <alignment horizontal="distributed" vertical="center"/>
    </xf>
    <xf numFmtId="0" fontId="9" fillId="0" borderId="136">
      <alignment horizontal="distributed" vertical="center"/>
    </xf>
    <xf numFmtId="256" fontId="117" fillId="0" borderId="136" applyBorder="0">
      <alignment vertical="center"/>
    </xf>
    <xf numFmtId="256" fontId="117" fillId="0" borderId="136" applyBorder="0">
      <alignment vertical="center"/>
    </xf>
    <xf numFmtId="256" fontId="117" fillId="0" borderId="136" applyBorder="0">
      <alignment vertical="center"/>
    </xf>
    <xf numFmtId="0" fontId="92" fillId="0" borderId="136"/>
    <xf numFmtId="0" fontId="92" fillId="0" borderId="136"/>
    <xf numFmtId="0" fontId="92" fillId="0" borderId="136"/>
    <xf numFmtId="41" fontId="9" fillId="0" borderId="160">
      <alignment horizontal="center" vertical="center"/>
    </xf>
    <xf numFmtId="0" fontId="50" fillId="3" borderId="185">
      <alignment vertical="center"/>
    </xf>
    <xf numFmtId="0" fontId="56" fillId="0" borderId="136"/>
    <xf numFmtId="0" fontId="56" fillId="0" borderId="136"/>
    <xf numFmtId="0" fontId="56" fillId="0" borderId="136"/>
    <xf numFmtId="3" fontId="56" fillId="0" borderId="136"/>
    <xf numFmtId="3" fontId="56" fillId="0" borderId="136"/>
    <xf numFmtId="3" fontId="56" fillId="0" borderId="136"/>
    <xf numFmtId="236" fontId="6" fillId="0" borderId="148">
      <alignment vertical="center"/>
    </xf>
    <xf numFmtId="41" fontId="56" fillId="0" borderId="136" applyNumberFormat="0" applyFont="0" applyFill="0" applyBorder="0" applyProtection="0">
      <alignment horizontal="distributed"/>
    </xf>
    <xf numFmtId="41" fontId="56" fillId="0" borderId="136" applyNumberFormat="0" applyFont="0" applyFill="0" applyBorder="0" applyProtection="0">
      <alignment horizontal="distributed"/>
    </xf>
    <xf numFmtId="41" fontId="56" fillId="0" borderId="136" applyNumberFormat="0" applyFont="0" applyFill="0" applyBorder="0" applyProtection="0">
      <alignment horizontal="distributed"/>
    </xf>
    <xf numFmtId="0" fontId="6" fillId="0" borderId="136">
      <alignment horizontal="right" vertical="center" shrinkToFit="1"/>
    </xf>
    <xf numFmtId="0" fontId="6" fillId="0" borderId="136">
      <alignment horizontal="right" vertical="center" shrinkToFit="1"/>
    </xf>
    <xf numFmtId="0" fontId="6" fillId="0" borderId="136">
      <alignment horizontal="right" vertical="center" shrinkToFit="1"/>
    </xf>
    <xf numFmtId="0" fontId="6" fillId="0" borderId="136">
      <alignment horizontal="right" vertical="center" shrinkToFit="1"/>
    </xf>
    <xf numFmtId="0" fontId="94" fillId="0" borderId="198">
      <alignment horizontal="centerContinuous" vertical="center"/>
    </xf>
    <xf numFmtId="0" fontId="6" fillId="0" borderId="218">
      <alignment horizontal="centerContinuous" vertical="center"/>
    </xf>
    <xf numFmtId="338" fontId="19" fillId="0" borderId="172"/>
    <xf numFmtId="0" fontId="50" fillId="3" borderId="137">
      <alignment vertical="center"/>
    </xf>
    <xf numFmtId="0" fontId="50" fillId="3" borderId="137">
      <alignment vertical="center"/>
    </xf>
    <xf numFmtId="0" fontId="92" fillId="0" borderId="172"/>
    <xf numFmtId="3" fontId="57" fillId="0" borderId="172"/>
    <xf numFmtId="244" fontId="117" fillId="0" borderId="136">
      <alignment vertical="center"/>
    </xf>
    <xf numFmtId="244" fontId="117" fillId="0" borderId="136">
      <alignment vertical="center"/>
    </xf>
    <xf numFmtId="244" fontId="117" fillId="0" borderId="136">
      <alignment vertical="center"/>
    </xf>
    <xf numFmtId="243" fontId="117" fillId="0" borderId="136">
      <alignment vertical="center"/>
    </xf>
    <xf numFmtId="243" fontId="117" fillId="0" borderId="136">
      <alignment vertical="center"/>
    </xf>
    <xf numFmtId="243" fontId="117" fillId="0" borderId="136">
      <alignment vertical="center"/>
    </xf>
    <xf numFmtId="239" fontId="117" fillId="0" borderId="136">
      <alignment horizontal="right" vertical="center"/>
    </xf>
    <xf numFmtId="239" fontId="117" fillId="0" borderId="136">
      <alignment horizontal="right" vertical="center"/>
    </xf>
    <xf numFmtId="239" fontId="117" fillId="0" borderId="136">
      <alignment horizontal="right" vertical="center"/>
    </xf>
    <xf numFmtId="234" fontId="117" fillId="0" borderId="136">
      <alignment vertical="center"/>
    </xf>
    <xf numFmtId="234" fontId="117" fillId="0" borderId="136">
      <alignment vertical="center"/>
    </xf>
    <xf numFmtId="234" fontId="117" fillId="0" borderId="136">
      <alignment vertical="center"/>
    </xf>
    <xf numFmtId="10" fontId="39" fillId="2" borderId="136" applyNumberFormat="0" applyBorder="0" applyAlignment="0" applyProtection="0"/>
    <xf numFmtId="10" fontId="39" fillId="2" borderId="136" applyNumberFormat="0" applyBorder="0" applyAlignment="0" applyProtection="0"/>
    <xf numFmtId="10" fontId="39" fillId="2" borderId="136" applyNumberFormat="0" applyBorder="0" applyAlignment="0" applyProtection="0"/>
    <xf numFmtId="0" fontId="41" fillId="0" borderId="137">
      <alignment horizontal="left" vertical="center"/>
    </xf>
    <xf numFmtId="0" fontId="41" fillId="0" borderId="137">
      <alignment horizontal="left" vertical="center"/>
    </xf>
    <xf numFmtId="0" fontId="41" fillId="0" borderId="137">
      <alignment horizontal="left" vertical="center"/>
    </xf>
    <xf numFmtId="3" fontId="57" fillId="0" borderId="136"/>
    <xf numFmtId="3" fontId="57" fillId="0" borderId="136"/>
    <xf numFmtId="0" fontId="94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3" fontId="57" fillId="0" borderId="196"/>
    <xf numFmtId="200" fontId="77" fillId="0" borderId="136">
      <alignment vertical="center"/>
    </xf>
    <xf numFmtId="10" fontId="39" fillId="4" borderId="136" applyNumberFormat="0" applyBorder="0" applyAlignment="0" applyProtection="0"/>
    <xf numFmtId="0" fontId="50" fillId="3" borderId="137">
      <alignment vertical="center"/>
    </xf>
    <xf numFmtId="17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200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00" fontId="6" fillId="0" borderId="136">
      <alignment vertical="center"/>
    </xf>
    <xf numFmtId="0" fontId="57" fillId="28" borderId="178" applyNumberFormat="0" applyFont="0" applyAlignment="0" applyProtection="0">
      <alignment vertical="center"/>
    </xf>
    <xf numFmtId="191" fontId="6" fillId="0" borderId="181">
      <alignment vertical="center"/>
    </xf>
    <xf numFmtId="0" fontId="6" fillId="0" borderId="183">
      <alignment horizontal="centerContinuous" vertical="center"/>
    </xf>
    <xf numFmtId="221" fontId="117" fillId="0" borderId="112">
      <alignment vertical="center"/>
    </xf>
    <xf numFmtId="247" fontId="117" fillId="0" borderId="136">
      <alignment vertical="center"/>
    </xf>
    <xf numFmtId="0" fontId="6" fillId="0" borderId="136">
      <alignment vertical="center"/>
    </xf>
    <xf numFmtId="176" fontId="6" fillId="0" borderId="160">
      <alignment vertical="center"/>
    </xf>
    <xf numFmtId="238" fontId="6" fillId="0" borderId="196">
      <alignment vertical="center"/>
    </xf>
    <xf numFmtId="3" fontId="57" fillId="0" borderId="196"/>
    <xf numFmtId="244" fontId="117" fillId="0" borderId="172">
      <alignment vertical="center"/>
    </xf>
    <xf numFmtId="3" fontId="57" fillId="0" borderId="181"/>
    <xf numFmtId="206" fontId="6" fillId="0" borderId="136">
      <alignment vertical="center"/>
    </xf>
    <xf numFmtId="242" fontId="6" fillId="0" borderId="196">
      <alignment horizontal="right" vertical="center"/>
    </xf>
    <xf numFmtId="200" fontId="6" fillId="0" borderId="160">
      <alignment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322" fontId="9" fillId="0" borderId="150">
      <alignment horizontal="centerContinuous" vertical="center"/>
    </xf>
    <xf numFmtId="0" fontId="6" fillId="0" borderId="208">
      <alignment horizontal="right" vertical="center" shrinkToFit="1"/>
    </xf>
    <xf numFmtId="0" fontId="153" fillId="22" borderId="177" applyNumberFormat="0" applyAlignment="0" applyProtection="0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6" fillId="0" borderId="183">
      <alignment horizontal="centerContinuous" vertical="center"/>
    </xf>
    <xf numFmtId="176" fontId="6" fillId="0" borderId="172">
      <alignment vertical="center"/>
    </xf>
    <xf numFmtId="0" fontId="57" fillId="28" borderId="178" applyNumberFormat="0" applyFont="0" applyAlignment="0" applyProtection="0">
      <alignment vertical="center"/>
    </xf>
    <xf numFmtId="200" fontId="6" fillId="0" borderId="181">
      <alignment vertical="center"/>
    </xf>
    <xf numFmtId="191" fontId="6" fillId="0" borderId="181">
      <alignment vertical="center"/>
    </xf>
    <xf numFmtId="322" fontId="9" fillId="0" borderId="198">
      <alignment horizontal="centerContinuous" vertical="center"/>
    </xf>
    <xf numFmtId="191" fontId="6" fillId="0" borderId="172">
      <alignment vertical="center"/>
    </xf>
    <xf numFmtId="230" fontId="6" fillId="0" borderId="172">
      <alignment vertical="center"/>
    </xf>
    <xf numFmtId="230" fontId="6" fillId="0" borderId="172">
      <alignment vertical="center"/>
    </xf>
    <xf numFmtId="241" fontId="6" fillId="0" borderId="172">
      <alignment horizontal="right" vertical="center"/>
    </xf>
    <xf numFmtId="230" fontId="6" fillId="0" borderId="196">
      <alignment vertical="center"/>
    </xf>
    <xf numFmtId="230" fontId="6" fillId="0" borderId="196">
      <alignment vertical="center"/>
    </xf>
    <xf numFmtId="233" fontId="122" fillId="0" borderId="196" applyFill="0" applyBorder="0" applyAlignment="0"/>
    <xf numFmtId="240" fontId="6" fillId="0" borderId="160">
      <alignment horizontal="right" vertical="center"/>
    </xf>
    <xf numFmtId="322" fontId="9" fillId="0" borderId="218">
      <alignment horizontal="centerContinuous" vertical="center"/>
    </xf>
    <xf numFmtId="236" fontId="6" fillId="0" borderId="160">
      <alignment vertical="center"/>
    </xf>
    <xf numFmtId="10" fontId="39" fillId="4" borderId="208" applyNumberFormat="0" applyBorder="0" applyAlignment="0" applyProtection="0"/>
    <xf numFmtId="3" fontId="56" fillId="0" borderId="208"/>
    <xf numFmtId="256" fontId="117" fillId="0" borderId="208" applyBorder="0">
      <alignment vertical="center"/>
    </xf>
    <xf numFmtId="200" fontId="6" fillId="0" borderId="196">
      <alignment vertical="center"/>
    </xf>
    <xf numFmtId="243" fontId="117" fillId="0" borderId="208">
      <alignment vertical="center"/>
    </xf>
    <xf numFmtId="256" fontId="117" fillId="0" borderId="208" applyBorder="0">
      <alignment vertical="center"/>
    </xf>
    <xf numFmtId="257" fontId="117" fillId="0" borderId="160" applyBorder="0">
      <alignment horizontal="left" vertical="center"/>
    </xf>
    <xf numFmtId="0" fontId="134" fillId="0" borderId="160">
      <alignment vertical="center"/>
    </xf>
    <xf numFmtId="191" fontId="6" fillId="0" borderId="172">
      <alignment vertical="center"/>
    </xf>
    <xf numFmtId="191" fontId="6" fillId="0" borderId="172">
      <alignment vertical="center"/>
    </xf>
    <xf numFmtId="193" fontId="23" fillId="0" borderId="0">
      <protection locked="0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239" fontId="117" fillId="0" borderId="216">
      <alignment horizontal="right" vertical="center"/>
    </xf>
    <xf numFmtId="0" fontId="94" fillId="0" borderId="186">
      <alignment horizontal="centerContinuous" vertical="center"/>
    </xf>
    <xf numFmtId="185" fontId="8" fillId="0" borderId="208">
      <alignment vertical="center"/>
    </xf>
    <xf numFmtId="3" fontId="57" fillId="0" borderId="208"/>
    <xf numFmtId="3" fontId="57" fillId="0" borderId="208"/>
    <xf numFmtId="244" fontId="117" fillId="0" borderId="196">
      <alignment vertical="center"/>
    </xf>
    <xf numFmtId="0" fontId="94" fillId="0" borderId="198">
      <alignment horizontal="centerContinuous" vertical="center"/>
    </xf>
    <xf numFmtId="237" fontId="6" fillId="0" borderId="172">
      <alignment vertical="center"/>
    </xf>
    <xf numFmtId="0" fontId="92" fillId="0" borderId="208"/>
    <xf numFmtId="3" fontId="57" fillId="0" borderId="160"/>
    <xf numFmtId="0" fontId="92" fillId="0" borderId="216"/>
    <xf numFmtId="191" fontId="6" fillId="0" borderId="148">
      <alignment vertical="center"/>
    </xf>
    <xf numFmtId="256" fontId="117" fillId="0" borderId="196" applyBorder="0">
      <alignment vertical="center"/>
    </xf>
    <xf numFmtId="0" fontId="6" fillId="0" borderId="183">
      <alignment horizontal="centerContinuous" vertical="center"/>
    </xf>
    <xf numFmtId="191" fontId="6" fillId="0" borderId="196">
      <alignment vertical="center"/>
    </xf>
    <xf numFmtId="3" fontId="56" fillId="0" borderId="216"/>
    <xf numFmtId="41" fontId="56" fillId="0" borderId="216" applyNumberFormat="0" applyFont="0" applyFill="0" applyBorder="0" applyProtection="0">
      <alignment horizontal="distributed"/>
    </xf>
    <xf numFmtId="200" fontId="6" fillId="0" borderId="136">
      <alignment vertical="center"/>
    </xf>
    <xf numFmtId="0" fontId="92" fillId="0" borderId="181"/>
    <xf numFmtId="0" fontId="9" fillId="0" borderId="181">
      <alignment horizontal="distributed" vertical="center"/>
    </xf>
    <xf numFmtId="0" fontId="9" fillId="0" borderId="180">
      <alignment horizontal="distributed"/>
    </xf>
    <xf numFmtId="3" fontId="56" fillId="0" borderId="208"/>
    <xf numFmtId="200" fontId="6" fillId="0" borderId="181">
      <alignment vertical="center"/>
    </xf>
    <xf numFmtId="3" fontId="56" fillId="0" borderId="196"/>
    <xf numFmtId="240" fontId="6" fillId="0" borderId="181">
      <alignment horizontal="right" vertical="center"/>
    </xf>
    <xf numFmtId="238" fontId="6" fillId="0" borderId="148">
      <alignment vertical="center"/>
    </xf>
    <xf numFmtId="191" fontId="6" fillId="0" borderId="196">
      <alignment vertical="center"/>
    </xf>
    <xf numFmtId="0" fontId="134" fillId="0" borderId="181">
      <alignment vertical="center"/>
    </xf>
    <xf numFmtId="3" fontId="57" fillId="0" borderId="216"/>
    <xf numFmtId="0" fontId="41" fillId="0" borderId="184">
      <alignment horizontal="left" vertical="center"/>
    </xf>
    <xf numFmtId="243" fontId="117" fillId="0" borderId="216">
      <alignment vertical="center"/>
    </xf>
    <xf numFmtId="0" fontId="56" fillId="0" borderId="208"/>
    <xf numFmtId="0" fontId="153" fillId="22" borderId="213" applyNumberFormat="0" applyAlignment="0" applyProtection="0">
      <alignment vertical="center"/>
    </xf>
    <xf numFmtId="230" fontId="6" fillId="0" borderId="181">
      <alignment vertical="center"/>
    </xf>
    <xf numFmtId="0" fontId="57" fillId="28" borderId="133" applyNumberFormat="0" applyFont="0" applyAlignment="0" applyProtection="0">
      <alignment vertical="center"/>
    </xf>
    <xf numFmtId="0" fontId="57" fillId="28" borderId="133" applyNumberFormat="0" applyFont="0" applyAlignment="0" applyProtection="0">
      <alignment vertical="center"/>
    </xf>
    <xf numFmtId="0" fontId="6" fillId="28" borderId="133" applyNumberFormat="0" applyFont="0" applyAlignment="0" applyProtection="0">
      <alignment vertical="center"/>
    </xf>
    <xf numFmtId="0" fontId="9" fillId="0" borderId="216">
      <alignment horizontal="distributed" vertical="center"/>
    </xf>
    <xf numFmtId="322" fontId="9" fillId="0" borderId="218">
      <alignment horizontal="centerContinuous" vertical="center"/>
    </xf>
    <xf numFmtId="0" fontId="153" fillId="22" borderId="132" applyNumberFormat="0" applyAlignment="0" applyProtection="0">
      <alignment vertical="center"/>
    </xf>
    <xf numFmtId="0" fontId="153" fillId="22" borderId="132" applyNumberFormat="0" applyAlignment="0" applyProtection="0">
      <alignment vertical="center"/>
    </xf>
    <xf numFmtId="0" fontId="153" fillId="22" borderId="132" applyNumberFormat="0" applyAlignment="0" applyProtection="0">
      <alignment vertical="center"/>
    </xf>
    <xf numFmtId="0" fontId="6" fillId="0" borderId="208" applyNumberFormat="0" applyFill="0" applyProtection="0">
      <alignment vertical="center"/>
    </xf>
    <xf numFmtId="0" fontId="94" fillId="0" borderId="183">
      <alignment horizontal="centerContinuous" vertical="center"/>
    </xf>
    <xf numFmtId="0" fontId="56" fillId="0" borderId="172"/>
    <xf numFmtId="243" fontId="117" fillId="0" borderId="172">
      <alignment vertical="center"/>
    </xf>
    <xf numFmtId="239" fontId="117" fillId="0" borderId="172">
      <alignment horizontal="right" vertical="center"/>
    </xf>
    <xf numFmtId="234" fontId="117" fillId="0" borderId="172">
      <alignment vertical="center"/>
    </xf>
    <xf numFmtId="218" fontId="6" fillId="0" borderId="160">
      <alignment vertical="center"/>
    </xf>
    <xf numFmtId="176" fontId="6" fillId="0" borderId="160">
      <alignment vertical="center"/>
    </xf>
    <xf numFmtId="241" fontId="6" fillId="0" borderId="160">
      <alignment horizontal="right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236" fontId="6" fillId="0" borderId="172">
      <alignment vertical="center"/>
    </xf>
    <xf numFmtId="0" fontId="50" fillId="3" borderId="184">
      <alignment vertical="center"/>
    </xf>
    <xf numFmtId="3" fontId="57" fillId="0" borderId="181"/>
    <xf numFmtId="338" fontId="19" fillId="0" borderId="181"/>
    <xf numFmtId="3" fontId="56" fillId="0" borderId="196"/>
    <xf numFmtId="0" fontId="56" fillId="0" borderId="172"/>
    <xf numFmtId="0" fontId="6" fillId="0" borderId="198">
      <alignment horizontal="centerContinuous" vertical="center"/>
    </xf>
    <xf numFmtId="200" fontId="6" fillId="0" borderId="196">
      <alignment vertical="center"/>
    </xf>
    <xf numFmtId="0" fontId="6" fillId="0" borderId="183">
      <alignment horizontal="centerContinuous" vertical="center"/>
    </xf>
    <xf numFmtId="0" fontId="94" fillId="0" borderId="186">
      <alignment horizontal="centerContinuous" vertical="center"/>
    </xf>
    <xf numFmtId="200" fontId="6" fillId="0" borderId="160">
      <alignment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224" fillId="0" borderId="138">
      <alignment horizontal="centerContinuous" vertical="center"/>
    </xf>
    <xf numFmtId="186" fontId="14" fillId="0" borderId="142"/>
    <xf numFmtId="0" fontId="160" fillId="12" borderId="144" applyNumberFormat="0" applyAlignment="0" applyProtection="0">
      <alignment vertical="center"/>
    </xf>
    <xf numFmtId="0" fontId="54" fillId="28" borderId="145" applyNumberFormat="0" applyFont="0" applyAlignment="0" applyProtection="0">
      <alignment vertical="center"/>
    </xf>
    <xf numFmtId="0" fontId="153" fillId="22" borderId="144" applyNumberFormat="0" applyAlignment="0" applyProtection="0">
      <alignment vertical="center"/>
    </xf>
    <xf numFmtId="203" fontId="176" fillId="0" borderId="140" applyFill="0" applyProtection="0">
      <alignment horizontal="center"/>
    </xf>
    <xf numFmtId="0" fontId="50" fillId="3" borderId="137">
      <alignment vertical="center"/>
    </xf>
    <xf numFmtId="338" fontId="19" fillId="0" borderId="136"/>
    <xf numFmtId="338" fontId="19" fillId="0" borderId="136"/>
    <xf numFmtId="0" fontId="9" fillId="0" borderId="139">
      <alignment horizontal="distributed"/>
    </xf>
    <xf numFmtId="0" fontId="9" fillId="0" borderId="139">
      <alignment horizontal="distributed"/>
    </xf>
    <xf numFmtId="0" fontId="9" fillId="0" borderId="139">
      <alignment horizontal="distributed"/>
    </xf>
    <xf numFmtId="0" fontId="9" fillId="0" borderId="136">
      <alignment horizontal="distributed" vertical="center"/>
    </xf>
    <xf numFmtId="0" fontId="9" fillId="0" borderId="136">
      <alignment horizontal="distributed" vertical="center"/>
    </xf>
    <xf numFmtId="0" fontId="9" fillId="0" borderId="136">
      <alignment horizontal="distributed" vertical="center"/>
    </xf>
    <xf numFmtId="236" fontId="6" fillId="0" borderId="136">
      <alignment vertical="center"/>
    </xf>
    <xf numFmtId="256" fontId="117" fillId="0" borderId="136" applyBorder="0">
      <alignment vertical="center"/>
    </xf>
    <xf numFmtId="256" fontId="117" fillId="0" borderId="136" applyBorder="0">
      <alignment vertical="center"/>
    </xf>
    <xf numFmtId="256" fontId="117" fillId="0" borderId="136" applyBorder="0">
      <alignment vertical="center"/>
    </xf>
    <xf numFmtId="0" fontId="92" fillId="0" borderId="136"/>
    <xf numFmtId="0" fontId="92" fillId="0" borderId="136"/>
    <xf numFmtId="0" fontId="92" fillId="0" borderId="136"/>
    <xf numFmtId="0" fontId="56" fillId="0" borderId="136"/>
    <xf numFmtId="0" fontId="56" fillId="0" borderId="136"/>
    <xf numFmtId="0" fontId="56" fillId="0" borderId="136"/>
    <xf numFmtId="3" fontId="56" fillId="0" borderId="136"/>
    <xf numFmtId="3" fontId="56" fillId="0" borderId="136"/>
    <xf numFmtId="3" fontId="56" fillId="0" borderId="136"/>
    <xf numFmtId="41" fontId="56" fillId="0" borderId="136" applyNumberFormat="0" applyFont="0" applyFill="0" applyBorder="0" applyProtection="0">
      <alignment horizontal="distributed"/>
    </xf>
    <xf numFmtId="41" fontId="56" fillId="0" borderId="136" applyNumberFormat="0" applyFont="0" applyFill="0" applyBorder="0" applyProtection="0">
      <alignment horizontal="distributed"/>
    </xf>
    <xf numFmtId="41" fontId="56" fillId="0" borderId="136" applyNumberFormat="0" applyFont="0" applyFill="0" applyBorder="0" applyProtection="0">
      <alignment horizontal="distributed"/>
    </xf>
    <xf numFmtId="0" fontId="6" fillId="0" borderId="136">
      <alignment horizontal="right" vertical="center" shrinkToFit="1"/>
    </xf>
    <xf numFmtId="0" fontId="6" fillId="0" borderId="136">
      <alignment horizontal="right" vertical="center" shrinkToFit="1"/>
    </xf>
    <xf numFmtId="0" fontId="6" fillId="0" borderId="136">
      <alignment horizontal="right" vertical="center" shrinkToFit="1"/>
    </xf>
    <xf numFmtId="322" fontId="9" fillId="0" borderId="198">
      <alignment horizontal="centerContinuous" vertical="center"/>
    </xf>
    <xf numFmtId="176" fontId="6" fillId="0" borderId="181">
      <alignment vertical="center"/>
    </xf>
    <xf numFmtId="0" fontId="94" fillId="0" borderId="186">
      <alignment horizontal="centerContinuous" vertical="center"/>
    </xf>
    <xf numFmtId="338" fontId="19" fillId="0" borderId="172"/>
    <xf numFmtId="0" fontId="50" fillId="3" borderId="137">
      <alignment vertical="center"/>
    </xf>
    <xf numFmtId="200" fontId="6" fillId="0" borderId="172">
      <alignment vertical="center"/>
    </xf>
    <xf numFmtId="3" fontId="57" fillId="0" borderId="196"/>
    <xf numFmtId="244" fontId="117" fillId="0" borderId="136">
      <alignment vertical="center"/>
    </xf>
    <xf numFmtId="244" fontId="117" fillId="0" borderId="136">
      <alignment vertical="center"/>
    </xf>
    <xf numFmtId="244" fontId="117" fillId="0" borderId="136">
      <alignment vertical="center"/>
    </xf>
    <xf numFmtId="243" fontId="117" fillId="0" borderId="136">
      <alignment vertical="center"/>
    </xf>
    <xf numFmtId="243" fontId="117" fillId="0" borderId="136">
      <alignment vertical="center"/>
    </xf>
    <xf numFmtId="243" fontId="117" fillId="0" borderId="136">
      <alignment vertical="center"/>
    </xf>
    <xf numFmtId="239" fontId="117" fillId="0" borderId="136">
      <alignment horizontal="right" vertical="center"/>
    </xf>
    <xf numFmtId="239" fontId="117" fillId="0" borderId="136">
      <alignment horizontal="right" vertical="center"/>
    </xf>
    <xf numFmtId="239" fontId="117" fillId="0" borderId="136">
      <alignment horizontal="right" vertical="center"/>
    </xf>
    <xf numFmtId="234" fontId="117" fillId="0" borderId="136">
      <alignment vertical="center"/>
    </xf>
    <xf numFmtId="234" fontId="117" fillId="0" borderId="136">
      <alignment vertical="center"/>
    </xf>
    <xf numFmtId="234" fontId="117" fillId="0" borderId="136">
      <alignment vertical="center"/>
    </xf>
    <xf numFmtId="10" fontId="39" fillId="4" borderId="136" applyNumberFormat="0" applyBorder="0" applyAlignment="0" applyProtection="0"/>
    <xf numFmtId="10" fontId="39" fillId="2" borderId="136" applyNumberFormat="0" applyBorder="0" applyAlignment="0" applyProtection="0"/>
    <xf numFmtId="10" fontId="39" fillId="2" borderId="136" applyNumberFormat="0" applyBorder="0" applyAlignment="0" applyProtection="0"/>
    <xf numFmtId="0" fontId="41" fillId="0" borderId="137">
      <alignment horizontal="left" vertical="center"/>
    </xf>
    <xf numFmtId="0" fontId="41" fillId="0" borderId="137">
      <alignment horizontal="left" vertical="center"/>
    </xf>
    <xf numFmtId="0" fontId="41" fillId="0" borderId="137">
      <alignment horizontal="left" vertical="center"/>
    </xf>
    <xf numFmtId="3" fontId="57" fillId="0" borderId="136"/>
    <xf numFmtId="236" fontId="6" fillId="0" borderId="160">
      <alignment vertical="center"/>
    </xf>
    <xf numFmtId="0" fontId="6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3" fontId="57" fillId="0" borderId="216"/>
    <xf numFmtId="185" fontId="9" fillId="0" borderId="136">
      <alignment horizontal="center" vertical="center"/>
    </xf>
    <xf numFmtId="0" fontId="82" fillId="0" borderId="136"/>
    <xf numFmtId="3" fontId="57" fillId="0" borderId="136"/>
    <xf numFmtId="17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0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200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00" fontId="6" fillId="0" borderId="136">
      <alignment vertical="center"/>
    </xf>
    <xf numFmtId="0" fontId="6" fillId="28" borderId="178" applyNumberFormat="0" applyFont="0" applyAlignment="0" applyProtection="0">
      <alignment vertical="center"/>
    </xf>
    <xf numFmtId="191" fontId="6" fillId="0" borderId="181">
      <alignment vertical="center"/>
    </xf>
    <xf numFmtId="243" fontId="117" fillId="0" borderId="196">
      <alignment vertical="center"/>
    </xf>
    <xf numFmtId="0" fontId="94" fillId="0" borderId="198">
      <alignment horizontal="centerContinuous" vertical="center"/>
    </xf>
    <xf numFmtId="0" fontId="117" fillId="0" borderId="101">
      <alignment horizontal="centerContinuous" vertical="center"/>
    </xf>
    <xf numFmtId="0" fontId="6" fillId="0" borderId="183">
      <alignment horizontal="centerContinuous" vertical="center"/>
    </xf>
    <xf numFmtId="249" fontId="6" fillId="0" borderId="181">
      <alignment vertical="center"/>
    </xf>
    <xf numFmtId="0" fontId="50" fillId="3" borderId="185">
      <alignment vertical="center"/>
    </xf>
    <xf numFmtId="0" fontId="159" fillId="0" borderId="194" applyNumberFormat="0" applyFill="0" applyAlignment="0" applyProtection="0">
      <alignment vertical="center"/>
    </xf>
    <xf numFmtId="3" fontId="57" fillId="0" borderId="181"/>
    <xf numFmtId="191" fontId="6" fillId="0" borderId="148">
      <alignment vertical="center"/>
    </xf>
    <xf numFmtId="10" fontId="39" fillId="4" borderId="181" applyNumberFormat="0" applyBorder="0" applyAlignment="0" applyProtection="0"/>
    <xf numFmtId="206" fontId="6" fillId="0" borderId="124">
      <alignment vertical="center"/>
    </xf>
    <xf numFmtId="256" fontId="117" fillId="0" borderId="172" applyBorder="0">
      <alignment vertical="center"/>
    </xf>
    <xf numFmtId="191" fontId="6" fillId="0" borderId="172">
      <alignment vertical="center"/>
    </xf>
    <xf numFmtId="0" fontId="92" fillId="0" borderId="172"/>
    <xf numFmtId="41" fontId="56" fillId="0" borderId="172" applyNumberFormat="0" applyFont="0" applyFill="0" applyBorder="0" applyProtection="0">
      <alignment horizontal="distributed"/>
    </xf>
    <xf numFmtId="0" fontId="6" fillId="0" borderId="172">
      <alignment horizontal="right" vertical="center" shrinkToFit="1"/>
    </xf>
    <xf numFmtId="0" fontId="6" fillId="0" borderId="172">
      <alignment horizontal="right" vertical="center" shrinkToFit="1"/>
    </xf>
    <xf numFmtId="10" fontId="39" fillId="2" borderId="196" applyNumberFormat="0" applyBorder="0" applyAlignment="0" applyProtection="0"/>
    <xf numFmtId="244" fontId="117" fillId="0" borderId="172">
      <alignment vertical="center"/>
    </xf>
    <xf numFmtId="244" fontId="117" fillId="0" borderId="172">
      <alignment vertical="center"/>
    </xf>
    <xf numFmtId="10" fontId="39" fillId="2" borderId="172" applyNumberFormat="0" applyBorder="0" applyAlignment="0" applyProtection="0"/>
    <xf numFmtId="10" fontId="39" fillId="2" borderId="172" applyNumberFormat="0" applyBorder="0" applyAlignment="0" applyProtection="0"/>
    <xf numFmtId="0" fontId="82" fillId="0" borderId="172"/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37" fontId="6" fillId="0" borderId="124">
      <alignment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2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40" fontId="6" fillId="0" borderId="124">
      <alignment horizontal="right" vertical="center"/>
    </xf>
    <xf numFmtId="237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236" fontId="6" fillId="0" borderId="124">
      <alignment vertical="center"/>
    </xf>
    <xf numFmtId="0" fontId="186" fillId="0" borderId="136" applyProtection="0">
      <alignment vertical="center"/>
    </xf>
    <xf numFmtId="10" fontId="39" fillId="2" borderId="181" applyNumberFormat="0" applyBorder="0" applyAlignment="0" applyProtection="0"/>
    <xf numFmtId="234" fontId="117" fillId="0" borderId="181">
      <alignment vertical="center"/>
    </xf>
    <xf numFmtId="256" fontId="117" fillId="0" borderId="208" applyBorder="0">
      <alignment vertical="center"/>
    </xf>
    <xf numFmtId="3" fontId="56" fillId="0" borderId="181"/>
    <xf numFmtId="221" fontId="117" fillId="0" borderId="124">
      <alignment vertical="center"/>
    </xf>
    <xf numFmtId="191" fontId="6" fillId="0" borderId="196">
      <alignment vertical="center"/>
    </xf>
    <xf numFmtId="3" fontId="57" fillId="0" borderId="160"/>
    <xf numFmtId="3" fontId="6" fillId="0" borderId="181"/>
    <xf numFmtId="0" fontId="41" fillId="0" borderId="125">
      <alignment horizontal="left" vertical="center"/>
    </xf>
    <xf numFmtId="0" fontId="50" fillId="3" borderId="125">
      <alignment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0" fontId="117" fillId="0" borderId="126">
      <alignment horizontal="centerContinuous" vertical="center"/>
    </xf>
    <xf numFmtId="322" fontId="9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92" fillId="0" borderId="196"/>
    <xf numFmtId="322" fontId="9" fillId="0" borderId="198">
      <alignment horizontal="centerContinuous" vertical="center"/>
    </xf>
    <xf numFmtId="200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3" fontId="23" fillId="0" borderId="0">
      <protection locked="0"/>
    </xf>
    <xf numFmtId="0" fontId="6" fillId="0" borderId="218">
      <alignment horizontal="centerContinuous" vertical="center"/>
    </xf>
    <xf numFmtId="0" fontId="94" fillId="0" borderId="218">
      <alignment horizontal="centerContinuous" vertical="center"/>
    </xf>
    <xf numFmtId="200" fontId="6" fillId="0" borderId="136">
      <alignment vertical="center"/>
    </xf>
    <xf numFmtId="0" fontId="82" fillId="0" borderId="208"/>
    <xf numFmtId="0" fontId="6" fillId="0" borderId="208">
      <alignment horizontal="right" vertical="center" shrinkToFit="1"/>
    </xf>
    <xf numFmtId="0" fontId="56" fillId="0" borderId="208"/>
    <xf numFmtId="41" fontId="9" fillId="0" borderId="71">
      <alignment horizontal="center" vertical="center"/>
    </xf>
    <xf numFmtId="0" fontId="41" fillId="0" borderId="197">
      <alignment horizontal="left" vertical="center"/>
    </xf>
    <xf numFmtId="0" fontId="159" fillId="0" borderId="179" applyNumberFormat="0" applyFill="0" applyAlignment="0" applyProtection="0">
      <alignment vertical="center"/>
    </xf>
    <xf numFmtId="240" fontId="6" fillId="0" borderId="160">
      <alignment horizontal="right" vertical="center"/>
    </xf>
    <xf numFmtId="0" fontId="50" fillId="3" borderId="217">
      <alignment vertical="center"/>
    </xf>
    <xf numFmtId="230" fontId="6" fillId="0" borderId="181">
      <alignment vertical="center"/>
    </xf>
    <xf numFmtId="3" fontId="57" fillId="0" borderId="136"/>
    <xf numFmtId="236" fontId="6" fillId="0" borderId="160">
      <alignment vertical="center"/>
    </xf>
    <xf numFmtId="0" fontId="9" fillId="0" borderId="187">
      <alignment horizontal="distributed"/>
    </xf>
    <xf numFmtId="235" fontId="117" fillId="0" borderId="160">
      <alignment vertical="center"/>
    </xf>
    <xf numFmtId="0" fontId="94" fillId="0" borderId="138">
      <alignment horizontal="centerContinuous" vertical="center"/>
    </xf>
    <xf numFmtId="0" fontId="117" fillId="0" borderId="138">
      <alignment horizontal="centerContinuous" vertical="center"/>
    </xf>
    <xf numFmtId="322" fontId="9" fillId="0" borderId="138">
      <alignment horizontal="centerContinuous" vertical="center"/>
    </xf>
    <xf numFmtId="0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322" fontId="9" fillId="0" borderId="138">
      <alignment horizontal="centerContinuous" vertical="center"/>
    </xf>
    <xf numFmtId="3" fontId="57" fillId="0" borderId="136"/>
    <xf numFmtId="249" fontId="6" fillId="0" borderId="136">
      <alignment vertical="center"/>
    </xf>
    <xf numFmtId="3" fontId="57" fillId="0" borderId="216"/>
    <xf numFmtId="191" fontId="6" fillId="0" borderId="172">
      <alignment vertical="center"/>
    </xf>
    <xf numFmtId="191" fontId="6" fillId="0" borderId="172">
      <alignment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338" fontId="19" fillId="0" borderId="216"/>
    <xf numFmtId="49" fontId="117" fillId="0" borderId="172">
      <alignment horizontal="center" vertical="center"/>
    </xf>
    <xf numFmtId="247" fontId="117" fillId="0" borderId="172">
      <alignment vertical="center"/>
    </xf>
    <xf numFmtId="0" fontId="6" fillId="0" borderId="183">
      <alignment horizontal="centerContinuous"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200" fontId="6" fillId="0" borderId="148">
      <alignment vertical="center"/>
    </xf>
    <xf numFmtId="200" fontId="6" fillId="0" borderId="148">
      <alignment vertical="center"/>
    </xf>
    <xf numFmtId="240" fontId="6" fillId="0" borderId="160">
      <alignment horizontal="right" vertical="center"/>
    </xf>
    <xf numFmtId="240" fontId="6" fillId="0" borderId="160">
      <alignment horizontal="right" vertical="center"/>
    </xf>
    <xf numFmtId="236" fontId="6" fillId="0" borderId="160">
      <alignment vertical="center"/>
    </xf>
    <xf numFmtId="240" fontId="6" fillId="0" borderId="160">
      <alignment horizontal="right" vertical="center"/>
    </xf>
    <xf numFmtId="185" fontId="8" fillId="0" borderId="148">
      <alignment vertical="center"/>
    </xf>
    <xf numFmtId="185" fontId="8" fillId="0" borderId="148">
      <alignment vertical="center"/>
    </xf>
    <xf numFmtId="3" fontId="57" fillId="0" borderId="148"/>
    <xf numFmtId="3" fontId="57" fillId="0" borderId="148"/>
    <xf numFmtId="3" fontId="57" fillId="0" borderId="148"/>
    <xf numFmtId="3" fontId="57" fillId="0" borderId="148"/>
    <xf numFmtId="200" fontId="6" fillId="0" borderId="181">
      <alignment vertical="center"/>
    </xf>
    <xf numFmtId="0" fontId="41" fillId="0" borderId="149">
      <alignment horizontal="left" vertical="center"/>
    </xf>
    <xf numFmtId="243" fontId="117" fillId="0" borderId="148">
      <alignment vertical="center"/>
    </xf>
    <xf numFmtId="230" fontId="6" fillId="0" borderId="181">
      <alignment vertical="center"/>
    </xf>
    <xf numFmtId="0" fontId="82" fillId="0" borderId="181"/>
    <xf numFmtId="0" fontId="56" fillId="0" borderId="148"/>
    <xf numFmtId="239" fontId="117" fillId="0" borderId="196">
      <alignment horizontal="right" vertical="center"/>
    </xf>
    <xf numFmtId="0" fontId="6" fillId="0" borderId="186">
      <alignment horizontal="centerContinuous" vertical="center"/>
    </xf>
    <xf numFmtId="0" fontId="94" fillId="0" borderId="186">
      <alignment horizontal="centerContinuous" vertical="center"/>
    </xf>
    <xf numFmtId="0" fontId="9" fillId="0" borderId="187">
      <alignment horizontal="distributed"/>
    </xf>
    <xf numFmtId="237" fontId="6" fillId="0" borderId="181">
      <alignment vertical="center"/>
    </xf>
    <xf numFmtId="10" fontId="39" fillId="4" borderId="148" applyNumberFormat="0" applyBorder="0" applyAlignment="0" applyProtection="0"/>
    <xf numFmtId="0" fontId="153" fillId="22" borderId="144" applyNumberFormat="0" applyAlignment="0" applyProtection="0">
      <alignment vertical="center"/>
    </xf>
    <xf numFmtId="0" fontId="153" fillId="22" borderId="144" applyNumberFormat="0" applyAlignment="0" applyProtection="0">
      <alignment vertical="center"/>
    </xf>
    <xf numFmtId="0" fontId="153" fillId="22" borderId="144" applyNumberFormat="0" applyAlignment="0" applyProtection="0">
      <alignment vertical="center"/>
    </xf>
    <xf numFmtId="235" fontId="117" fillId="0" borderId="181">
      <alignment vertical="center"/>
    </xf>
    <xf numFmtId="0" fontId="9" fillId="0" borderId="208">
      <alignment horizontal="distributed" vertical="center"/>
    </xf>
    <xf numFmtId="338" fontId="19" fillId="0" borderId="208"/>
    <xf numFmtId="0" fontId="6" fillId="0" borderId="181">
      <alignment horizontal="right" vertical="center" shrinkToFit="1"/>
    </xf>
    <xf numFmtId="3" fontId="56" fillId="0" borderId="181"/>
    <xf numFmtId="231" fontId="117" fillId="0" borderId="172">
      <alignment vertical="center"/>
    </xf>
    <xf numFmtId="247" fontId="117" fillId="0" borderId="181">
      <alignment vertical="center"/>
    </xf>
    <xf numFmtId="176" fontId="6" fillId="0" borderId="148">
      <alignment vertical="center"/>
    </xf>
    <xf numFmtId="230" fontId="6" fillId="0" borderId="181">
      <alignment vertical="center"/>
    </xf>
    <xf numFmtId="218" fontId="6" fillId="0" borderId="160">
      <alignment vertical="center"/>
    </xf>
    <xf numFmtId="176" fontId="6" fillId="0" borderId="160">
      <alignment vertical="center"/>
    </xf>
    <xf numFmtId="0" fontId="6" fillId="0" borderId="160">
      <alignment vertical="center"/>
    </xf>
    <xf numFmtId="206" fontId="6" fillId="0" borderId="160">
      <alignment vertical="center"/>
    </xf>
    <xf numFmtId="0" fontId="6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3" fontId="56" fillId="0" borderId="216"/>
    <xf numFmtId="0" fontId="117" fillId="0" borderId="198">
      <alignment horizontal="centerContinuous" vertical="center"/>
    </xf>
    <xf numFmtId="200" fontId="6" fillId="0" borderId="160">
      <alignment vertical="center"/>
    </xf>
    <xf numFmtId="176" fontId="6" fillId="0" borderId="160">
      <alignment vertical="center"/>
    </xf>
    <xf numFmtId="0" fontId="92" fillId="0" borderId="160"/>
    <xf numFmtId="0" fontId="94" fillId="0" borderId="150">
      <alignment horizontal="centerContinuous" vertical="center"/>
    </xf>
    <xf numFmtId="10" fontId="39" fillId="2" borderId="181" applyNumberFormat="0" applyBorder="0" applyAlignment="0" applyProtection="0"/>
    <xf numFmtId="240" fontId="6" fillId="0" borderId="160">
      <alignment horizontal="right" vertical="center"/>
    </xf>
    <xf numFmtId="200" fontId="6" fillId="0" borderId="160">
      <alignment vertical="center"/>
    </xf>
    <xf numFmtId="176" fontId="6" fillId="0" borderId="160">
      <alignment vertical="center"/>
    </xf>
    <xf numFmtId="200" fontId="77" fillId="0" borderId="148">
      <alignment vertical="center"/>
    </xf>
    <xf numFmtId="243" fontId="117" fillId="0" borderId="148">
      <alignment vertical="center"/>
    </xf>
    <xf numFmtId="200" fontId="6" fillId="0" borderId="181">
      <alignment vertical="center"/>
    </xf>
    <xf numFmtId="10" fontId="39" fillId="4" borderId="216" applyNumberFormat="0" applyBorder="0" applyAlignment="0" applyProtection="0"/>
    <xf numFmtId="200" fontId="6" fillId="0" borderId="172">
      <alignment vertical="center"/>
    </xf>
    <xf numFmtId="185" fontId="8" fillId="0" borderId="216">
      <alignment vertical="center"/>
    </xf>
    <xf numFmtId="176" fontId="6" fillId="0" borderId="172">
      <alignment vertical="center"/>
    </xf>
    <xf numFmtId="200" fontId="77" fillId="0" borderId="216">
      <alignment vertical="center"/>
    </xf>
    <xf numFmtId="0" fontId="6" fillId="0" borderId="183">
      <alignment horizontal="centerContinuous" vertical="center"/>
    </xf>
    <xf numFmtId="309" fontId="9" fillId="0" borderId="71" applyFill="0" applyBorder="0" applyAlignment="0"/>
    <xf numFmtId="236" fontId="6" fillId="0" borderId="181">
      <alignment vertical="center"/>
    </xf>
    <xf numFmtId="41" fontId="56" fillId="0" borderId="216" applyNumberFormat="0" applyFont="0" applyFill="0" applyBorder="0" applyProtection="0">
      <alignment horizontal="distributed"/>
    </xf>
    <xf numFmtId="3" fontId="56" fillId="0" borderId="216"/>
    <xf numFmtId="3" fontId="56" fillId="0" borderId="216"/>
    <xf numFmtId="41" fontId="56" fillId="0" borderId="216" applyNumberFormat="0" applyFont="0" applyFill="0" applyBorder="0" applyProtection="0">
      <alignment horizontal="distributed"/>
    </xf>
    <xf numFmtId="0" fontId="6" fillId="0" borderId="216">
      <alignment horizontal="right" vertical="center" shrinkToFit="1"/>
    </xf>
    <xf numFmtId="240" fontId="6" fillId="0" borderId="172">
      <alignment horizontal="right" vertical="center"/>
    </xf>
    <xf numFmtId="256" fontId="117" fillId="0" borderId="196" applyBorder="0">
      <alignment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238" fontId="6" fillId="0" borderId="172">
      <alignment vertical="center"/>
    </xf>
    <xf numFmtId="236" fontId="6" fillId="0" borderId="172">
      <alignment vertical="center"/>
    </xf>
    <xf numFmtId="242" fontId="6" fillId="0" borderId="172">
      <alignment horizontal="right" vertical="center"/>
    </xf>
    <xf numFmtId="249" fontId="6" fillId="0" borderId="148">
      <alignment vertical="center"/>
    </xf>
    <xf numFmtId="249" fontId="6" fillId="0" borderId="148">
      <alignment vertical="center"/>
    </xf>
    <xf numFmtId="218" fontId="6" fillId="0" borderId="148">
      <alignment vertical="center"/>
    </xf>
    <xf numFmtId="200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242" fontId="6" fillId="0" borderId="148">
      <alignment horizontal="right" vertical="center"/>
    </xf>
    <xf numFmtId="10" fontId="39" fillId="4" borderId="71" applyNumberFormat="0" applyBorder="0" applyAlignment="0" applyProtection="0"/>
    <xf numFmtId="241" fontId="6" fillId="0" borderId="148">
      <alignment horizontal="right" vertical="center"/>
    </xf>
    <xf numFmtId="0" fontId="184" fillId="0" borderId="71" applyFill="0" applyBorder="0" applyProtection="0">
      <alignment vertical="center"/>
    </xf>
    <xf numFmtId="218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186" fillId="0" borderId="71" applyProtection="0">
      <alignment vertical="center"/>
    </xf>
    <xf numFmtId="0" fontId="117" fillId="0" borderId="150">
      <alignment horizontal="centerContinuous" vertical="center"/>
    </xf>
    <xf numFmtId="185" fontId="8" fillId="0" borderId="148">
      <alignment vertical="center"/>
    </xf>
    <xf numFmtId="3" fontId="57" fillId="0" borderId="148"/>
    <xf numFmtId="0" fontId="41" fillId="0" borderId="149">
      <alignment horizontal="left" vertical="center"/>
    </xf>
    <xf numFmtId="200" fontId="6" fillId="0" borderId="160">
      <alignment vertical="center"/>
    </xf>
    <xf numFmtId="3" fontId="57" fillId="0" borderId="196"/>
    <xf numFmtId="234" fontId="117" fillId="0" borderId="196">
      <alignment vertical="center"/>
    </xf>
    <xf numFmtId="0" fontId="6" fillId="0" borderId="186">
      <alignment horizontal="centerContinuous" vertical="center"/>
    </xf>
    <xf numFmtId="0" fontId="9" fillId="0" borderId="187">
      <alignment horizontal="distributed"/>
    </xf>
    <xf numFmtId="41" fontId="9" fillId="0" borderId="148">
      <alignment horizontal="center" vertical="center"/>
    </xf>
    <xf numFmtId="236" fontId="6" fillId="0" borderId="181">
      <alignment vertical="center"/>
    </xf>
    <xf numFmtId="0" fontId="94" fillId="0" borderId="218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3" fontId="57" fillId="0" borderId="216"/>
    <xf numFmtId="0" fontId="9" fillId="0" borderId="198">
      <alignment horizontal="centerContinuous" vertical="center"/>
    </xf>
    <xf numFmtId="237" fontId="6" fillId="0" borderId="160">
      <alignment vertical="center"/>
    </xf>
    <xf numFmtId="191" fontId="6" fillId="0" borderId="181">
      <alignment vertical="center"/>
    </xf>
    <xf numFmtId="0" fontId="6" fillId="0" borderId="172">
      <alignment vertical="center"/>
    </xf>
    <xf numFmtId="0" fontId="153" fillId="22" borderId="192" applyNumberFormat="0" applyAlignment="0" applyProtection="0">
      <alignment vertical="center"/>
    </xf>
    <xf numFmtId="322" fontId="9" fillId="0" borderId="186">
      <alignment horizontal="centerContinuous" vertical="center"/>
    </xf>
    <xf numFmtId="247" fontId="117" fillId="0" borderId="160">
      <alignment vertical="center"/>
    </xf>
    <xf numFmtId="0" fontId="94" fillId="0" borderId="183">
      <alignment horizontal="centerContinuous" vertical="center"/>
    </xf>
    <xf numFmtId="203" fontId="176" fillId="0" borderId="188" applyFill="0" applyProtection="0">
      <alignment horizontal="center"/>
    </xf>
    <xf numFmtId="200" fontId="6" fillId="0" borderId="172">
      <alignment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117" fillId="0" borderId="198">
      <alignment horizontal="centerContinuous" vertical="center"/>
    </xf>
    <xf numFmtId="185" fontId="8" fillId="0" borderId="160">
      <alignment vertical="center"/>
    </xf>
    <xf numFmtId="3" fontId="57" fillId="0" borderId="160"/>
    <xf numFmtId="41" fontId="56" fillId="0" borderId="160" applyNumberFormat="0" applyFont="0" applyFill="0" applyBorder="0" applyProtection="0">
      <alignment horizontal="distributed"/>
    </xf>
    <xf numFmtId="3" fontId="56" fillId="0" borderId="160"/>
    <xf numFmtId="3" fontId="56" fillId="0" borderId="160"/>
    <xf numFmtId="0" fontId="92" fillId="0" borderId="160"/>
    <xf numFmtId="256" fontId="117" fillId="0" borderId="160" applyBorder="0">
      <alignment vertical="center"/>
    </xf>
    <xf numFmtId="0" fontId="9" fillId="0" borderId="160">
      <alignment horizontal="distributed" vertical="center"/>
    </xf>
    <xf numFmtId="0" fontId="9" fillId="0" borderId="160">
      <alignment horizontal="distributed" vertical="center"/>
    </xf>
    <xf numFmtId="0" fontId="9" fillId="0" borderId="163">
      <alignment horizontal="distributed"/>
    </xf>
    <xf numFmtId="338" fontId="19" fillId="0" borderId="160"/>
    <xf numFmtId="0" fontId="9" fillId="0" borderId="219">
      <alignment horizontal="distributed"/>
    </xf>
    <xf numFmtId="322" fontId="9" fillId="0" borderId="162">
      <alignment horizontal="centerContinuous" vertical="center"/>
    </xf>
    <xf numFmtId="185" fontId="8" fillId="0" borderId="160">
      <alignment vertical="center"/>
    </xf>
    <xf numFmtId="10" fontId="39" fillId="4" borderId="160" applyNumberFormat="0" applyBorder="0" applyAlignment="0" applyProtection="0"/>
    <xf numFmtId="257" fontId="117" fillId="0" borderId="112" applyBorder="0">
      <alignment horizontal="left" vertical="center"/>
    </xf>
    <xf numFmtId="0" fontId="134" fillId="0" borderId="112">
      <alignment vertical="center"/>
    </xf>
    <xf numFmtId="0" fontId="134" fillId="0" borderId="112">
      <alignment vertical="center"/>
    </xf>
    <xf numFmtId="191" fontId="6" fillId="0" borderId="148">
      <alignment vertical="center"/>
    </xf>
    <xf numFmtId="37" fontId="117" fillId="0" borderId="124">
      <alignment horizontal="center" vertical="distributed"/>
    </xf>
    <xf numFmtId="237" fontId="6" fillId="0" borderId="196">
      <alignment vertical="center"/>
    </xf>
    <xf numFmtId="206" fontId="6" fillId="0" borderId="160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36" fontId="6" fillId="0" borderId="172">
      <alignment vertical="center"/>
    </xf>
    <xf numFmtId="237" fontId="6" fillId="0" borderId="172">
      <alignment vertical="center"/>
    </xf>
    <xf numFmtId="0" fontId="6" fillId="0" borderId="218">
      <alignment horizontal="centerContinuous" vertical="center"/>
    </xf>
    <xf numFmtId="236" fontId="6" fillId="0" borderId="160">
      <alignment vertical="center"/>
    </xf>
    <xf numFmtId="241" fontId="6" fillId="0" borderId="181">
      <alignment horizontal="right" vertical="center"/>
    </xf>
    <xf numFmtId="322" fontId="9" fillId="0" borderId="186">
      <alignment horizontal="centerContinuous" vertical="center"/>
    </xf>
    <xf numFmtId="237" fontId="6" fillId="0" borderId="112">
      <alignment vertical="center"/>
    </xf>
    <xf numFmtId="41" fontId="135" fillId="0" borderId="71" applyNumberFormat="0">
      <alignment vertical="center"/>
    </xf>
    <xf numFmtId="0" fontId="6" fillId="0" borderId="218">
      <alignment horizontal="centerContinuous" vertical="center"/>
    </xf>
    <xf numFmtId="0" fontId="94" fillId="0" borderId="218">
      <alignment horizontal="centerContinuous" vertical="center"/>
    </xf>
    <xf numFmtId="0" fontId="41" fillId="0" borderId="217">
      <alignment horizontal="left" vertical="center"/>
    </xf>
    <xf numFmtId="200" fontId="6" fillId="0" borderId="160">
      <alignment vertical="center"/>
    </xf>
    <xf numFmtId="176" fontId="6" fillId="0" borderId="160">
      <alignment vertical="center"/>
    </xf>
    <xf numFmtId="0" fontId="6" fillId="0" borderId="160">
      <alignment vertical="center"/>
    </xf>
    <xf numFmtId="3" fontId="57" fillId="0" borderId="160"/>
    <xf numFmtId="3" fontId="57" fillId="0" borderId="160"/>
    <xf numFmtId="0" fontId="41" fillId="0" borderId="161">
      <alignment horizontal="left" vertical="center"/>
    </xf>
    <xf numFmtId="10" fontId="39" fillId="4" borderId="160" applyNumberFormat="0" applyBorder="0" applyAlignment="0" applyProtection="0"/>
    <xf numFmtId="0" fontId="50" fillId="3" borderId="161">
      <alignment vertical="center"/>
    </xf>
    <xf numFmtId="3" fontId="6" fillId="0" borderId="160"/>
    <xf numFmtId="185" fontId="9" fillId="0" borderId="160">
      <alignment horizontal="center" vertical="center"/>
    </xf>
    <xf numFmtId="200" fontId="77" fillId="0" borderId="160">
      <alignment vertical="center"/>
    </xf>
    <xf numFmtId="218" fontId="9" fillId="0" borderId="162">
      <alignment horizontal="centerContinuous" vertical="center"/>
    </xf>
    <xf numFmtId="218" fontId="9" fillId="0" borderId="162">
      <alignment horizontal="centerContinuous" vertical="center"/>
    </xf>
    <xf numFmtId="0" fontId="94" fillId="0" borderId="162">
      <alignment horizontal="centerContinuous" vertical="center"/>
    </xf>
    <xf numFmtId="200" fontId="6" fillId="0" borderId="181">
      <alignment vertical="center"/>
    </xf>
    <xf numFmtId="0" fontId="56" fillId="0" borderId="181"/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0" fontId="117" fillId="0" borderId="198">
      <alignment horizontal="centerContinuous" vertical="center"/>
    </xf>
    <xf numFmtId="0" fontId="117" fillId="0" borderId="198">
      <alignment horizontal="centerContinuous" vertical="center"/>
    </xf>
    <xf numFmtId="0" fontId="94" fillId="0" borderId="150">
      <alignment horizontal="centerContinuous" vertical="center"/>
    </xf>
    <xf numFmtId="0" fontId="56" fillId="0" borderId="148"/>
    <xf numFmtId="193" fontId="23" fillId="0" borderId="0">
      <protection locked="0"/>
    </xf>
    <xf numFmtId="37" fontId="117" fillId="0" borderId="196">
      <alignment horizontal="center" vertical="distributed"/>
    </xf>
    <xf numFmtId="231" fontId="117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191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0" fontId="94" fillId="0" borderId="162">
      <alignment horizontal="centerContinuous" vertical="center"/>
    </xf>
    <xf numFmtId="200" fontId="6" fillId="0" borderId="181">
      <alignment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41" fontId="56" fillId="0" borderId="160" applyNumberFormat="0" applyFont="0" applyFill="0" applyBorder="0" applyProtection="0">
      <alignment horizontal="distributed"/>
    </xf>
    <xf numFmtId="256" fontId="117" fillId="0" borderId="160" applyBorder="0">
      <alignment vertical="center"/>
    </xf>
    <xf numFmtId="256" fontId="117" fillId="0" borderId="160" applyBorder="0">
      <alignment vertical="center"/>
    </xf>
    <xf numFmtId="0" fontId="9" fillId="0" borderId="160">
      <alignment horizontal="distributed" vertical="center"/>
    </xf>
    <xf numFmtId="0" fontId="9" fillId="0" borderId="160">
      <alignment horizontal="distributed" vertical="center"/>
    </xf>
    <xf numFmtId="0" fontId="9" fillId="0" borderId="163">
      <alignment horizontal="distributed"/>
    </xf>
    <xf numFmtId="338" fontId="19" fillId="0" borderId="160"/>
    <xf numFmtId="41" fontId="135" fillId="0" borderId="181" applyNumberFormat="0">
      <alignment vertical="center"/>
    </xf>
    <xf numFmtId="3" fontId="57" fillId="0" borderId="196"/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9" fillId="0" borderId="183">
      <alignment horizontal="centerContinuous" vertical="center"/>
    </xf>
    <xf numFmtId="0" fontId="9" fillId="0" borderId="183">
      <alignment horizontal="centerContinuous" vertical="center"/>
    </xf>
    <xf numFmtId="0" fontId="94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240" fontId="6" fillId="0" borderId="181">
      <alignment horizontal="right" vertical="center"/>
    </xf>
    <xf numFmtId="247" fontId="117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206" fontId="6" fillId="0" borderId="196">
      <alignment vertical="center"/>
    </xf>
    <xf numFmtId="206" fontId="6" fillId="0" borderId="196">
      <alignment vertical="center"/>
    </xf>
    <xf numFmtId="206" fontId="6" fillId="0" borderId="196">
      <alignment vertical="center"/>
    </xf>
    <xf numFmtId="0" fontId="159" fillId="0" borderId="179" applyNumberFormat="0" applyFill="0" applyAlignment="0" applyProtection="0">
      <alignment vertical="center"/>
    </xf>
    <xf numFmtId="243" fontId="117" fillId="0" borderId="216">
      <alignment vertical="center"/>
    </xf>
    <xf numFmtId="200" fontId="6" fillId="0" borderId="172">
      <alignment vertical="center"/>
    </xf>
    <xf numFmtId="230" fontId="6" fillId="0" borderId="172">
      <alignment vertical="center"/>
    </xf>
    <xf numFmtId="230" fontId="6" fillId="0" borderId="172">
      <alignment vertical="center"/>
    </xf>
    <xf numFmtId="243" fontId="117" fillId="0" borderId="181">
      <alignment vertical="center"/>
    </xf>
    <xf numFmtId="0" fontId="6" fillId="0" borderId="208">
      <alignment horizontal="right" vertical="center" shrinkToFit="1"/>
    </xf>
    <xf numFmtId="256" fontId="117" fillId="0" borderId="208" applyBorder="0">
      <alignment vertical="center"/>
    </xf>
    <xf numFmtId="238" fontId="6" fillId="0" borderId="196">
      <alignment vertical="center"/>
    </xf>
    <xf numFmtId="41" fontId="135" fillId="0" borderId="136" applyNumberFormat="0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6" fontId="6" fillId="0" borderId="148">
      <alignment vertical="center"/>
    </xf>
    <xf numFmtId="244" fontId="117" fillId="0" borderId="216">
      <alignment vertical="center"/>
    </xf>
    <xf numFmtId="0" fontId="82" fillId="0" borderId="216"/>
    <xf numFmtId="3" fontId="57" fillId="0" borderId="216"/>
    <xf numFmtId="0" fontId="165" fillId="22" borderId="131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0" fontId="165" fillId="22" borderId="131" applyNumberFormat="0" applyAlignment="0" applyProtection="0">
      <alignment vertical="center"/>
    </xf>
    <xf numFmtId="322" fontId="9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0" fontId="6" fillId="0" borderId="218">
      <alignment horizontal="centerContinuous" vertical="center"/>
    </xf>
    <xf numFmtId="235" fontId="117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7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0" fontId="160" fillId="12" borderId="132" applyNumberFormat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0" fontId="160" fillId="12" borderId="132" applyNumberFormat="0" applyAlignment="0" applyProtection="0">
      <alignment vertical="center"/>
    </xf>
    <xf numFmtId="49" fontId="60" fillId="0" borderId="129" applyNumberFormat="0" applyAlignment="0"/>
    <xf numFmtId="0" fontId="9" fillId="0" borderId="196">
      <alignment horizontal="distributed" vertical="center"/>
    </xf>
    <xf numFmtId="218" fontId="9" fillId="0" borderId="186">
      <alignment horizontal="centerContinuous" vertical="center"/>
    </xf>
    <xf numFmtId="0" fontId="50" fillId="3" borderId="185">
      <alignment vertical="center"/>
    </xf>
    <xf numFmtId="191" fontId="6" fillId="0" borderId="172">
      <alignment vertical="center"/>
    </xf>
    <xf numFmtId="0" fontId="56" fillId="0" borderId="196"/>
    <xf numFmtId="0" fontId="9" fillId="0" borderId="219">
      <alignment horizontal="distributed"/>
    </xf>
    <xf numFmtId="228" fontId="117" fillId="0" borderId="195" applyBorder="0">
      <alignment vertical="center" wrapText="1"/>
    </xf>
    <xf numFmtId="338" fontId="19" fillId="0" borderId="196"/>
    <xf numFmtId="0" fontId="94" fillId="0" borderId="198">
      <alignment horizontal="centerContinuous" vertical="center"/>
    </xf>
    <xf numFmtId="3" fontId="56" fillId="0" borderId="181"/>
    <xf numFmtId="0" fontId="92" fillId="0" borderId="181"/>
    <xf numFmtId="185" fontId="9" fillId="0" borderId="181">
      <alignment horizontal="center" vertical="center"/>
    </xf>
    <xf numFmtId="3" fontId="57" fillId="0" borderId="181"/>
    <xf numFmtId="41" fontId="56" fillId="0" borderId="181" applyNumberFormat="0" applyFont="0" applyFill="0" applyBorder="0" applyProtection="0">
      <alignment horizontal="distributed"/>
    </xf>
    <xf numFmtId="3" fontId="56" fillId="0" borderId="181"/>
    <xf numFmtId="3" fontId="56" fillId="0" borderId="181"/>
    <xf numFmtId="191" fontId="6" fillId="0" borderId="196">
      <alignment vertical="center"/>
    </xf>
    <xf numFmtId="185" fontId="8" fillId="0" borderId="208">
      <alignment vertical="center"/>
    </xf>
    <xf numFmtId="257" fontId="117" fillId="0" borderId="148" applyBorder="0">
      <alignment horizontal="left" vertical="center"/>
    </xf>
    <xf numFmtId="0" fontId="134" fillId="0" borderId="148">
      <alignment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338" fontId="19" fillId="0" borderId="172"/>
    <xf numFmtId="185" fontId="9" fillId="0" borderId="172">
      <alignment horizontal="center" vertical="center"/>
    </xf>
    <xf numFmtId="185" fontId="8" fillId="0" borderId="172">
      <alignment vertical="center"/>
    </xf>
    <xf numFmtId="185" fontId="8" fillId="0" borderId="172">
      <alignment vertical="center"/>
    </xf>
    <xf numFmtId="0" fontId="117" fillId="0" borderId="183">
      <alignment horizontal="centerContinuous" vertical="center"/>
    </xf>
    <xf numFmtId="240" fontId="6" fillId="0" borderId="196">
      <alignment horizontal="right" vertical="center"/>
    </xf>
    <xf numFmtId="0" fontId="54" fillId="28" borderId="214" applyNumberFormat="0" applyFont="0" applyAlignment="0" applyProtection="0">
      <alignment vertical="center"/>
    </xf>
    <xf numFmtId="0" fontId="6" fillId="0" borderId="172" applyNumberFormat="0" applyFill="0" applyProtection="0">
      <alignment vertical="center"/>
    </xf>
    <xf numFmtId="0" fontId="6" fillId="0" borderId="218">
      <alignment horizontal="centerContinuous" vertical="center"/>
    </xf>
    <xf numFmtId="234" fontId="117" fillId="0" borderId="208">
      <alignment vertical="center"/>
    </xf>
    <xf numFmtId="191" fontId="6" fillId="0" borderId="172">
      <alignment vertical="center"/>
    </xf>
    <xf numFmtId="191" fontId="6" fillId="0" borderId="172">
      <alignment vertical="center"/>
    </xf>
    <xf numFmtId="191" fontId="6" fillId="0" borderId="172">
      <alignment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216" applyNumberFormat="0" applyFill="0" applyProtection="0">
      <alignment vertical="center"/>
    </xf>
    <xf numFmtId="0" fontId="50" fillId="3" borderId="184">
      <alignment vertical="center"/>
    </xf>
    <xf numFmtId="240" fontId="6" fillId="0" borderId="160">
      <alignment horizontal="right" vertical="center"/>
    </xf>
    <xf numFmtId="236" fontId="6" fillId="0" borderId="124">
      <alignment vertical="center"/>
    </xf>
    <xf numFmtId="0" fontId="94" fillId="0" borderId="218">
      <alignment horizontal="centerContinuous" vertical="center"/>
    </xf>
    <xf numFmtId="191" fontId="6" fillId="0" borderId="148">
      <alignment vertical="center"/>
    </xf>
    <xf numFmtId="236" fontId="6" fillId="0" borderId="196">
      <alignment vertical="center"/>
    </xf>
    <xf numFmtId="3" fontId="56" fillId="0" borderId="196"/>
    <xf numFmtId="200" fontId="6" fillId="0" borderId="160">
      <alignment vertical="center"/>
    </xf>
    <xf numFmtId="236" fontId="6" fillId="0" borderId="172">
      <alignment vertical="center"/>
    </xf>
    <xf numFmtId="218" fontId="6" fillId="0" borderId="181">
      <alignment vertical="center"/>
    </xf>
    <xf numFmtId="0" fontId="159" fillId="0" borderId="194" applyNumberFormat="0" applyFill="0" applyAlignment="0" applyProtection="0">
      <alignment vertical="center"/>
    </xf>
    <xf numFmtId="3" fontId="57" fillId="0" borderId="181"/>
    <xf numFmtId="322" fontId="9" fillId="0" borderId="198">
      <alignment horizontal="centerContinuous" vertical="center"/>
    </xf>
    <xf numFmtId="218" fontId="6" fillId="0" borderId="172">
      <alignment vertical="center"/>
    </xf>
    <xf numFmtId="218" fontId="9" fillId="0" borderId="218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218" fontId="9" fillId="0" borderId="101">
      <alignment horizontal="centerContinuous" vertical="center"/>
    </xf>
    <xf numFmtId="218" fontId="9" fillId="0" borderId="101">
      <alignment horizontal="centerContinuous" vertical="center"/>
    </xf>
    <xf numFmtId="218" fontId="9" fillId="0" borderId="101">
      <alignment horizontal="centerContinuous" vertical="center"/>
    </xf>
    <xf numFmtId="218" fontId="9" fillId="0" borderId="101">
      <alignment horizontal="centerContinuous" vertical="center"/>
    </xf>
    <xf numFmtId="218" fontId="9" fillId="0" borderId="101">
      <alignment horizontal="centerContinuous" vertical="center"/>
    </xf>
    <xf numFmtId="218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0" fontId="6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" fillId="0" borderId="101">
      <alignment horizontal="centerContinuous" vertical="center"/>
    </xf>
    <xf numFmtId="0" fontId="9" fillId="0" borderId="101">
      <alignment horizontal="centerContinuous" vertical="center"/>
    </xf>
    <xf numFmtId="0" fontId="9" fillId="0" borderId="101">
      <alignment horizontal="centerContinuous" vertical="center"/>
    </xf>
    <xf numFmtId="0" fontId="9" fillId="0" borderId="101">
      <alignment horizontal="centerContinuous" vertical="center"/>
    </xf>
    <xf numFmtId="0" fontId="9" fillId="0" borderId="101">
      <alignment horizontal="centerContinuous" vertical="center"/>
    </xf>
    <xf numFmtId="0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117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0" fontId="94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322" fontId="9" fillId="0" borderId="101">
      <alignment horizontal="centerContinuous" vertical="center"/>
    </xf>
    <xf numFmtId="0" fontId="6" fillId="0" borderId="183">
      <alignment horizontal="centerContinuous" vertical="center"/>
    </xf>
    <xf numFmtId="0" fontId="94" fillId="0" borderId="183">
      <alignment horizontal="centerContinuous" vertical="center"/>
    </xf>
    <xf numFmtId="243" fontId="117" fillId="0" borderId="196">
      <alignment vertical="center"/>
    </xf>
    <xf numFmtId="233" fontId="122" fillId="0" borderId="181" applyFill="0" applyBorder="0" applyAlignment="0"/>
    <xf numFmtId="0" fontId="6" fillId="0" borderId="218">
      <alignment horizontal="centerContinuous" vertical="center"/>
    </xf>
    <xf numFmtId="246" fontId="117" fillId="0" borderId="160">
      <alignment vertical="center"/>
    </xf>
    <xf numFmtId="236" fontId="6" fillId="0" borderId="181">
      <alignment vertical="center"/>
    </xf>
    <xf numFmtId="0" fontId="6" fillId="0" borderId="160">
      <alignment horizontal="right" vertical="center" shrinkToFit="1"/>
    </xf>
    <xf numFmtId="234" fontId="117" fillId="0" borderId="208">
      <alignment vertical="center"/>
    </xf>
    <xf numFmtId="0" fontId="6" fillId="0" borderId="198">
      <alignment horizontal="centerContinuous" vertical="center"/>
    </xf>
    <xf numFmtId="10" fontId="39" fillId="2" borderId="208" applyNumberFormat="0" applyBorder="0" applyAlignment="0" applyProtection="0"/>
    <xf numFmtId="0" fontId="6" fillId="0" borderId="124" applyNumberFormat="0" applyFill="0" applyProtection="0">
      <alignment vertical="center"/>
    </xf>
    <xf numFmtId="0" fontId="94" fillId="0" borderId="218">
      <alignment horizontal="centerContinuous" vertical="center"/>
    </xf>
    <xf numFmtId="338" fontId="19" fillId="0" borderId="124"/>
    <xf numFmtId="338" fontId="19" fillId="0" borderId="124"/>
    <xf numFmtId="338" fontId="19" fillId="0" borderId="124"/>
    <xf numFmtId="185" fontId="9" fillId="0" borderId="124">
      <alignment horizontal="center" vertical="center"/>
    </xf>
    <xf numFmtId="0" fontId="9" fillId="0" borderId="124">
      <alignment horizontal="distributed" vertical="center"/>
    </xf>
    <xf numFmtId="0" fontId="9" fillId="0" borderId="124">
      <alignment horizontal="distributed" vertical="center"/>
    </xf>
    <xf numFmtId="256" fontId="117" fillId="0" borderId="124" applyBorder="0">
      <alignment vertical="center"/>
    </xf>
    <xf numFmtId="256" fontId="117" fillId="0" borderId="124" applyBorder="0">
      <alignment vertical="center"/>
    </xf>
    <xf numFmtId="256" fontId="117" fillId="0" borderId="124" applyBorder="0">
      <alignment vertical="center"/>
    </xf>
    <xf numFmtId="256" fontId="117" fillId="0" borderId="124" applyBorder="0">
      <alignment vertical="center"/>
    </xf>
    <xf numFmtId="0" fontId="9" fillId="0" borderId="180">
      <alignment horizontal="distributed"/>
    </xf>
    <xf numFmtId="0" fontId="56" fillId="0" borderId="124"/>
    <xf numFmtId="0" fontId="56" fillId="0" borderId="124"/>
    <xf numFmtId="0" fontId="56" fillId="0" borderId="124"/>
    <xf numFmtId="0" fontId="56" fillId="0" borderId="124"/>
    <xf numFmtId="0" fontId="56" fillId="0" borderId="124"/>
    <xf numFmtId="0" fontId="56" fillId="0" borderId="124"/>
    <xf numFmtId="3" fontId="56" fillId="0" borderId="124"/>
    <xf numFmtId="3" fontId="56" fillId="0" borderId="124"/>
    <xf numFmtId="3" fontId="56" fillId="0" borderId="124"/>
    <xf numFmtId="3" fontId="56" fillId="0" borderId="124"/>
    <xf numFmtId="3" fontId="56" fillId="0" borderId="124"/>
    <xf numFmtId="41" fontId="56" fillId="0" borderId="124" applyNumberFormat="0" applyFont="0" applyFill="0" applyBorder="0" applyProtection="0">
      <alignment horizontal="distributed"/>
    </xf>
    <xf numFmtId="41" fontId="56" fillId="0" borderId="124" applyNumberFormat="0" applyFont="0" applyFill="0" applyBorder="0" applyProtection="0">
      <alignment horizontal="distributed"/>
    </xf>
    <xf numFmtId="41" fontId="56" fillId="0" borderId="124" applyNumberFormat="0" applyFont="0" applyFill="0" applyBorder="0" applyProtection="0">
      <alignment horizontal="distributed"/>
    </xf>
    <xf numFmtId="41" fontId="56" fillId="0" borderId="124" applyNumberFormat="0" applyFont="0" applyFill="0" applyBorder="0" applyProtection="0">
      <alignment horizontal="distributed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6" fillId="0" borderId="124">
      <alignment horizontal="right" vertical="center" shrinkToFit="1"/>
    </xf>
    <xf numFmtId="0" fontId="153" fillId="22" borderId="213" applyNumberFormat="0" applyAlignment="0" applyProtection="0">
      <alignment vertical="center"/>
    </xf>
    <xf numFmtId="176" fontId="6" fillId="0" borderId="172">
      <alignment vertical="center"/>
    </xf>
    <xf numFmtId="0" fontId="9" fillId="0" borderId="216">
      <alignment horizontal="distributed" vertical="center"/>
    </xf>
    <xf numFmtId="244" fontId="117" fillId="0" borderId="124">
      <alignment vertical="center"/>
    </xf>
    <xf numFmtId="244" fontId="117" fillId="0" borderId="124">
      <alignment vertical="center"/>
    </xf>
    <xf numFmtId="244" fontId="117" fillId="0" borderId="124">
      <alignment vertical="center"/>
    </xf>
    <xf numFmtId="244" fontId="117" fillId="0" borderId="124">
      <alignment vertical="center"/>
    </xf>
    <xf numFmtId="244" fontId="117" fillId="0" borderId="124">
      <alignment vertical="center"/>
    </xf>
    <xf numFmtId="244" fontId="117" fillId="0" borderId="124">
      <alignment vertical="center"/>
    </xf>
    <xf numFmtId="243" fontId="117" fillId="0" borderId="124">
      <alignment vertical="center"/>
    </xf>
    <xf numFmtId="243" fontId="117" fillId="0" borderId="124">
      <alignment vertical="center"/>
    </xf>
    <xf numFmtId="243" fontId="117" fillId="0" borderId="124">
      <alignment vertical="center"/>
    </xf>
    <xf numFmtId="243" fontId="117" fillId="0" borderId="124">
      <alignment vertical="center"/>
    </xf>
    <xf numFmtId="243" fontId="117" fillId="0" borderId="124">
      <alignment vertical="center"/>
    </xf>
    <xf numFmtId="243" fontId="117" fillId="0" borderId="124">
      <alignment vertical="center"/>
    </xf>
    <xf numFmtId="239" fontId="117" fillId="0" borderId="124">
      <alignment horizontal="right" vertical="center"/>
    </xf>
    <xf numFmtId="239" fontId="117" fillId="0" borderId="124">
      <alignment horizontal="right" vertical="center"/>
    </xf>
    <xf numFmtId="239" fontId="117" fillId="0" borderId="124">
      <alignment horizontal="right" vertical="center"/>
    </xf>
    <xf numFmtId="239" fontId="117" fillId="0" borderId="124">
      <alignment horizontal="right" vertical="center"/>
    </xf>
    <xf numFmtId="239" fontId="117" fillId="0" borderId="124">
      <alignment horizontal="right" vertical="center"/>
    </xf>
    <xf numFmtId="239" fontId="117" fillId="0" borderId="124">
      <alignment horizontal="right" vertical="center"/>
    </xf>
    <xf numFmtId="234" fontId="117" fillId="0" borderId="124">
      <alignment vertical="center"/>
    </xf>
    <xf numFmtId="234" fontId="117" fillId="0" borderId="124">
      <alignment vertical="center"/>
    </xf>
    <xf numFmtId="234" fontId="117" fillId="0" borderId="124">
      <alignment vertical="center"/>
    </xf>
    <xf numFmtId="234" fontId="117" fillId="0" borderId="124">
      <alignment vertical="center"/>
    </xf>
    <xf numFmtId="234" fontId="117" fillId="0" borderId="124">
      <alignment vertical="center"/>
    </xf>
    <xf numFmtId="234" fontId="117" fillId="0" borderId="124">
      <alignment vertical="center"/>
    </xf>
    <xf numFmtId="10" fontId="39" fillId="4" borderId="124" applyNumberFormat="0" applyBorder="0" applyAlignment="0" applyProtection="0"/>
    <xf numFmtId="10" fontId="39" fillId="2" borderId="124" applyNumberFormat="0" applyBorder="0" applyAlignment="0" applyProtection="0"/>
    <xf numFmtId="10" fontId="39" fillId="2" borderId="124" applyNumberFormat="0" applyBorder="0" applyAlignment="0" applyProtection="0"/>
    <xf numFmtId="10" fontId="39" fillId="2" borderId="124" applyNumberFormat="0" applyBorder="0" applyAlignment="0" applyProtection="0"/>
    <xf numFmtId="10" fontId="39" fillId="2" borderId="124" applyNumberFormat="0" applyBorder="0" applyAlignment="0" applyProtection="0"/>
    <xf numFmtId="10" fontId="39" fillId="2" borderId="124" applyNumberFormat="0" applyBorder="0" applyAlignment="0" applyProtection="0"/>
    <xf numFmtId="206" fontId="6" fillId="0" borderId="196">
      <alignment vertical="center"/>
    </xf>
    <xf numFmtId="0" fontId="92" fillId="0" borderId="172"/>
    <xf numFmtId="191" fontId="6" fillId="0" borderId="160">
      <alignment vertical="center"/>
    </xf>
    <xf numFmtId="0" fontId="82" fillId="0" borderId="124"/>
    <xf numFmtId="322" fontId="9" fillId="0" borderId="186">
      <alignment horizontal="centerContinuous" vertical="center"/>
    </xf>
    <xf numFmtId="3" fontId="57" fillId="0" borderId="172"/>
    <xf numFmtId="0" fontId="6" fillId="0" borderId="160">
      <alignment vertical="center"/>
    </xf>
    <xf numFmtId="0" fontId="94" fillId="0" borderId="218">
      <alignment horizontal="centerContinuous" vertical="center"/>
    </xf>
    <xf numFmtId="0" fontId="94" fillId="0" borderId="183">
      <alignment horizontal="centerContinuous" vertical="center"/>
    </xf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185" fontId="8" fillId="0" borderId="124">
      <alignment vertical="center"/>
    </xf>
    <xf numFmtId="185" fontId="8" fillId="0" borderId="124">
      <alignment vertical="center"/>
    </xf>
    <xf numFmtId="185" fontId="8" fillId="0" borderId="124">
      <alignment vertical="center"/>
    </xf>
    <xf numFmtId="185" fontId="8" fillId="0" borderId="124">
      <alignment vertical="center"/>
    </xf>
    <xf numFmtId="185" fontId="8" fillId="0" borderId="124">
      <alignment vertical="center"/>
    </xf>
    <xf numFmtId="185" fontId="8" fillId="0" borderId="124">
      <alignment vertical="center"/>
    </xf>
    <xf numFmtId="0" fontId="94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6" fillId="0" borderId="218">
      <alignment horizontal="centerContinuous" vertical="center"/>
    </xf>
    <xf numFmtId="0" fontId="165" fillId="22" borderId="176" applyNumberFormat="0" applyAlignment="0" applyProtection="0">
      <alignment vertical="center"/>
    </xf>
    <xf numFmtId="0" fontId="94" fillId="0" borderId="218">
      <alignment horizontal="centerContinuous" vertical="center"/>
    </xf>
    <xf numFmtId="0" fontId="6" fillId="0" borderId="218">
      <alignment horizontal="centerContinuous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206" fontId="6" fillId="0" borderId="181">
      <alignment vertical="center"/>
    </xf>
    <xf numFmtId="200" fontId="6" fillId="0" borderId="172">
      <alignment vertical="center"/>
    </xf>
    <xf numFmtId="0" fontId="94" fillId="0" borderId="162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322" fontId="9" fillId="0" borderId="186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234" fontId="117" fillId="0" borderId="208">
      <alignment vertical="center"/>
    </xf>
    <xf numFmtId="0" fontId="57" fillId="28" borderId="205" applyNumberFormat="0" applyFont="0" applyAlignment="0" applyProtection="0">
      <alignment vertical="center"/>
    </xf>
    <xf numFmtId="191" fontId="6" fillId="0" borderId="172">
      <alignment vertical="center"/>
    </xf>
    <xf numFmtId="0" fontId="9" fillId="0" borderId="160">
      <alignment horizontal="distributed" vertical="center"/>
    </xf>
    <xf numFmtId="176" fontId="6" fillId="0" borderId="196">
      <alignment vertical="center"/>
    </xf>
    <xf numFmtId="176" fontId="6" fillId="0" borderId="196">
      <alignment vertical="center"/>
    </xf>
    <xf numFmtId="206" fontId="6" fillId="0" borderId="196">
      <alignment vertical="center"/>
    </xf>
    <xf numFmtId="0" fontId="117" fillId="0" borderId="186">
      <alignment horizontal="centerContinuous" vertical="center"/>
    </xf>
    <xf numFmtId="0" fontId="94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162">
      <alignment horizontal="centerContinuous" vertical="center"/>
    </xf>
    <xf numFmtId="41" fontId="56" fillId="0" borderId="160" applyNumberFormat="0" applyFont="0" applyFill="0" applyBorder="0" applyProtection="0">
      <alignment horizontal="distributed"/>
    </xf>
    <xf numFmtId="3" fontId="56" fillId="0" borderId="160"/>
    <xf numFmtId="0" fontId="56" fillId="0" borderId="160"/>
    <xf numFmtId="0" fontId="6" fillId="0" borderId="160">
      <alignment horizontal="right" vertical="center" shrinkToFit="1"/>
    </xf>
    <xf numFmtId="234" fontId="117" fillId="0" borderId="196">
      <alignment vertical="center"/>
    </xf>
    <xf numFmtId="0" fontId="117" fillId="0" borderId="198">
      <alignment horizontal="centerContinuous" vertical="center"/>
    </xf>
    <xf numFmtId="242" fontId="6" fillId="0" borderId="172">
      <alignment horizontal="right" vertical="center"/>
    </xf>
    <xf numFmtId="200" fontId="6" fillId="0" borderId="136">
      <alignment vertical="center"/>
    </xf>
    <xf numFmtId="200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231" fontId="117" fillId="0" borderId="136">
      <alignment vertical="center"/>
    </xf>
    <xf numFmtId="0" fontId="41" fillId="0" borderId="184">
      <alignment horizontal="left" vertical="center"/>
    </xf>
    <xf numFmtId="233" fontId="122" fillId="0" borderId="148" applyFill="0" applyBorder="0" applyAlignment="0"/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50" fillId="3" borderId="184">
      <alignment vertical="center"/>
    </xf>
    <xf numFmtId="200" fontId="6" fillId="0" borderId="148">
      <alignment vertical="center"/>
    </xf>
    <xf numFmtId="191" fontId="6" fillId="0" borderId="148">
      <alignment vertical="center"/>
    </xf>
    <xf numFmtId="191" fontId="6" fillId="0" borderId="148">
      <alignment vertical="center"/>
    </xf>
    <xf numFmtId="240" fontId="6" fillId="0" borderId="181">
      <alignment horizontal="right" vertical="center"/>
    </xf>
    <xf numFmtId="322" fontId="9" fillId="0" borderId="183">
      <alignment horizontal="centerContinuous" vertical="center"/>
    </xf>
    <xf numFmtId="241" fontId="6" fillId="0" borderId="172">
      <alignment horizontal="right" vertical="center"/>
    </xf>
    <xf numFmtId="0" fontId="6" fillId="0" borderId="183">
      <alignment horizontal="centerContinuous" vertical="center"/>
    </xf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3" fontId="57" fillId="0" borderId="124"/>
    <xf numFmtId="243" fontId="117" fillId="0" borderId="208">
      <alignment vertical="center"/>
    </xf>
    <xf numFmtId="203" fontId="176" fillId="0" borderId="209" applyFill="0" applyProtection="0">
      <alignment horizontal="center"/>
    </xf>
    <xf numFmtId="0" fontId="6" fillId="0" borderId="124" applyNumberFormat="0" applyFill="0" applyProtection="0">
      <alignment vertical="center"/>
    </xf>
    <xf numFmtId="200" fontId="77" fillId="0" borderId="124">
      <alignment vertical="center"/>
    </xf>
    <xf numFmtId="185" fontId="9" fillId="0" borderId="124">
      <alignment horizontal="center" vertical="center"/>
    </xf>
    <xf numFmtId="3" fontId="6" fillId="0" borderId="124"/>
    <xf numFmtId="0" fontId="92" fillId="0" borderId="124"/>
    <xf numFmtId="0" fontId="56" fillId="0" borderId="124"/>
    <xf numFmtId="3" fontId="56" fillId="0" borderId="124"/>
    <xf numFmtId="0" fontId="11" fillId="0" borderId="124" applyNumberFormat="0" applyFont="0" applyFill="0" applyAlignment="0" applyProtection="0">
      <alignment horizontal="center" vertical="center"/>
    </xf>
    <xf numFmtId="10" fontId="39" fillId="4" borderId="124" applyNumberFormat="0" applyBorder="0" applyAlignment="0" applyProtection="0"/>
    <xf numFmtId="0" fontId="82" fillId="0" borderId="124"/>
    <xf numFmtId="3" fontId="57" fillId="0" borderId="124"/>
    <xf numFmtId="3" fontId="57" fillId="0" borderId="124"/>
    <xf numFmtId="0" fontId="94" fillId="0" borderId="138">
      <alignment horizontal="centerContinuous"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3" fontId="57" fillId="0" borderId="124"/>
    <xf numFmtId="0" fontId="50" fillId="3" borderId="217">
      <alignment vertical="center"/>
    </xf>
    <xf numFmtId="3" fontId="57" fillId="0" borderId="216"/>
    <xf numFmtId="238" fontId="6" fillId="0" borderId="148">
      <alignment vertical="center"/>
    </xf>
    <xf numFmtId="37" fontId="117" fillId="0" borderId="148">
      <alignment horizontal="center" vertical="distributed"/>
    </xf>
    <xf numFmtId="3" fontId="57" fillId="0" borderId="216"/>
    <xf numFmtId="322" fontId="9" fillId="0" borderId="198">
      <alignment horizontal="centerContinuous" vertical="center"/>
    </xf>
    <xf numFmtId="0" fontId="41" fillId="0" borderId="149">
      <alignment horizontal="left" vertical="center"/>
    </xf>
    <xf numFmtId="234" fontId="117" fillId="0" borderId="148">
      <alignment vertical="center"/>
    </xf>
    <xf numFmtId="239" fontId="117" fillId="0" borderId="148">
      <alignment horizontal="right" vertical="center"/>
    </xf>
    <xf numFmtId="239" fontId="117" fillId="0" borderId="148">
      <alignment horizontal="right" vertical="center"/>
    </xf>
    <xf numFmtId="239" fontId="117" fillId="0" borderId="148">
      <alignment horizontal="right" vertical="center"/>
    </xf>
    <xf numFmtId="256" fontId="117" fillId="0" borderId="196" applyBorder="0">
      <alignment vertical="center"/>
    </xf>
    <xf numFmtId="322" fontId="9" fillId="0" borderId="198">
      <alignment horizontal="centerContinuous" vertical="center"/>
    </xf>
    <xf numFmtId="309" fontId="9" fillId="0" borderId="148" applyFill="0" applyBorder="0" applyAlignment="0"/>
    <xf numFmtId="322" fontId="9" fillId="0" borderId="198">
      <alignment horizontal="centerContinuous"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238" fontId="6" fillId="0" borderId="172">
      <alignment vertical="center"/>
    </xf>
    <xf numFmtId="236" fontId="6" fillId="0" borderId="172">
      <alignment vertical="center"/>
    </xf>
    <xf numFmtId="236" fontId="6" fillId="0" borderId="172">
      <alignment vertical="center"/>
    </xf>
    <xf numFmtId="0" fontId="9" fillId="0" borderId="163">
      <alignment horizontal="distributed"/>
    </xf>
    <xf numFmtId="0" fontId="6" fillId="0" borderId="196" applyNumberFormat="0" applyFill="0" applyProtection="0">
      <alignment vertical="center"/>
    </xf>
    <xf numFmtId="41" fontId="56" fillId="0" borderId="196" applyNumberFormat="0" applyFont="0" applyFill="0" applyBorder="0" applyProtection="0">
      <alignment horizontal="distributed"/>
    </xf>
    <xf numFmtId="242" fontId="6" fillId="0" borderId="172">
      <alignment horizontal="right" vertical="center"/>
    </xf>
    <xf numFmtId="242" fontId="6" fillId="0" borderId="172">
      <alignment horizontal="right" vertical="center"/>
    </xf>
    <xf numFmtId="206" fontId="6" fillId="0" borderId="172">
      <alignment vertical="center"/>
    </xf>
    <xf numFmtId="0" fontId="153" fillId="22" borderId="223" applyNumberFormat="0" applyAlignment="0" applyProtection="0">
      <alignment vertical="center"/>
    </xf>
    <xf numFmtId="338" fontId="19" fillId="0" borderId="216"/>
    <xf numFmtId="0" fontId="9" fillId="0" borderId="219">
      <alignment horizontal="distributed"/>
    </xf>
    <xf numFmtId="0" fontId="9" fillId="0" borderId="216">
      <alignment horizontal="distributed" vertical="center"/>
    </xf>
    <xf numFmtId="244" fontId="117" fillId="0" borderId="216">
      <alignment vertical="center"/>
    </xf>
    <xf numFmtId="239" fontId="117" fillId="0" borderId="216">
      <alignment horizontal="right" vertical="center"/>
    </xf>
    <xf numFmtId="322" fontId="9" fillId="0" borderId="183">
      <alignment horizontal="centerContinuous" vertical="center"/>
    </xf>
    <xf numFmtId="0" fontId="9" fillId="0" borderId="183">
      <alignment horizontal="centerContinuous" vertical="center"/>
    </xf>
    <xf numFmtId="0" fontId="9" fillId="0" borderId="183">
      <alignment horizontal="centerContinuous" vertical="center"/>
    </xf>
    <xf numFmtId="0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206" fontId="6" fillId="0" borderId="196">
      <alignment vertical="center"/>
    </xf>
    <xf numFmtId="0" fontId="9" fillId="0" borderId="198">
      <alignment horizontal="centerContinuous" vertical="center"/>
    </xf>
    <xf numFmtId="176" fontId="6" fillId="0" borderId="160">
      <alignment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218">
      <alignment horizontal="centerContinuous" vertical="center"/>
    </xf>
    <xf numFmtId="246" fontId="117" fillId="0" borderId="112">
      <alignment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117" fillId="0" borderId="162">
      <alignment horizontal="centerContinuous" vertical="center"/>
    </xf>
    <xf numFmtId="0" fontId="117" fillId="0" borderId="162">
      <alignment horizontal="centerContinuous" vertical="center"/>
    </xf>
    <xf numFmtId="0" fontId="117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237" fontId="6" fillId="0" borderId="181">
      <alignment vertical="center"/>
    </xf>
    <xf numFmtId="242" fontId="6" fillId="0" borderId="181">
      <alignment horizontal="right" vertical="center"/>
    </xf>
    <xf numFmtId="322" fontId="9" fillId="0" borderId="198">
      <alignment horizontal="centerContinuous" vertical="center"/>
    </xf>
    <xf numFmtId="237" fontId="6" fillId="0" borderId="181">
      <alignment vertical="center"/>
    </xf>
    <xf numFmtId="237" fontId="6" fillId="0" borderId="181">
      <alignment vertical="center"/>
    </xf>
    <xf numFmtId="185" fontId="8" fillId="0" borderId="160">
      <alignment vertical="center"/>
    </xf>
    <xf numFmtId="3" fontId="57" fillId="0" borderId="160"/>
    <xf numFmtId="3" fontId="57" fillId="0" borderId="160"/>
    <xf numFmtId="3" fontId="57" fillId="0" borderId="160"/>
    <xf numFmtId="3" fontId="57" fillId="0" borderId="160"/>
    <xf numFmtId="3" fontId="57" fillId="0" borderId="160"/>
    <xf numFmtId="242" fontId="6" fillId="0" borderId="181">
      <alignment horizontal="right" vertical="center"/>
    </xf>
    <xf numFmtId="234" fontId="117" fillId="0" borderId="160">
      <alignment vertical="center"/>
    </xf>
    <xf numFmtId="239" fontId="117" fillId="0" borderId="160">
      <alignment horizontal="right" vertical="center"/>
    </xf>
    <xf numFmtId="239" fontId="117" fillId="0" borderId="160">
      <alignment horizontal="right" vertical="center"/>
    </xf>
    <xf numFmtId="239" fontId="117" fillId="0" borderId="160">
      <alignment horizontal="right" vertical="center"/>
    </xf>
    <xf numFmtId="243" fontId="117" fillId="0" borderId="160">
      <alignment vertical="center"/>
    </xf>
    <xf numFmtId="243" fontId="117" fillId="0" borderId="160">
      <alignment vertical="center"/>
    </xf>
    <xf numFmtId="243" fontId="117" fillId="0" borderId="160">
      <alignment vertical="center"/>
    </xf>
    <xf numFmtId="244" fontId="117" fillId="0" borderId="160">
      <alignment vertical="center"/>
    </xf>
    <xf numFmtId="0" fontId="50" fillId="3" borderId="161">
      <alignment vertical="center"/>
    </xf>
    <xf numFmtId="322" fontId="9" fillId="0" borderId="186">
      <alignment horizontal="centerContinuous" vertical="center"/>
    </xf>
    <xf numFmtId="0" fontId="94" fillId="0" borderId="186">
      <alignment horizontal="centerContinuous" vertical="center"/>
    </xf>
    <xf numFmtId="218" fontId="9" fillId="0" borderId="218">
      <alignment horizontal="centerContinuous" vertical="center"/>
    </xf>
    <xf numFmtId="256" fontId="117" fillId="0" borderId="216" applyBorder="0">
      <alignment vertical="center"/>
    </xf>
    <xf numFmtId="218" fontId="9" fillId="0" borderId="198">
      <alignment horizontal="centerContinuous" vertical="center"/>
    </xf>
    <xf numFmtId="0" fontId="56" fillId="0" borderId="196"/>
    <xf numFmtId="240" fontId="6" fillId="0" borderId="172">
      <alignment horizontal="right" vertical="center"/>
    </xf>
    <xf numFmtId="0" fontId="6" fillId="0" borderId="172">
      <alignment vertical="center"/>
    </xf>
    <xf numFmtId="176" fontId="6" fillId="0" borderId="172">
      <alignment vertical="center"/>
    </xf>
    <xf numFmtId="249" fontId="6" fillId="0" borderId="172">
      <alignment vertical="center"/>
    </xf>
    <xf numFmtId="200" fontId="6" fillId="0" borderId="172">
      <alignment vertical="center"/>
    </xf>
    <xf numFmtId="249" fontId="6" fillId="0" borderId="181">
      <alignment vertical="center"/>
    </xf>
    <xf numFmtId="249" fontId="6" fillId="0" borderId="181">
      <alignment vertical="center"/>
    </xf>
    <xf numFmtId="0" fontId="94" fillId="0" borderId="186">
      <alignment horizontal="centerContinuous" vertical="center"/>
    </xf>
    <xf numFmtId="3" fontId="57" fillId="0" borderId="216"/>
    <xf numFmtId="3" fontId="57" fillId="0" borderId="216"/>
    <xf numFmtId="185" fontId="9" fillId="0" borderId="216">
      <alignment horizontal="center" vertical="center"/>
    </xf>
    <xf numFmtId="0" fontId="9" fillId="0" borderId="219">
      <alignment horizontal="distributed"/>
    </xf>
    <xf numFmtId="234" fontId="117" fillId="0" borderId="216">
      <alignment vertical="center"/>
    </xf>
    <xf numFmtId="185" fontId="8" fillId="0" borderId="216">
      <alignment vertical="center"/>
    </xf>
    <xf numFmtId="191" fontId="6" fillId="0" borderId="181">
      <alignment vertical="center"/>
    </xf>
    <xf numFmtId="3" fontId="57" fillId="0" borderId="208"/>
    <xf numFmtId="3" fontId="57" fillId="0" borderId="208"/>
    <xf numFmtId="0" fontId="153" fillId="22" borderId="213" applyNumberFormat="0" applyAlignment="0" applyProtection="0">
      <alignment vertical="center"/>
    </xf>
    <xf numFmtId="0" fontId="117" fillId="0" borderId="186">
      <alignment horizontal="centerContinuous" vertical="center"/>
    </xf>
    <xf numFmtId="0" fontId="117" fillId="0" borderId="186">
      <alignment horizontal="centerContinuous" vertical="center"/>
    </xf>
    <xf numFmtId="218" fontId="9" fillId="0" borderId="186">
      <alignment horizontal="centerContinuous" vertical="center"/>
    </xf>
    <xf numFmtId="218" fontId="9" fillId="0" borderId="186">
      <alignment horizontal="centerContinuous" vertical="center"/>
    </xf>
    <xf numFmtId="218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218" fontId="6" fillId="0" borderId="181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0" fontId="9" fillId="0" borderId="180">
      <alignment horizontal="distributed"/>
    </xf>
    <xf numFmtId="0" fontId="9" fillId="0" borderId="180">
      <alignment horizontal="distributed"/>
    </xf>
    <xf numFmtId="236" fontId="6" fillId="0" borderId="181">
      <alignment vertical="center"/>
    </xf>
    <xf numFmtId="3" fontId="57" fillId="0" borderId="181"/>
    <xf numFmtId="0" fontId="9" fillId="0" borderId="208">
      <alignment horizontal="distributed" vertical="center"/>
    </xf>
    <xf numFmtId="186" fontId="14" fillId="0" borderId="190"/>
    <xf numFmtId="176" fontId="6" fillId="0" borderId="181">
      <alignment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0" fontId="117" fillId="0" borderId="186">
      <alignment horizontal="centerContinuous" vertical="center"/>
    </xf>
    <xf numFmtId="191" fontId="6" fillId="0" borderId="181">
      <alignment vertical="center"/>
    </xf>
    <xf numFmtId="176" fontId="6" fillId="0" borderId="160">
      <alignment vertical="center"/>
    </xf>
    <xf numFmtId="0" fontId="117" fillId="0" borderId="198">
      <alignment horizontal="centerContinuous" vertical="center"/>
    </xf>
    <xf numFmtId="240" fontId="6" fillId="0" borderId="160">
      <alignment horizontal="right" vertical="center"/>
    </xf>
    <xf numFmtId="240" fontId="6" fillId="0" borderId="160">
      <alignment horizontal="right" vertical="center"/>
    </xf>
    <xf numFmtId="238" fontId="6" fillId="0" borderId="160">
      <alignment vertical="center"/>
    </xf>
    <xf numFmtId="237" fontId="6" fillId="0" borderId="160">
      <alignment vertical="center"/>
    </xf>
    <xf numFmtId="237" fontId="6" fillId="0" borderId="160">
      <alignment vertical="center"/>
    </xf>
    <xf numFmtId="236" fontId="6" fillId="0" borderId="160">
      <alignment vertical="center"/>
    </xf>
    <xf numFmtId="0" fontId="57" fillId="28" borderId="214" applyNumberFormat="0" applyFont="0" applyAlignment="0" applyProtection="0">
      <alignment vertical="center"/>
    </xf>
    <xf numFmtId="244" fontId="117" fillId="0" borderId="216">
      <alignment vertical="center"/>
    </xf>
    <xf numFmtId="206" fontId="6" fillId="0" borderId="172">
      <alignment vertical="center"/>
    </xf>
    <xf numFmtId="185" fontId="8" fillId="0" borderId="196">
      <alignment vertical="center"/>
    </xf>
    <xf numFmtId="248" fontId="117" fillId="0" borderId="196">
      <alignment vertical="center"/>
    </xf>
    <xf numFmtId="0" fontId="6" fillId="0" borderId="196">
      <alignment vertical="center"/>
    </xf>
    <xf numFmtId="200" fontId="6" fillId="0" borderId="172">
      <alignment vertical="center"/>
    </xf>
    <xf numFmtId="243" fontId="117" fillId="0" borderId="196">
      <alignment vertical="center"/>
    </xf>
    <xf numFmtId="0" fontId="92" fillId="0" borderId="172"/>
    <xf numFmtId="200" fontId="6" fillId="0" borderId="136">
      <alignment vertical="center"/>
    </xf>
    <xf numFmtId="322" fontId="9" fillId="0" borderId="186">
      <alignment horizontal="centerContinuous" vertical="center"/>
    </xf>
    <xf numFmtId="3" fontId="56" fillId="0" borderId="208"/>
    <xf numFmtId="0" fontId="56" fillId="0" borderId="208"/>
    <xf numFmtId="10" fontId="39" fillId="4" borderId="208" applyNumberFormat="0" applyBorder="0" applyAlignment="0" applyProtection="0"/>
    <xf numFmtId="244" fontId="117" fillId="0" borderId="208">
      <alignment vertical="center"/>
    </xf>
    <xf numFmtId="244" fontId="117" fillId="0" borderId="208">
      <alignment vertical="center"/>
    </xf>
    <xf numFmtId="0" fontId="6" fillId="0" borderId="198">
      <alignment horizontal="centerContinuous" vertical="center"/>
    </xf>
    <xf numFmtId="0" fontId="41" fillId="0" borderId="217">
      <alignment horizontal="left" vertical="center"/>
    </xf>
    <xf numFmtId="10" fontId="39" fillId="2" borderId="196" applyNumberFormat="0" applyBorder="0" applyAlignment="0" applyProtection="0"/>
    <xf numFmtId="242" fontId="6" fillId="0" borderId="181">
      <alignment horizontal="right" vertical="center"/>
    </xf>
    <xf numFmtId="221" fontId="117" fillId="0" borderId="181">
      <alignment vertical="center"/>
    </xf>
    <xf numFmtId="338" fontId="19" fillId="0" borderId="216"/>
    <xf numFmtId="0" fontId="56" fillId="0" borderId="216"/>
    <xf numFmtId="200" fontId="6" fillId="0" borderId="181">
      <alignment vertical="center"/>
    </xf>
    <xf numFmtId="249" fontId="6" fillId="0" borderId="160">
      <alignment vertical="center"/>
    </xf>
    <xf numFmtId="185" fontId="8" fillId="0" borderId="196">
      <alignment vertical="center"/>
    </xf>
    <xf numFmtId="0" fontId="94" fillId="0" borderId="150">
      <alignment horizontal="centerContinuous" vertical="center"/>
    </xf>
    <xf numFmtId="0" fontId="41" fillId="0" borderId="149">
      <alignment horizontal="left" vertical="center"/>
    </xf>
    <xf numFmtId="0" fontId="50" fillId="3" borderId="185">
      <alignment vertical="center"/>
    </xf>
    <xf numFmtId="0" fontId="6" fillId="0" borderId="162">
      <alignment horizontal="centerContinuous" vertical="center"/>
    </xf>
    <xf numFmtId="234" fontId="117" fillId="0" borderId="216">
      <alignment vertical="center"/>
    </xf>
    <xf numFmtId="3" fontId="57" fillId="0" borderId="136"/>
    <xf numFmtId="3" fontId="57" fillId="0" borderId="136"/>
    <xf numFmtId="185" fontId="8" fillId="0" borderId="136">
      <alignment vertical="center"/>
    </xf>
    <xf numFmtId="185" fontId="8" fillId="0" borderId="136">
      <alignment vertical="center"/>
    </xf>
    <xf numFmtId="185" fontId="8" fillId="0" borderId="136">
      <alignment vertical="center"/>
    </xf>
    <xf numFmtId="0" fontId="6" fillId="0" borderId="172">
      <alignment vertical="center"/>
    </xf>
    <xf numFmtId="3" fontId="57" fillId="0" borderId="196"/>
    <xf numFmtId="0" fontId="50" fillId="3" borderId="161">
      <alignment vertical="center"/>
    </xf>
    <xf numFmtId="241" fontId="6" fillId="0" borderId="196">
      <alignment horizontal="right" vertical="center"/>
    </xf>
    <xf numFmtId="240" fontId="6" fillId="0" borderId="160">
      <alignment horizontal="right" vertical="center"/>
    </xf>
    <xf numFmtId="236" fontId="6" fillId="0" borderId="160">
      <alignment vertical="center"/>
    </xf>
    <xf numFmtId="236" fontId="6" fillId="0" borderId="160">
      <alignment vertical="center"/>
    </xf>
    <xf numFmtId="241" fontId="6" fillId="0" borderId="196">
      <alignment horizontal="right" vertical="center"/>
    </xf>
    <xf numFmtId="240" fontId="6" fillId="0" borderId="196">
      <alignment horizontal="right" vertical="center"/>
    </xf>
    <xf numFmtId="218" fontId="9" fillId="0" borderId="198">
      <alignment horizontal="centerContinuous" vertical="center"/>
    </xf>
    <xf numFmtId="37" fontId="117" fillId="0" borderId="181">
      <alignment horizontal="center" vertical="distributed"/>
    </xf>
    <xf numFmtId="242" fontId="6" fillId="0" borderId="196">
      <alignment horizontal="right" vertical="center"/>
    </xf>
    <xf numFmtId="241" fontId="6" fillId="0" borderId="196">
      <alignment horizontal="right" vertical="center"/>
    </xf>
    <xf numFmtId="236" fontId="6" fillId="0" borderId="181">
      <alignment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218" fontId="9" fillId="0" borderId="138">
      <alignment horizontal="centerContinuous" vertical="center"/>
    </xf>
    <xf numFmtId="0" fontId="50" fillId="3" borderId="137">
      <alignment vertical="center"/>
    </xf>
    <xf numFmtId="3" fontId="6" fillId="0" borderId="136"/>
    <xf numFmtId="0" fontId="92" fillId="0" borderId="136"/>
    <xf numFmtId="0" fontId="56" fillId="0" borderId="136"/>
    <xf numFmtId="0" fontId="11" fillId="0" borderId="136" applyNumberFormat="0" applyFont="0" applyFill="0" applyAlignment="0" applyProtection="0">
      <alignment horizontal="center" vertical="center"/>
    </xf>
    <xf numFmtId="0" fontId="50" fillId="3" borderId="137">
      <alignment vertical="center"/>
    </xf>
    <xf numFmtId="0" fontId="41" fillId="0" borderId="137">
      <alignment horizontal="left" vertical="center"/>
    </xf>
    <xf numFmtId="221" fontId="117" fillId="0" borderId="136">
      <alignment vertical="center"/>
    </xf>
    <xf numFmtId="218" fontId="9" fillId="0" borderId="162">
      <alignment horizontal="centerContinuous" vertical="center"/>
    </xf>
    <xf numFmtId="0" fontId="50" fillId="3" borderId="161">
      <alignment vertical="center"/>
    </xf>
    <xf numFmtId="0" fontId="94" fillId="0" borderId="198">
      <alignment horizontal="centerContinuous" vertical="center"/>
    </xf>
    <xf numFmtId="0" fontId="6" fillId="0" borderId="198">
      <alignment horizontal="centerContinuous" vertical="center"/>
    </xf>
    <xf numFmtId="0" fontId="224" fillId="0" borderId="183">
      <alignment horizontal="centerContinuous" vertical="center"/>
    </xf>
    <xf numFmtId="41" fontId="9" fillId="0" borderId="196">
      <alignment horizontal="center" vertical="center"/>
    </xf>
    <xf numFmtId="0" fontId="94" fillId="0" borderId="218">
      <alignment horizontal="centerContinuous" vertical="center"/>
    </xf>
    <xf numFmtId="238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18" fontId="9" fillId="0" borderId="218">
      <alignment horizontal="centerContinuous" vertical="center"/>
    </xf>
    <xf numFmtId="3" fontId="57" fillId="0" borderId="216"/>
    <xf numFmtId="0" fontId="117" fillId="0" borderId="218">
      <alignment horizontal="centerContinuous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1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2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240" fontId="6" fillId="0" borderId="136">
      <alignment horizontal="right" vertical="center"/>
    </xf>
    <xf numFmtId="0" fontId="9" fillId="0" borderId="180">
      <alignment horizontal="distributed"/>
    </xf>
    <xf numFmtId="49" fontId="117" fillId="0" borderId="136">
      <alignment horizontal="center"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206" fontId="6" fillId="0" borderId="136">
      <alignment vertical="center"/>
    </xf>
    <xf numFmtId="176" fontId="6" fillId="0" borderId="136">
      <alignment vertical="center"/>
    </xf>
    <xf numFmtId="249" fontId="6" fillId="0" borderId="136">
      <alignment vertical="center"/>
    </xf>
    <xf numFmtId="200" fontId="6" fillId="0" borderId="136">
      <alignment vertical="center"/>
    </xf>
    <xf numFmtId="200" fontId="6" fillId="0" borderId="181">
      <alignment vertical="center"/>
    </xf>
    <xf numFmtId="0" fontId="184" fillId="0" borderId="196" applyFill="0" applyBorder="0" applyProtection="0">
      <alignment vertical="center"/>
    </xf>
    <xf numFmtId="0" fontId="159" fillId="0" borderId="179" applyNumberFormat="0" applyFill="0" applyAlignment="0" applyProtection="0">
      <alignment vertical="center"/>
    </xf>
    <xf numFmtId="176" fontId="6" fillId="0" borderId="181">
      <alignment vertical="center"/>
    </xf>
    <xf numFmtId="0" fontId="6" fillId="0" borderId="181">
      <alignment vertical="center"/>
    </xf>
    <xf numFmtId="0" fontId="50" fillId="3" borderId="185">
      <alignment vertical="center"/>
    </xf>
    <xf numFmtId="218" fontId="9" fillId="0" borderId="186">
      <alignment horizontal="centerContinuous" vertical="center"/>
    </xf>
    <xf numFmtId="0" fontId="185" fillId="22" borderId="191" applyNumberFormat="0" applyAlignment="0" applyProtection="0">
      <alignment vertical="center"/>
    </xf>
    <xf numFmtId="0" fontId="54" fillId="28" borderId="193" applyNumberFormat="0" applyFont="0" applyAlignment="0" applyProtection="0">
      <alignment vertical="center"/>
    </xf>
    <xf numFmtId="0" fontId="159" fillId="0" borderId="194" applyNumberFormat="0" applyFill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0" fontId="54" fillId="28" borderId="193" applyNumberFormat="0" applyFont="0" applyAlignment="0" applyProtection="0">
      <alignment vertical="center"/>
    </xf>
    <xf numFmtId="0" fontId="153" fillId="22" borderId="192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0" fontId="82" fillId="0" borderId="196"/>
    <xf numFmtId="0" fontId="9" fillId="0" borderId="219">
      <alignment horizontal="distributed"/>
    </xf>
    <xf numFmtId="0" fontId="94" fillId="0" borderId="186">
      <alignment horizontal="centerContinuous" vertical="center"/>
    </xf>
    <xf numFmtId="0" fontId="6" fillId="0" borderId="218">
      <alignment horizontal="centerContinuous" vertical="center"/>
    </xf>
    <xf numFmtId="0" fontId="57" fillId="28" borderId="169" applyNumberFormat="0" applyFont="0" applyAlignment="0" applyProtection="0">
      <alignment vertical="center"/>
    </xf>
    <xf numFmtId="0" fontId="57" fillId="28" borderId="169" applyNumberFormat="0" applyFont="0" applyAlignment="0" applyProtection="0">
      <alignment vertical="center"/>
    </xf>
    <xf numFmtId="0" fontId="153" fillId="22" borderId="168" applyNumberFormat="0" applyAlignment="0" applyProtection="0">
      <alignment vertical="center"/>
    </xf>
    <xf numFmtId="240" fontId="6" fillId="0" borderId="196">
      <alignment horizontal="right" vertical="center"/>
    </xf>
    <xf numFmtId="10" fontId="39" fillId="4" borderId="172" applyNumberFormat="0" applyBorder="0" applyAlignment="0" applyProtection="0"/>
    <xf numFmtId="256" fontId="117" fillId="0" borderId="172" applyBorder="0">
      <alignment vertical="center"/>
    </xf>
    <xf numFmtId="3" fontId="56" fillId="0" borderId="172"/>
    <xf numFmtId="0" fontId="41" fillId="0" borderId="197">
      <alignment horizontal="left" vertical="center"/>
    </xf>
    <xf numFmtId="0" fontId="6" fillId="0" borderId="183">
      <alignment horizontal="centerContinuous" vertical="center"/>
    </xf>
    <xf numFmtId="185" fontId="8" fillId="0" borderId="172">
      <alignment vertical="center"/>
    </xf>
    <xf numFmtId="0" fontId="117" fillId="0" borderId="183">
      <alignment horizontal="centerContinuous" vertical="center"/>
    </xf>
    <xf numFmtId="10" fontId="39" fillId="4" borderId="181" applyNumberFormat="0" applyBorder="0" applyAlignment="0" applyProtection="0"/>
    <xf numFmtId="0" fontId="6" fillId="0" borderId="183">
      <alignment horizontal="centerContinuous" vertical="center"/>
    </xf>
    <xf numFmtId="176" fontId="6" fillId="0" borderId="172">
      <alignment vertical="center"/>
    </xf>
    <xf numFmtId="0" fontId="6" fillId="0" borderId="172">
      <alignment vertical="center"/>
    </xf>
    <xf numFmtId="200" fontId="6" fillId="0" borderId="172">
      <alignment vertical="center"/>
    </xf>
    <xf numFmtId="218" fontId="6" fillId="0" borderId="172">
      <alignment vertical="center"/>
    </xf>
    <xf numFmtId="0" fontId="165" fillId="22" borderId="167" applyNumberFormat="0" applyAlignment="0" applyProtection="0">
      <alignment vertical="center"/>
    </xf>
    <xf numFmtId="0" fontId="159" fillId="0" borderId="170" applyNumberFormat="0" applyFill="0" applyAlignment="0" applyProtection="0">
      <alignment vertical="center"/>
    </xf>
    <xf numFmtId="0" fontId="159" fillId="0" borderId="170" applyNumberFormat="0" applyFill="0" applyAlignment="0" applyProtection="0">
      <alignment vertical="center"/>
    </xf>
    <xf numFmtId="309" fontId="9" fillId="0" borderId="181" applyFill="0" applyBorder="0" applyAlignment="0"/>
    <xf numFmtId="0" fontId="9" fillId="0" borderId="172">
      <alignment horizontal="distributed" vertical="center"/>
    </xf>
    <xf numFmtId="0" fontId="9" fillId="0" borderId="172">
      <alignment horizontal="distributed" vertical="center"/>
    </xf>
    <xf numFmtId="200" fontId="6" fillId="0" borderId="181">
      <alignment vertical="center"/>
    </xf>
    <xf numFmtId="322" fontId="9" fillId="0" borderId="218">
      <alignment horizontal="centerContinuous" vertical="center"/>
    </xf>
    <xf numFmtId="176" fontId="6" fillId="0" borderId="196">
      <alignment vertical="center"/>
    </xf>
    <xf numFmtId="240" fontId="6" fillId="0" borderId="160">
      <alignment horizontal="right" vertical="center"/>
    </xf>
    <xf numFmtId="241" fontId="6" fillId="0" borderId="160">
      <alignment horizontal="right" vertical="center"/>
    </xf>
    <xf numFmtId="0" fontId="94" fillId="0" borderId="183">
      <alignment horizontal="centerContinuous" vertical="center"/>
    </xf>
    <xf numFmtId="0" fontId="82" fillId="0" borderId="196"/>
    <xf numFmtId="218" fontId="9" fillId="0" borderId="162">
      <alignment horizontal="centerContinuous" vertical="center"/>
    </xf>
    <xf numFmtId="322" fontId="9" fillId="0" borderId="162">
      <alignment horizontal="centerContinuous" vertical="center"/>
    </xf>
    <xf numFmtId="200" fontId="6" fillId="0" borderId="181">
      <alignment vertical="center"/>
    </xf>
    <xf numFmtId="0" fontId="6" fillId="0" borderId="181">
      <alignment horizontal="right" vertical="center" shrinkToFit="1"/>
    </xf>
    <xf numFmtId="0" fontId="6" fillId="0" borderId="181">
      <alignment horizontal="right" vertical="center" shrinkToFit="1"/>
    </xf>
    <xf numFmtId="0" fontId="94" fillId="0" borderId="198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246" fontId="117" fillId="0" borderId="148">
      <alignment vertical="center"/>
    </xf>
    <xf numFmtId="322" fontId="9" fillId="0" borderId="186">
      <alignment horizontal="centerContinuous" vertical="center"/>
    </xf>
    <xf numFmtId="0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117" fillId="0" borderId="186">
      <alignment horizontal="centerContinuous" vertical="center"/>
    </xf>
    <xf numFmtId="0" fontId="117" fillId="0" borderId="186">
      <alignment horizontal="centerContinuous" vertical="center"/>
    </xf>
    <xf numFmtId="0" fontId="94" fillId="0" borderId="186">
      <alignment horizontal="centerContinuous" vertical="center"/>
    </xf>
    <xf numFmtId="236" fontId="6" fillId="0" borderId="172">
      <alignment vertical="center"/>
    </xf>
    <xf numFmtId="3" fontId="57" fillId="0" borderId="216"/>
    <xf numFmtId="3" fontId="57" fillId="0" borderId="216"/>
    <xf numFmtId="0" fontId="9" fillId="0" borderId="208">
      <alignment horizontal="distributed" vertical="center"/>
    </xf>
    <xf numFmtId="338" fontId="19" fillId="0" borderId="208"/>
    <xf numFmtId="0" fontId="54" fillId="28" borderId="214" applyNumberFormat="0" applyFont="0" applyAlignment="0" applyProtection="0">
      <alignment vertical="center"/>
    </xf>
    <xf numFmtId="0" fontId="134" fillId="0" borderId="160">
      <alignment vertical="center"/>
    </xf>
    <xf numFmtId="237" fontId="6" fillId="0" borderId="172">
      <alignment vertical="center"/>
    </xf>
    <xf numFmtId="238" fontId="6" fillId="0" borderId="196">
      <alignment vertical="center"/>
    </xf>
    <xf numFmtId="0" fontId="9" fillId="0" borderId="216">
      <alignment horizontal="distributed" vertical="center"/>
    </xf>
    <xf numFmtId="0" fontId="41" fillId="0" borderId="184">
      <alignment horizontal="left" vertical="center"/>
    </xf>
    <xf numFmtId="322" fontId="9" fillId="0" borderId="218">
      <alignment horizontal="centerContinuous" vertical="center"/>
    </xf>
    <xf numFmtId="0" fontId="159" fillId="0" borderId="179" applyNumberFormat="0" applyFill="0" applyAlignment="0" applyProtection="0">
      <alignment vertical="center"/>
    </xf>
    <xf numFmtId="3" fontId="57" fillId="0" borderId="172"/>
    <xf numFmtId="3" fontId="57" fillId="0" borderId="172"/>
    <xf numFmtId="3" fontId="57" fillId="0" borderId="172"/>
    <xf numFmtId="256" fontId="117" fillId="0" borderId="216" applyBorder="0">
      <alignment vertical="center"/>
    </xf>
    <xf numFmtId="240" fontId="6" fillId="0" borderId="196">
      <alignment horizontal="right" vertical="center"/>
    </xf>
    <xf numFmtId="200" fontId="77" fillId="0" borderId="172">
      <alignment vertical="center"/>
    </xf>
    <xf numFmtId="3" fontId="6" fillId="0" borderId="172"/>
    <xf numFmtId="10" fontId="39" fillId="4" borderId="172" applyNumberFormat="0" applyBorder="0" applyAlignment="0" applyProtection="0"/>
    <xf numFmtId="0" fontId="82" fillId="0" borderId="172"/>
    <xf numFmtId="3" fontId="57" fillId="0" borderId="172"/>
    <xf numFmtId="221" fontId="117" fillId="0" borderId="172">
      <alignment vertical="center"/>
    </xf>
    <xf numFmtId="3" fontId="57" fillId="0" borderId="172"/>
    <xf numFmtId="234" fontId="117" fillId="0" borderId="208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3" fontId="117" fillId="0" borderId="208">
      <alignment vertical="center"/>
    </xf>
    <xf numFmtId="0" fontId="9" fillId="0" borderId="196">
      <alignment horizontal="distributed" vertical="center"/>
    </xf>
    <xf numFmtId="0" fontId="56" fillId="0" borderId="196"/>
    <xf numFmtId="3" fontId="56" fillId="0" borderId="196"/>
    <xf numFmtId="244" fontId="117" fillId="0" borderId="196">
      <alignment vertical="center"/>
    </xf>
    <xf numFmtId="243" fontId="117" fillId="0" borderId="196">
      <alignment vertical="center"/>
    </xf>
    <xf numFmtId="243" fontId="117" fillId="0" borderId="196">
      <alignment vertical="center"/>
    </xf>
    <xf numFmtId="234" fontId="117" fillId="0" borderId="196">
      <alignment vertical="center"/>
    </xf>
    <xf numFmtId="0" fontId="50" fillId="3" borderId="197">
      <alignment vertical="center"/>
    </xf>
    <xf numFmtId="0" fontId="92" fillId="0" borderId="196"/>
    <xf numFmtId="3" fontId="56" fillId="0" borderId="196"/>
    <xf numFmtId="0" fontId="41" fillId="0" borderId="197">
      <alignment horizontal="left" vertical="center"/>
    </xf>
    <xf numFmtId="49" fontId="117" fillId="0" borderId="196">
      <alignment horizontal="center"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206" fontId="6" fillId="0" borderId="196">
      <alignment vertical="center"/>
    </xf>
    <xf numFmtId="206" fontId="6" fillId="0" borderId="196">
      <alignment vertical="center"/>
    </xf>
    <xf numFmtId="0" fontId="6" fillId="0" borderId="196">
      <alignment vertical="center"/>
    </xf>
    <xf numFmtId="176" fontId="6" fillId="0" borderId="196">
      <alignment vertical="center"/>
    </xf>
    <xf numFmtId="218" fontId="6" fillId="0" borderId="196">
      <alignment vertical="center"/>
    </xf>
    <xf numFmtId="249" fontId="6" fillId="0" borderId="196">
      <alignment vertical="center"/>
    </xf>
    <xf numFmtId="249" fontId="6" fillId="0" borderId="196">
      <alignment vertical="center"/>
    </xf>
    <xf numFmtId="200" fontId="6" fillId="0" borderId="196">
      <alignment vertical="center"/>
    </xf>
    <xf numFmtId="0" fontId="54" fillId="28" borderId="205" applyNumberFormat="0" applyFont="0" applyAlignment="0" applyProtection="0">
      <alignment vertical="center"/>
    </xf>
    <xf numFmtId="0" fontId="153" fillId="22" borderId="204" applyNumberFormat="0" applyAlignment="0" applyProtection="0">
      <alignment vertical="center"/>
    </xf>
    <xf numFmtId="203" fontId="176" fillId="0" borderId="200" applyFill="0" applyProtection="0">
      <alignment horizontal="center"/>
    </xf>
    <xf numFmtId="0" fontId="50" fillId="3" borderId="197">
      <alignment vertical="center"/>
    </xf>
    <xf numFmtId="0" fontId="9" fillId="0" borderId="199">
      <alignment horizontal="distributed"/>
    </xf>
    <xf numFmtId="0" fontId="9" fillId="0" borderId="199">
      <alignment horizontal="distributed"/>
    </xf>
    <xf numFmtId="0" fontId="9" fillId="0" borderId="196">
      <alignment horizontal="distributed" vertical="center"/>
    </xf>
    <xf numFmtId="218" fontId="9" fillId="0" borderId="198">
      <alignment horizontal="centerContinuous" vertical="center"/>
    </xf>
    <xf numFmtId="218" fontId="9" fillId="0" borderId="198">
      <alignment horizontal="centerContinuous" vertical="center"/>
    </xf>
    <xf numFmtId="200" fontId="77" fillId="0" borderId="196">
      <alignment vertical="center"/>
    </xf>
    <xf numFmtId="3" fontId="6" fillId="0" borderId="196"/>
    <xf numFmtId="0" fontId="11" fillId="0" borderId="196" applyNumberFormat="0" applyFont="0" applyFill="0" applyAlignment="0" applyProtection="0">
      <alignment horizontal="center" vertical="center"/>
    </xf>
    <xf numFmtId="10" fontId="39" fillId="4" borderId="196" applyNumberFormat="0" applyBorder="0" applyAlignment="0" applyProtection="0"/>
    <xf numFmtId="249" fontId="6" fillId="0" borderId="181">
      <alignment vertical="center"/>
    </xf>
    <xf numFmtId="206" fontId="6" fillId="0" borderId="181">
      <alignment vertical="center"/>
    </xf>
    <xf numFmtId="206" fontId="6" fillId="0" borderId="181">
      <alignment vertical="center"/>
    </xf>
    <xf numFmtId="242" fontId="6" fillId="0" borderId="181">
      <alignment horizontal="right" vertical="center"/>
    </xf>
    <xf numFmtId="242" fontId="6" fillId="0" borderId="181">
      <alignment horizontal="right" vertical="center"/>
    </xf>
    <xf numFmtId="242" fontId="6" fillId="0" borderId="181">
      <alignment horizontal="right" vertical="center"/>
    </xf>
    <xf numFmtId="0" fontId="117" fillId="0" borderId="186">
      <alignment horizontal="centerContinuous" vertical="center"/>
    </xf>
    <xf numFmtId="234" fontId="117" fillId="0" borderId="216">
      <alignment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176" fontId="6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206" fontId="6" fillId="0" borderId="172">
      <alignment vertical="center"/>
    </xf>
    <xf numFmtId="206" fontId="6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200" fontId="6" fillId="0" borderId="172">
      <alignment vertical="center"/>
    </xf>
    <xf numFmtId="218" fontId="6" fillId="0" borderId="172">
      <alignment vertical="center"/>
    </xf>
    <xf numFmtId="218" fontId="6" fillId="0" borderId="172">
      <alignment vertical="center"/>
    </xf>
    <xf numFmtId="218" fontId="6" fillId="0" borderId="172">
      <alignment vertical="center"/>
    </xf>
    <xf numFmtId="249" fontId="6" fillId="0" borderId="172">
      <alignment vertical="center"/>
    </xf>
    <xf numFmtId="249" fontId="6" fillId="0" borderId="172">
      <alignment vertical="center"/>
    </xf>
    <xf numFmtId="249" fontId="6" fillId="0" borderId="172">
      <alignment vertical="center"/>
    </xf>
    <xf numFmtId="200" fontId="6" fillId="0" borderId="172">
      <alignment vertical="center"/>
    </xf>
    <xf numFmtId="200" fontId="6" fillId="0" borderId="172">
      <alignment vertical="center"/>
    </xf>
    <xf numFmtId="200" fontId="6" fillId="0" borderId="172">
      <alignment vertical="center"/>
    </xf>
    <xf numFmtId="200" fontId="6" fillId="0" borderId="196">
      <alignment vertical="center"/>
    </xf>
    <xf numFmtId="238" fontId="6" fillId="0" borderId="196">
      <alignment vertical="center"/>
    </xf>
    <xf numFmtId="236" fontId="6" fillId="0" borderId="196">
      <alignment vertical="center"/>
    </xf>
    <xf numFmtId="0" fontId="9" fillId="0" borderId="218">
      <alignment horizontal="centerContinuous" vertical="center"/>
    </xf>
    <xf numFmtId="200" fontId="6" fillId="0" borderId="181">
      <alignment vertical="center"/>
    </xf>
    <xf numFmtId="176" fontId="6" fillId="0" borderId="181">
      <alignment vertical="center"/>
    </xf>
    <xf numFmtId="176" fontId="6" fillId="0" borderId="181">
      <alignment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322" fontId="9" fillId="0" borderId="218">
      <alignment horizontal="centerContinuous" vertical="center"/>
    </xf>
    <xf numFmtId="3" fontId="57" fillId="0" borderId="208"/>
    <xf numFmtId="0" fontId="50" fillId="3" borderId="197">
      <alignment vertical="center"/>
    </xf>
    <xf numFmtId="0" fontId="134" fillId="0" borderId="196">
      <alignment vertical="center"/>
    </xf>
    <xf numFmtId="0" fontId="6" fillId="0" borderId="181">
      <alignment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94" fillId="0" borderId="186">
      <alignment horizontal="centerContinuous" vertical="center"/>
    </xf>
    <xf numFmtId="0" fontId="117" fillId="0" borderId="186">
      <alignment horizontal="centerContinuous" vertical="center"/>
    </xf>
    <xf numFmtId="256" fontId="117" fillId="0" borderId="216" applyBorder="0">
      <alignment vertical="center"/>
    </xf>
    <xf numFmtId="0" fontId="92" fillId="0" borderId="216"/>
    <xf numFmtId="0" fontId="92" fillId="0" borderId="216"/>
    <xf numFmtId="0" fontId="92" fillId="0" borderId="216"/>
    <xf numFmtId="0" fontId="159" fillId="0" borderId="194" applyNumberFormat="0" applyFill="0" applyAlignment="0" applyProtection="0">
      <alignment vertical="center"/>
    </xf>
    <xf numFmtId="0" fontId="57" fillId="28" borderId="193" applyNumberFormat="0" applyFont="0" applyAlignment="0" applyProtection="0">
      <alignment vertical="center"/>
    </xf>
    <xf numFmtId="0" fontId="153" fillId="22" borderId="192" applyNumberFormat="0" applyAlignment="0" applyProtection="0">
      <alignment vertical="center"/>
    </xf>
    <xf numFmtId="10" fontId="39" fillId="4" borderId="181" applyNumberFormat="0" applyBorder="0" applyAlignment="0" applyProtection="0"/>
    <xf numFmtId="244" fontId="117" fillId="0" borderId="181">
      <alignment vertical="center"/>
    </xf>
    <xf numFmtId="200" fontId="6" fillId="0" borderId="172">
      <alignment vertical="center"/>
    </xf>
    <xf numFmtId="0" fontId="153" fillId="22" borderId="192" applyNumberFormat="0" applyAlignment="0" applyProtection="0">
      <alignment vertical="center"/>
    </xf>
    <xf numFmtId="0" fontId="6" fillId="0" borderId="218">
      <alignment horizontal="centerContinuous" vertical="center"/>
    </xf>
    <xf numFmtId="238" fontId="6" fillId="0" borderId="172">
      <alignment vertical="center"/>
    </xf>
    <xf numFmtId="241" fontId="6" fillId="0" borderId="172">
      <alignment horizontal="right" vertical="center"/>
    </xf>
    <xf numFmtId="240" fontId="6" fillId="0" borderId="172">
      <alignment horizontal="right" vertical="center"/>
    </xf>
    <xf numFmtId="240" fontId="6" fillId="0" borderId="172">
      <alignment horizontal="right" vertical="center"/>
    </xf>
    <xf numFmtId="3" fontId="57" fillId="0" borderId="160"/>
    <xf numFmtId="0" fontId="94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185" fontId="8" fillId="0" borderId="160">
      <alignment vertical="center"/>
    </xf>
    <xf numFmtId="0" fontId="41" fillId="0" borderId="161">
      <alignment horizontal="left" vertical="center"/>
    </xf>
    <xf numFmtId="10" fontId="39" fillId="2" borderId="160" applyNumberFormat="0" applyBorder="0" applyAlignment="0" applyProtection="0"/>
    <xf numFmtId="10" fontId="39" fillId="2" borderId="160" applyNumberFormat="0" applyBorder="0" applyAlignment="0" applyProtection="0"/>
    <xf numFmtId="234" fontId="117" fillId="0" borderId="160">
      <alignment vertical="center"/>
    </xf>
    <xf numFmtId="0" fontId="56" fillId="0" borderId="160"/>
    <xf numFmtId="0" fontId="56" fillId="0" borderId="160"/>
    <xf numFmtId="256" fontId="117" fillId="0" borderId="160" applyBorder="0">
      <alignment vertical="center"/>
    </xf>
    <xf numFmtId="0" fontId="9" fillId="0" borderId="163">
      <alignment horizontal="distributed"/>
    </xf>
    <xf numFmtId="0" fontId="9" fillId="0" borderId="163">
      <alignment horizontal="distributed"/>
    </xf>
    <xf numFmtId="10" fontId="39" fillId="2" borderId="196" applyNumberFormat="0" applyBorder="0" applyAlignment="0" applyProtection="0"/>
    <xf numFmtId="0" fontId="54" fillId="28" borderId="205" applyNumberFormat="0" applyFont="0" applyAlignment="0" applyProtection="0">
      <alignment vertical="center"/>
    </xf>
    <xf numFmtId="238" fontId="6" fillId="0" borderId="172">
      <alignment vertical="center"/>
    </xf>
    <xf numFmtId="236" fontId="6" fillId="0" borderId="172">
      <alignment vertical="center"/>
    </xf>
    <xf numFmtId="322" fontId="9" fillId="0" borderId="218">
      <alignment horizontal="centerContinuous" vertical="center"/>
    </xf>
    <xf numFmtId="3" fontId="57" fillId="0" borderId="216"/>
    <xf numFmtId="0" fontId="117" fillId="0" borderId="162">
      <alignment horizontal="centerContinuous" vertical="center"/>
    </xf>
    <xf numFmtId="176" fontId="6" fillId="0" borderId="160">
      <alignment vertical="center"/>
    </xf>
    <xf numFmtId="0" fontId="117" fillId="0" borderId="162">
      <alignment horizontal="centerContinuous" vertical="center"/>
    </xf>
    <xf numFmtId="0" fontId="92" fillId="0" borderId="160"/>
    <xf numFmtId="240" fontId="6" fillId="0" borderId="196">
      <alignment horizontal="right" vertical="center"/>
    </xf>
    <xf numFmtId="240" fontId="6" fillId="0" borderId="172">
      <alignment horizontal="right" vertical="center"/>
    </xf>
    <xf numFmtId="236" fontId="6" fillId="0" borderId="172">
      <alignment vertical="center"/>
    </xf>
    <xf numFmtId="206" fontId="6" fillId="0" borderId="172">
      <alignment vertical="center"/>
    </xf>
    <xf numFmtId="257" fontId="117" fillId="0" borderId="172" applyBorder="0">
      <alignment horizontal="left" vertical="center"/>
    </xf>
    <xf numFmtId="176" fontId="6" fillId="0" borderId="181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36" fontId="6" fillId="0" borderId="196">
      <alignment vertical="center"/>
    </xf>
    <xf numFmtId="193" fontId="23" fillId="0" borderId="0">
      <protection locked="0"/>
    </xf>
    <xf numFmtId="249" fontId="6" fillId="0" borderId="196">
      <alignment vertical="center"/>
    </xf>
    <xf numFmtId="240" fontId="6" fillId="0" borderId="181">
      <alignment horizontal="right" vertical="center"/>
    </xf>
    <xf numFmtId="0" fontId="6" fillId="28" borderId="205" applyNumberFormat="0" applyFont="0" applyAlignment="0" applyProtection="0">
      <alignment vertical="center"/>
    </xf>
    <xf numFmtId="0" fontId="57" fillId="28" borderId="205" applyNumberFormat="0" applyFont="0" applyAlignment="0" applyProtection="0">
      <alignment vertical="center"/>
    </xf>
    <xf numFmtId="241" fontId="6" fillId="0" borderId="172">
      <alignment horizontal="right" vertical="center"/>
    </xf>
    <xf numFmtId="240" fontId="6" fillId="0" borderId="172">
      <alignment horizontal="right" vertical="center"/>
    </xf>
    <xf numFmtId="0" fontId="50" fillId="3" borderId="161">
      <alignment vertical="center"/>
    </xf>
    <xf numFmtId="0" fontId="153" fillId="22" borderId="168" applyNumberFormat="0" applyAlignment="0" applyProtection="0">
      <alignment vertical="center"/>
    </xf>
    <xf numFmtId="0" fontId="94" fillId="0" borderId="198">
      <alignment horizontal="centerContinuous" vertical="center"/>
    </xf>
    <xf numFmtId="242" fontId="6" fillId="0" borderId="196">
      <alignment horizontal="right" vertical="center"/>
    </xf>
    <xf numFmtId="0" fontId="41" fillId="0" borderId="217">
      <alignment horizontal="left" vertical="center"/>
    </xf>
    <xf numFmtId="200" fontId="6" fillId="0" borderId="124">
      <alignment vertical="center"/>
    </xf>
    <xf numFmtId="200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176" fontId="6" fillId="0" borderId="124">
      <alignment vertical="center"/>
    </xf>
    <xf numFmtId="247" fontId="117" fillId="0" borderId="124">
      <alignment vertical="center"/>
    </xf>
    <xf numFmtId="49" fontId="117" fillId="0" borderId="124">
      <alignment horizontal="center" vertical="center"/>
    </xf>
    <xf numFmtId="186" fontId="14" fillId="0" borderId="175"/>
    <xf numFmtId="0" fontId="9" fillId="0" borderId="172">
      <alignment horizontal="distributed" vertical="center"/>
    </xf>
    <xf numFmtId="243" fontId="117" fillId="0" borderId="172">
      <alignment vertical="center"/>
    </xf>
    <xf numFmtId="240" fontId="6" fillId="0" borderId="124">
      <alignment horizontal="right" vertical="center"/>
    </xf>
    <xf numFmtId="236" fontId="6" fillId="0" borderId="160">
      <alignment vertical="center"/>
    </xf>
    <xf numFmtId="200" fontId="6" fillId="0" borderId="160">
      <alignment vertical="center"/>
    </xf>
    <xf numFmtId="176" fontId="6" fillId="0" borderId="124">
      <alignment vertical="center"/>
    </xf>
    <xf numFmtId="0" fontId="50" fillId="3" borderId="125">
      <alignment vertical="center"/>
    </xf>
    <xf numFmtId="0" fontId="6" fillId="0" borderId="218">
      <alignment horizontal="centerContinuous" vertical="center"/>
    </xf>
    <xf numFmtId="0" fontId="6" fillId="0" borderId="183">
      <alignment horizontal="centerContinuous" vertical="center"/>
    </xf>
    <xf numFmtId="185" fontId="235" fillId="0" borderId="124"/>
    <xf numFmtId="191" fontId="6" fillId="0" borderId="196">
      <alignment vertical="center"/>
    </xf>
    <xf numFmtId="230" fontId="6" fillId="0" borderId="196">
      <alignment vertical="center"/>
    </xf>
    <xf numFmtId="218" fontId="9" fillId="0" borderId="126">
      <alignment horizontal="centerContinuous" vertical="center"/>
    </xf>
    <xf numFmtId="218" fontId="9" fillId="0" borderId="126">
      <alignment horizontal="centerContinuous" vertical="center"/>
    </xf>
    <xf numFmtId="218" fontId="9" fillId="0" borderId="126">
      <alignment horizontal="centerContinuous" vertical="center"/>
    </xf>
    <xf numFmtId="218" fontId="9" fillId="0" borderId="126">
      <alignment horizontal="centerContinuous" vertical="center"/>
    </xf>
    <xf numFmtId="218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322" fontId="9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94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62">
      <alignment horizontal="centerContinuous" vertical="center"/>
    </xf>
    <xf numFmtId="0" fontId="94" fillId="0" borderId="138">
      <alignment horizontal="centerContinuous" vertical="center"/>
    </xf>
    <xf numFmtId="0" fontId="6" fillId="0" borderId="138">
      <alignment horizontal="centerContinuous" vertical="center"/>
    </xf>
    <xf numFmtId="0" fontId="159" fillId="0" borderId="179" applyNumberFormat="0" applyFill="0" applyAlignment="0" applyProtection="0">
      <alignment vertical="center"/>
    </xf>
    <xf numFmtId="322" fontId="9" fillId="0" borderId="198">
      <alignment horizontal="centerContinuous" vertical="center"/>
    </xf>
    <xf numFmtId="0" fontId="6" fillId="0" borderId="198">
      <alignment horizontal="centerContinuous" vertical="center"/>
    </xf>
    <xf numFmtId="0" fontId="50" fillId="3" borderId="217">
      <alignment vertical="center"/>
    </xf>
    <xf numFmtId="240" fontId="6" fillId="0" borderId="172">
      <alignment horizontal="right" vertical="center"/>
    </xf>
    <xf numFmtId="249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00" fontId="6" fillId="0" borderId="148">
      <alignment vertical="center"/>
    </xf>
    <xf numFmtId="240" fontId="6" fillId="0" borderId="160">
      <alignment horizontal="right" vertical="center"/>
    </xf>
    <xf numFmtId="185" fontId="8" fillId="0" borderId="148">
      <alignment vertical="center"/>
    </xf>
    <xf numFmtId="256" fontId="117" fillId="0" borderId="216" applyBorder="0">
      <alignment vertical="center"/>
    </xf>
    <xf numFmtId="234" fontId="117" fillId="0" borderId="148">
      <alignment vertical="center"/>
    </xf>
    <xf numFmtId="234" fontId="117" fillId="0" borderId="148">
      <alignment vertical="center"/>
    </xf>
    <xf numFmtId="244" fontId="117" fillId="0" borderId="148">
      <alignment vertical="center"/>
    </xf>
    <xf numFmtId="244" fontId="117" fillId="0" borderId="148">
      <alignment vertical="center"/>
    </xf>
    <xf numFmtId="0" fontId="6" fillId="0" borderId="148">
      <alignment horizontal="right" vertical="center" shrinkToFit="1"/>
    </xf>
    <xf numFmtId="0" fontId="6" fillId="0" borderId="148">
      <alignment horizontal="right" vertical="center" shrinkToFit="1"/>
    </xf>
    <xf numFmtId="0" fontId="6" fillId="0" borderId="148">
      <alignment horizontal="right" vertical="center" shrinkToFit="1"/>
    </xf>
    <xf numFmtId="236" fontId="6" fillId="0" borderId="181">
      <alignment vertical="center"/>
    </xf>
    <xf numFmtId="0" fontId="6" fillId="28" borderId="145" applyNumberFormat="0" applyFont="0" applyAlignment="0" applyProtection="0">
      <alignment vertical="center"/>
    </xf>
    <xf numFmtId="0" fontId="57" fillId="28" borderId="145" applyNumberFormat="0" applyFont="0" applyAlignment="0" applyProtection="0">
      <alignment vertical="center"/>
    </xf>
    <xf numFmtId="0" fontId="57" fillId="28" borderId="145" applyNumberFormat="0" applyFont="0" applyAlignment="0" applyProtection="0">
      <alignment vertical="center"/>
    </xf>
    <xf numFmtId="236" fontId="6" fillId="0" borderId="172">
      <alignment vertical="center"/>
    </xf>
    <xf numFmtId="200" fontId="6" fillId="0" borderId="181">
      <alignment vertical="center"/>
    </xf>
    <xf numFmtId="218" fontId="9" fillId="0" borderId="138">
      <alignment horizontal="centerContinuous" vertical="center"/>
    </xf>
    <xf numFmtId="0" fontId="94" fillId="0" borderId="198">
      <alignment horizontal="centerContinuous" vertical="center"/>
    </xf>
    <xf numFmtId="176" fontId="6" fillId="0" borderId="148">
      <alignment vertical="center"/>
    </xf>
    <xf numFmtId="0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20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49" fontId="117" fillId="0" borderId="148">
      <alignment horizontal="center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0" fontId="41" fillId="0" borderId="102">
      <alignment horizontal="lef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1" fontId="6" fillId="0" borderId="148">
      <alignment horizontal="right" vertical="center"/>
    </xf>
    <xf numFmtId="241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40" fontId="6" fillId="0" borderId="148">
      <alignment horizontal="right" vertical="center"/>
    </xf>
    <xf numFmtId="236" fontId="6" fillId="0" borderId="148">
      <alignment vertical="center"/>
    </xf>
    <xf numFmtId="236" fontId="6" fillId="0" borderId="148">
      <alignment vertical="center"/>
    </xf>
    <xf numFmtId="322" fontId="9" fillId="0" borderId="198">
      <alignment horizontal="centerContinuous" vertical="center"/>
    </xf>
    <xf numFmtId="256" fontId="117" fillId="0" borderId="196" applyBorder="0">
      <alignment vertical="center"/>
    </xf>
    <xf numFmtId="0" fontId="117" fillId="0" borderId="150">
      <alignment horizontal="centerContinuous" vertical="center"/>
    </xf>
    <xf numFmtId="0" fontId="117" fillId="0" borderId="150">
      <alignment horizontal="centerContinuous" vertical="center"/>
    </xf>
    <xf numFmtId="3" fontId="57" fillId="0" borderId="148"/>
    <xf numFmtId="3" fontId="57" fillId="0" borderId="148"/>
    <xf numFmtId="3" fontId="57" fillId="0" borderId="148"/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322" fontId="9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94" fillId="0" borderId="150">
      <alignment horizontal="centerContinuous" vertical="center"/>
    </xf>
    <xf numFmtId="0" fontId="50" fillId="3" borderId="102">
      <alignment vertical="center"/>
    </xf>
    <xf numFmtId="0" fontId="50" fillId="3" borderId="102">
      <alignment vertical="center"/>
    </xf>
    <xf numFmtId="0" fontId="50" fillId="3" borderId="102">
      <alignment vertical="center"/>
    </xf>
    <xf numFmtId="240" fontId="6" fillId="0" borderId="160">
      <alignment horizontal="right" vertical="center"/>
    </xf>
    <xf numFmtId="0" fontId="9" fillId="0" borderId="187">
      <alignment horizontal="distributed"/>
    </xf>
    <xf numFmtId="41" fontId="56" fillId="0" borderId="181" applyNumberFormat="0" applyFont="0" applyFill="0" applyBorder="0" applyProtection="0">
      <alignment horizontal="distributed"/>
    </xf>
    <xf numFmtId="338" fontId="19" fillId="0" borderId="196"/>
    <xf numFmtId="206" fontId="6" fillId="0" borderId="160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40" fontId="6" fillId="0" borderId="181">
      <alignment horizontal="right" vertical="center"/>
    </xf>
    <xf numFmtId="228" fontId="117" fillId="0" borderId="135" applyBorder="0">
      <alignment vertical="center" wrapText="1"/>
    </xf>
    <xf numFmtId="0" fontId="56" fillId="0" borderId="181"/>
    <xf numFmtId="0" fontId="56" fillId="0" borderId="181"/>
    <xf numFmtId="0" fontId="92" fillId="0" borderId="181"/>
    <xf numFmtId="0" fontId="92" fillId="0" borderId="181"/>
    <xf numFmtId="0" fontId="92" fillId="0" borderId="181"/>
    <xf numFmtId="191" fontId="6" fillId="0" borderId="181">
      <alignment vertical="center"/>
    </xf>
    <xf numFmtId="256" fontId="117" fillId="0" borderId="181" applyBorder="0">
      <alignment vertical="center"/>
    </xf>
    <xf numFmtId="3" fontId="57" fillId="0" borderId="181"/>
    <xf numFmtId="230" fontId="6" fillId="0" borderId="160">
      <alignment vertical="center"/>
    </xf>
    <xf numFmtId="176" fontId="6" fillId="0" borderId="181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4" fontId="117" fillId="0" borderId="208">
      <alignment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3" fontId="56" fillId="0" borderId="208"/>
    <xf numFmtId="0" fontId="56" fillId="0" borderId="208"/>
    <xf numFmtId="0" fontId="92" fillId="0" borderId="208"/>
    <xf numFmtId="0" fontId="92" fillId="0" borderId="208"/>
    <xf numFmtId="256" fontId="117" fillId="0" borderId="208" applyBorder="0">
      <alignment vertical="center"/>
    </xf>
    <xf numFmtId="218" fontId="6" fillId="0" borderId="181">
      <alignment vertical="center"/>
    </xf>
    <xf numFmtId="0" fontId="6" fillId="0" borderId="181">
      <alignment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2" fillId="0" borderId="172"/>
    <xf numFmtId="243" fontId="117" fillId="0" borderId="208">
      <alignment vertical="center"/>
    </xf>
    <xf numFmtId="236" fontId="6" fillId="0" borderId="172">
      <alignment vertical="center"/>
    </xf>
    <xf numFmtId="237" fontId="6" fillId="0" borderId="181">
      <alignment vertical="center"/>
    </xf>
    <xf numFmtId="0" fontId="6" fillId="0" borderId="198">
      <alignment horizontal="centerContinuous" vertical="center"/>
    </xf>
    <xf numFmtId="191" fontId="6" fillId="0" borderId="196">
      <alignment vertical="center"/>
    </xf>
    <xf numFmtId="243" fontId="117" fillId="0" borderId="216">
      <alignment vertical="center"/>
    </xf>
    <xf numFmtId="230" fontId="6" fillId="0" borderId="172">
      <alignment vertical="center"/>
    </xf>
    <xf numFmtId="322" fontId="9" fillId="0" borderId="186">
      <alignment horizontal="centerContinuous" vertical="center"/>
    </xf>
    <xf numFmtId="0" fontId="94" fillId="0" borderId="186">
      <alignment horizontal="centerContinuous"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49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246" fontId="117" fillId="0" borderId="112">
      <alignment vertical="center"/>
    </xf>
    <xf numFmtId="240" fontId="6" fillId="0" borderId="181">
      <alignment horizontal="right" vertical="center"/>
    </xf>
    <xf numFmtId="241" fontId="6" fillId="0" borderId="181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1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5" fontId="117" fillId="0" borderId="112">
      <alignment vertical="center"/>
    </xf>
    <xf numFmtId="200" fontId="6" fillId="0" borderId="196">
      <alignment vertical="center"/>
    </xf>
    <xf numFmtId="200" fontId="6" fillId="0" borderId="172">
      <alignment vertical="center"/>
    </xf>
    <xf numFmtId="0" fontId="6" fillId="0" borderId="186">
      <alignment horizontal="centerContinuous" vertical="center"/>
    </xf>
    <xf numFmtId="37" fontId="117" fillId="0" borderId="112">
      <alignment horizontal="center" vertical="distributed"/>
    </xf>
    <xf numFmtId="233" fontId="122" fillId="0" borderId="112" applyFill="0" applyBorder="0" applyAlignment="0"/>
    <xf numFmtId="239" fontId="117" fillId="0" borderId="208">
      <alignment horizontal="right" vertical="center"/>
    </xf>
    <xf numFmtId="244" fontId="117" fillId="0" borderId="208">
      <alignment vertical="center"/>
    </xf>
    <xf numFmtId="244" fontId="117" fillId="0" borderId="208">
      <alignment vertical="center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0" fontId="92" fillId="0" borderId="208"/>
    <xf numFmtId="0" fontId="6" fillId="0" borderId="218">
      <alignment horizontal="centerContinuous" vertical="center"/>
    </xf>
    <xf numFmtId="256" fontId="117" fillId="0" borderId="216" applyBorder="0">
      <alignment vertical="center"/>
    </xf>
    <xf numFmtId="0" fontId="165" fillId="22" borderId="203" applyNumberFormat="0" applyAlignment="0" applyProtection="0">
      <alignment vertical="center"/>
    </xf>
    <xf numFmtId="200" fontId="6" fillId="0" borderId="160">
      <alignment vertical="center"/>
    </xf>
    <xf numFmtId="0" fontId="6" fillId="0" borderId="183">
      <alignment horizontal="centerContinuous" vertical="center"/>
    </xf>
    <xf numFmtId="176" fontId="6" fillId="0" borderId="172">
      <alignment vertical="center"/>
    </xf>
    <xf numFmtId="200" fontId="6" fillId="0" borderId="172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6" fillId="0" borderId="181">
      <alignment vertical="center"/>
    </xf>
    <xf numFmtId="3" fontId="57" fillId="0" borderId="112"/>
    <xf numFmtId="3" fontId="57" fillId="0" borderId="172"/>
    <xf numFmtId="240" fontId="6" fillId="0" borderId="124">
      <alignment horizontal="right" vertical="center"/>
    </xf>
    <xf numFmtId="236" fontId="6" fillId="0" borderId="124">
      <alignment vertical="center"/>
    </xf>
    <xf numFmtId="0" fontId="153" fillId="22" borderId="177" applyNumberFormat="0" applyAlignment="0" applyProtection="0">
      <alignment vertical="center"/>
    </xf>
    <xf numFmtId="3" fontId="57" fillId="0" borderId="112"/>
    <xf numFmtId="3" fontId="57" fillId="0" borderId="112"/>
    <xf numFmtId="0" fontId="82" fillId="0" borderId="112"/>
    <xf numFmtId="0" fontId="41" fillId="0" borderId="113">
      <alignment horizontal="left" vertical="center"/>
    </xf>
    <xf numFmtId="10" fontId="39" fillId="4" borderId="112" applyNumberFormat="0" applyBorder="0" applyAlignment="0" applyProtection="0"/>
    <xf numFmtId="0" fontId="50" fillId="3" borderId="113">
      <alignment vertical="center"/>
    </xf>
    <xf numFmtId="0" fontId="11" fillId="0" borderId="112" applyNumberFormat="0" applyFont="0" applyFill="0" applyAlignment="0" applyProtection="0">
      <alignment horizontal="center" vertical="center"/>
    </xf>
    <xf numFmtId="3" fontId="56" fillId="0" borderId="112"/>
    <xf numFmtId="0" fontId="56" fillId="0" borderId="112"/>
    <xf numFmtId="191" fontId="6" fillId="0" borderId="124">
      <alignment vertical="center"/>
    </xf>
    <xf numFmtId="0" fontId="92" fillId="0" borderId="112"/>
    <xf numFmtId="3" fontId="6" fillId="0" borderId="112"/>
    <xf numFmtId="185" fontId="9" fillId="0" borderId="112">
      <alignment horizontal="center" vertical="center"/>
    </xf>
    <xf numFmtId="200" fontId="77" fillId="0" borderId="112">
      <alignment vertical="center"/>
    </xf>
    <xf numFmtId="0" fontId="50" fillId="3" borderId="113">
      <alignment vertical="center"/>
    </xf>
    <xf numFmtId="0" fontId="6" fillId="0" borderId="150">
      <alignment horizontal="centerContinuous" vertical="center"/>
    </xf>
    <xf numFmtId="249" fontId="6" fillId="0" borderId="148">
      <alignment vertical="center"/>
    </xf>
    <xf numFmtId="0" fontId="6" fillId="0" borderId="112" applyNumberFormat="0" applyFill="0" applyProtection="0">
      <alignment vertical="center"/>
    </xf>
    <xf numFmtId="0" fontId="54" fillId="28" borderId="178" applyNumberFormat="0" applyFont="0" applyAlignment="0" applyProtection="0">
      <alignment vertical="center"/>
    </xf>
    <xf numFmtId="322" fontId="9" fillId="0" borderId="218">
      <alignment horizontal="centerContinuous" vertical="center"/>
    </xf>
    <xf numFmtId="218" fontId="9" fillId="0" borderId="218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218" fontId="9" fillId="0" borderId="114">
      <alignment horizontal="centerContinuous" vertical="center"/>
    </xf>
    <xf numFmtId="218" fontId="9" fillId="0" borderId="114">
      <alignment horizontal="centerContinuous" vertical="center"/>
    </xf>
    <xf numFmtId="218" fontId="9" fillId="0" borderId="114">
      <alignment horizontal="centerContinuous" vertical="center"/>
    </xf>
    <xf numFmtId="218" fontId="9" fillId="0" borderId="114">
      <alignment horizontal="centerContinuous" vertical="center"/>
    </xf>
    <xf numFmtId="218" fontId="9" fillId="0" borderId="114">
      <alignment horizontal="centerContinuous" vertical="center"/>
    </xf>
    <xf numFmtId="218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0" fontId="6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" fillId="0" borderId="114">
      <alignment horizontal="centerContinuous" vertical="center"/>
    </xf>
    <xf numFmtId="0" fontId="9" fillId="0" borderId="114">
      <alignment horizontal="centerContinuous" vertical="center"/>
    </xf>
    <xf numFmtId="0" fontId="9" fillId="0" borderId="114">
      <alignment horizontal="centerContinuous" vertical="center"/>
    </xf>
    <xf numFmtId="0" fontId="9" fillId="0" borderId="114">
      <alignment horizontal="centerContinuous" vertical="center"/>
    </xf>
    <xf numFmtId="0" fontId="9" fillId="0" borderId="114">
      <alignment horizontal="centerContinuous" vertical="center"/>
    </xf>
    <xf numFmtId="0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117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0" fontId="94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322" fontId="9" fillId="0" borderId="114">
      <alignment horizontal="centerContinuous" vertical="center"/>
    </xf>
    <xf numFmtId="0" fontId="6" fillId="0" borderId="150">
      <alignment horizontal="centerContinuous" vertical="center"/>
    </xf>
    <xf numFmtId="238" fontId="6" fillId="0" borderId="181">
      <alignment vertical="center"/>
    </xf>
    <xf numFmtId="218" fontId="6" fillId="0" borderId="148">
      <alignment vertical="center"/>
    </xf>
    <xf numFmtId="236" fontId="6" fillId="0" borderId="124">
      <alignment vertical="center"/>
    </xf>
    <xf numFmtId="241" fontId="6" fillId="0" borderId="124">
      <alignment horizontal="right" vertical="center"/>
    </xf>
    <xf numFmtId="240" fontId="6" fillId="0" borderId="181">
      <alignment horizontal="right" vertical="center"/>
    </xf>
    <xf numFmtId="3" fontId="57" fillId="0" borderId="172"/>
    <xf numFmtId="236" fontId="6" fillId="0" borderId="124">
      <alignment vertical="center"/>
    </xf>
    <xf numFmtId="240" fontId="6" fillId="0" borderId="124">
      <alignment horizontal="right" vertical="center"/>
    </xf>
    <xf numFmtId="3" fontId="57" fillId="0" borderId="172"/>
    <xf numFmtId="240" fontId="6" fillId="0" borderId="124">
      <alignment horizontal="right" vertical="center"/>
    </xf>
    <xf numFmtId="249" fontId="6" fillId="0" borderId="148">
      <alignment vertical="center"/>
    </xf>
    <xf numFmtId="200" fontId="6" fillId="0" borderId="148">
      <alignment vertical="center"/>
    </xf>
    <xf numFmtId="0" fontId="6" fillId="0" borderId="150">
      <alignment horizontal="centerContinuous" vertical="center"/>
    </xf>
    <xf numFmtId="0" fontId="6" fillId="0" borderId="181">
      <alignment vertical="center"/>
    </xf>
    <xf numFmtId="3" fontId="57" fillId="0" borderId="172"/>
    <xf numFmtId="241" fontId="6" fillId="0" borderId="124">
      <alignment horizontal="right" vertical="center"/>
    </xf>
    <xf numFmtId="236" fontId="6" fillId="0" borderId="124">
      <alignment vertical="center"/>
    </xf>
    <xf numFmtId="235" fontId="117" fillId="0" borderId="124">
      <alignment vertical="center"/>
    </xf>
    <xf numFmtId="0" fontId="94" fillId="0" borderId="198">
      <alignment horizontal="centerContinuous" vertical="center"/>
    </xf>
    <xf numFmtId="185" fontId="8" fillId="0" borderId="112">
      <alignment vertical="center"/>
    </xf>
    <xf numFmtId="185" fontId="8" fillId="0" borderId="112">
      <alignment vertical="center"/>
    </xf>
    <xf numFmtId="185" fontId="8" fillId="0" borderId="112">
      <alignment vertical="center"/>
    </xf>
    <xf numFmtId="185" fontId="8" fillId="0" borderId="112">
      <alignment vertical="center"/>
    </xf>
    <xf numFmtId="185" fontId="8" fillId="0" borderId="112">
      <alignment vertical="center"/>
    </xf>
    <xf numFmtId="185" fontId="8" fillId="0" borderId="112">
      <alignment vertical="center"/>
    </xf>
    <xf numFmtId="322" fontId="9" fillId="0" borderId="126">
      <alignment horizontal="centerContinuous" vertical="center"/>
    </xf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3" fontId="57" fillId="0" borderId="112"/>
    <xf numFmtId="248" fontId="117" fillId="0" borderId="172">
      <alignment vertical="center"/>
    </xf>
    <xf numFmtId="218" fontId="6" fillId="0" borderId="172">
      <alignment vertical="center"/>
    </xf>
    <xf numFmtId="0" fontId="6" fillId="0" borderId="183">
      <alignment horizontal="centerContinuous" vertical="center"/>
    </xf>
    <xf numFmtId="0" fontId="82" fillId="0" borderId="112"/>
    <xf numFmtId="0" fontId="6" fillId="0" borderId="216">
      <alignment horizontal="right" vertical="center" shrinkToFit="1"/>
    </xf>
    <xf numFmtId="249" fontId="6" fillId="0" borderId="172">
      <alignment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0" fontId="41" fillId="0" borderId="113">
      <alignment horizontal="left" vertical="center"/>
    </xf>
    <xf numFmtId="10" fontId="39" fillId="2" borderId="112" applyNumberFormat="0" applyBorder="0" applyAlignment="0" applyProtection="0"/>
    <xf numFmtId="10" fontId="39" fillId="2" borderId="112" applyNumberFormat="0" applyBorder="0" applyAlignment="0" applyProtection="0"/>
    <xf numFmtId="10" fontId="39" fillId="2" borderId="112" applyNumberFormat="0" applyBorder="0" applyAlignment="0" applyProtection="0"/>
    <xf numFmtId="10" fontId="39" fillId="2" borderId="112" applyNumberFormat="0" applyBorder="0" applyAlignment="0" applyProtection="0"/>
    <xf numFmtId="10" fontId="39" fillId="2" borderId="112" applyNumberFormat="0" applyBorder="0" applyAlignment="0" applyProtection="0"/>
    <xf numFmtId="10" fontId="39" fillId="4" borderId="112" applyNumberFormat="0" applyBorder="0" applyAlignment="0" applyProtection="0"/>
    <xf numFmtId="234" fontId="117" fillId="0" borderId="112">
      <alignment vertical="center"/>
    </xf>
    <xf numFmtId="234" fontId="117" fillId="0" borderId="112">
      <alignment vertical="center"/>
    </xf>
    <xf numFmtId="234" fontId="117" fillId="0" borderId="112">
      <alignment vertical="center"/>
    </xf>
    <xf numFmtId="234" fontId="117" fillId="0" borderId="112">
      <alignment vertical="center"/>
    </xf>
    <xf numFmtId="234" fontId="117" fillId="0" borderId="112">
      <alignment vertical="center"/>
    </xf>
    <xf numFmtId="234" fontId="117" fillId="0" borderId="112">
      <alignment vertical="center"/>
    </xf>
    <xf numFmtId="239" fontId="117" fillId="0" borderId="112">
      <alignment horizontal="right" vertical="center"/>
    </xf>
    <xf numFmtId="239" fontId="117" fillId="0" borderId="112">
      <alignment horizontal="right" vertical="center"/>
    </xf>
    <xf numFmtId="239" fontId="117" fillId="0" borderId="112">
      <alignment horizontal="right" vertical="center"/>
    </xf>
    <xf numFmtId="239" fontId="117" fillId="0" borderId="112">
      <alignment horizontal="right" vertical="center"/>
    </xf>
    <xf numFmtId="239" fontId="117" fillId="0" borderId="112">
      <alignment horizontal="right" vertical="center"/>
    </xf>
    <xf numFmtId="239" fontId="117" fillId="0" borderId="112">
      <alignment horizontal="right" vertical="center"/>
    </xf>
    <xf numFmtId="243" fontId="117" fillId="0" borderId="112">
      <alignment vertical="center"/>
    </xf>
    <xf numFmtId="243" fontId="117" fillId="0" borderId="112">
      <alignment vertical="center"/>
    </xf>
    <xf numFmtId="243" fontId="117" fillId="0" borderId="112">
      <alignment vertical="center"/>
    </xf>
    <xf numFmtId="243" fontId="117" fillId="0" borderId="112">
      <alignment vertical="center"/>
    </xf>
    <xf numFmtId="243" fontId="117" fillId="0" borderId="112">
      <alignment vertical="center"/>
    </xf>
    <xf numFmtId="243" fontId="117" fillId="0" borderId="112">
      <alignment vertical="center"/>
    </xf>
    <xf numFmtId="244" fontId="117" fillId="0" borderId="112">
      <alignment vertical="center"/>
    </xf>
    <xf numFmtId="244" fontId="117" fillId="0" borderId="112">
      <alignment vertical="center"/>
    </xf>
    <xf numFmtId="244" fontId="117" fillId="0" borderId="112">
      <alignment vertical="center"/>
    </xf>
    <xf numFmtId="244" fontId="117" fillId="0" borderId="112">
      <alignment vertical="center"/>
    </xf>
    <xf numFmtId="244" fontId="117" fillId="0" borderId="112">
      <alignment vertical="center"/>
    </xf>
    <xf numFmtId="244" fontId="117" fillId="0" borderId="112">
      <alignment vertical="center"/>
    </xf>
    <xf numFmtId="218" fontId="9" fillId="0" borderId="150">
      <alignment horizontal="centerContinuous" vertical="center"/>
    </xf>
    <xf numFmtId="0" fontId="6" fillId="0" borderId="150">
      <alignment horizontal="centerContinuous" vertical="center"/>
    </xf>
    <xf numFmtId="0" fontId="94" fillId="0" borderId="150">
      <alignment horizontal="centerContinuous" vertical="center"/>
    </xf>
    <xf numFmtId="322" fontId="9" fillId="0" borderId="150">
      <alignment horizontal="centerContinuous" vertical="center"/>
    </xf>
    <xf numFmtId="0" fontId="50" fillId="3" borderId="113">
      <alignment vertical="center"/>
    </xf>
    <xf numFmtId="0" fontId="50" fillId="3" borderId="113">
      <alignment vertical="center"/>
    </xf>
    <xf numFmtId="0" fontId="50" fillId="3" borderId="113">
      <alignment vertical="center"/>
    </xf>
    <xf numFmtId="242" fontId="6" fillId="0" borderId="160">
      <alignment horizontal="right" vertical="center"/>
    </xf>
    <xf numFmtId="0" fontId="6" fillId="0" borderId="196">
      <alignment horizontal="right" vertical="center" shrinkToFit="1"/>
    </xf>
    <xf numFmtId="322" fontId="9" fillId="0" borderId="186">
      <alignment horizontal="centerContinuous" vertical="center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0" fontId="6" fillId="0" borderId="112">
      <alignment horizontal="right" vertical="center" shrinkToFit="1"/>
    </xf>
    <xf numFmtId="41" fontId="56" fillId="0" borderId="112" applyNumberFormat="0" applyFont="0" applyFill="0" applyBorder="0" applyProtection="0">
      <alignment horizontal="distributed"/>
    </xf>
    <xf numFmtId="41" fontId="56" fillId="0" borderId="112" applyNumberFormat="0" applyFont="0" applyFill="0" applyBorder="0" applyProtection="0">
      <alignment horizontal="distributed"/>
    </xf>
    <xf numFmtId="41" fontId="56" fillId="0" borderId="112" applyNumberFormat="0" applyFont="0" applyFill="0" applyBorder="0" applyProtection="0">
      <alignment horizontal="distributed"/>
    </xf>
    <xf numFmtId="41" fontId="56" fillId="0" borderId="112" applyNumberFormat="0" applyFont="0" applyFill="0" applyBorder="0" applyProtection="0">
      <alignment horizontal="distributed"/>
    </xf>
    <xf numFmtId="41" fontId="56" fillId="0" borderId="112" applyNumberFormat="0" applyFont="0" applyFill="0" applyBorder="0" applyProtection="0">
      <alignment horizontal="distributed"/>
    </xf>
    <xf numFmtId="41" fontId="56" fillId="0" borderId="112" applyNumberFormat="0" applyFont="0" applyFill="0" applyBorder="0" applyProtection="0">
      <alignment horizontal="distributed"/>
    </xf>
    <xf numFmtId="3" fontId="56" fillId="0" borderId="112"/>
    <xf numFmtId="3" fontId="56" fillId="0" borderId="112"/>
    <xf numFmtId="3" fontId="56" fillId="0" borderId="112"/>
    <xf numFmtId="3" fontId="56" fillId="0" borderId="112"/>
    <xf numFmtId="3" fontId="56" fillId="0" borderId="112"/>
    <xf numFmtId="3" fontId="56" fillId="0" borderId="112"/>
    <xf numFmtId="0" fontId="56" fillId="0" borderId="112"/>
    <xf numFmtId="0" fontId="56" fillId="0" borderId="112"/>
    <xf numFmtId="0" fontId="56" fillId="0" borderId="112"/>
    <xf numFmtId="0" fontId="56" fillId="0" borderId="112"/>
    <xf numFmtId="0" fontId="56" fillId="0" borderId="112"/>
    <xf numFmtId="0" fontId="56" fillId="0" borderId="112"/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34" fontId="117" fillId="0" borderId="196">
      <alignment vertical="center"/>
    </xf>
    <xf numFmtId="239" fontId="117" fillId="0" borderId="181">
      <alignment horizontal="right" vertical="center"/>
    </xf>
    <xf numFmtId="0" fontId="6" fillId="0" borderId="181">
      <alignment horizontal="right" vertical="center" shrinkToFit="1"/>
    </xf>
    <xf numFmtId="3" fontId="56" fillId="0" borderId="181"/>
    <xf numFmtId="0" fontId="56" fillId="0" borderId="181"/>
    <xf numFmtId="0" fontId="92" fillId="0" borderId="112"/>
    <xf numFmtId="0" fontId="92" fillId="0" borderId="112"/>
    <xf numFmtId="0" fontId="92" fillId="0" borderId="112"/>
    <xf numFmtId="0" fontId="92" fillId="0" borderId="112"/>
    <xf numFmtId="0" fontId="92" fillId="0" borderId="112"/>
    <xf numFmtId="0" fontId="92" fillId="0" borderId="112"/>
    <xf numFmtId="0" fontId="9" fillId="0" borderId="218">
      <alignment horizontal="centerContinuous" vertical="center"/>
    </xf>
    <xf numFmtId="236" fontId="6" fillId="0" borderId="172">
      <alignment vertical="center"/>
    </xf>
    <xf numFmtId="240" fontId="6" fillId="0" borderId="172">
      <alignment horizontal="right" vertical="center"/>
    </xf>
    <xf numFmtId="0" fontId="186" fillId="0" borderId="172" applyProtection="0">
      <alignment vertical="center"/>
    </xf>
    <xf numFmtId="239" fontId="117" fillId="0" borderId="196">
      <alignment horizontal="right" vertical="center"/>
    </xf>
    <xf numFmtId="256" fontId="117" fillId="0" borderId="112" applyBorder="0">
      <alignment vertical="center"/>
    </xf>
    <xf numFmtId="256" fontId="117" fillId="0" borderId="112" applyBorder="0">
      <alignment vertical="center"/>
    </xf>
    <xf numFmtId="256" fontId="117" fillId="0" borderId="112" applyBorder="0">
      <alignment vertical="center"/>
    </xf>
    <xf numFmtId="256" fontId="117" fillId="0" borderId="112" applyBorder="0">
      <alignment vertical="center"/>
    </xf>
    <xf numFmtId="256" fontId="117" fillId="0" borderId="112" applyBorder="0">
      <alignment vertical="center"/>
    </xf>
    <xf numFmtId="256" fontId="117" fillId="0" borderId="112" applyBorder="0">
      <alignment vertical="center"/>
    </xf>
    <xf numFmtId="0" fontId="9" fillId="0" borderId="112">
      <alignment horizontal="distributed" vertical="center"/>
    </xf>
    <xf numFmtId="0" fontId="9" fillId="0" borderId="112">
      <alignment horizontal="distributed" vertical="center"/>
    </xf>
    <xf numFmtId="0" fontId="9" fillId="0" borderId="112">
      <alignment horizontal="distributed" vertical="center"/>
    </xf>
    <xf numFmtId="0" fontId="9" fillId="0" borderId="112">
      <alignment horizontal="distributed" vertical="center"/>
    </xf>
    <xf numFmtId="0" fontId="9" fillId="0" borderId="112">
      <alignment horizontal="distributed" vertical="center"/>
    </xf>
    <xf numFmtId="0" fontId="9" fillId="0" borderId="112">
      <alignment horizontal="distributed" vertical="center"/>
    </xf>
    <xf numFmtId="0" fontId="9" fillId="0" borderId="115">
      <alignment horizontal="distributed"/>
    </xf>
    <xf numFmtId="0" fontId="9" fillId="0" borderId="115">
      <alignment horizontal="distributed"/>
    </xf>
    <xf numFmtId="0" fontId="9" fillId="0" borderId="115">
      <alignment horizontal="distributed"/>
    </xf>
    <xf numFmtId="0" fontId="9" fillId="0" borderId="115">
      <alignment horizontal="distributed"/>
    </xf>
    <xf numFmtId="0" fontId="9" fillId="0" borderId="115">
      <alignment horizontal="distributed"/>
    </xf>
    <xf numFmtId="0" fontId="9" fillId="0" borderId="115">
      <alignment horizontal="distributed"/>
    </xf>
    <xf numFmtId="0" fontId="9" fillId="0" borderId="115">
      <alignment horizontal="distributed"/>
    </xf>
    <xf numFmtId="185" fontId="9" fillId="0" borderId="112">
      <alignment horizontal="center" vertical="center"/>
    </xf>
    <xf numFmtId="338" fontId="19" fillId="0" borderId="112"/>
    <xf numFmtId="338" fontId="19" fillId="0" borderId="112"/>
    <xf numFmtId="338" fontId="19" fillId="0" borderId="112"/>
    <xf numFmtId="338" fontId="19" fillId="0" borderId="112"/>
    <xf numFmtId="338" fontId="19" fillId="0" borderId="112"/>
    <xf numFmtId="338" fontId="19" fillId="0" borderId="112"/>
    <xf numFmtId="237" fontId="6" fillId="0" borderId="160">
      <alignment vertical="center"/>
    </xf>
    <xf numFmtId="218" fontId="6" fillId="0" borderId="181">
      <alignment vertical="center"/>
    </xf>
    <xf numFmtId="0" fontId="4" fillId="0" borderId="0">
      <alignment vertical="center"/>
    </xf>
    <xf numFmtId="0" fontId="6" fillId="0" borderId="112" applyNumberFormat="0" applyFill="0" applyProtection="0">
      <alignment vertical="center"/>
    </xf>
    <xf numFmtId="0" fontId="50" fillId="3" borderId="113">
      <alignment vertical="center"/>
    </xf>
    <xf numFmtId="0" fontId="50" fillId="3" borderId="113">
      <alignment vertical="center"/>
    </xf>
    <xf numFmtId="218" fontId="9" fillId="0" borderId="114">
      <alignment horizontal="centerContinuous" vertical="center"/>
    </xf>
    <xf numFmtId="203" fontId="176" fillId="0" borderId="116" applyFill="0" applyProtection="0">
      <alignment horizontal="center"/>
    </xf>
    <xf numFmtId="0" fontId="185" fillId="22" borderId="119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54" fillId="28" borderId="121" applyNumberFormat="0" applyFont="0" applyAlignment="0" applyProtection="0">
      <alignment vertical="center"/>
    </xf>
    <xf numFmtId="0" fontId="54" fillId="28" borderId="121" applyNumberFormat="0" applyFont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186" fontId="14" fillId="0" borderId="118"/>
    <xf numFmtId="0" fontId="54" fillId="28" borderId="121" applyNumberFormat="0" applyFont="0" applyAlignment="0" applyProtection="0">
      <alignment vertical="center"/>
    </xf>
    <xf numFmtId="0" fontId="224" fillId="0" borderId="114">
      <alignment horizontal="centerContinuous" vertical="center"/>
    </xf>
    <xf numFmtId="0" fontId="41" fillId="0" borderId="149">
      <alignment horizontal="left" vertical="center"/>
    </xf>
    <xf numFmtId="0" fontId="6" fillId="0" borderId="218">
      <alignment horizontal="centerContinuous" vertical="center"/>
    </xf>
    <xf numFmtId="338" fontId="19" fillId="0" borderId="124"/>
    <xf numFmtId="338" fontId="19" fillId="0" borderId="124"/>
    <xf numFmtId="0" fontId="9" fillId="0" borderId="124">
      <alignment horizontal="distributed" vertical="center"/>
    </xf>
    <xf numFmtId="0" fontId="9" fillId="0" borderId="124">
      <alignment horizontal="distributed" vertical="center"/>
    </xf>
    <xf numFmtId="0" fontId="9" fillId="0" borderId="124">
      <alignment horizontal="distributed" vertical="center"/>
    </xf>
    <xf numFmtId="0" fontId="9" fillId="0" borderId="124">
      <alignment horizontal="distributed" vertical="center"/>
    </xf>
    <xf numFmtId="256" fontId="117" fillId="0" borderId="124" applyBorder="0">
      <alignment vertical="center"/>
    </xf>
    <xf numFmtId="0" fontId="54" fillId="28" borderId="224" applyNumberFormat="0" applyFont="0" applyAlignment="0" applyProtection="0">
      <alignment vertical="center"/>
    </xf>
    <xf numFmtId="0" fontId="184" fillId="0" borderId="148" applyFill="0" applyBorder="0" applyProtection="0">
      <alignment vertical="center"/>
    </xf>
    <xf numFmtId="228" fontId="117" fillId="0" borderId="147" applyBorder="0">
      <alignment vertical="center" wrapText="1"/>
    </xf>
    <xf numFmtId="191" fontId="6" fillId="0" borderId="136">
      <alignment vertical="center"/>
    </xf>
    <xf numFmtId="0" fontId="92" fillId="0" borderId="124"/>
    <xf numFmtId="0" fontId="92" fillId="0" borderId="124"/>
    <xf numFmtId="0" fontId="92" fillId="0" borderId="124"/>
    <xf numFmtId="0" fontId="92" fillId="0" borderId="124"/>
    <xf numFmtId="0" fontId="92" fillId="0" borderId="124"/>
    <xf numFmtId="0" fontId="92" fillId="0" borderId="124"/>
    <xf numFmtId="185" fontId="9" fillId="0" borderId="196">
      <alignment horizontal="center" vertical="center"/>
    </xf>
    <xf numFmtId="3" fontId="56" fillId="0" borderId="124"/>
    <xf numFmtId="41" fontId="56" fillId="0" borderId="124" applyNumberFormat="0" applyFont="0" applyFill="0" applyBorder="0" applyProtection="0">
      <alignment horizontal="distributed"/>
    </xf>
    <xf numFmtId="41" fontId="56" fillId="0" borderId="124" applyNumberFormat="0" applyFont="0" applyFill="0" applyBorder="0" applyProtection="0">
      <alignment horizontal="distributed"/>
    </xf>
    <xf numFmtId="0" fontId="134" fillId="0" borderId="181">
      <alignment vertical="center"/>
    </xf>
    <xf numFmtId="0" fontId="50" fillId="3" borderId="185">
      <alignment vertical="center"/>
    </xf>
    <xf numFmtId="248" fontId="117" fillId="0" borderId="181">
      <alignment vertical="center"/>
    </xf>
    <xf numFmtId="0" fontId="159" fillId="0" borderId="194" applyNumberFormat="0" applyFill="0" applyAlignment="0" applyProtection="0">
      <alignment vertical="center"/>
    </xf>
    <xf numFmtId="0" fontId="9" fillId="0" borderId="180">
      <alignment horizontal="distributed"/>
    </xf>
    <xf numFmtId="239" fontId="117" fillId="0" borderId="181">
      <alignment horizontal="right" vertical="center"/>
    </xf>
    <xf numFmtId="244" fontId="117" fillId="0" borderId="181">
      <alignment vertical="center"/>
    </xf>
    <xf numFmtId="10" fontId="39" fillId="4" borderId="172" applyNumberFormat="0" applyBorder="0" applyAlignment="0" applyProtection="0"/>
    <xf numFmtId="242" fontId="6" fillId="0" borderId="172">
      <alignment horizontal="right" vertical="center"/>
    </xf>
    <xf numFmtId="249" fontId="6" fillId="0" borderId="196">
      <alignment vertical="center"/>
    </xf>
    <xf numFmtId="200" fontId="6" fillId="0" borderId="196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176" fontId="6" fillId="0" borderId="124">
      <alignment vertical="center"/>
    </xf>
    <xf numFmtId="200" fontId="6" fillId="0" borderId="172">
      <alignment vertical="center"/>
    </xf>
    <xf numFmtId="3" fontId="56" fillId="0" borderId="172"/>
    <xf numFmtId="240" fontId="6" fillId="0" borderId="124">
      <alignment horizontal="right" vertical="center"/>
    </xf>
    <xf numFmtId="0" fontId="94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0" fontId="6" fillId="0" borderId="126">
      <alignment horizontal="centerContinuous" vertical="center"/>
    </xf>
    <xf numFmtId="236" fontId="6" fillId="0" borderId="136">
      <alignment vertical="center"/>
    </xf>
    <xf numFmtId="241" fontId="6" fillId="0" borderId="181">
      <alignment horizontal="right" vertical="center"/>
    </xf>
    <xf numFmtId="176" fontId="6" fillId="0" borderId="136">
      <alignment vertical="center"/>
    </xf>
    <xf numFmtId="0" fontId="6" fillId="0" borderId="136">
      <alignment vertical="center"/>
    </xf>
    <xf numFmtId="0" fontId="94" fillId="0" borderId="186">
      <alignment horizontal="centerContinuous" vertical="center"/>
    </xf>
    <xf numFmtId="0" fontId="153" fillId="22" borderId="177" applyNumberFormat="0" applyAlignment="0" applyProtection="0">
      <alignment vertical="center"/>
    </xf>
    <xf numFmtId="338" fontId="19" fillId="0" borderId="136"/>
    <xf numFmtId="338" fontId="19" fillId="0" borderId="136"/>
    <xf numFmtId="0" fontId="41" fillId="0" borderId="137">
      <alignment horizontal="left" vertical="center"/>
    </xf>
    <xf numFmtId="0" fontId="117" fillId="0" borderId="183">
      <alignment horizontal="centerContinuous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36" fontId="6" fillId="0" borderId="181">
      <alignment vertical="center"/>
    </xf>
    <xf numFmtId="239" fontId="117" fillId="0" borderId="181">
      <alignment horizontal="right" vertical="center"/>
    </xf>
    <xf numFmtId="243" fontId="117" fillId="0" borderId="181">
      <alignment vertical="center"/>
    </xf>
    <xf numFmtId="3" fontId="57" fillId="0" borderId="136"/>
    <xf numFmtId="3" fontId="57" fillId="0" borderId="136"/>
    <xf numFmtId="3" fontId="57" fillId="0" borderId="136"/>
    <xf numFmtId="3" fontId="57" fillId="0" borderId="136"/>
    <xf numFmtId="3" fontId="57" fillId="0" borderId="136"/>
    <xf numFmtId="185" fontId="8" fillId="0" borderId="136">
      <alignment vertical="center"/>
    </xf>
    <xf numFmtId="185" fontId="8" fillId="0" borderId="136">
      <alignment vertical="center"/>
    </xf>
    <xf numFmtId="185" fontId="8" fillId="0" borderId="136">
      <alignment vertical="center"/>
    </xf>
    <xf numFmtId="191" fontId="6" fillId="0" borderId="172">
      <alignment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0" fontId="117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9" fillId="0" borderId="138">
      <alignment horizontal="centerContinuous" vertical="center"/>
    </xf>
    <xf numFmtId="0" fontId="9" fillId="0" borderId="138">
      <alignment horizontal="centerContinuous" vertical="center"/>
    </xf>
    <xf numFmtId="0" fontId="94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322" fontId="9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6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0" fontId="94" fillId="0" borderId="138">
      <alignment horizontal="centerContinuous" vertical="center"/>
    </xf>
    <xf numFmtId="3" fontId="57" fillId="0" borderId="136"/>
    <xf numFmtId="0" fontId="117" fillId="0" borderId="138">
      <alignment horizontal="centerContinuous" vertical="center"/>
    </xf>
    <xf numFmtId="0" fontId="94" fillId="0" borderId="138">
      <alignment horizontal="centerContinuous" vertical="center"/>
    </xf>
    <xf numFmtId="3" fontId="57" fillId="0" borderId="196"/>
    <xf numFmtId="248" fontId="117" fillId="0" borderId="136">
      <alignment vertical="center"/>
    </xf>
    <xf numFmtId="0" fontId="6" fillId="0" borderId="136">
      <alignment vertical="center"/>
    </xf>
    <xf numFmtId="0" fontId="6" fillId="0" borderId="218">
      <alignment horizontal="centerContinuous" vertical="center"/>
    </xf>
    <xf numFmtId="41" fontId="56" fillId="0" borderId="216" applyNumberFormat="0" applyFont="0" applyFill="0" applyBorder="0" applyProtection="0">
      <alignment horizontal="distributed"/>
    </xf>
    <xf numFmtId="0" fontId="6" fillId="0" borderId="216">
      <alignment horizontal="right" vertical="center" shrinkToFit="1"/>
    </xf>
    <xf numFmtId="0" fontId="6" fillId="0" borderId="198">
      <alignment horizontal="centerContinuous" vertical="center"/>
    </xf>
    <xf numFmtId="236" fontId="6" fillId="0" borderId="196">
      <alignment vertical="center"/>
    </xf>
    <xf numFmtId="0" fontId="50" fillId="3" borderId="149">
      <alignment vertical="center"/>
    </xf>
    <xf numFmtId="41" fontId="56" fillId="0" borderId="148" applyNumberFormat="0" applyFont="0" applyFill="0" applyBorder="0" applyProtection="0">
      <alignment horizontal="distributed"/>
    </xf>
    <xf numFmtId="230" fontId="6" fillId="0" borderId="172">
      <alignment vertical="center"/>
    </xf>
    <xf numFmtId="236" fontId="6" fillId="0" borderId="181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10" fontId="39" fillId="4" borderId="112" applyNumberFormat="0" applyBorder="0" applyAlignment="0" applyProtection="0"/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0" fontId="6" fillId="0" borderId="150">
      <alignment horizontal="centerContinuous" vertical="center"/>
    </xf>
    <xf numFmtId="322" fontId="9" fillId="0" borderId="150">
      <alignment horizontal="centerContinuous" vertical="center"/>
    </xf>
    <xf numFmtId="322" fontId="9" fillId="0" borderId="150">
      <alignment horizontal="centerContinuous" vertical="center"/>
    </xf>
    <xf numFmtId="0" fontId="9" fillId="0" borderId="150">
      <alignment horizontal="centerContinuous" vertical="center"/>
    </xf>
    <xf numFmtId="249" fontId="6" fillId="0" borderId="196">
      <alignment vertical="center"/>
    </xf>
    <xf numFmtId="185" fontId="8" fillId="0" borderId="148">
      <alignment vertical="center"/>
    </xf>
    <xf numFmtId="185" fontId="8" fillId="0" borderId="148">
      <alignment vertical="center"/>
    </xf>
    <xf numFmtId="3" fontId="57" fillId="0" borderId="148"/>
    <xf numFmtId="3" fontId="57" fillId="0" borderId="148"/>
    <xf numFmtId="3" fontId="57" fillId="0" borderId="148"/>
    <xf numFmtId="3" fontId="57" fillId="0" borderId="148"/>
    <xf numFmtId="3" fontId="57" fillId="0" borderId="148"/>
    <xf numFmtId="0" fontId="82" fillId="0" borderId="148"/>
    <xf numFmtId="191" fontId="6" fillId="0" borderId="160">
      <alignment vertical="center"/>
    </xf>
    <xf numFmtId="10" fontId="39" fillId="2" borderId="148" applyNumberFormat="0" applyBorder="0" applyAlignment="0" applyProtection="0"/>
    <xf numFmtId="234" fontId="117" fillId="0" borderId="148">
      <alignment vertical="center"/>
    </xf>
    <xf numFmtId="234" fontId="117" fillId="0" borderId="148">
      <alignment vertical="center"/>
    </xf>
    <xf numFmtId="239" fontId="117" fillId="0" borderId="148">
      <alignment horizontal="right" vertical="center"/>
    </xf>
    <xf numFmtId="243" fontId="117" fillId="0" borderId="148">
      <alignment vertical="center"/>
    </xf>
    <xf numFmtId="244" fontId="117" fillId="0" borderId="148">
      <alignment vertical="center"/>
    </xf>
    <xf numFmtId="0" fontId="50" fillId="3" borderId="149">
      <alignment vertical="center"/>
    </xf>
    <xf numFmtId="0" fontId="50" fillId="3" borderId="149">
      <alignment vertical="center"/>
    </xf>
    <xf numFmtId="0" fontId="11" fillId="0" borderId="181" applyNumberFormat="0" applyFont="0" applyFill="0" applyAlignment="0" applyProtection="0">
      <alignment horizontal="center" vertical="center"/>
    </xf>
    <xf numFmtId="200" fontId="77" fillId="0" borderId="181">
      <alignment vertical="center"/>
    </xf>
    <xf numFmtId="234" fontId="117" fillId="0" borderId="181">
      <alignment vertical="center"/>
    </xf>
    <xf numFmtId="0" fontId="6" fillId="0" borderId="148">
      <alignment horizontal="right" vertical="center" shrinkToFit="1"/>
    </xf>
    <xf numFmtId="0" fontId="6" fillId="0" borderId="148">
      <alignment horizontal="right" vertical="center" shrinkToFit="1"/>
    </xf>
    <xf numFmtId="41" fontId="56" fillId="0" borderId="148" applyNumberFormat="0" applyFont="0" applyFill="0" applyBorder="0" applyProtection="0">
      <alignment horizontal="distributed"/>
    </xf>
    <xf numFmtId="0" fontId="56" fillId="0" borderId="148"/>
    <xf numFmtId="218" fontId="6" fillId="0" borderId="160">
      <alignment vertical="center"/>
    </xf>
    <xf numFmtId="0" fontId="153" fillId="22" borderId="93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0" fontId="153" fillId="22" borderId="93" applyNumberFormat="0" applyAlignment="0" applyProtection="0">
      <alignment vertical="center"/>
    </xf>
    <xf numFmtId="186" fontId="14" fillId="0" borderId="211"/>
    <xf numFmtId="0" fontId="6" fillId="28" borderId="94" applyNumberFormat="0" applyFont="0" applyAlignment="0" applyProtection="0">
      <alignment vertical="center"/>
    </xf>
    <xf numFmtId="0" fontId="57" fillId="28" borderId="94" applyNumberFormat="0" applyFont="0" applyAlignment="0" applyProtection="0">
      <alignment vertical="center"/>
    </xf>
    <xf numFmtId="0" fontId="57" fillId="28" borderId="94" applyNumberFormat="0" applyFont="0" applyAlignment="0" applyProtection="0">
      <alignment vertical="center"/>
    </xf>
    <xf numFmtId="0" fontId="57" fillId="28" borderId="94" applyNumberFormat="0" applyFont="0" applyAlignment="0" applyProtection="0">
      <alignment vertical="center"/>
    </xf>
    <xf numFmtId="0" fontId="57" fillId="28" borderId="94" applyNumberFormat="0" applyFont="0" applyAlignment="0" applyProtection="0">
      <alignment vertical="center"/>
    </xf>
    <xf numFmtId="0" fontId="41" fillId="0" borderId="185">
      <alignment horizontal="left" vertical="center"/>
    </xf>
    <xf numFmtId="191" fontId="6" fillId="0" borderId="136">
      <alignment vertical="center"/>
    </xf>
    <xf numFmtId="191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3" fontId="57" fillId="0" borderId="181"/>
    <xf numFmtId="0" fontId="6" fillId="0" borderId="208">
      <alignment horizontal="right" vertical="center" shrinkToFit="1"/>
    </xf>
    <xf numFmtId="176" fontId="6" fillId="0" borderId="181">
      <alignment vertical="center"/>
    </xf>
    <xf numFmtId="176" fontId="6" fillId="0" borderId="181">
      <alignment vertical="center"/>
    </xf>
    <xf numFmtId="238" fontId="6" fillId="0" borderId="136">
      <alignment vertical="center"/>
    </xf>
    <xf numFmtId="238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236" fontId="6" fillId="0" borderId="136">
      <alignment vertical="center"/>
    </xf>
    <xf numFmtId="176" fontId="6" fillId="0" borderId="136">
      <alignment vertical="center"/>
    </xf>
    <xf numFmtId="257" fontId="117" fillId="0" borderId="124" applyBorder="0">
      <alignment horizontal="left" vertical="center"/>
    </xf>
    <xf numFmtId="0" fontId="134" fillId="0" borderId="124">
      <alignment vertical="center"/>
    </xf>
    <xf numFmtId="0" fontId="134" fillId="0" borderId="124">
      <alignment vertical="center"/>
    </xf>
    <xf numFmtId="231" fontId="117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191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30" fontId="6" fillId="0" borderId="124">
      <alignment vertical="center"/>
    </xf>
    <xf numFmtId="206" fontId="6" fillId="0" borderId="181">
      <alignment vertical="center"/>
    </xf>
    <xf numFmtId="10" fontId="39" fillId="4" borderId="136" applyNumberFormat="0" applyBorder="0" applyAlignment="0" applyProtection="0"/>
    <xf numFmtId="0" fontId="232" fillId="0" borderId="71" applyFont="0" applyFill="0" applyBorder="0" applyAlignment="0" applyProtection="0">
      <alignment horizontal="centerContinuous" vertical="center"/>
    </xf>
    <xf numFmtId="3" fontId="57" fillId="0" borderId="181"/>
    <xf numFmtId="10" fontId="39" fillId="2" borderId="181" applyNumberFormat="0" applyBorder="0" applyAlignment="0" applyProtection="0"/>
    <xf numFmtId="239" fontId="117" fillId="0" borderId="181">
      <alignment horizontal="right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159" fillId="0" borderId="95" applyNumberFormat="0" applyFill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0" fontId="159" fillId="0" borderId="95" applyNumberFormat="0" applyFill="0" applyAlignment="0" applyProtection="0">
      <alignment vertical="center"/>
    </xf>
    <xf numFmtId="10" fontId="39" fillId="4" borderId="216" applyNumberFormat="0" applyBorder="0" applyAlignment="0" applyProtection="0"/>
    <xf numFmtId="0" fontId="94" fillId="0" borderId="218">
      <alignment horizontal="centerContinuous" vertical="center"/>
    </xf>
    <xf numFmtId="0" fontId="6" fillId="0" borderId="186">
      <alignment horizontal="centerContinuous" vertical="center"/>
    </xf>
    <xf numFmtId="0" fontId="9" fillId="0" borderId="186">
      <alignment horizontal="centerContinuous" vertical="center"/>
    </xf>
    <xf numFmtId="0" fontId="6" fillId="0" borderId="198">
      <alignment horizontal="centerContinuous" vertical="center"/>
    </xf>
    <xf numFmtId="250" fontId="117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49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18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200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0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20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176" fontId="6" fillId="0" borderId="112">
      <alignment vertical="center"/>
    </xf>
    <xf numFmtId="248" fontId="117" fillId="0" borderId="112">
      <alignment vertical="center"/>
    </xf>
    <xf numFmtId="247" fontId="117" fillId="0" borderId="112">
      <alignment vertical="center"/>
    </xf>
    <xf numFmtId="49" fontId="117" fillId="0" borderId="112">
      <alignment horizontal="center" vertical="center"/>
    </xf>
    <xf numFmtId="238" fontId="6" fillId="0" borderId="172">
      <alignment vertical="center"/>
    </xf>
    <xf numFmtId="185" fontId="9" fillId="0" borderId="172">
      <alignment horizontal="center" vertical="center"/>
    </xf>
    <xf numFmtId="0" fontId="50" fillId="3" borderId="113">
      <alignment vertical="center"/>
    </xf>
    <xf numFmtId="0" fontId="185" fillId="22" borderId="203" applyNumberFormat="0" applyAlignment="0" applyProtection="0">
      <alignment vertical="center"/>
    </xf>
    <xf numFmtId="41" fontId="56" fillId="0" borderId="196" applyNumberFormat="0" applyFont="0" applyFill="0" applyBorder="0" applyProtection="0">
      <alignment horizontal="distributed"/>
    </xf>
    <xf numFmtId="200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18" fontId="6" fillId="0" borderId="160">
      <alignment vertical="center"/>
    </xf>
    <xf numFmtId="176" fontId="6" fillId="0" borderId="160">
      <alignment vertical="center"/>
    </xf>
    <xf numFmtId="238" fontId="6" fillId="0" borderId="160">
      <alignment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0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2" fontId="6" fillId="0" borderId="112">
      <alignment horizontal="right" vertical="center"/>
    </xf>
    <xf numFmtId="240" fontId="6" fillId="0" borderId="112">
      <alignment horizontal="right" vertical="center"/>
    </xf>
    <xf numFmtId="0" fontId="9" fillId="0" borderId="216">
      <alignment horizontal="distributed" vertical="center"/>
    </xf>
    <xf numFmtId="236" fontId="6" fillId="0" borderId="112">
      <alignment vertical="center"/>
    </xf>
    <xf numFmtId="236" fontId="6" fillId="0" borderId="112">
      <alignment vertical="center"/>
    </xf>
    <xf numFmtId="236" fontId="6" fillId="0" borderId="112">
      <alignment vertical="center"/>
    </xf>
    <xf numFmtId="238" fontId="6" fillId="0" borderId="112">
      <alignment vertical="center"/>
    </xf>
    <xf numFmtId="238" fontId="6" fillId="0" borderId="112">
      <alignment vertical="center"/>
    </xf>
    <xf numFmtId="237" fontId="6" fillId="0" borderId="112">
      <alignment vertical="center"/>
    </xf>
    <xf numFmtId="237" fontId="6" fillId="0" borderId="112">
      <alignment vertical="center"/>
    </xf>
    <xf numFmtId="49" fontId="60" fillId="0" borderId="83" applyNumberFormat="0" applyAlignment="0"/>
    <xf numFmtId="0" fontId="160" fillId="12" borderId="93" applyNumberFormat="0" applyAlignment="0" applyProtection="0">
      <alignment vertical="center"/>
    </xf>
    <xf numFmtId="0" fontId="160" fillId="12" borderId="93" applyNumberFormat="0" applyAlignment="0" applyProtection="0">
      <alignment vertical="center"/>
    </xf>
    <xf numFmtId="0" fontId="160" fillId="12" borderId="93" applyNumberFormat="0" applyAlignment="0" applyProtection="0">
      <alignment vertical="center"/>
    </xf>
    <xf numFmtId="0" fontId="160" fillId="12" borderId="93" applyNumberFormat="0" applyAlignment="0" applyProtection="0">
      <alignment vertical="center"/>
    </xf>
    <xf numFmtId="0" fontId="160" fillId="12" borderId="93" applyNumberFormat="0" applyAlignment="0" applyProtection="0">
      <alignment vertical="center"/>
    </xf>
    <xf numFmtId="0" fontId="160" fillId="12" borderId="93" applyNumberFormat="0" applyAlignment="0" applyProtection="0">
      <alignment vertical="center"/>
    </xf>
    <xf numFmtId="322" fontId="9" fillId="0" borderId="186">
      <alignment horizontal="centerContinuous" vertical="center"/>
    </xf>
    <xf numFmtId="3" fontId="56" fillId="0" borderId="216"/>
    <xf numFmtId="0" fontId="92" fillId="0" borderId="196"/>
    <xf numFmtId="322" fontId="9" fillId="0" borderId="218">
      <alignment horizontal="centerContinuous" vertical="center"/>
    </xf>
    <xf numFmtId="0" fontId="165" fillId="22" borderId="92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0" fontId="165" fillId="22" borderId="92" applyNumberFormat="0" applyAlignment="0" applyProtection="0">
      <alignment vertical="center"/>
    </xf>
    <xf numFmtId="230" fontId="6" fillId="0" borderId="112">
      <alignment vertical="center"/>
    </xf>
    <xf numFmtId="230" fontId="6" fillId="0" borderId="112">
      <alignment vertical="center"/>
    </xf>
    <xf numFmtId="0" fontId="50" fillId="3" borderId="197">
      <alignment vertical="center"/>
    </xf>
    <xf numFmtId="0" fontId="9" fillId="0" borderId="199">
      <alignment horizontal="distributed"/>
    </xf>
    <xf numFmtId="200" fontId="6" fillId="0" borderId="160">
      <alignment vertical="center"/>
    </xf>
    <xf numFmtId="322" fontId="9" fillId="0" borderId="183">
      <alignment horizontal="centerContinuous" vertical="center"/>
    </xf>
    <xf numFmtId="0" fontId="117" fillId="0" borderId="218">
      <alignment horizontal="centerContinuous" vertical="center"/>
    </xf>
    <xf numFmtId="0" fontId="6" fillId="0" borderId="181">
      <alignment vertical="center"/>
    </xf>
    <xf numFmtId="0" fontId="6" fillId="0" borderId="181">
      <alignment vertical="center"/>
    </xf>
    <xf numFmtId="206" fontId="6" fillId="0" borderId="181">
      <alignment vertical="center"/>
    </xf>
    <xf numFmtId="176" fontId="6" fillId="0" borderId="181">
      <alignment vertical="center"/>
    </xf>
    <xf numFmtId="246" fontId="117" fillId="0" borderId="181">
      <alignment vertical="center"/>
    </xf>
    <xf numFmtId="240" fontId="6" fillId="0" borderId="181">
      <alignment horizontal="right" vertical="center"/>
    </xf>
    <xf numFmtId="240" fontId="6" fillId="0" borderId="181">
      <alignment horizontal="right" vertical="center"/>
    </xf>
    <xf numFmtId="242" fontId="6" fillId="0" borderId="181">
      <alignment horizontal="right" vertical="center"/>
    </xf>
    <xf numFmtId="240" fontId="6" fillId="0" borderId="181">
      <alignment horizontal="right" vertical="center"/>
    </xf>
    <xf numFmtId="240" fontId="6" fillId="0" borderId="181">
      <alignment horizontal="right" vertical="center"/>
    </xf>
    <xf numFmtId="240" fontId="6" fillId="0" borderId="181">
      <alignment horizontal="right" vertical="center"/>
    </xf>
    <xf numFmtId="0" fontId="159" fillId="0" borderId="170" applyNumberFormat="0" applyFill="0" applyAlignment="0" applyProtection="0">
      <alignment vertical="center"/>
    </xf>
    <xf numFmtId="0" fontId="6" fillId="0" borderId="218">
      <alignment horizontal="centerContinuous" vertical="center"/>
    </xf>
    <xf numFmtId="185" fontId="235" fillId="0" borderId="71"/>
    <xf numFmtId="0" fontId="6" fillId="0" borderId="216">
      <alignment horizontal="right" vertical="center" shrinkToFit="1"/>
    </xf>
    <xf numFmtId="0" fontId="6" fillId="0" borderId="216">
      <alignment horizontal="right" vertical="center" shrinkToFit="1"/>
    </xf>
    <xf numFmtId="0" fontId="50" fillId="3" borderId="217">
      <alignment vertical="center"/>
    </xf>
    <xf numFmtId="3" fontId="56" fillId="0" borderId="216"/>
    <xf numFmtId="246" fontId="117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0" fontId="6" fillId="0" borderId="136">
      <alignment vertical="center"/>
    </xf>
    <xf numFmtId="0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176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18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49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50" fontId="117" fillId="0" borderId="136">
      <alignment vertical="center"/>
    </xf>
    <xf numFmtId="185" fontId="8" fillId="0" borderId="181">
      <alignment vertical="center"/>
    </xf>
    <xf numFmtId="3" fontId="57" fillId="0" borderId="181"/>
    <xf numFmtId="3" fontId="57" fillId="0" borderId="181"/>
    <xf numFmtId="243" fontId="117" fillId="0" borderId="181">
      <alignment vertical="center"/>
    </xf>
    <xf numFmtId="0" fontId="6" fillId="0" borderId="181">
      <alignment horizontal="right" vertical="center" shrinkToFit="1"/>
    </xf>
    <xf numFmtId="41" fontId="56" fillId="0" borderId="181" applyNumberFormat="0" applyFont="0" applyFill="0" applyBorder="0" applyProtection="0">
      <alignment horizontal="distributed"/>
    </xf>
    <xf numFmtId="241" fontId="6" fillId="0" borderId="172">
      <alignment horizontal="right" vertical="center"/>
    </xf>
    <xf numFmtId="0" fontId="185" fillId="22" borderId="212" applyNumberFormat="0" applyAlignment="0" applyProtection="0">
      <alignment vertical="center"/>
    </xf>
    <xf numFmtId="0" fontId="153" fillId="22" borderId="177" applyNumberFormat="0" applyAlignment="0" applyProtection="0">
      <alignment vertical="center"/>
    </xf>
    <xf numFmtId="230" fontId="6" fillId="0" borderId="172">
      <alignment vertical="center"/>
    </xf>
    <xf numFmtId="0" fontId="6" fillId="0" borderId="136">
      <alignment vertical="center"/>
    </xf>
    <xf numFmtId="0" fontId="6" fillId="0" borderId="136">
      <alignment vertical="center"/>
    </xf>
    <xf numFmtId="0" fontId="6" fillId="0" borderId="136">
      <alignment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200" fontId="6" fillId="0" borderId="172">
      <alignment vertical="center"/>
    </xf>
    <xf numFmtId="0" fontId="117" fillId="0" borderId="186">
      <alignment horizontal="centerContinuous" vertical="center"/>
    </xf>
    <xf numFmtId="0" fontId="94" fillId="0" borderId="186">
      <alignment horizontal="centerContinuous" vertical="center"/>
    </xf>
    <xf numFmtId="241" fontId="6" fillId="0" borderId="172">
      <alignment horizontal="right" vertical="center"/>
    </xf>
    <xf numFmtId="241" fontId="6" fillId="0" borderId="172">
      <alignment horizontal="right" vertical="center"/>
    </xf>
    <xf numFmtId="240" fontId="6" fillId="0" borderId="172">
      <alignment horizontal="right" vertical="center"/>
    </xf>
    <xf numFmtId="240" fontId="6" fillId="0" borderId="172">
      <alignment horizontal="right" vertical="center"/>
    </xf>
    <xf numFmtId="240" fontId="6" fillId="0" borderId="172">
      <alignment horizontal="right" vertical="center"/>
    </xf>
    <xf numFmtId="176" fontId="6" fillId="0" borderId="172">
      <alignment vertical="center"/>
    </xf>
    <xf numFmtId="176" fontId="6" fillId="0" borderId="172">
      <alignment vertical="center"/>
    </xf>
    <xf numFmtId="206" fontId="6" fillId="0" borderId="172">
      <alignment vertical="center"/>
    </xf>
    <xf numFmtId="200" fontId="6" fillId="0" borderId="172">
      <alignment vertical="center"/>
    </xf>
    <xf numFmtId="218" fontId="6" fillId="0" borderId="172">
      <alignment vertical="center"/>
    </xf>
    <xf numFmtId="218" fontId="6" fillId="0" borderId="172">
      <alignment vertical="center"/>
    </xf>
    <xf numFmtId="218" fontId="6" fillId="0" borderId="172">
      <alignment vertical="center"/>
    </xf>
    <xf numFmtId="0" fontId="19" fillId="0" borderId="0"/>
    <xf numFmtId="0" fontId="14" fillId="0" borderId="0" applyFont="0" applyFill="0" applyBorder="0" applyAlignment="0" applyProtection="0"/>
    <xf numFmtId="0" fontId="23" fillId="0" borderId="0">
      <protection locked="0"/>
    </xf>
    <xf numFmtId="193" fontId="23" fillId="0" borderId="0">
      <protection locked="0"/>
    </xf>
    <xf numFmtId="202" fontId="238" fillId="0" borderId="0">
      <alignment vertical="center"/>
    </xf>
    <xf numFmtId="202" fontId="238" fillId="0" borderId="0">
      <alignment vertical="center"/>
    </xf>
    <xf numFmtId="202" fontId="238" fillId="0" borderId="0">
      <alignment vertical="center"/>
    </xf>
    <xf numFmtId="193" fontId="8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23" fillId="0" borderId="0">
      <protection locked="0"/>
    </xf>
    <xf numFmtId="0" fontId="14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205" fontId="143" fillId="0" borderId="0">
      <protection locked="0"/>
    </xf>
    <xf numFmtId="193" fontId="23" fillId="0" borderId="0">
      <protection locked="0"/>
    </xf>
    <xf numFmtId="193" fontId="23" fillId="0" borderId="0">
      <protection locked="0"/>
    </xf>
    <xf numFmtId="193" fontId="83" fillId="0" borderId="0">
      <protection locked="0"/>
    </xf>
    <xf numFmtId="193" fontId="83" fillId="0" borderId="0">
      <protection locked="0"/>
    </xf>
    <xf numFmtId="0" fontId="85" fillId="0" borderId="0"/>
    <xf numFmtId="0" fontId="144" fillId="0" borderId="0"/>
    <xf numFmtId="0" fontId="85" fillId="0" borderId="0"/>
    <xf numFmtId="0" fontId="144" fillId="0" borderId="0"/>
    <xf numFmtId="0" fontId="85" fillId="0" borderId="0"/>
    <xf numFmtId="0" fontId="239" fillId="0" borderId="0"/>
    <xf numFmtId="0" fontId="31" fillId="0" borderId="0"/>
    <xf numFmtId="0" fontId="143" fillId="0" borderId="0"/>
    <xf numFmtId="0" fontId="31" fillId="0" borderId="0"/>
    <xf numFmtId="193" fontId="23" fillId="0" borderId="0">
      <protection locked="0"/>
    </xf>
    <xf numFmtId="193" fontId="23" fillId="0" borderId="0">
      <protection locked="0"/>
    </xf>
    <xf numFmtId="238" fontId="6" fillId="0" borderId="181">
      <alignment vertical="center"/>
    </xf>
    <xf numFmtId="0" fontId="6" fillId="0" borderId="136">
      <alignment vertical="center"/>
    </xf>
    <xf numFmtId="0" fontId="6" fillId="0" borderId="136">
      <alignment vertical="center"/>
    </xf>
    <xf numFmtId="0" fontId="6" fillId="0" borderId="136">
      <alignment vertical="center"/>
    </xf>
    <xf numFmtId="176" fontId="6" fillId="0" borderId="136">
      <alignment vertical="center"/>
    </xf>
    <xf numFmtId="239" fontId="117" fillId="0" borderId="216">
      <alignment horizontal="right" vertical="center"/>
    </xf>
    <xf numFmtId="0" fontId="9" fillId="0" borderId="180">
      <alignment horizontal="distributed"/>
    </xf>
    <xf numFmtId="309" fontId="9" fillId="0" borderId="196" applyFill="0" applyBorder="0" applyAlignment="0"/>
    <xf numFmtId="3" fontId="57" fillId="0" borderId="136"/>
    <xf numFmtId="3" fontId="57" fillId="0" borderId="136"/>
    <xf numFmtId="3" fontId="56" fillId="0" borderId="136"/>
    <xf numFmtId="0" fontId="117" fillId="0" borderId="138">
      <alignment horizontal="centerContinuous" vertical="center"/>
    </xf>
    <xf numFmtId="0" fontId="94" fillId="0" borderId="138">
      <alignment horizontal="centerContinuous" vertical="center"/>
    </xf>
    <xf numFmtId="3" fontId="57" fillId="0" borderId="136"/>
    <xf numFmtId="0" fontId="82" fillId="0" borderId="136"/>
    <xf numFmtId="322" fontId="9" fillId="0" borderId="186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249" fontId="6" fillId="0" borderId="196">
      <alignment vertical="center"/>
    </xf>
    <xf numFmtId="218" fontId="6" fillId="0" borderId="196">
      <alignment vertical="center"/>
    </xf>
    <xf numFmtId="3" fontId="57" fillId="0" borderId="196"/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236" fontId="6" fillId="0" borderId="196">
      <alignment vertical="center"/>
    </xf>
    <xf numFmtId="176" fontId="6" fillId="0" borderId="160">
      <alignment vertical="center"/>
    </xf>
    <xf numFmtId="0" fontId="56" fillId="0" borderId="172"/>
    <xf numFmtId="338" fontId="19" fillId="0" borderId="172"/>
    <xf numFmtId="0" fontId="159" fillId="0" borderId="179" applyNumberFormat="0" applyFill="0" applyAlignment="0" applyProtection="0">
      <alignment vertical="center"/>
    </xf>
    <xf numFmtId="0" fontId="54" fillId="28" borderId="178" applyNumberFormat="0" applyFont="0" applyAlignment="0" applyProtection="0">
      <alignment vertical="center"/>
    </xf>
    <xf numFmtId="237" fontId="6" fillId="0" borderId="172">
      <alignment vertical="center"/>
    </xf>
    <xf numFmtId="322" fontId="9" fillId="0" borderId="198">
      <alignment horizontal="centerContinuous" vertical="center"/>
    </xf>
    <xf numFmtId="0" fontId="94" fillId="0" borderId="198">
      <alignment horizontal="centerContinuous" vertical="center"/>
    </xf>
    <xf numFmtId="0" fontId="92" fillId="0" borderId="196"/>
    <xf numFmtId="0" fontId="57" fillId="28" borderId="169" applyNumberFormat="0" applyFont="0" applyAlignment="0" applyProtection="0">
      <alignment vertical="center"/>
    </xf>
    <xf numFmtId="191" fontId="6" fillId="0" borderId="172">
      <alignment vertical="center"/>
    </xf>
    <xf numFmtId="10" fontId="39" fillId="4" borderId="124" applyNumberFormat="0" applyBorder="0" applyAlignment="0" applyProtection="0"/>
    <xf numFmtId="0" fontId="6" fillId="0" borderId="172">
      <alignment horizontal="right" vertical="center" shrinkToFit="1"/>
    </xf>
    <xf numFmtId="203" fontId="176" fillId="0" borderId="173" applyFill="0" applyProtection="0">
      <alignment horizontal="center"/>
    </xf>
    <xf numFmtId="185" fontId="8" fillId="0" borderId="208">
      <alignment vertical="center"/>
    </xf>
    <xf numFmtId="322" fontId="9" fillId="0" borderId="198">
      <alignment horizontal="centerContinuous" vertical="center"/>
    </xf>
    <xf numFmtId="218" fontId="6" fillId="0" borderId="196">
      <alignment vertical="center"/>
    </xf>
    <xf numFmtId="0" fontId="6" fillId="0" borderId="196">
      <alignment vertical="center"/>
    </xf>
    <xf numFmtId="238" fontId="6" fillId="0" borderId="160">
      <alignment vertical="center"/>
    </xf>
    <xf numFmtId="185" fontId="8" fillId="0" borderId="216">
      <alignment vertical="center"/>
    </xf>
    <xf numFmtId="3" fontId="57" fillId="0" borderId="196"/>
    <xf numFmtId="0" fontId="50" fillId="3" borderId="161">
      <alignment vertical="center"/>
    </xf>
    <xf numFmtId="0" fontId="82" fillId="0" borderId="160"/>
    <xf numFmtId="218" fontId="6" fillId="0" borderId="160">
      <alignment vertical="center"/>
    </xf>
    <xf numFmtId="0" fontId="11" fillId="0" borderId="172" applyNumberFormat="0" applyFont="0" applyFill="0" applyAlignment="0" applyProtection="0">
      <alignment horizontal="center" vertical="center"/>
    </xf>
    <xf numFmtId="0" fontId="6" fillId="0" borderId="198">
      <alignment horizontal="centerContinuous" vertical="center"/>
    </xf>
    <xf numFmtId="239" fontId="117" fillId="0" borderId="208">
      <alignment horizontal="right" vertical="center"/>
    </xf>
    <xf numFmtId="10" fontId="39" fillId="4" borderId="124" applyNumberFormat="0" applyBorder="0" applyAlignment="0" applyProtection="0"/>
    <xf numFmtId="0" fontId="56" fillId="0" borderId="216"/>
    <xf numFmtId="230" fontId="6" fillId="0" borderId="181">
      <alignment vertical="center"/>
    </xf>
    <xf numFmtId="322" fontId="9" fillId="0" borderId="186">
      <alignment horizontal="centerContinuous" vertical="center"/>
    </xf>
    <xf numFmtId="0" fontId="56" fillId="0" borderId="196"/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6" fillId="0" borderId="218">
      <alignment horizontal="centerContinuous" vertical="center"/>
    </xf>
    <xf numFmtId="236" fontId="6" fillId="0" borderId="160">
      <alignment vertical="center"/>
    </xf>
    <xf numFmtId="0" fontId="94" fillId="0" borderId="198">
      <alignment horizontal="centerContinuous" vertical="center"/>
    </xf>
    <xf numFmtId="0" fontId="153" fillId="22" borderId="120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153" fillId="22" borderId="120" applyNumberFormat="0" applyAlignment="0" applyProtection="0">
      <alignment vertical="center"/>
    </xf>
    <xf numFmtId="0" fontId="6" fillId="0" borderId="196">
      <alignment horizontal="right" vertical="center" shrinkToFit="1"/>
    </xf>
    <xf numFmtId="0" fontId="224" fillId="0" borderId="198">
      <alignment horizontal="centerContinuous" vertical="center"/>
    </xf>
    <xf numFmtId="0" fontId="6" fillId="0" borderId="218">
      <alignment horizontal="centerContinuous" vertical="center"/>
    </xf>
    <xf numFmtId="322" fontId="9" fillId="0" borderId="186">
      <alignment horizontal="centerContinuous" vertical="center"/>
    </xf>
    <xf numFmtId="0" fontId="9" fillId="0" borderId="186">
      <alignment horizontal="centerContinuous" vertical="center"/>
    </xf>
    <xf numFmtId="338" fontId="19" fillId="0" borderId="216"/>
    <xf numFmtId="0" fontId="6" fillId="28" borderId="121" applyNumberFormat="0" applyFont="0" applyAlignment="0" applyProtection="0">
      <alignment vertical="center"/>
    </xf>
    <xf numFmtId="0" fontId="57" fillId="28" borderId="121" applyNumberFormat="0" applyFont="0" applyAlignment="0" applyProtection="0">
      <alignment vertical="center"/>
    </xf>
    <xf numFmtId="0" fontId="57" fillId="28" borderId="121" applyNumberFormat="0" applyFont="0" applyAlignment="0" applyProtection="0">
      <alignment vertical="center"/>
    </xf>
    <xf numFmtId="0" fontId="57" fillId="28" borderId="121" applyNumberFormat="0" applyFont="0" applyAlignment="0" applyProtection="0">
      <alignment vertical="center"/>
    </xf>
    <xf numFmtId="0" fontId="57" fillId="28" borderId="121" applyNumberFormat="0" applyFont="0" applyAlignment="0" applyProtection="0">
      <alignment vertical="center"/>
    </xf>
    <xf numFmtId="241" fontId="6" fillId="0" borderId="160">
      <alignment horizontal="right" vertical="center"/>
    </xf>
    <xf numFmtId="242" fontId="6" fillId="0" borderId="160">
      <alignment horizontal="right" vertical="center"/>
    </xf>
    <xf numFmtId="242" fontId="6" fillId="0" borderId="160">
      <alignment horizontal="right" vertical="center"/>
    </xf>
    <xf numFmtId="200" fontId="6" fillId="0" borderId="181">
      <alignment vertical="center"/>
    </xf>
    <xf numFmtId="191" fontId="6" fillId="0" borderId="172">
      <alignment vertical="center"/>
    </xf>
    <xf numFmtId="256" fontId="117" fillId="0" borderId="172" applyBorder="0">
      <alignment vertical="center"/>
    </xf>
    <xf numFmtId="256" fontId="117" fillId="0" borderId="172" applyBorder="0">
      <alignment vertical="center"/>
    </xf>
    <xf numFmtId="256" fontId="117" fillId="0" borderId="172" applyBorder="0">
      <alignment vertical="center"/>
    </xf>
    <xf numFmtId="0" fontId="9" fillId="0" borderId="172">
      <alignment horizontal="distributed" vertical="center"/>
    </xf>
    <xf numFmtId="0" fontId="41" fillId="0" borderId="217">
      <alignment horizontal="left" vertical="center"/>
    </xf>
    <xf numFmtId="10" fontId="39" fillId="2" borderId="216" applyNumberFormat="0" applyBorder="0" applyAlignment="0" applyProtection="0"/>
    <xf numFmtId="200" fontId="6" fillId="0" borderId="181">
      <alignment vertical="center"/>
    </xf>
    <xf numFmtId="322" fontId="9" fillId="0" borderId="198">
      <alignment horizontal="centerContinuous" vertical="center"/>
    </xf>
    <xf numFmtId="0" fontId="94" fillId="0" borderId="198">
      <alignment horizontal="centerContinuous" vertical="center"/>
    </xf>
    <xf numFmtId="41" fontId="9" fillId="0" borderId="172">
      <alignment horizontal="center" vertical="center"/>
    </xf>
    <xf numFmtId="3" fontId="57" fillId="0" borderId="181"/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3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200" fontId="6" fillId="0" borderId="136">
      <alignment vertical="center"/>
    </xf>
    <xf numFmtId="191" fontId="6" fillId="0" borderId="136">
      <alignment vertical="center"/>
    </xf>
    <xf numFmtId="0" fontId="232" fillId="0" borderId="112" applyFont="0" applyFill="0" applyBorder="0" applyAlignment="0" applyProtection="0">
      <alignment horizontal="centerContinuous"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191" fontId="6" fillId="0" borderId="136">
      <alignment vertical="center"/>
    </xf>
    <xf numFmtId="0" fontId="6" fillId="0" borderId="196">
      <alignment vertical="center"/>
    </xf>
    <xf numFmtId="0" fontId="159" fillId="0" borderId="122" applyNumberFormat="0" applyFill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0" fontId="159" fillId="0" borderId="122" applyNumberFormat="0" applyFill="0" applyAlignment="0" applyProtection="0">
      <alignment vertical="center"/>
    </xf>
    <xf numFmtId="203" fontId="176" fillId="0" borderId="220" applyFill="0" applyProtection="0">
      <alignment horizontal="center"/>
    </xf>
    <xf numFmtId="0" fontId="9" fillId="0" borderId="216">
      <alignment horizontal="distributed" vertical="center"/>
    </xf>
    <xf numFmtId="0" fontId="9" fillId="0" borderId="219">
      <alignment horizontal="distributed"/>
    </xf>
    <xf numFmtId="0" fontId="50" fillId="3" borderId="217">
      <alignment vertical="center"/>
    </xf>
    <xf numFmtId="200" fontId="6" fillId="0" borderId="160">
      <alignment vertical="center"/>
    </xf>
    <xf numFmtId="0" fontId="6" fillId="0" borderId="196">
      <alignment horizontal="right" vertical="center" shrinkToFit="1"/>
    </xf>
    <xf numFmtId="236" fontId="6" fillId="0" borderId="196">
      <alignment vertical="center"/>
    </xf>
    <xf numFmtId="338" fontId="19" fillId="0" borderId="196"/>
    <xf numFmtId="322" fontId="9" fillId="0" borderId="186">
      <alignment horizontal="centerContinuous" vertical="center"/>
    </xf>
    <xf numFmtId="0" fontId="94" fillId="0" borderId="186">
      <alignment horizontal="centerContinuous" vertical="center"/>
    </xf>
    <xf numFmtId="338" fontId="19" fillId="0" borderId="216"/>
    <xf numFmtId="0" fontId="94" fillId="0" borderId="186">
      <alignment horizontal="centerContinuous" vertical="center"/>
    </xf>
    <xf numFmtId="0" fontId="159" fillId="0" borderId="194" applyNumberFormat="0" applyFill="0" applyAlignment="0" applyProtection="0">
      <alignment vertical="center"/>
    </xf>
    <xf numFmtId="10" fontId="39" fillId="4" borderId="160" applyNumberFormat="0" applyBorder="0" applyAlignment="0" applyProtection="0"/>
    <xf numFmtId="0" fontId="184" fillId="0" borderId="160" applyFill="0" applyBorder="0" applyProtection="0">
      <alignment vertical="center"/>
    </xf>
    <xf numFmtId="0" fontId="94" fillId="0" borderId="198">
      <alignment horizontal="centerContinuous" vertical="center"/>
    </xf>
    <xf numFmtId="3" fontId="57" fillId="0" borderId="196"/>
    <xf numFmtId="0" fontId="92" fillId="0" borderId="160"/>
    <xf numFmtId="0" fontId="56" fillId="0" borderId="160"/>
    <xf numFmtId="322" fontId="9" fillId="0" borderId="186">
      <alignment horizontal="centerContinuous" vertical="center"/>
    </xf>
    <xf numFmtId="0" fontId="6" fillId="0" borderId="186">
      <alignment horizontal="centerContinuous" vertical="center"/>
    </xf>
    <xf numFmtId="244" fontId="117" fillId="0" borderId="160">
      <alignment vertical="center"/>
    </xf>
    <xf numFmtId="244" fontId="117" fillId="0" borderId="160">
      <alignment vertical="center"/>
    </xf>
    <xf numFmtId="234" fontId="117" fillId="0" borderId="160">
      <alignment vertical="center"/>
    </xf>
    <xf numFmtId="234" fontId="117" fillId="0" borderId="160">
      <alignment vertical="center"/>
    </xf>
    <xf numFmtId="10" fontId="39" fillId="4" borderId="160" applyNumberFormat="0" applyBorder="0" applyAlignment="0" applyProtection="0"/>
    <xf numFmtId="10" fontId="39" fillId="2" borderId="160" applyNumberFormat="0" applyBorder="0" applyAlignment="0" applyProtection="0"/>
    <xf numFmtId="10" fontId="39" fillId="2" borderId="160" applyNumberFormat="0" applyBorder="0" applyAlignment="0" applyProtection="0"/>
    <xf numFmtId="0" fontId="41" fillId="0" borderId="161">
      <alignment horizontal="left" vertical="center"/>
    </xf>
    <xf numFmtId="0" fontId="41" fillId="0" borderId="161">
      <alignment horizontal="left" vertical="center"/>
    </xf>
    <xf numFmtId="0" fontId="41" fillId="0" borderId="161">
      <alignment horizontal="left" vertical="center"/>
    </xf>
    <xf numFmtId="0" fontId="41" fillId="0" borderId="161">
      <alignment horizontal="left" vertical="center"/>
    </xf>
    <xf numFmtId="238" fontId="6" fillId="0" borderId="181">
      <alignment vertical="center"/>
    </xf>
    <xf numFmtId="3" fontId="57" fillId="0" borderId="160"/>
    <xf numFmtId="185" fontId="8" fillId="0" borderId="160">
      <alignment vertical="center"/>
    </xf>
    <xf numFmtId="322" fontId="9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162">
      <alignment horizontal="centerContinuous" vertical="center"/>
    </xf>
    <xf numFmtId="0" fontId="9" fillId="0" borderId="162">
      <alignment horizontal="centerContinuous" vertical="center"/>
    </xf>
    <xf numFmtId="0" fontId="9" fillId="0" borderId="162">
      <alignment horizontal="centerContinuous" vertical="center"/>
    </xf>
    <xf numFmtId="0" fontId="9" fillId="0" borderId="162">
      <alignment horizontal="centerContinuous" vertical="center"/>
    </xf>
    <xf numFmtId="49" fontId="60" fillId="0" borderId="117" applyNumberFormat="0" applyAlignment="0"/>
    <xf numFmtId="0" fontId="160" fillId="12" borderId="120" applyNumberFormat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0" fontId="160" fillId="12" borderId="120" applyNumberFormat="0" applyAlignment="0" applyProtection="0">
      <alignment vertical="center"/>
    </xf>
    <xf numFmtId="3" fontId="57" fillId="0" borderId="216"/>
    <xf numFmtId="249" fontId="6" fillId="0" borderId="181">
      <alignment vertical="center"/>
    </xf>
    <xf numFmtId="200" fontId="6" fillId="0" borderId="172">
      <alignment vertical="center"/>
    </xf>
    <xf numFmtId="249" fontId="6" fillId="0" borderId="172">
      <alignment vertical="center"/>
    </xf>
    <xf numFmtId="249" fontId="6" fillId="0" borderId="172">
      <alignment vertical="center"/>
    </xf>
    <xf numFmtId="0" fontId="165" fillId="22" borderId="119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0" fontId="165" fillId="22" borderId="119" applyNumberFormat="0" applyAlignment="0" applyProtection="0">
      <alignment vertical="center"/>
    </xf>
    <xf numFmtId="236" fontId="6" fillId="0" borderId="148">
      <alignment vertical="center"/>
    </xf>
    <xf numFmtId="257" fontId="117" fillId="0" borderId="181" applyBorder="0">
      <alignment horizontal="left" vertical="center"/>
    </xf>
    <xf numFmtId="193" fontId="23" fillId="0" borderId="0">
      <protection locked="0"/>
    </xf>
    <xf numFmtId="176" fontId="6" fillId="0" borderId="181">
      <alignment vertical="center"/>
    </xf>
    <xf numFmtId="228" fontId="117" fillId="0" borderId="182" applyBorder="0">
      <alignment vertical="center" wrapText="1"/>
    </xf>
    <xf numFmtId="322" fontId="9" fillId="0" borderId="218">
      <alignment horizontal="centerContinuous" vertical="center"/>
    </xf>
    <xf numFmtId="10" fontId="39" fillId="2" borderId="216" applyNumberFormat="0" applyBorder="0" applyAlignment="0" applyProtection="0"/>
    <xf numFmtId="0" fontId="94" fillId="0" borderId="186">
      <alignment horizontal="centerContinuous" vertical="center"/>
    </xf>
    <xf numFmtId="0" fontId="153" fillId="22" borderId="192" applyNumberFormat="0" applyAlignment="0" applyProtection="0">
      <alignment vertical="center"/>
    </xf>
    <xf numFmtId="200" fontId="6" fillId="0" borderId="181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249" fontId="6" fillId="0" borderId="172">
      <alignment vertical="center"/>
    </xf>
    <xf numFmtId="200" fontId="6" fillId="0" borderId="172">
      <alignment vertical="center"/>
    </xf>
    <xf numFmtId="0" fontId="6" fillId="0" borderId="172">
      <alignment vertical="center"/>
    </xf>
    <xf numFmtId="206" fontId="6" fillId="0" borderId="172">
      <alignment vertical="center"/>
    </xf>
    <xf numFmtId="242" fontId="6" fillId="0" borderId="172">
      <alignment horizontal="right" vertical="center"/>
    </xf>
    <xf numFmtId="185" fontId="235" fillId="0" borderId="112"/>
    <xf numFmtId="41" fontId="135" fillId="0" borderId="148" applyNumberFormat="0">
      <alignment vertical="center"/>
    </xf>
    <xf numFmtId="206" fontId="6" fillId="0" borderId="160">
      <alignment vertical="center"/>
    </xf>
    <xf numFmtId="206" fontId="6" fillId="0" borderId="160">
      <alignment vertical="center"/>
    </xf>
    <xf numFmtId="41" fontId="135" fillId="0" borderId="196" applyNumberFormat="0">
      <alignment vertical="center"/>
    </xf>
    <xf numFmtId="256" fontId="117" fillId="0" borderId="196" applyBorder="0">
      <alignment vertical="center"/>
    </xf>
    <xf numFmtId="256" fontId="117" fillId="0" borderId="148" applyBorder="0">
      <alignment vertical="center"/>
    </xf>
    <xf numFmtId="256" fontId="117" fillId="0" borderId="148" applyBorder="0">
      <alignment vertical="center"/>
    </xf>
    <xf numFmtId="236" fontId="6" fillId="0" borderId="196">
      <alignment vertical="center"/>
    </xf>
    <xf numFmtId="0" fontId="9" fillId="0" borderId="208">
      <alignment horizontal="distributed" vertical="center"/>
    </xf>
    <xf numFmtId="0" fontId="92" fillId="0" borderId="208"/>
    <xf numFmtId="3" fontId="57" fillId="0" borderId="208"/>
    <xf numFmtId="3" fontId="57" fillId="0" borderId="208"/>
    <xf numFmtId="200" fontId="6" fillId="0" borderId="160">
      <alignment vertical="center"/>
    </xf>
    <xf numFmtId="0" fontId="92" fillId="0" borderId="148"/>
    <xf numFmtId="0" fontId="92" fillId="0" borderId="148"/>
    <xf numFmtId="0" fontId="92" fillId="0" borderId="148"/>
    <xf numFmtId="0" fontId="92" fillId="0" borderId="148"/>
    <xf numFmtId="0" fontId="92" fillId="0" borderId="148"/>
    <xf numFmtId="0" fontId="92" fillId="0" borderId="148"/>
    <xf numFmtId="241" fontId="6" fillId="0" borderId="196">
      <alignment horizontal="right" vertical="center"/>
    </xf>
    <xf numFmtId="0" fontId="56" fillId="0" borderId="148"/>
    <xf numFmtId="0" fontId="56" fillId="0" borderId="148"/>
    <xf numFmtId="3" fontId="56" fillId="0" borderId="148"/>
    <xf numFmtId="3" fontId="56" fillId="0" borderId="148"/>
    <xf numFmtId="3" fontId="56" fillId="0" borderId="148"/>
    <xf numFmtId="3" fontId="56" fillId="0" borderId="148"/>
    <xf numFmtId="3" fontId="56" fillId="0" borderId="148"/>
    <xf numFmtId="3" fontId="56" fillId="0" borderId="148"/>
    <xf numFmtId="41" fontId="56" fillId="0" borderId="148" applyNumberFormat="0" applyFont="0" applyFill="0" applyBorder="0" applyProtection="0">
      <alignment horizontal="distributed"/>
    </xf>
    <xf numFmtId="41" fontId="56" fillId="0" borderId="148" applyNumberFormat="0" applyFont="0" applyFill="0" applyBorder="0" applyProtection="0">
      <alignment horizontal="distributed"/>
    </xf>
    <xf numFmtId="41" fontId="56" fillId="0" borderId="148" applyNumberFormat="0" applyFont="0" applyFill="0" applyBorder="0" applyProtection="0">
      <alignment horizontal="distributed"/>
    </xf>
    <xf numFmtId="41" fontId="56" fillId="0" borderId="148" applyNumberFormat="0" applyFont="0" applyFill="0" applyBorder="0" applyProtection="0">
      <alignment horizontal="distributed"/>
    </xf>
    <xf numFmtId="244" fontId="117" fillId="0" borderId="148">
      <alignment vertical="center"/>
    </xf>
    <xf numFmtId="244" fontId="117" fillId="0" borderId="148">
      <alignment vertical="center"/>
    </xf>
    <xf numFmtId="244" fontId="117" fillId="0" borderId="148">
      <alignment vertical="center"/>
    </xf>
    <xf numFmtId="243" fontId="117" fillId="0" borderId="148">
      <alignment vertical="center"/>
    </xf>
    <xf numFmtId="243" fontId="117" fillId="0" borderId="148">
      <alignment vertical="center"/>
    </xf>
    <xf numFmtId="243" fontId="117" fillId="0" borderId="148">
      <alignment vertical="center"/>
    </xf>
    <xf numFmtId="239" fontId="117" fillId="0" borderId="148">
      <alignment horizontal="right" vertical="center"/>
    </xf>
    <xf numFmtId="239" fontId="117" fillId="0" borderId="148">
      <alignment horizontal="right" vertical="center"/>
    </xf>
    <xf numFmtId="234" fontId="117" fillId="0" borderId="148">
      <alignment vertical="center"/>
    </xf>
    <xf numFmtId="10" fontId="39" fillId="4" borderId="148" applyNumberFormat="0" applyBorder="0" applyAlignment="0" applyProtection="0"/>
    <xf numFmtId="10" fontId="39" fillId="2" borderId="148" applyNumberFormat="0" applyBorder="0" applyAlignment="0" applyProtection="0"/>
    <xf numFmtId="10" fontId="39" fillId="2" borderId="148" applyNumberFormat="0" applyBorder="0" applyAlignment="0" applyProtection="0"/>
    <xf numFmtId="10" fontId="39" fillId="2" borderId="148" applyNumberFormat="0" applyBorder="0" applyAlignment="0" applyProtection="0"/>
    <xf numFmtId="10" fontId="39" fillId="2" borderId="148" applyNumberFormat="0" applyBorder="0" applyAlignment="0" applyProtection="0"/>
    <xf numFmtId="322" fontId="9" fillId="0" borderId="198">
      <alignment horizontal="centerContinuous" vertical="center"/>
    </xf>
    <xf numFmtId="322" fontId="9" fillId="0" borderId="198">
      <alignment horizontal="centerContinuous" vertical="center"/>
    </xf>
    <xf numFmtId="191" fontId="6" fillId="0" borderId="160">
      <alignment vertical="center"/>
    </xf>
    <xf numFmtId="200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231" fontId="117" fillId="0" borderId="160">
      <alignment vertical="center"/>
    </xf>
    <xf numFmtId="0" fontId="9" fillId="0" borderId="218">
      <alignment horizontal="centerContinuous" vertical="center"/>
    </xf>
    <xf numFmtId="218" fontId="6" fillId="0" borderId="136">
      <alignment vertical="center"/>
    </xf>
    <xf numFmtId="176" fontId="6" fillId="0" borderId="196">
      <alignment vertical="center"/>
    </xf>
    <xf numFmtId="176" fontId="6" fillId="0" borderId="136">
      <alignment vertical="center"/>
    </xf>
    <xf numFmtId="0" fontId="41" fillId="0" borderId="149">
      <alignment horizontal="left" vertical="center"/>
    </xf>
    <xf numFmtId="0" fontId="41" fillId="0" borderId="149">
      <alignment horizontal="left" vertical="center"/>
    </xf>
    <xf numFmtId="185" fontId="9" fillId="0" borderId="148">
      <alignment horizontal="center" vertical="center"/>
    </xf>
    <xf numFmtId="3" fontId="6" fillId="0" borderId="148"/>
    <xf numFmtId="0" fontId="11" fillId="0" borderId="160" applyNumberFormat="0" applyFont="0" applyFill="0" applyAlignment="0" applyProtection="0">
      <alignment horizontal="center" vertical="center"/>
    </xf>
    <xf numFmtId="0" fontId="6" fillId="0" borderId="160">
      <alignment vertical="center"/>
    </xf>
    <xf numFmtId="176" fontId="6" fillId="0" borderId="160">
      <alignment vertical="center"/>
    </xf>
    <xf numFmtId="176" fontId="6" fillId="0" borderId="160">
      <alignment vertical="center"/>
    </xf>
    <xf numFmtId="3" fontId="57" fillId="0" borderId="172"/>
    <xf numFmtId="240" fontId="6" fillId="0" borderId="172">
      <alignment horizontal="right" vertical="center"/>
    </xf>
    <xf numFmtId="0" fontId="159" fillId="0" borderId="170" applyNumberFormat="0" applyFill="0" applyAlignment="0" applyProtection="0">
      <alignment vertical="center"/>
    </xf>
    <xf numFmtId="0" fontId="159" fillId="0" borderId="170" applyNumberFormat="0" applyFill="0" applyAlignment="0" applyProtection="0">
      <alignment vertical="center"/>
    </xf>
    <xf numFmtId="191" fontId="6" fillId="0" borderId="172">
      <alignment vertical="center"/>
    </xf>
    <xf numFmtId="250" fontId="117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00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49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218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0" fontId="6" fillId="0" borderId="124">
      <alignment vertical="center"/>
    </xf>
    <xf numFmtId="0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20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176" fontId="6" fillId="0" borderId="124">
      <alignment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1" fontId="6" fillId="0" borderId="124">
      <alignment horizontal="right" vertical="center"/>
    </xf>
    <xf numFmtId="240" fontId="6" fillId="0" borderId="124">
      <alignment horizontal="right" vertical="center"/>
    </xf>
    <xf numFmtId="218" fontId="9" fillId="0" borderId="183">
      <alignment horizontal="centerContinuous"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6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8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237" fontId="6" fillId="0" borderId="124">
      <alignment vertical="center"/>
    </xf>
    <xf numFmtId="0" fontId="82" fillId="0" borderId="208"/>
    <xf numFmtId="246" fontId="117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200" fontId="6" fillId="0" borderId="172">
      <alignment vertical="center"/>
    </xf>
    <xf numFmtId="218" fontId="6" fillId="0" borderId="172">
      <alignment vertical="center"/>
    </xf>
    <xf numFmtId="176" fontId="6" fillId="0" borderId="172">
      <alignment vertical="center"/>
    </xf>
    <xf numFmtId="176" fontId="6" fillId="0" borderId="172">
      <alignment vertical="center"/>
    </xf>
    <xf numFmtId="243" fontId="117" fillId="0" borderId="181">
      <alignment vertical="center"/>
    </xf>
    <xf numFmtId="243" fontId="117" fillId="0" borderId="181">
      <alignment vertical="center"/>
    </xf>
    <xf numFmtId="244" fontId="117" fillId="0" borderId="181">
      <alignment vertical="center"/>
    </xf>
    <xf numFmtId="0" fontId="9" fillId="0" borderId="180">
      <alignment horizontal="distributed"/>
    </xf>
    <xf numFmtId="0" fontId="6" fillId="0" borderId="181" applyNumberFormat="0" applyFill="0" applyProtection="0">
      <alignment vertical="center"/>
    </xf>
    <xf numFmtId="0" fontId="9" fillId="0" borderId="208">
      <alignment horizontal="distributed" vertical="center"/>
    </xf>
    <xf numFmtId="0" fontId="11" fillId="0" borderId="208" applyNumberFormat="0" applyFont="0" applyFill="0" applyAlignment="0" applyProtection="0">
      <alignment horizontal="center" vertical="center"/>
    </xf>
    <xf numFmtId="200" fontId="77" fillId="0" borderId="208">
      <alignment vertical="center"/>
    </xf>
    <xf numFmtId="3" fontId="57" fillId="0" borderId="208"/>
    <xf numFmtId="41" fontId="56" fillId="0" borderId="208" applyNumberFormat="0" applyFont="0" applyFill="0" applyBorder="0" applyProtection="0">
      <alignment horizontal="distributed"/>
    </xf>
    <xf numFmtId="0" fontId="153" fillId="22" borderId="177" applyNumberFormat="0" applyAlignment="0" applyProtection="0">
      <alignment vertical="center"/>
    </xf>
    <xf numFmtId="218" fontId="6" fillId="0" borderId="181">
      <alignment vertical="center"/>
    </xf>
    <xf numFmtId="0" fontId="6" fillId="0" borderId="181">
      <alignment vertical="center"/>
    </xf>
    <xf numFmtId="0" fontId="6" fillId="0" borderId="181">
      <alignment vertical="center"/>
    </xf>
    <xf numFmtId="309" fontId="9" fillId="0" borderId="136" applyFill="0" applyBorder="0" applyAlignment="0"/>
    <xf numFmtId="0" fontId="6" fillId="0" borderId="198">
      <alignment horizontal="centerContinuous" vertical="center"/>
    </xf>
    <xf numFmtId="230" fontId="6" fillId="0" borderId="181">
      <alignment vertical="center"/>
    </xf>
    <xf numFmtId="3" fontId="57" fillId="0" borderId="196"/>
    <xf numFmtId="191" fontId="6" fillId="0" borderId="160">
      <alignment vertical="center"/>
    </xf>
    <xf numFmtId="0" fontId="6" fillId="0" borderId="198">
      <alignment horizontal="centerContinuous" vertical="center"/>
    </xf>
    <xf numFmtId="191" fontId="6" fillId="0" borderId="181">
      <alignment vertical="center"/>
    </xf>
    <xf numFmtId="238" fontId="6" fillId="0" borderId="196">
      <alignment vertical="center"/>
    </xf>
    <xf numFmtId="0" fontId="6" fillId="0" borderId="218">
      <alignment horizontal="centerContinuous" vertical="center"/>
    </xf>
    <xf numFmtId="0" fontId="184" fillId="0" borderId="136" applyFill="0" applyBorder="0" applyProtection="0">
      <alignment vertical="center"/>
    </xf>
    <xf numFmtId="0" fontId="92" fillId="0" borderId="181"/>
    <xf numFmtId="3" fontId="57" fillId="0" borderId="208"/>
    <xf numFmtId="230" fontId="6" fillId="0" borderId="196">
      <alignment vertical="center"/>
    </xf>
    <xf numFmtId="242" fontId="6" fillId="0" borderId="160">
      <alignment horizontal="right" vertical="center"/>
    </xf>
    <xf numFmtId="0" fontId="94" fillId="0" borderId="186">
      <alignment horizontal="centerContinuous" vertical="center"/>
    </xf>
    <xf numFmtId="191" fontId="6" fillId="0" borderId="160">
      <alignment vertical="center"/>
    </xf>
    <xf numFmtId="0" fontId="57" fillId="28" borderId="157" applyNumberFormat="0" applyFont="0" applyAlignment="0" applyProtection="0">
      <alignment vertical="center"/>
    </xf>
    <xf numFmtId="0" fontId="57" fillId="28" borderId="157" applyNumberFormat="0" applyFont="0" applyAlignment="0" applyProtection="0">
      <alignment vertical="center"/>
    </xf>
    <xf numFmtId="0" fontId="57" fillId="28" borderId="157" applyNumberFormat="0" applyFont="0" applyAlignment="0" applyProtection="0">
      <alignment vertical="center"/>
    </xf>
    <xf numFmtId="0" fontId="57" fillId="28" borderId="157" applyNumberFormat="0" applyFont="0" applyAlignment="0" applyProtection="0">
      <alignment vertical="center"/>
    </xf>
    <xf numFmtId="0" fontId="6" fillId="28" borderId="157" applyNumberFormat="0" applyFont="0" applyAlignment="0" applyProtection="0">
      <alignment vertical="center"/>
    </xf>
    <xf numFmtId="243" fontId="117" fillId="0" borderId="216">
      <alignment vertical="center"/>
    </xf>
    <xf numFmtId="3" fontId="57" fillId="0" borderId="216"/>
    <xf numFmtId="0" fontId="153" fillId="22" borderId="156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0" fontId="153" fillId="22" borderId="156" applyNumberFormat="0" applyAlignment="0" applyProtection="0">
      <alignment vertical="center"/>
    </xf>
    <xf numFmtId="236" fontId="6" fillId="0" borderId="172">
      <alignment vertical="center"/>
    </xf>
    <xf numFmtId="237" fontId="6" fillId="0" borderId="172">
      <alignment vertical="center"/>
    </xf>
    <xf numFmtId="0" fontId="41" fillId="0" borderId="184">
      <alignment horizontal="left" vertical="center"/>
    </xf>
    <xf numFmtId="322" fontId="9" fillId="0" borderId="198">
      <alignment horizontal="centerContinuous" vertical="center"/>
    </xf>
    <xf numFmtId="0" fontId="56" fillId="0" borderId="196"/>
    <xf numFmtId="237" fontId="6" fillId="0" borderId="160">
      <alignment vertical="center"/>
    </xf>
    <xf numFmtId="0" fontId="9" fillId="0" borderId="181">
      <alignment horizontal="distributed" vertical="center"/>
    </xf>
    <xf numFmtId="0" fontId="9" fillId="0" borderId="180">
      <alignment horizontal="distributed"/>
    </xf>
    <xf numFmtId="0" fontId="9" fillId="0" borderId="180">
      <alignment horizontal="distributed"/>
    </xf>
    <xf numFmtId="0" fontId="9" fillId="0" borderId="180">
      <alignment horizontal="distributed"/>
    </xf>
    <xf numFmtId="0" fontId="41" fillId="0" borderId="197">
      <alignment horizontal="left" vertical="center"/>
    </xf>
    <xf numFmtId="0" fontId="6" fillId="0" borderId="160">
      <alignment vertical="center"/>
    </xf>
    <xf numFmtId="236" fontId="6" fillId="0" borderId="181">
      <alignment vertical="center"/>
    </xf>
    <xf numFmtId="191" fontId="6" fillId="0" borderId="181">
      <alignment vertical="center"/>
    </xf>
    <xf numFmtId="0" fontId="117" fillId="0" borderId="198">
      <alignment horizontal="centerContinuous" vertical="center"/>
    </xf>
    <xf numFmtId="0" fontId="6" fillId="0" borderId="181">
      <alignment vertical="center"/>
    </xf>
    <xf numFmtId="338" fontId="19" fillId="0" borderId="172"/>
    <xf numFmtId="200" fontId="6" fillId="0" borderId="172">
      <alignment vertical="center"/>
    </xf>
    <xf numFmtId="230" fontId="6" fillId="0" borderId="172">
      <alignment vertical="center"/>
    </xf>
    <xf numFmtId="3" fontId="57" fillId="0" borderId="160"/>
    <xf numFmtId="3" fontId="57" fillId="0" borderId="160"/>
    <xf numFmtId="3" fontId="57" fillId="0" borderId="160"/>
    <xf numFmtId="0" fontId="92" fillId="0" borderId="160"/>
    <xf numFmtId="0" fontId="92" fillId="0" borderId="160"/>
    <xf numFmtId="0" fontId="153" fillId="22" borderId="213" applyNumberFormat="0" applyAlignment="0" applyProtection="0">
      <alignment vertical="center"/>
    </xf>
    <xf numFmtId="236" fontId="6" fillId="0" borderId="160">
      <alignment vertical="center"/>
    </xf>
    <xf numFmtId="236" fontId="6" fillId="0" borderId="160">
      <alignment vertical="center"/>
    </xf>
    <xf numFmtId="236" fontId="6" fillId="0" borderId="160">
      <alignment vertical="center"/>
    </xf>
    <xf numFmtId="237" fontId="6" fillId="0" borderId="160">
      <alignment vertical="center"/>
    </xf>
    <xf numFmtId="237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238" fontId="6" fillId="0" borderId="160">
      <alignment vertical="center"/>
    </xf>
    <xf numFmtId="0" fontId="6" fillId="0" borderId="196">
      <alignment vertical="center"/>
    </xf>
    <xf numFmtId="240" fontId="6" fillId="0" borderId="160">
      <alignment horizontal="right" vertical="center"/>
    </xf>
    <xf numFmtId="240" fontId="6" fillId="0" borderId="160">
      <alignment horizontal="right" vertical="center"/>
    </xf>
    <xf numFmtId="221" fontId="117" fillId="0" borderId="196">
      <alignment vertical="center"/>
    </xf>
    <xf numFmtId="0" fontId="6" fillId="0" borderId="196" applyNumberFormat="0" applyFill="0" applyProtection="0">
      <alignment vertical="center"/>
    </xf>
    <xf numFmtId="176" fontId="6" fillId="0" borderId="160">
      <alignment vertical="center"/>
    </xf>
    <xf numFmtId="176" fontId="6" fillId="0" borderId="160">
      <alignment vertical="center"/>
    </xf>
    <xf numFmtId="218" fontId="6" fillId="0" borderId="160">
      <alignment vertical="center"/>
    </xf>
    <xf numFmtId="218" fontId="6" fillId="0" borderId="160">
      <alignment vertical="center"/>
    </xf>
    <xf numFmtId="218" fontId="6" fillId="0" borderId="160">
      <alignment vertical="center"/>
    </xf>
    <xf numFmtId="218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49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44" fontId="117" fillId="0" borderId="196">
      <alignment vertical="center"/>
    </xf>
    <xf numFmtId="0" fontId="153" fillId="22" borderId="192" applyNumberFormat="0" applyAlignment="0" applyProtection="0">
      <alignment vertical="center"/>
    </xf>
    <xf numFmtId="0" fontId="6" fillId="0" borderId="160" applyNumberFormat="0" applyFill="0" applyProtection="0">
      <alignment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6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117" fillId="0" borderId="162">
      <alignment horizontal="centerContinuous" vertical="center"/>
    </xf>
    <xf numFmtId="0" fontId="94" fillId="0" borderId="186">
      <alignment horizontal="centerContinuous" vertical="center"/>
    </xf>
    <xf numFmtId="0" fontId="9" fillId="0" borderId="186">
      <alignment horizontal="centerContinuous" vertical="center"/>
    </xf>
    <xf numFmtId="230" fontId="6" fillId="0" borderId="181">
      <alignment vertical="center"/>
    </xf>
    <xf numFmtId="0" fontId="6" fillId="0" borderId="186">
      <alignment horizontal="centerContinuous" vertical="center"/>
    </xf>
    <xf numFmtId="230" fontId="6" fillId="0" borderId="160">
      <alignment vertical="center"/>
    </xf>
    <xf numFmtId="193" fontId="23" fillId="0" borderId="0">
      <protection locked="0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0" fontId="94" fillId="0" borderId="162">
      <alignment horizontal="centerContinuous" vertical="center"/>
    </xf>
    <xf numFmtId="322" fontId="9" fillId="0" borderId="162">
      <alignment horizontal="centerContinuous" vertical="center"/>
    </xf>
    <xf numFmtId="322" fontId="9" fillId="0" borderId="162">
      <alignment horizontal="centerContinuous" vertical="center"/>
    </xf>
    <xf numFmtId="0" fontId="117" fillId="0" borderId="162">
      <alignment horizontal="centerContinuous" vertical="center"/>
    </xf>
    <xf numFmtId="0" fontId="117" fillId="0" borderId="162">
      <alignment horizontal="centerContinuous" vertical="center"/>
    </xf>
    <xf numFmtId="206" fontId="6" fillId="0" borderId="160">
      <alignment vertical="center"/>
    </xf>
    <xf numFmtId="0" fontId="94" fillId="0" borderId="183">
      <alignment horizontal="centerContinuous" vertical="center"/>
    </xf>
    <xf numFmtId="322" fontId="9" fillId="0" borderId="198">
      <alignment horizontal="centerContinuous" vertical="center"/>
    </xf>
    <xf numFmtId="193" fontId="23" fillId="0" borderId="0">
      <protection locked="0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50" fillId="3" borderId="185">
      <alignment vertical="center"/>
    </xf>
    <xf numFmtId="185" fontId="8" fillId="0" borderId="208">
      <alignment vertical="center"/>
    </xf>
    <xf numFmtId="3" fontId="57" fillId="0" borderId="208"/>
    <xf numFmtId="0" fontId="159" fillId="0" borderId="194" applyNumberFormat="0" applyFill="0" applyAlignment="0" applyProtection="0">
      <alignment vertical="center"/>
    </xf>
    <xf numFmtId="239" fontId="117" fillId="0" borderId="196">
      <alignment horizontal="right" vertical="center"/>
    </xf>
    <xf numFmtId="234" fontId="117" fillId="0" borderId="196">
      <alignment vertical="center"/>
    </xf>
    <xf numFmtId="3" fontId="57" fillId="0" borderId="196"/>
    <xf numFmtId="3" fontId="57" fillId="0" borderId="196"/>
    <xf numFmtId="185" fontId="8" fillId="0" borderId="196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30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200" fontId="6" fillId="0" borderId="160">
      <alignment vertical="center"/>
    </xf>
    <xf numFmtId="0" fontId="232" fillId="0" borderId="136" applyFont="0" applyFill="0" applyBorder="0" applyAlignment="0" applyProtection="0">
      <alignment horizontal="centerContinuous" vertical="center"/>
    </xf>
    <xf numFmtId="200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91" fontId="6" fillId="0" borderId="160">
      <alignment vertical="center"/>
    </xf>
    <xf numFmtId="185" fontId="9" fillId="0" borderId="208">
      <alignment horizontal="center" vertical="center"/>
    </xf>
    <xf numFmtId="0" fontId="159" fillId="0" borderId="146" applyNumberFormat="0" applyFill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159" fillId="0" borderId="146" applyNumberFormat="0" applyFill="0" applyAlignment="0" applyProtection="0">
      <alignment vertical="center"/>
    </xf>
    <xf numFmtId="0" fontId="56" fillId="0" borderId="216"/>
    <xf numFmtId="0" fontId="56" fillId="0" borderId="216"/>
    <xf numFmtId="0" fontId="56" fillId="0" borderId="216"/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0" fontId="94" fillId="0" borderId="198">
      <alignment horizontal="centerContinuous" vertical="center"/>
    </xf>
    <xf numFmtId="0" fontId="6" fillId="0" borderId="172">
      <alignment vertical="center"/>
    </xf>
    <xf numFmtId="176" fontId="6" fillId="0" borderId="172">
      <alignment vertical="center"/>
    </xf>
    <xf numFmtId="249" fontId="6" fillId="0" borderId="172">
      <alignment vertical="center"/>
    </xf>
    <xf numFmtId="250" fontId="117" fillId="0" borderId="172">
      <alignment vertical="center"/>
    </xf>
    <xf numFmtId="200" fontId="6" fillId="0" borderId="196">
      <alignment vertical="center"/>
    </xf>
    <xf numFmtId="191" fontId="6" fillId="0" borderId="196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0" fontId="54" fillId="28" borderId="224" applyNumberFormat="0" applyFont="0" applyAlignment="0" applyProtection="0">
      <alignment vertical="center"/>
    </xf>
    <xf numFmtId="250" fontId="117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49" fontId="6" fillId="0" borderId="148">
      <alignment vertical="center"/>
    </xf>
    <xf numFmtId="249" fontId="6" fillId="0" borderId="148">
      <alignment vertical="center"/>
    </xf>
    <xf numFmtId="249" fontId="6" fillId="0" borderId="148">
      <alignment vertical="center"/>
    </xf>
    <xf numFmtId="249" fontId="6" fillId="0" borderId="148">
      <alignment vertical="center"/>
    </xf>
    <xf numFmtId="249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18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200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0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176" fontId="6" fillId="0" borderId="148">
      <alignment vertical="center"/>
    </xf>
    <xf numFmtId="246" fontId="117" fillId="0" borderId="148">
      <alignment vertical="center"/>
    </xf>
    <xf numFmtId="49" fontId="60" fillId="0" borderId="141" applyNumberFormat="0" applyAlignment="0"/>
    <xf numFmtId="0" fontId="160" fillId="12" borderId="144" applyNumberFormat="0" applyAlignment="0" applyProtection="0">
      <alignment vertical="center"/>
    </xf>
    <xf numFmtId="0" fontId="160" fillId="12" borderId="144" applyNumberFormat="0" applyAlignment="0" applyProtection="0">
      <alignment vertical="center"/>
    </xf>
    <xf numFmtId="0" fontId="160" fillId="12" borderId="144" applyNumberFormat="0" applyAlignment="0" applyProtection="0">
      <alignment vertical="center"/>
    </xf>
    <xf numFmtId="0" fontId="160" fillId="12" borderId="144" applyNumberFormat="0" applyAlignment="0" applyProtection="0">
      <alignment vertical="center"/>
    </xf>
    <xf numFmtId="0" fontId="160" fillId="12" borderId="144" applyNumberFormat="0" applyAlignment="0" applyProtection="0">
      <alignment vertical="center"/>
    </xf>
    <xf numFmtId="0" fontId="160" fillId="12" borderId="144" applyNumberFormat="0" applyAlignment="0" applyProtection="0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238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7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6" fontId="6" fillId="0" borderId="148">
      <alignment vertical="center"/>
    </xf>
    <xf numFmtId="235" fontId="117" fillId="0" borderId="148">
      <alignment vertical="center"/>
    </xf>
    <xf numFmtId="0" fontId="165" fillId="22" borderId="143" applyNumberForma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0" fontId="165" fillId="22" borderId="143" applyNumberFormat="0" applyAlignment="0" applyProtection="0">
      <alignment vertical="center"/>
    </xf>
    <xf numFmtId="322" fontId="9" fillId="0" borderId="198">
      <alignment horizontal="centerContinuous" vertical="center"/>
    </xf>
    <xf numFmtId="236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0" fontId="186" fillId="0" borderId="181" applyProtection="0">
      <alignment vertical="center"/>
    </xf>
    <xf numFmtId="185" fontId="235" fillId="0" borderId="136"/>
    <xf numFmtId="0" fontId="9" fillId="0" borderId="180">
      <alignment horizontal="distributed"/>
    </xf>
    <xf numFmtId="0" fontId="160" fillId="12" borderId="168" applyNumberFormat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0" fontId="160" fillId="12" borderId="168" applyNumberFormat="0" applyAlignment="0" applyProtection="0">
      <alignment vertical="center"/>
    </xf>
    <xf numFmtId="49" fontId="60" fillId="0" borderId="165" applyNumberFormat="0" applyAlignment="0"/>
    <xf numFmtId="0" fontId="232" fillId="0" borderId="160" applyFont="0" applyFill="0" applyBorder="0" applyAlignment="0" applyProtection="0">
      <alignment horizontal="centerContinuous" vertical="center"/>
    </xf>
    <xf numFmtId="191" fontId="6" fillId="0" borderId="196">
      <alignment vertical="center"/>
    </xf>
    <xf numFmtId="0" fontId="6" fillId="0" borderId="196">
      <alignment horizontal="right" vertical="center" shrinkToFit="1"/>
    </xf>
    <xf numFmtId="244" fontId="117" fillId="0" borderId="196">
      <alignment vertical="center"/>
    </xf>
    <xf numFmtId="239" fontId="117" fillId="0" borderId="196">
      <alignment horizontal="right" vertical="center"/>
    </xf>
    <xf numFmtId="234" fontId="117" fillId="0" borderId="196">
      <alignment vertical="center"/>
    </xf>
    <xf numFmtId="185" fontId="8" fillId="0" borderId="196">
      <alignment vertical="center"/>
    </xf>
    <xf numFmtId="0" fontId="117" fillId="0" borderId="183">
      <alignment horizontal="centerContinuous" vertical="center"/>
    </xf>
    <xf numFmtId="0" fontId="117" fillId="0" borderId="183">
      <alignment horizontal="centerContinuous" vertical="center"/>
    </xf>
    <xf numFmtId="0" fontId="9" fillId="0" borderId="183">
      <alignment horizontal="centerContinuous" vertical="center"/>
    </xf>
    <xf numFmtId="0" fontId="94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6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0" fontId="94" fillId="0" borderId="183">
      <alignment horizontal="centerContinuous" vertical="center"/>
    </xf>
    <xf numFmtId="240" fontId="6" fillId="0" borderId="172">
      <alignment horizontal="right" vertical="center"/>
    </xf>
    <xf numFmtId="237" fontId="6" fillId="0" borderId="160">
      <alignment vertical="center"/>
    </xf>
    <xf numFmtId="236" fontId="6" fillId="0" borderId="160">
      <alignment vertical="center"/>
    </xf>
    <xf numFmtId="37" fontId="117" fillId="0" borderId="160">
      <alignment horizontal="center" vertical="distributed"/>
    </xf>
    <xf numFmtId="0" fontId="153" fillId="22" borderId="213" applyNumberFormat="0" applyAlignment="0" applyProtection="0">
      <alignment vertical="center"/>
    </xf>
    <xf numFmtId="230" fontId="6" fillId="0" borderId="181">
      <alignment vertical="center"/>
    </xf>
    <xf numFmtId="200" fontId="6" fillId="0" borderId="181">
      <alignment vertical="center"/>
    </xf>
    <xf numFmtId="191" fontId="6" fillId="0" borderId="181">
      <alignment vertical="center"/>
    </xf>
    <xf numFmtId="0" fontId="6" fillId="0" borderId="172">
      <alignment vertical="center"/>
    </xf>
    <xf numFmtId="0" fontId="6" fillId="0" borderId="172">
      <alignment vertical="center"/>
    </xf>
    <xf numFmtId="10" fontId="39" fillId="2" borderId="181" applyNumberFormat="0" applyBorder="0" applyAlignment="0" applyProtection="0"/>
    <xf numFmtId="10" fontId="39" fillId="2" borderId="181" applyNumberFormat="0" applyBorder="0" applyAlignment="0" applyProtection="0"/>
    <xf numFmtId="10" fontId="39" fillId="4" borderId="181" applyNumberFormat="0" applyBorder="0" applyAlignment="0" applyProtection="0"/>
    <xf numFmtId="234" fontId="117" fillId="0" borderId="181">
      <alignment vertical="center"/>
    </xf>
    <xf numFmtId="234" fontId="117" fillId="0" borderId="181">
      <alignment vertical="center"/>
    </xf>
    <xf numFmtId="234" fontId="117" fillId="0" borderId="181">
      <alignment vertical="center"/>
    </xf>
    <xf numFmtId="0" fontId="54" fillId="28" borderId="193" applyNumberFormat="0" applyFon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42" fontId="6" fillId="0" borderId="196">
      <alignment horizontal="right" vertical="center"/>
    </xf>
    <xf numFmtId="241" fontId="6" fillId="0" borderId="196">
      <alignment horizontal="right" vertical="center"/>
    </xf>
    <xf numFmtId="241" fontId="6" fillId="0" borderId="196">
      <alignment horizontal="right" vertical="center"/>
    </xf>
    <xf numFmtId="241" fontId="6" fillId="0" borderId="196">
      <alignment horizontal="right" vertical="center"/>
    </xf>
    <xf numFmtId="241" fontId="6" fillId="0" borderId="196">
      <alignment horizontal="right" vertical="center"/>
    </xf>
    <xf numFmtId="241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40" fontId="6" fillId="0" borderId="196">
      <alignment horizontal="right"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0" fontId="9" fillId="0" borderId="198">
      <alignment horizontal="centerContinuous" vertical="center"/>
    </xf>
    <xf numFmtId="0" fontId="9" fillId="0" borderId="198">
      <alignment horizontal="centerContinuous" vertical="center"/>
    </xf>
    <xf numFmtId="322" fontId="9" fillId="0" borderId="198">
      <alignment horizontal="centerContinuous" vertical="center"/>
    </xf>
    <xf numFmtId="191" fontId="6" fillId="0" borderId="196">
      <alignment vertical="center"/>
    </xf>
    <xf numFmtId="191" fontId="6" fillId="0" borderId="196">
      <alignment vertical="center"/>
    </xf>
    <xf numFmtId="249" fontId="6" fillId="0" borderId="172">
      <alignment vertical="center"/>
    </xf>
    <xf numFmtId="0" fontId="232" fillId="0" borderId="148" applyFont="0" applyFill="0" applyBorder="0" applyAlignment="0" applyProtection="0">
      <alignment horizontal="centerContinuous" vertical="center"/>
    </xf>
    <xf numFmtId="193" fontId="23" fillId="0" borderId="0">
      <protection locked="0"/>
    </xf>
    <xf numFmtId="0" fontId="117" fillId="0" borderId="218">
      <alignment horizontal="centerContinuous" vertical="center"/>
    </xf>
    <xf numFmtId="0" fontId="117" fillId="0" borderId="218">
      <alignment horizontal="centerContinuous" vertical="center"/>
    </xf>
    <xf numFmtId="0" fontId="159" fillId="0" borderId="158" applyNumberFormat="0" applyFill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0" fontId="159" fillId="0" borderId="158" applyNumberFormat="0" applyFill="0" applyAlignment="0" applyProtection="0">
      <alignment vertical="center"/>
    </xf>
    <xf numFmtId="230" fontId="6" fillId="0" borderId="196">
      <alignment vertical="center"/>
    </xf>
    <xf numFmtId="230" fontId="6" fillId="0" borderId="196">
      <alignment vertical="center"/>
    </xf>
    <xf numFmtId="191" fontId="6" fillId="0" borderId="196">
      <alignment vertical="center"/>
    </xf>
    <xf numFmtId="191" fontId="6" fillId="0" borderId="196">
      <alignment vertical="center"/>
    </xf>
    <xf numFmtId="237" fontId="6" fillId="0" borderId="181">
      <alignment vertical="center"/>
    </xf>
    <xf numFmtId="237" fontId="6" fillId="0" borderId="181">
      <alignment vertical="center"/>
    </xf>
    <xf numFmtId="238" fontId="6" fillId="0" borderId="181">
      <alignment vertical="center"/>
    </xf>
    <xf numFmtId="238" fontId="6" fillId="0" borderId="181">
      <alignment vertical="center"/>
    </xf>
    <xf numFmtId="238" fontId="6" fillId="0" borderId="181">
      <alignment vertical="center"/>
    </xf>
    <xf numFmtId="238" fontId="6" fillId="0" borderId="181">
      <alignment vertical="center"/>
    </xf>
    <xf numFmtId="236" fontId="6" fillId="0" borderId="181">
      <alignment vertical="center"/>
    </xf>
    <xf numFmtId="236" fontId="6" fillId="0" borderId="181">
      <alignment vertical="center"/>
    </xf>
    <xf numFmtId="236" fontId="6" fillId="0" borderId="181">
      <alignment vertical="center"/>
    </xf>
    <xf numFmtId="236" fontId="6" fillId="0" borderId="181">
      <alignment vertical="center"/>
    </xf>
    <xf numFmtId="236" fontId="6" fillId="0" borderId="181">
      <alignment vertical="center"/>
    </xf>
    <xf numFmtId="241" fontId="6" fillId="0" borderId="181">
      <alignment horizontal="right" vertical="center"/>
    </xf>
    <xf numFmtId="241" fontId="6" fillId="0" borderId="181">
      <alignment horizontal="right" vertical="center"/>
    </xf>
    <xf numFmtId="218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30" fontId="6" fillId="0" borderId="196">
      <alignment vertical="center"/>
    </xf>
    <xf numFmtId="0" fontId="9" fillId="0" borderId="187">
      <alignment horizontal="distributed"/>
    </xf>
    <xf numFmtId="0" fontId="9" fillId="0" borderId="187">
      <alignment horizontal="distributed"/>
    </xf>
    <xf numFmtId="236" fontId="6" fillId="0" borderId="181">
      <alignment vertical="center"/>
    </xf>
    <xf numFmtId="237" fontId="6" fillId="0" borderId="181">
      <alignment vertical="center"/>
    </xf>
    <xf numFmtId="241" fontId="6" fillId="0" borderId="181">
      <alignment horizontal="right" vertical="center"/>
    </xf>
    <xf numFmtId="257" fontId="117" fillId="0" borderId="196" applyBorder="0">
      <alignment horizontal="left" vertical="center"/>
    </xf>
    <xf numFmtId="0" fontId="134" fillId="0" borderId="196">
      <alignment vertical="center"/>
    </xf>
    <xf numFmtId="49" fontId="60" fillId="0" borderId="153" applyNumberFormat="0" applyAlignment="0"/>
    <xf numFmtId="0" fontId="160" fillId="12" borderId="156" applyNumberFormat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0" fillId="12" borderId="156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0" fontId="165" fillId="22" borderId="155" applyNumberFormat="0" applyAlignment="0" applyProtection="0">
      <alignment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200" fontId="6" fillId="0" borderId="196">
      <alignment vertical="center"/>
    </xf>
    <xf numFmtId="191" fontId="6" fillId="0" borderId="172">
      <alignment vertical="center"/>
    </xf>
    <xf numFmtId="230" fontId="6" fillId="0" borderId="172">
      <alignment vertical="center"/>
    </xf>
    <xf numFmtId="200" fontId="6" fillId="0" borderId="172">
      <alignment vertical="center"/>
    </xf>
    <xf numFmtId="200" fontId="6" fillId="0" borderId="172">
      <alignment vertical="center"/>
    </xf>
    <xf numFmtId="200" fontId="6" fillId="0" borderId="172">
      <alignment vertical="center"/>
    </xf>
    <xf numFmtId="191" fontId="6" fillId="0" borderId="172">
      <alignment vertical="center"/>
    </xf>
    <xf numFmtId="191" fontId="6" fillId="0" borderId="172">
      <alignment vertical="center"/>
    </xf>
    <xf numFmtId="41" fontId="135" fillId="0" borderId="160" applyNumberFormat="0">
      <alignment vertical="center"/>
    </xf>
    <xf numFmtId="185" fontId="235" fillId="0" borderId="148"/>
    <xf numFmtId="193" fontId="23" fillId="0" borderId="0">
      <protection locked="0"/>
    </xf>
    <xf numFmtId="3" fontId="57" fillId="0" borderId="208"/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117" fillId="0" borderId="218">
      <alignment horizontal="centerContinuous" vertical="center"/>
    </xf>
    <xf numFmtId="0" fontId="117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82" fillId="0" borderId="216"/>
    <xf numFmtId="191" fontId="6" fillId="0" borderId="181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191" fontId="6" fillId="0" borderId="181">
      <alignment vertical="center"/>
    </xf>
    <xf numFmtId="231" fontId="117" fillId="0" borderId="181">
      <alignment vertical="center"/>
    </xf>
    <xf numFmtId="338" fontId="19" fillId="0" borderId="181"/>
    <xf numFmtId="338" fontId="19" fillId="0" borderId="181"/>
    <xf numFmtId="338" fontId="19" fillId="0" borderId="181"/>
    <xf numFmtId="338" fontId="19" fillId="0" borderId="181"/>
    <xf numFmtId="338" fontId="19" fillId="0" borderId="181"/>
    <xf numFmtId="185" fontId="9" fillId="0" borderId="181">
      <alignment horizontal="center" vertical="center"/>
    </xf>
    <xf numFmtId="0" fontId="9" fillId="0" borderId="180">
      <alignment horizontal="distributed"/>
    </xf>
    <xf numFmtId="0" fontId="9" fillId="0" borderId="180">
      <alignment horizontal="distributed"/>
    </xf>
    <xf numFmtId="0" fontId="9" fillId="0" borderId="181">
      <alignment horizontal="distributed" vertical="center"/>
    </xf>
    <xf numFmtId="256" fontId="117" fillId="0" borderId="181" applyBorder="0">
      <alignment vertical="center"/>
    </xf>
    <xf numFmtId="256" fontId="117" fillId="0" borderId="181" applyBorder="0">
      <alignment vertical="center"/>
    </xf>
    <xf numFmtId="256" fontId="117" fillId="0" borderId="181" applyBorder="0">
      <alignment vertical="center"/>
    </xf>
    <xf numFmtId="256" fontId="117" fillId="0" borderId="181" applyBorder="0">
      <alignment vertical="center"/>
    </xf>
    <xf numFmtId="0" fontId="165" fillId="22" borderId="167" applyNumberFormat="0" applyAlignment="0" applyProtection="0">
      <alignment vertical="center"/>
    </xf>
    <xf numFmtId="234" fontId="117" fillId="0" borderId="216">
      <alignment vertical="center"/>
    </xf>
    <xf numFmtId="0" fontId="41" fillId="0" borderId="197">
      <alignment horizontal="left" vertical="center"/>
    </xf>
    <xf numFmtId="230" fontId="6" fillId="0" borderId="181">
      <alignment vertical="center"/>
    </xf>
    <xf numFmtId="242" fontId="6" fillId="0" borderId="172">
      <alignment horizontal="right" vertical="center"/>
    </xf>
    <xf numFmtId="238" fontId="6" fillId="0" borderId="172">
      <alignment vertical="center"/>
    </xf>
    <xf numFmtId="191" fontId="6" fillId="0" borderId="196">
      <alignment vertical="center"/>
    </xf>
    <xf numFmtId="0" fontId="6" fillId="0" borderId="198">
      <alignment horizontal="centerContinuous" vertical="center"/>
    </xf>
    <xf numFmtId="0" fontId="6" fillId="0" borderId="198">
      <alignment horizontal="centerContinuous" vertical="center"/>
    </xf>
    <xf numFmtId="185" fontId="9" fillId="0" borderId="208">
      <alignment horizontal="center" vertical="center"/>
    </xf>
    <xf numFmtId="338" fontId="19" fillId="0" borderId="208"/>
    <xf numFmtId="238" fontId="6" fillId="0" borderId="196">
      <alignment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0" fontId="224" fillId="0" borderId="218">
      <alignment horizontal="centerContinuous" vertical="center"/>
    </xf>
    <xf numFmtId="186" fontId="14" fillId="0" borderId="221"/>
    <xf numFmtId="249" fontId="6" fillId="0" borderId="181">
      <alignment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0" fontId="94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239" fontId="117" fillId="0" borderId="216">
      <alignment horizontal="right" vertical="center"/>
    </xf>
    <xf numFmtId="0" fontId="41" fillId="0" borderId="217">
      <alignment horizontal="left" vertical="center"/>
    </xf>
    <xf numFmtId="0" fontId="56" fillId="0" borderId="196"/>
    <xf numFmtId="3" fontId="56" fillId="0" borderId="196"/>
    <xf numFmtId="41" fontId="56" fillId="0" borderId="196" applyNumberFormat="0" applyFont="0" applyFill="0" applyBorder="0" applyProtection="0">
      <alignment horizontal="distributed"/>
    </xf>
    <xf numFmtId="41" fontId="56" fillId="0" borderId="196" applyNumberFormat="0" applyFont="0" applyFill="0" applyBorder="0" applyProtection="0">
      <alignment horizontal="distributed"/>
    </xf>
    <xf numFmtId="244" fontId="117" fillId="0" borderId="196">
      <alignment vertical="center"/>
    </xf>
    <xf numFmtId="244" fontId="117" fillId="0" borderId="196">
      <alignment vertical="center"/>
    </xf>
    <xf numFmtId="0" fontId="94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165" fillId="22" borderId="167" applyNumberFormat="0" applyAlignment="0" applyProtection="0">
      <alignment vertical="center"/>
    </xf>
    <xf numFmtId="0" fontId="165" fillId="22" borderId="167" applyNumberFormat="0" applyAlignment="0" applyProtection="0">
      <alignment vertical="center"/>
    </xf>
    <xf numFmtId="0" fontId="165" fillId="22" borderId="167" applyNumberFormat="0" applyAlignment="0" applyProtection="0">
      <alignment vertical="center"/>
    </xf>
    <xf numFmtId="0" fontId="134" fillId="0" borderId="172">
      <alignment vertical="center"/>
    </xf>
    <xf numFmtId="200" fontId="6" fillId="0" borderId="196">
      <alignment vertical="center"/>
    </xf>
    <xf numFmtId="191" fontId="6" fillId="0" borderId="196">
      <alignment vertical="center"/>
    </xf>
    <xf numFmtId="191" fontId="6" fillId="0" borderId="196">
      <alignment vertical="center"/>
    </xf>
    <xf numFmtId="230" fontId="6" fillId="0" borderId="196">
      <alignment vertical="center"/>
    </xf>
    <xf numFmtId="200" fontId="6" fillId="0" borderId="196">
      <alignment vertical="center"/>
    </xf>
    <xf numFmtId="191" fontId="6" fillId="0" borderId="196">
      <alignment vertical="center"/>
    </xf>
    <xf numFmtId="191" fontId="6" fillId="0" borderId="196">
      <alignment vertical="center"/>
    </xf>
    <xf numFmtId="191" fontId="6" fillId="0" borderId="196">
      <alignment vertical="center"/>
    </xf>
    <xf numFmtId="191" fontId="6" fillId="0" borderId="196">
      <alignment vertical="center"/>
    </xf>
    <xf numFmtId="206" fontId="6" fillId="0" borderId="172">
      <alignment vertical="center"/>
    </xf>
    <xf numFmtId="240" fontId="6" fillId="0" borderId="172">
      <alignment horizontal="right" vertical="center"/>
    </xf>
    <xf numFmtId="242" fontId="6" fillId="0" borderId="172">
      <alignment horizontal="right" vertical="center"/>
    </xf>
    <xf numFmtId="241" fontId="6" fillId="0" borderId="172">
      <alignment horizontal="right" vertical="center"/>
    </xf>
    <xf numFmtId="241" fontId="6" fillId="0" borderId="172">
      <alignment horizontal="right" vertical="center"/>
    </xf>
    <xf numFmtId="240" fontId="6" fillId="0" borderId="172">
      <alignment horizontal="right" vertical="center"/>
    </xf>
    <xf numFmtId="240" fontId="6" fillId="0" borderId="172">
      <alignment horizontal="right" vertical="center"/>
    </xf>
    <xf numFmtId="236" fontId="6" fillId="0" borderId="172">
      <alignment vertical="center"/>
    </xf>
    <xf numFmtId="238" fontId="6" fillId="0" borderId="172">
      <alignment vertical="center"/>
    </xf>
    <xf numFmtId="237" fontId="6" fillId="0" borderId="172">
      <alignment vertical="center"/>
    </xf>
    <xf numFmtId="237" fontId="6" fillId="0" borderId="172">
      <alignment vertical="center"/>
    </xf>
    <xf numFmtId="235" fontId="117" fillId="0" borderId="172">
      <alignment vertical="center"/>
    </xf>
    <xf numFmtId="185" fontId="235" fillId="0" borderId="160"/>
    <xf numFmtId="241" fontId="6" fillId="0" borderId="181">
      <alignment horizontal="right" vertical="center"/>
    </xf>
    <xf numFmtId="176" fontId="6" fillId="0" borderId="181">
      <alignment vertical="center"/>
    </xf>
    <xf numFmtId="176" fontId="6" fillId="0" borderId="181">
      <alignment vertical="center"/>
    </xf>
    <xf numFmtId="176" fontId="6" fillId="0" borderId="181">
      <alignment vertical="center"/>
    </xf>
    <xf numFmtId="176" fontId="6" fillId="0" borderId="181">
      <alignment vertical="center"/>
    </xf>
    <xf numFmtId="206" fontId="6" fillId="0" borderId="181">
      <alignment vertical="center"/>
    </xf>
    <xf numFmtId="206" fontId="6" fillId="0" borderId="181">
      <alignment vertical="center"/>
    </xf>
    <xf numFmtId="206" fontId="6" fillId="0" borderId="181">
      <alignment vertical="center"/>
    </xf>
    <xf numFmtId="206" fontId="6" fillId="0" borderId="181">
      <alignment vertical="center"/>
    </xf>
    <xf numFmtId="218" fontId="6" fillId="0" borderId="181">
      <alignment vertical="center"/>
    </xf>
    <xf numFmtId="218" fontId="6" fillId="0" borderId="181">
      <alignment vertical="center"/>
    </xf>
    <xf numFmtId="218" fontId="6" fillId="0" borderId="181">
      <alignment vertical="center"/>
    </xf>
    <xf numFmtId="249" fontId="6" fillId="0" borderId="181">
      <alignment vertical="center"/>
    </xf>
    <xf numFmtId="249" fontId="6" fillId="0" borderId="181">
      <alignment vertical="center"/>
    </xf>
    <xf numFmtId="249" fontId="6" fillId="0" borderId="181">
      <alignment vertical="center"/>
    </xf>
    <xf numFmtId="249" fontId="6" fillId="0" borderId="181">
      <alignment vertical="center"/>
    </xf>
    <xf numFmtId="249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200" fontId="6" fillId="0" borderId="181">
      <alignment vertical="center"/>
    </xf>
    <xf numFmtId="0" fontId="232" fillId="0" borderId="172" applyFont="0" applyFill="0" applyBorder="0" applyAlignment="0" applyProtection="0">
      <alignment horizontal="centerContinuous" vertical="center"/>
    </xf>
    <xf numFmtId="231" fontId="117" fillId="0" borderId="196">
      <alignment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322" fontId="9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6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117" fillId="0" borderId="186">
      <alignment horizontal="centerContinuous" vertical="center"/>
    </xf>
    <xf numFmtId="0" fontId="57" fillId="28" borderId="205" applyNumberFormat="0" applyFont="0" applyAlignment="0" applyProtection="0">
      <alignment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22" fontId="9" fillId="0" borderId="183">
      <alignment horizontal="centerContinuous" vertical="center"/>
    </xf>
    <xf numFmtId="3" fontId="56" fillId="0" borderId="208"/>
    <xf numFmtId="0" fontId="94" fillId="0" borderId="186">
      <alignment horizontal="centerContinuous" vertical="center"/>
    </xf>
    <xf numFmtId="0" fontId="94" fillId="0" borderId="186">
      <alignment horizontal="centerContinuous" vertical="center"/>
    </xf>
    <xf numFmtId="0" fontId="6" fillId="0" borderId="181">
      <alignment vertical="center"/>
    </xf>
    <xf numFmtId="176" fontId="6" fillId="0" borderId="181">
      <alignment vertical="center"/>
    </xf>
    <xf numFmtId="176" fontId="6" fillId="0" borderId="181">
      <alignment vertical="center"/>
    </xf>
    <xf numFmtId="3" fontId="57" fillId="0" borderId="196"/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3" fontId="57" fillId="0" borderId="196"/>
    <xf numFmtId="3" fontId="57" fillId="0" borderId="196"/>
    <xf numFmtId="3" fontId="57" fillId="0" borderId="196"/>
    <xf numFmtId="0" fontId="6" fillId="28" borderId="193" applyNumberFormat="0" applyFon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0" fontId="54" fillId="28" borderId="224" applyNumberFormat="0" applyFont="0" applyAlignment="0" applyProtection="0">
      <alignment vertical="center"/>
    </xf>
    <xf numFmtId="218" fontId="9" fillId="0" borderId="218">
      <alignment horizontal="centerContinuous" vertical="center"/>
    </xf>
    <xf numFmtId="338" fontId="19" fillId="0" borderId="216"/>
    <xf numFmtId="0" fontId="9" fillId="0" borderId="219">
      <alignment horizontal="distributed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322" fontId="9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94" fillId="0" borderId="218">
      <alignment horizontal="centerContinuous" vertical="center"/>
    </xf>
    <xf numFmtId="0" fontId="56" fillId="0" borderId="216"/>
    <xf numFmtId="49" fontId="60" fillId="0" borderId="174" applyNumberFormat="0" applyAlignment="0"/>
    <xf numFmtId="0" fontId="160" fillId="12" borderId="177" applyNumberFormat="0" applyAlignment="0" applyProtection="0">
      <alignment vertical="center"/>
    </xf>
    <xf numFmtId="0" fontId="160" fillId="12" borderId="177" applyNumberFormat="0" applyAlignment="0" applyProtection="0">
      <alignment vertical="center"/>
    </xf>
    <xf numFmtId="0" fontId="160" fillId="12" borderId="177" applyNumberFormat="0" applyAlignment="0" applyProtection="0">
      <alignment vertical="center"/>
    </xf>
    <xf numFmtId="0" fontId="160" fillId="12" borderId="177" applyNumberFormat="0" applyAlignment="0" applyProtection="0">
      <alignment vertical="center"/>
    </xf>
    <xf numFmtId="0" fontId="160" fillId="12" borderId="177" applyNumberFormat="0" applyAlignment="0" applyProtection="0">
      <alignment vertical="center"/>
    </xf>
    <xf numFmtId="0" fontId="160" fillId="12" borderId="177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165" fillId="22" borderId="176" applyNumberFormat="0" applyAlignment="0" applyProtection="0">
      <alignment vertical="center"/>
    </xf>
    <xf numFmtId="0" fontId="41" fillId="0" borderId="217">
      <alignment horizontal="left" vertical="center"/>
    </xf>
    <xf numFmtId="41" fontId="9" fillId="0" borderId="181">
      <alignment horizontal="center" vertical="center"/>
    </xf>
    <xf numFmtId="176" fontId="6" fillId="0" borderId="181">
      <alignment vertical="center"/>
    </xf>
    <xf numFmtId="41" fontId="135" fillId="0" borderId="172" applyNumberFormat="0">
      <alignment vertical="center"/>
    </xf>
    <xf numFmtId="240" fontId="6" fillId="0" borderId="181">
      <alignment horizontal="right" vertical="center"/>
    </xf>
    <xf numFmtId="338" fontId="19" fillId="0" borderId="196"/>
    <xf numFmtId="338" fontId="19" fillId="0" borderId="196"/>
    <xf numFmtId="0" fontId="9" fillId="0" borderId="199">
      <alignment horizontal="distributed"/>
    </xf>
    <xf numFmtId="0" fontId="9" fillId="0" borderId="199">
      <alignment horizontal="distributed"/>
    </xf>
    <xf numFmtId="0" fontId="9" fillId="0" borderId="199">
      <alignment horizontal="distributed"/>
    </xf>
    <xf numFmtId="0" fontId="9" fillId="0" borderId="199">
      <alignment horizontal="distributed"/>
    </xf>
    <xf numFmtId="0" fontId="9" fillId="0" borderId="196">
      <alignment horizontal="distributed" vertical="center"/>
    </xf>
    <xf numFmtId="0" fontId="9" fillId="0" borderId="196">
      <alignment horizontal="distributed" vertical="center"/>
    </xf>
    <xf numFmtId="0" fontId="94" fillId="0" borderId="198">
      <alignment horizontal="centerContinuous" vertical="center"/>
    </xf>
    <xf numFmtId="0" fontId="94" fillId="0" borderId="198">
      <alignment horizontal="centerContinuous" vertical="center"/>
    </xf>
    <xf numFmtId="218" fontId="6" fillId="0" borderId="181">
      <alignment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338" fontId="19" fillId="0" borderId="208"/>
    <xf numFmtId="338" fontId="19" fillId="0" borderId="208"/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6" fillId="0" borderId="218">
      <alignment horizontal="centerContinuous" vertical="center"/>
    </xf>
    <xf numFmtId="0" fontId="159" fillId="0" borderId="215" applyNumberFormat="0" applyFill="0" applyAlignment="0" applyProtection="0">
      <alignment vertical="center"/>
    </xf>
    <xf numFmtId="0" fontId="159" fillId="0" borderId="215" applyNumberFormat="0" applyFill="0" applyAlignment="0" applyProtection="0">
      <alignment vertical="center"/>
    </xf>
    <xf numFmtId="0" fontId="159" fillId="0" borderId="215" applyNumberFormat="0" applyFill="0" applyAlignment="0" applyProtection="0">
      <alignment vertical="center"/>
    </xf>
    <xf numFmtId="0" fontId="159" fillId="0" borderId="215" applyNumberFormat="0" applyFill="0" applyAlignment="0" applyProtection="0">
      <alignment vertical="center"/>
    </xf>
    <xf numFmtId="0" fontId="57" fillId="28" borderId="214" applyNumberFormat="0" applyFont="0" applyAlignment="0" applyProtection="0">
      <alignment vertical="center"/>
    </xf>
    <xf numFmtId="0" fontId="57" fillId="28" borderId="214" applyNumberFormat="0" applyFont="0" applyAlignment="0" applyProtection="0">
      <alignment vertical="center"/>
    </xf>
    <xf numFmtId="0" fontId="57" fillId="28" borderId="214" applyNumberFormat="0" applyFont="0" applyAlignment="0" applyProtection="0">
      <alignment vertical="center"/>
    </xf>
    <xf numFmtId="0" fontId="6" fillId="28" borderId="214" applyNumberFormat="0" applyFont="0" applyAlignment="0" applyProtection="0">
      <alignment vertical="center"/>
    </xf>
    <xf numFmtId="185" fontId="9" fillId="0" borderId="216">
      <alignment horizontal="center" vertical="center"/>
    </xf>
    <xf numFmtId="3" fontId="6" fillId="0" borderId="216"/>
    <xf numFmtId="0" fontId="92" fillId="0" borderId="216"/>
    <xf numFmtId="250" fontId="117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49" fontId="6" fillId="0" borderId="196">
      <alignment vertical="center"/>
    </xf>
    <xf numFmtId="249" fontId="6" fillId="0" borderId="196">
      <alignment vertical="center"/>
    </xf>
    <xf numFmtId="249" fontId="6" fillId="0" borderId="196">
      <alignment vertical="center"/>
    </xf>
    <xf numFmtId="249" fontId="6" fillId="0" borderId="196">
      <alignment vertical="center"/>
    </xf>
    <xf numFmtId="249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18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200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0" fontId="6" fillId="0" borderId="196">
      <alignment vertical="center"/>
    </xf>
    <xf numFmtId="0" fontId="6" fillId="0" borderId="196">
      <alignment vertical="center"/>
    </xf>
    <xf numFmtId="0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176" fontId="6" fillId="0" borderId="196">
      <alignment vertical="center"/>
    </xf>
    <xf numFmtId="246" fontId="117" fillId="0" borderId="196">
      <alignment vertical="center"/>
    </xf>
    <xf numFmtId="49" fontId="60" fillId="0" borderId="189" applyNumberFormat="0" applyAlignment="0"/>
    <xf numFmtId="0" fontId="160" fillId="12" borderId="192" applyNumberForma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0" fontId="160" fillId="12" borderId="192" applyNumberFormat="0" applyAlignment="0" applyProtection="0">
      <alignment vertical="center"/>
    </xf>
    <xf numFmtId="238" fontId="6" fillId="0" borderId="196">
      <alignment vertical="center"/>
    </xf>
    <xf numFmtId="238" fontId="6" fillId="0" borderId="196">
      <alignment vertical="center"/>
    </xf>
    <xf numFmtId="238" fontId="6" fillId="0" borderId="196">
      <alignment vertical="center"/>
    </xf>
    <xf numFmtId="238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7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6" fontId="6" fillId="0" borderId="196">
      <alignment vertical="center"/>
    </xf>
    <xf numFmtId="235" fontId="117" fillId="0" borderId="196">
      <alignment vertical="center"/>
    </xf>
    <xf numFmtId="0" fontId="165" fillId="22" borderId="191" applyNumberFormat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0" fontId="165" fillId="22" borderId="191" applyNumberFormat="0" applyAlignment="0" applyProtection="0">
      <alignment vertical="center"/>
    </xf>
    <xf numFmtId="185" fontId="235" fillId="0" borderId="181"/>
    <xf numFmtId="0" fontId="232" fillId="0" borderId="196" applyFont="0" applyFill="0" applyBorder="0" applyAlignment="0" applyProtection="0">
      <alignment horizontal="centerContinuous" vertical="center"/>
    </xf>
    <xf numFmtId="0" fontId="159" fillId="0" borderId="206" applyNumberFormat="0" applyFill="0" applyAlignment="0" applyProtection="0">
      <alignment vertical="center"/>
    </xf>
    <xf numFmtId="0" fontId="159" fillId="0" borderId="206" applyNumberFormat="0" applyFill="0" applyAlignment="0" applyProtection="0">
      <alignment vertical="center"/>
    </xf>
    <xf numFmtId="0" fontId="159" fillId="0" borderId="206" applyNumberFormat="0" applyFill="0" applyAlignment="0" applyProtection="0">
      <alignment vertical="center"/>
    </xf>
    <xf numFmtId="0" fontId="159" fillId="0" borderId="206" applyNumberFormat="0" applyFill="0" applyAlignment="0" applyProtection="0">
      <alignment vertical="center"/>
    </xf>
    <xf numFmtId="0" fontId="159" fillId="0" borderId="206" applyNumberFormat="0" applyFill="0" applyAlignment="0" applyProtection="0">
      <alignment vertical="center"/>
    </xf>
    <xf numFmtId="0" fontId="159" fillId="0" borderId="206" applyNumberFormat="0" applyFill="0" applyAlignment="0" applyProtection="0">
      <alignment vertical="center"/>
    </xf>
    <xf numFmtId="0" fontId="50" fillId="3" borderId="197">
      <alignment vertical="center"/>
    </xf>
    <xf numFmtId="49" fontId="60" fillId="0" borderId="201" applyNumberFormat="0" applyAlignment="0"/>
    <xf numFmtId="0" fontId="160" fillId="12" borderId="204" applyNumberFormat="0" applyAlignment="0" applyProtection="0">
      <alignment vertical="center"/>
    </xf>
    <xf numFmtId="0" fontId="160" fillId="12" borderId="204" applyNumberFormat="0" applyAlignment="0" applyProtection="0">
      <alignment vertical="center"/>
    </xf>
    <xf numFmtId="0" fontId="160" fillId="12" borderId="204" applyNumberFormat="0" applyAlignment="0" applyProtection="0">
      <alignment vertical="center"/>
    </xf>
    <xf numFmtId="0" fontId="160" fillId="12" borderId="204" applyNumberFormat="0" applyAlignment="0" applyProtection="0">
      <alignment vertical="center"/>
    </xf>
    <xf numFmtId="0" fontId="160" fillId="12" borderId="204" applyNumberFormat="0" applyAlignment="0" applyProtection="0">
      <alignment vertical="center"/>
    </xf>
    <xf numFmtId="0" fontId="160" fillId="12" borderId="204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0" fontId="165" fillId="22" borderId="203" applyNumberFormat="0" applyAlignment="0" applyProtection="0">
      <alignment vertical="center"/>
    </xf>
    <xf numFmtId="185" fontId="235" fillId="0" borderId="196"/>
    <xf numFmtId="49" fontId="60" fillId="0" borderId="210" applyNumberFormat="0" applyAlignment="0"/>
    <xf numFmtId="0" fontId="160" fillId="12" borderId="213" applyNumberFormat="0" applyAlignment="0" applyProtection="0">
      <alignment vertical="center"/>
    </xf>
    <xf numFmtId="0" fontId="160" fillId="12" borderId="213" applyNumberFormat="0" applyAlignment="0" applyProtection="0">
      <alignment vertical="center"/>
    </xf>
    <xf numFmtId="0" fontId="160" fillId="12" borderId="213" applyNumberFormat="0" applyAlignment="0" applyProtection="0">
      <alignment vertical="center"/>
    </xf>
    <xf numFmtId="0" fontId="160" fillId="12" borderId="213" applyNumberFormat="0" applyAlignment="0" applyProtection="0">
      <alignment vertical="center"/>
    </xf>
    <xf numFmtId="0" fontId="160" fillId="12" borderId="213" applyNumberFormat="0" applyAlignment="0" applyProtection="0">
      <alignment vertical="center"/>
    </xf>
    <xf numFmtId="0" fontId="160" fillId="12" borderId="213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165" fillId="22" borderId="212" applyNumberFormat="0" applyAlignment="0" applyProtection="0">
      <alignment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184" fillId="0" borderId="286" applyFill="0" applyBorder="0" applyProtection="0">
      <alignment vertical="center"/>
    </xf>
    <xf numFmtId="3" fontId="56" fillId="0" borderId="342"/>
    <xf numFmtId="3" fontId="57" fillId="0" borderId="306"/>
    <xf numFmtId="221" fontId="117" fillId="0" borderId="208">
      <alignment vertical="center"/>
    </xf>
    <xf numFmtId="257" fontId="117" fillId="0" borderId="318" applyBorder="0">
      <alignment horizontal="lef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37" fontId="6" fillId="0" borderId="286">
      <alignment vertical="center"/>
    </xf>
    <xf numFmtId="240" fontId="6" fillId="0" borderId="306">
      <alignment horizontal="right" vertical="center"/>
    </xf>
    <xf numFmtId="37" fontId="117" fillId="0" borderId="306">
      <alignment horizontal="center" vertical="distributed"/>
    </xf>
    <xf numFmtId="0" fontId="94" fillId="0" borderId="308">
      <alignment horizontal="centerContinuous" vertical="center"/>
    </xf>
    <xf numFmtId="322" fontId="9" fillId="0" borderId="308">
      <alignment horizontal="centerContinuous" vertical="center"/>
    </xf>
    <xf numFmtId="0" fontId="117" fillId="0" borderId="308">
      <alignment horizontal="centerContinuous" vertical="center"/>
    </xf>
    <xf numFmtId="0" fontId="82" fillId="0" borderId="306"/>
    <xf numFmtId="221" fontId="117" fillId="0" borderId="274">
      <alignment vertical="center"/>
    </xf>
    <xf numFmtId="3" fontId="6" fillId="0" borderId="274"/>
    <xf numFmtId="322" fontId="9" fillId="0" borderId="276">
      <alignment horizontal="centerContinuous" vertical="center"/>
    </xf>
    <xf numFmtId="0" fontId="94" fillId="0" borderId="276">
      <alignment horizontal="centerContinuous" vertical="center"/>
    </xf>
    <xf numFmtId="322" fontId="9" fillId="0" borderId="27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82" fillId="0" borderId="354"/>
    <xf numFmtId="0" fontId="6" fillId="0" borderId="286">
      <alignment vertical="center"/>
    </xf>
    <xf numFmtId="309" fontId="9" fillId="0" borderId="342" applyFill="0" applyBorder="0" applyAlignment="0"/>
    <xf numFmtId="185" fontId="8" fillId="0" borderId="274">
      <alignment vertical="center"/>
    </xf>
    <xf numFmtId="3" fontId="57" fillId="0" borderId="274"/>
    <xf numFmtId="322" fontId="9" fillId="0" borderId="356">
      <alignment horizontal="centerContinuous" vertical="center"/>
    </xf>
    <xf numFmtId="0" fontId="6" fillId="0" borderId="320">
      <alignment horizontal="centerContinuous" vertical="center"/>
    </xf>
    <xf numFmtId="0" fontId="54" fillId="28" borderId="351" applyNumberFormat="0" applyFont="0" applyAlignment="0" applyProtection="0">
      <alignment vertical="center"/>
    </xf>
    <xf numFmtId="0" fontId="92" fillId="0" borderId="330"/>
    <xf numFmtId="238" fontId="6" fillId="0" borderId="318">
      <alignment vertical="center"/>
    </xf>
    <xf numFmtId="0" fontId="160" fillId="12" borderId="314" applyNumberFormat="0" applyAlignment="0" applyProtection="0">
      <alignment vertical="center"/>
    </xf>
    <xf numFmtId="240" fontId="6" fillId="0" borderId="318">
      <alignment horizontal="right" vertical="center"/>
    </xf>
    <xf numFmtId="206" fontId="6" fillId="0" borderId="318">
      <alignment vertical="center"/>
    </xf>
    <xf numFmtId="0" fontId="94" fillId="0" borderId="308">
      <alignment horizontal="centerContinuous" vertical="center"/>
    </xf>
    <xf numFmtId="241" fontId="6" fillId="0" borderId="306">
      <alignment horizontal="right" vertical="center"/>
    </xf>
    <xf numFmtId="240" fontId="6" fillId="0" borderId="286">
      <alignment horizontal="right" vertical="center"/>
    </xf>
    <xf numFmtId="338" fontId="19" fillId="0" borderId="354"/>
    <xf numFmtId="0" fontId="160" fillId="12" borderId="361" applyNumberFormat="0" applyAlignment="0" applyProtection="0">
      <alignment vertical="center"/>
    </xf>
    <xf numFmtId="236" fontId="6" fillId="0" borderId="318">
      <alignment vertical="center"/>
    </xf>
    <xf numFmtId="322" fontId="9" fillId="0" borderId="320">
      <alignment horizontal="centerContinuous" vertical="center"/>
    </xf>
    <xf numFmtId="0" fontId="6" fillId="0" borderId="342">
      <alignment vertical="center"/>
    </xf>
    <xf numFmtId="200" fontId="6" fillId="0" borderId="330">
      <alignment vertical="center"/>
    </xf>
    <xf numFmtId="322" fontId="9" fillId="0" borderId="308">
      <alignment horizontal="centerContinuous"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49" fontId="6" fillId="0" borderId="274">
      <alignment vertical="center"/>
    </xf>
    <xf numFmtId="249" fontId="6" fillId="0" borderId="274">
      <alignment vertical="center"/>
    </xf>
    <xf numFmtId="218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176" fontId="6" fillId="0" borderId="274">
      <alignment vertical="center"/>
    </xf>
    <xf numFmtId="0" fontId="9" fillId="0" borderId="318">
      <alignment horizontal="distributed" vertical="center"/>
    </xf>
    <xf numFmtId="228" fontId="117" fillId="0" borderId="317" applyBorder="0">
      <alignment vertical="center" wrapText="1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42">
      <alignment horizontal="right" vertical="center" shrinkToFit="1"/>
    </xf>
    <xf numFmtId="10" fontId="39" fillId="4" borderId="330" applyNumberFormat="0" applyBorder="0" applyAlignment="0" applyProtection="0"/>
    <xf numFmtId="10" fontId="39" fillId="2" borderId="306" applyNumberFormat="0" applyBorder="0" applyAlignment="0" applyProtection="0"/>
    <xf numFmtId="41" fontId="56" fillId="0" borderId="274" applyNumberFormat="0" applyFont="0" applyFill="0" applyBorder="0" applyProtection="0">
      <alignment horizontal="distributed"/>
    </xf>
    <xf numFmtId="41" fontId="56" fillId="0" borderId="274" applyNumberFormat="0" applyFont="0" applyFill="0" applyBorder="0" applyProtection="0">
      <alignment horizontal="distributed"/>
    </xf>
    <xf numFmtId="3" fontId="56" fillId="0" borderId="274"/>
    <xf numFmtId="3" fontId="56" fillId="0" borderId="274"/>
    <xf numFmtId="191" fontId="6" fillId="0" borderId="286">
      <alignment vertical="center"/>
    </xf>
    <xf numFmtId="10" fontId="39" fillId="4" borderId="354" applyNumberFormat="0" applyBorder="0" applyAlignment="0" applyProtection="0"/>
    <xf numFmtId="191" fontId="6" fillId="0" borderId="286">
      <alignment vertical="center"/>
    </xf>
    <xf numFmtId="191" fontId="6" fillId="0" borderId="286">
      <alignment vertical="center"/>
    </xf>
    <xf numFmtId="0" fontId="57" fillId="28" borderId="283" applyNumberFormat="0" applyFont="0" applyAlignment="0" applyProtection="0">
      <alignment vertical="center"/>
    </xf>
    <xf numFmtId="0" fontId="6" fillId="28" borderId="283" applyNumberFormat="0" applyFont="0" applyAlignment="0" applyProtection="0">
      <alignment vertical="center"/>
    </xf>
    <xf numFmtId="0" fontId="153" fillId="22" borderId="282" applyNumberFormat="0" applyAlignment="0" applyProtection="0">
      <alignment vertical="center"/>
    </xf>
    <xf numFmtId="0" fontId="153" fillId="22" borderId="282" applyNumberFormat="0" applyAlignment="0" applyProtection="0">
      <alignment vertical="center"/>
    </xf>
    <xf numFmtId="0" fontId="153" fillId="22" borderId="282" applyNumberFormat="0" applyAlignment="0" applyProtection="0">
      <alignment vertical="center"/>
    </xf>
    <xf numFmtId="0" fontId="159" fillId="0" borderId="305" applyNumberFormat="0" applyFill="0" applyAlignment="0" applyProtection="0">
      <alignment vertical="center"/>
    </xf>
    <xf numFmtId="218" fontId="9" fillId="0" borderId="356">
      <alignment horizontal="centerContinuous" vertical="center"/>
    </xf>
    <xf numFmtId="191" fontId="6" fillId="0" borderId="286">
      <alignment vertical="center"/>
    </xf>
    <xf numFmtId="249" fontId="6" fillId="0" borderId="286">
      <alignment vertical="center"/>
    </xf>
    <xf numFmtId="249" fontId="6" fillId="0" borderId="286">
      <alignment vertical="center"/>
    </xf>
    <xf numFmtId="0" fontId="153" fillId="22" borderId="282" applyNumberFormat="0" applyAlignment="0" applyProtection="0">
      <alignment vertical="center"/>
    </xf>
    <xf numFmtId="3" fontId="57" fillId="0" borderId="286"/>
    <xf numFmtId="218" fontId="6" fillId="0" borderId="342">
      <alignment vertical="center"/>
    </xf>
    <xf numFmtId="322" fontId="9" fillId="0" borderId="320">
      <alignment horizontal="centerContinuous" vertical="center"/>
    </xf>
    <xf numFmtId="0" fontId="117" fillId="0" borderId="320">
      <alignment horizontal="centerContinuous" vertical="center"/>
    </xf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242" fontId="6" fillId="0" borderId="342">
      <alignment horizontal="right" vertical="center"/>
    </xf>
    <xf numFmtId="241" fontId="6" fillId="0" borderId="342">
      <alignment horizontal="right" vertical="center"/>
    </xf>
    <xf numFmtId="0" fontId="94" fillId="0" borderId="308">
      <alignment horizontal="centerContinuous" vertical="center"/>
    </xf>
    <xf numFmtId="0" fontId="92" fillId="0" borderId="342"/>
    <xf numFmtId="191" fontId="6" fillId="0" borderId="306">
      <alignment vertical="center"/>
    </xf>
    <xf numFmtId="3" fontId="57" fillId="0" borderId="250"/>
    <xf numFmtId="244" fontId="117" fillId="0" borderId="318">
      <alignment vertical="center"/>
    </xf>
    <xf numFmtId="0" fontId="94" fillId="0" borderId="344">
      <alignment horizontal="centerContinuous" vertical="center"/>
    </xf>
    <xf numFmtId="3" fontId="57" fillId="0" borderId="250"/>
    <xf numFmtId="3" fontId="57" fillId="0" borderId="250"/>
    <xf numFmtId="0" fontId="82" fillId="0" borderId="250"/>
    <xf numFmtId="243" fontId="117" fillId="0" borderId="274">
      <alignment vertical="center"/>
    </xf>
    <xf numFmtId="10" fontId="39" fillId="4" borderId="250" applyNumberFormat="0" applyBorder="0" applyAlignment="0" applyProtection="0"/>
    <xf numFmtId="0" fontId="11" fillId="0" borderId="250" applyNumberFormat="0" applyFont="0" applyFill="0" applyAlignment="0" applyProtection="0">
      <alignment horizontal="center" vertical="center"/>
    </xf>
    <xf numFmtId="3" fontId="56" fillId="0" borderId="250"/>
    <xf numFmtId="0" fontId="56" fillId="0" borderId="250"/>
    <xf numFmtId="0" fontId="6" fillId="0" borderId="286">
      <alignment vertical="center"/>
    </xf>
    <xf numFmtId="0" fontId="92" fillId="0" borderId="250"/>
    <xf numFmtId="3" fontId="6" fillId="0" borderId="250"/>
    <xf numFmtId="185" fontId="9" fillId="0" borderId="250">
      <alignment horizontal="center" vertical="center"/>
    </xf>
    <xf numFmtId="200" fontId="77" fillId="0" borderId="250">
      <alignment vertical="center"/>
    </xf>
    <xf numFmtId="176" fontId="6" fillId="0" borderId="306">
      <alignment vertical="center"/>
    </xf>
    <xf numFmtId="238" fontId="6" fillId="0" borderId="262">
      <alignment vertical="center"/>
    </xf>
    <xf numFmtId="200" fontId="6" fillId="0" borderId="286">
      <alignment vertical="center"/>
    </xf>
    <xf numFmtId="0" fontId="6" fillId="0" borderId="250" applyNumberFormat="0" applyFill="0" applyProtection="0">
      <alignment vertical="center"/>
    </xf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218" fontId="9" fillId="0" borderId="308">
      <alignment horizontal="centerContinuous" vertical="center"/>
    </xf>
    <xf numFmtId="200" fontId="77" fillId="0" borderId="306">
      <alignment vertical="center"/>
    </xf>
    <xf numFmtId="0" fontId="160" fillId="12" borderId="314" applyNumberFormat="0" applyAlignment="0" applyProtection="0">
      <alignment vertical="center"/>
    </xf>
    <xf numFmtId="0" fontId="117" fillId="0" borderId="308">
      <alignment horizontal="centerContinuous" vertical="center"/>
    </xf>
    <xf numFmtId="3" fontId="57" fillId="0" borderId="306"/>
    <xf numFmtId="185" fontId="9" fillId="0" borderId="306">
      <alignment horizontal="center" vertical="center"/>
    </xf>
    <xf numFmtId="0" fontId="160" fillId="12" borderId="314" applyNumberFormat="0" applyAlignment="0" applyProtection="0">
      <alignment vertical="center"/>
    </xf>
    <xf numFmtId="0" fontId="6" fillId="0" borderId="332">
      <alignment horizontal="centerContinuous"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238" fontId="6" fillId="0" borderId="330">
      <alignment vertical="center"/>
    </xf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193" fontId="23" fillId="0" borderId="0">
      <protection locked="0"/>
    </xf>
    <xf numFmtId="191" fontId="6" fillId="0" borderId="262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0" fontId="9" fillId="0" borderId="330">
      <alignment horizontal="distributed" vertical="center"/>
    </xf>
    <xf numFmtId="37" fontId="117" fillId="0" borderId="262">
      <alignment horizontal="center" vertical="distributed"/>
    </xf>
    <xf numFmtId="240" fontId="6" fillId="0" borderId="262">
      <alignment horizontal="right" vertical="center"/>
    </xf>
    <xf numFmtId="230" fontId="6" fillId="0" borderId="286">
      <alignment vertical="center"/>
    </xf>
    <xf numFmtId="191" fontId="6" fillId="0" borderId="286">
      <alignment vertical="center"/>
    </xf>
    <xf numFmtId="0" fontId="6" fillId="0" borderId="344">
      <alignment horizontal="centerContinuous" vertical="center"/>
    </xf>
    <xf numFmtId="176" fontId="6" fillId="0" borderId="286">
      <alignment vertical="center"/>
    </xf>
    <xf numFmtId="176" fontId="6" fillId="0" borderId="286">
      <alignment vertical="center"/>
    </xf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0" fontId="50" fillId="3" borderId="343">
      <alignment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322" fontId="9" fillId="0" borderId="332">
      <alignment horizontal="centerContinuous" vertical="center"/>
    </xf>
    <xf numFmtId="200" fontId="6" fillId="0" borderId="306">
      <alignment vertical="center"/>
    </xf>
    <xf numFmtId="309" fontId="9" fillId="0" borderId="262" applyFill="0" applyBorder="0" applyAlignment="0"/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239" fontId="117" fillId="0" borderId="354">
      <alignment horizontal="right" vertical="center"/>
    </xf>
    <xf numFmtId="0" fontId="92" fillId="0" borderId="354"/>
    <xf numFmtId="0" fontId="6" fillId="0" borderId="354">
      <alignment horizontal="right" vertical="center" shrinkToFit="1"/>
    </xf>
    <xf numFmtId="239" fontId="117" fillId="0" borderId="354">
      <alignment horizontal="right" vertical="center"/>
    </xf>
    <xf numFmtId="243" fontId="117" fillId="0" borderId="354">
      <alignment vertical="center"/>
    </xf>
    <xf numFmtId="244" fontId="117" fillId="0" borderId="354">
      <alignment vertical="center"/>
    </xf>
    <xf numFmtId="0" fontId="6" fillId="0" borderId="354">
      <alignment horizontal="right" vertical="center" shrinkToFit="1"/>
    </xf>
    <xf numFmtId="0" fontId="92" fillId="0" borderId="354"/>
    <xf numFmtId="0" fontId="94" fillId="0" borderId="320">
      <alignment horizontal="centerContinuous" vertical="center"/>
    </xf>
    <xf numFmtId="3" fontId="57" fillId="0" borderId="286"/>
    <xf numFmtId="236" fontId="6" fillId="0" borderId="330">
      <alignment vertical="center"/>
    </xf>
    <xf numFmtId="206" fontId="6" fillId="0" borderId="342">
      <alignment vertical="center"/>
    </xf>
    <xf numFmtId="206" fontId="6" fillId="0" borderId="274">
      <alignment vertical="center"/>
    </xf>
    <xf numFmtId="322" fontId="9" fillId="0" borderId="276">
      <alignment horizontal="centerContinuous" vertical="center"/>
    </xf>
    <xf numFmtId="0" fontId="6" fillId="0" borderId="274" applyNumberFormat="0" applyFill="0" applyProtection="0">
      <alignment vertical="center"/>
    </xf>
    <xf numFmtId="322" fontId="9" fillId="0" borderId="276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9" fillId="0" borderId="276">
      <alignment horizontal="centerContinuous" vertical="center"/>
    </xf>
    <xf numFmtId="218" fontId="9" fillId="0" borderId="308">
      <alignment horizontal="centerContinuous" vertical="center"/>
    </xf>
    <xf numFmtId="240" fontId="6" fillId="0" borderId="342">
      <alignment horizontal="right" vertical="center"/>
    </xf>
    <xf numFmtId="3" fontId="56" fillId="0" borderId="354"/>
    <xf numFmtId="234" fontId="117" fillId="0" borderId="298">
      <alignment vertical="center"/>
    </xf>
    <xf numFmtId="243" fontId="117" fillId="0" borderId="298">
      <alignment vertical="center"/>
    </xf>
    <xf numFmtId="238" fontId="6" fillId="0" borderId="286">
      <alignment vertical="center"/>
    </xf>
    <xf numFmtId="176" fontId="6" fillId="0" borderId="262">
      <alignment vertical="center"/>
    </xf>
    <xf numFmtId="41" fontId="56" fillId="0" borderId="298" applyNumberFormat="0" applyFont="0" applyFill="0" applyBorder="0" applyProtection="0">
      <alignment horizontal="distributed"/>
    </xf>
    <xf numFmtId="218" fontId="9" fillId="0" borderId="356">
      <alignment horizontal="centerContinuous" vertical="center"/>
    </xf>
    <xf numFmtId="240" fontId="6" fillId="0" borderId="318">
      <alignment horizontal="right" vertical="center"/>
    </xf>
    <xf numFmtId="0" fontId="6" fillId="0" borderId="318">
      <alignment horizontal="right" vertical="center" shrinkToFit="1"/>
    </xf>
    <xf numFmtId="238" fontId="6" fillId="0" borderId="318">
      <alignment vertical="center"/>
    </xf>
    <xf numFmtId="176" fontId="6" fillId="0" borderId="286">
      <alignment vertical="center"/>
    </xf>
    <xf numFmtId="238" fontId="6" fillId="0" borderId="318">
      <alignment vertical="center"/>
    </xf>
    <xf numFmtId="243" fontId="117" fillId="0" borderId="318">
      <alignment vertical="center"/>
    </xf>
    <xf numFmtId="322" fontId="9" fillId="0" borderId="332">
      <alignment horizontal="centerContinuous" vertical="center"/>
    </xf>
    <xf numFmtId="41" fontId="56" fillId="0" borderId="298" applyNumberFormat="0" applyFont="0" applyFill="0" applyBorder="0" applyProtection="0">
      <alignment horizontal="distributed"/>
    </xf>
    <xf numFmtId="3" fontId="57" fillId="0" borderId="298"/>
    <xf numFmtId="218" fontId="6" fillId="0" borderId="286">
      <alignment vertical="center"/>
    </xf>
    <xf numFmtId="240" fontId="6" fillId="0" borderId="262">
      <alignment horizontal="right" vertical="center"/>
    </xf>
    <xf numFmtId="236" fontId="6" fillId="0" borderId="262">
      <alignment vertical="center"/>
    </xf>
    <xf numFmtId="176" fontId="6" fillId="0" borderId="318">
      <alignment vertical="center"/>
    </xf>
    <xf numFmtId="236" fontId="6" fillId="0" borderId="318">
      <alignment vertical="center"/>
    </xf>
    <xf numFmtId="233" fontId="122" fillId="0" borderId="306" applyFill="0" applyBorder="0" applyAlignment="0"/>
    <xf numFmtId="185" fontId="8" fillId="0" borderId="250">
      <alignment vertical="center"/>
    </xf>
    <xf numFmtId="185" fontId="8" fillId="0" borderId="250">
      <alignment vertical="center"/>
    </xf>
    <xf numFmtId="185" fontId="8" fillId="0" borderId="250">
      <alignment vertical="center"/>
    </xf>
    <xf numFmtId="185" fontId="8" fillId="0" borderId="250">
      <alignment vertical="center"/>
    </xf>
    <xf numFmtId="185" fontId="8" fillId="0" borderId="250">
      <alignment vertical="center"/>
    </xf>
    <xf numFmtId="185" fontId="8" fillId="0" borderId="250">
      <alignment vertical="center"/>
    </xf>
    <xf numFmtId="322" fontId="9" fillId="0" borderId="276">
      <alignment horizontal="centerContinuous" vertical="center"/>
    </xf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3" fontId="57" fillId="0" borderId="250"/>
    <xf numFmtId="240" fontId="6" fillId="0" borderId="342">
      <alignment horizontal="right" vertical="center"/>
    </xf>
    <xf numFmtId="244" fontId="117" fillId="0" borderId="298">
      <alignment vertical="center"/>
    </xf>
    <xf numFmtId="244" fontId="117" fillId="0" borderId="298">
      <alignment vertical="center"/>
    </xf>
    <xf numFmtId="0" fontId="6" fillId="0" borderId="356">
      <alignment horizontal="centerContinuous" vertical="center"/>
    </xf>
    <xf numFmtId="322" fontId="9" fillId="0" borderId="332">
      <alignment horizontal="centerContinuous" vertical="center"/>
    </xf>
    <xf numFmtId="0" fontId="82" fillId="0" borderId="250"/>
    <xf numFmtId="239" fontId="117" fillId="0" borderId="342">
      <alignment horizontal="right" vertical="center"/>
    </xf>
    <xf numFmtId="242" fontId="6" fillId="0" borderId="342">
      <alignment horizontal="right" vertical="center"/>
    </xf>
    <xf numFmtId="0" fontId="6" fillId="0" borderId="276">
      <alignment horizontal="centerContinuous" vertical="center"/>
    </xf>
    <xf numFmtId="230" fontId="6" fillId="0" borderId="306">
      <alignment vertical="center"/>
    </xf>
    <xf numFmtId="243" fontId="117" fillId="0" borderId="274">
      <alignment vertical="center"/>
    </xf>
    <xf numFmtId="10" fontId="39" fillId="2" borderId="250" applyNumberFormat="0" applyBorder="0" applyAlignment="0" applyProtection="0"/>
    <xf numFmtId="10" fontId="39" fillId="2" borderId="250" applyNumberFormat="0" applyBorder="0" applyAlignment="0" applyProtection="0"/>
    <xf numFmtId="10" fontId="39" fillId="2" borderId="250" applyNumberFormat="0" applyBorder="0" applyAlignment="0" applyProtection="0"/>
    <xf numFmtId="10" fontId="39" fillId="2" borderId="250" applyNumberFormat="0" applyBorder="0" applyAlignment="0" applyProtection="0"/>
    <xf numFmtId="10" fontId="39" fillId="2" borderId="250" applyNumberFormat="0" applyBorder="0" applyAlignment="0" applyProtection="0"/>
    <xf numFmtId="10" fontId="39" fillId="4" borderId="250" applyNumberFormat="0" applyBorder="0" applyAlignment="0" applyProtection="0"/>
    <xf numFmtId="234" fontId="117" fillId="0" borderId="250">
      <alignment vertical="center"/>
    </xf>
    <xf numFmtId="234" fontId="117" fillId="0" borderId="250">
      <alignment vertical="center"/>
    </xf>
    <xf numFmtId="234" fontId="117" fillId="0" borderId="250">
      <alignment vertical="center"/>
    </xf>
    <xf numFmtId="234" fontId="117" fillId="0" borderId="250">
      <alignment vertical="center"/>
    </xf>
    <xf numFmtId="234" fontId="117" fillId="0" borderId="250">
      <alignment vertical="center"/>
    </xf>
    <xf numFmtId="234" fontId="117" fillId="0" borderId="250">
      <alignment vertical="center"/>
    </xf>
    <xf numFmtId="239" fontId="117" fillId="0" borderId="250">
      <alignment horizontal="right" vertical="center"/>
    </xf>
    <xf numFmtId="239" fontId="117" fillId="0" borderId="250">
      <alignment horizontal="right" vertical="center"/>
    </xf>
    <xf numFmtId="239" fontId="117" fillId="0" borderId="250">
      <alignment horizontal="right" vertical="center"/>
    </xf>
    <xf numFmtId="239" fontId="117" fillId="0" borderId="250">
      <alignment horizontal="right" vertical="center"/>
    </xf>
    <xf numFmtId="239" fontId="117" fillId="0" borderId="250">
      <alignment horizontal="right" vertical="center"/>
    </xf>
    <xf numFmtId="239" fontId="117" fillId="0" borderId="250">
      <alignment horizontal="right" vertical="center"/>
    </xf>
    <xf numFmtId="243" fontId="117" fillId="0" borderId="250">
      <alignment vertical="center"/>
    </xf>
    <xf numFmtId="243" fontId="117" fillId="0" borderId="250">
      <alignment vertical="center"/>
    </xf>
    <xf numFmtId="243" fontId="117" fillId="0" borderId="250">
      <alignment vertical="center"/>
    </xf>
    <xf numFmtId="243" fontId="117" fillId="0" borderId="250">
      <alignment vertical="center"/>
    </xf>
    <xf numFmtId="243" fontId="117" fillId="0" borderId="250">
      <alignment vertical="center"/>
    </xf>
    <xf numFmtId="243" fontId="117" fillId="0" borderId="250">
      <alignment vertical="center"/>
    </xf>
    <xf numFmtId="244" fontId="117" fillId="0" borderId="250">
      <alignment vertical="center"/>
    </xf>
    <xf numFmtId="244" fontId="117" fillId="0" borderId="250">
      <alignment vertical="center"/>
    </xf>
    <xf numFmtId="244" fontId="117" fillId="0" borderId="250">
      <alignment vertical="center"/>
    </xf>
    <xf numFmtId="244" fontId="117" fillId="0" borderId="250">
      <alignment vertical="center"/>
    </xf>
    <xf numFmtId="244" fontId="117" fillId="0" borderId="250">
      <alignment vertical="center"/>
    </xf>
    <xf numFmtId="244" fontId="117" fillId="0" borderId="250">
      <alignment vertical="center"/>
    </xf>
    <xf numFmtId="236" fontId="6" fillId="0" borderId="286">
      <alignment vertical="center"/>
    </xf>
    <xf numFmtId="256" fontId="117" fillId="0" borderId="318" applyBorder="0">
      <alignment vertical="center"/>
    </xf>
    <xf numFmtId="230" fontId="6" fillId="0" borderId="342">
      <alignment vertical="center"/>
    </xf>
    <xf numFmtId="238" fontId="6" fillId="0" borderId="318">
      <alignment vertical="center"/>
    </xf>
    <xf numFmtId="236" fontId="6" fillId="0" borderId="318">
      <alignment vertical="center"/>
    </xf>
    <xf numFmtId="0" fontId="6" fillId="0" borderId="354">
      <alignment horizontal="right" vertical="center" shrinkToFit="1"/>
    </xf>
    <xf numFmtId="3" fontId="57" fillId="0" borderId="330"/>
    <xf numFmtId="0" fontId="6" fillId="0" borderId="250">
      <alignment horizontal="right" vertical="center" shrinkToFit="1"/>
    </xf>
    <xf numFmtId="0" fontId="6" fillId="0" borderId="250">
      <alignment horizontal="right" vertical="center" shrinkToFit="1"/>
    </xf>
    <xf numFmtId="0" fontId="6" fillId="0" borderId="250">
      <alignment horizontal="right" vertical="center" shrinkToFit="1"/>
    </xf>
    <xf numFmtId="0" fontId="6" fillId="0" borderId="250">
      <alignment horizontal="right" vertical="center" shrinkToFit="1"/>
    </xf>
    <xf numFmtId="0" fontId="6" fillId="0" borderId="250">
      <alignment horizontal="right" vertical="center" shrinkToFit="1"/>
    </xf>
    <xf numFmtId="0" fontId="6" fillId="0" borderId="250">
      <alignment horizontal="right" vertical="center" shrinkToFit="1"/>
    </xf>
    <xf numFmtId="200" fontId="6" fillId="0" borderId="274">
      <alignment vertical="center"/>
    </xf>
    <xf numFmtId="41" fontId="56" fillId="0" borderId="250" applyNumberFormat="0" applyFont="0" applyFill="0" applyBorder="0" applyProtection="0">
      <alignment horizontal="distributed"/>
    </xf>
    <xf numFmtId="41" fontId="56" fillId="0" borderId="250" applyNumberFormat="0" applyFont="0" applyFill="0" applyBorder="0" applyProtection="0">
      <alignment horizontal="distributed"/>
    </xf>
    <xf numFmtId="41" fontId="56" fillId="0" borderId="250" applyNumberFormat="0" applyFont="0" applyFill="0" applyBorder="0" applyProtection="0">
      <alignment horizontal="distributed"/>
    </xf>
    <xf numFmtId="41" fontId="56" fillId="0" borderId="250" applyNumberFormat="0" applyFont="0" applyFill="0" applyBorder="0" applyProtection="0">
      <alignment horizontal="distributed"/>
    </xf>
    <xf numFmtId="41" fontId="56" fillId="0" borderId="250" applyNumberFormat="0" applyFont="0" applyFill="0" applyBorder="0" applyProtection="0">
      <alignment horizontal="distributed"/>
    </xf>
    <xf numFmtId="41" fontId="56" fillId="0" borderId="250" applyNumberFormat="0" applyFont="0" applyFill="0" applyBorder="0" applyProtection="0">
      <alignment horizontal="distributed"/>
    </xf>
    <xf numFmtId="249" fontId="6" fillId="0" borderId="342">
      <alignment vertical="center"/>
    </xf>
    <xf numFmtId="3" fontId="56" fillId="0" borderId="250"/>
    <xf numFmtId="3" fontId="56" fillId="0" borderId="250"/>
    <xf numFmtId="3" fontId="56" fillId="0" borderId="250"/>
    <xf numFmtId="3" fontId="56" fillId="0" borderId="250"/>
    <xf numFmtId="3" fontId="56" fillId="0" borderId="250"/>
    <xf numFmtId="3" fontId="56" fillId="0" borderId="250"/>
    <xf numFmtId="0" fontId="56" fillId="0" borderId="250"/>
    <xf numFmtId="0" fontId="56" fillId="0" borderId="250"/>
    <xf numFmtId="0" fontId="56" fillId="0" borderId="250"/>
    <xf numFmtId="0" fontId="56" fillId="0" borderId="250"/>
    <xf numFmtId="0" fontId="56" fillId="0" borderId="250"/>
    <xf numFmtId="0" fontId="56" fillId="0" borderId="250"/>
    <xf numFmtId="249" fontId="6" fillId="0" borderId="286">
      <alignment vertical="center"/>
    </xf>
    <xf numFmtId="176" fontId="6" fillId="0" borderId="286">
      <alignment vertical="center"/>
    </xf>
    <xf numFmtId="176" fontId="6" fillId="0" borderId="286">
      <alignment vertical="center"/>
    </xf>
    <xf numFmtId="0" fontId="50" fillId="3" borderId="287">
      <alignment vertical="center"/>
    </xf>
    <xf numFmtId="0" fontId="92" fillId="0" borderId="250"/>
    <xf numFmtId="0" fontId="92" fillId="0" borderId="250"/>
    <xf numFmtId="0" fontId="92" fillId="0" borderId="250"/>
    <xf numFmtId="0" fontId="92" fillId="0" borderId="250"/>
    <xf numFmtId="0" fontId="92" fillId="0" borderId="250"/>
    <xf numFmtId="0" fontId="92" fillId="0" borderId="250"/>
    <xf numFmtId="0" fontId="94" fillId="0" borderId="320">
      <alignment horizontal="centerContinuous" vertical="center"/>
    </xf>
    <xf numFmtId="322" fontId="9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322" fontId="9" fillId="0" borderId="320">
      <alignment horizontal="centerContinuous" vertical="center"/>
    </xf>
    <xf numFmtId="218" fontId="9" fillId="0" borderId="332">
      <alignment horizontal="centerContinuous" vertical="center"/>
    </xf>
    <xf numFmtId="236" fontId="6" fillId="0" borderId="286">
      <alignment vertical="center"/>
    </xf>
    <xf numFmtId="0" fontId="94" fillId="0" borderId="344">
      <alignment horizontal="centerContinuous" vertical="center"/>
    </xf>
    <xf numFmtId="256" fontId="117" fillId="0" borderId="250" applyBorder="0">
      <alignment vertical="center"/>
    </xf>
    <xf numFmtId="256" fontId="117" fillId="0" borderId="250" applyBorder="0">
      <alignment vertical="center"/>
    </xf>
    <xf numFmtId="256" fontId="117" fillId="0" borderId="250" applyBorder="0">
      <alignment vertical="center"/>
    </xf>
    <xf numFmtId="256" fontId="117" fillId="0" borderId="250" applyBorder="0">
      <alignment vertical="center"/>
    </xf>
    <xf numFmtId="256" fontId="117" fillId="0" borderId="250" applyBorder="0">
      <alignment vertical="center"/>
    </xf>
    <xf numFmtId="256" fontId="117" fillId="0" borderId="250" applyBorder="0">
      <alignment vertical="center"/>
    </xf>
    <xf numFmtId="0" fontId="9" fillId="0" borderId="250">
      <alignment horizontal="distributed" vertical="center"/>
    </xf>
    <xf numFmtId="0" fontId="9" fillId="0" borderId="250">
      <alignment horizontal="distributed" vertical="center"/>
    </xf>
    <xf numFmtId="0" fontId="9" fillId="0" borderId="250">
      <alignment horizontal="distributed" vertical="center"/>
    </xf>
    <xf numFmtId="0" fontId="9" fillId="0" borderId="250">
      <alignment horizontal="distributed" vertical="center"/>
    </xf>
    <xf numFmtId="0" fontId="9" fillId="0" borderId="250">
      <alignment horizontal="distributed" vertical="center"/>
    </xf>
    <xf numFmtId="0" fontId="9" fillId="0" borderId="250">
      <alignment horizontal="distributed" vertical="center"/>
    </xf>
    <xf numFmtId="200" fontId="6" fillId="0" borderId="342">
      <alignment vertical="center"/>
    </xf>
    <xf numFmtId="338" fontId="19" fillId="0" borderId="318"/>
    <xf numFmtId="244" fontId="117" fillId="0" borderId="286">
      <alignment vertical="center"/>
    </xf>
    <xf numFmtId="3" fontId="57" fillId="0" borderId="286"/>
    <xf numFmtId="0" fontId="94" fillId="0" borderId="356">
      <alignment horizontal="centerContinuous" vertical="center"/>
    </xf>
    <xf numFmtId="185" fontId="9" fillId="0" borderId="250">
      <alignment horizontal="center" vertical="center"/>
    </xf>
    <xf numFmtId="338" fontId="19" fillId="0" borderId="250"/>
    <xf numFmtId="338" fontId="19" fillId="0" borderId="250"/>
    <xf numFmtId="338" fontId="19" fillId="0" borderId="250"/>
    <xf numFmtId="338" fontId="19" fillId="0" borderId="250"/>
    <xf numFmtId="338" fontId="19" fillId="0" borderId="250"/>
    <xf numFmtId="338" fontId="19" fillId="0" borderId="250"/>
    <xf numFmtId="218" fontId="9" fillId="0" borderId="344">
      <alignment horizontal="centerContinuous" vertical="center"/>
    </xf>
    <xf numFmtId="0" fontId="94" fillId="0" borderId="356">
      <alignment horizontal="centerContinuous" vertical="center"/>
    </xf>
    <xf numFmtId="218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250" applyNumberFormat="0" applyFill="0" applyProtection="0">
      <alignment vertical="center"/>
    </xf>
    <xf numFmtId="322" fontId="9" fillId="0" borderId="276">
      <alignment horizontal="centerContinuous" vertical="center"/>
    </xf>
    <xf numFmtId="0" fontId="224" fillId="0" borderId="344">
      <alignment horizontal="centerContinuous" vertical="center"/>
    </xf>
    <xf numFmtId="241" fontId="6" fillId="0" borderId="286">
      <alignment horizontal="right" vertical="center"/>
    </xf>
    <xf numFmtId="0" fontId="94" fillId="0" borderId="332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0" fontId="117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206" fontId="6" fillId="0" borderId="274">
      <alignment vertical="center"/>
    </xf>
    <xf numFmtId="206" fontId="6" fillId="0" borderId="274">
      <alignment vertical="center"/>
    </xf>
    <xf numFmtId="176" fontId="6" fillId="0" borderId="274">
      <alignment vertical="center"/>
    </xf>
    <xf numFmtId="236" fontId="6" fillId="0" borderId="274">
      <alignment vertical="center"/>
    </xf>
    <xf numFmtId="238" fontId="6" fillId="0" borderId="274">
      <alignment vertical="center"/>
    </xf>
    <xf numFmtId="322" fontId="9" fillId="0" borderId="320">
      <alignment horizontal="centerContinuous" vertical="center"/>
    </xf>
    <xf numFmtId="0" fontId="50" fillId="3" borderId="287">
      <alignment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0" fontId="94" fillId="0" borderId="276">
      <alignment horizontal="centerContinuous" vertical="center"/>
    </xf>
    <xf numFmtId="3" fontId="56" fillId="0" borderId="354"/>
    <xf numFmtId="0" fontId="117" fillId="0" borderId="332">
      <alignment horizontal="centerContinuous" vertical="center"/>
    </xf>
    <xf numFmtId="240" fontId="6" fillId="0" borderId="286">
      <alignment horizontal="right" vertical="center"/>
    </xf>
    <xf numFmtId="241" fontId="6" fillId="0" borderId="342">
      <alignment horizontal="right" vertical="center"/>
    </xf>
    <xf numFmtId="249" fontId="6" fillId="0" borderId="274">
      <alignment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94" fillId="0" borderId="276">
      <alignment horizontal="centerContinuous" vertical="center"/>
    </xf>
    <xf numFmtId="0" fontId="9" fillId="0" borderId="276">
      <alignment horizontal="centerContinuous" vertical="center"/>
    </xf>
    <xf numFmtId="322" fontId="9" fillId="0" borderId="276">
      <alignment horizontal="centerContinuous" vertical="center"/>
    </xf>
    <xf numFmtId="243" fontId="117" fillId="0" borderId="330">
      <alignment vertical="center"/>
    </xf>
    <xf numFmtId="10" fontId="39" fillId="4" borderId="286" applyNumberFormat="0" applyBorder="0" applyAlignment="0" applyProtection="0"/>
    <xf numFmtId="238" fontId="6" fillId="0" borderId="318">
      <alignment vertical="center"/>
    </xf>
    <xf numFmtId="0" fontId="6" fillId="0" borderId="306" applyNumberFormat="0" applyFill="0" applyProtection="0">
      <alignment vertical="center"/>
    </xf>
    <xf numFmtId="49" fontId="60" fillId="0" borderId="311" applyNumberFormat="0" applyAlignment="0"/>
    <xf numFmtId="0" fontId="117" fillId="0" borderId="308">
      <alignment horizontal="centerContinuous" vertical="center"/>
    </xf>
    <xf numFmtId="0" fontId="117" fillId="0" borderId="308">
      <alignment horizontal="centerContinuous" vertical="center"/>
    </xf>
    <xf numFmtId="0" fontId="6" fillId="0" borderId="332">
      <alignment horizontal="centerContinuous" vertical="center"/>
    </xf>
    <xf numFmtId="309" fontId="9" fillId="0" borderId="250" applyFill="0" applyBorder="0" applyAlignment="0"/>
    <xf numFmtId="322" fontId="9" fillId="0" borderId="288">
      <alignment horizontal="centerContinuous" vertical="center"/>
    </xf>
    <xf numFmtId="0" fontId="94" fillId="0" borderId="356">
      <alignment horizontal="centerContinuous" vertical="center"/>
    </xf>
    <xf numFmtId="0" fontId="92" fillId="0" borderId="354"/>
    <xf numFmtId="0" fontId="94" fillId="0" borderId="344">
      <alignment horizontal="centerContinuous" vertical="center"/>
    </xf>
    <xf numFmtId="0" fontId="6" fillId="0" borderId="306">
      <alignment vertical="center"/>
    </xf>
    <xf numFmtId="206" fontId="6" fillId="0" borderId="306">
      <alignment vertical="center"/>
    </xf>
    <xf numFmtId="3" fontId="57" fillId="0" borderId="354"/>
    <xf numFmtId="257" fontId="117" fillId="0" borderId="274" applyBorder="0">
      <alignment horizontal="left" vertical="center"/>
    </xf>
    <xf numFmtId="240" fontId="6" fillId="0" borderId="318">
      <alignment horizontal="right" vertical="center"/>
    </xf>
    <xf numFmtId="240" fontId="6" fillId="0" borderId="306">
      <alignment horizontal="right" vertical="center"/>
    </xf>
    <xf numFmtId="200" fontId="6" fillId="0" borderId="286">
      <alignment vertical="center"/>
    </xf>
    <xf numFmtId="10" fontId="39" fillId="4" borderId="262" applyNumberFormat="0" applyBorder="0" applyAlignment="0" applyProtection="0"/>
    <xf numFmtId="185" fontId="8" fillId="0" borderId="318">
      <alignment vertical="center"/>
    </xf>
    <xf numFmtId="0" fontId="50" fillId="3" borderId="319">
      <alignment vertical="center"/>
    </xf>
    <xf numFmtId="200" fontId="6" fillId="0" borderId="318">
      <alignment vertical="center"/>
    </xf>
    <xf numFmtId="230" fontId="6" fillId="0" borderId="330">
      <alignment vertical="center"/>
    </xf>
    <xf numFmtId="49" fontId="117" fillId="0" borderId="342">
      <alignment horizontal="center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9" fillId="0" borderId="308">
      <alignment horizontal="centerContinuous" vertical="center"/>
    </xf>
    <xf numFmtId="0" fontId="94" fillId="0" borderId="356">
      <alignment horizontal="centerContinuous" vertical="center"/>
    </xf>
    <xf numFmtId="218" fontId="9" fillId="0" borderId="332">
      <alignment horizontal="centerContinuous" vertical="center"/>
    </xf>
    <xf numFmtId="191" fontId="6" fillId="0" borderId="342">
      <alignment vertical="center"/>
    </xf>
    <xf numFmtId="0" fontId="94" fillId="0" borderId="332">
      <alignment horizontal="centerContinuous" vertical="center"/>
    </xf>
    <xf numFmtId="185" fontId="8" fillId="0" borderId="330">
      <alignment vertical="center"/>
    </xf>
    <xf numFmtId="10" fontId="39" fillId="4" borderId="250" applyNumberFormat="0" applyBorder="0" applyAlignment="0" applyProtection="0"/>
    <xf numFmtId="0" fontId="224" fillId="0" borderId="276">
      <alignment horizontal="centerContinuous" vertical="center"/>
    </xf>
    <xf numFmtId="230" fontId="6" fillId="0" borderId="330">
      <alignment vertical="center"/>
    </xf>
    <xf numFmtId="239" fontId="117" fillId="0" borderId="306">
      <alignment horizontal="right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0" fontId="153" fillId="22" borderId="270" applyNumberFormat="0" applyAlignment="0" applyProtection="0">
      <alignment vertical="center"/>
    </xf>
    <xf numFmtId="0" fontId="153" fillId="22" borderId="270" applyNumberFormat="0" applyAlignment="0" applyProtection="0">
      <alignment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" fillId="0" borderId="308">
      <alignment horizontal="centerContinuous" vertical="center"/>
    </xf>
    <xf numFmtId="0" fontId="6" fillId="28" borderId="271" applyNumberFormat="0" applyFont="0" applyAlignment="0" applyProtection="0">
      <alignment vertical="center"/>
    </xf>
    <xf numFmtId="0" fontId="57" fillId="28" borderId="271" applyNumberFormat="0" applyFont="0" applyAlignment="0" applyProtection="0">
      <alignment vertical="center"/>
    </xf>
    <xf numFmtId="0" fontId="57" fillId="28" borderId="271" applyNumberFormat="0" applyFon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322" fontId="9" fillId="0" borderId="344">
      <alignment horizontal="centerContinuous" vertical="center"/>
    </xf>
    <xf numFmtId="200" fontId="6" fillId="0" borderId="274">
      <alignment vertical="center"/>
    </xf>
    <xf numFmtId="0" fontId="6" fillId="28" borderId="247" applyNumberFormat="0" applyFont="0" applyAlignment="0" applyProtection="0">
      <alignment vertical="center"/>
    </xf>
    <xf numFmtId="0" fontId="57" fillId="28" borderId="247" applyNumberFormat="0" applyFont="0" applyAlignment="0" applyProtection="0">
      <alignment vertical="center"/>
    </xf>
    <xf numFmtId="0" fontId="57" fillId="28" borderId="247" applyNumberFormat="0" applyFont="0" applyAlignment="0" applyProtection="0">
      <alignment vertical="center"/>
    </xf>
    <xf numFmtId="0" fontId="57" fillId="28" borderId="247" applyNumberFormat="0" applyFont="0" applyAlignment="0" applyProtection="0">
      <alignment vertical="center"/>
    </xf>
    <xf numFmtId="0" fontId="57" fillId="28" borderId="247" applyNumberFormat="0" applyFont="0" applyAlignment="0" applyProtection="0">
      <alignment vertical="center"/>
    </xf>
    <xf numFmtId="185" fontId="9" fillId="0" borderId="298">
      <alignment horizontal="center" vertical="center"/>
    </xf>
    <xf numFmtId="239" fontId="117" fillId="0" borderId="330">
      <alignment horizontal="right" vertical="center"/>
    </xf>
    <xf numFmtId="0" fontId="94" fillId="0" borderId="356">
      <alignment horizontal="centerContinuous" vertical="center"/>
    </xf>
    <xf numFmtId="239" fontId="117" fillId="0" borderId="318">
      <alignment horizontal="right" vertical="center"/>
    </xf>
    <xf numFmtId="49" fontId="117" fillId="0" borderId="250">
      <alignment horizontal="center" vertical="center"/>
    </xf>
    <xf numFmtId="218" fontId="6" fillId="0" borderId="250">
      <alignment vertical="center"/>
    </xf>
    <xf numFmtId="176" fontId="6" fillId="0" borderId="250">
      <alignment vertical="center"/>
    </xf>
    <xf numFmtId="200" fontId="6" fillId="0" borderId="250">
      <alignment vertical="center"/>
    </xf>
    <xf numFmtId="176" fontId="6" fillId="0" borderId="250">
      <alignment vertical="center"/>
    </xf>
    <xf numFmtId="218" fontId="6" fillId="0" borderId="250">
      <alignment vertical="center"/>
    </xf>
    <xf numFmtId="206" fontId="6" fillId="0" borderId="250">
      <alignment vertical="center"/>
    </xf>
    <xf numFmtId="249" fontId="6" fillId="0" borderId="250">
      <alignment vertical="center"/>
    </xf>
    <xf numFmtId="191" fontId="6" fillId="0" borderId="250">
      <alignment vertical="center"/>
    </xf>
    <xf numFmtId="176" fontId="6" fillId="0" borderId="286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230" fontId="6" fillId="0" borderId="250">
      <alignment vertical="center"/>
    </xf>
    <xf numFmtId="191" fontId="6" fillId="0" borderId="250">
      <alignment vertical="center"/>
    </xf>
    <xf numFmtId="230" fontId="6" fillId="0" borderId="250">
      <alignment vertical="center"/>
    </xf>
    <xf numFmtId="0" fontId="153" fillId="22" borderId="303" applyNumberFormat="0" applyAlignment="0" applyProtection="0">
      <alignment vertical="center"/>
    </xf>
    <xf numFmtId="3" fontId="57" fillId="0" borderId="298"/>
    <xf numFmtId="236" fontId="6" fillId="0" borderId="274">
      <alignment vertical="center"/>
    </xf>
    <xf numFmtId="322" fontId="9" fillId="0" borderId="344">
      <alignment horizontal="centerContinuous" vertical="center"/>
    </xf>
    <xf numFmtId="206" fontId="6" fillId="0" borderId="250">
      <alignment vertical="center"/>
    </xf>
    <xf numFmtId="249" fontId="6" fillId="0" borderId="250">
      <alignment vertical="center"/>
    </xf>
    <xf numFmtId="322" fontId="9" fillId="0" borderId="344">
      <alignment horizontal="centerContinuous" vertical="center"/>
    </xf>
    <xf numFmtId="240" fontId="6" fillId="0" borderId="342">
      <alignment horizontal="right" vertical="center"/>
    </xf>
    <xf numFmtId="0" fontId="6" fillId="0" borderId="356">
      <alignment horizontal="centerContinuous" vertical="center"/>
    </xf>
    <xf numFmtId="0" fontId="41" fillId="0" borderId="355">
      <alignment horizontal="left" vertical="center"/>
    </xf>
    <xf numFmtId="10" fontId="39" fillId="2" borderId="354" applyNumberFormat="0" applyBorder="0" applyAlignment="0" applyProtection="0"/>
    <xf numFmtId="256" fontId="117" fillId="0" borderId="354" applyBorder="0">
      <alignment vertical="center"/>
    </xf>
    <xf numFmtId="256" fontId="117" fillId="0" borderId="354" applyBorder="0">
      <alignment vertical="center"/>
    </xf>
    <xf numFmtId="0" fontId="9" fillId="0" borderId="354">
      <alignment horizontal="distributed" vertical="center"/>
    </xf>
    <xf numFmtId="0" fontId="9" fillId="0" borderId="354">
      <alignment horizontal="distributed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0" fontId="6" fillId="0" borderId="342">
      <alignment horizontal="right" vertical="center"/>
    </xf>
    <xf numFmtId="0" fontId="54" fillId="28" borderId="304" applyNumberFormat="0" applyFon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159" fillId="0" borderId="305" applyNumberFormat="0" applyFill="0" applyAlignment="0" applyProtection="0">
      <alignment vertical="center"/>
    </xf>
    <xf numFmtId="0" fontId="54" fillId="28" borderId="304" applyNumberFormat="0" applyFont="0" applyAlignment="0" applyProtection="0">
      <alignment vertical="center"/>
    </xf>
    <xf numFmtId="0" fontId="185" fillId="22" borderId="302" applyNumberFormat="0" applyAlignment="0" applyProtection="0">
      <alignment vertical="center"/>
    </xf>
    <xf numFmtId="0" fontId="6" fillId="0" borderId="298" applyNumberFormat="0" applyFill="0" applyProtection="0">
      <alignment vertical="center"/>
    </xf>
    <xf numFmtId="338" fontId="19" fillId="0" borderId="298"/>
    <xf numFmtId="185" fontId="9" fillId="0" borderId="298">
      <alignment horizontal="center" vertical="center"/>
    </xf>
    <xf numFmtId="191" fontId="6" fillId="0" borderId="318">
      <alignment vertical="center"/>
    </xf>
    <xf numFmtId="0" fontId="92" fillId="0" borderId="298"/>
    <xf numFmtId="3" fontId="57" fillId="0" borderId="298"/>
    <xf numFmtId="230" fontId="6" fillId="0" borderId="306">
      <alignment vertical="center"/>
    </xf>
    <xf numFmtId="3" fontId="57" fillId="0" borderId="262"/>
    <xf numFmtId="3" fontId="57" fillId="0" borderId="262"/>
    <xf numFmtId="0" fontId="82" fillId="0" borderId="262"/>
    <xf numFmtId="0" fontId="92" fillId="0" borderId="262"/>
    <xf numFmtId="3" fontId="6" fillId="0" borderId="262"/>
    <xf numFmtId="322" fontId="9" fillId="0" borderId="320">
      <alignment horizontal="centerContinuous" vertical="center"/>
    </xf>
    <xf numFmtId="0" fontId="6" fillId="0" borderId="342">
      <alignment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191" fontId="6" fillId="0" borderId="318">
      <alignment vertical="center"/>
    </xf>
    <xf numFmtId="322" fontId="9" fillId="0" borderId="288">
      <alignment horizontal="centerContinuous" vertical="center"/>
    </xf>
    <xf numFmtId="322" fontId="9" fillId="0" borderId="356">
      <alignment horizontal="centerContinuous" vertical="center"/>
    </xf>
    <xf numFmtId="191" fontId="6" fillId="0" borderId="330">
      <alignment vertical="center"/>
    </xf>
    <xf numFmtId="191" fontId="6" fillId="0" borderId="318">
      <alignment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" fontId="57" fillId="0" borderId="342"/>
    <xf numFmtId="0" fontId="56" fillId="0" borderId="286"/>
    <xf numFmtId="0" fontId="6" fillId="0" borderId="318" applyNumberFormat="0" applyFill="0" applyProtection="0">
      <alignment vertical="center"/>
    </xf>
    <xf numFmtId="0" fontId="56" fillId="0" borderId="354"/>
    <xf numFmtId="0" fontId="50" fillId="3" borderId="287">
      <alignment vertical="center"/>
    </xf>
    <xf numFmtId="218" fontId="9" fillId="0" borderId="288">
      <alignment horizontal="centerContinuous" vertical="center"/>
    </xf>
    <xf numFmtId="185" fontId="9" fillId="0" borderId="306">
      <alignment horizontal="center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248" fontId="117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0" fontId="159" fillId="0" borderId="305" applyNumberFormat="0" applyFill="0" applyAlignment="0" applyProtection="0">
      <alignment vertical="center"/>
    </xf>
    <xf numFmtId="10" fontId="39" fillId="4" borderId="262" applyNumberFormat="0" applyBorder="0" applyAlignment="0" applyProtection="0"/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241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36" fontId="6" fillId="0" borderId="330">
      <alignment vertical="center"/>
    </xf>
    <xf numFmtId="238" fontId="6" fillId="0" borderId="330">
      <alignment vertical="center"/>
    </xf>
    <xf numFmtId="322" fontId="9" fillId="0" borderId="332">
      <alignment horizontal="centerContinuous" vertical="center"/>
    </xf>
    <xf numFmtId="3" fontId="57" fillId="0" borderId="342"/>
    <xf numFmtId="3" fontId="57" fillId="0" borderId="318"/>
    <xf numFmtId="0" fontId="117" fillId="0" borderId="320">
      <alignment horizontal="centerContinuous" vertical="center"/>
    </xf>
    <xf numFmtId="0" fontId="6" fillId="0" borderId="356">
      <alignment horizontal="centerContinuous" vertical="center"/>
    </xf>
    <xf numFmtId="206" fontId="6" fillId="0" borderId="318">
      <alignment vertical="center"/>
    </xf>
    <xf numFmtId="3" fontId="57" fillId="0" borderId="342"/>
    <xf numFmtId="191" fontId="6" fillId="0" borderId="262">
      <alignment vertical="center"/>
    </xf>
    <xf numFmtId="191" fontId="6" fillId="0" borderId="262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2" fillId="0" borderId="342"/>
    <xf numFmtId="41" fontId="56" fillId="0" borderId="342" applyNumberFormat="0" applyFont="0" applyFill="0" applyBorder="0" applyProtection="0">
      <alignment horizontal="distributed"/>
    </xf>
    <xf numFmtId="41" fontId="56" fillId="0" borderId="342" applyNumberFormat="0" applyFont="0" applyFill="0" applyBorder="0" applyProtection="0">
      <alignment horizontal="distributed"/>
    </xf>
    <xf numFmtId="0" fontId="6" fillId="0" borderId="342">
      <alignment horizontal="right" vertical="center" shrinkToFit="1"/>
    </xf>
    <xf numFmtId="0" fontId="50" fillId="3" borderId="343">
      <alignment vertical="center"/>
    </xf>
    <xf numFmtId="0" fontId="50" fillId="3" borderId="343">
      <alignment vertical="center"/>
    </xf>
    <xf numFmtId="239" fontId="117" fillId="0" borderId="342">
      <alignment horizontal="right" vertical="center"/>
    </xf>
    <xf numFmtId="200" fontId="6" fillId="0" borderId="274">
      <alignment vertical="center"/>
    </xf>
    <xf numFmtId="0" fontId="94" fillId="0" borderId="332">
      <alignment horizontal="centerContinuous" vertical="center"/>
    </xf>
    <xf numFmtId="221" fontId="117" fillId="0" borderId="286">
      <alignment vertical="center"/>
    </xf>
    <xf numFmtId="0" fontId="117" fillId="0" borderId="332">
      <alignment horizontal="centerContinuous" vertical="center"/>
    </xf>
    <xf numFmtId="228" fontId="117" fillId="0" borderId="341" applyBorder="0">
      <alignment vertical="center" wrapText="1"/>
    </xf>
    <xf numFmtId="176" fontId="6" fillId="0" borderId="286">
      <alignment vertical="center"/>
    </xf>
    <xf numFmtId="41" fontId="9" fillId="0" borderId="330">
      <alignment horizontal="center"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185" fontId="235" fillId="0" borderId="286"/>
    <xf numFmtId="218" fontId="9" fillId="0" borderId="288">
      <alignment horizontal="centerContinuous" vertical="center"/>
    </xf>
    <xf numFmtId="218" fontId="9" fillId="0" borderId="288">
      <alignment horizontal="centerContinuous" vertical="center"/>
    </xf>
    <xf numFmtId="218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249" fontId="6" fillId="0" borderId="330">
      <alignment vertical="center"/>
    </xf>
    <xf numFmtId="3" fontId="57" fillId="0" borderId="330"/>
    <xf numFmtId="236" fontId="6" fillId="0" borderId="306">
      <alignment vertical="center"/>
    </xf>
    <xf numFmtId="191" fontId="6" fillId="0" borderId="306">
      <alignment vertical="center"/>
    </xf>
    <xf numFmtId="3" fontId="57" fillId="0" borderId="286"/>
    <xf numFmtId="3" fontId="57" fillId="0" borderId="286"/>
    <xf numFmtId="3" fontId="56" fillId="0" borderId="330"/>
    <xf numFmtId="0" fontId="6" fillId="0" borderId="330" applyNumberFormat="0" applyFill="0" applyProtection="0">
      <alignment vertical="center"/>
    </xf>
    <xf numFmtId="239" fontId="117" fillId="0" borderId="354">
      <alignment horizontal="right" vertical="center"/>
    </xf>
    <xf numFmtId="238" fontId="6" fillId="0" borderId="342">
      <alignment vertical="center"/>
    </xf>
    <xf numFmtId="41" fontId="135" fillId="0" borderId="330" applyNumberFormat="0">
      <alignment vertical="center"/>
    </xf>
    <xf numFmtId="0" fontId="50" fillId="3" borderId="275">
      <alignment vertical="center"/>
    </xf>
    <xf numFmtId="218" fontId="6" fillId="0" borderId="330">
      <alignment vertical="center"/>
    </xf>
    <xf numFmtId="200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0" fontId="6" fillId="0" borderId="330">
      <alignment vertical="center"/>
    </xf>
    <xf numFmtId="206" fontId="6" fillId="0" borderId="330">
      <alignment vertical="center"/>
    </xf>
    <xf numFmtId="206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0" fontId="9" fillId="0" borderId="333">
      <alignment horizontal="distributed"/>
    </xf>
    <xf numFmtId="230" fontId="6" fillId="0" borderId="306">
      <alignment vertical="center"/>
    </xf>
    <xf numFmtId="0" fontId="117" fillId="0" borderId="344">
      <alignment horizontal="centerContinuous" vertical="center"/>
    </xf>
    <xf numFmtId="240" fontId="6" fillId="0" borderId="286">
      <alignment horizontal="right" vertical="center"/>
    </xf>
    <xf numFmtId="236" fontId="6" fillId="0" borderId="286">
      <alignment vertical="center"/>
    </xf>
    <xf numFmtId="235" fontId="117" fillId="0" borderId="286">
      <alignment vertical="center"/>
    </xf>
    <xf numFmtId="3" fontId="56" fillId="0" borderId="306"/>
    <xf numFmtId="240" fontId="6" fillId="0" borderId="342">
      <alignment horizontal="right" vertical="center"/>
    </xf>
    <xf numFmtId="191" fontId="6" fillId="0" borderId="306">
      <alignment vertical="center"/>
    </xf>
    <xf numFmtId="218" fontId="9" fillId="0" borderId="308">
      <alignment horizontal="centerContinuous" vertical="center"/>
    </xf>
    <xf numFmtId="231" fontId="117" fillId="0" borderId="318">
      <alignment vertical="center"/>
    </xf>
    <xf numFmtId="0" fontId="117" fillId="0" borderId="308">
      <alignment horizontal="centerContinuous" vertical="center"/>
    </xf>
    <xf numFmtId="0" fontId="6" fillId="0" borderId="286">
      <alignment vertical="center"/>
    </xf>
    <xf numFmtId="3" fontId="57" fillId="0" borderId="274"/>
    <xf numFmtId="234" fontId="117" fillId="0" borderId="274">
      <alignment vertical="center"/>
    </xf>
    <xf numFmtId="239" fontId="117" fillId="0" borderId="274">
      <alignment horizontal="right" vertical="center"/>
    </xf>
    <xf numFmtId="243" fontId="117" fillId="0" borderId="274">
      <alignment vertical="center"/>
    </xf>
    <xf numFmtId="243" fontId="117" fillId="0" borderId="274">
      <alignment vertical="center"/>
    </xf>
    <xf numFmtId="243" fontId="117" fillId="0" borderId="274">
      <alignment vertical="center"/>
    </xf>
    <xf numFmtId="244" fontId="117" fillId="0" borderId="274">
      <alignment vertical="center"/>
    </xf>
    <xf numFmtId="244" fontId="117" fillId="0" borderId="274">
      <alignment vertical="center"/>
    </xf>
    <xf numFmtId="244" fontId="117" fillId="0" borderId="274">
      <alignment vertical="center"/>
    </xf>
    <xf numFmtId="241" fontId="6" fillId="0" borderId="306">
      <alignment horizontal="right" vertical="center"/>
    </xf>
    <xf numFmtId="0" fontId="50" fillId="3" borderId="275">
      <alignment vertical="center"/>
    </xf>
    <xf numFmtId="238" fontId="6" fillId="0" borderId="306">
      <alignment vertical="center"/>
    </xf>
    <xf numFmtId="0" fontId="94" fillId="0" borderId="308">
      <alignment horizontal="centerContinuous" vertical="center"/>
    </xf>
    <xf numFmtId="322" fontId="9" fillId="0" borderId="308">
      <alignment horizontal="centerContinuous" vertical="center"/>
    </xf>
    <xf numFmtId="0" fontId="6" fillId="0" borderId="274">
      <alignment horizontal="right" vertical="center" shrinkToFit="1"/>
    </xf>
    <xf numFmtId="0" fontId="6" fillId="0" borderId="274">
      <alignment horizontal="right" vertical="center" shrinkToFit="1"/>
    </xf>
    <xf numFmtId="0" fontId="6" fillId="0" borderId="274">
      <alignment horizontal="right" vertical="center" shrinkToFit="1"/>
    </xf>
    <xf numFmtId="41" fontId="56" fillId="0" borderId="274" applyNumberFormat="0" applyFont="0" applyFill="0" applyBorder="0" applyProtection="0">
      <alignment horizontal="distributed"/>
    </xf>
    <xf numFmtId="41" fontId="56" fillId="0" borderId="274" applyNumberFormat="0" applyFont="0" applyFill="0" applyBorder="0" applyProtection="0">
      <alignment horizontal="distributed"/>
    </xf>
    <xf numFmtId="41" fontId="56" fillId="0" borderId="274" applyNumberFormat="0" applyFont="0" applyFill="0" applyBorder="0" applyProtection="0">
      <alignment horizontal="distributed"/>
    </xf>
    <xf numFmtId="230" fontId="6" fillId="0" borderId="342">
      <alignment vertical="center"/>
    </xf>
    <xf numFmtId="3" fontId="56" fillId="0" borderId="274"/>
    <xf numFmtId="3" fontId="56" fillId="0" borderId="274"/>
    <xf numFmtId="3" fontId="56" fillId="0" borderId="274"/>
    <xf numFmtId="0" fontId="56" fillId="0" borderId="274"/>
    <xf numFmtId="0" fontId="56" fillId="0" borderId="274"/>
    <xf numFmtId="0" fontId="56" fillId="0" borderId="274"/>
    <xf numFmtId="233" fontId="122" fillId="0" borderId="286" applyFill="0" applyBorder="0" applyAlignment="0"/>
    <xf numFmtId="0" fontId="94" fillId="0" borderId="308">
      <alignment horizontal="centerContinuous" vertical="center"/>
    </xf>
    <xf numFmtId="0" fontId="50" fillId="3" borderId="275">
      <alignment vertical="center"/>
    </xf>
    <xf numFmtId="236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41" fontId="135" fillId="0" borderId="226" applyNumberFormat="0">
      <alignment vertical="center"/>
    </xf>
    <xf numFmtId="0" fontId="153" fillId="22" borderId="294" applyNumberFormat="0" applyAlignment="0" applyProtection="0">
      <alignment vertical="center"/>
    </xf>
    <xf numFmtId="244" fontId="117" fillId="0" borderId="298">
      <alignment vertical="center"/>
    </xf>
    <xf numFmtId="0" fontId="92" fillId="0" borderId="298"/>
    <xf numFmtId="236" fontId="6" fillId="0" borderId="318">
      <alignment vertical="center"/>
    </xf>
    <xf numFmtId="3" fontId="56" fillId="0" borderId="298"/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191" fontId="6" fillId="0" borderId="250">
      <alignment vertical="center"/>
    </xf>
    <xf numFmtId="200" fontId="6" fillId="0" borderId="250">
      <alignment vertical="center"/>
    </xf>
    <xf numFmtId="0" fontId="159" fillId="0" borderId="316" applyNumberFormat="0" applyFill="0" applyAlignment="0" applyProtection="0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322" fontId="9" fillId="0" borderId="356">
      <alignment horizontal="centerContinuous" vertical="center"/>
    </xf>
    <xf numFmtId="176" fontId="6" fillId="0" borderId="286">
      <alignment vertical="center"/>
    </xf>
    <xf numFmtId="322" fontId="9" fillId="0" borderId="276">
      <alignment horizontal="centerContinuous" vertical="center"/>
    </xf>
    <xf numFmtId="0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356">
      <alignment horizontal="centerContinuous" vertical="center"/>
    </xf>
    <xf numFmtId="0" fontId="6" fillId="0" borderId="286">
      <alignment vertical="center"/>
    </xf>
    <xf numFmtId="0" fontId="6" fillId="0" borderId="286">
      <alignment vertical="center"/>
    </xf>
    <xf numFmtId="200" fontId="6" fillId="0" borderId="286">
      <alignment vertical="center"/>
    </xf>
    <xf numFmtId="322" fontId="9" fillId="0" borderId="356">
      <alignment horizontal="centerContinuous" vertical="center"/>
    </xf>
    <xf numFmtId="231" fontId="117" fillId="0" borderId="342">
      <alignment vertical="center"/>
    </xf>
    <xf numFmtId="185" fontId="8" fillId="0" borderId="274">
      <alignment vertical="center"/>
    </xf>
    <xf numFmtId="185" fontId="8" fillId="0" borderId="274">
      <alignment vertical="center"/>
    </xf>
    <xf numFmtId="185" fontId="8" fillId="0" borderId="274">
      <alignment vertical="center"/>
    </xf>
    <xf numFmtId="185" fontId="8" fillId="0" borderId="274">
      <alignment vertical="center"/>
    </xf>
    <xf numFmtId="3" fontId="57" fillId="0" borderId="274"/>
    <xf numFmtId="3" fontId="57" fillId="0" borderId="274"/>
    <xf numFmtId="3" fontId="57" fillId="0" borderId="274"/>
    <xf numFmtId="3" fontId="57" fillId="0" borderId="274"/>
    <xf numFmtId="3" fontId="57" fillId="0" borderId="274"/>
    <xf numFmtId="3" fontId="6" fillId="0" borderId="354"/>
    <xf numFmtId="0" fontId="165" fillId="22" borderId="360" applyNumberFormat="0" applyAlignment="0" applyProtection="0">
      <alignment vertical="center"/>
    </xf>
    <xf numFmtId="0" fontId="94" fillId="0" borderId="308">
      <alignment horizontal="centerContinuous" vertical="center"/>
    </xf>
    <xf numFmtId="0" fontId="41" fillId="0" borderId="275">
      <alignment horizontal="left" vertical="center"/>
    </xf>
    <xf numFmtId="338" fontId="19" fillId="0" borderId="274"/>
    <xf numFmtId="237" fontId="6" fillId="0" borderId="342">
      <alignment vertical="center"/>
    </xf>
    <xf numFmtId="3" fontId="57" fillId="0" borderId="330"/>
    <xf numFmtId="0" fontId="94" fillId="0" borderId="308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60" fillId="1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338" fontId="19" fillId="0" borderId="342"/>
    <xf numFmtId="338" fontId="19" fillId="0" borderId="342"/>
    <xf numFmtId="10" fontId="39" fillId="2" borderId="342" applyNumberFormat="0" applyBorder="0" applyAlignment="0" applyProtection="0"/>
    <xf numFmtId="10" fontId="39" fillId="2" borderId="342" applyNumberFormat="0" applyBorder="0" applyAlignment="0" applyProtection="0"/>
    <xf numFmtId="0" fontId="41" fillId="0" borderId="343">
      <alignment horizontal="left" vertical="center"/>
    </xf>
    <xf numFmtId="3" fontId="57" fillId="0" borderId="342"/>
    <xf numFmtId="0" fontId="94" fillId="0" borderId="344">
      <alignment horizontal="centerContinuous" vertical="center"/>
    </xf>
    <xf numFmtId="3" fontId="57" fillId="0" borderId="318"/>
    <xf numFmtId="200" fontId="77" fillId="0" borderId="318">
      <alignment vertical="center"/>
    </xf>
    <xf numFmtId="3" fontId="57" fillId="0" borderId="298"/>
    <xf numFmtId="3" fontId="57" fillId="0" borderId="298"/>
    <xf numFmtId="3" fontId="57" fillId="0" borderId="298"/>
    <xf numFmtId="3" fontId="57" fillId="0" borderId="318"/>
    <xf numFmtId="0" fontId="50" fillId="3" borderId="319">
      <alignment vertical="center"/>
    </xf>
    <xf numFmtId="185" fontId="8" fillId="0" borderId="306">
      <alignment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237" fontId="6" fillId="0" borderId="262">
      <alignment vertical="center"/>
    </xf>
    <xf numFmtId="240" fontId="6" fillId="0" borderId="262">
      <alignment horizontal="right" vertical="center"/>
    </xf>
    <xf numFmtId="0" fontId="186" fillId="0" borderId="226" applyProtection="0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200" fontId="6" fillId="0" borderId="262">
      <alignment vertical="center"/>
    </xf>
    <xf numFmtId="0" fontId="50" fillId="3" borderId="307">
      <alignment vertical="center"/>
    </xf>
    <xf numFmtId="0" fontId="184" fillId="0" borderId="226" applyFill="0" applyBorder="0" applyProtection="0">
      <alignment vertical="center"/>
    </xf>
    <xf numFmtId="10" fontId="39" fillId="4" borderId="226" applyNumberFormat="0" applyBorder="0" applyAlignment="0" applyProtection="0"/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0" fontId="9" fillId="0" borderId="344">
      <alignment horizontal="centerContinuous" vertical="center"/>
    </xf>
    <xf numFmtId="0" fontId="41" fillId="0" borderId="319">
      <alignment horizontal="left" vertical="center"/>
    </xf>
    <xf numFmtId="0" fontId="41" fillId="0" borderId="307">
      <alignment horizontal="left" vertical="center"/>
    </xf>
    <xf numFmtId="0" fontId="94" fillId="0" borderId="356">
      <alignment horizontal="centerContinuous" vertical="center"/>
    </xf>
    <xf numFmtId="0" fontId="6" fillId="0" borderId="308">
      <alignment horizontal="centerContinuous" vertical="center"/>
    </xf>
    <xf numFmtId="246" fontId="117" fillId="0" borderId="306">
      <alignment vertical="center"/>
    </xf>
    <xf numFmtId="0" fontId="94" fillId="0" borderId="356">
      <alignment horizontal="centerContinuous" vertical="center"/>
    </xf>
    <xf numFmtId="322" fontId="9" fillId="0" borderId="264">
      <alignment horizontal="centerContinuous" vertical="center"/>
    </xf>
    <xf numFmtId="0" fontId="41" fillId="0" borderId="307">
      <alignment horizontal="left" vertical="center"/>
    </xf>
    <xf numFmtId="338" fontId="19" fillId="0" borderId="286"/>
    <xf numFmtId="338" fontId="19" fillId="0" borderId="286"/>
    <xf numFmtId="41" fontId="56" fillId="0" borderId="330" applyNumberFormat="0" applyFont="0" applyFill="0" applyBorder="0" applyProtection="0">
      <alignment horizontal="distributed"/>
    </xf>
    <xf numFmtId="338" fontId="19" fillId="0" borderId="330"/>
    <xf numFmtId="0" fontId="9" fillId="0" borderId="286">
      <alignment horizontal="distributed" vertical="center"/>
    </xf>
    <xf numFmtId="0" fontId="9" fillId="0" borderId="286">
      <alignment horizontal="distributed" vertical="center"/>
    </xf>
    <xf numFmtId="0" fontId="9" fillId="0" borderId="286">
      <alignment horizontal="distributed" vertical="center"/>
    </xf>
    <xf numFmtId="0" fontId="82" fillId="0" borderId="286"/>
    <xf numFmtId="338" fontId="19" fillId="0" borderId="330"/>
    <xf numFmtId="309" fontId="9" fillId="0" borderId="226" applyFill="0" applyBorder="0" applyAlignment="0"/>
    <xf numFmtId="218" fontId="9" fillId="0" borderId="332">
      <alignment horizontal="centerContinuous" vertical="center"/>
    </xf>
    <xf numFmtId="0" fontId="9" fillId="0" borderId="276">
      <alignment horizontal="centerContinuous" vertical="center"/>
    </xf>
    <xf numFmtId="0" fontId="56" fillId="0" borderId="306"/>
    <xf numFmtId="0" fontId="9" fillId="0" borderId="356">
      <alignment horizontal="centerContinuous" vertical="center"/>
    </xf>
    <xf numFmtId="41" fontId="9" fillId="0" borderId="306">
      <alignment horizontal="center" vertical="center"/>
    </xf>
    <xf numFmtId="176" fontId="6" fillId="0" borderId="330">
      <alignment vertical="center"/>
    </xf>
    <xf numFmtId="0" fontId="9" fillId="0" borderId="321">
      <alignment horizontal="distributed"/>
    </xf>
    <xf numFmtId="244" fontId="117" fillId="0" borderId="318">
      <alignment vertical="center"/>
    </xf>
    <xf numFmtId="243" fontId="117" fillId="0" borderId="318">
      <alignment vertical="center"/>
    </xf>
    <xf numFmtId="234" fontId="117" fillId="0" borderId="318">
      <alignment vertical="center"/>
    </xf>
    <xf numFmtId="0" fontId="41" fillId="0" borderId="319">
      <alignment horizontal="left" vertical="center"/>
    </xf>
    <xf numFmtId="3" fontId="57" fillId="0" borderId="354"/>
    <xf numFmtId="0" fontId="56" fillId="0" borderId="298"/>
    <xf numFmtId="3" fontId="56" fillId="0" borderId="298"/>
    <xf numFmtId="0" fontId="6" fillId="0" borderId="298">
      <alignment horizontal="right" vertical="center" shrinkToFit="1"/>
    </xf>
    <xf numFmtId="3" fontId="57" fillId="0" borderId="342"/>
    <xf numFmtId="244" fontId="117" fillId="0" borderId="298">
      <alignment vertical="center"/>
    </xf>
    <xf numFmtId="239" fontId="117" fillId="0" borderId="298">
      <alignment horizontal="right" vertical="center"/>
    </xf>
    <xf numFmtId="322" fontId="9" fillId="0" borderId="344">
      <alignment horizontal="centerContinuous" vertical="center"/>
    </xf>
    <xf numFmtId="200" fontId="6" fillId="0" borderId="306">
      <alignment vertical="center"/>
    </xf>
    <xf numFmtId="0" fontId="6" fillId="0" borderId="354">
      <alignment horizontal="right" vertical="center" shrinkToFit="1"/>
    </xf>
    <xf numFmtId="0" fontId="9" fillId="0" borderId="308">
      <alignment horizontal="centerContinuous" vertical="center"/>
    </xf>
    <xf numFmtId="0" fontId="6" fillId="0" borderId="306">
      <alignment horizontal="right" vertical="center" shrinkToFit="1"/>
    </xf>
    <xf numFmtId="322" fontId="9" fillId="0" borderId="332">
      <alignment horizontal="centerContinuous" vertical="center"/>
    </xf>
    <xf numFmtId="0" fontId="6" fillId="0" borderId="306">
      <alignment vertical="center"/>
    </xf>
    <xf numFmtId="0" fontId="186" fillId="0" borderId="262" applyProtection="0">
      <alignment vertical="center"/>
    </xf>
    <xf numFmtId="322" fontId="9" fillId="0" borderId="308">
      <alignment horizontal="centerContinuous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0" fontId="117" fillId="0" borderId="308">
      <alignment horizontal="centerContinuous" vertical="center"/>
    </xf>
    <xf numFmtId="322" fontId="9" fillId="0" borderId="308">
      <alignment horizontal="centerContinuous" vertical="center"/>
    </xf>
    <xf numFmtId="0" fontId="134" fillId="0" borderId="286">
      <alignment vertical="center"/>
    </xf>
    <xf numFmtId="241" fontId="6" fillId="0" borderId="318">
      <alignment horizontal="right" vertical="center"/>
    </xf>
    <xf numFmtId="0" fontId="41" fillId="0" borderId="263">
      <alignment horizontal="left" vertical="center"/>
    </xf>
    <xf numFmtId="0" fontId="41" fillId="0" borderId="263">
      <alignment horizontal="left" vertical="center"/>
    </xf>
    <xf numFmtId="0" fontId="41" fillId="0" borderId="263">
      <alignment horizontal="left" vertical="center"/>
    </xf>
    <xf numFmtId="0" fontId="41" fillId="0" borderId="263">
      <alignment horizontal="left" vertical="center"/>
    </xf>
    <xf numFmtId="0" fontId="9" fillId="0" borderId="320">
      <alignment horizontal="centerContinuous" vertical="center"/>
    </xf>
    <xf numFmtId="3" fontId="57" fillId="0" borderId="318"/>
    <xf numFmtId="236" fontId="6" fillId="0" borderId="342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1" fontId="117" fillId="0" borderId="208">
      <alignment vertical="center"/>
    </xf>
    <xf numFmtId="0" fontId="50" fillId="3" borderId="307">
      <alignment vertical="center"/>
    </xf>
    <xf numFmtId="0" fontId="159" fillId="0" borderId="272" applyNumberFormat="0" applyFill="0" applyAlignment="0" applyProtection="0">
      <alignment vertical="center"/>
    </xf>
    <xf numFmtId="0" fontId="6" fillId="0" borderId="344">
      <alignment horizontal="centerContinuous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244" fontId="117" fillId="0" borderId="354">
      <alignment vertical="center"/>
    </xf>
    <xf numFmtId="0" fontId="6" fillId="0" borderId="252">
      <alignment horizontal="centerContinuous" vertical="center"/>
    </xf>
    <xf numFmtId="193" fontId="23" fillId="0" borderId="0">
      <protection locked="0"/>
    </xf>
    <xf numFmtId="240" fontId="6" fillId="0" borderId="286">
      <alignment horizontal="right" vertical="center"/>
    </xf>
    <xf numFmtId="338" fontId="19" fillId="0" borderId="354"/>
    <xf numFmtId="235" fontId="117" fillId="0" borderId="250">
      <alignment vertical="center"/>
    </xf>
    <xf numFmtId="242" fontId="6" fillId="0" borderId="250">
      <alignment horizontal="right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322" fontId="9" fillId="0" borderId="288">
      <alignment horizontal="centerContinuous" vertical="center"/>
    </xf>
    <xf numFmtId="176" fontId="6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18" fontId="6" fillId="0" borderId="250">
      <alignment vertical="center"/>
    </xf>
    <xf numFmtId="249" fontId="6" fillId="0" borderId="250">
      <alignment vertical="center"/>
    </xf>
    <xf numFmtId="203" fontId="176" fillId="0" borderId="310" applyFill="0" applyProtection="0">
      <alignment horizontal="center"/>
    </xf>
    <xf numFmtId="176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206" fontId="6" fillId="0" borderId="342">
      <alignment vertical="center"/>
    </xf>
    <xf numFmtId="0" fontId="6" fillId="0" borderId="342">
      <alignment vertical="center"/>
    </xf>
    <xf numFmtId="176" fontId="6" fillId="0" borderId="342">
      <alignment vertical="center"/>
    </xf>
    <xf numFmtId="0" fontId="6" fillId="0" borderId="332">
      <alignment horizontal="centerContinuous" vertical="center"/>
    </xf>
    <xf numFmtId="243" fontId="117" fillId="0" borderId="354">
      <alignment vertical="center"/>
    </xf>
    <xf numFmtId="41" fontId="56" fillId="0" borderId="306" applyNumberFormat="0" applyFont="0" applyFill="0" applyBorder="0" applyProtection="0">
      <alignment horizontal="distributed"/>
    </xf>
    <xf numFmtId="206" fontId="6" fillId="0" borderId="306">
      <alignment vertical="center"/>
    </xf>
    <xf numFmtId="238" fontId="6" fillId="0" borderId="318">
      <alignment vertical="center"/>
    </xf>
    <xf numFmtId="0" fontId="41" fillId="0" borderId="307">
      <alignment horizontal="left" vertical="center"/>
    </xf>
    <xf numFmtId="322" fontId="9" fillId="0" borderId="356">
      <alignment horizontal="centerContinuous" vertical="center"/>
    </xf>
    <xf numFmtId="206" fontId="6" fillId="0" borderId="274">
      <alignment vertical="center"/>
    </xf>
    <xf numFmtId="242" fontId="6" fillId="0" borderId="274">
      <alignment horizontal="right" vertical="center"/>
    </xf>
    <xf numFmtId="238" fontId="6" fillId="0" borderId="274">
      <alignment vertical="center"/>
    </xf>
    <xf numFmtId="338" fontId="19" fillId="0" borderId="306"/>
    <xf numFmtId="0" fontId="57" fillId="28" borderId="315" applyNumberFormat="0" applyFont="0" applyAlignment="0" applyProtection="0">
      <alignment vertical="center"/>
    </xf>
    <xf numFmtId="200" fontId="6" fillId="0" borderId="342">
      <alignment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185" fontId="8" fillId="0" borderId="262">
      <alignment vertical="center"/>
    </xf>
    <xf numFmtId="10" fontId="39" fillId="2" borderId="262" applyNumberFormat="0" applyBorder="0" applyAlignment="0" applyProtection="0"/>
    <xf numFmtId="239" fontId="117" fillId="0" borderId="262">
      <alignment horizontal="right" vertical="center"/>
    </xf>
    <xf numFmtId="239" fontId="117" fillId="0" borderId="262">
      <alignment horizontal="right" vertical="center"/>
    </xf>
    <xf numFmtId="243" fontId="117" fillId="0" borderId="262">
      <alignment vertical="center"/>
    </xf>
    <xf numFmtId="243" fontId="117" fillId="0" borderId="262">
      <alignment vertical="center"/>
    </xf>
    <xf numFmtId="243" fontId="117" fillId="0" borderId="262">
      <alignment vertical="center"/>
    </xf>
    <xf numFmtId="244" fontId="117" fillId="0" borderId="262">
      <alignment vertical="center"/>
    </xf>
    <xf numFmtId="244" fontId="117" fillId="0" borderId="262">
      <alignment vertical="center"/>
    </xf>
    <xf numFmtId="244" fontId="117" fillId="0" borderId="262">
      <alignment vertical="center"/>
    </xf>
    <xf numFmtId="0" fontId="9" fillId="0" borderId="288">
      <alignment horizontal="centerContinuous" vertical="center"/>
    </xf>
    <xf numFmtId="0" fontId="6" fillId="0" borderId="262">
      <alignment horizontal="right" vertical="center" shrinkToFit="1"/>
    </xf>
    <xf numFmtId="0" fontId="6" fillId="0" borderId="262">
      <alignment horizontal="right" vertical="center" shrinkToFit="1"/>
    </xf>
    <xf numFmtId="0" fontId="6" fillId="0" borderId="262">
      <alignment horizontal="right" vertical="center" shrinkToFit="1"/>
    </xf>
    <xf numFmtId="0" fontId="6" fillId="0" borderId="262">
      <alignment horizontal="right" vertical="center" shrinkToFit="1"/>
    </xf>
    <xf numFmtId="41" fontId="56" fillId="0" borderId="262" applyNumberFormat="0" applyFont="0" applyFill="0" applyBorder="0" applyProtection="0">
      <alignment horizontal="distributed"/>
    </xf>
    <xf numFmtId="41" fontId="56" fillId="0" borderId="262" applyNumberFormat="0" applyFont="0" applyFill="0" applyBorder="0" applyProtection="0">
      <alignment horizontal="distributed"/>
    </xf>
    <xf numFmtId="41" fontId="56" fillId="0" borderId="262" applyNumberFormat="0" applyFont="0" applyFill="0" applyBorder="0" applyProtection="0">
      <alignment horizontal="distributed"/>
    </xf>
    <xf numFmtId="322" fontId="9" fillId="0" borderId="332">
      <alignment horizontal="centerContinuous" vertical="center"/>
    </xf>
    <xf numFmtId="3" fontId="56" fillId="0" borderId="262"/>
    <xf numFmtId="3" fontId="56" fillId="0" borderId="262"/>
    <xf numFmtId="3" fontId="56" fillId="0" borderId="262"/>
    <xf numFmtId="0" fontId="56" fillId="0" borderId="262"/>
    <xf numFmtId="0" fontId="56" fillId="0" borderId="262"/>
    <xf numFmtId="0" fontId="56" fillId="0" borderId="262"/>
    <xf numFmtId="191" fontId="6" fillId="0" borderId="342">
      <alignment vertical="center"/>
    </xf>
    <xf numFmtId="0" fontId="56" fillId="0" borderId="318"/>
    <xf numFmtId="3" fontId="56" fillId="0" borderId="318"/>
    <xf numFmtId="0" fontId="92" fillId="0" borderId="262"/>
    <xf numFmtId="0" fontId="92" fillId="0" borderId="262"/>
    <xf numFmtId="0" fontId="92" fillId="0" borderId="262"/>
    <xf numFmtId="228" fontId="117" fillId="0" borderId="285" applyBorder="0">
      <alignment vertical="center" wrapText="1"/>
    </xf>
    <xf numFmtId="200" fontId="6" fillId="0" borderId="330">
      <alignment vertical="center"/>
    </xf>
    <xf numFmtId="176" fontId="6" fillId="0" borderId="330">
      <alignment vertical="center"/>
    </xf>
    <xf numFmtId="3" fontId="57" fillId="0" borderId="330"/>
    <xf numFmtId="256" fontId="117" fillId="0" borderId="262" applyBorder="0">
      <alignment vertical="center"/>
    </xf>
    <xf numFmtId="256" fontId="117" fillId="0" borderId="262" applyBorder="0">
      <alignment vertical="center"/>
    </xf>
    <xf numFmtId="256" fontId="117" fillId="0" borderId="262" applyBorder="0">
      <alignment vertical="center"/>
    </xf>
    <xf numFmtId="0" fontId="9" fillId="0" borderId="262">
      <alignment horizontal="distributed" vertical="center"/>
    </xf>
    <xf numFmtId="0" fontId="9" fillId="0" borderId="262">
      <alignment horizontal="distributed" vertical="center"/>
    </xf>
    <xf numFmtId="0" fontId="9" fillId="0" borderId="262">
      <alignment horizontal="distributed" vertical="center"/>
    </xf>
    <xf numFmtId="240" fontId="6" fillId="0" borderId="342">
      <alignment horizontal="right" vertical="center"/>
    </xf>
    <xf numFmtId="185" fontId="9" fillId="0" borderId="262">
      <alignment horizontal="center" vertical="center"/>
    </xf>
    <xf numFmtId="338" fontId="19" fillId="0" borderId="262"/>
    <xf numFmtId="236" fontId="6" fillId="0" borderId="286">
      <alignment vertical="center"/>
    </xf>
    <xf numFmtId="0" fontId="6" fillId="0" borderId="262" applyNumberFormat="0" applyFill="0" applyProtection="0">
      <alignment vertical="center"/>
    </xf>
    <xf numFmtId="0" fontId="94" fillId="0" borderId="288">
      <alignment horizontal="centerContinuous" vertical="center"/>
    </xf>
    <xf numFmtId="0" fontId="56" fillId="0" borderId="306"/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191" fontId="6" fillId="0" borderId="306">
      <alignment vertical="center"/>
    </xf>
    <xf numFmtId="218" fontId="6" fillId="0" borderId="286">
      <alignment vertical="center"/>
    </xf>
    <xf numFmtId="0" fontId="56" fillId="0" borderId="342"/>
    <xf numFmtId="0" fontId="6" fillId="0" borderId="274">
      <alignment vertical="center"/>
    </xf>
    <xf numFmtId="0" fontId="6" fillId="0" borderId="274">
      <alignment vertical="center"/>
    </xf>
    <xf numFmtId="0" fontId="92" fillId="0" borderId="318"/>
    <xf numFmtId="3" fontId="56" fillId="0" borderId="318"/>
    <xf numFmtId="0" fontId="6" fillId="0" borderId="286">
      <alignment vertical="center"/>
    </xf>
    <xf numFmtId="3" fontId="57" fillId="0" borderId="274"/>
    <xf numFmtId="176" fontId="6" fillId="0" borderId="286">
      <alignment vertical="center"/>
    </xf>
    <xf numFmtId="0" fontId="6" fillId="0" borderId="298">
      <alignment horizontal="right" vertical="center" shrinkToFit="1"/>
    </xf>
    <xf numFmtId="249" fontId="6" fillId="0" borderId="286">
      <alignment vertical="center"/>
    </xf>
    <xf numFmtId="249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0" fontId="6" fillId="0" borderId="286">
      <alignment vertical="center"/>
    </xf>
    <xf numFmtId="238" fontId="6" fillId="0" borderId="306">
      <alignment vertical="center"/>
    </xf>
    <xf numFmtId="0" fontId="41" fillId="0" borderId="307">
      <alignment horizontal="left" vertical="center"/>
    </xf>
    <xf numFmtId="41" fontId="56" fillId="0" borderId="354" applyNumberFormat="0" applyFont="0" applyFill="0" applyBorder="0" applyProtection="0">
      <alignment horizontal="distributed"/>
    </xf>
    <xf numFmtId="0" fontId="159" fillId="0" borderId="296" applyNumberFormat="0" applyFill="0" applyAlignment="0" applyProtection="0">
      <alignment vertical="center"/>
    </xf>
    <xf numFmtId="256" fontId="117" fillId="0" borderId="342" applyBorder="0">
      <alignment vertical="center"/>
    </xf>
    <xf numFmtId="0" fontId="92" fillId="0" borderId="330"/>
    <xf numFmtId="0" fontId="57" fillId="28" borderId="259" applyNumberFormat="0" applyFont="0" applyAlignment="0" applyProtection="0">
      <alignment vertical="center"/>
    </xf>
    <xf numFmtId="0" fontId="57" fillId="28" borderId="259" applyNumberFormat="0" applyFont="0" applyAlignment="0" applyProtection="0">
      <alignment vertical="center"/>
    </xf>
    <xf numFmtId="249" fontId="6" fillId="0" borderId="318">
      <alignment vertical="center"/>
    </xf>
    <xf numFmtId="200" fontId="6" fillId="0" borderId="318">
      <alignment vertical="center"/>
    </xf>
    <xf numFmtId="240" fontId="6" fillId="0" borderId="306">
      <alignment horizontal="right" vertical="center"/>
    </xf>
    <xf numFmtId="0" fontId="6" fillId="0" borderId="308">
      <alignment horizontal="centerContinuous" vertical="center"/>
    </xf>
    <xf numFmtId="230" fontId="6" fillId="0" borderId="274">
      <alignment vertical="center"/>
    </xf>
    <xf numFmtId="230" fontId="6" fillId="0" borderId="274">
      <alignment vertical="center"/>
    </xf>
    <xf numFmtId="230" fontId="6" fillId="0" borderId="274">
      <alignment vertical="center"/>
    </xf>
    <xf numFmtId="191" fontId="6" fillId="0" borderId="330">
      <alignment vertical="center"/>
    </xf>
    <xf numFmtId="200" fontId="6" fillId="0" borderId="330">
      <alignment vertical="center"/>
    </xf>
    <xf numFmtId="230" fontId="6" fillId="0" borderId="318">
      <alignment vertical="center"/>
    </xf>
    <xf numFmtId="3" fontId="57" fillId="0" borderId="330"/>
    <xf numFmtId="0" fontId="159" fillId="0" borderId="316" applyNumberFormat="0" applyFill="0" applyAlignment="0" applyProtection="0">
      <alignment vertical="center"/>
    </xf>
    <xf numFmtId="0" fontId="6" fillId="28" borderId="295" applyNumberFormat="0" applyFont="0" applyAlignment="0" applyProtection="0">
      <alignment vertical="center"/>
    </xf>
    <xf numFmtId="322" fontId="9" fillId="0" borderId="320">
      <alignment horizontal="centerContinuous" vertical="center"/>
    </xf>
    <xf numFmtId="241" fontId="6" fillId="0" borderId="318">
      <alignment horizontal="right" vertical="center"/>
    </xf>
    <xf numFmtId="233" fontId="122" fillId="0" borderId="208" applyFill="0" applyBorder="0" applyAlignment="0"/>
    <xf numFmtId="37" fontId="117" fillId="0" borderId="208">
      <alignment horizontal="center" vertical="distributed"/>
    </xf>
    <xf numFmtId="218" fontId="9" fillId="0" borderId="288">
      <alignment horizontal="centerContinuous" vertical="center"/>
    </xf>
    <xf numFmtId="176" fontId="6" fillId="0" borderId="342">
      <alignment vertical="center"/>
    </xf>
    <xf numFmtId="0" fontId="50" fillId="3" borderId="319">
      <alignment vertical="center"/>
    </xf>
    <xf numFmtId="240" fontId="6" fillId="0" borderId="274">
      <alignment horizontal="right" vertical="center"/>
    </xf>
    <xf numFmtId="0" fontId="94" fillId="0" borderId="288">
      <alignment horizontal="centerContinuous" vertical="center"/>
    </xf>
    <xf numFmtId="10" fontId="39" fillId="4" borderId="262" applyNumberFormat="0" applyBorder="0" applyAlignment="0" applyProtection="0"/>
    <xf numFmtId="0" fontId="6" fillId="0" borderId="262">
      <alignment horizontal="right" vertical="center" shrinkToFit="1"/>
    </xf>
    <xf numFmtId="3" fontId="56" fillId="0" borderId="262"/>
    <xf numFmtId="0" fontId="56" fillId="0" borderId="262"/>
    <xf numFmtId="0" fontId="56" fillId="0" borderId="262"/>
    <xf numFmtId="3" fontId="56" fillId="0" borderId="318"/>
    <xf numFmtId="0" fontId="92" fillId="0" borderId="262"/>
    <xf numFmtId="0" fontId="92" fillId="0" borderId="262"/>
    <xf numFmtId="322" fontId="9" fillId="0" borderId="332">
      <alignment horizontal="centerContinuous" vertical="center"/>
    </xf>
    <xf numFmtId="235" fontId="117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0" fontId="9" fillId="0" borderId="262">
      <alignment horizontal="distributed" vertical="center"/>
    </xf>
    <xf numFmtId="0" fontId="9" fillId="0" borderId="262">
      <alignment horizontal="distributed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338" fontId="19" fillId="0" borderId="262"/>
    <xf numFmtId="0" fontId="117" fillId="0" borderId="356">
      <alignment horizontal="centerContinuous" vertical="center"/>
    </xf>
    <xf numFmtId="176" fontId="6" fillId="0" borderId="286">
      <alignment vertical="center"/>
    </xf>
    <xf numFmtId="176" fontId="6" fillId="0" borderId="286">
      <alignment vertical="center"/>
    </xf>
    <xf numFmtId="0" fontId="82" fillId="0" borderId="274"/>
    <xf numFmtId="3" fontId="57" fillId="0" borderId="274"/>
    <xf numFmtId="0" fontId="50" fillId="3" borderId="197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46" fontId="117" fillId="0" borderId="208">
      <alignment vertical="center"/>
    </xf>
    <xf numFmtId="206" fontId="6" fillId="0" borderId="286">
      <alignment vertical="center"/>
    </xf>
    <xf numFmtId="0" fontId="6" fillId="0" borderId="356">
      <alignment horizontal="centerContinuous" vertical="center"/>
    </xf>
    <xf numFmtId="49" fontId="117" fillId="0" borderId="208">
      <alignment horizontal="center" vertical="center"/>
    </xf>
    <xf numFmtId="247" fontId="117" fillId="0" borderId="208">
      <alignment vertical="center"/>
    </xf>
    <xf numFmtId="248" fontId="117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50" fontId="117" fillId="0" borderId="208">
      <alignment vertical="center"/>
    </xf>
    <xf numFmtId="0" fontId="6" fillId="0" borderId="308">
      <alignment horizontal="centerContinuous" vertical="center"/>
    </xf>
    <xf numFmtId="230" fontId="6" fillId="0" borderId="274">
      <alignment vertical="center"/>
    </xf>
    <xf numFmtId="0" fontId="160" fillId="12" borderId="258" applyNumberFormat="0" applyAlignment="0" applyProtection="0">
      <alignment vertical="center"/>
    </xf>
    <xf numFmtId="0" fontId="160" fillId="12" borderId="314" applyNumberFormat="0" applyAlignment="0" applyProtection="0">
      <alignment vertical="center"/>
    </xf>
    <xf numFmtId="176" fontId="6" fillId="0" borderId="318">
      <alignment vertical="center"/>
    </xf>
    <xf numFmtId="0" fontId="159" fillId="0" borderId="352" applyNumberFormat="0" applyFill="0" applyAlignment="0" applyProtection="0">
      <alignment vertical="center"/>
    </xf>
    <xf numFmtId="0" fontId="165" fillId="22" borderId="257" applyNumberFormat="0" applyAlignment="0" applyProtection="0">
      <alignment vertical="center"/>
    </xf>
    <xf numFmtId="0" fontId="165" fillId="22" borderId="257" applyNumberFormat="0" applyAlignment="0" applyProtection="0">
      <alignment vertical="center"/>
    </xf>
    <xf numFmtId="0" fontId="6" fillId="0" borderId="320">
      <alignment horizontal="centerContinuous" vertical="center"/>
    </xf>
    <xf numFmtId="218" fontId="9" fillId="0" borderId="320">
      <alignment horizontal="centerContinuous" vertical="center"/>
    </xf>
    <xf numFmtId="200" fontId="6" fillId="0" borderId="286">
      <alignment vertical="center"/>
    </xf>
    <xf numFmtId="249" fontId="6" fillId="0" borderId="274">
      <alignment vertical="center"/>
    </xf>
    <xf numFmtId="249" fontId="6" fillId="0" borderId="274">
      <alignment vertical="center"/>
    </xf>
    <xf numFmtId="0" fontId="6" fillId="0" borderId="274">
      <alignment vertical="center"/>
    </xf>
    <xf numFmtId="41" fontId="56" fillId="0" borderId="318" applyNumberFormat="0" applyFont="0" applyFill="0" applyBorder="0" applyProtection="0">
      <alignment horizontal="distributed"/>
    </xf>
    <xf numFmtId="3" fontId="57" fillId="0" borderId="274"/>
    <xf numFmtId="41" fontId="135" fillId="0" borderId="342" applyNumberFormat="0">
      <alignment vertical="center"/>
    </xf>
    <xf numFmtId="0" fontId="50" fillId="3" borderId="275">
      <alignment vertical="center"/>
    </xf>
    <xf numFmtId="0" fontId="50" fillId="3" borderId="275">
      <alignment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94" fillId="0" borderId="276">
      <alignment horizontal="centerContinuous" vertical="center"/>
    </xf>
    <xf numFmtId="176" fontId="6" fillId="0" borderId="286">
      <alignment vertical="center"/>
    </xf>
    <xf numFmtId="0" fontId="9" fillId="0" borderId="356">
      <alignment horizontal="centerContinuous" vertical="center"/>
    </xf>
    <xf numFmtId="0" fontId="50" fillId="3" borderId="307">
      <alignment vertical="center"/>
    </xf>
    <xf numFmtId="41" fontId="9" fillId="0" borderId="274">
      <alignment horizontal="center" vertical="center"/>
    </xf>
    <xf numFmtId="0" fontId="6" fillId="0" borderId="344">
      <alignment horizontal="centerContinuous" vertical="center"/>
    </xf>
    <xf numFmtId="322" fontId="9" fillId="0" borderId="356">
      <alignment horizontal="centerContinuous" vertical="center"/>
    </xf>
    <xf numFmtId="176" fontId="6" fillId="0" borderId="318">
      <alignment vertical="center"/>
    </xf>
    <xf numFmtId="240" fontId="6" fillId="0" borderId="306">
      <alignment horizontal="right" vertical="center"/>
    </xf>
    <xf numFmtId="218" fontId="9" fillId="0" borderId="308">
      <alignment horizontal="centerContinuous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0" fontId="9" fillId="0" borderId="308">
      <alignment horizontal="centerContinuous" vertical="center"/>
    </xf>
    <xf numFmtId="322" fontId="9" fillId="0" borderId="332">
      <alignment horizontal="centerContinuous" vertical="center"/>
    </xf>
    <xf numFmtId="0" fontId="6" fillId="0" borderId="306">
      <alignment vertical="center"/>
    </xf>
    <xf numFmtId="206" fontId="6" fillId="0" borderId="306">
      <alignment vertical="center"/>
    </xf>
    <xf numFmtId="206" fontId="6" fillId="0" borderId="306">
      <alignment vertical="center"/>
    </xf>
    <xf numFmtId="206" fontId="6" fillId="0" borderId="306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322" fontId="9" fillId="0" borderId="356">
      <alignment horizontal="centerContinuous" vertical="center"/>
    </xf>
    <xf numFmtId="240" fontId="6" fillId="0" borderId="318">
      <alignment horizontal="right" vertical="center"/>
    </xf>
    <xf numFmtId="236" fontId="6" fillId="0" borderId="342">
      <alignment vertical="center"/>
    </xf>
    <xf numFmtId="191" fontId="6" fillId="0" borderId="306">
      <alignment vertical="center"/>
    </xf>
    <xf numFmtId="0" fontId="57" fillId="28" borderId="295" applyNumberFormat="0" applyFont="0" applyAlignment="0" applyProtection="0">
      <alignment vertical="center"/>
    </xf>
    <xf numFmtId="0" fontId="153" fillId="22" borderId="294" applyNumberFormat="0" applyAlignment="0" applyProtection="0">
      <alignment vertical="center"/>
    </xf>
    <xf numFmtId="0" fontId="54" fillId="28" borderId="351" applyNumberFormat="0" applyFont="0" applyAlignment="0" applyProtection="0">
      <alignment vertical="center"/>
    </xf>
    <xf numFmtId="338" fontId="19" fillId="0" borderId="342"/>
    <xf numFmtId="3" fontId="57" fillId="0" borderId="354"/>
    <xf numFmtId="0" fontId="94" fillId="0" borderId="356">
      <alignment horizontal="centerContinuous" vertical="center"/>
    </xf>
    <xf numFmtId="0" fontId="9" fillId="0" borderId="320">
      <alignment horizontal="centerContinuous" vertical="center"/>
    </xf>
    <xf numFmtId="242" fontId="6" fillId="0" borderId="318">
      <alignment horizontal="right" vertical="center"/>
    </xf>
    <xf numFmtId="240" fontId="6" fillId="0" borderId="318">
      <alignment horizontal="right" vertical="center"/>
    </xf>
    <xf numFmtId="0" fontId="160" fillId="12" borderId="303" applyNumberFormat="0" applyAlignment="0" applyProtection="0">
      <alignment vertical="center"/>
    </xf>
    <xf numFmtId="236" fontId="6" fillId="0" borderId="250">
      <alignment vertical="center"/>
    </xf>
    <xf numFmtId="238" fontId="6" fillId="0" borderId="250">
      <alignment vertical="center"/>
    </xf>
    <xf numFmtId="236" fontId="6" fillId="0" borderId="250">
      <alignment vertical="center"/>
    </xf>
    <xf numFmtId="240" fontId="6" fillId="0" borderId="250">
      <alignment horizontal="right" vertical="center"/>
    </xf>
    <xf numFmtId="241" fontId="6" fillId="0" borderId="250">
      <alignment horizontal="right" vertical="center"/>
    </xf>
    <xf numFmtId="176" fontId="6" fillId="0" borderId="250">
      <alignment vertical="center"/>
    </xf>
    <xf numFmtId="191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191" fontId="6" fillId="0" borderId="262">
      <alignment vertical="center"/>
    </xf>
    <xf numFmtId="0" fontId="50" fillId="3" borderId="287">
      <alignment vertical="center"/>
    </xf>
    <xf numFmtId="240" fontId="6" fillId="0" borderId="262">
      <alignment horizontal="right" vertical="center"/>
    </xf>
    <xf numFmtId="0" fontId="134" fillId="0" borderId="262">
      <alignment vertical="center"/>
    </xf>
    <xf numFmtId="0" fontId="56" fillId="0" borderId="354"/>
    <xf numFmtId="200" fontId="6" fillId="0" borderId="286">
      <alignment vertical="center"/>
    </xf>
    <xf numFmtId="3" fontId="57" fillId="0" borderId="318"/>
    <xf numFmtId="185" fontId="9" fillId="0" borderId="318">
      <alignment horizontal="center" vertical="center"/>
    </xf>
    <xf numFmtId="0" fontId="153" fillId="22" borderId="303" applyNumberFormat="0" applyAlignment="0" applyProtection="0">
      <alignment vertical="center"/>
    </xf>
    <xf numFmtId="0" fontId="57" fillId="28" borderId="304" applyNumberFormat="0" applyFont="0" applyAlignment="0" applyProtection="0">
      <alignment vertical="center"/>
    </xf>
    <xf numFmtId="322" fontId="9" fillId="0" borderId="356">
      <alignment horizontal="centerContinuous" vertical="center"/>
    </xf>
    <xf numFmtId="176" fontId="6" fillId="0" borderId="318">
      <alignment vertical="center"/>
    </xf>
    <xf numFmtId="176" fontId="6" fillId="0" borderId="318">
      <alignment vertical="center"/>
    </xf>
    <xf numFmtId="176" fontId="6" fillId="0" borderId="318">
      <alignment vertical="center"/>
    </xf>
    <xf numFmtId="191" fontId="6" fillId="0" borderId="306">
      <alignment vertical="center"/>
    </xf>
    <xf numFmtId="191" fontId="6" fillId="0" borderId="306">
      <alignment vertical="center"/>
    </xf>
    <xf numFmtId="322" fontId="9" fillId="0" borderId="344">
      <alignment horizontal="centerContinuous" vertical="center"/>
    </xf>
    <xf numFmtId="0" fontId="6" fillId="0" borderId="356">
      <alignment horizontal="centerContinuous" vertical="center"/>
    </xf>
    <xf numFmtId="191" fontId="6" fillId="0" borderId="306">
      <alignment vertical="center"/>
    </xf>
    <xf numFmtId="3" fontId="57" fillId="0" borderId="286"/>
    <xf numFmtId="0" fontId="9" fillId="0" borderId="330">
      <alignment horizontal="distributed" vertical="center"/>
    </xf>
    <xf numFmtId="206" fontId="6" fillId="0" borderId="342">
      <alignment vertical="center"/>
    </xf>
    <xf numFmtId="230" fontId="6" fillId="0" borderId="342">
      <alignment vertical="center"/>
    </xf>
    <xf numFmtId="0" fontId="153" fillId="22" borderId="338" applyNumberFormat="0" applyAlignment="0" applyProtection="0">
      <alignment vertical="center"/>
    </xf>
    <xf numFmtId="234" fontId="117" fillId="0" borderId="354">
      <alignment vertical="center"/>
    </xf>
    <xf numFmtId="0" fontId="6" fillId="0" borderId="354">
      <alignment horizontal="right" vertical="center" shrinkToFit="1"/>
    </xf>
    <xf numFmtId="41" fontId="56" fillId="0" borderId="354" applyNumberFormat="0" applyFont="0" applyFill="0" applyBorder="0" applyProtection="0">
      <alignment horizontal="distributed"/>
    </xf>
    <xf numFmtId="228" fontId="117" fillId="0" borderId="249" applyBorder="0">
      <alignment vertical="center" wrapText="1"/>
    </xf>
    <xf numFmtId="206" fontId="6" fillId="0" borderId="318">
      <alignment vertical="center"/>
    </xf>
    <xf numFmtId="200" fontId="6" fillId="0" borderId="342">
      <alignment vertical="center"/>
    </xf>
    <xf numFmtId="240" fontId="6" fillId="0" borderId="342">
      <alignment horizontal="right" vertical="center"/>
    </xf>
    <xf numFmtId="240" fontId="6" fillId="0" borderId="342">
      <alignment horizontal="right" vertical="center"/>
    </xf>
    <xf numFmtId="322" fontId="9" fillId="0" borderId="276">
      <alignment horizontal="centerContinuous" vertical="center"/>
    </xf>
    <xf numFmtId="191" fontId="6" fillId="0" borderId="306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230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191" fontId="6" fillId="0" borderId="238">
      <alignment vertical="center"/>
    </xf>
    <xf numFmtId="231" fontId="117" fillId="0" borderId="238">
      <alignment vertical="center"/>
    </xf>
    <xf numFmtId="191" fontId="6" fillId="0" borderId="342">
      <alignment vertical="center"/>
    </xf>
    <xf numFmtId="200" fontId="6" fillId="0" borderId="306">
      <alignment vertical="center"/>
    </xf>
    <xf numFmtId="249" fontId="6" fillId="0" borderId="306">
      <alignment vertical="center"/>
    </xf>
    <xf numFmtId="249" fontId="6" fillId="0" borderId="306">
      <alignment vertical="center"/>
    </xf>
    <xf numFmtId="322" fontId="9" fillId="0" borderId="356">
      <alignment horizontal="centerContinuous" vertical="center"/>
    </xf>
    <xf numFmtId="193" fontId="23" fillId="0" borderId="0">
      <protection locked="0"/>
    </xf>
    <xf numFmtId="322" fontId="9" fillId="0" borderId="264">
      <alignment horizontal="centerContinuous" vertical="center"/>
    </xf>
    <xf numFmtId="0" fontId="94" fillId="0" borderId="356">
      <alignment horizontal="centerContinuous" vertical="center"/>
    </xf>
    <xf numFmtId="0" fontId="6" fillId="0" borderId="320">
      <alignment horizontal="centerContinuous" vertical="center"/>
    </xf>
    <xf numFmtId="0" fontId="9" fillId="0" borderId="345">
      <alignment horizontal="distributed"/>
    </xf>
    <xf numFmtId="242" fontId="6" fillId="0" borderId="306">
      <alignment horizontal="right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239" fontId="117" fillId="0" borderId="306">
      <alignment horizontal="right" vertical="center"/>
    </xf>
    <xf numFmtId="0" fontId="184" fillId="0" borderId="262" applyFill="0" applyBorder="0" applyProtection="0">
      <alignment vertical="center"/>
    </xf>
    <xf numFmtId="203" fontId="176" fillId="0" borderId="322" applyFill="0" applyProtection="0">
      <alignment horizontal="center"/>
    </xf>
    <xf numFmtId="218" fontId="6" fillId="0" borderId="342">
      <alignment vertical="center"/>
    </xf>
    <xf numFmtId="257" fontId="117" fillId="0" borderId="342" applyBorder="0">
      <alignment horizontal="left" vertical="center"/>
    </xf>
    <xf numFmtId="10" fontId="39" fillId="4" borderId="342" applyNumberFormat="0" applyBorder="0" applyAlignment="0" applyProtection="0"/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117" fillId="0" borderId="356">
      <alignment horizontal="centerContinuous" vertical="center"/>
    </xf>
    <xf numFmtId="233" fontId="122" fillId="0" borderId="238" applyFill="0" applyBorder="0" applyAlignment="0"/>
    <xf numFmtId="37" fontId="117" fillId="0" borderId="238">
      <alignment horizontal="center" vertical="distributed"/>
    </xf>
    <xf numFmtId="236" fontId="6" fillId="0" borderId="238">
      <alignment vertical="center"/>
    </xf>
    <xf numFmtId="176" fontId="6" fillId="0" borderId="238">
      <alignment vertical="center"/>
    </xf>
    <xf numFmtId="256" fontId="117" fillId="0" borderId="318" applyBorder="0">
      <alignment vertical="center"/>
    </xf>
    <xf numFmtId="237" fontId="6" fillId="0" borderId="274">
      <alignment vertical="center"/>
    </xf>
    <xf numFmtId="0" fontId="9" fillId="0" borderId="332">
      <alignment horizontal="centerContinuous" vertical="center"/>
    </xf>
    <xf numFmtId="338" fontId="19" fillId="0" borderId="354"/>
    <xf numFmtId="257" fontId="117" fillId="0" borderId="226" applyBorder="0">
      <alignment horizontal="left" vertical="center"/>
    </xf>
    <xf numFmtId="0" fontId="134" fillId="0" borderId="226">
      <alignment vertical="center"/>
    </xf>
    <xf numFmtId="0" fontId="134" fillId="0" borderId="226">
      <alignment vertical="center"/>
    </xf>
    <xf numFmtId="256" fontId="117" fillId="0" borderId="298" applyBorder="0">
      <alignment vertical="center"/>
    </xf>
    <xf numFmtId="0" fontId="92" fillId="0" borderId="298"/>
    <xf numFmtId="0" fontId="92" fillId="0" borderId="298"/>
    <xf numFmtId="0" fontId="56" fillId="0" borderId="298"/>
    <xf numFmtId="3" fontId="56" fillId="0" borderId="298"/>
    <xf numFmtId="41" fontId="56" fillId="0" borderId="298" applyNumberFormat="0" applyFont="0" applyFill="0" applyBorder="0" applyProtection="0">
      <alignment horizontal="distributed"/>
    </xf>
    <xf numFmtId="41" fontId="56" fillId="0" borderId="298" applyNumberFormat="0" applyFont="0" applyFill="0" applyBorder="0" applyProtection="0">
      <alignment horizontal="distributed"/>
    </xf>
    <xf numFmtId="41" fontId="56" fillId="0" borderId="298" applyNumberFormat="0" applyFont="0" applyFill="0" applyBorder="0" applyProtection="0">
      <alignment horizontal="distributed"/>
    </xf>
    <xf numFmtId="23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231" fontId="117" fillId="0" borderId="250">
      <alignment vertical="center"/>
    </xf>
    <xf numFmtId="0" fontId="94" fillId="0" borderId="320">
      <alignment horizontal="centerContinuous" vertical="center"/>
    </xf>
    <xf numFmtId="193" fontId="23" fillId="0" borderId="0">
      <protection locked="0"/>
    </xf>
    <xf numFmtId="0" fontId="159" fillId="0" borderId="316" applyNumberFormat="0" applyFill="0" applyAlignment="0" applyProtection="0">
      <alignment vertical="center"/>
    </xf>
    <xf numFmtId="218" fontId="9" fillId="0" borderId="288">
      <alignment horizontal="centerContinuous" vertical="center"/>
    </xf>
    <xf numFmtId="176" fontId="6" fillId="0" borderId="250">
      <alignment vertical="center"/>
    </xf>
    <xf numFmtId="218" fontId="6" fillId="0" borderId="250">
      <alignment vertical="center"/>
    </xf>
    <xf numFmtId="200" fontId="6" fillId="0" borderId="262">
      <alignment vertical="center"/>
    </xf>
    <xf numFmtId="230" fontId="6" fillId="0" borderId="262">
      <alignment vertical="center"/>
    </xf>
    <xf numFmtId="191" fontId="6" fillId="0" borderId="262">
      <alignment vertical="center"/>
    </xf>
    <xf numFmtId="322" fontId="9" fillId="0" borderId="356">
      <alignment horizontal="centerContinuous"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3" fontId="56" fillId="0" borderId="330"/>
    <xf numFmtId="176" fontId="6" fillId="0" borderId="286">
      <alignment vertical="center"/>
    </xf>
    <xf numFmtId="37" fontId="117" fillId="0" borderId="286">
      <alignment horizontal="center" vertical="distributed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17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8" fontId="6" fillId="0" borderId="274">
      <alignment vertical="center"/>
    </xf>
    <xf numFmtId="238" fontId="6" fillId="0" borderId="274">
      <alignment vertical="center"/>
    </xf>
    <xf numFmtId="0" fontId="92" fillId="0" borderId="318"/>
    <xf numFmtId="191" fontId="6" fillId="0" borderId="274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200" fontId="6" fillId="0" borderId="318">
      <alignment vertical="center"/>
    </xf>
    <xf numFmtId="249" fontId="6" fillId="0" borderId="330">
      <alignment vertical="center"/>
    </xf>
    <xf numFmtId="218" fontId="6" fillId="0" borderId="330">
      <alignment vertical="center"/>
    </xf>
    <xf numFmtId="200" fontId="6" fillId="0" borderId="330">
      <alignment vertical="center"/>
    </xf>
    <xf numFmtId="176" fontId="6" fillId="0" borderId="330">
      <alignment vertical="center"/>
    </xf>
    <xf numFmtId="0" fontId="6" fillId="0" borderId="330">
      <alignment vertical="center"/>
    </xf>
    <xf numFmtId="236" fontId="6" fillId="0" borderId="342">
      <alignment vertical="center"/>
    </xf>
    <xf numFmtId="238" fontId="6" fillId="0" borderId="342">
      <alignment vertical="center"/>
    </xf>
    <xf numFmtId="257" fontId="117" fillId="0" borderId="250" applyBorder="0">
      <alignment horizontal="left" vertical="center"/>
    </xf>
    <xf numFmtId="10" fontId="39" fillId="4" borderId="354" applyNumberFormat="0" applyBorder="0" applyAlignment="0" applyProtection="0"/>
    <xf numFmtId="3" fontId="57" fillId="0" borderId="298"/>
    <xf numFmtId="322" fontId="9" fillId="0" borderId="308">
      <alignment horizontal="centerContinuous" vertical="center"/>
    </xf>
    <xf numFmtId="10" fontId="39" fillId="4" borderId="306" applyNumberFormat="0" applyBorder="0" applyAlignment="0" applyProtection="0"/>
    <xf numFmtId="234" fontId="117" fillId="0" borderId="318">
      <alignment vertical="center"/>
    </xf>
    <xf numFmtId="0" fontId="9" fillId="0" borderId="320">
      <alignment horizontal="centerContinuous" vertical="center"/>
    </xf>
    <xf numFmtId="0" fontId="94" fillId="0" borderId="320">
      <alignment horizontal="centerContinuous" vertical="center"/>
    </xf>
    <xf numFmtId="322" fontId="9" fillId="0" borderId="332">
      <alignment horizontal="centerContinuous" vertical="center"/>
    </xf>
    <xf numFmtId="3" fontId="57" fillId="0" borderId="342"/>
    <xf numFmtId="0" fontId="134" fillId="0" borderId="238">
      <alignment vertical="center"/>
    </xf>
    <xf numFmtId="0" fontId="134" fillId="0" borderId="238">
      <alignment vertical="center"/>
    </xf>
    <xf numFmtId="0" fontId="159" fillId="0" borderId="296" applyNumberFormat="0" applyFill="0" applyAlignment="0" applyProtection="0">
      <alignment vertical="center"/>
    </xf>
    <xf numFmtId="0" fontId="160" fillId="12" borderId="314" applyNumberFormat="0" applyAlignment="0" applyProtection="0">
      <alignment vertical="center"/>
    </xf>
    <xf numFmtId="176" fontId="6" fillId="0" borderId="342">
      <alignment vertical="center"/>
    </xf>
    <xf numFmtId="200" fontId="6" fillId="0" borderId="306">
      <alignment vertical="center"/>
    </xf>
    <xf numFmtId="249" fontId="6" fillId="0" borderId="306">
      <alignment vertical="center"/>
    </xf>
    <xf numFmtId="249" fontId="6" fillId="0" borderId="306">
      <alignment vertical="center"/>
    </xf>
    <xf numFmtId="0" fontId="6" fillId="0" borderId="306">
      <alignment vertical="center"/>
    </xf>
    <xf numFmtId="0" fontId="6" fillId="0" borderId="306">
      <alignment vertical="center"/>
    </xf>
    <xf numFmtId="176" fontId="6" fillId="0" borderId="306">
      <alignment vertical="center"/>
    </xf>
    <xf numFmtId="0" fontId="134" fillId="0" borderId="208">
      <alignment vertical="center"/>
    </xf>
    <xf numFmtId="0" fontId="134" fillId="0" borderId="208">
      <alignment vertical="center"/>
    </xf>
    <xf numFmtId="3" fontId="57" fillId="0" borderId="318"/>
    <xf numFmtId="3" fontId="57" fillId="0" borderId="318"/>
    <xf numFmtId="257" fontId="117" fillId="0" borderId="208" applyBorder="0">
      <alignment horizontal="left" vertical="center"/>
    </xf>
    <xf numFmtId="257" fontId="117" fillId="0" borderId="286" applyBorder="0">
      <alignment horizontal="left" vertical="center"/>
    </xf>
    <xf numFmtId="176" fontId="6" fillId="0" borderId="226">
      <alignment vertical="center"/>
    </xf>
    <xf numFmtId="176" fontId="6" fillId="0" borderId="30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0" fontId="50" fillId="3" borderId="331">
      <alignment vertical="center"/>
    </xf>
    <xf numFmtId="0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6" fillId="0" borderId="318">
      <alignment horizontal="right" vertical="center" shrinkToFit="1"/>
    </xf>
    <xf numFmtId="0" fontId="82" fillId="0" borderId="318"/>
    <xf numFmtId="241" fontId="6" fillId="0" borderId="318">
      <alignment horizontal="right" vertical="center"/>
    </xf>
    <xf numFmtId="185" fontId="8" fillId="0" borderId="306">
      <alignment vertical="center"/>
    </xf>
    <xf numFmtId="218" fontId="6" fillId="0" borderId="274">
      <alignment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41" fontId="6" fillId="0" borderId="262">
      <alignment horizontal="right" vertical="center"/>
    </xf>
    <xf numFmtId="242" fontId="6" fillId="0" borderId="262">
      <alignment horizontal="right" vertical="center"/>
    </xf>
    <xf numFmtId="242" fontId="6" fillId="0" borderId="262">
      <alignment horizontal="right" vertical="center"/>
    </xf>
    <xf numFmtId="242" fontId="6" fillId="0" borderId="262">
      <alignment horizontal="right" vertical="center"/>
    </xf>
    <xf numFmtId="240" fontId="6" fillId="0" borderId="262">
      <alignment horizontal="right" vertical="center"/>
    </xf>
    <xf numFmtId="249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240" fontId="6" fillId="0" borderId="306">
      <alignment horizontal="right" vertical="center"/>
    </xf>
    <xf numFmtId="240" fontId="6" fillId="0" borderId="306">
      <alignment horizontal="right" vertical="center"/>
    </xf>
    <xf numFmtId="240" fontId="6" fillId="0" borderId="306">
      <alignment horizontal="right" vertical="center"/>
    </xf>
    <xf numFmtId="242" fontId="6" fillId="0" borderId="306">
      <alignment horizontal="right" vertical="center"/>
    </xf>
    <xf numFmtId="0" fontId="50" fillId="3" borderId="263">
      <alignment vertical="center"/>
    </xf>
    <xf numFmtId="241" fontId="6" fillId="0" borderId="306">
      <alignment horizontal="right" vertical="center"/>
    </xf>
    <xf numFmtId="240" fontId="6" fillId="0" borderId="306">
      <alignment horizontal="right" vertical="center"/>
    </xf>
    <xf numFmtId="240" fontId="6" fillId="0" borderId="306">
      <alignment horizontal="right" vertical="center"/>
    </xf>
    <xf numFmtId="218" fontId="9" fillId="0" borderId="308">
      <alignment horizontal="centerContinuous" vertical="center"/>
    </xf>
    <xf numFmtId="247" fontId="117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00" fontId="6" fillId="0" borderId="262">
      <alignment vertical="center"/>
    </xf>
    <xf numFmtId="3" fontId="57" fillId="0" borderId="306"/>
    <xf numFmtId="239" fontId="117" fillId="0" borderId="306">
      <alignment horizontal="right" vertical="center"/>
    </xf>
    <xf numFmtId="0" fontId="6" fillId="0" borderId="354" applyNumberFormat="0" applyFill="0" applyProtection="0">
      <alignment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44">
      <alignment horizontal="centerContinuous" vertical="center"/>
    </xf>
    <xf numFmtId="322" fontId="9" fillId="0" borderId="308">
      <alignment horizontal="centerContinuous" vertical="center"/>
    </xf>
    <xf numFmtId="0" fontId="94" fillId="0" borderId="356">
      <alignment horizontal="centerContinuous" vertical="center"/>
    </xf>
    <xf numFmtId="3" fontId="57" fillId="0" borderId="306"/>
    <xf numFmtId="3" fontId="56" fillId="0" borderId="318"/>
    <xf numFmtId="241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0" fontId="6" fillId="0" borderId="274">
      <alignment horizontal="right" vertical="center"/>
    </xf>
    <xf numFmtId="0" fontId="165" fillId="22" borderId="293" applyNumberFormat="0" applyAlignment="0" applyProtection="0">
      <alignment vertical="center"/>
    </xf>
    <xf numFmtId="200" fontId="77" fillId="0" borderId="262">
      <alignment vertical="center"/>
    </xf>
    <xf numFmtId="0" fontId="153" fillId="22" borderId="303" applyNumberFormat="0" applyAlignment="0" applyProtection="0">
      <alignment vertical="center"/>
    </xf>
    <xf numFmtId="3" fontId="57" fillId="0" borderId="262"/>
    <xf numFmtId="3" fontId="57" fillId="0" borderId="262"/>
    <xf numFmtId="3" fontId="57" fillId="0" borderId="262"/>
    <xf numFmtId="243" fontId="117" fillId="0" borderId="318">
      <alignment vertical="center"/>
    </xf>
    <xf numFmtId="234" fontId="117" fillId="0" borderId="318">
      <alignment vertical="center"/>
    </xf>
    <xf numFmtId="231" fontId="117" fillId="0" borderId="274">
      <alignment vertical="center"/>
    </xf>
    <xf numFmtId="191" fontId="6" fillId="0" borderId="274">
      <alignment vertical="center"/>
    </xf>
    <xf numFmtId="200" fontId="6" fillId="0" borderId="274">
      <alignment vertical="center"/>
    </xf>
    <xf numFmtId="256" fontId="117" fillId="0" borderId="354" applyBorder="0">
      <alignment vertical="center"/>
    </xf>
    <xf numFmtId="206" fontId="6" fillId="0" borderId="286">
      <alignment vertical="center"/>
    </xf>
    <xf numFmtId="10" fontId="39" fillId="4" borderId="354" applyNumberFormat="0" applyBorder="0" applyAlignment="0" applyProtection="0"/>
    <xf numFmtId="322" fontId="9" fillId="0" borderId="356">
      <alignment horizontal="centerContinuous" vertical="center"/>
    </xf>
    <xf numFmtId="3" fontId="57" fillId="0" borderId="262"/>
    <xf numFmtId="3" fontId="57" fillId="0" borderId="262"/>
    <xf numFmtId="193" fontId="23" fillId="0" borderId="0">
      <protection locked="0"/>
    </xf>
    <xf numFmtId="338" fontId="19" fillId="0" borderId="262"/>
    <xf numFmtId="338" fontId="19" fillId="0" borderId="262"/>
    <xf numFmtId="234" fontId="117" fillId="0" borderId="330">
      <alignment vertical="center"/>
    </xf>
    <xf numFmtId="0" fontId="9" fillId="0" borderId="298">
      <alignment horizontal="distributed" vertical="center"/>
    </xf>
    <xf numFmtId="0" fontId="165" fillId="22" borderId="257" applyNumberFormat="0" applyAlignment="0" applyProtection="0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191" fontId="6" fillId="0" borderId="286">
      <alignment vertical="center"/>
    </xf>
    <xf numFmtId="206" fontId="6" fillId="0" borderId="274">
      <alignment vertical="center"/>
    </xf>
    <xf numFmtId="206" fontId="6" fillId="0" borderId="274">
      <alignment vertical="center"/>
    </xf>
    <xf numFmtId="241" fontId="6" fillId="0" borderId="330">
      <alignment horizontal="right" vertical="center"/>
    </xf>
    <xf numFmtId="236" fontId="6" fillId="0" borderId="330">
      <alignment vertical="center"/>
    </xf>
    <xf numFmtId="231" fontId="117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3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191" fontId="6" fillId="0" borderId="226">
      <alignment vertical="center"/>
    </xf>
    <xf numFmtId="322" fontId="9" fillId="0" borderId="308">
      <alignment horizontal="centerContinuous" vertical="center"/>
    </xf>
    <xf numFmtId="244" fontId="117" fillId="0" borderId="298">
      <alignment vertical="center"/>
    </xf>
    <xf numFmtId="236" fontId="6" fillId="0" borderId="318">
      <alignment vertical="center"/>
    </xf>
    <xf numFmtId="240" fontId="6" fillId="0" borderId="318">
      <alignment horizontal="right" vertical="center"/>
    </xf>
    <xf numFmtId="193" fontId="23" fillId="0" borderId="0">
      <protection locked="0"/>
    </xf>
    <xf numFmtId="200" fontId="6" fillId="0" borderId="306">
      <alignment vertical="center"/>
    </xf>
    <xf numFmtId="0" fontId="232" fillId="0" borderId="262" applyFont="0" applyFill="0" applyBorder="0" applyAlignment="0" applyProtection="0">
      <alignment horizontal="centerContinuous" vertical="center"/>
    </xf>
    <xf numFmtId="228" fontId="117" fillId="0" borderId="237" applyBorder="0">
      <alignment vertical="center" wrapText="1"/>
    </xf>
    <xf numFmtId="244" fontId="117" fillId="0" borderId="342">
      <alignment vertical="center"/>
    </xf>
    <xf numFmtId="243" fontId="117" fillId="0" borderId="342">
      <alignment vertical="center"/>
    </xf>
    <xf numFmtId="239" fontId="117" fillId="0" borderId="342">
      <alignment horizontal="right" vertical="center"/>
    </xf>
    <xf numFmtId="242" fontId="6" fillId="0" borderId="342">
      <alignment horizontal="right" vertical="center"/>
    </xf>
    <xf numFmtId="0" fontId="159" fillId="0" borderId="316" applyNumberFormat="0" applyFill="0" applyAlignment="0" applyProtection="0">
      <alignment vertical="center"/>
    </xf>
    <xf numFmtId="0" fontId="160" fillId="12" borderId="270" applyNumberFormat="0" applyAlignment="0" applyProtection="0">
      <alignment vertical="center"/>
    </xf>
    <xf numFmtId="238" fontId="6" fillId="0" borderId="274">
      <alignment vertical="center"/>
    </xf>
    <xf numFmtId="237" fontId="6" fillId="0" borderId="274">
      <alignment vertical="center"/>
    </xf>
    <xf numFmtId="236" fontId="6" fillId="0" borderId="274">
      <alignment vertical="center"/>
    </xf>
    <xf numFmtId="0" fontId="165" fillId="22" borderId="269" applyNumberFormat="0" applyAlignment="0" applyProtection="0">
      <alignment vertical="center"/>
    </xf>
    <xf numFmtId="0" fontId="50" fillId="3" borderId="275">
      <alignment vertical="center"/>
    </xf>
    <xf numFmtId="10" fontId="39" fillId="4" borderId="238" applyNumberFormat="0" applyBorder="0" applyAlignment="0" applyProtection="0"/>
    <xf numFmtId="0" fontId="184" fillId="0" borderId="238" applyFill="0" applyBorder="0" applyProtection="0">
      <alignment vertical="center"/>
    </xf>
    <xf numFmtId="256" fontId="117" fillId="0" borderId="274" applyBorder="0">
      <alignment vertical="center"/>
    </xf>
    <xf numFmtId="0" fontId="50" fillId="3" borderId="275">
      <alignment vertical="center"/>
    </xf>
    <xf numFmtId="0" fontId="160" fillId="12" borderId="282" applyNumberFormat="0" applyAlignment="0" applyProtection="0">
      <alignment vertical="center"/>
    </xf>
    <xf numFmtId="186" fontId="14" fillId="0" borderId="280"/>
    <xf numFmtId="0" fontId="186" fillId="0" borderId="238" applyProtection="0">
      <alignment vertical="center"/>
    </xf>
    <xf numFmtId="218" fontId="9" fillId="0" borderId="320">
      <alignment horizontal="centerContinuous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218" fontId="6" fillId="0" borderId="342">
      <alignment vertical="center"/>
    </xf>
    <xf numFmtId="0" fontId="6" fillId="0" borderId="342">
      <alignment horizontal="right" vertical="center" shrinkToFit="1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193" fontId="23" fillId="0" borderId="0">
      <protection locked="0"/>
    </xf>
    <xf numFmtId="0" fontId="56" fillId="0" borderId="306"/>
    <xf numFmtId="0" fontId="117" fillId="0" borderId="308">
      <alignment horizontal="centerContinuous" vertical="center"/>
    </xf>
    <xf numFmtId="191" fontId="6" fillId="0" borderId="330">
      <alignment vertical="center"/>
    </xf>
    <xf numFmtId="193" fontId="23" fillId="0" borderId="0">
      <protection locked="0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249" fontId="6" fillId="0" borderId="342">
      <alignment vertical="center"/>
    </xf>
    <xf numFmtId="200" fontId="6" fillId="0" borderId="274">
      <alignment vertical="center"/>
    </xf>
    <xf numFmtId="322" fontId="9" fillId="0" borderId="320">
      <alignment horizontal="centerContinuous" vertical="center"/>
    </xf>
    <xf numFmtId="0" fontId="94" fillId="0" borderId="320">
      <alignment horizontal="centerContinuous" vertical="center"/>
    </xf>
    <xf numFmtId="0" fontId="165" fillId="22" borderId="337" applyNumberFormat="0" applyAlignment="0" applyProtection="0">
      <alignment vertical="center"/>
    </xf>
    <xf numFmtId="200" fontId="6" fillId="0" borderId="286">
      <alignment vertical="center"/>
    </xf>
    <xf numFmtId="247" fontId="117" fillId="0" borderId="286">
      <alignment vertical="center"/>
    </xf>
    <xf numFmtId="322" fontId="9" fillId="0" borderId="356">
      <alignment horizontal="centerContinuous" vertical="center"/>
    </xf>
    <xf numFmtId="0" fontId="56" fillId="0" borderId="286"/>
    <xf numFmtId="322" fontId="9" fillId="0" borderId="332">
      <alignment horizontal="centerContinuous" vertical="center"/>
    </xf>
    <xf numFmtId="0" fontId="50" fillId="3" borderId="251">
      <alignment vertical="center"/>
    </xf>
    <xf numFmtId="0" fontId="6" fillId="0" borderId="318">
      <alignment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3" fontId="56" fillId="0" borderId="286"/>
    <xf numFmtId="186" fontId="14" fillId="0" borderId="324"/>
    <xf numFmtId="3" fontId="57" fillId="0" borderId="286"/>
    <xf numFmtId="0" fontId="6" fillId="0" borderId="356">
      <alignment horizontal="centerContinuous" vertical="center"/>
    </xf>
    <xf numFmtId="3" fontId="57" fillId="0" borderId="286"/>
    <xf numFmtId="244" fontId="117" fillId="0" borderId="306">
      <alignment vertical="center"/>
    </xf>
    <xf numFmtId="200" fontId="6" fillId="0" borderId="342">
      <alignment vertical="center"/>
    </xf>
    <xf numFmtId="240" fontId="6" fillId="0" borderId="342">
      <alignment horizontal="right" vertical="center"/>
    </xf>
    <xf numFmtId="191" fontId="6" fillId="0" borderId="286">
      <alignment vertical="center"/>
    </xf>
    <xf numFmtId="0" fontId="159" fillId="0" borderId="272" applyNumberFormat="0" applyFill="0" applyAlignment="0" applyProtection="0">
      <alignment vertical="center"/>
    </xf>
    <xf numFmtId="0" fontId="159" fillId="0" borderId="272" applyNumberFormat="0" applyFill="0" applyAlignment="0" applyProtection="0">
      <alignment vertical="center"/>
    </xf>
    <xf numFmtId="237" fontId="6" fillId="0" borderId="306">
      <alignment vertical="center"/>
    </xf>
    <xf numFmtId="3" fontId="56" fillId="0" borderId="342"/>
    <xf numFmtId="243" fontId="117" fillId="0" borderId="342">
      <alignment vertical="center"/>
    </xf>
    <xf numFmtId="0" fontId="224" fillId="0" borderId="264">
      <alignment horizontal="centerContinuous" vertical="center"/>
    </xf>
    <xf numFmtId="186" fontId="14" fillId="0" borderId="268"/>
    <xf numFmtId="0" fontId="160" fillId="12" borderId="270" applyNumberFormat="0" applyAlignment="0" applyProtection="0">
      <alignment vertical="center"/>
    </xf>
    <xf numFmtId="0" fontId="54" fillId="28" borderId="271" applyNumberFormat="0" applyFont="0" applyAlignment="0" applyProtection="0">
      <alignment vertical="center"/>
    </xf>
    <xf numFmtId="0" fontId="153" fillId="22" borderId="270" applyNumberFormat="0" applyAlignment="0" applyProtection="0">
      <alignment vertical="center"/>
    </xf>
    <xf numFmtId="203" fontId="176" fillId="0" borderId="266" applyFill="0" applyProtection="0">
      <alignment horizontal="center"/>
    </xf>
    <xf numFmtId="0" fontId="50" fillId="3" borderId="263">
      <alignment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218" fontId="9" fillId="0" borderId="264">
      <alignment horizontal="centerContinuous" vertical="center"/>
    </xf>
    <xf numFmtId="218" fontId="9" fillId="0" borderId="264">
      <alignment horizontal="centerContinuous" vertical="center"/>
    </xf>
    <xf numFmtId="218" fontId="9" fillId="0" borderId="264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0" fontId="50" fillId="3" borderId="263">
      <alignment vertical="center"/>
    </xf>
    <xf numFmtId="221" fontId="117" fillId="0" borderId="262">
      <alignment vertical="center"/>
    </xf>
    <xf numFmtId="0" fontId="6" fillId="0" borderId="332">
      <alignment horizontal="centerContinuous" vertical="center"/>
    </xf>
    <xf numFmtId="191" fontId="6" fillId="0" borderId="262">
      <alignment vertical="center"/>
    </xf>
    <xf numFmtId="200" fontId="6" fillId="0" borderId="262">
      <alignment vertical="center"/>
    </xf>
    <xf numFmtId="233" fontId="122" fillId="0" borderId="262" applyFill="0" applyBorder="0" applyAlignment="0"/>
    <xf numFmtId="176" fontId="6" fillId="0" borderId="286">
      <alignment vertical="center"/>
    </xf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0" fontId="94" fillId="0" borderId="344">
      <alignment horizontal="centerContinuous" vertical="center"/>
    </xf>
    <xf numFmtId="240" fontId="6" fillId="0" borderId="286">
      <alignment horizontal="right" vertical="center"/>
    </xf>
    <xf numFmtId="0" fontId="6" fillId="0" borderId="288">
      <alignment horizontal="centerContinuous" vertical="center"/>
    </xf>
    <xf numFmtId="239" fontId="117" fillId="0" borderId="354">
      <alignment horizontal="right" vertical="center"/>
    </xf>
    <xf numFmtId="0" fontId="50" fillId="3" borderId="355">
      <alignment vertical="center"/>
    </xf>
    <xf numFmtId="41" fontId="56" fillId="0" borderId="354" applyNumberFormat="0" applyFont="0" applyFill="0" applyBorder="0" applyProtection="0">
      <alignment horizontal="distributed"/>
    </xf>
    <xf numFmtId="206" fontId="6" fillId="0" borderId="318">
      <alignment vertical="center"/>
    </xf>
    <xf numFmtId="0" fontId="117" fillId="0" borderId="320">
      <alignment horizontal="centerContinuous" vertical="center"/>
    </xf>
    <xf numFmtId="3" fontId="57" fillId="0" borderId="330"/>
    <xf numFmtId="243" fontId="117" fillId="0" borderId="354">
      <alignment vertical="center"/>
    </xf>
    <xf numFmtId="0" fontId="6" fillId="0" borderId="274">
      <alignment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94" fillId="0" borderId="332">
      <alignment horizontal="centerContinuous" vertical="center"/>
    </xf>
    <xf numFmtId="10" fontId="39" fillId="4" borderId="250" applyNumberFormat="0" applyBorder="0" applyAlignment="0" applyProtection="0"/>
    <xf numFmtId="0" fontId="184" fillId="0" borderId="250" applyFill="0" applyBorder="0" applyProtection="0">
      <alignment vertical="center"/>
    </xf>
    <xf numFmtId="0" fontId="6" fillId="0" borderId="288">
      <alignment horizontal="centerContinuous" vertical="center"/>
    </xf>
    <xf numFmtId="0" fontId="117" fillId="0" borderId="288">
      <alignment horizontal="centerContinuous" vertical="center"/>
    </xf>
    <xf numFmtId="322" fontId="9" fillId="0" borderId="288">
      <alignment horizontal="centerContinuous" vertical="center"/>
    </xf>
    <xf numFmtId="0" fontId="6" fillId="0" borderId="330" applyNumberFormat="0" applyFill="0" applyProtection="0">
      <alignment vertical="center"/>
    </xf>
    <xf numFmtId="239" fontId="117" fillId="0" borderId="330">
      <alignment horizontal="right" vertical="center"/>
    </xf>
    <xf numFmtId="0" fontId="9" fillId="0" borderId="289">
      <alignment horizontal="distributed"/>
    </xf>
    <xf numFmtId="203" fontId="176" fillId="0" borderId="290" applyFill="0" applyProtection="0">
      <alignment horizontal="center"/>
    </xf>
    <xf numFmtId="3" fontId="56" fillId="0" borderId="342"/>
    <xf numFmtId="0" fontId="117" fillId="0" borderId="332">
      <alignment horizontal="centerContinuous" vertical="center"/>
    </xf>
    <xf numFmtId="0" fontId="6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2" fillId="0" borderId="306"/>
    <xf numFmtId="230" fontId="6" fillId="0" borderId="274">
      <alignment vertical="center"/>
    </xf>
    <xf numFmtId="230" fontId="6" fillId="0" borderId="274">
      <alignment vertical="center"/>
    </xf>
    <xf numFmtId="0" fontId="159" fillId="0" borderId="260" applyNumberFormat="0" applyFill="0" applyAlignment="0" applyProtection="0">
      <alignment vertical="center"/>
    </xf>
    <xf numFmtId="0" fontId="159" fillId="0" borderId="260" applyNumberFormat="0" applyFill="0" applyAlignment="0" applyProtection="0">
      <alignment vertical="center"/>
    </xf>
    <xf numFmtId="0" fontId="6" fillId="0" borderId="320">
      <alignment horizontal="centerContinuous" vertical="center"/>
    </xf>
    <xf numFmtId="0" fontId="224" fillId="0" borderId="252">
      <alignment horizontal="centerContinuous" vertical="center"/>
    </xf>
    <xf numFmtId="186" fontId="14" fillId="0" borderId="256"/>
    <xf numFmtId="0" fontId="160" fillId="12" borderId="258" applyNumberFormat="0" applyAlignment="0" applyProtection="0">
      <alignment vertical="center"/>
    </xf>
    <xf numFmtId="0" fontId="54" fillId="28" borderId="259" applyNumberFormat="0" applyFont="0" applyAlignment="0" applyProtection="0">
      <alignment vertical="center"/>
    </xf>
    <xf numFmtId="0" fontId="153" fillId="22" borderId="258" applyNumberFormat="0" applyAlignment="0" applyProtection="0">
      <alignment vertical="center"/>
    </xf>
    <xf numFmtId="203" fontId="176" fillId="0" borderId="254" applyFill="0" applyProtection="0">
      <alignment horizontal="center"/>
    </xf>
    <xf numFmtId="0" fontId="50" fillId="3" borderId="251">
      <alignment vertical="center"/>
    </xf>
    <xf numFmtId="0" fontId="117" fillId="0" borderId="332">
      <alignment horizontal="centerContinuous" vertical="center"/>
    </xf>
    <xf numFmtId="0" fontId="9" fillId="0" borderId="318">
      <alignment horizontal="distributed" vertical="center"/>
    </xf>
    <xf numFmtId="242" fontId="6" fillId="0" borderId="342">
      <alignment horizontal="right" vertical="center"/>
    </xf>
    <xf numFmtId="241" fontId="6" fillId="0" borderId="286">
      <alignment horizontal="right" vertical="center"/>
    </xf>
    <xf numFmtId="0" fontId="9" fillId="0" borderId="253">
      <alignment horizontal="distributed"/>
    </xf>
    <xf numFmtId="0" fontId="9" fillId="0" borderId="253">
      <alignment horizontal="distributed"/>
    </xf>
    <xf numFmtId="0" fontId="50" fillId="3" borderId="251">
      <alignment vertical="center"/>
    </xf>
    <xf numFmtId="0" fontId="50" fillId="3" borderId="251">
      <alignment vertical="center"/>
    </xf>
    <xf numFmtId="185" fontId="9" fillId="0" borderId="286">
      <alignment horizontal="center" vertical="center"/>
    </xf>
    <xf numFmtId="0" fontId="41" fillId="0" borderId="355">
      <alignment horizontal="left" vertical="center"/>
    </xf>
    <xf numFmtId="338" fontId="19" fillId="0" borderId="354"/>
    <xf numFmtId="0" fontId="41" fillId="0" borderId="251">
      <alignment horizontal="left" vertical="center"/>
    </xf>
    <xf numFmtId="0" fontId="41" fillId="0" borderId="251">
      <alignment horizontal="left" vertical="center"/>
    </xf>
    <xf numFmtId="0" fontId="41" fillId="0" borderId="251">
      <alignment horizontal="left" vertical="center"/>
    </xf>
    <xf numFmtId="186" fontId="14" fillId="0" borderId="348"/>
    <xf numFmtId="206" fontId="6" fillId="0" borderId="318">
      <alignment vertical="center"/>
    </xf>
    <xf numFmtId="238" fontId="6" fillId="0" borderId="306">
      <alignment vertical="center"/>
    </xf>
    <xf numFmtId="338" fontId="19" fillId="0" borderId="354"/>
    <xf numFmtId="10" fontId="39" fillId="4" borderId="342" applyNumberFormat="0" applyBorder="0" applyAlignment="0" applyProtection="0"/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218" fontId="9" fillId="0" borderId="252">
      <alignment horizontal="centerContinuous" vertical="center"/>
    </xf>
    <xf numFmtId="218" fontId="9" fillId="0" borderId="252">
      <alignment horizontal="centerContinuous" vertical="center"/>
    </xf>
    <xf numFmtId="218" fontId="9" fillId="0" borderId="252">
      <alignment horizontal="centerContinuous" vertical="center"/>
    </xf>
    <xf numFmtId="0" fontId="94" fillId="0" borderId="33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50" fillId="3" borderId="251">
      <alignment vertical="center"/>
    </xf>
    <xf numFmtId="176" fontId="6" fillId="0" borderId="262">
      <alignment vertical="center"/>
    </xf>
    <xf numFmtId="193" fontId="23" fillId="0" borderId="0">
      <protection locked="0"/>
    </xf>
    <xf numFmtId="0" fontId="50" fillId="3" borderId="251">
      <alignment vertical="center"/>
    </xf>
    <xf numFmtId="0" fontId="41" fillId="0" borderId="251">
      <alignment horizontal="left" vertical="center"/>
    </xf>
    <xf numFmtId="185" fontId="8" fillId="0" borderId="354">
      <alignment vertical="center"/>
    </xf>
    <xf numFmtId="200" fontId="6" fillId="0" borderId="342">
      <alignment vertical="center"/>
    </xf>
    <xf numFmtId="0" fontId="50" fillId="3" borderId="287">
      <alignment vertical="center"/>
    </xf>
    <xf numFmtId="0" fontId="6" fillId="0" borderId="320">
      <alignment horizontal="centerContinuous" vertical="center"/>
    </xf>
    <xf numFmtId="0" fontId="94" fillId="0" borderId="320">
      <alignment horizontal="centerContinuous" vertical="center"/>
    </xf>
    <xf numFmtId="185" fontId="8" fillId="0" borderId="330">
      <alignment vertical="center"/>
    </xf>
    <xf numFmtId="322" fontId="9" fillId="0" borderId="356">
      <alignment horizontal="centerContinuous" vertical="center"/>
    </xf>
    <xf numFmtId="10" fontId="39" fillId="4" borderId="306" applyNumberFormat="0" applyBorder="0" applyAlignment="0" applyProtection="0"/>
    <xf numFmtId="206" fontId="6" fillId="0" borderId="306">
      <alignment vertical="center"/>
    </xf>
    <xf numFmtId="322" fontId="9" fillId="0" borderId="332">
      <alignment horizontal="centerContinuous" vertical="center"/>
    </xf>
    <xf numFmtId="240" fontId="6" fillId="0" borderId="318">
      <alignment horizontal="right" vertical="center"/>
    </xf>
    <xf numFmtId="0" fontId="94" fillId="0" borderId="344">
      <alignment horizontal="centerContinuous" vertical="center"/>
    </xf>
    <xf numFmtId="338" fontId="19" fillId="0" borderId="318"/>
    <xf numFmtId="237" fontId="6" fillId="0" borderId="274">
      <alignment vertical="center"/>
    </xf>
    <xf numFmtId="236" fontId="6" fillId="0" borderId="250">
      <alignment vertical="center"/>
    </xf>
    <xf numFmtId="176" fontId="6" fillId="0" borderId="342">
      <alignment vertical="center"/>
    </xf>
    <xf numFmtId="218" fontId="9" fillId="0" borderId="344">
      <alignment horizontal="centerContinuous" vertical="center"/>
    </xf>
    <xf numFmtId="0" fontId="153" fillId="22" borderId="258" applyNumberFormat="0" applyAlignment="0" applyProtection="0">
      <alignment vertical="center"/>
    </xf>
    <xf numFmtId="242" fontId="6" fillId="0" borderId="306">
      <alignment horizontal="right" vertical="center"/>
    </xf>
    <xf numFmtId="0" fontId="54" fillId="28" borderId="327" applyNumberFormat="0" applyFont="0" applyAlignment="0" applyProtection="0">
      <alignment vertical="center"/>
    </xf>
    <xf numFmtId="237" fontId="6" fillId="0" borderId="274">
      <alignment vertical="center"/>
    </xf>
    <xf numFmtId="238" fontId="6" fillId="0" borderId="286">
      <alignment vertical="center"/>
    </xf>
    <xf numFmtId="236" fontId="6" fillId="0" borderId="250">
      <alignment vertical="center"/>
    </xf>
    <xf numFmtId="176" fontId="6" fillId="0" borderId="342">
      <alignment vertical="center"/>
    </xf>
    <xf numFmtId="240" fontId="6" fillId="0" borderId="306">
      <alignment horizontal="right" vertical="center"/>
    </xf>
    <xf numFmtId="3" fontId="57" fillId="0" borderId="262"/>
    <xf numFmtId="0" fontId="184" fillId="0" borderId="318" applyFill="0" applyBorder="0" applyProtection="0">
      <alignment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88">
      <alignment horizontal="centerContinuous" vertical="center"/>
    </xf>
    <xf numFmtId="0" fontId="9" fillId="0" borderId="288">
      <alignment horizontal="centerContinuous" vertical="center"/>
    </xf>
    <xf numFmtId="0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117" fillId="0" borderId="288">
      <alignment horizontal="centerContinuous" vertical="center"/>
    </xf>
    <xf numFmtId="0" fontId="94" fillId="0" borderId="288">
      <alignment horizontal="centerContinuous" vertical="center"/>
    </xf>
    <xf numFmtId="200" fontId="6" fillId="0" borderId="262">
      <alignment vertical="center"/>
    </xf>
    <xf numFmtId="322" fontId="9" fillId="0" borderId="320">
      <alignment horizontal="centerContinuous" vertical="center"/>
    </xf>
    <xf numFmtId="0" fontId="94" fillId="0" borderId="320">
      <alignment horizontal="centerContinuous" vertical="center"/>
    </xf>
    <xf numFmtId="176" fontId="6" fillId="0" borderId="286">
      <alignment vertical="center"/>
    </xf>
    <xf numFmtId="49" fontId="117" fillId="0" borderId="286">
      <alignment horizontal="center" vertical="center"/>
    </xf>
    <xf numFmtId="176" fontId="6" fillId="0" borderId="318">
      <alignment vertical="center"/>
    </xf>
    <xf numFmtId="0" fontId="6" fillId="0" borderId="306">
      <alignment horizontal="right" vertical="center" shrinkToFit="1"/>
    </xf>
    <xf numFmtId="3" fontId="57" fillId="0" borderId="330"/>
    <xf numFmtId="41" fontId="135" fillId="0" borderId="250" applyNumberFormat="0">
      <alignment vertical="center"/>
    </xf>
    <xf numFmtId="0" fontId="153" fillId="22" borderId="361" applyNumberFormat="0" applyAlignment="0" applyProtection="0">
      <alignment vertical="center"/>
    </xf>
    <xf numFmtId="0" fontId="82" fillId="0" borderId="330"/>
    <xf numFmtId="0" fontId="94" fillId="0" borderId="332">
      <alignment horizontal="centerContinuous" vertical="center"/>
    </xf>
    <xf numFmtId="0" fontId="50" fillId="3" borderId="355">
      <alignment vertical="center"/>
    </xf>
    <xf numFmtId="41" fontId="9" fillId="0" borderId="262">
      <alignment horizontal="center" vertical="center"/>
    </xf>
    <xf numFmtId="0" fontId="56" fillId="0" borderId="286"/>
    <xf numFmtId="0" fontId="11" fillId="0" borderId="286" applyNumberFormat="0" applyFont="0" applyFill="0" applyAlignment="0" applyProtection="0">
      <alignment horizontal="center" vertical="center"/>
    </xf>
    <xf numFmtId="10" fontId="39" fillId="4" borderId="286" applyNumberFormat="0" applyBorder="0" applyAlignment="0" applyProtection="0"/>
    <xf numFmtId="0" fontId="82" fillId="0" borderId="286"/>
    <xf numFmtId="3" fontId="57" fillId="0" borderId="286"/>
    <xf numFmtId="230" fontId="6" fillId="0" borderId="342">
      <alignment vertical="center"/>
    </xf>
    <xf numFmtId="234" fontId="117" fillId="0" borderId="306">
      <alignment vertical="center"/>
    </xf>
    <xf numFmtId="0" fontId="6" fillId="0" borderId="318">
      <alignment vertical="center"/>
    </xf>
    <xf numFmtId="0" fontId="159" fillId="0" borderId="272" applyNumberFormat="0" applyFill="0" applyAlignment="0" applyProtection="0">
      <alignment vertical="center"/>
    </xf>
    <xf numFmtId="0" fontId="159" fillId="0" borderId="272" applyNumberFormat="0" applyFill="0" applyAlignment="0" applyProtection="0">
      <alignment vertical="center"/>
    </xf>
    <xf numFmtId="0" fontId="159" fillId="0" borderId="272" applyNumberFormat="0" applyFill="0" applyAlignment="0" applyProtection="0">
      <alignment vertical="center"/>
    </xf>
    <xf numFmtId="176" fontId="6" fillId="0" borderId="342">
      <alignment vertical="center"/>
    </xf>
    <xf numFmtId="244" fontId="117" fillId="0" borderId="342">
      <alignment vertical="center"/>
    </xf>
    <xf numFmtId="200" fontId="6" fillId="0" borderId="274">
      <alignment vertical="center"/>
    </xf>
    <xf numFmtId="0" fontId="54" fillId="28" borderId="271" applyNumberFormat="0" applyFont="0" applyAlignment="0" applyProtection="0">
      <alignment vertical="center"/>
    </xf>
    <xf numFmtId="0" fontId="165" fillId="22" borderId="269" applyNumberFormat="0" applyAlignment="0" applyProtection="0">
      <alignment vertical="center"/>
    </xf>
    <xf numFmtId="0" fontId="159" fillId="0" borderId="272" applyNumberFormat="0" applyFill="0" applyAlignment="0" applyProtection="0">
      <alignment vertical="center"/>
    </xf>
    <xf numFmtId="0" fontId="54" fillId="28" borderId="271" applyNumberFormat="0" applyFont="0" applyAlignment="0" applyProtection="0">
      <alignment vertical="center"/>
    </xf>
    <xf numFmtId="0" fontId="185" fillId="22" borderId="269" applyNumberFormat="0" applyAlignment="0" applyProtection="0">
      <alignment vertical="center"/>
    </xf>
    <xf numFmtId="218" fontId="9" fillId="0" borderId="264">
      <alignment horizontal="centerContinuous" vertical="center"/>
    </xf>
    <xf numFmtId="0" fontId="50" fillId="3" borderId="263">
      <alignment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218" fontId="9" fillId="0" borderId="264">
      <alignment horizontal="centerContinuous" vertical="center"/>
    </xf>
    <xf numFmtId="218" fontId="9" fillId="0" borderId="264">
      <alignment horizontal="centerContinuous" vertical="center"/>
    </xf>
    <xf numFmtId="218" fontId="9" fillId="0" borderId="264">
      <alignment horizontal="centerContinuous" vertical="center"/>
    </xf>
    <xf numFmtId="322" fontId="9" fillId="0" borderId="332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240" fontId="6" fillId="0" borderId="342">
      <alignment horizontal="right" vertical="center"/>
    </xf>
    <xf numFmtId="176" fontId="6" fillId="0" borderId="262">
      <alignment vertical="center"/>
    </xf>
    <xf numFmtId="0" fontId="50" fillId="3" borderId="263">
      <alignment vertical="center"/>
    </xf>
    <xf numFmtId="0" fontId="41" fillId="0" borderId="263">
      <alignment horizontal="left" vertical="center"/>
    </xf>
    <xf numFmtId="200" fontId="6" fillId="0" borderId="342">
      <alignment vertical="center"/>
    </xf>
    <xf numFmtId="0" fontId="6" fillId="0" borderId="320">
      <alignment horizontal="centerContinuous"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191" fontId="6" fillId="0" borderId="262">
      <alignment vertical="center"/>
    </xf>
    <xf numFmtId="240" fontId="6" fillId="0" borderId="262">
      <alignment horizontal="right" vertical="center"/>
    </xf>
    <xf numFmtId="230" fontId="6" fillId="0" borderId="286">
      <alignment vertical="center"/>
    </xf>
    <xf numFmtId="322" fontId="9" fillId="0" borderId="356">
      <alignment horizontal="centerContinuous" vertical="center"/>
    </xf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242" fontId="6" fillId="0" borderId="286">
      <alignment horizontal="right" vertical="center"/>
    </xf>
    <xf numFmtId="237" fontId="6" fillId="0" borderId="286">
      <alignment vertical="center"/>
    </xf>
    <xf numFmtId="322" fontId="9" fillId="0" borderId="332">
      <alignment horizontal="centerContinuous" vertical="center"/>
    </xf>
    <xf numFmtId="244" fontId="117" fillId="0" borderId="354">
      <alignment vertical="center"/>
    </xf>
    <xf numFmtId="41" fontId="56" fillId="0" borderId="354" applyNumberFormat="0" applyFont="0" applyFill="0" applyBorder="0" applyProtection="0">
      <alignment horizontal="distributed"/>
    </xf>
    <xf numFmtId="200" fontId="6" fillId="0" borderId="318">
      <alignment vertical="center"/>
    </xf>
    <xf numFmtId="0" fontId="117" fillId="0" borderId="320">
      <alignment horizontal="centerContinuous" vertical="center"/>
    </xf>
    <xf numFmtId="41" fontId="56" fillId="0" borderId="318" applyNumberFormat="0" applyFont="0" applyFill="0" applyBorder="0" applyProtection="0">
      <alignment horizontal="distributed"/>
    </xf>
    <xf numFmtId="0" fontId="82" fillId="0" borderId="342"/>
    <xf numFmtId="0" fontId="94" fillId="0" borderId="276">
      <alignment horizontal="centerContinuous" vertical="center"/>
    </xf>
    <xf numFmtId="0" fontId="153" fillId="22" borderId="314" applyNumberFormat="0" applyAlignment="0" applyProtection="0">
      <alignment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0" fontId="94" fillId="0" borderId="288">
      <alignment horizontal="centerContinuous" vertical="center"/>
    </xf>
    <xf numFmtId="0" fontId="6" fillId="0" borderId="288">
      <alignment horizontal="centerContinuous" vertical="center"/>
    </xf>
    <xf numFmtId="0" fontId="94" fillId="0" borderId="288">
      <alignment horizontal="centerContinuous" vertical="center"/>
    </xf>
    <xf numFmtId="0" fontId="186" fillId="0" borderId="250" applyProtection="0">
      <alignment vertical="center"/>
    </xf>
    <xf numFmtId="322" fontId="9" fillId="0" borderId="332">
      <alignment horizontal="centerContinuous" vertical="center"/>
    </xf>
    <xf numFmtId="10" fontId="39" fillId="2" borderId="330" applyNumberFormat="0" applyBorder="0" applyAlignment="0" applyProtection="0"/>
    <xf numFmtId="0" fontId="6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322" fontId="9" fillId="0" borderId="320">
      <alignment horizontal="centerContinuous" vertical="center"/>
    </xf>
    <xf numFmtId="0" fontId="117" fillId="0" borderId="308">
      <alignment horizontal="centerContinuous" vertical="center"/>
    </xf>
    <xf numFmtId="185" fontId="8" fillId="0" borderId="306">
      <alignment vertical="center"/>
    </xf>
    <xf numFmtId="230" fontId="6" fillId="0" borderId="274">
      <alignment vertical="center"/>
    </xf>
    <xf numFmtId="200" fontId="6" fillId="0" borderId="274">
      <alignment vertical="center"/>
    </xf>
    <xf numFmtId="0" fontId="159" fillId="0" borderId="260" applyNumberFormat="0" applyFill="0" applyAlignment="0" applyProtection="0">
      <alignment vertical="center"/>
    </xf>
    <xf numFmtId="0" fontId="159" fillId="0" borderId="260" applyNumberFormat="0" applyFill="0" applyAlignment="0" applyProtection="0">
      <alignment vertical="center"/>
    </xf>
    <xf numFmtId="0" fontId="159" fillId="0" borderId="260" applyNumberFormat="0" applyFill="0" applyAlignment="0" applyProtection="0">
      <alignment vertical="center"/>
    </xf>
    <xf numFmtId="0" fontId="6" fillId="0" borderId="320">
      <alignment horizontal="centerContinuous" vertical="center"/>
    </xf>
    <xf numFmtId="0" fontId="54" fillId="28" borderId="259" applyNumberFormat="0" applyFont="0" applyAlignment="0" applyProtection="0">
      <alignment vertical="center"/>
    </xf>
    <xf numFmtId="0" fontId="165" fillId="22" borderId="257" applyNumberFormat="0" applyAlignment="0" applyProtection="0">
      <alignment vertical="center"/>
    </xf>
    <xf numFmtId="0" fontId="159" fillId="0" borderId="260" applyNumberFormat="0" applyFill="0" applyAlignment="0" applyProtection="0">
      <alignment vertical="center"/>
    </xf>
    <xf numFmtId="0" fontId="54" fillId="28" borderId="259" applyNumberFormat="0" applyFont="0" applyAlignment="0" applyProtection="0">
      <alignment vertical="center"/>
    </xf>
    <xf numFmtId="0" fontId="185" fillId="22" borderId="257" applyNumberFormat="0" applyAlignment="0" applyProtection="0">
      <alignment vertical="center"/>
    </xf>
    <xf numFmtId="218" fontId="9" fillId="0" borderId="252">
      <alignment horizontal="centerContinuous" vertical="center"/>
    </xf>
    <xf numFmtId="0" fontId="50" fillId="3" borderId="251">
      <alignment vertical="center"/>
    </xf>
    <xf numFmtId="240" fontId="6" fillId="0" borderId="342">
      <alignment horizontal="right" vertical="center"/>
    </xf>
    <xf numFmtId="0" fontId="117" fillId="0" borderId="344">
      <alignment horizontal="centerContinuous" vertical="center"/>
    </xf>
    <xf numFmtId="0" fontId="9" fillId="0" borderId="253">
      <alignment horizontal="distributed"/>
    </xf>
    <xf numFmtId="0" fontId="9" fillId="0" borderId="253">
      <alignment horizontal="distributed"/>
    </xf>
    <xf numFmtId="242" fontId="6" fillId="0" borderId="342">
      <alignment horizontal="right" vertical="center"/>
    </xf>
    <xf numFmtId="0" fontId="50" fillId="3" borderId="251">
      <alignment vertical="center"/>
    </xf>
    <xf numFmtId="3" fontId="57" fillId="0" borderId="354"/>
    <xf numFmtId="234" fontId="117" fillId="0" borderId="354">
      <alignment vertical="center"/>
    </xf>
    <xf numFmtId="0" fontId="54" fillId="28" borderId="362" applyNumberFormat="0" applyFont="0" applyAlignment="0" applyProtection="0">
      <alignment vertical="center"/>
    </xf>
    <xf numFmtId="0" fontId="41" fillId="0" borderId="251">
      <alignment horizontal="left" vertical="center"/>
    </xf>
    <xf numFmtId="0" fontId="41" fillId="0" borderId="251">
      <alignment horizontal="left" vertical="center"/>
    </xf>
    <xf numFmtId="0" fontId="41" fillId="0" borderId="251">
      <alignment horizontal="left" vertical="center"/>
    </xf>
    <xf numFmtId="0" fontId="41" fillId="0" borderId="251">
      <alignment horizontal="left" vertical="center"/>
    </xf>
    <xf numFmtId="0" fontId="94" fillId="0" borderId="276">
      <alignment horizontal="centerContinuous" vertical="center"/>
    </xf>
    <xf numFmtId="230" fontId="6" fillId="0" borderId="318">
      <alignment vertical="center"/>
    </xf>
    <xf numFmtId="240" fontId="6" fillId="0" borderId="318">
      <alignment horizontal="right" vertical="center"/>
    </xf>
    <xf numFmtId="0" fontId="165" fillId="22" borderId="349" applyNumberFormat="0" applyAlignment="0" applyProtection="0">
      <alignment vertical="center"/>
    </xf>
    <xf numFmtId="0" fontId="9" fillId="0" borderId="342">
      <alignment horizontal="distributed" vertical="center"/>
    </xf>
    <xf numFmtId="3" fontId="57" fillId="0" borderId="342"/>
    <xf numFmtId="218" fontId="6" fillId="0" borderId="286">
      <alignment vertical="center"/>
    </xf>
    <xf numFmtId="322" fontId="9" fillId="0" borderId="320">
      <alignment horizontal="centerContinuous" vertical="center"/>
    </xf>
    <xf numFmtId="218" fontId="6" fillId="0" borderId="286">
      <alignment vertical="center"/>
    </xf>
    <xf numFmtId="3" fontId="57" fillId="0" borderId="342"/>
    <xf numFmtId="0" fontId="56" fillId="0" borderId="318"/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6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0" fontId="94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322" fontId="9" fillId="0" borderId="252">
      <alignment horizontal="centerContinuous" vertical="center"/>
    </xf>
    <xf numFmtId="218" fontId="9" fillId="0" borderId="252">
      <alignment horizontal="centerContinuous" vertical="center"/>
    </xf>
    <xf numFmtId="218" fontId="9" fillId="0" borderId="252">
      <alignment horizontal="centerContinuous" vertical="center"/>
    </xf>
    <xf numFmtId="218" fontId="9" fillId="0" borderId="252">
      <alignment horizontal="centerContinuous" vertical="center"/>
    </xf>
    <xf numFmtId="185" fontId="235" fillId="0" borderId="250"/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117" fillId="0" borderId="252">
      <alignment horizontal="centerContinuous" vertical="center"/>
    </xf>
    <xf numFmtId="0" fontId="6" fillId="0" borderId="318">
      <alignment vertical="center"/>
    </xf>
    <xf numFmtId="41" fontId="56" fillId="0" borderId="318" applyNumberFormat="0" applyFont="0" applyFill="0" applyBorder="0" applyProtection="0">
      <alignment horizontal="distributed"/>
    </xf>
    <xf numFmtId="241" fontId="6" fillId="0" borderId="342">
      <alignment horizontal="right" vertical="center"/>
    </xf>
    <xf numFmtId="176" fontId="6" fillId="0" borderId="250">
      <alignment vertical="center"/>
    </xf>
    <xf numFmtId="0" fontId="134" fillId="0" borderId="274">
      <alignment vertical="center"/>
    </xf>
    <xf numFmtId="0" fontId="117" fillId="0" borderId="320">
      <alignment horizontal="centerContinuous" vertical="center"/>
    </xf>
    <xf numFmtId="0" fontId="92" fillId="0" borderId="318"/>
    <xf numFmtId="176" fontId="6" fillId="0" borderId="286">
      <alignment vertical="center"/>
    </xf>
    <xf numFmtId="322" fontId="9" fillId="0" borderId="320">
      <alignment horizontal="centerContinuous" vertical="center"/>
    </xf>
    <xf numFmtId="200" fontId="6" fillId="0" borderId="342">
      <alignment vertical="center"/>
    </xf>
    <xf numFmtId="221" fontId="117" fillId="0" borderId="250">
      <alignment vertical="center"/>
    </xf>
    <xf numFmtId="236" fontId="6" fillId="0" borderId="250">
      <alignment vertical="center"/>
    </xf>
    <xf numFmtId="0" fontId="134" fillId="0" borderId="306">
      <alignment vertical="center"/>
    </xf>
    <xf numFmtId="0" fontId="94" fillId="0" borderId="320">
      <alignment horizontal="centerContinuous" vertical="center"/>
    </xf>
    <xf numFmtId="242" fontId="6" fillId="0" borderId="342">
      <alignment horizontal="right" vertical="center"/>
    </xf>
    <xf numFmtId="240" fontId="6" fillId="0" borderId="286">
      <alignment horizontal="right" vertical="center"/>
    </xf>
    <xf numFmtId="3" fontId="57" fillId="0" borderId="342"/>
    <xf numFmtId="0" fontId="94" fillId="0" borderId="308">
      <alignment horizontal="centerContinuous" vertical="center"/>
    </xf>
    <xf numFmtId="0" fontId="186" fillId="0" borderId="306" applyProtection="0">
      <alignment vertical="center"/>
    </xf>
    <xf numFmtId="185" fontId="9" fillId="0" borderId="274">
      <alignment horizontal="center" vertical="center"/>
    </xf>
    <xf numFmtId="185" fontId="8" fillId="0" borderId="274">
      <alignment vertical="center"/>
    </xf>
    <xf numFmtId="218" fontId="9" fillId="0" borderId="344">
      <alignment horizontal="centerContinuous" vertical="center"/>
    </xf>
    <xf numFmtId="3" fontId="57" fillId="0" borderId="274"/>
    <xf numFmtId="3" fontId="57" fillId="0" borderId="274"/>
    <xf numFmtId="0" fontId="82" fillId="0" borderId="274"/>
    <xf numFmtId="0" fontId="54" fillId="28" borderId="351" applyNumberFormat="0" applyFont="0" applyAlignment="0" applyProtection="0">
      <alignment vertical="center"/>
    </xf>
    <xf numFmtId="0" fontId="92" fillId="0" borderId="298"/>
    <xf numFmtId="0" fontId="6" fillId="0" borderId="308">
      <alignment horizontal="centerContinuous" vertical="center"/>
    </xf>
    <xf numFmtId="0" fontId="224" fillId="0" borderId="356">
      <alignment horizontal="centerContinuous" vertical="center"/>
    </xf>
    <xf numFmtId="3" fontId="6" fillId="0" borderId="330"/>
    <xf numFmtId="191" fontId="6" fillId="0" borderId="342">
      <alignment vertical="center"/>
    </xf>
    <xf numFmtId="218" fontId="6" fillId="0" borderId="274">
      <alignment vertical="center"/>
    </xf>
    <xf numFmtId="0" fontId="54" fillId="28" borderId="315" applyNumberFormat="0" applyFont="0" applyAlignment="0" applyProtection="0">
      <alignment vertical="center"/>
    </xf>
    <xf numFmtId="3" fontId="57" fillId="0" borderId="274"/>
    <xf numFmtId="234" fontId="117" fillId="0" borderId="274">
      <alignment vertical="center"/>
    </xf>
    <xf numFmtId="0" fontId="6" fillId="0" borderId="274">
      <alignment horizontal="right" vertical="center" shrinkToFit="1"/>
    </xf>
    <xf numFmtId="200" fontId="6" fillId="0" borderId="286">
      <alignment vertical="center"/>
    </xf>
    <xf numFmtId="191" fontId="6" fillId="0" borderId="286">
      <alignment vertical="center"/>
    </xf>
    <xf numFmtId="191" fontId="6" fillId="0" borderId="342">
      <alignment vertical="center"/>
    </xf>
    <xf numFmtId="0" fontId="6" fillId="0" borderId="318">
      <alignment horizontal="right" vertical="center" shrinkToFit="1"/>
    </xf>
    <xf numFmtId="0" fontId="6" fillId="0" borderId="318">
      <alignment horizontal="right" vertical="center" shrinkToFit="1"/>
    </xf>
    <xf numFmtId="200" fontId="6" fillId="0" borderId="330">
      <alignment vertical="center"/>
    </xf>
    <xf numFmtId="230" fontId="6" fillId="0" borderId="330">
      <alignment vertical="center"/>
    </xf>
    <xf numFmtId="0" fontId="6" fillId="0" borderId="286">
      <alignment horizontal="right" vertical="center" shrinkToFit="1"/>
    </xf>
    <xf numFmtId="0" fontId="6" fillId="0" borderId="286">
      <alignment horizontal="right" vertical="center" shrinkToFit="1"/>
    </xf>
    <xf numFmtId="0" fontId="6" fillId="0" borderId="286">
      <alignment horizontal="right" vertical="center" shrinkToFit="1"/>
    </xf>
    <xf numFmtId="3" fontId="57" fillId="0" borderId="286"/>
    <xf numFmtId="3" fontId="57" fillId="0" borderId="286"/>
    <xf numFmtId="0" fontId="6" fillId="0" borderId="330">
      <alignment horizontal="right" vertical="center" shrinkToFit="1"/>
    </xf>
    <xf numFmtId="236" fontId="6" fillId="0" borderId="342">
      <alignment vertical="center"/>
    </xf>
    <xf numFmtId="238" fontId="6" fillId="0" borderId="318">
      <alignment vertical="center"/>
    </xf>
    <xf numFmtId="322" fontId="9" fillId="0" borderId="332">
      <alignment horizontal="centerContinuous" vertical="center"/>
    </xf>
    <xf numFmtId="218" fontId="6" fillId="0" borderId="330">
      <alignment vertical="center"/>
    </xf>
    <xf numFmtId="176" fontId="6" fillId="0" borderId="330">
      <alignment vertical="center"/>
    </xf>
    <xf numFmtId="242" fontId="6" fillId="0" borderId="330">
      <alignment horizontal="right" vertical="center"/>
    </xf>
    <xf numFmtId="0" fontId="56" fillId="0" borderId="330"/>
    <xf numFmtId="0" fontId="56" fillId="0" borderId="330"/>
    <xf numFmtId="0" fontId="153" fillId="22" borderId="326" applyNumberFormat="0" applyAlignment="0" applyProtection="0">
      <alignment vertical="center"/>
    </xf>
    <xf numFmtId="0" fontId="57" fillId="28" borderId="327" applyNumberFormat="0" applyFont="0" applyAlignment="0" applyProtection="0">
      <alignment vertical="center"/>
    </xf>
    <xf numFmtId="191" fontId="6" fillId="0" borderId="342">
      <alignment vertical="center"/>
    </xf>
    <xf numFmtId="191" fontId="6" fillId="0" borderId="342">
      <alignment vertical="center"/>
    </xf>
    <xf numFmtId="191" fontId="6" fillId="0" borderId="342">
      <alignment vertical="center"/>
    </xf>
    <xf numFmtId="176" fontId="6" fillId="0" borderId="330">
      <alignment vertical="center"/>
    </xf>
    <xf numFmtId="0" fontId="92" fillId="0" borderId="298"/>
    <xf numFmtId="0" fontId="6" fillId="0" borderId="332">
      <alignment horizontal="centerContinuous" vertical="center"/>
    </xf>
    <xf numFmtId="0" fontId="94" fillId="0" borderId="320">
      <alignment horizontal="centerContinuous" vertical="center"/>
    </xf>
    <xf numFmtId="256" fontId="117" fillId="0" borderId="342" applyBorder="0">
      <alignment vertical="center"/>
    </xf>
    <xf numFmtId="0" fontId="57" fillId="28" borderId="283" applyNumberFormat="0" applyFont="0" applyAlignment="0" applyProtection="0">
      <alignment vertical="center"/>
    </xf>
    <xf numFmtId="0" fontId="57" fillId="28" borderId="283" applyNumberFormat="0" applyFont="0" applyAlignment="0" applyProtection="0">
      <alignment vertical="center"/>
    </xf>
    <xf numFmtId="238" fontId="6" fillId="0" borderId="330">
      <alignment vertical="center"/>
    </xf>
    <xf numFmtId="41" fontId="9" fillId="0" borderId="318">
      <alignment horizontal="center" vertical="center"/>
    </xf>
    <xf numFmtId="3" fontId="57" fillId="0" borderId="318"/>
    <xf numFmtId="0" fontId="11" fillId="0" borderId="298" applyNumberFormat="0" applyFont="0" applyFill="0" applyAlignment="0" applyProtection="0">
      <alignment horizontal="center" vertical="center"/>
    </xf>
    <xf numFmtId="0" fontId="6" fillId="0" borderId="298" applyNumberFormat="0" applyFill="0" applyProtection="0">
      <alignment vertical="center"/>
    </xf>
    <xf numFmtId="256" fontId="117" fillId="0" borderId="274" applyBorder="0">
      <alignment vertical="center"/>
    </xf>
    <xf numFmtId="0" fontId="6" fillId="0" borderId="250">
      <alignment horizontal="right" vertical="center" shrinkToFit="1"/>
    </xf>
    <xf numFmtId="230" fontId="6" fillId="0" borderId="318">
      <alignment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0" fontId="153" fillId="22" borderId="270" applyNumberFormat="0" applyAlignment="0" applyProtection="0">
      <alignment vertical="center"/>
    </xf>
    <xf numFmtId="0" fontId="6" fillId="0" borderId="308">
      <alignment horizontal="centerContinuous" vertical="center"/>
    </xf>
    <xf numFmtId="218" fontId="9" fillId="0" borderId="320">
      <alignment horizontal="centerContinuous" vertical="center"/>
    </xf>
    <xf numFmtId="218" fontId="9" fillId="0" borderId="320">
      <alignment horizontal="centerContinuous" vertical="center"/>
    </xf>
    <xf numFmtId="322" fontId="9" fillId="0" borderId="356">
      <alignment horizontal="centerContinuous" vertical="center"/>
    </xf>
    <xf numFmtId="236" fontId="6" fillId="0" borderId="330">
      <alignment vertical="center"/>
    </xf>
    <xf numFmtId="238" fontId="6" fillId="0" borderId="330">
      <alignment vertical="center"/>
    </xf>
    <xf numFmtId="3" fontId="57" fillId="0" borderId="342"/>
    <xf numFmtId="256" fontId="117" fillId="0" borderId="286" applyBorder="0">
      <alignment vertical="center"/>
    </xf>
    <xf numFmtId="256" fontId="117" fillId="0" borderId="286" applyBorder="0">
      <alignment vertical="center"/>
    </xf>
    <xf numFmtId="0" fontId="9" fillId="0" borderId="342">
      <alignment horizontal="distributed" vertical="center"/>
    </xf>
    <xf numFmtId="41" fontId="9" fillId="0" borderId="208">
      <alignment horizontal="center" vertical="center"/>
    </xf>
    <xf numFmtId="3" fontId="57" fillId="0" borderId="306"/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242" fontId="6" fillId="0" borderId="262">
      <alignment horizontal="right" vertical="center"/>
    </xf>
    <xf numFmtId="0" fontId="186" fillId="0" borderId="318" applyProtection="0">
      <alignment vertical="center"/>
    </xf>
    <xf numFmtId="241" fontId="6" fillId="0" borderId="274">
      <alignment horizontal="right" vertical="center"/>
    </xf>
    <xf numFmtId="241" fontId="6" fillId="0" borderId="318">
      <alignment horizontal="right" vertical="center"/>
    </xf>
    <xf numFmtId="0" fontId="41" fillId="0" borderId="331">
      <alignment horizontal="left" vertical="center"/>
    </xf>
    <xf numFmtId="240" fontId="6" fillId="0" borderId="330">
      <alignment horizontal="right" vertical="center"/>
    </xf>
    <xf numFmtId="0" fontId="9" fillId="0" borderId="354">
      <alignment horizontal="distributed" vertical="center"/>
    </xf>
    <xf numFmtId="0" fontId="94" fillId="0" borderId="276">
      <alignment horizontal="centerContinuous" vertical="center"/>
    </xf>
    <xf numFmtId="0" fontId="134" fillId="0" borderId="286">
      <alignment vertical="center"/>
    </xf>
    <xf numFmtId="185" fontId="8" fillId="0" borderId="306">
      <alignment vertical="center"/>
    </xf>
    <xf numFmtId="236" fontId="6" fillId="0" borderId="306">
      <alignment vertical="center"/>
    </xf>
    <xf numFmtId="191" fontId="6" fillId="0" borderId="306">
      <alignment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50" fillId="3" borderId="251">
      <alignment vertical="center"/>
    </xf>
    <xf numFmtId="246" fontId="117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0" fontId="117" fillId="0" borderId="308">
      <alignment horizontal="centerContinuous" vertical="center"/>
    </xf>
    <xf numFmtId="338" fontId="19" fillId="0" borderId="306"/>
    <xf numFmtId="338" fontId="19" fillId="0" borderId="306"/>
    <xf numFmtId="0" fontId="153" fillId="22" borderId="314" applyNumberFormat="0" applyAlignment="0" applyProtection="0">
      <alignment vertical="center"/>
    </xf>
    <xf numFmtId="186" fontId="14" fillId="0" borderId="312"/>
    <xf numFmtId="0" fontId="94" fillId="0" borderId="332">
      <alignment horizontal="centerContinuous" vertical="center"/>
    </xf>
    <xf numFmtId="206" fontId="6" fillId="0" borderId="342">
      <alignment vertical="center"/>
    </xf>
    <xf numFmtId="0" fontId="9" fillId="0" borderId="318">
      <alignment horizontal="distributed" vertical="center"/>
    </xf>
    <xf numFmtId="231" fontId="117" fillId="0" borderId="330">
      <alignment vertical="center"/>
    </xf>
    <xf numFmtId="0" fontId="56" fillId="0" borderId="274"/>
    <xf numFmtId="0" fontId="117" fillId="0" borderId="276">
      <alignment horizontal="centerContinuous" vertical="center"/>
    </xf>
    <xf numFmtId="218" fontId="6" fillId="0" borderId="318">
      <alignment vertical="center"/>
    </xf>
    <xf numFmtId="0" fontId="6" fillId="0" borderId="306">
      <alignment horizontal="right" vertical="center" shrinkToFit="1"/>
    </xf>
    <xf numFmtId="0" fontId="6" fillId="0" borderId="354">
      <alignment horizontal="right" vertical="center" shrinkToFit="1"/>
    </xf>
    <xf numFmtId="0" fontId="9" fillId="0" borderId="289">
      <alignment horizontal="distributed"/>
    </xf>
    <xf numFmtId="0" fontId="9" fillId="0" borderId="289">
      <alignment horizontal="distributed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0" fontId="9" fillId="0" borderId="308">
      <alignment horizontal="centerContinuous" vertical="center"/>
    </xf>
    <xf numFmtId="200" fontId="6" fillId="0" borderId="274">
      <alignment vertical="center"/>
    </xf>
    <xf numFmtId="0" fontId="232" fillId="0" borderId="250" applyFont="0" applyFill="0" applyBorder="0" applyAlignment="0" applyProtection="0">
      <alignment horizontal="centerContinuous" vertical="center"/>
    </xf>
    <xf numFmtId="191" fontId="6" fillId="0" borderId="274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176" fontId="6" fillId="0" borderId="330">
      <alignment vertical="center"/>
    </xf>
    <xf numFmtId="0" fontId="57" fillId="28" borderId="295" applyNumberFormat="0" applyFont="0" applyAlignment="0" applyProtection="0">
      <alignment vertical="center"/>
    </xf>
    <xf numFmtId="240" fontId="6" fillId="0" borderId="318">
      <alignment horizontal="right" vertical="center"/>
    </xf>
    <xf numFmtId="0" fontId="160" fillId="12" borderId="258" applyNumberFormat="0" applyAlignment="0" applyProtection="0">
      <alignment vertical="center"/>
    </xf>
    <xf numFmtId="0" fontId="160" fillId="12" borderId="258" applyNumberFormat="0" applyAlignment="0" applyProtection="0">
      <alignment vertical="center"/>
    </xf>
    <xf numFmtId="0" fontId="6" fillId="0" borderId="318">
      <alignment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117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344">
      <alignment horizontal="centerContinuous" vertical="center"/>
    </xf>
    <xf numFmtId="3" fontId="57" fillId="0" borderId="298"/>
    <xf numFmtId="0" fontId="41" fillId="0" borderId="355">
      <alignment horizontal="left" vertical="center"/>
    </xf>
    <xf numFmtId="200" fontId="6" fillId="0" borderId="318">
      <alignment vertical="center"/>
    </xf>
    <xf numFmtId="242" fontId="6" fillId="0" borderId="306">
      <alignment horizontal="right" vertical="center"/>
    </xf>
    <xf numFmtId="322" fontId="9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" fontId="57" fillId="0" borderId="306"/>
    <xf numFmtId="191" fontId="6" fillId="0" borderId="318">
      <alignment vertical="center"/>
    </xf>
    <xf numFmtId="322" fontId="9" fillId="0" borderId="332">
      <alignment horizontal="centerContinuous" vertical="center"/>
    </xf>
    <xf numFmtId="206" fontId="6" fillId="0" borderId="306">
      <alignment vertical="center"/>
    </xf>
    <xf numFmtId="206" fontId="6" fillId="0" borderId="306">
      <alignment vertical="center"/>
    </xf>
    <xf numFmtId="206" fontId="6" fillId="0" borderId="306">
      <alignment vertical="center"/>
    </xf>
    <xf numFmtId="0" fontId="6" fillId="0" borderId="274">
      <alignment vertical="center"/>
    </xf>
    <xf numFmtId="200" fontId="6" fillId="0" borderId="318">
      <alignment vertical="center"/>
    </xf>
    <xf numFmtId="185" fontId="235" fillId="0" borderId="262"/>
    <xf numFmtId="0" fontId="6" fillId="0" borderId="356">
      <alignment horizontal="centerContinuous" vertical="center"/>
    </xf>
    <xf numFmtId="240" fontId="6" fillId="0" borderId="330">
      <alignment horizontal="right" vertical="center"/>
    </xf>
    <xf numFmtId="0" fontId="117" fillId="0" borderId="332">
      <alignment horizontal="centerContinuous" vertical="center"/>
    </xf>
    <xf numFmtId="218" fontId="9" fillId="0" borderId="332">
      <alignment horizontal="centerContinuous" vertical="center"/>
    </xf>
    <xf numFmtId="0" fontId="57" fillId="28" borderId="295" applyNumberFormat="0" applyFont="0" applyAlignment="0" applyProtection="0">
      <alignment vertical="center"/>
    </xf>
    <xf numFmtId="309" fontId="9" fillId="0" borderId="208" applyFill="0" applyBorder="0" applyAlignment="0"/>
    <xf numFmtId="0" fontId="117" fillId="0" borderId="356">
      <alignment horizontal="centerContinuous" vertical="center"/>
    </xf>
    <xf numFmtId="236" fontId="6" fillId="0" borderId="250">
      <alignment vertical="center"/>
    </xf>
    <xf numFmtId="244" fontId="117" fillId="0" borderId="354">
      <alignment vertical="center"/>
    </xf>
    <xf numFmtId="240" fontId="6" fillId="0" borderId="250">
      <alignment horizontal="right" vertical="center"/>
    </xf>
    <xf numFmtId="241" fontId="6" fillId="0" borderId="250">
      <alignment horizontal="right" vertical="center"/>
    </xf>
    <xf numFmtId="200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231" fontId="117" fillId="0" borderId="262">
      <alignment vertical="center"/>
    </xf>
    <xf numFmtId="322" fontId="9" fillId="0" borderId="356">
      <alignment horizontal="centerContinuous" vertical="center"/>
    </xf>
    <xf numFmtId="257" fontId="117" fillId="0" borderId="262" applyBorder="0">
      <alignment horizontal="left" vertical="center"/>
    </xf>
    <xf numFmtId="191" fontId="6" fillId="0" borderId="274">
      <alignment vertical="center"/>
    </xf>
    <xf numFmtId="185" fontId="8" fillId="0" borderId="262">
      <alignment vertical="center"/>
    </xf>
    <xf numFmtId="3" fontId="57" fillId="0" borderId="262"/>
    <xf numFmtId="10" fontId="39" fillId="2" borderId="330" applyNumberFormat="0" applyBorder="0" applyAlignment="0" applyProtection="0"/>
    <xf numFmtId="239" fontId="117" fillId="0" borderId="354">
      <alignment horizontal="right" vertical="center"/>
    </xf>
    <xf numFmtId="242" fontId="6" fillId="0" borderId="330">
      <alignment horizontal="right" vertical="center"/>
    </xf>
    <xf numFmtId="0" fontId="94" fillId="0" borderId="264">
      <alignment horizontal="centerContinuous" vertical="center"/>
    </xf>
    <xf numFmtId="0" fontId="6" fillId="0" borderId="264">
      <alignment horizontal="centerContinuous" vertical="center"/>
    </xf>
    <xf numFmtId="185" fontId="8" fillId="0" borderId="262">
      <alignment vertical="center"/>
    </xf>
    <xf numFmtId="10" fontId="39" fillId="4" borderId="298" applyNumberFormat="0" applyBorder="0" applyAlignment="0" applyProtection="0"/>
    <xf numFmtId="206" fontId="6" fillId="0" borderId="274">
      <alignment vertical="center"/>
    </xf>
    <xf numFmtId="239" fontId="117" fillId="0" borderId="262">
      <alignment horizontal="right" vertical="center"/>
    </xf>
    <xf numFmtId="243" fontId="117" fillId="0" borderId="262">
      <alignment vertical="center"/>
    </xf>
    <xf numFmtId="338" fontId="19" fillId="0" borderId="318"/>
    <xf numFmtId="10" fontId="39" fillId="4" borderId="208" applyNumberFormat="0" applyBorder="0" applyAlignment="0" applyProtection="0"/>
    <xf numFmtId="191" fontId="6" fillId="0" borderId="274">
      <alignment vertical="center"/>
    </xf>
    <xf numFmtId="0" fontId="184" fillId="0" borderId="208" applyFill="0" applyBorder="0" applyProtection="0">
      <alignment vertical="center"/>
    </xf>
    <xf numFmtId="0" fontId="6" fillId="0" borderId="320">
      <alignment horizontal="centerContinuous" vertical="center"/>
    </xf>
    <xf numFmtId="0" fontId="6" fillId="0" borderId="274">
      <alignment vertical="center"/>
    </xf>
    <xf numFmtId="176" fontId="6" fillId="0" borderId="274">
      <alignment vertical="center"/>
    </xf>
    <xf numFmtId="0" fontId="186" fillId="0" borderId="208" applyProtection="0">
      <alignment vertical="center"/>
    </xf>
    <xf numFmtId="206" fontId="6" fillId="0" borderId="286">
      <alignment vertical="center"/>
    </xf>
    <xf numFmtId="0" fontId="153" fillId="22" borderId="258" applyNumberFormat="0" applyAlignment="0" applyProtection="0">
      <alignment vertical="center"/>
    </xf>
    <xf numFmtId="37" fontId="117" fillId="0" borderId="318">
      <alignment horizontal="center" vertical="distributed"/>
    </xf>
    <xf numFmtId="241" fontId="6" fillId="0" borderId="306">
      <alignment horizontal="right" vertical="center"/>
    </xf>
    <xf numFmtId="0" fontId="6" fillId="0" borderId="308">
      <alignment horizontal="centerContinuous" vertical="center"/>
    </xf>
    <xf numFmtId="230" fontId="6" fillId="0" borderId="274">
      <alignment vertical="center"/>
    </xf>
    <xf numFmtId="230" fontId="6" fillId="0" borderId="274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200" fontId="6" fillId="0" borderId="330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40" fontId="6" fillId="0" borderId="306">
      <alignment horizontal="right" vertical="center"/>
    </xf>
    <xf numFmtId="242" fontId="6" fillId="0" borderId="306">
      <alignment horizontal="right" vertical="center"/>
    </xf>
    <xf numFmtId="236" fontId="6" fillId="0" borderId="306">
      <alignment vertical="center"/>
    </xf>
    <xf numFmtId="235" fontId="117" fillId="0" borderId="306">
      <alignment vertical="center"/>
    </xf>
    <xf numFmtId="322" fontId="9" fillId="0" borderId="308">
      <alignment horizontal="centerContinuous" vertical="center"/>
    </xf>
    <xf numFmtId="0" fontId="94" fillId="0" borderId="308">
      <alignment horizontal="centerContinuous" vertical="center"/>
    </xf>
    <xf numFmtId="322" fontId="9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10" fontId="39" fillId="2" borderId="306" applyNumberFormat="0" applyBorder="0" applyAlignment="0" applyProtection="0"/>
    <xf numFmtId="244" fontId="117" fillId="0" borderId="306">
      <alignment vertical="center"/>
    </xf>
    <xf numFmtId="244" fontId="117" fillId="0" borderId="306">
      <alignment vertical="center"/>
    </xf>
    <xf numFmtId="0" fontId="50" fillId="3" borderId="307">
      <alignment vertical="center"/>
    </xf>
    <xf numFmtId="0" fontId="6" fillId="0" borderId="306">
      <alignment horizontal="right" vertical="center" shrinkToFit="1"/>
    </xf>
    <xf numFmtId="322" fontId="9" fillId="0" borderId="356">
      <alignment horizontal="centerContinuous" vertical="center"/>
    </xf>
    <xf numFmtId="193" fontId="23" fillId="0" borderId="0">
      <protection locked="0"/>
    </xf>
    <xf numFmtId="242" fontId="6" fillId="0" borderId="330">
      <alignment horizontal="right" vertical="center"/>
    </xf>
    <xf numFmtId="0" fontId="94" fillId="0" borderId="356">
      <alignment horizontal="centerContinuous" vertical="center"/>
    </xf>
    <xf numFmtId="0" fontId="92" fillId="0" borderId="274"/>
    <xf numFmtId="0" fontId="92" fillId="0" borderId="274"/>
    <xf numFmtId="0" fontId="92" fillId="0" borderId="274"/>
    <xf numFmtId="191" fontId="6" fillId="0" borderId="286">
      <alignment vertical="center"/>
    </xf>
    <xf numFmtId="230" fontId="6" fillId="0" borderId="286">
      <alignment vertical="center"/>
    </xf>
    <xf numFmtId="200" fontId="6" fillId="0" borderId="286">
      <alignment vertical="center"/>
    </xf>
    <xf numFmtId="191" fontId="6" fillId="0" borderId="286">
      <alignment vertical="center"/>
    </xf>
    <xf numFmtId="191" fontId="6" fillId="0" borderId="286">
      <alignment vertical="center"/>
    </xf>
    <xf numFmtId="322" fontId="9" fillId="0" borderId="356">
      <alignment horizontal="centerContinuous" vertical="center"/>
    </xf>
    <xf numFmtId="256" fontId="117" fillId="0" borderId="274" applyBorder="0">
      <alignment vertical="center"/>
    </xf>
    <xf numFmtId="256" fontId="117" fillId="0" borderId="274" applyBorder="0">
      <alignment vertical="center"/>
    </xf>
    <xf numFmtId="256" fontId="117" fillId="0" borderId="274" applyBorder="0">
      <alignment vertical="center"/>
    </xf>
    <xf numFmtId="0" fontId="9" fillId="0" borderId="274">
      <alignment horizontal="distributed" vertical="center"/>
    </xf>
    <xf numFmtId="0" fontId="9" fillId="0" borderId="274">
      <alignment horizontal="distributed" vertical="center"/>
    </xf>
    <xf numFmtId="0" fontId="9" fillId="0" borderId="274">
      <alignment horizontal="distributed" vertical="center"/>
    </xf>
    <xf numFmtId="0" fontId="9" fillId="0" borderId="277">
      <alignment horizontal="distributed"/>
    </xf>
    <xf numFmtId="0" fontId="9" fillId="0" borderId="277">
      <alignment horizontal="distributed"/>
    </xf>
    <xf numFmtId="0" fontId="9" fillId="0" borderId="277">
      <alignment horizontal="distributed"/>
    </xf>
    <xf numFmtId="0" fontId="9" fillId="0" borderId="277">
      <alignment horizontal="distributed"/>
    </xf>
    <xf numFmtId="185" fontId="9" fillId="0" borderId="274">
      <alignment horizontal="center" vertical="center"/>
    </xf>
    <xf numFmtId="338" fontId="19" fillId="0" borderId="274"/>
    <xf numFmtId="338" fontId="19" fillId="0" borderId="274"/>
    <xf numFmtId="0" fontId="6" fillId="0" borderId="274" applyNumberFormat="0" applyFill="0" applyProtection="0">
      <alignment vertical="center"/>
    </xf>
    <xf numFmtId="0" fontId="50" fillId="3" borderId="275">
      <alignment vertical="center"/>
    </xf>
    <xf numFmtId="218" fontId="9" fillId="0" borderId="276">
      <alignment horizontal="centerContinuous" vertical="center"/>
    </xf>
    <xf numFmtId="0" fontId="185" fillId="22" borderId="281" applyNumberFormat="0" applyAlignment="0" applyProtection="0">
      <alignment vertical="center"/>
    </xf>
    <xf numFmtId="0" fontId="54" fillId="28" borderId="283" applyNumberFormat="0" applyFont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0" fontId="54" fillId="28" borderId="283" applyNumberFormat="0" applyFont="0" applyAlignment="0" applyProtection="0">
      <alignment vertical="center"/>
    </xf>
    <xf numFmtId="240" fontId="6" fillId="0" borderId="342">
      <alignment horizontal="right" vertical="center"/>
    </xf>
    <xf numFmtId="3" fontId="57" fillId="0" borderId="298"/>
    <xf numFmtId="185" fontId="8" fillId="0" borderId="354">
      <alignment vertical="center"/>
    </xf>
    <xf numFmtId="0" fontId="159" fillId="0" borderId="363" applyNumberFormat="0" applyFill="0" applyAlignment="0" applyProtection="0">
      <alignment vertical="center"/>
    </xf>
    <xf numFmtId="0" fontId="41" fillId="0" borderId="343">
      <alignment horizontal="left" vertical="center"/>
    </xf>
    <xf numFmtId="236" fontId="6" fillId="0" borderId="238">
      <alignment vertical="center"/>
    </xf>
    <xf numFmtId="206" fontId="6" fillId="0" borderId="342">
      <alignment vertical="center"/>
    </xf>
    <xf numFmtId="230" fontId="6" fillId="0" borderId="286">
      <alignment vertical="center"/>
    </xf>
    <xf numFmtId="191" fontId="6" fillId="0" borderId="274">
      <alignment vertical="center"/>
    </xf>
    <xf numFmtId="0" fontId="134" fillId="0" borderId="250">
      <alignment vertical="center"/>
    </xf>
    <xf numFmtId="0" fontId="94" fillId="0" borderId="320">
      <alignment horizontal="centerContinuous" vertical="center"/>
    </xf>
    <xf numFmtId="0" fontId="9" fillId="0" borderId="332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193" fontId="23" fillId="0" borderId="0">
      <protection locked="0"/>
    </xf>
    <xf numFmtId="200" fontId="6" fillId="0" borderId="274">
      <alignment vertical="center"/>
    </xf>
    <xf numFmtId="0" fontId="6" fillId="0" borderId="306">
      <alignment vertical="center"/>
    </xf>
    <xf numFmtId="176" fontId="6" fillId="0" borderId="306">
      <alignment vertical="center"/>
    </xf>
    <xf numFmtId="3" fontId="57" fillId="0" borderId="318"/>
    <xf numFmtId="0" fontId="6" fillId="0" borderId="306">
      <alignment vertical="center"/>
    </xf>
    <xf numFmtId="41" fontId="135" fillId="0" borderId="208" applyNumberFormat="0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7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37" fontId="117" fillId="0" borderId="226">
      <alignment horizontal="center" vertical="distributed"/>
    </xf>
    <xf numFmtId="233" fontId="122" fillId="0" borderId="226" applyFill="0" applyBorder="0" applyAlignment="0"/>
    <xf numFmtId="0" fontId="159" fillId="0" borderId="305" applyNumberFormat="0" applyFill="0" applyAlignment="0" applyProtection="0">
      <alignment vertical="center"/>
    </xf>
    <xf numFmtId="0" fontId="117" fillId="0" borderId="320">
      <alignment horizontal="centerContinuous" vertical="center"/>
    </xf>
    <xf numFmtId="191" fontId="6" fillId="0" borderId="318">
      <alignment vertical="center"/>
    </xf>
    <xf numFmtId="230" fontId="6" fillId="0" borderId="318">
      <alignment vertical="center"/>
    </xf>
    <xf numFmtId="0" fontId="134" fillId="0" borderId="330">
      <alignment vertical="center"/>
    </xf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218" fontId="6" fillId="0" borderId="286">
      <alignment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2" fontId="6" fillId="0" borderId="286">
      <alignment horizontal="right" vertical="center"/>
    </xf>
    <xf numFmtId="240" fontId="6" fillId="0" borderId="286">
      <alignment horizontal="right" vertical="center"/>
    </xf>
    <xf numFmtId="0" fontId="117" fillId="0" borderId="332">
      <alignment horizontal="centerContinuous" vertical="center"/>
    </xf>
    <xf numFmtId="218" fontId="9" fillId="0" borderId="332">
      <alignment horizontal="centerContinuous" vertical="center"/>
    </xf>
    <xf numFmtId="322" fontId="9" fillId="0" borderId="332">
      <alignment horizontal="centerContinuous" vertical="center"/>
    </xf>
    <xf numFmtId="0" fontId="94" fillId="0" borderId="332">
      <alignment horizontal="centerContinuous" vertical="center"/>
    </xf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0" fontId="94" fillId="0" borderId="332">
      <alignment horizontal="centerContinuous" vertical="center"/>
    </xf>
    <xf numFmtId="191" fontId="6" fillId="0" borderId="330">
      <alignment vertical="center"/>
    </xf>
    <xf numFmtId="230" fontId="6" fillId="0" borderId="330">
      <alignment vertical="center"/>
    </xf>
    <xf numFmtId="241" fontId="6" fillId="0" borderId="286">
      <alignment horizontal="right" vertical="center"/>
    </xf>
    <xf numFmtId="237" fontId="6" fillId="0" borderId="286">
      <alignment vertical="center"/>
    </xf>
    <xf numFmtId="236" fontId="6" fillId="0" borderId="286">
      <alignment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" fontId="57" fillId="0" borderId="330"/>
    <xf numFmtId="309" fontId="9" fillId="0" borderId="238" applyFill="0" applyBorder="0" applyAlignment="0"/>
    <xf numFmtId="243" fontId="117" fillId="0" borderId="342">
      <alignment vertical="center"/>
    </xf>
    <xf numFmtId="237" fontId="6" fillId="0" borderId="286">
      <alignment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0" fontId="50" fillId="3" borderId="239">
      <alignment vertical="center"/>
    </xf>
    <xf numFmtId="41" fontId="135" fillId="0" borderId="238" applyNumberFormat="0">
      <alignment vertical="center"/>
    </xf>
    <xf numFmtId="0" fontId="82" fillId="0" borderId="298"/>
    <xf numFmtId="176" fontId="6" fillId="0" borderId="318">
      <alignment vertical="center"/>
    </xf>
    <xf numFmtId="185" fontId="8" fillId="0" borderId="286">
      <alignment vertical="center"/>
    </xf>
    <xf numFmtId="200" fontId="6" fillId="0" borderId="330">
      <alignment vertical="center"/>
    </xf>
    <xf numFmtId="10" fontId="39" fillId="4" borderId="274" applyNumberFormat="0" applyBorder="0" applyAlignment="0" applyProtection="0"/>
    <xf numFmtId="0" fontId="6" fillId="0" borderId="274">
      <alignment vertical="center"/>
    </xf>
    <xf numFmtId="246" fontId="117" fillId="0" borderId="274">
      <alignment vertical="center"/>
    </xf>
    <xf numFmtId="236" fontId="6" fillId="0" borderId="274">
      <alignment vertical="center"/>
    </xf>
    <xf numFmtId="3" fontId="56" fillId="0" borderId="342"/>
    <xf numFmtId="3" fontId="56" fillId="0" borderId="342"/>
    <xf numFmtId="3" fontId="56" fillId="0" borderId="342"/>
    <xf numFmtId="191" fontId="6" fillId="0" borderId="330">
      <alignment vertical="center"/>
    </xf>
    <xf numFmtId="41" fontId="9" fillId="0" borderId="250">
      <alignment horizontal="center" vertical="center"/>
    </xf>
    <xf numFmtId="206" fontId="6" fillId="0" borderId="318">
      <alignment vertical="center"/>
    </xf>
    <xf numFmtId="206" fontId="6" fillId="0" borderId="318">
      <alignment vertical="center"/>
    </xf>
    <xf numFmtId="230" fontId="6" fillId="0" borderId="342">
      <alignment vertical="center"/>
    </xf>
    <xf numFmtId="41" fontId="9" fillId="0" borderId="342">
      <alignment horizontal="center" vertical="center"/>
    </xf>
    <xf numFmtId="3" fontId="57" fillId="0" borderId="342"/>
    <xf numFmtId="185" fontId="8" fillId="0" borderId="342">
      <alignment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" fontId="57" fillId="0" borderId="342"/>
    <xf numFmtId="0" fontId="50" fillId="3" borderId="343">
      <alignment vertical="center"/>
    </xf>
    <xf numFmtId="0" fontId="92" fillId="0" borderId="342"/>
    <xf numFmtId="3" fontId="57" fillId="0" borderId="342"/>
    <xf numFmtId="322" fontId="9" fillId="0" borderId="308">
      <alignment horizontal="centerContinuous" vertical="center"/>
    </xf>
    <xf numFmtId="191" fontId="6" fillId="0" borderId="306">
      <alignment vertical="center"/>
    </xf>
    <xf numFmtId="239" fontId="117" fillId="0" borderId="318">
      <alignment horizontal="right" vertical="center"/>
    </xf>
    <xf numFmtId="3" fontId="56" fillId="0" borderId="298"/>
    <xf numFmtId="322" fontId="9" fillId="0" borderId="344">
      <alignment horizontal="centerContinuous" vertical="center"/>
    </xf>
    <xf numFmtId="240" fontId="6" fillId="0" borderId="342">
      <alignment horizontal="right" vertical="center"/>
    </xf>
    <xf numFmtId="200" fontId="6" fillId="0" borderId="274">
      <alignment vertical="center"/>
    </xf>
    <xf numFmtId="230" fontId="6" fillId="0" borderId="330">
      <alignment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239" fontId="117" fillId="0" borderId="318">
      <alignment horizontal="right" vertical="center"/>
    </xf>
    <xf numFmtId="10" fontId="39" fillId="2" borderId="318" applyNumberFormat="0" applyBorder="0" applyAlignment="0" applyProtection="0"/>
    <xf numFmtId="243" fontId="117" fillId="0" borderId="298">
      <alignment vertical="center"/>
    </xf>
    <xf numFmtId="0" fontId="41" fillId="0" borderId="319">
      <alignment horizontal="left" vertical="center"/>
    </xf>
    <xf numFmtId="0" fontId="50" fillId="3" borderId="355">
      <alignment vertical="center"/>
    </xf>
    <xf numFmtId="0" fontId="9" fillId="0" borderId="253">
      <alignment horizontal="distributed"/>
    </xf>
    <xf numFmtId="0" fontId="9" fillId="0" borderId="253">
      <alignment horizontal="distributed"/>
    </xf>
    <xf numFmtId="0" fontId="9" fillId="0" borderId="253">
      <alignment horizontal="distributed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7" fontId="6" fillId="0" borderId="250">
      <alignment vertical="center"/>
    </xf>
    <xf numFmtId="236" fontId="6" fillId="0" borderId="250">
      <alignment vertical="center"/>
    </xf>
    <xf numFmtId="191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200" fontId="6" fillId="0" borderId="318">
      <alignment vertical="center"/>
    </xf>
    <xf numFmtId="176" fontId="6" fillId="0" borderId="262">
      <alignment vertical="center"/>
    </xf>
    <xf numFmtId="249" fontId="6" fillId="0" borderId="262">
      <alignment vertical="center"/>
    </xf>
    <xf numFmtId="236" fontId="6" fillId="0" borderId="342">
      <alignment vertical="center"/>
    </xf>
    <xf numFmtId="240" fontId="6" fillId="0" borderId="330">
      <alignment horizontal="right" vertical="center"/>
    </xf>
    <xf numFmtId="0" fontId="134" fillId="0" borderId="274">
      <alignment vertical="center"/>
    </xf>
    <xf numFmtId="230" fontId="6" fillId="0" borderId="342">
      <alignment vertical="center"/>
    </xf>
    <xf numFmtId="230" fontId="6" fillId="0" borderId="306">
      <alignment vertical="center"/>
    </xf>
    <xf numFmtId="200" fontId="6" fillId="0" borderId="286">
      <alignment vertical="center"/>
    </xf>
    <xf numFmtId="0" fontId="56" fillId="0" borderId="330"/>
    <xf numFmtId="206" fontId="6" fillId="0" borderId="342">
      <alignment vertical="center"/>
    </xf>
    <xf numFmtId="240" fontId="6" fillId="0" borderId="250">
      <alignment horizontal="right" vertical="center"/>
    </xf>
    <xf numFmtId="241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00" fontId="6" fillId="0" borderId="250">
      <alignment vertical="center"/>
    </xf>
    <xf numFmtId="249" fontId="6" fillId="0" borderId="342">
      <alignment vertical="center"/>
    </xf>
    <xf numFmtId="249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0" fontId="184" fillId="0" borderId="330" applyFill="0" applyBorder="0" applyProtection="0">
      <alignment vertical="center"/>
    </xf>
    <xf numFmtId="0" fontId="6" fillId="0" borderId="342">
      <alignment horizontal="right" vertical="center" shrinkToFit="1"/>
    </xf>
    <xf numFmtId="230" fontId="6" fillId="0" borderId="306">
      <alignment vertical="center"/>
    </xf>
    <xf numFmtId="322" fontId="9" fillId="0" borderId="344">
      <alignment horizontal="centerContinuous" vertical="center"/>
    </xf>
    <xf numFmtId="191" fontId="6" fillId="0" borderId="306">
      <alignment vertical="center"/>
    </xf>
    <xf numFmtId="322" fontId="9" fillId="0" borderId="332">
      <alignment horizontal="centerContinuous" vertical="center"/>
    </xf>
    <xf numFmtId="0" fontId="50" fillId="3" borderId="355">
      <alignment vertical="center"/>
    </xf>
    <xf numFmtId="256" fontId="117" fillId="0" borderId="318" applyBorder="0">
      <alignment vertical="center"/>
    </xf>
    <xf numFmtId="0" fontId="6" fillId="0" borderId="318">
      <alignment horizontal="right" vertical="center" shrinkToFit="1"/>
    </xf>
    <xf numFmtId="0" fontId="6" fillId="0" borderId="286">
      <alignment horizontal="right" vertical="center" shrinkToFit="1"/>
    </xf>
    <xf numFmtId="0" fontId="160" fillId="12" borderId="326" applyNumberFormat="0" applyAlignment="0" applyProtection="0">
      <alignment vertical="center"/>
    </xf>
    <xf numFmtId="244" fontId="117" fillId="0" borderId="286">
      <alignment vertical="center"/>
    </xf>
    <xf numFmtId="234" fontId="117" fillId="0" borderId="286">
      <alignment vertical="center"/>
    </xf>
    <xf numFmtId="3" fontId="57" fillId="0" borderId="286"/>
    <xf numFmtId="3" fontId="57" fillId="0" borderId="286"/>
    <xf numFmtId="185" fontId="8" fillId="0" borderId="286">
      <alignment vertical="center"/>
    </xf>
    <xf numFmtId="185" fontId="8" fillId="0" borderId="286">
      <alignment vertical="center"/>
    </xf>
    <xf numFmtId="244" fontId="117" fillId="0" borderId="354">
      <alignment vertical="center"/>
    </xf>
    <xf numFmtId="244" fontId="117" fillId="0" borderId="354">
      <alignment vertical="center"/>
    </xf>
    <xf numFmtId="176" fontId="6" fillId="0" borderId="330">
      <alignment vertical="center"/>
    </xf>
    <xf numFmtId="0" fontId="50" fillId="3" borderId="331">
      <alignment vertical="center"/>
    </xf>
    <xf numFmtId="0" fontId="94" fillId="0" borderId="320">
      <alignment horizontal="centerContinuous" vertical="center"/>
    </xf>
    <xf numFmtId="0" fontId="56" fillId="0" borderId="318"/>
    <xf numFmtId="176" fontId="6" fillId="0" borderId="274">
      <alignment vertical="center"/>
    </xf>
    <xf numFmtId="0" fontId="54" fillId="28" borderId="315" applyNumberFormat="0" applyFont="0" applyAlignment="0" applyProtection="0">
      <alignment vertical="center"/>
    </xf>
    <xf numFmtId="191" fontId="6" fillId="0" borderId="286">
      <alignment vertical="center"/>
    </xf>
    <xf numFmtId="200" fontId="6" fillId="0" borderId="274">
      <alignment vertical="center"/>
    </xf>
    <xf numFmtId="0" fontId="134" fillId="0" borderId="250">
      <alignment vertical="center"/>
    </xf>
    <xf numFmtId="322" fontId="9" fillId="0" borderId="308">
      <alignment horizontal="centerContinuous" vertical="center"/>
    </xf>
    <xf numFmtId="3" fontId="57" fillId="0" borderId="286"/>
    <xf numFmtId="0" fontId="6" fillId="28" borderId="327" applyNumberFormat="0" applyFont="0" applyAlignment="0" applyProtection="0">
      <alignment vertical="center"/>
    </xf>
    <xf numFmtId="0" fontId="94" fillId="0" borderId="332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236" fontId="6" fillId="0" borderId="330">
      <alignment vertical="center"/>
    </xf>
    <xf numFmtId="0" fontId="94" fillId="0" borderId="288">
      <alignment horizontal="centerContinuous" vertical="center"/>
    </xf>
    <xf numFmtId="0" fontId="6" fillId="0" borderId="344">
      <alignment horizontal="centerContinuous" vertical="center"/>
    </xf>
    <xf numFmtId="0" fontId="57" fillId="28" borderId="235" applyNumberFormat="0" applyFont="0" applyAlignment="0" applyProtection="0">
      <alignment vertical="center"/>
    </xf>
    <xf numFmtId="0" fontId="57" fillId="28" borderId="235" applyNumberFormat="0" applyFont="0" applyAlignment="0" applyProtection="0">
      <alignment vertical="center"/>
    </xf>
    <xf numFmtId="0" fontId="57" fillId="28" borderId="235" applyNumberFormat="0" applyFont="0" applyAlignment="0" applyProtection="0">
      <alignment vertical="center"/>
    </xf>
    <xf numFmtId="0" fontId="57" fillId="28" borderId="235" applyNumberFormat="0" applyFont="0" applyAlignment="0" applyProtection="0">
      <alignment vertical="center"/>
    </xf>
    <xf numFmtId="0" fontId="6" fillId="28" borderId="235" applyNumberFormat="0" applyFont="0" applyAlignment="0" applyProtection="0">
      <alignment vertical="center"/>
    </xf>
    <xf numFmtId="3" fontId="57" fillId="0" borderId="306"/>
    <xf numFmtId="234" fontId="117" fillId="0" borderId="318">
      <alignment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0" fontId="117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153" fillId="22" borderId="234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9" fillId="0" borderId="264">
      <alignment horizontal="centerContinuous" vertical="center"/>
    </xf>
    <xf numFmtId="0" fontId="9" fillId="0" borderId="264">
      <alignment horizontal="centerContinuous" vertical="center"/>
    </xf>
    <xf numFmtId="0" fontId="9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218" fontId="6" fillId="0" borderId="306">
      <alignment vertical="center"/>
    </xf>
    <xf numFmtId="247" fontId="117" fillId="0" borderId="306">
      <alignment vertical="center"/>
    </xf>
    <xf numFmtId="241" fontId="6" fillId="0" borderId="306">
      <alignment horizontal="right" vertical="center"/>
    </xf>
    <xf numFmtId="206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176" fontId="6" fillId="0" borderId="262">
      <alignment vertical="center"/>
    </xf>
    <xf numFmtId="10" fontId="39" fillId="4" borderId="238" applyNumberFormat="0" applyBorder="0" applyAlignment="0" applyProtection="0"/>
    <xf numFmtId="200" fontId="6" fillId="0" borderId="330">
      <alignment vertical="center"/>
    </xf>
    <xf numFmtId="3" fontId="57" fillId="0" borderId="354"/>
    <xf numFmtId="0" fontId="117" fillId="0" borderId="264">
      <alignment horizontal="centerContinuous" vertical="center"/>
    </xf>
    <xf numFmtId="322" fontId="9" fillId="0" borderId="264">
      <alignment horizontal="centerContinuous" vertical="center"/>
    </xf>
    <xf numFmtId="0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240" fontId="6" fillId="0" borderId="262">
      <alignment horizontal="right" vertical="center"/>
    </xf>
    <xf numFmtId="240" fontId="6" fillId="0" borderId="274">
      <alignment horizontal="right" vertical="center"/>
    </xf>
    <xf numFmtId="0" fontId="92" fillId="0" borderId="298"/>
    <xf numFmtId="206" fontId="6" fillId="0" borderId="318">
      <alignment vertical="center"/>
    </xf>
    <xf numFmtId="0" fontId="94" fillId="0" borderId="276">
      <alignment horizontal="centerContinuous" vertical="center"/>
    </xf>
    <xf numFmtId="3" fontId="57" fillId="0" borderId="262"/>
    <xf numFmtId="241" fontId="6" fillId="0" borderId="318">
      <alignment horizontal="right" vertical="center"/>
    </xf>
    <xf numFmtId="41" fontId="56" fillId="0" borderId="318" applyNumberFormat="0" applyFont="0" applyFill="0" applyBorder="0" applyProtection="0">
      <alignment horizontal="distributed"/>
    </xf>
    <xf numFmtId="0" fontId="6" fillId="0" borderId="342">
      <alignment vertical="center"/>
    </xf>
    <xf numFmtId="242" fontId="6" fillId="0" borderId="306">
      <alignment horizontal="right" vertical="center"/>
    </xf>
    <xf numFmtId="236" fontId="6" fillId="0" borderId="330">
      <alignment vertical="center"/>
    </xf>
    <xf numFmtId="41" fontId="9" fillId="0" borderId="238">
      <alignment horizontal="center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200" fontId="77" fillId="0" borderId="298">
      <alignment vertical="center"/>
    </xf>
    <xf numFmtId="206" fontId="6" fillId="0" borderId="318">
      <alignment vertical="center"/>
    </xf>
    <xf numFmtId="191" fontId="6" fillId="0" borderId="306">
      <alignment vertical="center"/>
    </xf>
    <xf numFmtId="0" fontId="117" fillId="0" borderId="308">
      <alignment horizontal="centerContinuous" vertical="center"/>
    </xf>
    <xf numFmtId="49" fontId="117" fillId="0" borderId="330">
      <alignment horizontal="center" vertical="center"/>
    </xf>
    <xf numFmtId="0" fontId="6" fillId="0" borderId="320">
      <alignment horizontal="centerContinuous" vertical="center"/>
    </xf>
    <xf numFmtId="0" fontId="165" fillId="22" borderId="293" applyNumberFormat="0" applyAlignment="0" applyProtection="0">
      <alignment vertical="center"/>
    </xf>
    <xf numFmtId="0" fontId="165" fillId="22" borderId="293" applyNumberFormat="0" applyAlignment="0" applyProtection="0">
      <alignment vertical="center"/>
    </xf>
    <xf numFmtId="0" fontId="94" fillId="0" borderId="344">
      <alignment horizontal="centerContinuous" vertical="center"/>
    </xf>
    <xf numFmtId="0" fontId="94" fillId="0" borderId="344">
      <alignment horizontal="centerContinuous" vertical="center"/>
    </xf>
    <xf numFmtId="234" fontId="117" fillId="0" borderId="318">
      <alignment vertical="center"/>
    </xf>
    <xf numFmtId="0" fontId="134" fillId="0" borderId="306">
      <alignment vertical="center"/>
    </xf>
    <xf numFmtId="0" fontId="9" fillId="0" borderId="321">
      <alignment horizontal="distributed"/>
    </xf>
    <xf numFmtId="256" fontId="117" fillId="0" borderId="318" applyBorder="0">
      <alignment vertical="center"/>
    </xf>
    <xf numFmtId="0" fontId="6" fillId="0" borderId="342">
      <alignment horizontal="right" vertical="center" shrinkToFit="1"/>
    </xf>
    <xf numFmtId="249" fontId="6" fillId="0" borderId="342">
      <alignment vertical="center"/>
    </xf>
    <xf numFmtId="3" fontId="57" fillId="0" borderId="286"/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6" fillId="0" borderId="344">
      <alignment horizontal="centerContinuous" vertical="center"/>
    </xf>
    <xf numFmtId="236" fontId="6" fillId="0" borderId="286">
      <alignment vertical="center"/>
    </xf>
    <xf numFmtId="0" fontId="41" fillId="0" borderId="343">
      <alignment horizontal="left" vertical="center"/>
    </xf>
    <xf numFmtId="206" fontId="6" fillId="0" borderId="306">
      <alignment vertical="center"/>
    </xf>
    <xf numFmtId="206" fontId="6" fillId="0" borderId="306">
      <alignment vertical="center"/>
    </xf>
    <xf numFmtId="256" fontId="117" fillId="0" borderId="298" applyBorder="0">
      <alignment vertical="center"/>
    </xf>
    <xf numFmtId="191" fontId="6" fillId="0" borderId="318">
      <alignment vertical="center"/>
    </xf>
    <xf numFmtId="249" fontId="6" fillId="0" borderId="330">
      <alignment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" fontId="57" fillId="0" borderId="262"/>
    <xf numFmtId="0" fontId="82" fillId="0" borderId="262"/>
    <xf numFmtId="0" fontId="92" fillId="0" borderId="354"/>
    <xf numFmtId="0" fontId="92" fillId="0" borderId="354"/>
    <xf numFmtId="0" fontId="50" fillId="3" borderId="307">
      <alignment vertical="center"/>
    </xf>
    <xf numFmtId="0" fontId="224" fillId="0" borderId="240">
      <alignment horizontal="centerContinuous" vertical="center"/>
    </xf>
    <xf numFmtId="249" fontId="6" fillId="0" borderId="274">
      <alignment vertical="center"/>
    </xf>
    <xf numFmtId="0" fontId="54" fillId="28" borderId="247" applyNumberFormat="0" applyFont="0" applyAlignment="0" applyProtection="0">
      <alignment vertical="center"/>
    </xf>
    <xf numFmtId="186" fontId="14" fillId="0" borderId="244"/>
    <xf numFmtId="0" fontId="165" fillId="22" borderId="245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0" fontId="54" fillId="28" borderId="247" applyNumberFormat="0" applyFont="0" applyAlignment="0" applyProtection="0">
      <alignment vertical="center"/>
    </xf>
    <xf numFmtId="0" fontId="54" fillId="28" borderId="247" applyNumberFormat="0" applyFont="0" applyAlignment="0" applyProtection="0">
      <alignment vertical="center"/>
    </xf>
    <xf numFmtId="0" fontId="153" fillId="22" borderId="246" applyNumberFormat="0" applyAlignment="0" applyProtection="0">
      <alignment vertical="center"/>
    </xf>
    <xf numFmtId="0" fontId="185" fillId="22" borderId="245" applyNumberFormat="0" applyAlignment="0" applyProtection="0">
      <alignment vertical="center"/>
    </xf>
    <xf numFmtId="203" fontId="176" fillId="0" borderId="242" applyFill="0" applyProtection="0">
      <alignment horizontal="center"/>
    </xf>
    <xf numFmtId="218" fontId="9" fillId="0" borderId="240">
      <alignment horizontal="centerContinuous" vertical="center"/>
    </xf>
    <xf numFmtId="240" fontId="6" fillId="0" borderId="274">
      <alignment horizontal="right" vertical="center"/>
    </xf>
    <xf numFmtId="0" fontId="50" fillId="3" borderId="239">
      <alignment vertical="center"/>
    </xf>
    <xf numFmtId="0" fontId="50" fillId="3" borderId="239">
      <alignment vertical="center"/>
    </xf>
    <xf numFmtId="0" fontId="6" fillId="0" borderId="238" applyNumberFormat="0" applyFill="0" applyProtection="0">
      <alignment vertical="center"/>
    </xf>
    <xf numFmtId="176" fontId="6" fillId="0" borderId="274">
      <alignment vertical="center"/>
    </xf>
    <xf numFmtId="0" fontId="6" fillId="0" borderId="318">
      <alignment horizontal="right" vertical="center" shrinkToFit="1"/>
    </xf>
    <xf numFmtId="230" fontId="6" fillId="0" borderId="342">
      <alignment vertical="center"/>
    </xf>
    <xf numFmtId="191" fontId="6" fillId="0" borderId="306">
      <alignment vertical="center"/>
    </xf>
    <xf numFmtId="191" fontId="6" fillId="0" borderId="306">
      <alignment vertical="center"/>
    </xf>
    <xf numFmtId="338" fontId="19" fillId="0" borderId="238"/>
    <xf numFmtId="338" fontId="19" fillId="0" borderId="238"/>
    <xf numFmtId="338" fontId="19" fillId="0" borderId="238"/>
    <xf numFmtId="338" fontId="19" fillId="0" borderId="238"/>
    <xf numFmtId="338" fontId="19" fillId="0" borderId="238"/>
    <xf numFmtId="338" fontId="19" fillId="0" borderId="238"/>
    <xf numFmtId="185" fontId="9" fillId="0" borderId="238">
      <alignment horizontal="center" vertical="center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41">
      <alignment horizontal="distributed"/>
    </xf>
    <xf numFmtId="0" fontId="9" fillId="0" borderId="238">
      <alignment horizontal="distributed" vertical="center"/>
    </xf>
    <xf numFmtId="0" fontId="9" fillId="0" borderId="238">
      <alignment horizontal="distributed" vertical="center"/>
    </xf>
    <xf numFmtId="0" fontId="9" fillId="0" borderId="238">
      <alignment horizontal="distributed" vertical="center"/>
    </xf>
    <xf numFmtId="0" fontId="9" fillId="0" borderId="238">
      <alignment horizontal="distributed" vertical="center"/>
    </xf>
    <xf numFmtId="0" fontId="9" fillId="0" borderId="238">
      <alignment horizontal="distributed" vertical="center"/>
    </xf>
    <xf numFmtId="0" fontId="9" fillId="0" borderId="238">
      <alignment horizontal="distributed" vertical="center"/>
    </xf>
    <xf numFmtId="236" fontId="6" fillId="0" borderId="238">
      <alignment vertical="center"/>
    </xf>
    <xf numFmtId="256" fontId="117" fillId="0" borderId="238" applyBorder="0">
      <alignment vertical="center"/>
    </xf>
    <xf numFmtId="256" fontId="117" fillId="0" borderId="238" applyBorder="0">
      <alignment vertical="center"/>
    </xf>
    <xf numFmtId="256" fontId="117" fillId="0" borderId="238" applyBorder="0">
      <alignment vertical="center"/>
    </xf>
    <xf numFmtId="256" fontId="117" fillId="0" borderId="238" applyBorder="0">
      <alignment vertical="center"/>
    </xf>
    <xf numFmtId="256" fontId="117" fillId="0" borderId="238" applyBorder="0">
      <alignment vertical="center"/>
    </xf>
    <xf numFmtId="256" fontId="117" fillId="0" borderId="238" applyBorder="0">
      <alignment vertical="center"/>
    </xf>
    <xf numFmtId="3" fontId="56" fillId="0" borderId="298"/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20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230" fontId="6" fillId="0" borderId="250">
      <alignment vertical="center"/>
    </xf>
    <xf numFmtId="191" fontId="6" fillId="0" borderId="250">
      <alignment vertical="center"/>
    </xf>
    <xf numFmtId="191" fontId="6" fillId="0" borderId="250">
      <alignment vertical="center"/>
    </xf>
    <xf numFmtId="0" fontId="92" fillId="0" borderId="238"/>
    <xf numFmtId="0" fontId="92" fillId="0" borderId="238"/>
    <xf numFmtId="0" fontId="92" fillId="0" borderId="238"/>
    <xf numFmtId="0" fontId="92" fillId="0" borderId="238"/>
    <xf numFmtId="0" fontId="92" fillId="0" borderId="238"/>
    <xf numFmtId="0" fontId="92" fillId="0" borderId="238"/>
    <xf numFmtId="0" fontId="159" fillId="0" borderId="296" applyNumberFormat="0" applyFill="0" applyAlignment="0" applyProtection="0">
      <alignment vertical="center"/>
    </xf>
    <xf numFmtId="338" fontId="19" fillId="0" borderId="306"/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176" fontId="6" fillId="0" borderId="342">
      <alignment vertical="center"/>
    </xf>
    <xf numFmtId="0" fontId="56" fillId="0" borderId="238"/>
    <xf numFmtId="0" fontId="56" fillId="0" borderId="238"/>
    <xf numFmtId="0" fontId="56" fillId="0" borderId="238"/>
    <xf numFmtId="0" fontId="56" fillId="0" borderId="238"/>
    <xf numFmtId="0" fontId="56" fillId="0" borderId="238"/>
    <xf numFmtId="0" fontId="56" fillId="0" borderId="238"/>
    <xf numFmtId="3" fontId="56" fillId="0" borderId="238"/>
    <xf numFmtId="3" fontId="56" fillId="0" borderId="238"/>
    <xf numFmtId="3" fontId="56" fillId="0" borderId="238"/>
    <xf numFmtId="3" fontId="56" fillId="0" borderId="238"/>
    <xf numFmtId="3" fontId="56" fillId="0" borderId="238"/>
    <xf numFmtId="3" fontId="56" fillId="0" borderId="238"/>
    <xf numFmtId="41" fontId="56" fillId="0" borderId="238" applyNumberFormat="0" applyFont="0" applyFill="0" applyBorder="0" applyProtection="0">
      <alignment horizontal="distributed"/>
    </xf>
    <xf numFmtId="41" fontId="56" fillId="0" borderId="238" applyNumberFormat="0" applyFont="0" applyFill="0" applyBorder="0" applyProtection="0">
      <alignment horizontal="distributed"/>
    </xf>
    <xf numFmtId="41" fontId="56" fillId="0" borderId="238" applyNumberFormat="0" applyFont="0" applyFill="0" applyBorder="0" applyProtection="0">
      <alignment horizontal="distributed"/>
    </xf>
    <xf numFmtId="41" fontId="56" fillId="0" borderId="238" applyNumberFormat="0" applyFont="0" applyFill="0" applyBorder="0" applyProtection="0">
      <alignment horizontal="distributed"/>
    </xf>
    <xf numFmtId="41" fontId="56" fillId="0" borderId="238" applyNumberFormat="0" applyFont="0" applyFill="0" applyBorder="0" applyProtection="0">
      <alignment horizontal="distributed"/>
    </xf>
    <xf numFmtId="41" fontId="56" fillId="0" borderId="238" applyNumberFormat="0" applyFont="0" applyFill="0" applyBorder="0" applyProtection="0">
      <alignment horizontal="distributed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0" fontId="6" fillId="0" borderId="238">
      <alignment horizontal="right" vertical="center" shrinkToFit="1"/>
    </xf>
    <xf numFmtId="3" fontId="57" fillId="0" borderId="298"/>
    <xf numFmtId="3" fontId="57" fillId="0" borderId="306"/>
    <xf numFmtId="3" fontId="57" fillId="0" borderId="306"/>
    <xf numFmtId="0" fontId="186" fillId="0" borderId="274" applyProtection="0">
      <alignment vertical="center"/>
    </xf>
    <xf numFmtId="235" fontId="117" fillId="0" borderId="262">
      <alignment vertical="center"/>
    </xf>
    <xf numFmtId="236" fontId="6" fillId="0" borderId="262">
      <alignment vertical="center"/>
    </xf>
    <xf numFmtId="0" fontId="50" fillId="3" borderId="239">
      <alignment vertical="center"/>
    </xf>
    <xf numFmtId="0" fontId="50" fillId="3" borderId="239">
      <alignment vertical="center"/>
    </xf>
    <xf numFmtId="0" fontId="50" fillId="3" borderId="239">
      <alignment vertical="center"/>
    </xf>
    <xf numFmtId="242" fontId="6" fillId="0" borderId="262">
      <alignment horizontal="right" vertical="center"/>
    </xf>
    <xf numFmtId="240" fontId="6" fillId="0" borderId="262">
      <alignment horizontal="right" vertical="center"/>
    </xf>
    <xf numFmtId="244" fontId="117" fillId="0" borderId="306">
      <alignment vertical="center"/>
    </xf>
    <xf numFmtId="244" fontId="117" fillId="0" borderId="238">
      <alignment vertical="center"/>
    </xf>
    <xf numFmtId="244" fontId="117" fillId="0" borderId="238">
      <alignment vertical="center"/>
    </xf>
    <xf numFmtId="244" fontId="117" fillId="0" borderId="238">
      <alignment vertical="center"/>
    </xf>
    <xf numFmtId="244" fontId="117" fillId="0" borderId="238">
      <alignment vertical="center"/>
    </xf>
    <xf numFmtId="244" fontId="117" fillId="0" borderId="238">
      <alignment vertical="center"/>
    </xf>
    <xf numFmtId="244" fontId="117" fillId="0" borderId="238">
      <alignment vertical="center"/>
    </xf>
    <xf numFmtId="243" fontId="117" fillId="0" borderId="238">
      <alignment vertical="center"/>
    </xf>
    <xf numFmtId="243" fontId="117" fillId="0" borderId="238">
      <alignment vertical="center"/>
    </xf>
    <xf numFmtId="243" fontId="117" fillId="0" borderId="238">
      <alignment vertical="center"/>
    </xf>
    <xf numFmtId="243" fontId="117" fillId="0" borderId="238">
      <alignment vertical="center"/>
    </xf>
    <xf numFmtId="243" fontId="117" fillId="0" borderId="238">
      <alignment vertical="center"/>
    </xf>
    <xf numFmtId="243" fontId="117" fillId="0" borderId="238">
      <alignment vertical="center"/>
    </xf>
    <xf numFmtId="239" fontId="117" fillId="0" borderId="238">
      <alignment horizontal="right" vertical="center"/>
    </xf>
    <xf numFmtId="239" fontId="117" fillId="0" borderId="238">
      <alignment horizontal="right" vertical="center"/>
    </xf>
    <xf numFmtId="239" fontId="117" fillId="0" borderId="238">
      <alignment horizontal="right" vertical="center"/>
    </xf>
    <xf numFmtId="239" fontId="117" fillId="0" borderId="238">
      <alignment horizontal="right" vertical="center"/>
    </xf>
    <xf numFmtId="239" fontId="117" fillId="0" borderId="238">
      <alignment horizontal="right" vertical="center"/>
    </xf>
    <xf numFmtId="239" fontId="117" fillId="0" borderId="238">
      <alignment horizontal="right" vertical="center"/>
    </xf>
    <xf numFmtId="234" fontId="117" fillId="0" borderId="238">
      <alignment vertical="center"/>
    </xf>
    <xf numFmtId="234" fontId="117" fillId="0" borderId="238">
      <alignment vertical="center"/>
    </xf>
    <xf numFmtId="234" fontId="117" fillId="0" borderId="238">
      <alignment vertical="center"/>
    </xf>
    <xf numFmtId="234" fontId="117" fillId="0" borderId="238">
      <alignment vertical="center"/>
    </xf>
    <xf numFmtId="234" fontId="117" fillId="0" borderId="238">
      <alignment vertical="center"/>
    </xf>
    <xf numFmtId="234" fontId="117" fillId="0" borderId="238">
      <alignment vertical="center"/>
    </xf>
    <xf numFmtId="10" fontId="39" fillId="4" borderId="238" applyNumberFormat="0" applyBorder="0" applyAlignment="0" applyProtection="0"/>
    <xf numFmtId="10" fontId="39" fillId="2" borderId="238" applyNumberFormat="0" applyBorder="0" applyAlignment="0" applyProtection="0"/>
    <xf numFmtId="10" fontId="39" fillId="2" borderId="238" applyNumberFormat="0" applyBorder="0" applyAlignment="0" applyProtection="0"/>
    <xf numFmtId="10" fontId="39" fillId="2" borderId="238" applyNumberFormat="0" applyBorder="0" applyAlignment="0" applyProtection="0"/>
    <xf numFmtId="10" fontId="39" fillId="2" borderId="238" applyNumberFormat="0" applyBorder="0" applyAlignment="0" applyProtection="0"/>
    <xf numFmtId="10" fontId="39" fillId="2" borderId="238" applyNumberFormat="0" applyBorder="0" applyAlignment="0" applyProtection="0"/>
    <xf numFmtId="0" fontId="41" fillId="0" borderId="239">
      <alignment horizontal="left" vertical="center"/>
    </xf>
    <xf numFmtId="0" fontId="41" fillId="0" borderId="239">
      <alignment horizontal="left" vertical="center"/>
    </xf>
    <xf numFmtId="0" fontId="41" fillId="0" borderId="239">
      <alignment horizontal="left" vertical="center"/>
    </xf>
    <xf numFmtId="0" fontId="41" fillId="0" borderId="239">
      <alignment horizontal="left" vertical="center"/>
    </xf>
    <xf numFmtId="0" fontId="41" fillId="0" borderId="239">
      <alignment horizontal="left" vertical="center"/>
    </xf>
    <xf numFmtId="0" fontId="41" fillId="0" borderId="239">
      <alignment horizontal="left" vertical="center"/>
    </xf>
    <xf numFmtId="0" fontId="41" fillId="0" borderId="239">
      <alignment horizontal="left" vertical="center"/>
    </xf>
    <xf numFmtId="309" fontId="9" fillId="0" borderId="306" applyFill="0" applyBorder="0" applyAlignment="0"/>
    <xf numFmtId="0" fontId="82" fillId="0" borderId="238"/>
    <xf numFmtId="0" fontId="9" fillId="0" borderId="276">
      <alignment horizontal="centerContinuous" vertical="center"/>
    </xf>
    <xf numFmtId="191" fontId="6" fillId="0" borderId="274">
      <alignment vertical="center"/>
    </xf>
    <xf numFmtId="0" fontId="94" fillId="0" borderId="264">
      <alignment horizontal="centerContinuous" vertical="center"/>
    </xf>
    <xf numFmtId="191" fontId="6" fillId="0" borderId="306">
      <alignment vertical="center"/>
    </xf>
    <xf numFmtId="338" fontId="19" fillId="0" borderId="262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240" fontId="6" fillId="0" borderId="250">
      <alignment horizontal="right" vertical="center"/>
    </xf>
    <xf numFmtId="185" fontId="8" fillId="0" borderId="238">
      <alignment vertical="center"/>
    </xf>
    <xf numFmtId="185" fontId="8" fillId="0" borderId="238">
      <alignment vertical="center"/>
    </xf>
    <xf numFmtId="185" fontId="8" fillId="0" borderId="238">
      <alignment vertical="center"/>
    </xf>
    <xf numFmtId="185" fontId="8" fillId="0" borderId="238">
      <alignment vertical="center"/>
    </xf>
    <xf numFmtId="185" fontId="8" fillId="0" borderId="238">
      <alignment vertical="center"/>
    </xf>
    <xf numFmtId="185" fontId="8" fillId="0" borderId="238">
      <alignment vertical="center"/>
    </xf>
    <xf numFmtId="206" fontId="6" fillId="0" borderId="250">
      <alignment vertical="center"/>
    </xf>
    <xf numFmtId="0" fontId="6" fillId="0" borderId="250">
      <alignment vertical="center"/>
    </xf>
    <xf numFmtId="176" fontId="6" fillId="0" borderId="250">
      <alignment vertical="center"/>
    </xf>
    <xf numFmtId="249" fontId="6" fillId="0" borderId="250">
      <alignment vertical="center"/>
    </xf>
    <xf numFmtId="0" fontId="117" fillId="0" borderId="308">
      <alignment horizontal="centerContinuous"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246" fontId="117" fillId="0" borderId="262">
      <alignment vertical="center"/>
    </xf>
    <xf numFmtId="0" fontId="94" fillId="0" borderId="344">
      <alignment horizontal="centerContinuous" vertical="center"/>
    </xf>
    <xf numFmtId="0" fontId="6" fillId="0" borderId="308">
      <alignment horizontal="centerContinuous" vertical="center"/>
    </xf>
    <xf numFmtId="322" fontId="9" fillId="0" borderId="344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191" fontId="6" fillId="0" borderId="306">
      <alignment vertical="center"/>
    </xf>
    <xf numFmtId="0" fontId="6" fillId="0" borderId="250">
      <alignment vertical="center"/>
    </xf>
    <xf numFmtId="0" fontId="6" fillId="0" borderId="332">
      <alignment horizontal="centerContinuous" vertical="center"/>
    </xf>
    <xf numFmtId="0" fontId="94" fillId="0" borderId="332">
      <alignment horizontal="centerContinuous" vertical="center"/>
    </xf>
    <xf numFmtId="249" fontId="6" fillId="0" borderId="250">
      <alignment vertical="center"/>
    </xf>
    <xf numFmtId="176" fontId="6" fillId="0" borderId="250">
      <alignment vertical="center"/>
    </xf>
    <xf numFmtId="0" fontId="6" fillId="0" borderId="250">
      <alignment vertical="center"/>
    </xf>
    <xf numFmtId="206" fontId="6" fillId="0" borderId="250">
      <alignment vertical="center"/>
    </xf>
    <xf numFmtId="185" fontId="9" fillId="0" borderId="342">
      <alignment horizontal="center" vertical="center"/>
    </xf>
    <xf numFmtId="322" fontId="9" fillId="0" borderId="356">
      <alignment horizontal="centerContinuous"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249" fontId="6" fillId="0" borderId="250">
      <alignment vertical="center"/>
    </xf>
    <xf numFmtId="176" fontId="6" fillId="0" borderId="250">
      <alignment vertical="center"/>
    </xf>
    <xf numFmtId="0" fontId="6" fillId="0" borderId="250">
      <alignment vertical="center"/>
    </xf>
    <xf numFmtId="206" fontId="6" fillId="0" borderId="250">
      <alignment vertical="center"/>
    </xf>
    <xf numFmtId="41" fontId="56" fillId="0" borderId="342" applyNumberFormat="0" applyFont="0" applyFill="0" applyBorder="0" applyProtection="0">
      <alignment horizontal="distributed"/>
    </xf>
    <xf numFmtId="0" fontId="56" fillId="0" borderId="298"/>
    <xf numFmtId="0" fontId="11" fillId="0" borderId="354" applyNumberFormat="0" applyFont="0" applyFill="0" applyAlignment="0" applyProtection="0">
      <alignment horizontal="center" vertical="center"/>
    </xf>
    <xf numFmtId="0" fontId="6" fillId="28" borderId="304" applyNumberFormat="0" applyFont="0" applyAlignment="0" applyProtection="0">
      <alignment vertical="center"/>
    </xf>
    <xf numFmtId="322" fontId="9" fillId="0" borderId="356">
      <alignment horizontal="centerContinuous" vertical="center"/>
    </xf>
    <xf numFmtId="0" fontId="92" fillId="0" borderId="342"/>
    <xf numFmtId="191" fontId="6" fillId="0" borderId="306">
      <alignment vertical="center"/>
    </xf>
    <xf numFmtId="3" fontId="57" fillId="0" borderId="306"/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6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0" fontId="94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322" fontId="9" fillId="0" borderId="240">
      <alignment horizontal="centerContinuous" vertical="center"/>
    </xf>
    <xf numFmtId="218" fontId="9" fillId="0" borderId="240">
      <alignment horizontal="centerContinuous" vertical="center"/>
    </xf>
    <xf numFmtId="218" fontId="9" fillId="0" borderId="240">
      <alignment horizontal="centerContinuous" vertical="center"/>
    </xf>
    <xf numFmtId="218" fontId="9" fillId="0" borderId="240">
      <alignment horizontal="centerContinuous" vertical="center"/>
    </xf>
    <xf numFmtId="218" fontId="9" fillId="0" borderId="240">
      <alignment horizontal="centerContinuous" vertical="center"/>
    </xf>
    <xf numFmtId="218" fontId="9" fillId="0" borderId="240">
      <alignment horizontal="centerContinuous" vertical="center"/>
    </xf>
    <xf numFmtId="218" fontId="9" fillId="0" borderId="240">
      <alignment horizontal="centerContinuous" vertical="center"/>
    </xf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3" fontId="57" fillId="0" borderId="238"/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0" fontId="117" fillId="0" borderId="240">
      <alignment horizontal="centerContinuous" vertical="center"/>
    </xf>
    <xf numFmtId="322" fontId="9" fillId="0" borderId="288">
      <alignment horizontal="centerContinuous" vertical="center"/>
    </xf>
    <xf numFmtId="0" fontId="6" fillId="0" borderId="238" applyNumberFormat="0" applyFill="0" applyProtection="0">
      <alignment vertical="center"/>
    </xf>
    <xf numFmtId="0" fontId="94" fillId="0" borderId="344">
      <alignment horizontal="centerContinuous" vertical="center"/>
    </xf>
    <xf numFmtId="0" fontId="57" fillId="28" borderId="304" applyNumberFormat="0" applyFont="0" applyAlignment="0" applyProtection="0">
      <alignment vertical="center"/>
    </xf>
    <xf numFmtId="240" fontId="6" fillId="0" borderId="306">
      <alignment horizontal="right" vertical="center"/>
    </xf>
    <xf numFmtId="0" fontId="50" fillId="3" borderId="239">
      <alignment vertical="center"/>
    </xf>
    <xf numFmtId="200" fontId="77" fillId="0" borderId="238">
      <alignment vertical="center"/>
    </xf>
    <xf numFmtId="185" fontId="9" fillId="0" borderId="238">
      <alignment horizontal="center" vertical="center"/>
    </xf>
    <xf numFmtId="3" fontId="6" fillId="0" borderId="238"/>
    <xf numFmtId="0" fontId="92" fillId="0" borderId="238"/>
    <xf numFmtId="237" fontId="6" fillId="0" borderId="318">
      <alignment vertical="center"/>
    </xf>
    <xf numFmtId="0" fontId="56" fillId="0" borderId="238"/>
    <xf numFmtId="3" fontId="56" fillId="0" borderId="238"/>
    <xf numFmtId="0" fontId="11" fillId="0" borderId="238" applyNumberFormat="0" applyFont="0" applyFill="0" applyAlignment="0" applyProtection="0">
      <alignment horizontal="center" vertical="center"/>
    </xf>
    <xf numFmtId="0" fontId="50" fillId="3" borderId="239">
      <alignment vertical="center"/>
    </xf>
    <xf numFmtId="10" fontId="39" fillId="4" borderId="238" applyNumberFormat="0" applyBorder="0" applyAlignment="0" applyProtection="0"/>
    <xf numFmtId="0" fontId="41" fillId="0" borderId="239">
      <alignment horizontal="left" vertical="center"/>
    </xf>
    <xf numFmtId="0" fontId="82" fillId="0" borderId="238"/>
    <xf numFmtId="3" fontId="57" fillId="0" borderId="238"/>
    <xf numFmtId="3" fontId="57" fillId="0" borderId="238"/>
    <xf numFmtId="206" fontId="6" fillId="0" borderId="250">
      <alignment vertical="center"/>
    </xf>
    <xf numFmtId="176" fontId="6" fillId="0" borderId="250">
      <alignment vertical="center"/>
    </xf>
    <xf numFmtId="249" fontId="6" fillId="0" borderId="250">
      <alignment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3" fontId="57" fillId="0" borderId="238"/>
    <xf numFmtId="221" fontId="117" fillId="0" borderId="238">
      <alignment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249" fontId="6" fillId="0" borderId="274">
      <alignment vertical="center"/>
    </xf>
    <xf numFmtId="176" fontId="6" fillId="0" borderId="274">
      <alignment vertical="center"/>
    </xf>
    <xf numFmtId="0" fontId="50" fillId="3" borderId="319">
      <alignment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2" fontId="6" fillId="0" borderId="274">
      <alignment horizontal="right" vertical="center"/>
    </xf>
    <xf numFmtId="242" fontId="6" fillId="0" borderId="274">
      <alignment horizontal="right" vertical="center"/>
    </xf>
    <xf numFmtId="242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0" fontId="6" fillId="0" borderId="274">
      <alignment horizontal="right" vertical="center"/>
    </xf>
    <xf numFmtId="3" fontId="57" fillId="0" borderId="262"/>
    <xf numFmtId="322" fontId="9" fillId="0" borderId="356">
      <alignment horizontal="centerContinuous" vertical="center"/>
    </xf>
    <xf numFmtId="237" fontId="6" fillId="0" borderId="318">
      <alignment vertical="center"/>
    </xf>
    <xf numFmtId="238" fontId="6" fillId="0" borderId="318">
      <alignment vertical="center"/>
    </xf>
    <xf numFmtId="0" fontId="6" fillId="0" borderId="356">
      <alignment horizontal="centerContinuous" vertical="center"/>
    </xf>
    <xf numFmtId="10" fontId="39" fillId="2" borderId="342" applyNumberFormat="0" applyBorder="0" applyAlignment="0" applyProtection="0"/>
    <xf numFmtId="322" fontId="9" fillId="0" borderId="344">
      <alignment horizontal="centerContinuous" vertical="center"/>
    </xf>
    <xf numFmtId="0" fontId="9" fillId="0" borderId="344">
      <alignment horizontal="centerContinuous" vertical="center"/>
    </xf>
    <xf numFmtId="0" fontId="82" fillId="0" borderId="318"/>
    <xf numFmtId="3" fontId="57" fillId="0" borderId="354"/>
    <xf numFmtId="322" fontId="9" fillId="0" borderId="356">
      <alignment horizontal="centerContinuous" vertical="center"/>
    </xf>
    <xf numFmtId="243" fontId="117" fillId="0" borderId="274">
      <alignment vertical="center"/>
    </xf>
    <xf numFmtId="244" fontId="117" fillId="0" borderId="274">
      <alignment vertical="center"/>
    </xf>
    <xf numFmtId="41" fontId="56" fillId="0" borderId="274" applyNumberFormat="0" applyFont="0" applyFill="0" applyBorder="0" applyProtection="0">
      <alignment horizontal="distributed"/>
    </xf>
    <xf numFmtId="238" fontId="6" fillId="0" borderId="238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0" fontId="56" fillId="0" borderId="274"/>
    <xf numFmtId="0" fontId="56" fillId="0" borderId="274"/>
    <xf numFmtId="0" fontId="56" fillId="0" borderId="274"/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1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2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240" fontId="6" fillId="0" borderId="238">
      <alignment horizontal="right" vertical="center"/>
    </xf>
    <xf numFmtId="191" fontId="6" fillId="0" borderId="286">
      <alignment vertical="center"/>
    </xf>
    <xf numFmtId="256" fontId="117" fillId="0" borderId="274" applyBorder="0">
      <alignment vertical="center"/>
    </xf>
    <xf numFmtId="236" fontId="6" fillId="0" borderId="274">
      <alignment vertical="center"/>
    </xf>
    <xf numFmtId="0" fontId="9" fillId="0" borderId="274">
      <alignment horizontal="distributed" vertical="center"/>
    </xf>
    <xf numFmtId="0" fontId="9" fillId="0" borderId="274">
      <alignment horizontal="distributed" vertical="center"/>
    </xf>
    <xf numFmtId="0" fontId="9" fillId="0" borderId="274">
      <alignment horizontal="distributed" vertical="center"/>
    </xf>
    <xf numFmtId="0" fontId="9" fillId="0" borderId="277">
      <alignment horizontal="distributed"/>
    </xf>
    <xf numFmtId="0" fontId="9" fillId="0" borderId="277">
      <alignment horizontal="distributed"/>
    </xf>
    <xf numFmtId="0" fontId="9" fillId="0" borderId="277">
      <alignment horizontal="distributed"/>
    </xf>
    <xf numFmtId="338" fontId="19" fillId="0" borderId="274"/>
    <xf numFmtId="338" fontId="19" fillId="0" borderId="274"/>
    <xf numFmtId="338" fontId="19" fillId="0" borderId="274"/>
    <xf numFmtId="0" fontId="160" fillId="12" borderId="294" applyNumberFormat="0" applyAlignment="0" applyProtection="0">
      <alignment vertical="center"/>
    </xf>
    <xf numFmtId="203" fontId="176" fillId="0" borderId="278" applyFill="0" applyProtection="0">
      <alignment horizontal="center"/>
    </xf>
    <xf numFmtId="0" fontId="153" fillId="22" borderId="282" applyNumberFormat="0" applyAlignment="0" applyProtection="0">
      <alignment vertical="center"/>
    </xf>
    <xf numFmtId="0" fontId="54" fillId="28" borderId="283" applyNumberFormat="0" applyFont="0" applyAlignment="0" applyProtection="0">
      <alignment vertical="center"/>
    </xf>
    <xf numFmtId="185" fontId="8" fillId="0" borderId="298">
      <alignment vertical="center"/>
    </xf>
    <xf numFmtId="10" fontId="39" fillId="4" borderId="298" applyNumberFormat="0" applyBorder="0" applyAlignment="0" applyProtection="0"/>
    <xf numFmtId="0" fontId="6" fillId="0" borderId="356">
      <alignment horizontal="centerContinuous" vertical="center"/>
    </xf>
    <xf numFmtId="3" fontId="57" fillId="0" borderId="354"/>
    <xf numFmtId="41" fontId="56" fillId="0" borderId="354" applyNumberFormat="0" applyFont="0" applyFill="0" applyBorder="0" applyProtection="0">
      <alignment horizontal="distributed"/>
    </xf>
    <xf numFmtId="0" fontId="50" fillId="3" borderId="239">
      <alignment vertical="center"/>
    </xf>
    <xf numFmtId="322" fontId="9" fillId="0" borderId="332">
      <alignment horizontal="centerContinuous" vertical="center"/>
    </xf>
    <xf numFmtId="49" fontId="117" fillId="0" borderId="238">
      <alignment horizontal="center" vertical="center"/>
    </xf>
    <xf numFmtId="247" fontId="117" fillId="0" borderId="238">
      <alignment vertical="center"/>
    </xf>
    <xf numFmtId="248" fontId="117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206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3" fontId="56" fillId="0" borderId="342"/>
    <xf numFmtId="242" fontId="6" fillId="0" borderId="342">
      <alignment horizontal="right" vertical="center"/>
    </xf>
    <xf numFmtId="242" fontId="6" fillId="0" borderId="286">
      <alignment horizontal="right" vertical="center"/>
    </xf>
    <xf numFmtId="242" fontId="6" fillId="0" borderId="286">
      <alignment horizontal="right" vertical="center"/>
    </xf>
    <xf numFmtId="3" fontId="57" fillId="0" borderId="330"/>
    <xf numFmtId="322" fontId="9" fillId="0" borderId="332">
      <alignment horizontal="centerContinuous" vertical="center"/>
    </xf>
    <xf numFmtId="0" fontId="117" fillId="0" borderId="332">
      <alignment horizontal="centerContinuous" vertical="center"/>
    </xf>
    <xf numFmtId="0" fontId="134" fillId="0" borderId="318">
      <alignment vertical="center"/>
    </xf>
    <xf numFmtId="230" fontId="6" fillId="0" borderId="330">
      <alignment vertical="center"/>
    </xf>
    <xf numFmtId="231" fontId="117" fillId="0" borderId="306">
      <alignment vertical="center"/>
    </xf>
    <xf numFmtId="191" fontId="6" fillId="0" borderId="306">
      <alignment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41" fontId="9" fillId="0" borderId="286">
      <alignment horizontal="center" vertical="center"/>
    </xf>
    <xf numFmtId="0" fontId="94" fillId="0" borderId="332">
      <alignment horizontal="centerContinuous" vertical="center"/>
    </xf>
    <xf numFmtId="41" fontId="135" fillId="0" borderId="274" applyNumberFormat="0">
      <alignment vertical="center"/>
    </xf>
    <xf numFmtId="0" fontId="56" fillId="0" borderId="342"/>
    <xf numFmtId="0" fontId="56" fillId="0" borderId="342"/>
    <xf numFmtId="41" fontId="56" fillId="0" borderId="342" applyNumberFormat="0" applyFont="0" applyFill="0" applyBorder="0" applyProtection="0">
      <alignment horizontal="distributed"/>
    </xf>
    <xf numFmtId="41" fontId="56" fillId="0" borderId="342" applyNumberFormat="0" applyFont="0" applyFill="0" applyBorder="0" applyProtection="0">
      <alignment horizontal="distributed"/>
    </xf>
    <xf numFmtId="0" fontId="6" fillId="0" borderId="342">
      <alignment horizontal="right" vertical="center" shrinkToFit="1"/>
    </xf>
    <xf numFmtId="239" fontId="117" fillId="0" borderId="342">
      <alignment horizontal="right" vertical="center"/>
    </xf>
    <xf numFmtId="234" fontId="117" fillId="0" borderId="342">
      <alignment vertical="center"/>
    </xf>
    <xf numFmtId="242" fontId="6" fillId="0" borderId="342">
      <alignment horizontal="right" vertical="center"/>
    </xf>
    <xf numFmtId="240" fontId="6" fillId="0" borderId="342">
      <alignment horizontal="right" vertical="center"/>
    </xf>
    <xf numFmtId="236" fontId="6" fillId="0" borderId="262">
      <alignment vertical="center"/>
    </xf>
    <xf numFmtId="237" fontId="6" fillId="0" borderId="262">
      <alignment vertical="center"/>
    </xf>
    <xf numFmtId="236" fontId="6" fillId="0" borderId="262">
      <alignment vertical="center"/>
    </xf>
    <xf numFmtId="240" fontId="6" fillId="0" borderId="262">
      <alignment horizontal="right" vertical="center"/>
    </xf>
    <xf numFmtId="241" fontId="6" fillId="0" borderId="262">
      <alignment horizontal="right" vertical="center"/>
    </xf>
    <xf numFmtId="242" fontId="6" fillId="0" borderId="262">
      <alignment horizontal="right" vertical="center"/>
    </xf>
    <xf numFmtId="230" fontId="6" fillId="0" borderId="342">
      <alignment vertical="center"/>
    </xf>
    <xf numFmtId="191" fontId="6" fillId="0" borderId="342">
      <alignment vertical="center"/>
    </xf>
    <xf numFmtId="338" fontId="19" fillId="0" borderId="318"/>
    <xf numFmtId="0" fontId="94" fillId="0" borderId="344">
      <alignment horizontal="centerContinuous" vertical="center"/>
    </xf>
    <xf numFmtId="238" fontId="6" fillId="0" borderId="342">
      <alignment vertical="center"/>
    </xf>
    <xf numFmtId="238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40" fontId="6" fillId="0" borderId="342">
      <alignment horizontal="right" vertical="center"/>
    </xf>
    <xf numFmtId="240" fontId="6" fillId="0" borderId="342">
      <alignment horizontal="right" vertical="center"/>
    </xf>
    <xf numFmtId="241" fontId="6" fillId="0" borderId="342">
      <alignment horizontal="right" vertical="center"/>
    </xf>
    <xf numFmtId="230" fontId="6" fillId="0" borderId="306">
      <alignment vertical="center"/>
    </xf>
    <xf numFmtId="0" fontId="9" fillId="0" borderId="354">
      <alignment horizontal="distributed" vertical="center"/>
    </xf>
    <xf numFmtId="0" fontId="153" fillId="22" borderId="294" applyNumberFormat="0" applyAlignment="0" applyProtection="0">
      <alignment vertical="center"/>
    </xf>
    <xf numFmtId="0" fontId="6" fillId="0" borderId="344">
      <alignment horizontal="centerContinuous" vertical="center"/>
    </xf>
    <xf numFmtId="241" fontId="6" fillId="0" borderId="318">
      <alignment horizontal="right" vertical="center"/>
    </xf>
    <xf numFmtId="206" fontId="6" fillId="0" borderId="318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0" fontId="94" fillId="0" borderId="320">
      <alignment horizontal="centerContinuous" vertical="center"/>
    </xf>
    <xf numFmtId="3" fontId="57" fillId="0" borderId="298"/>
    <xf numFmtId="3" fontId="57" fillId="0" borderId="298"/>
    <xf numFmtId="3" fontId="57" fillId="0" borderId="298"/>
    <xf numFmtId="0" fontId="6" fillId="0" borderId="306" applyNumberFormat="0" applyFill="0" applyProtection="0">
      <alignment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176" fontId="6" fillId="0" borderId="342">
      <alignment vertical="center"/>
    </xf>
    <xf numFmtId="200" fontId="6" fillId="0" borderId="342">
      <alignment vertical="center"/>
    </xf>
    <xf numFmtId="37" fontId="117" fillId="0" borderId="250">
      <alignment horizontal="center" vertical="distributed"/>
    </xf>
    <xf numFmtId="236" fontId="6" fillId="0" borderId="306">
      <alignment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48" fontId="117" fillId="0" borderId="250">
      <alignment vertical="center"/>
    </xf>
    <xf numFmtId="176" fontId="6" fillId="0" borderId="250">
      <alignment vertical="center"/>
    </xf>
    <xf numFmtId="191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30" fontId="6" fillId="0" borderId="262">
      <alignment vertical="center"/>
    </xf>
    <xf numFmtId="3" fontId="57" fillId="0" borderId="298"/>
    <xf numFmtId="249" fontId="6" fillId="0" borderId="330">
      <alignment vertical="center"/>
    </xf>
    <xf numFmtId="242" fontId="6" fillId="0" borderId="330">
      <alignment horizontal="right" vertical="center"/>
    </xf>
    <xf numFmtId="0" fontId="92" fillId="0" borderId="330"/>
    <xf numFmtId="191" fontId="6" fillId="0" borderId="318">
      <alignment vertical="center"/>
    </xf>
    <xf numFmtId="0" fontId="6" fillId="0" borderId="318">
      <alignment horizontal="right" vertical="center" shrinkToFit="1"/>
    </xf>
    <xf numFmtId="10" fontId="39" fillId="2" borderId="318" applyNumberFormat="0" applyBorder="0" applyAlignment="0" applyProtection="0"/>
    <xf numFmtId="0" fontId="41" fillId="0" borderId="319">
      <alignment horizontal="left" vertical="center"/>
    </xf>
    <xf numFmtId="242" fontId="6" fillId="0" borderId="318">
      <alignment horizontal="right" vertical="center"/>
    </xf>
    <xf numFmtId="0" fontId="41" fillId="0" borderId="263">
      <alignment horizontal="left" vertical="center"/>
    </xf>
    <xf numFmtId="0" fontId="41" fillId="0" borderId="263">
      <alignment horizontal="left" vertical="center"/>
    </xf>
    <xf numFmtId="0" fontId="41" fillId="0" borderId="263">
      <alignment horizontal="left" vertical="center"/>
    </xf>
    <xf numFmtId="0" fontId="94" fillId="0" borderId="344">
      <alignment horizontal="centerContinuous" vertical="center"/>
    </xf>
    <xf numFmtId="3" fontId="57" fillId="0" borderId="306"/>
    <xf numFmtId="322" fontId="9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236" fontId="6" fillId="0" borderId="262">
      <alignment vertical="center"/>
    </xf>
    <xf numFmtId="236" fontId="6" fillId="0" borderId="262">
      <alignment vertical="center"/>
    </xf>
    <xf numFmtId="240" fontId="6" fillId="0" borderId="262">
      <alignment horizontal="right" vertical="center"/>
    </xf>
    <xf numFmtId="241" fontId="6" fillId="0" borderId="262">
      <alignment horizontal="right" vertical="center"/>
    </xf>
    <xf numFmtId="242" fontId="6" fillId="0" borderId="262">
      <alignment horizontal="right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176" fontId="6" fillId="0" borderId="306">
      <alignment vertical="center"/>
    </xf>
    <xf numFmtId="240" fontId="6" fillId="0" borderId="306">
      <alignment horizontal="right" vertical="center"/>
    </xf>
    <xf numFmtId="200" fontId="6" fillId="0" borderId="262">
      <alignment vertical="center"/>
    </xf>
    <xf numFmtId="200" fontId="6" fillId="0" borderId="262">
      <alignment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159" fillId="0" borderId="305" applyNumberFormat="0" applyFill="0" applyAlignment="0" applyProtection="0">
      <alignment vertical="center"/>
    </xf>
    <xf numFmtId="191" fontId="6" fillId="0" borderId="318">
      <alignment vertical="center"/>
    </xf>
    <xf numFmtId="230" fontId="6" fillId="0" borderId="318">
      <alignment vertical="center"/>
    </xf>
    <xf numFmtId="238" fontId="6" fillId="0" borderId="306">
      <alignment vertical="center"/>
    </xf>
    <xf numFmtId="0" fontId="9" fillId="0" borderId="345">
      <alignment horizontal="distributed"/>
    </xf>
    <xf numFmtId="338" fontId="19" fillId="0" borderId="286"/>
    <xf numFmtId="176" fontId="6" fillId="0" borderId="330">
      <alignment vertical="center"/>
    </xf>
    <xf numFmtId="249" fontId="6" fillId="0" borderId="330">
      <alignment vertical="center"/>
    </xf>
    <xf numFmtId="10" fontId="39" fillId="2" borderId="318" applyNumberFormat="0" applyBorder="0" applyAlignment="0" applyProtection="0"/>
    <xf numFmtId="191" fontId="6" fillId="0" borderId="274">
      <alignment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322" fontId="9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4" fillId="0" borderId="264">
      <alignment horizontal="centerContinuous" vertical="center"/>
    </xf>
    <xf numFmtId="0" fontId="57" fillId="28" borderId="315" applyNumberFormat="0" applyFont="0" applyAlignment="0" applyProtection="0">
      <alignment vertical="center"/>
    </xf>
    <xf numFmtId="236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0" fontId="6" fillId="0" borderId="344">
      <alignment horizontal="centerContinuous" vertical="center"/>
    </xf>
    <xf numFmtId="176" fontId="6" fillId="0" borderId="274">
      <alignment vertical="center"/>
    </xf>
    <xf numFmtId="242" fontId="6" fillId="0" borderId="274">
      <alignment horizontal="right" vertical="center"/>
    </xf>
    <xf numFmtId="176" fontId="6" fillId="0" borderId="342">
      <alignment vertical="center"/>
    </xf>
    <xf numFmtId="256" fontId="117" fillId="0" borderId="298" applyBorder="0">
      <alignment vertical="center"/>
    </xf>
    <xf numFmtId="191" fontId="6" fillId="0" borderId="318">
      <alignment vertical="center"/>
    </xf>
    <xf numFmtId="230" fontId="6" fillId="0" borderId="318">
      <alignment vertical="center"/>
    </xf>
    <xf numFmtId="191" fontId="6" fillId="0" borderId="318">
      <alignment vertical="center"/>
    </xf>
    <xf numFmtId="191" fontId="6" fillId="0" borderId="274">
      <alignment vertical="center"/>
    </xf>
    <xf numFmtId="221" fontId="117" fillId="0" borderId="330">
      <alignment vertical="center"/>
    </xf>
    <xf numFmtId="0" fontId="56" fillId="0" borderId="354"/>
    <xf numFmtId="0" fontId="41" fillId="0" borderId="343">
      <alignment horizontal="left" vertical="center"/>
    </xf>
    <xf numFmtId="3" fontId="57" fillId="0" borderId="262"/>
    <xf numFmtId="3" fontId="57" fillId="0" borderId="262"/>
    <xf numFmtId="218" fontId="9" fillId="0" borderId="320">
      <alignment horizontal="centerContinuous" vertical="center"/>
    </xf>
    <xf numFmtId="191" fontId="6" fillId="0" borderId="330">
      <alignment vertical="center"/>
    </xf>
    <xf numFmtId="236" fontId="6" fillId="0" borderId="250">
      <alignment vertical="center"/>
    </xf>
    <xf numFmtId="240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2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0" fontId="94" fillId="0" borderId="288">
      <alignment horizontal="centerContinuous" vertical="center"/>
    </xf>
    <xf numFmtId="176" fontId="6" fillId="0" borderId="342">
      <alignment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0" fontId="9" fillId="0" borderId="344">
      <alignment horizontal="centerContinuous" vertical="center"/>
    </xf>
    <xf numFmtId="0" fontId="9" fillId="0" borderId="344">
      <alignment horizontal="centerContinuous"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200" fontId="6" fillId="0" borderId="342">
      <alignment vertical="center"/>
    </xf>
    <xf numFmtId="0" fontId="92" fillId="0" borderId="318"/>
    <xf numFmtId="10" fontId="39" fillId="4" borderId="274" applyNumberFormat="0" applyBorder="0" applyAlignment="0" applyProtection="0"/>
    <xf numFmtId="0" fontId="94" fillId="0" borderId="356">
      <alignment horizontal="centerContinuous" vertical="center"/>
    </xf>
    <xf numFmtId="191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0" fontId="6" fillId="0" borderId="344">
      <alignment horizontal="centerContinuous" vertical="center"/>
    </xf>
    <xf numFmtId="338" fontId="19" fillId="0" borderId="342"/>
    <xf numFmtId="0" fontId="153" fillId="22" borderId="303" applyNumberFormat="0" applyAlignment="0" applyProtection="0">
      <alignment vertical="center"/>
    </xf>
    <xf numFmtId="176" fontId="6" fillId="0" borderId="262">
      <alignment vertical="center"/>
    </xf>
    <xf numFmtId="0" fontId="117" fillId="0" borderId="356">
      <alignment horizontal="centerContinuous" vertical="center"/>
    </xf>
    <xf numFmtId="230" fontId="6" fillId="0" borderId="318">
      <alignment vertical="center"/>
    </xf>
    <xf numFmtId="230" fontId="6" fillId="0" borderId="306">
      <alignment vertical="center"/>
    </xf>
    <xf numFmtId="191" fontId="6" fillId="0" borderId="286">
      <alignment vertical="center"/>
    </xf>
    <xf numFmtId="191" fontId="6" fillId="0" borderId="286">
      <alignment vertical="center"/>
    </xf>
    <xf numFmtId="191" fontId="6" fillId="0" borderId="286">
      <alignment vertical="center"/>
    </xf>
    <xf numFmtId="0" fontId="134" fillId="0" borderId="262">
      <alignment vertical="center"/>
    </xf>
    <xf numFmtId="200" fontId="6" fillId="0" borderId="342">
      <alignment vertical="center"/>
    </xf>
    <xf numFmtId="338" fontId="19" fillId="0" borderId="306"/>
    <xf numFmtId="0" fontId="41" fillId="0" borderId="355">
      <alignment horizontal="left" vertical="center"/>
    </xf>
    <xf numFmtId="0" fontId="9" fillId="0" borderId="357">
      <alignment horizontal="distributed"/>
    </xf>
    <xf numFmtId="240" fontId="6" fillId="0" borderId="318">
      <alignment horizontal="right" vertical="center"/>
    </xf>
    <xf numFmtId="0" fontId="6" fillId="0" borderId="274">
      <alignment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" fontId="57" fillId="0" borderId="298"/>
    <xf numFmtId="0" fontId="94" fillId="0" borderId="288">
      <alignment horizontal="centerContinuous" vertical="center"/>
    </xf>
    <xf numFmtId="0" fontId="9" fillId="0" borderId="345">
      <alignment horizontal="distributed"/>
    </xf>
    <xf numFmtId="0" fontId="41" fillId="0" borderId="343">
      <alignment horizontal="left" vertical="center"/>
    </xf>
    <xf numFmtId="221" fontId="117" fillId="0" borderId="306">
      <alignment vertical="center"/>
    </xf>
    <xf numFmtId="3" fontId="57" fillId="0" borderId="306"/>
    <xf numFmtId="3" fontId="57" fillId="0" borderId="306"/>
    <xf numFmtId="234" fontId="117" fillId="0" borderId="306">
      <alignment vertical="center"/>
    </xf>
    <xf numFmtId="0" fontId="41" fillId="0" borderId="287">
      <alignment horizontal="left" vertical="center"/>
    </xf>
    <xf numFmtId="218" fontId="6" fillId="0" borderId="306">
      <alignment vertical="center"/>
    </xf>
    <xf numFmtId="0" fontId="6" fillId="0" borderId="306">
      <alignment vertical="center"/>
    </xf>
    <xf numFmtId="0" fontId="6" fillId="0" borderId="306">
      <alignment vertical="center"/>
    </xf>
    <xf numFmtId="240" fontId="6" fillId="0" borderId="330">
      <alignment horizontal="right" vertical="center"/>
    </xf>
    <xf numFmtId="240" fontId="6" fillId="0" borderId="318">
      <alignment horizontal="right" vertical="center"/>
    </xf>
    <xf numFmtId="0" fontId="50" fillId="3" borderId="343">
      <alignment vertical="center"/>
    </xf>
    <xf numFmtId="338" fontId="19" fillId="0" borderId="342"/>
    <xf numFmtId="0" fontId="94" fillId="0" borderId="344">
      <alignment horizontal="centerContinuous" vertical="center"/>
    </xf>
    <xf numFmtId="10" fontId="39" fillId="2" borderId="342" applyNumberFormat="0" applyBorder="0" applyAlignment="0" applyProtection="0"/>
    <xf numFmtId="176" fontId="6" fillId="0" borderId="318">
      <alignment vertical="center"/>
    </xf>
    <xf numFmtId="338" fontId="19" fillId="0" borderId="318"/>
    <xf numFmtId="0" fontId="9" fillId="0" borderId="344">
      <alignment horizontal="centerContinuous" vertical="center"/>
    </xf>
    <xf numFmtId="0" fontId="50" fillId="3" borderId="355">
      <alignment vertical="center"/>
    </xf>
    <xf numFmtId="3" fontId="56" fillId="0" borderId="354"/>
    <xf numFmtId="0" fontId="6" fillId="0" borderId="356">
      <alignment horizontal="centerContinuous" vertical="center"/>
    </xf>
    <xf numFmtId="3" fontId="57" fillId="0" borderId="354"/>
    <xf numFmtId="200" fontId="6" fillId="0" borderId="318">
      <alignment vertical="center"/>
    </xf>
    <xf numFmtId="230" fontId="6" fillId="0" borderId="342">
      <alignment vertical="center"/>
    </xf>
    <xf numFmtId="185" fontId="8" fillId="0" borderId="342">
      <alignment vertical="center"/>
    </xf>
    <xf numFmtId="0" fontId="94" fillId="0" borderId="332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241" fontId="6" fillId="0" borderId="318">
      <alignment horizontal="right" vertical="center"/>
    </xf>
    <xf numFmtId="241" fontId="6" fillId="0" borderId="318">
      <alignment horizontal="right" vertical="center"/>
    </xf>
    <xf numFmtId="241" fontId="6" fillId="0" borderId="318">
      <alignment horizontal="right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2" fontId="6" fillId="0" borderId="318">
      <alignment horizontal="right" vertical="center"/>
    </xf>
    <xf numFmtId="240" fontId="6" fillId="0" borderId="318">
      <alignment horizontal="right" vertical="center"/>
    </xf>
    <xf numFmtId="240" fontId="6" fillId="0" borderId="318">
      <alignment horizontal="right" vertical="center"/>
    </xf>
    <xf numFmtId="0" fontId="50" fillId="3" borderId="319">
      <alignment vertical="center"/>
    </xf>
    <xf numFmtId="49" fontId="117" fillId="0" borderId="318">
      <alignment horizontal="center" vertical="center"/>
    </xf>
    <xf numFmtId="247" fontId="117" fillId="0" borderId="318">
      <alignment vertical="center"/>
    </xf>
    <xf numFmtId="248" fontId="117" fillId="0" borderId="318">
      <alignment vertical="center"/>
    </xf>
    <xf numFmtId="176" fontId="6" fillId="0" borderId="318">
      <alignment vertical="center"/>
    </xf>
    <xf numFmtId="176" fontId="6" fillId="0" borderId="318">
      <alignment vertical="center"/>
    </xf>
    <xf numFmtId="0" fontId="6" fillId="0" borderId="318">
      <alignment vertical="center"/>
    </xf>
    <xf numFmtId="0" fontId="6" fillId="0" borderId="318">
      <alignment vertical="center"/>
    </xf>
    <xf numFmtId="0" fontId="6" fillId="0" borderId="318">
      <alignment vertical="center"/>
    </xf>
    <xf numFmtId="176" fontId="6" fillId="0" borderId="318">
      <alignment vertical="center"/>
    </xf>
    <xf numFmtId="218" fontId="6" fillId="0" borderId="318">
      <alignment vertical="center"/>
    </xf>
    <xf numFmtId="249" fontId="6" fillId="0" borderId="318">
      <alignment vertical="center"/>
    </xf>
    <xf numFmtId="200" fontId="6" fillId="0" borderId="342">
      <alignment vertical="center"/>
    </xf>
    <xf numFmtId="3" fontId="57" fillId="0" borderId="354"/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3" fontId="57" fillId="0" borderId="342"/>
    <xf numFmtId="185" fontId="8" fillId="0" borderId="342">
      <alignment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234" fontId="117" fillId="0" borderId="354">
      <alignment vertical="center"/>
    </xf>
    <xf numFmtId="0" fontId="56" fillId="0" borderId="330"/>
    <xf numFmtId="185" fontId="8" fillId="0" borderId="330">
      <alignment vertical="center"/>
    </xf>
    <xf numFmtId="185" fontId="8" fillId="0" borderId="330">
      <alignment vertical="center"/>
    </xf>
    <xf numFmtId="230" fontId="6" fillId="0" borderId="306">
      <alignment vertical="center"/>
    </xf>
    <xf numFmtId="10" fontId="39" fillId="4" borderId="318" applyNumberFormat="0" applyBorder="0" applyAlignment="0" applyProtection="0"/>
    <xf numFmtId="322" fontId="9" fillId="0" borderId="344">
      <alignment horizontal="centerContinuous" vertical="center"/>
    </xf>
    <xf numFmtId="0" fontId="6" fillId="0" borderId="344">
      <alignment horizontal="centerContinuous" vertical="center"/>
    </xf>
    <xf numFmtId="0" fontId="6" fillId="0" borderId="344">
      <alignment horizontal="centerContinuous" vertical="center"/>
    </xf>
    <xf numFmtId="0" fontId="94" fillId="0" borderId="344">
      <alignment horizontal="centerContinuous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242" fontId="6" fillId="0" borderId="286">
      <alignment horizontal="right" vertical="center"/>
    </xf>
    <xf numFmtId="242" fontId="6" fillId="0" borderId="286">
      <alignment horizontal="right" vertical="center"/>
    </xf>
    <xf numFmtId="242" fontId="6" fillId="0" borderId="286">
      <alignment horizontal="right" vertical="center"/>
    </xf>
    <xf numFmtId="242" fontId="6" fillId="0" borderId="286">
      <alignment horizontal="right" vertical="center"/>
    </xf>
    <xf numFmtId="242" fontId="6" fillId="0" borderId="286">
      <alignment horizontal="right" vertical="center"/>
    </xf>
    <xf numFmtId="0" fontId="57" fillId="28" borderId="315" applyNumberFormat="0" applyFont="0" applyAlignment="0" applyProtection="0">
      <alignment vertical="center"/>
    </xf>
    <xf numFmtId="240" fontId="6" fillId="0" borderId="306">
      <alignment horizontal="right" vertical="center"/>
    </xf>
    <xf numFmtId="41" fontId="56" fillId="0" borderId="306" applyNumberFormat="0" applyFont="0" applyFill="0" applyBorder="0" applyProtection="0">
      <alignment horizontal="distributed"/>
    </xf>
    <xf numFmtId="41" fontId="56" fillId="0" borderId="306" applyNumberFormat="0" applyFont="0" applyFill="0" applyBorder="0" applyProtection="0">
      <alignment horizontal="distributed"/>
    </xf>
    <xf numFmtId="0" fontId="184" fillId="0" borderId="306" applyFill="0" applyBorder="0" applyProtection="0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42" fontId="6" fillId="0" borderId="306">
      <alignment horizontal="right" vertical="center"/>
    </xf>
    <xf numFmtId="242" fontId="6" fillId="0" borderId="306">
      <alignment horizontal="right" vertical="center"/>
    </xf>
    <xf numFmtId="241" fontId="6" fillId="0" borderId="306">
      <alignment horizontal="right" vertical="center"/>
    </xf>
    <xf numFmtId="241" fontId="6" fillId="0" borderId="306">
      <alignment horizontal="right" vertical="center"/>
    </xf>
    <xf numFmtId="240" fontId="6" fillId="0" borderId="306">
      <alignment horizontal="right" vertical="center"/>
    </xf>
    <xf numFmtId="236" fontId="6" fillId="0" borderId="306">
      <alignment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234" fontId="117" fillId="0" borderId="306">
      <alignment vertical="center"/>
    </xf>
    <xf numFmtId="234" fontId="117" fillId="0" borderId="306">
      <alignment vertical="center"/>
    </xf>
    <xf numFmtId="230" fontId="6" fillId="0" borderId="306">
      <alignment vertical="center"/>
    </xf>
    <xf numFmtId="230" fontId="6" fillId="0" borderId="306">
      <alignment vertical="center"/>
    </xf>
    <xf numFmtId="230" fontId="6" fillId="0" borderId="306">
      <alignment vertical="center"/>
    </xf>
    <xf numFmtId="193" fontId="23" fillId="0" borderId="0">
      <protection locked="0"/>
    </xf>
    <xf numFmtId="23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191" fontId="6" fillId="0" borderId="286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30" fontId="6" fillId="0" borderId="330">
      <alignment vertical="center"/>
    </xf>
    <xf numFmtId="191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191" fontId="6" fillId="0" borderId="330">
      <alignment vertical="center"/>
    </xf>
    <xf numFmtId="191" fontId="6" fillId="0" borderId="330">
      <alignment vertical="center"/>
    </xf>
    <xf numFmtId="0" fontId="184" fillId="0" borderId="342" applyFill="0" applyBorder="0" applyProtection="0">
      <alignment vertical="center"/>
    </xf>
    <xf numFmtId="236" fontId="6" fillId="0" borderId="306">
      <alignment vertical="center"/>
    </xf>
    <xf numFmtId="238" fontId="6" fillId="0" borderId="306">
      <alignment vertical="center"/>
    </xf>
    <xf numFmtId="309" fontId="9" fillId="0" borderId="318" applyFill="0" applyBorder="0" applyAlignment="0"/>
    <xf numFmtId="237" fontId="6" fillId="0" borderId="330">
      <alignment vertical="center"/>
    </xf>
    <xf numFmtId="236" fontId="6" fillId="0" borderId="330">
      <alignment vertical="center"/>
    </xf>
    <xf numFmtId="0" fontId="92" fillId="0" borderId="342"/>
    <xf numFmtId="0" fontId="92" fillId="0" borderId="342"/>
    <xf numFmtId="0" fontId="56" fillId="0" borderId="342"/>
    <xf numFmtId="206" fontId="6" fillId="0" borderId="274">
      <alignment vertical="center"/>
    </xf>
    <xf numFmtId="176" fontId="6" fillId="0" borderId="274">
      <alignment vertical="center"/>
    </xf>
    <xf numFmtId="248" fontId="117" fillId="0" borderId="274">
      <alignment vertical="center"/>
    </xf>
    <xf numFmtId="0" fontId="9" fillId="0" borderId="321">
      <alignment horizontal="distributed"/>
    </xf>
    <xf numFmtId="0" fontId="9" fillId="0" borderId="321">
      <alignment horizontal="distributed"/>
    </xf>
    <xf numFmtId="0" fontId="9" fillId="0" borderId="318">
      <alignment horizontal="distributed" vertical="center"/>
    </xf>
    <xf numFmtId="244" fontId="117" fillId="0" borderId="318">
      <alignment vertical="center"/>
    </xf>
    <xf numFmtId="244" fontId="117" fillId="0" borderId="318">
      <alignment vertical="center"/>
    </xf>
    <xf numFmtId="243" fontId="117" fillId="0" borderId="318">
      <alignment vertical="center"/>
    </xf>
    <xf numFmtId="243" fontId="117" fillId="0" borderId="318">
      <alignment vertical="center"/>
    </xf>
    <xf numFmtId="239" fontId="117" fillId="0" borderId="318">
      <alignment horizontal="right" vertical="center"/>
    </xf>
    <xf numFmtId="239" fontId="117" fillId="0" borderId="318">
      <alignment horizontal="right" vertical="center"/>
    </xf>
    <xf numFmtId="234" fontId="117" fillId="0" borderId="318">
      <alignment vertical="center"/>
    </xf>
    <xf numFmtId="10" fontId="39" fillId="4" borderId="318" applyNumberFormat="0" applyBorder="0" applyAlignment="0" applyProtection="0"/>
    <xf numFmtId="10" fontId="39" fillId="2" borderId="318" applyNumberFormat="0" applyBorder="0" applyAlignment="0" applyProtection="0"/>
    <xf numFmtId="10" fontId="39" fillId="2" borderId="318" applyNumberFormat="0" applyBorder="0" applyAlignment="0" applyProtection="0"/>
    <xf numFmtId="0" fontId="41" fillId="0" borderId="319">
      <alignment horizontal="left" vertical="center"/>
    </xf>
    <xf numFmtId="0" fontId="41" fillId="0" borderId="319">
      <alignment horizontal="lef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2" fontId="6" fillId="0" borderId="274">
      <alignment horizontal="right" vertical="center"/>
    </xf>
    <xf numFmtId="242" fontId="6" fillId="0" borderId="274">
      <alignment horizontal="right" vertical="center"/>
    </xf>
    <xf numFmtId="242" fontId="6" fillId="0" borderId="274">
      <alignment horizontal="right" vertical="center"/>
    </xf>
    <xf numFmtId="242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1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3" fontId="57" fillId="0" borderId="318"/>
    <xf numFmtId="185" fontId="8" fillId="0" borderId="318">
      <alignment vertical="center"/>
    </xf>
    <xf numFmtId="185" fontId="8" fillId="0" borderId="318">
      <alignment vertical="center"/>
    </xf>
    <xf numFmtId="236" fontId="6" fillId="0" borderId="274">
      <alignment vertical="center"/>
    </xf>
    <xf numFmtId="238" fontId="6" fillId="0" borderId="274">
      <alignment vertical="center"/>
    </xf>
    <xf numFmtId="0" fontId="160" fillId="12" borderId="294" applyNumberFormat="0" applyAlignment="0" applyProtection="0">
      <alignment vertical="center"/>
    </xf>
    <xf numFmtId="3" fontId="57" fillId="0" borderId="298"/>
    <xf numFmtId="176" fontId="6" fillId="0" borderId="318">
      <alignment vertical="center"/>
    </xf>
    <xf numFmtId="249" fontId="6" fillId="0" borderId="318">
      <alignment vertical="center"/>
    </xf>
    <xf numFmtId="249" fontId="6" fillId="0" borderId="318">
      <alignment vertical="center"/>
    </xf>
    <xf numFmtId="200" fontId="6" fillId="0" borderId="318">
      <alignment vertical="center"/>
    </xf>
    <xf numFmtId="10" fontId="39" fillId="4" borderId="274" applyNumberFormat="0" applyBorder="0" applyAlignment="0" applyProtection="0"/>
    <xf numFmtId="0" fontId="11" fillId="0" borderId="274" applyNumberFormat="0" applyFont="0" applyFill="0" applyAlignment="0" applyProtection="0">
      <alignment horizontal="center" vertical="center"/>
    </xf>
    <xf numFmtId="3" fontId="56" fillId="0" borderId="274"/>
    <xf numFmtId="0" fontId="92" fillId="0" borderId="274"/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92" fillId="0" borderId="342"/>
    <xf numFmtId="0" fontId="9" fillId="0" borderId="356">
      <alignment horizontal="centerContinuous" vertical="center"/>
    </xf>
    <xf numFmtId="0" fontId="6" fillId="0" borderId="286">
      <alignment vertical="center"/>
    </xf>
    <xf numFmtId="0" fontId="6" fillId="0" borderId="286">
      <alignment vertical="center"/>
    </xf>
    <xf numFmtId="240" fontId="6" fillId="0" borderId="342">
      <alignment horizontal="right" vertical="center"/>
    </xf>
    <xf numFmtId="241" fontId="6" fillId="0" borderId="342">
      <alignment horizontal="right" vertical="center"/>
    </xf>
    <xf numFmtId="185" fontId="9" fillId="0" borderId="330">
      <alignment horizontal="center" vertical="center"/>
    </xf>
    <xf numFmtId="0" fontId="117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206" fontId="6" fillId="0" borderId="342">
      <alignment vertical="center"/>
    </xf>
    <xf numFmtId="249" fontId="6" fillId="0" borderId="342">
      <alignment vertical="center"/>
    </xf>
    <xf numFmtId="322" fontId="9" fillId="0" borderId="344">
      <alignment horizontal="centerContinuous" vertical="center"/>
    </xf>
    <xf numFmtId="200" fontId="6" fillId="0" borderId="274">
      <alignment vertical="center"/>
    </xf>
    <xf numFmtId="236" fontId="6" fillId="0" borderId="318">
      <alignment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0" fontId="117" fillId="0" borderId="288">
      <alignment horizontal="centerContinuous" vertical="center"/>
    </xf>
    <xf numFmtId="218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0" fontId="6" fillId="0" borderId="288">
      <alignment horizontal="centerContinuous" vertical="center"/>
    </xf>
    <xf numFmtId="0" fontId="6" fillId="0" borderId="288">
      <alignment horizontal="centerContinuous" vertical="center"/>
    </xf>
    <xf numFmtId="322" fontId="9" fillId="0" borderId="288">
      <alignment horizontal="centerContinuous" vertical="center"/>
    </xf>
    <xf numFmtId="239" fontId="117" fillId="0" borderId="330">
      <alignment horizontal="right" vertical="center"/>
    </xf>
    <xf numFmtId="0" fontId="41" fillId="0" borderId="287">
      <alignment horizontal="left" vertical="center"/>
    </xf>
    <xf numFmtId="241" fontId="6" fillId="0" borderId="318">
      <alignment horizontal="right" vertical="center"/>
    </xf>
    <xf numFmtId="238" fontId="6" fillId="0" borderId="330">
      <alignment vertical="center"/>
    </xf>
    <xf numFmtId="237" fontId="6" fillId="0" borderId="330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309" fontId="9" fillId="0" borderId="330" applyFill="0" applyBorder="0" applyAlignment="0"/>
    <xf numFmtId="193" fontId="23" fillId="0" borderId="0">
      <protection locked="0"/>
    </xf>
    <xf numFmtId="236" fontId="6" fillId="0" borderId="306">
      <alignment vertical="center"/>
    </xf>
    <xf numFmtId="237" fontId="6" fillId="0" borderId="318">
      <alignment vertical="center"/>
    </xf>
    <xf numFmtId="0" fontId="160" fillId="12" borderId="314" applyNumberFormat="0" applyAlignment="0" applyProtection="0">
      <alignment vertical="center"/>
    </xf>
    <xf numFmtId="176" fontId="6" fillId="0" borderId="318">
      <alignment vertical="center"/>
    </xf>
    <xf numFmtId="0" fontId="6" fillId="0" borderId="318">
      <alignment vertical="center"/>
    </xf>
    <xf numFmtId="176" fontId="6" fillId="0" borderId="318">
      <alignment vertical="center"/>
    </xf>
    <xf numFmtId="240" fontId="6" fillId="0" borderId="342">
      <alignment horizontal="right" vertical="center"/>
    </xf>
    <xf numFmtId="0" fontId="165" fillId="22" borderId="293" applyNumberFormat="0" applyAlignment="0" applyProtection="0">
      <alignment vertical="center"/>
    </xf>
    <xf numFmtId="0" fontId="165" fillId="22" borderId="293" applyNumberFormat="0" applyAlignment="0" applyProtection="0">
      <alignment vertical="center"/>
    </xf>
    <xf numFmtId="338" fontId="19" fillId="0" borderId="298"/>
    <xf numFmtId="338" fontId="19" fillId="0" borderId="298"/>
    <xf numFmtId="0" fontId="9" fillId="0" borderId="298">
      <alignment horizontal="distributed" vertical="center"/>
    </xf>
    <xf numFmtId="0" fontId="9" fillId="0" borderId="298">
      <alignment horizontal="distributed" vertical="center"/>
    </xf>
    <xf numFmtId="256" fontId="117" fillId="0" borderId="298" applyBorder="0">
      <alignment vertical="center"/>
    </xf>
    <xf numFmtId="200" fontId="6" fillId="0" borderId="318">
      <alignment vertical="center"/>
    </xf>
    <xf numFmtId="241" fontId="6" fillId="0" borderId="286">
      <alignment horizontal="right" vertical="center"/>
    </xf>
    <xf numFmtId="176" fontId="6" fillId="0" borderId="318">
      <alignment vertical="center"/>
    </xf>
    <xf numFmtId="256" fontId="117" fillId="0" borderId="354" applyBorder="0">
      <alignment vertical="center"/>
    </xf>
    <xf numFmtId="256" fontId="117" fillId="0" borderId="354" applyBorder="0">
      <alignment vertical="center"/>
    </xf>
    <xf numFmtId="0" fontId="9" fillId="0" borderId="354">
      <alignment horizontal="distributed" vertical="center"/>
    </xf>
    <xf numFmtId="0" fontId="9" fillId="0" borderId="357">
      <alignment horizontal="distributed"/>
    </xf>
    <xf numFmtId="0" fontId="9" fillId="0" borderId="357">
      <alignment horizontal="distributed"/>
    </xf>
    <xf numFmtId="185" fontId="9" fillId="0" borderId="354">
      <alignment horizontal="center" vertical="center"/>
    </xf>
    <xf numFmtId="191" fontId="6" fillId="0" borderId="330">
      <alignment vertical="center"/>
    </xf>
    <xf numFmtId="200" fontId="6" fillId="0" borderId="330">
      <alignment vertical="center"/>
    </xf>
    <xf numFmtId="191" fontId="6" fillId="0" borderId="330">
      <alignment vertical="center"/>
    </xf>
    <xf numFmtId="191" fontId="6" fillId="0" borderId="330">
      <alignment vertical="center"/>
    </xf>
    <xf numFmtId="241" fontId="6" fillId="0" borderId="342">
      <alignment horizontal="right" vertical="center"/>
    </xf>
    <xf numFmtId="0" fontId="165" fillId="22" borderId="293" applyNumberFormat="0" applyAlignment="0" applyProtection="0">
      <alignment vertical="center"/>
    </xf>
    <xf numFmtId="0" fontId="160" fillId="12" borderId="294" applyNumberFormat="0" applyAlignment="0" applyProtection="0">
      <alignment vertical="center"/>
    </xf>
    <xf numFmtId="10" fontId="39" fillId="2" borderId="354" applyNumberFormat="0" applyBorder="0" applyAlignment="0" applyProtection="0"/>
    <xf numFmtId="256" fontId="117" fillId="0" borderId="342" applyBorder="0">
      <alignment vertical="center"/>
    </xf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0" fontId="9" fillId="0" borderId="332">
      <alignment horizontal="centerContinuous" vertical="center"/>
    </xf>
    <xf numFmtId="322" fontId="9" fillId="0" borderId="332">
      <alignment horizontal="centerContinuous" vertical="center"/>
    </xf>
    <xf numFmtId="0" fontId="94" fillId="0" borderId="332">
      <alignment horizontal="centerContinuous" vertical="center"/>
    </xf>
    <xf numFmtId="218" fontId="9" fillId="0" borderId="344">
      <alignment horizontal="centerContinuous" vertical="center"/>
    </xf>
    <xf numFmtId="3" fontId="57" fillId="0" borderId="342"/>
    <xf numFmtId="239" fontId="117" fillId="0" borderId="286">
      <alignment horizontal="right" vertical="center"/>
    </xf>
    <xf numFmtId="239" fontId="117" fillId="0" borderId="286">
      <alignment horizontal="right" vertical="center"/>
    </xf>
    <xf numFmtId="239" fontId="117" fillId="0" borderId="286">
      <alignment horizontal="right" vertical="center"/>
    </xf>
    <xf numFmtId="234" fontId="117" fillId="0" borderId="286">
      <alignment vertical="center"/>
    </xf>
    <xf numFmtId="218" fontId="9" fillId="0" borderId="332">
      <alignment horizontal="centerContinuous" vertical="center"/>
    </xf>
    <xf numFmtId="0" fontId="94" fillId="0" borderId="276">
      <alignment horizontal="centerContinuous" vertical="center"/>
    </xf>
    <xf numFmtId="3" fontId="57" fillId="0" borderId="262"/>
    <xf numFmtId="10" fontId="39" fillId="4" borderId="262" applyNumberFormat="0" applyBorder="0" applyAlignment="0" applyProtection="0"/>
    <xf numFmtId="0" fontId="11" fillId="0" borderId="262" applyNumberFormat="0" applyFont="0" applyFill="0" applyAlignment="0" applyProtection="0">
      <alignment horizontal="center" vertical="center"/>
    </xf>
    <xf numFmtId="3" fontId="56" fillId="0" borderId="262"/>
    <xf numFmtId="0" fontId="56" fillId="0" borderId="262"/>
    <xf numFmtId="0" fontId="92" fillId="0" borderId="318"/>
    <xf numFmtId="41" fontId="56" fillId="0" borderId="318" applyNumberFormat="0" applyFont="0" applyFill="0" applyBorder="0" applyProtection="0">
      <alignment horizontal="distributed"/>
    </xf>
    <xf numFmtId="185" fontId="9" fillId="0" borderId="262">
      <alignment horizontal="center" vertical="center"/>
    </xf>
    <xf numFmtId="0" fontId="6" fillId="0" borderId="262" applyNumberFormat="0" applyFill="0" applyProtection="0">
      <alignment vertical="center"/>
    </xf>
    <xf numFmtId="241" fontId="6" fillId="0" borderId="306">
      <alignment horizontal="right" vertical="center"/>
    </xf>
    <xf numFmtId="0" fontId="94" fillId="0" borderId="308">
      <alignment horizontal="centerContinuous" vertical="center"/>
    </xf>
    <xf numFmtId="322" fontId="9" fillId="0" borderId="308">
      <alignment horizontal="centerContinuous" vertical="center"/>
    </xf>
    <xf numFmtId="0" fontId="9" fillId="0" borderId="288">
      <alignment horizontal="centerContinuous" vertical="center"/>
    </xf>
    <xf numFmtId="236" fontId="6" fillId="0" borderId="306">
      <alignment vertical="center"/>
    </xf>
    <xf numFmtId="191" fontId="6" fillId="0" borderId="342">
      <alignment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185" fontId="8" fillId="0" borderId="262">
      <alignment vertical="center"/>
    </xf>
    <xf numFmtId="185" fontId="8" fillId="0" borderId="262">
      <alignment vertical="center"/>
    </xf>
    <xf numFmtId="185" fontId="8" fillId="0" borderId="262">
      <alignment vertical="center"/>
    </xf>
    <xf numFmtId="3" fontId="57" fillId="0" borderId="262"/>
    <xf numFmtId="3" fontId="57" fillId="0" borderId="262"/>
    <xf numFmtId="0" fontId="6" fillId="0" borderId="332">
      <alignment horizontal="centerContinuous" vertical="center"/>
    </xf>
    <xf numFmtId="200" fontId="6" fillId="0" borderId="306">
      <alignment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240" fontId="6" fillId="0" borderId="318">
      <alignment horizontal="right" vertical="center"/>
    </xf>
    <xf numFmtId="0" fontId="159" fillId="0" borderId="328" applyNumberFormat="0" applyFill="0" applyAlignment="0" applyProtection="0">
      <alignment vertical="center"/>
    </xf>
    <xf numFmtId="249" fontId="6" fillId="0" borderId="274">
      <alignment vertical="center"/>
    </xf>
    <xf numFmtId="218" fontId="6" fillId="0" borderId="274">
      <alignment vertical="center"/>
    </xf>
    <xf numFmtId="191" fontId="6" fillId="0" borderId="342">
      <alignment vertical="center"/>
    </xf>
    <xf numFmtId="176" fontId="6" fillId="0" borderId="306">
      <alignment vertical="center"/>
    </xf>
    <xf numFmtId="0" fontId="9" fillId="0" borderId="357">
      <alignment horizontal="distributed"/>
    </xf>
    <xf numFmtId="191" fontId="6" fillId="0" borderId="318">
      <alignment vertical="center"/>
    </xf>
    <xf numFmtId="244" fontId="117" fillId="0" borderId="274">
      <alignment vertical="center"/>
    </xf>
    <xf numFmtId="0" fontId="6" fillId="0" borderId="274">
      <alignment horizontal="right" vertical="center" shrinkToFit="1"/>
    </xf>
    <xf numFmtId="3" fontId="56" fillId="0" borderId="274"/>
    <xf numFmtId="0" fontId="159" fillId="0" borderId="340" applyNumberFormat="0" applyFill="0" applyAlignment="0" applyProtection="0">
      <alignment vertical="center"/>
    </xf>
    <xf numFmtId="0" fontId="9" fillId="0" borderId="318">
      <alignment horizontal="distributed" vertical="center"/>
    </xf>
    <xf numFmtId="193" fontId="23" fillId="0" borderId="0">
      <protection locked="0"/>
    </xf>
    <xf numFmtId="0" fontId="56" fillId="0" borderId="318"/>
    <xf numFmtId="10" fontId="39" fillId="4" borderId="318" applyNumberFormat="0" applyBorder="0" applyAlignment="0" applyProtection="0"/>
    <xf numFmtId="230" fontId="6" fillId="0" borderId="286">
      <alignment vertical="center"/>
    </xf>
    <xf numFmtId="236" fontId="6" fillId="0" borderId="330">
      <alignment vertical="center"/>
    </xf>
    <xf numFmtId="0" fontId="159" fillId="0" borderId="316" applyNumberFormat="0" applyFill="0" applyAlignment="0" applyProtection="0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49" fontId="6" fillId="0" borderId="274">
      <alignment vertical="center"/>
    </xf>
    <xf numFmtId="200" fontId="6" fillId="0" borderId="274">
      <alignment vertical="center"/>
    </xf>
    <xf numFmtId="0" fontId="9" fillId="0" borderId="298">
      <alignment horizontal="distributed" vertical="center"/>
    </xf>
    <xf numFmtId="0" fontId="56" fillId="0" borderId="298"/>
    <xf numFmtId="0" fontId="56" fillId="0" borderId="298"/>
    <xf numFmtId="218" fontId="6" fillId="0" borderId="286">
      <alignment vertical="center"/>
    </xf>
    <xf numFmtId="176" fontId="6" fillId="0" borderId="286">
      <alignment vertical="center"/>
    </xf>
    <xf numFmtId="246" fontId="117" fillId="0" borderId="286">
      <alignment vertical="center"/>
    </xf>
    <xf numFmtId="242" fontId="6" fillId="0" borderId="286">
      <alignment horizontal="right" vertical="center"/>
    </xf>
    <xf numFmtId="322" fontId="9" fillId="0" borderId="320">
      <alignment horizontal="centerContinuous" vertical="center"/>
    </xf>
    <xf numFmtId="200" fontId="6" fillId="0" borderId="286">
      <alignment vertical="center"/>
    </xf>
    <xf numFmtId="191" fontId="6" fillId="0" borderId="286">
      <alignment vertical="center"/>
    </xf>
    <xf numFmtId="241" fontId="6" fillId="0" borderId="330">
      <alignment horizontal="right" vertical="center"/>
    </xf>
    <xf numFmtId="0" fontId="9" fillId="0" borderId="332">
      <alignment horizontal="centerContinuous" vertical="center"/>
    </xf>
    <xf numFmtId="0" fontId="117" fillId="0" borderId="344">
      <alignment horizontal="centerContinuous" vertical="center"/>
    </xf>
    <xf numFmtId="221" fontId="117" fillId="0" borderId="342">
      <alignment vertical="center"/>
    </xf>
    <xf numFmtId="240" fontId="6" fillId="0" borderId="342">
      <alignment horizontal="right" vertical="center"/>
    </xf>
    <xf numFmtId="185" fontId="8" fillId="0" borderId="354">
      <alignment vertical="center"/>
    </xf>
    <xf numFmtId="3" fontId="57" fillId="0" borderId="354"/>
    <xf numFmtId="0" fontId="41" fillId="0" borderId="355">
      <alignment horizontal="left" vertical="center"/>
    </xf>
    <xf numFmtId="0" fontId="9" fillId="0" borderId="357">
      <alignment horizontal="distributed"/>
    </xf>
    <xf numFmtId="338" fontId="19" fillId="0" borderId="354"/>
    <xf numFmtId="218" fontId="9" fillId="0" borderId="356">
      <alignment horizontal="centerContinuous" vertical="center"/>
    </xf>
    <xf numFmtId="0" fontId="54" fillId="28" borderId="362" applyNumberFormat="0" applyFont="0" applyAlignment="0" applyProtection="0">
      <alignment vertical="center"/>
    </xf>
    <xf numFmtId="200" fontId="6" fillId="0" borderId="286">
      <alignment vertical="center"/>
    </xf>
    <xf numFmtId="191" fontId="6" fillId="0" borderId="286">
      <alignment vertical="center"/>
    </xf>
    <xf numFmtId="206" fontId="6" fillId="0" borderId="286">
      <alignment vertical="center"/>
    </xf>
    <xf numFmtId="206" fontId="6" fillId="0" borderId="286">
      <alignment vertical="center"/>
    </xf>
    <xf numFmtId="206" fontId="6" fillId="0" borderId="286">
      <alignment vertical="center"/>
    </xf>
    <xf numFmtId="200" fontId="6" fillId="0" borderId="306">
      <alignment vertical="center"/>
    </xf>
    <xf numFmtId="0" fontId="159" fillId="0" borderId="296" applyNumberFormat="0" applyFill="0" applyAlignment="0" applyProtection="0">
      <alignment vertical="center"/>
    </xf>
    <xf numFmtId="0" fontId="6" fillId="0" borderId="332">
      <alignment horizontal="centerContinuous" vertical="center"/>
    </xf>
    <xf numFmtId="0" fontId="94" fillId="0" borderId="320">
      <alignment horizontal="centerContinuous" vertical="center"/>
    </xf>
    <xf numFmtId="218" fontId="9" fillId="0" borderId="276">
      <alignment horizontal="centerContinuous" vertical="center"/>
    </xf>
    <xf numFmtId="0" fontId="54" fillId="28" borderId="295" applyNumberFormat="0" applyFont="0" applyAlignment="0" applyProtection="0">
      <alignment vertical="center"/>
    </xf>
    <xf numFmtId="0" fontId="6" fillId="0" borderId="356">
      <alignment horizontal="centerContinuous" vertical="center"/>
    </xf>
    <xf numFmtId="10" fontId="39" fillId="2" borderId="342" applyNumberFormat="0" applyBorder="0" applyAlignment="0" applyProtection="0"/>
    <xf numFmtId="0" fontId="41" fillId="0" borderId="343">
      <alignment horizontal="left" vertical="center"/>
    </xf>
    <xf numFmtId="3" fontId="56" fillId="0" borderId="298"/>
    <xf numFmtId="246" fontId="117" fillId="0" borderId="286">
      <alignment vertical="center"/>
    </xf>
    <xf numFmtId="230" fontId="6" fillId="0" borderId="318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191" fontId="6" fillId="0" borderId="286">
      <alignment vertical="center"/>
    </xf>
    <xf numFmtId="249" fontId="6" fillId="0" borderId="286">
      <alignment vertical="center"/>
    </xf>
    <xf numFmtId="0" fontId="153" fillId="22" borderId="282" applyNumberFormat="0" applyAlignment="0" applyProtection="0">
      <alignment vertical="center"/>
    </xf>
    <xf numFmtId="0" fontId="6" fillId="0" borderId="286">
      <alignment horizontal="right" vertical="center" shrinkToFit="1"/>
    </xf>
    <xf numFmtId="3" fontId="57" fillId="0" borderId="306"/>
    <xf numFmtId="3" fontId="57" fillId="0" borderId="318"/>
    <xf numFmtId="191" fontId="6" fillId="0" borderId="342">
      <alignment vertical="center"/>
    </xf>
    <xf numFmtId="240" fontId="6" fillId="0" borderId="330">
      <alignment horizontal="right" vertical="center"/>
    </xf>
    <xf numFmtId="256" fontId="117" fillId="0" borderId="354" applyBorder="0">
      <alignment vertical="center"/>
    </xf>
    <xf numFmtId="240" fontId="6" fillId="0" borderId="250">
      <alignment horizontal="right" vertical="center"/>
    </xf>
    <xf numFmtId="244" fontId="117" fillId="0" borderId="330">
      <alignment vertical="center"/>
    </xf>
    <xf numFmtId="186" fontId="14" fillId="0" borderId="359"/>
    <xf numFmtId="176" fontId="6" fillId="0" borderId="250">
      <alignment vertical="center"/>
    </xf>
    <xf numFmtId="322" fontId="9" fillId="0" borderId="344">
      <alignment horizontal="centerContinuous" vertical="center"/>
    </xf>
    <xf numFmtId="230" fontId="6" fillId="0" borderId="330">
      <alignment vertical="center"/>
    </xf>
    <xf numFmtId="206" fontId="6" fillId="0" borderId="286">
      <alignment vertical="center"/>
    </xf>
    <xf numFmtId="176" fontId="6" fillId="0" borderId="286">
      <alignment vertical="center"/>
    </xf>
    <xf numFmtId="3" fontId="57" fillId="0" borderId="354"/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54" fillId="28" borderId="295" applyNumberFormat="0" applyFont="0" applyAlignment="0" applyProtection="0">
      <alignment vertical="center"/>
    </xf>
    <xf numFmtId="186" fontId="14" fillId="0" borderId="292"/>
    <xf numFmtId="0" fontId="6" fillId="0" borderId="308">
      <alignment horizontal="centerContinuous" vertical="center"/>
    </xf>
    <xf numFmtId="200" fontId="6" fillId="0" borderId="274">
      <alignment vertical="center"/>
    </xf>
    <xf numFmtId="0" fontId="165" fillId="22" borderId="257" applyNumberFormat="0" applyAlignment="0" applyProtection="0">
      <alignment vertical="center"/>
    </xf>
    <xf numFmtId="0" fontId="165" fillId="22" borderId="257" applyNumberFormat="0" applyAlignment="0" applyProtection="0">
      <alignment vertical="center"/>
    </xf>
    <xf numFmtId="0" fontId="165" fillId="22" borderId="257" applyNumberFormat="0" applyAlignment="0" applyProtection="0">
      <alignment vertical="center"/>
    </xf>
    <xf numFmtId="0" fontId="6" fillId="0" borderId="320">
      <alignment horizontal="centerContinuous" vertical="center"/>
    </xf>
    <xf numFmtId="0" fontId="94" fillId="0" borderId="320">
      <alignment horizontal="centerContinuous" vertical="center"/>
    </xf>
    <xf numFmtId="218" fontId="9" fillId="0" borderId="320">
      <alignment horizontal="centerContinuous" vertical="center"/>
    </xf>
    <xf numFmtId="191" fontId="6" fillId="0" borderId="286">
      <alignment vertical="center"/>
    </xf>
    <xf numFmtId="249" fontId="6" fillId="0" borderId="274">
      <alignment vertical="center"/>
    </xf>
    <xf numFmtId="249" fontId="6" fillId="0" borderId="274">
      <alignment vertical="center"/>
    </xf>
    <xf numFmtId="0" fontId="6" fillId="0" borderId="274">
      <alignment vertical="center"/>
    </xf>
    <xf numFmtId="0" fontId="50" fillId="3" borderId="275">
      <alignment vertical="center"/>
    </xf>
    <xf numFmtId="0" fontId="9" fillId="0" borderId="321">
      <alignment horizontal="distributed"/>
    </xf>
    <xf numFmtId="0" fontId="41" fillId="0" borderId="275">
      <alignment horizontal="left" vertical="center"/>
    </xf>
    <xf numFmtId="200" fontId="77" fillId="0" borderId="274">
      <alignment vertical="center"/>
    </xf>
    <xf numFmtId="0" fontId="92" fillId="0" borderId="318"/>
    <xf numFmtId="0" fontId="186" fillId="0" borderId="342" applyProtection="0">
      <alignment vertical="center"/>
    </xf>
    <xf numFmtId="236" fontId="6" fillId="0" borderId="342">
      <alignment vertical="center"/>
    </xf>
    <xf numFmtId="322" fontId="9" fillId="0" borderId="320">
      <alignment horizontal="centerContinuous" vertical="center"/>
    </xf>
    <xf numFmtId="322" fontId="9" fillId="0" borderId="332">
      <alignment horizontal="centerContinuous" vertical="center"/>
    </xf>
    <xf numFmtId="234" fontId="117" fillId="0" borderId="354">
      <alignment vertical="center"/>
    </xf>
    <xf numFmtId="322" fontId="9" fillId="0" borderId="320">
      <alignment horizontal="centerContinuous" vertical="center"/>
    </xf>
    <xf numFmtId="242" fontId="6" fillId="0" borderId="274">
      <alignment horizontal="right" vertical="center"/>
    </xf>
    <xf numFmtId="218" fontId="9" fillId="0" borderId="308">
      <alignment horizontal="centerContinuous" vertical="center"/>
    </xf>
    <xf numFmtId="176" fontId="6" fillId="0" borderId="342">
      <alignment vertical="center"/>
    </xf>
    <xf numFmtId="242" fontId="6" fillId="0" borderId="306">
      <alignment horizontal="right" vertical="center"/>
    </xf>
    <xf numFmtId="0" fontId="94" fillId="0" borderId="288">
      <alignment horizontal="centerContinuous" vertical="center"/>
    </xf>
    <xf numFmtId="0" fontId="94" fillId="0" borderId="288">
      <alignment horizontal="centerContinuous" vertical="center"/>
    </xf>
    <xf numFmtId="234" fontId="117" fillId="0" borderId="330">
      <alignment vertical="center"/>
    </xf>
    <xf numFmtId="0" fontId="6" fillId="0" borderId="262">
      <alignment horizontal="right" vertical="center" shrinkToFit="1"/>
    </xf>
    <xf numFmtId="0" fontId="6" fillId="0" borderId="262">
      <alignment horizontal="right" vertical="center" shrinkToFit="1"/>
    </xf>
    <xf numFmtId="41" fontId="56" fillId="0" borderId="262" applyNumberFormat="0" applyFont="0" applyFill="0" applyBorder="0" applyProtection="0">
      <alignment horizontal="distributed"/>
    </xf>
    <xf numFmtId="41" fontId="56" fillId="0" borderId="262" applyNumberFormat="0" applyFont="0" applyFill="0" applyBorder="0" applyProtection="0">
      <alignment horizontal="distributed"/>
    </xf>
    <xf numFmtId="41" fontId="56" fillId="0" borderId="262" applyNumberFormat="0" applyFont="0" applyFill="0" applyBorder="0" applyProtection="0">
      <alignment horizontal="distributed"/>
    </xf>
    <xf numFmtId="3" fontId="56" fillId="0" borderId="262"/>
    <xf numFmtId="3" fontId="56" fillId="0" borderId="262"/>
    <xf numFmtId="0" fontId="56" fillId="0" borderId="262"/>
    <xf numFmtId="0" fontId="92" fillId="0" borderId="262"/>
    <xf numFmtId="0" fontId="6" fillId="0" borderId="330">
      <alignment vertical="center"/>
    </xf>
    <xf numFmtId="256" fontId="117" fillId="0" borderId="262" applyBorder="0">
      <alignment vertical="center"/>
    </xf>
    <xf numFmtId="256" fontId="117" fillId="0" borderId="262" applyBorder="0">
      <alignment vertical="center"/>
    </xf>
    <xf numFmtId="256" fontId="117" fillId="0" borderId="262" applyBorder="0">
      <alignment vertical="center"/>
    </xf>
    <xf numFmtId="0" fontId="9" fillId="0" borderId="262">
      <alignment horizontal="distributed" vertical="center"/>
    </xf>
    <xf numFmtId="338" fontId="19" fillId="0" borderId="262"/>
    <xf numFmtId="322" fontId="9" fillId="0" borderId="320">
      <alignment horizontal="centerContinuous" vertical="center"/>
    </xf>
    <xf numFmtId="3" fontId="57" fillId="0" borderId="306"/>
    <xf numFmtId="3" fontId="57" fillId="0" borderId="274"/>
    <xf numFmtId="249" fontId="6" fillId="0" borderId="286">
      <alignment vertical="center"/>
    </xf>
    <xf numFmtId="200" fontId="6" fillId="0" borderId="286">
      <alignment vertical="center"/>
    </xf>
    <xf numFmtId="191" fontId="6" fillId="0" borderId="330">
      <alignment vertical="center"/>
    </xf>
    <xf numFmtId="249" fontId="6" fillId="0" borderId="318">
      <alignment vertical="center"/>
    </xf>
    <xf numFmtId="322" fontId="9" fillId="0" borderId="288">
      <alignment horizontal="centerContinuous" vertical="center"/>
    </xf>
    <xf numFmtId="0" fontId="6" fillId="0" borderId="308">
      <alignment horizontal="centerContinuous" vertical="center"/>
    </xf>
    <xf numFmtId="230" fontId="6" fillId="0" borderId="274">
      <alignment vertical="center"/>
    </xf>
    <xf numFmtId="0" fontId="6" fillId="0" borderId="320">
      <alignment horizontal="centerContinuous" vertical="center"/>
    </xf>
    <xf numFmtId="230" fontId="6" fillId="0" borderId="342">
      <alignment vertical="center"/>
    </xf>
    <xf numFmtId="0" fontId="54" fillId="28" borderId="327" applyNumberFormat="0" applyFont="0" applyAlignment="0" applyProtection="0">
      <alignment vertical="center"/>
    </xf>
    <xf numFmtId="238" fontId="6" fillId="0" borderId="330">
      <alignment vertical="center"/>
    </xf>
    <xf numFmtId="3" fontId="57" fillId="0" borderId="330"/>
    <xf numFmtId="322" fontId="9" fillId="0" borderId="320">
      <alignment horizontal="centerContinuous" vertical="center"/>
    </xf>
    <xf numFmtId="322" fontId="9" fillId="0" borderId="332">
      <alignment horizontal="centerContinuous" vertical="center"/>
    </xf>
    <xf numFmtId="0" fontId="117" fillId="0" borderId="344">
      <alignment horizontal="centerContinuous" vertical="center"/>
    </xf>
    <xf numFmtId="257" fontId="117" fillId="0" borderId="238" applyBorder="0">
      <alignment horizontal="left" vertical="center"/>
    </xf>
    <xf numFmtId="0" fontId="94" fillId="0" borderId="344">
      <alignment horizontal="centerContinuous" vertical="center"/>
    </xf>
    <xf numFmtId="3" fontId="57" fillId="0" borderId="298"/>
    <xf numFmtId="206" fontId="6" fillId="0" borderId="342">
      <alignment vertical="center"/>
    </xf>
    <xf numFmtId="240" fontId="6" fillId="0" borderId="330">
      <alignment horizontal="right" vertical="center"/>
    </xf>
    <xf numFmtId="10" fontId="39" fillId="4" borderId="330" applyNumberFormat="0" applyBorder="0" applyAlignment="0" applyProtection="0"/>
    <xf numFmtId="0" fontId="94" fillId="0" borderId="332">
      <alignment horizontal="centerContinuous"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240" fontId="6" fillId="0" borderId="342">
      <alignment horizontal="right" vertical="center"/>
    </xf>
    <xf numFmtId="185" fontId="8" fillId="0" borderId="318">
      <alignment vertical="center"/>
    </xf>
    <xf numFmtId="185" fontId="8" fillId="0" borderId="318">
      <alignment vertical="center"/>
    </xf>
    <xf numFmtId="185" fontId="8" fillId="0" borderId="318">
      <alignment vertical="center"/>
    </xf>
    <xf numFmtId="0" fontId="6" fillId="0" borderId="342">
      <alignment vertical="center"/>
    </xf>
    <xf numFmtId="0" fontId="6" fillId="0" borderId="342">
      <alignment vertical="center"/>
    </xf>
    <xf numFmtId="240" fontId="6" fillId="0" borderId="342">
      <alignment horizontal="right" vertical="center"/>
    </xf>
    <xf numFmtId="218" fontId="9" fillId="0" borderId="344">
      <alignment horizontal="centerContinuous" vertical="center"/>
    </xf>
    <xf numFmtId="0" fontId="94" fillId="0" borderId="344">
      <alignment horizontal="centerContinuous" vertical="center"/>
    </xf>
    <xf numFmtId="200" fontId="6" fillId="0" borderId="330">
      <alignment vertical="center"/>
    </xf>
    <xf numFmtId="0" fontId="117" fillId="0" borderId="332">
      <alignment horizontal="centerContinuous" vertical="center"/>
    </xf>
    <xf numFmtId="191" fontId="6" fillId="0" borderId="342">
      <alignment vertical="center"/>
    </xf>
    <xf numFmtId="191" fontId="6" fillId="0" borderId="342">
      <alignment vertical="center"/>
    </xf>
    <xf numFmtId="0" fontId="6" fillId="0" borderId="286" applyNumberFormat="0" applyFill="0" applyProtection="0">
      <alignment vertical="center"/>
    </xf>
    <xf numFmtId="234" fontId="117" fillId="0" borderId="306">
      <alignment vertical="center"/>
    </xf>
    <xf numFmtId="338" fontId="19" fillId="0" borderId="286"/>
    <xf numFmtId="338" fontId="19" fillId="0" borderId="286"/>
    <xf numFmtId="338" fontId="19" fillId="0" borderId="286"/>
    <xf numFmtId="185" fontId="9" fillId="0" borderId="286">
      <alignment horizontal="center" vertical="center"/>
    </xf>
    <xf numFmtId="0" fontId="6" fillId="0" borderId="330">
      <alignment horizontal="right" vertical="center" shrinkToFit="1"/>
    </xf>
    <xf numFmtId="3" fontId="56" fillId="0" borderId="330"/>
    <xf numFmtId="0" fontId="9" fillId="0" borderId="286">
      <alignment horizontal="distributed" vertical="center"/>
    </xf>
    <xf numFmtId="0" fontId="9" fillId="0" borderId="286">
      <alignment horizontal="distributed" vertical="center"/>
    </xf>
    <xf numFmtId="0" fontId="9" fillId="0" borderId="286">
      <alignment horizontal="distributed" vertical="center"/>
    </xf>
    <xf numFmtId="256" fontId="117" fillId="0" borderId="286" applyBorder="0">
      <alignment vertical="center"/>
    </xf>
    <xf numFmtId="256" fontId="117" fillId="0" borderId="286" applyBorder="0">
      <alignment vertical="center"/>
    </xf>
    <xf numFmtId="256" fontId="117" fillId="0" borderId="286" applyBorder="0">
      <alignment vertical="center"/>
    </xf>
    <xf numFmtId="191" fontId="6" fillId="0" borderId="330">
      <alignment vertical="center"/>
    </xf>
    <xf numFmtId="338" fontId="19" fillId="0" borderId="330"/>
    <xf numFmtId="0" fontId="6" fillId="0" borderId="276">
      <alignment horizontal="centerContinuous" vertical="center"/>
    </xf>
    <xf numFmtId="0" fontId="6" fillId="28" borderId="315" applyNumberFormat="0" applyFont="0" applyAlignment="0" applyProtection="0">
      <alignment vertical="center"/>
    </xf>
    <xf numFmtId="37" fontId="117" fillId="0" borderId="274">
      <alignment horizontal="center" vertical="distributed"/>
    </xf>
    <xf numFmtId="0" fontId="6" fillId="0" borderId="276">
      <alignment horizontal="centerContinuous" vertical="center"/>
    </xf>
    <xf numFmtId="3" fontId="56" fillId="0" borderId="306"/>
    <xf numFmtId="239" fontId="117" fillId="0" borderId="318">
      <alignment horizontal="right" vertical="center"/>
    </xf>
    <xf numFmtId="191" fontId="6" fillId="0" borderId="274">
      <alignment vertical="center"/>
    </xf>
    <xf numFmtId="191" fontId="6" fillId="0" borderId="274">
      <alignment vertical="center"/>
    </xf>
    <xf numFmtId="322" fontId="9" fillId="0" borderId="320">
      <alignment horizontal="centerContinuous" vertical="center"/>
    </xf>
    <xf numFmtId="244" fontId="117" fillId="0" borderId="298">
      <alignment vertical="center"/>
    </xf>
    <xf numFmtId="3" fontId="57" fillId="0" borderId="298"/>
    <xf numFmtId="3" fontId="57" fillId="0" borderId="342"/>
    <xf numFmtId="0" fontId="6" fillId="0" borderId="342" applyNumberFormat="0" applyFill="0" applyProtection="0">
      <alignment vertical="center"/>
    </xf>
    <xf numFmtId="322" fontId="9" fillId="0" borderId="308">
      <alignment horizontal="centerContinuous" vertical="center"/>
    </xf>
    <xf numFmtId="176" fontId="6" fillId="0" borderId="306">
      <alignment vertical="center"/>
    </xf>
    <xf numFmtId="0" fontId="6" fillId="0" borderId="306">
      <alignment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" fontId="57" fillId="0" borderId="318"/>
    <xf numFmtId="200" fontId="6" fillId="0" borderId="226">
      <alignment vertical="center"/>
    </xf>
    <xf numFmtId="200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20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248" fontId="117" fillId="0" borderId="226">
      <alignment vertical="center"/>
    </xf>
    <xf numFmtId="247" fontId="117" fillId="0" borderId="226">
      <alignment vertical="center"/>
    </xf>
    <xf numFmtId="49" fontId="117" fillId="0" borderId="226">
      <alignment horizontal="center" vertical="center"/>
    </xf>
    <xf numFmtId="0" fontId="94" fillId="0" borderId="264">
      <alignment horizontal="centerContinuous" vertical="center"/>
    </xf>
    <xf numFmtId="242" fontId="6" fillId="0" borderId="262">
      <alignment horizontal="right" vertical="center"/>
    </xf>
    <xf numFmtId="242" fontId="6" fillId="0" borderId="262">
      <alignment horizontal="right" vertical="center"/>
    </xf>
    <xf numFmtId="0" fontId="50" fillId="3" borderId="227">
      <alignment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00" fontId="6" fillId="0" borderId="306">
      <alignment vertical="center"/>
    </xf>
    <xf numFmtId="240" fontId="6" fillId="0" borderId="306">
      <alignment horizontal="right" vertical="center"/>
    </xf>
    <xf numFmtId="240" fontId="6" fillId="0" borderId="306">
      <alignment horizontal="right" vertical="center"/>
    </xf>
    <xf numFmtId="242" fontId="6" fillId="0" borderId="306">
      <alignment horizontal="right" vertical="center"/>
    </xf>
    <xf numFmtId="49" fontId="117" fillId="0" borderId="262">
      <alignment horizontal="center" vertical="center"/>
    </xf>
    <xf numFmtId="248" fontId="117" fillId="0" borderId="262">
      <alignment vertical="center"/>
    </xf>
    <xf numFmtId="17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00" fontId="6" fillId="0" borderId="262">
      <alignment vertical="center"/>
    </xf>
    <xf numFmtId="322" fontId="9" fillId="0" borderId="308">
      <alignment horizontal="centerContinuous" vertical="center"/>
    </xf>
    <xf numFmtId="3" fontId="57" fillId="0" borderId="306"/>
    <xf numFmtId="0" fontId="41" fillId="0" borderId="307">
      <alignment horizontal="left" vertical="center"/>
    </xf>
    <xf numFmtId="0" fontId="92" fillId="0" borderId="306"/>
    <xf numFmtId="0" fontId="153" fillId="22" borderId="303" applyNumberFormat="0" applyAlignment="0" applyProtection="0">
      <alignment vertical="center"/>
    </xf>
    <xf numFmtId="230" fontId="6" fillId="0" borderId="330">
      <alignment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2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1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40" fontId="6" fillId="0" borderId="226">
      <alignment horizontal="right"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42" fontId="6" fillId="0" borderId="342">
      <alignment horizontal="right" vertical="center"/>
    </xf>
    <xf numFmtId="0" fontId="153" fillId="22" borderId="270" applyNumberFormat="0" applyAlignment="0" applyProtection="0">
      <alignment vertical="center"/>
    </xf>
    <xf numFmtId="3" fontId="57" fillId="0" borderId="306"/>
    <xf numFmtId="236" fontId="6" fillId="0" borderId="318">
      <alignment vertical="center"/>
    </xf>
    <xf numFmtId="191" fontId="6" fillId="0" borderId="286">
      <alignment vertical="center"/>
    </xf>
    <xf numFmtId="243" fontId="117" fillId="0" borderId="342">
      <alignment vertical="center"/>
    </xf>
    <xf numFmtId="239" fontId="117" fillId="0" borderId="342">
      <alignment horizontal="right" vertical="center"/>
    </xf>
    <xf numFmtId="250" fontId="117" fillId="0" borderId="274">
      <alignment vertical="center"/>
    </xf>
    <xf numFmtId="322" fontId="9" fillId="0" borderId="356">
      <alignment horizontal="centerContinuous" vertical="center"/>
    </xf>
    <xf numFmtId="230" fontId="6" fillId="0" borderId="306">
      <alignment vertical="center"/>
    </xf>
    <xf numFmtId="10" fontId="39" fillId="4" borderId="330" applyNumberFormat="0" applyBorder="0" applyAlignment="0" applyProtection="0"/>
    <xf numFmtId="0" fontId="41" fillId="0" borderId="307">
      <alignment horizontal="left" vertical="center"/>
    </xf>
    <xf numFmtId="3" fontId="57" fillId="0" borderId="342"/>
    <xf numFmtId="3" fontId="57" fillId="0" borderId="342"/>
    <xf numFmtId="3" fontId="57" fillId="0" borderId="354"/>
    <xf numFmtId="221" fontId="117" fillId="0" borderId="226">
      <alignment vertical="center"/>
    </xf>
    <xf numFmtId="242" fontId="6" fillId="0" borderId="274">
      <alignment horizontal="right" vertical="center"/>
    </xf>
    <xf numFmtId="3" fontId="57" fillId="0" borderId="226"/>
    <xf numFmtId="234" fontId="117" fillId="0" borderId="286">
      <alignment vertical="center"/>
    </xf>
    <xf numFmtId="206" fontId="6" fillId="0" borderId="330">
      <alignment vertical="center"/>
    </xf>
    <xf numFmtId="3" fontId="57" fillId="0" borderId="226"/>
    <xf numFmtId="3" fontId="57" fillId="0" borderId="226"/>
    <xf numFmtId="0" fontId="82" fillId="0" borderId="226"/>
    <xf numFmtId="0" fontId="41" fillId="0" borderId="227">
      <alignment horizontal="left" vertical="center"/>
    </xf>
    <xf numFmtId="10" fontId="39" fillId="4" borderId="226" applyNumberFormat="0" applyBorder="0" applyAlignment="0" applyProtection="0"/>
    <xf numFmtId="0" fontId="50" fillId="3" borderId="227">
      <alignment vertical="center"/>
    </xf>
    <xf numFmtId="0" fontId="11" fillId="0" borderId="226" applyNumberFormat="0" applyFont="0" applyFill="0" applyAlignment="0" applyProtection="0">
      <alignment horizontal="center" vertical="center"/>
    </xf>
    <xf numFmtId="3" fontId="56" fillId="0" borderId="226"/>
    <xf numFmtId="0" fontId="56" fillId="0" borderId="226"/>
    <xf numFmtId="0" fontId="92" fillId="0" borderId="226"/>
    <xf numFmtId="3" fontId="6" fillId="0" borderId="226"/>
    <xf numFmtId="185" fontId="9" fillId="0" borderId="226">
      <alignment horizontal="center" vertical="center"/>
    </xf>
    <xf numFmtId="200" fontId="77" fillId="0" borderId="226">
      <alignment vertical="center"/>
    </xf>
    <xf numFmtId="0" fontId="50" fillId="3" borderId="227">
      <alignment vertical="center"/>
    </xf>
    <xf numFmtId="0" fontId="94" fillId="0" borderId="264">
      <alignment horizontal="centerContinuous" vertical="center"/>
    </xf>
    <xf numFmtId="247" fontId="117" fillId="0" borderId="250">
      <alignment vertical="center"/>
    </xf>
    <xf numFmtId="0" fontId="6" fillId="0" borderId="226" applyNumberFormat="0" applyFill="0" applyProtection="0">
      <alignment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218" fontId="9" fillId="0" borderId="228">
      <alignment horizontal="centerContinuous" vertical="center"/>
    </xf>
    <xf numFmtId="218" fontId="9" fillId="0" borderId="228">
      <alignment horizontal="centerContinuous" vertical="center"/>
    </xf>
    <xf numFmtId="218" fontId="9" fillId="0" borderId="228">
      <alignment horizontal="centerContinuous" vertical="center"/>
    </xf>
    <xf numFmtId="218" fontId="9" fillId="0" borderId="228">
      <alignment horizontal="centerContinuous" vertical="center"/>
    </xf>
    <xf numFmtId="218" fontId="9" fillId="0" borderId="228">
      <alignment horizontal="centerContinuous" vertical="center"/>
    </xf>
    <xf numFmtId="218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0" fontId="6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" fillId="0" borderId="228">
      <alignment horizontal="centerContinuous" vertical="center"/>
    </xf>
    <xf numFmtId="0" fontId="9" fillId="0" borderId="228">
      <alignment horizontal="centerContinuous" vertical="center"/>
    </xf>
    <xf numFmtId="0" fontId="9" fillId="0" borderId="228">
      <alignment horizontal="centerContinuous" vertical="center"/>
    </xf>
    <xf numFmtId="0" fontId="9" fillId="0" borderId="228">
      <alignment horizontal="centerContinuous" vertical="center"/>
    </xf>
    <xf numFmtId="0" fontId="9" fillId="0" borderId="228">
      <alignment horizontal="centerContinuous" vertical="center"/>
    </xf>
    <xf numFmtId="0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117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0" fontId="94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28">
      <alignment horizontal="centerContinuous" vertical="center"/>
    </xf>
    <xf numFmtId="322" fontId="9" fillId="0" borderId="264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250">
      <alignment vertical="center"/>
    </xf>
    <xf numFmtId="0" fontId="6" fillId="0" borderId="250">
      <alignment vertical="center"/>
    </xf>
    <xf numFmtId="0" fontId="41" fillId="0" borderId="287">
      <alignment horizontal="left" vertical="center"/>
    </xf>
    <xf numFmtId="0" fontId="41" fillId="0" borderId="287">
      <alignment horizontal="left" vertical="center"/>
    </xf>
    <xf numFmtId="0" fontId="50" fillId="3" borderId="307">
      <alignment vertical="center"/>
    </xf>
    <xf numFmtId="0" fontId="94" fillId="0" borderId="276">
      <alignment horizontal="centerContinuous" vertical="center"/>
    </xf>
    <xf numFmtId="3" fontId="57" fillId="0" borderId="262"/>
    <xf numFmtId="0" fontId="50" fillId="3" borderId="331">
      <alignment vertical="center"/>
    </xf>
    <xf numFmtId="0" fontId="6" fillId="0" borderId="330">
      <alignment vertical="center"/>
    </xf>
    <xf numFmtId="244" fontId="117" fillId="0" borderId="286">
      <alignment vertical="center"/>
    </xf>
    <xf numFmtId="247" fontId="117" fillId="0" borderId="342">
      <alignment vertical="center"/>
    </xf>
    <xf numFmtId="176" fontId="6" fillId="0" borderId="250">
      <alignment vertical="center"/>
    </xf>
    <xf numFmtId="0" fontId="6" fillId="0" borderId="250">
      <alignment vertical="center"/>
    </xf>
    <xf numFmtId="186" fontId="14" fillId="0" borderId="336"/>
    <xf numFmtId="242" fontId="6" fillId="0" borderId="330">
      <alignment horizontal="right" vertical="center"/>
    </xf>
    <xf numFmtId="0" fontId="94" fillId="0" borderId="320">
      <alignment horizontal="centerContinuous" vertical="center"/>
    </xf>
    <xf numFmtId="0" fontId="153" fillId="22" borderId="326" applyNumberFormat="0" applyAlignment="0" applyProtection="0">
      <alignment vertical="center"/>
    </xf>
    <xf numFmtId="0" fontId="54" fillId="28" borderId="339" applyNumberFormat="0" applyFont="0" applyAlignment="0" applyProtection="0">
      <alignment vertical="center"/>
    </xf>
    <xf numFmtId="0" fontId="6" fillId="0" borderId="250">
      <alignment vertical="center"/>
    </xf>
    <xf numFmtId="0" fontId="6" fillId="0" borderId="250">
      <alignment vertical="center"/>
    </xf>
    <xf numFmtId="322" fontId="9" fillId="0" borderId="332">
      <alignment horizontal="centerContinuous" vertical="center"/>
    </xf>
    <xf numFmtId="0" fontId="153" fillId="22" borderId="314" applyNumberFormat="0" applyAlignment="0" applyProtection="0">
      <alignment vertical="center"/>
    </xf>
    <xf numFmtId="0" fontId="6" fillId="0" borderId="264">
      <alignment horizontal="centerContinuous" vertical="center"/>
    </xf>
    <xf numFmtId="10" fontId="39" fillId="4" borderId="286" applyNumberFormat="0" applyBorder="0" applyAlignment="0" applyProtection="0"/>
    <xf numFmtId="191" fontId="6" fillId="0" borderId="342">
      <alignment vertical="center"/>
    </xf>
    <xf numFmtId="244" fontId="117" fillId="0" borderId="286">
      <alignment vertical="center"/>
    </xf>
    <xf numFmtId="176" fontId="6" fillId="0" borderId="330">
      <alignment vertical="center"/>
    </xf>
    <xf numFmtId="185" fontId="8" fillId="0" borderId="226">
      <alignment vertical="center"/>
    </xf>
    <xf numFmtId="185" fontId="8" fillId="0" borderId="226">
      <alignment vertical="center"/>
    </xf>
    <xf numFmtId="185" fontId="8" fillId="0" borderId="226">
      <alignment vertical="center"/>
    </xf>
    <xf numFmtId="185" fontId="8" fillId="0" borderId="226">
      <alignment vertical="center"/>
    </xf>
    <xf numFmtId="185" fontId="8" fillId="0" borderId="226">
      <alignment vertical="center"/>
    </xf>
    <xf numFmtId="185" fontId="8" fillId="0" borderId="226">
      <alignment vertical="center"/>
    </xf>
    <xf numFmtId="0" fontId="117" fillId="0" borderId="356">
      <alignment horizontal="centerContinuous" vertical="center"/>
    </xf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3" fontId="57" fillId="0" borderId="226"/>
    <xf numFmtId="0" fontId="6" fillId="0" borderId="252">
      <alignment horizontal="centerContinuous" vertical="center"/>
    </xf>
    <xf numFmtId="0" fontId="6" fillId="0" borderId="356">
      <alignment horizontal="centerContinuous" vertical="center"/>
    </xf>
    <xf numFmtId="242" fontId="6" fillId="0" borderId="330">
      <alignment horizontal="right" vertical="center"/>
    </xf>
    <xf numFmtId="206" fontId="6" fillId="0" borderId="250">
      <alignment vertical="center"/>
    </xf>
    <xf numFmtId="206" fontId="6" fillId="0" borderId="250">
      <alignment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186" fontId="14" fillId="0" borderId="301"/>
    <xf numFmtId="0" fontId="82" fillId="0" borderId="226"/>
    <xf numFmtId="0" fontId="186" fillId="0" borderId="286" applyProtection="0">
      <alignment vertical="center"/>
    </xf>
    <xf numFmtId="242" fontId="6" fillId="0" borderId="262">
      <alignment horizontal="right" vertical="center"/>
    </xf>
    <xf numFmtId="0" fontId="94" fillId="0" borderId="264">
      <alignment horizontal="centerContinuous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0" fontId="41" fillId="0" borderId="227">
      <alignment horizontal="left" vertical="center"/>
    </xf>
    <xf numFmtId="10" fontId="39" fillId="2" borderId="226" applyNumberFormat="0" applyBorder="0" applyAlignment="0" applyProtection="0"/>
    <xf numFmtId="10" fontId="39" fillId="2" borderId="226" applyNumberFormat="0" applyBorder="0" applyAlignment="0" applyProtection="0"/>
    <xf numFmtId="10" fontId="39" fillId="2" borderId="226" applyNumberFormat="0" applyBorder="0" applyAlignment="0" applyProtection="0"/>
    <xf numFmtId="10" fontId="39" fillId="2" borderId="226" applyNumberFormat="0" applyBorder="0" applyAlignment="0" applyProtection="0"/>
    <xf numFmtId="10" fontId="39" fillId="2" borderId="226" applyNumberFormat="0" applyBorder="0" applyAlignment="0" applyProtection="0"/>
    <xf numFmtId="10" fontId="39" fillId="4" borderId="226" applyNumberFormat="0" applyBorder="0" applyAlignment="0" applyProtection="0"/>
    <xf numFmtId="234" fontId="117" fillId="0" borderId="226">
      <alignment vertical="center"/>
    </xf>
    <xf numFmtId="234" fontId="117" fillId="0" borderId="226">
      <alignment vertical="center"/>
    </xf>
    <xf numFmtId="234" fontId="117" fillId="0" borderId="226">
      <alignment vertical="center"/>
    </xf>
    <xf numFmtId="234" fontId="117" fillId="0" borderId="226">
      <alignment vertical="center"/>
    </xf>
    <xf numFmtId="234" fontId="117" fillId="0" borderId="226">
      <alignment vertical="center"/>
    </xf>
    <xf numFmtId="234" fontId="117" fillId="0" borderId="226">
      <alignment vertical="center"/>
    </xf>
    <xf numFmtId="239" fontId="117" fillId="0" borderId="226">
      <alignment horizontal="right" vertical="center"/>
    </xf>
    <xf numFmtId="239" fontId="117" fillId="0" borderId="226">
      <alignment horizontal="right" vertical="center"/>
    </xf>
    <xf numFmtId="239" fontId="117" fillId="0" borderId="226">
      <alignment horizontal="right" vertical="center"/>
    </xf>
    <xf numFmtId="239" fontId="117" fillId="0" borderId="226">
      <alignment horizontal="right" vertical="center"/>
    </xf>
    <xf numFmtId="239" fontId="117" fillId="0" borderId="226">
      <alignment horizontal="right" vertical="center"/>
    </xf>
    <xf numFmtId="239" fontId="117" fillId="0" borderId="226">
      <alignment horizontal="right" vertical="center"/>
    </xf>
    <xf numFmtId="243" fontId="117" fillId="0" borderId="226">
      <alignment vertical="center"/>
    </xf>
    <xf numFmtId="243" fontId="117" fillId="0" borderId="226">
      <alignment vertical="center"/>
    </xf>
    <xf numFmtId="243" fontId="117" fillId="0" borderId="226">
      <alignment vertical="center"/>
    </xf>
    <xf numFmtId="243" fontId="117" fillId="0" borderId="226">
      <alignment vertical="center"/>
    </xf>
    <xf numFmtId="243" fontId="117" fillId="0" borderId="226">
      <alignment vertical="center"/>
    </xf>
    <xf numFmtId="243" fontId="117" fillId="0" borderId="226">
      <alignment vertical="center"/>
    </xf>
    <xf numFmtId="244" fontId="117" fillId="0" borderId="226">
      <alignment vertical="center"/>
    </xf>
    <xf numFmtId="244" fontId="117" fillId="0" borderId="226">
      <alignment vertical="center"/>
    </xf>
    <xf numFmtId="244" fontId="117" fillId="0" borderId="226">
      <alignment vertical="center"/>
    </xf>
    <xf numFmtId="244" fontId="117" fillId="0" borderId="226">
      <alignment vertical="center"/>
    </xf>
    <xf numFmtId="244" fontId="117" fillId="0" borderId="226">
      <alignment vertical="center"/>
    </xf>
    <xf numFmtId="244" fontId="117" fillId="0" borderId="226">
      <alignment vertical="center"/>
    </xf>
    <xf numFmtId="0" fontId="50" fillId="3" borderId="227">
      <alignment vertical="center"/>
    </xf>
    <xf numFmtId="0" fontId="50" fillId="3" borderId="227">
      <alignment vertical="center"/>
    </xf>
    <xf numFmtId="0" fontId="50" fillId="3" borderId="227">
      <alignment vertical="center"/>
    </xf>
    <xf numFmtId="0" fontId="94" fillId="0" borderId="308">
      <alignment horizontal="centerContinuous" vertical="center"/>
    </xf>
    <xf numFmtId="200" fontId="6" fillId="0" borderId="274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218" fontId="9" fillId="0" borderId="320">
      <alignment horizontal="centerContinuous" vertical="center"/>
    </xf>
    <xf numFmtId="0" fontId="159" fillId="0" borderId="260" applyNumberFormat="0" applyFill="0" applyAlignment="0" applyProtection="0">
      <alignment vertical="center"/>
    </xf>
    <xf numFmtId="49" fontId="60" fillId="0" borderId="291" applyNumberFormat="0" applyAlignment="0"/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0" fontId="6" fillId="0" borderId="226">
      <alignment horizontal="right" vertical="center" shrinkToFit="1"/>
    </xf>
    <xf numFmtId="41" fontId="56" fillId="0" borderId="226" applyNumberFormat="0" applyFont="0" applyFill="0" applyBorder="0" applyProtection="0">
      <alignment horizontal="distributed"/>
    </xf>
    <xf numFmtId="41" fontId="56" fillId="0" borderId="226" applyNumberFormat="0" applyFont="0" applyFill="0" applyBorder="0" applyProtection="0">
      <alignment horizontal="distributed"/>
    </xf>
    <xf numFmtId="41" fontId="56" fillId="0" borderId="226" applyNumberFormat="0" applyFont="0" applyFill="0" applyBorder="0" applyProtection="0">
      <alignment horizontal="distributed"/>
    </xf>
    <xf numFmtId="41" fontId="56" fillId="0" borderId="226" applyNumberFormat="0" applyFont="0" applyFill="0" applyBorder="0" applyProtection="0">
      <alignment horizontal="distributed"/>
    </xf>
    <xf numFmtId="41" fontId="56" fillId="0" borderId="226" applyNumberFormat="0" applyFont="0" applyFill="0" applyBorder="0" applyProtection="0">
      <alignment horizontal="distributed"/>
    </xf>
    <xf numFmtId="41" fontId="56" fillId="0" borderId="226" applyNumberFormat="0" applyFont="0" applyFill="0" applyBorder="0" applyProtection="0">
      <alignment horizontal="distributed"/>
    </xf>
    <xf numFmtId="3" fontId="56" fillId="0" borderId="226"/>
    <xf numFmtId="3" fontId="56" fillId="0" borderId="226"/>
    <xf numFmtId="3" fontId="56" fillId="0" borderId="226"/>
    <xf numFmtId="3" fontId="56" fillId="0" borderId="226"/>
    <xf numFmtId="3" fontId="56" fillId="0" borderId="226"/>
    <xf numFmtId="3" fontId="56" fillId="0" borderId="226"/>
    <xf numFmtId="0" fontId="56" fillId="0" borderId="226"/>
    <xf numFmtId="0" fontId="56" fillId="0" borderId="226"/>
    <xf numFmtId="0" fontId="56" fillId="0" borderId="226"/>
    <xf numFmtId="0" fontId="56" fillId="0" borderId="226"/>
    <xf numFmtId="0" fontId="56" fillId="0" borderId="226"/>
    <xf numFmtId="0" fontId="56" fillId="0" borderId="226"/>
    <xf numFmtId="239" fontId="117" fillId="0" borderId="354">
      <alignment horizontal="right" vertical="center"/>
    </xf>
    <xf numFmtId="0" fontId="92" fillId="0" borderId="226"/>
    <xf numFmtId="0" fontId="92" fillId="0" borderId="226"/>
    <xf numFmtId="0" fontId="92" fillId="0" borderId="226"/>
    <xf numFmtId="0" fontId="92" fillId="0" borderId="226"/>
    <xf numFmtId="0" fontId="92" fillId="0" borderId="226"/>
    <xf numFmtId="0" fontId="92" fillId="0" borderId="226"/>
    <xf numFmtId="193" fontId="23" fillId="0" borderId="0">
      <protection locked="0"/>
    </xf>
    <xf numFmtId="0" fontId="117" fillId="0" borderId="344">
      <alignment horizontal="centerContinuous" vertical="center"/>
    </xf>
    <xf numFmtId="0" fontId="94" fillId="0" borderId="332">
      <alignment horizontal="centerContinuous" vertical="center"/>
    </xf>
    <xf numFmtId="206" fontId="6" fillId="0" borderId="306">
      <alignment vertical="center"/>
    </xf>
    <xf numFmtId="49" fontId="117" fillId="0" borderId="306">
      <alignment horizontal="center" vertical="center"/>
    </xf>
    <xf numFmtId="256" fontId="117" fillId="0" borderId="226" applyBorder="0">
      <alignment vertical="center"/>
    </xf>
    <xf numFmtId="256" fontId="117" fillId="0" borderId="226" applyBorder="0">
      <alignment vertical="center"/>
    </xf>
    <xf numFmtId="256" fontId="117" fillId="0" borderId="226" applyBorder="0">
      <alignment vertical="center"/>
    </xf>
    <xf numFmtId="256" fontId="117" fillId="0" borderId="226" applyBorder="0">
      <alignment vertical="center"/>
    </xf>
    <xf numFmtId="256" fontId="117" fillId="0" borderId="226" applyBorder="0">
      <alignment vertical="center"/>
    </xf>
    <xf numFmtId="256" fontId="117" fillId="0" borderId="226" applyBorder="0">
      <alignment vertical="center"/>
    </xf>
    <xf numFmtId="236" fontId="6" fillId="0" borderId="226">
      <alignment vertical="center"/>
    </xf>
    <xf numFmtId="0" fontId="9" fillId="0" borderId="226">
      <alignment horizontal="distributed" vertical="center"/>
    </xf>
    <xf numFmtId="0" fontId="9" fillId="0" borderId="226">
      <alignment horizontal="distributed" vertical="center"/>
    </xf>
    <xf numFmtId="0" fontId="9" fillId="0" borderId="226">
      <alignment horizontal="distributed" vertical="center"/>
    </xf>
    <xf numFmtId="0" fontId="9" fillId="0" borderId="226">
      <alignment horizontal="distributed" vertical="center"/>
    </xf>
    <xf numFmtId="0" fontId="9" fillId="0" borderId="226">
      <alignment horizontal="distributed" vertical="center"/>
    </xf>
    <xf numFmtId="0" fontId="9" fillId="0" borderId="226">
      <alignment horizontal="distributed" vertical="center"/>
    </xf>
    <xf numFmtId="0" fontId="9" fillId="0" borderId="229">
      <alignment horizontal="distributed"/>
    </xf>
    <xf numFmtId="0" fontId="9" fillId="0" borderId="229">
      <alignment horizontal="distributed"/>
    </xf>
    <xf numFmtId="0" fontId="9" fillId="0" borderId="229">
      <alignment horizontal="distributed"/>
    </xf>
    <xf numFmtId="0" fontId="9" fillId="0" borderId="229">
      <alignment horizontal="distributed"/>
    </xf>
    <xf numFmtId="0" fontId="9" fillId="0" borderId="229">
      <alignment horizontal="distributed"/>
    </xf>
    <xf numFmtId="0" fontId="9" fillId="0" borderId="229">
      <alignment horizontal="distributed"/>
    </xf>
    <xf numFmtId="0" fontId="9" fillId="0" borderId="229">
      <alignment horizontal="distributed"/>
    </xf>
    <xf numFmtId="185" fontId="9" fillId="0" borderId="226">
      <alignment horizontal="center" vertical="center"/>
    </xf>
    <xf numFmtId="338" fontId="19" fillId="0" borderId="226"/>
    <xf numFmtId="338" fontId="19" fillId="0" borderId="226"/>
    <xf numFmtId="338" fontId="19" fillId="0" borderId="226"/>
    <xf numFmtId="338" fontId="19" fillId="0" borderId="226"/>
    <xf numFmtId="338" fontId="19" fillId="0" borderId="226"/>
    <xf numFmtId="338" fontId="19" fillId="0" borderId="226"/>
    <xf numFmtId="0" fontId="3" fillId="0" borderId="0">
      <alignment vertical="center"/>
    </xf>
    <xf numFmtId="0" fontId="6" fillId="0" borderId="226" applyNumberFormat="0" applyFill="0" applyProtection="0">
      <alignment vertical="center"/>
    </xf>
    <xf numFmtId="0" fontId="50" fillId="3" borderId="227">
      <alignment vertical="center"/>
    </xf>
    <xf numFmtId="0" fontId="50" fillId="3" borderId="227">
      <alignment vertical="center"/>
    </xf>
    <xf numFmtId="218" fontId="9" fillId="0" borderId="228">
      <alignment horizontal="centerContinuous" vertical="center"/>
    </xf>
    <xf numFmtId="203" fontId="176" fillId="0" borderId="230" applyFill="0" applyProtection="0">
      <alignment horizontal="center"/>
    </xf>
    <xf numFmtId="0" fontId="185" fillId="22" borderId="233" applyNumberFormat="0" applyAlignment="0" applyProtection="0">
      <alignment vertical="center"/>
    </xf>
    <xf numFmtId="0" fontId="153" fillId="22" borderId="234" applyNumberFormat="0" applyAlignment="0" applyProtection="0">
      <alignment vertical="center"/>
    </xf>
    <xf numFmtId="0" fontId="54" fillId="28" borderId="235" applyNumberFormat="0" applyFont="0" applyAlignment="0" applyProtection="0">
      <alignment vertical="center"/>
    </xf>
    <xf numFmtId="0" fontId="54" fillId="28" borderId="235" applyNumberFormat="0" applyFont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186" fontId="14" fillId="0" borderId="232"/>
    <xf numFmtId="0" fontId="54" fillId="28" borderId="235" applyNumberFormat="0" applyFont="0" applyAlignment="0" applyProtection="0">
      <alignment vertical="center"/>
    </xf>
    <xf numFmtId="0" fontId="94" fillId="0" borderId="276">
      <alignment horizontal="centerContinuous" vertical="center"/>
    </xf>
    <xf numFmtId="0" fontId="224" fillId="0" borderId="228">
      <alignment horizontal="centerContinuous" vertical="center"/>
    </xf>
    <xf numFmtId="0" fontId="56" fillId="0" borderId="342"/>
    <xf numFmtId="240" fontId="6" fillId="0" borderId="286">
      <alignment horizontal="right" vertical="center"/>
    </xf>
    <xf numFmtId="238" fontId="6" fillId="0" borderId="330">
      <alignment vertical="center"/>
    </xf>
    <xf numFmtId="191" fontId="6" fillId="0" borderId="330">
      <alignment vertical="center"/>
    </xf>
    <xf numFmtId="3" fontId="57" fillId="0" borderId="274"/>
    <xf numFmtId="237" fontId="6" fillId="0" borderId="250">
      <alignment vertical="center"/>
    </xf>
    <xf numFmtId="0" fontId="153" fillId="22" borderId="314" applyNumberFormat="0" applyAlignment="0" applyProtection="0">
      <alignment vertical="center"/>
    </xf>
    <xf numFmtId="0" fontId="117" fillId="0" borderId="356">
      <alignment horizontal="centerContinuous" vertical="center"/>
    </xf>
    <xf numFmtId="322" fontId="9" fillId="0" borderId="344">
      <alignment horizontal="centerContinuous" vertical="center"/>
    </xf>
    <xf numFmtId="0" fontId="6" fillId="0" borderId="276">
      <alignment horizontal="centerContinuous" vertical="center"/>
    </xf>
    <xf numFmtId="0" fontId="94" fillId="0" borderId="320">
      <alignment horizontal="centerContinuous" vertical="center"/>
    </xf>
    <xf numFmtId="3" fontId="56" fillId="0" borderId="354"/>
    <xf numFmtId="0" fontId="6" fillId="0" borderId="344">
      <alignment horizontal="centerContinuous" vertical="center"/>
    </xf>
    <xf numFmtId="0" fontId="185" fillId="22" borderId="360" applyNumberFormat="0" applyAlignment="0" applyProtection="0">
      <alignment vertical="center"/>
    </xf>
    <xf numFmtId="240" fontId="6" fillId="0" borderId="306">
      <alignment horizontal="right" vertical="center"/>
    </xf>
    <xf numFmtId="233" fontId="122" fillId="0" borderId="318" applyFill="0" applyBorder="0" applyAlignment="0"/>
    <xf numFmtId="3" fontId="56" fillId="0" borderId="306"/>
    <xf numFmtId="3" fontId="56" fillId="0" borderId="306"/>
    <xf numFmtId="0" fontId="56" fillId="0" borderId="306"/>
    <xf numFmtId="0" fontId="41" fillId="0" borderId="287">
      <alignment horizontal="left" vertical="center"/>
    </xf>
    <xf numFmtId="0" fontId="92" fillId="0" borderId="330"/>
    <xf numFmtId="200" fontId="6" fillId="0" borderId="318">
      <alignment vertical="center"/>
    </xf>
    <xf numFmtId="242" fontId="6" fillId="0" borderId="342">
      <alignment horizontal="right" vertical="center"/>
    </xf>
    <xf numFmtId="176" fontId="6" fillId="0" borderId="286">
      <alignment vertical="center"/>
    </xf>
    <xf numFmtId="322" fontId="9" fillId="0" borderId="264">
      <alignment horizontal="centerContinuous" vertical="center"/>
    </xf>
    <xf numFmtId="0" fontId="92" fillId="0" borderId="318"/>
    <xf numFmtId="244" fontId="117" fillId="0" borderId="274">
      <alignment vertical="center"/>
    </xf>
    <xf numFmtId="0" fontId="94" fillId="0" borderId="308">
      <alignment horizontal="centerContinuous" vertical="center"/>
    </xf>
    <xf numFmtId="0" fontId="92" fillId="0" borderId="274"/>
    <xf numFmtId="0" fontId="92" fillId="0" borderId="274"/>
    <xf numFmtId="0" fontId="92" fillId="0" borderId="274"/>
    <xf numFmtId="230" fontId="6" fillId="0" borderId="286">
      <alignment vertical="center"/>
    </xf>
    <xf numFmtId="0" fontId="6" fillId="0" borderId="286">
      <alignment vertical="center"/>
    </xf>
    <xf numFmtId="0" fontId="92" fillId="0" borderId="354"/>
    <xf numFmtId="176" fontId="6" fillId="0" borderId="306">
      <alignment vertical="center"/>
    </xf>
    <xf numFmtId="230" fontId="6" fillId="0" borderId="286">
      <alignment vertical="center"/>
    </xf>
    <xf numFmtId="206" fontId="6" fillId="0" borderId="286">
      <alignment vertical="center"/>
    </xf>
    <xf numFmtId="0" fontId="57" fillId="28" borderId="283" applyNumberFormat="0" applyFont="0" applyAlignment="0" applyProtection="0">
      <alignment vertical="center"/>
    </xf>
    <xf numFmtId="0" fontId="153" fillId="22" borderId="282" applyNumberFormat="0" applyAlignment="0" applyProtection="0">
      <alignment vertical="center"/>
    </xf>
    <xf numFmtId="0" fontId="41" fillId="0" borderId="319">
      <alignment horizontal="left" vertical="center"/>
    </xf>
    <xf numFmtId="239" fontId="117" fillId="0" borderId="286">
      <alignment horizontal="right" vertical="center"/>
    </xf>
    <xf numFmtId="185" fontId="9" fillId="0" borderId="318">
      <alignment horizontal="center" vertical="center"/>
    </xf>
    <xf numFmtId="236" fontId="6" fillId="0" borderId="262">
      <alignment vertical="center"/>
    </xf>
    <xf numFmtId="236" fontId="6" fillId="0" borderId="262">
      <alignment vertical="center"/>
    </xf>
    <xf numFmtId="242" fontId="6" fillId="0" borderId="262">
      <alignment horizontal="right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00" fontId="6" fillId="0" borderId="306">
      <alignment vertical="center"/>
    </xf>
    <xf numFmtId="249" fontId="6" fillId="0" borderId="306">
      <alignment vertical="center"/>
    </xf>
    <xf numFmtId="176" fontId="6" fillId="0" borderId="306">
      <alignment vertical="center"/>
    </xf>
    <xf numFmtId="0" fontId="6" fillId="0" borderId="306">
      <alignment vertical="center"/>
    </xf>
    <xf numFmtId="242" fontId="6" fillId="0" borderId="274">
      <alignment horizontal="right" vertical="center"/>
    </xf>
    <xf numFmtId="241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240" fontId="6" fillId="0" borderId="318">
      <alignment horizontal="right" vertical="center"/>
    </xf>
    <xf numFmtId="191" fontId="6" fillId="0" borderId="318">
      <alignment vertical="center"/>
    </xf>
    <xf numFmtId="3" fontId="57" fillId="0" borderId="262"/>
    <xf numFmtId="3" fontId="57" fillId="0" borderId="318"/>
    <xf numFmtId="200" fontId="6" fillId="0" borderId="274">
      <alignment vertical="center"/>
    </xf>
    <xf numFmtId="218" fontId="9" fillId="0" borderId="344">
      <alignment horizontal="centerContinuous" vertical="center"/>
    </xf>
    <xf numFmtId="322" fontId="9" fillId="0" borderId="308">
      <alignment horizontal="centerContinuous" vertical="center"/>
    </xf>
    <xf numFmtId="0" fontId="94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228" fontId="117" fillId="0" borderId="329" applyBorder="0">
      <alignment vertical="center" wrapText="1"/>
    </xf>
    <xf numFmtId="206" fontId="6" fillId="0" borderId="274">
      <alignment vertical="center"/>
    </xf>
    <xf numFmtId="0" fontId="6" fillId="0" borderId="276">
      <alignment horizontal="centerContinuous" vertical="center"/>
    </xf>
    <xf numFmtId="185" fontId="8" fillId="0" borderId="342">
      <alignment vertical="center"/>
    </xf>
    <xf numFmtId="0" fontId="94" fillId="0" borderId="344">
      <alignment horizontal="centerContinuous" vertical="center"/>
    </xf>
    <xf numFmtId="0" fontId="9" fillId="0" borderId="318">
      <alignment horizontal="distributed" vertical="center"/>
    </xf>
    <xf numFmtId="0" fontId="153" fillId="22" borderId="270" applyNumberFormat="0" applyAlignment="0" applyProtection="0">
      <alignment vertical="center"/>
    </xf>
    <xf numFmtId="0" fontId="153" fillId="22" borderId="270" applyNumberFormat="0" applyAlignment="0" applyProtection="0">
      <alignment vertical="center"/>
    </xf>
    <xf numFmtId="0" fontId="94" fillId="0" borderId="308">
      <alignment horizontal="centerContinuous" vertical="center"/>
    </xf>
    <xf numFmtId="185" fontId="8" fillId="0" borderId="306">
      <alignment vertical="center"/>
    </xf>
    <xf numFmtId="3" fontId="57" fillId="0" borderId="306"/>
    <xf numFmtId="10" fontId="39" fillId="2" borderId="306" applyNumberFormat="0" applyBorder="0" applyAlignment="0" applyProtection="0"/>
    <xf numFmtId="0" fontId="57" fillId="28" borderId="271" applyNumberFormat="0" applyFont="0" applyAlignment="0" applyProtection="0">
      <alignment vertical="center"/>
    </xf>
    <xf numFmtId="0" fontId="41" fillId="0" borderId="343">
      <alignment horizontal="left" vertical="center"/>
    </xf>
    <xf numFmtId="322" fontId="9" fillId="0" borderId="344">
      <alignment horizontal="centerContinuous" vertical="center"/>
    </xf>
    <xf numFmtId="41" fontId="9" fillId="0" borderId="226">
      <alignment horizontal="center" vertical="center"/>
    </xf>
    <xf numFmtId="241" fontId="6" fillId="0" borderId="250">
      <alignment horizontal="right" vertical="center"/>
    </xf>
    <xf numFmtId="228" fontId="117" fillId="0" borderId="273" applyBorder="0">
      <alignment vertical="center" wrapText="1"/>
    </xf>
    <xf numFmtId="0" fontId="6" fillId="0" borderId="252">
      <alignment horizontal="centerContinuous" vertical="center"/>
    </xf>
    <xf numFmtId="238" fontId="6" fillId="0" borderId="274">
      <alignment vertical="center"/>
    </xf>
    <xf numFmtId="236" fontId="6" fillId="0" borderId="342">
      <alignment vertical="center"/>
    </xf>
    <xf numFmtId="200" fontId="6" fillId="0" borderId="306">
      <alignment vertical="center"/>
    </xf>
    <xf numFmtId="240" fontId="6" fillId="0" borderId="250">
      <alignment horizontal="right" vertical="center"/>
    </xf>
    <xf numFmtId="0" fontId="6" fillId="0" borderId="288">
      <alignment horizontal="centerContinuous" vertical="center"/>
    </xf>
    <xf numFmtId="176" fontId="6" fillId="0" borderId="250">
      <alignment vertical="center"/>
    </xf>
    <xf numFmtId="200" fontId="6" fillId="0" borderId="250">
      <alignment vertical="center"/>
    </xf>
    <xf numFmtId="0" fontId="6" fillId="0" borderId="250">
      <alignment vertical="center"/>
    </xf>
    <xf numFmtId="206" fontId="6" fillId="0" borderId="342">
      <alignment vertical="center"/>
    </xf>
    <xf numFmtId="243" fontId="117" fillId="0" borderId="286">
      <alignment vertical="center"/>
    </xf>
    <xf numFmtId="0" fontId="224" fillId="0" borderId="288">
      <alignment horizontal="centerContinuous" vertical="center"/>
    </xf>
    <xf numFmtId="241" fontId="6" fillId="0" borderId="306">
      <alignment horizontal="right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236" fontId="6" fillId="0" borderId="342">
      <alignment vertical="center"/>
    </xf>
    <xf numFmtId="0" fontId="117" fillId="0" borderId="356">
      <alignment horizontal="centerContinuous" vertical="center"/>
    </xf>
    <xf numFmtId="242" fontId="6" fillId="0" borderId="318">
      <alignment horizontal="right" vertical="center"/>
    </xf>
    <xf numFmtId="237" fontId="6" fillId="0" borderId="250">
      <alignment vertical="center"/>
    </xf>
    <xf numFmtId="238" fontId="6" fillId="0" borderId="250">
      <alignment vertical="center"/>
    </xf>
    <xf numFmtId="238" fontId="6" fillId="0" borderId="274">
      <alignment vertical="center"/>
    </xf>
    <xf numFmtId="242" fontId="6" fillId="0" borderId="342">
      <alignment horizontal="right" vertical="center"/>
    </xf>
    <xf numFmtId="243" fontId="117" fillId="0" borderId="262">
      <alignment vertical="center"/>
    </xf>
    <xf numFmtId="243" fontId="117" fillId="0" borderId="262">
      <alignment vertical="center"/>
    </xf>
    <xf numFmtId="244" fontId="117" fillId="0" borderId="262">
      <alignment vertical="center"/>
    </xf>
    <xf numFmtId="244" fontId="117" fillId="0" borderId="262">
      <alignment vertical="center"/>
    </xf>
    <xf numFmtId="244" fontId="117" fillId="0" borderId="262">
      <alignment vertical="center"/>
    </xf>
    <xf numFmtId="0" fontId="6" fillId="0" borderId="288">
      <alignment horizontal="centerContinuous" vertical="center"/>
    </xf>
    <xf numFmtId="10" fontId="39" fillId="4" borderId="226" applyNumberFormat="0" applyBorder="0" applyAlignment="0" applyProtection="0"/>
    <xf numFmtId="41" fontId="56" fillId="0" borderId="318" applyNumberFormat="0" applyFont="0" applyFill="0" applyBorder="0" applyProtection="0">
      <alignment horizontal="distributed"/>
    </xf>
    <xf numFmtId="0" fontId="94" fillId="0" borderId="276">
      <alignment horizontal="centerContinuous" vertical="center"/>
    </xf>
    <xf numFmtId="0" fontId="56" fillId="0" borderId="354"/>
    <xf numFmtId="0" fontId="50" fillId="3" borderId="287">
      <alignment vertical="center"/>
    </xf>
    <xf numFmtId="0" fontId="9" fillId="0" borderId="289">
      <alignment horizontal="distributed"/>
    </xf>
    <xf numFmtId="0" fontId="50" fillId="3" borderId="287">
      <alignment vertical="center"/>
    </xf>
    <xf numFmtId="0" fontId="153" fillId="22" borderId="294" applyNumberFormat="0" applyAlignment="0" applyProtection="0">
      <alignment vertical="center"/>
    </xf>
    <xf numFmtId="0" fontId="160" fillId="12" borderId="294" applyNumberFormat="0" applyAlignment="0" applyProtection="0">
      <alignment vertical="center"/>
    </xf>
    <xf numFmtId="0" fontId="159" fillId="0" borderId="296" applyNumberFormat="0" applyFill="0" applyAlignment="0" applyProtection="0">
      <alignment vertical="center"/>
    </xf>
    <xf numFmtId="0" fontId="153" fillId="22" borderId="258" applyNumberFormat="0" applyAlignment="0" applyProtection="0">
      <alignment vertical="center"/>
    </xf>
    <xf numFmtId="0" fontId="153" fillId="22" borderId="258" applyNumberFormat="0" applyAlignment="0" applyProtection="0">
      <alignment vertical="center"/>
    </xf>
    <xf numFmtId="322" fontId="9" fillId="0" borderId="344">
      <alignment horizontal="centerContinuous" vertical="center"/>
    </xf>
    <xf numFmtId="0" fontId="6" fillId="28" borderId="259" applyNumberFormat="0" applyFont="0" applyAlignment="0" applyProtection="0">
      <alignment vertical="center"/>
    </xf>
    <xf numFmtId="0" fontId="57" fillId="28" borderId="259" applyNumberFormat="0" applyFont="0" applyAlignment="0" applyProtection="0">
      <alignment vertical="center"/>
    </xf>
    <xf numFmtId="0" fontId="57" fillId="28" borderId="259" applyNumberFormat="0" applyFont="0" applyAlignment="0" applyProtection="0">
      <alignment vertical="center"/>
    </xf>
    <xf numFmtId="176" fontId="6" fillId="0" borderId="318">
      <alignment vertical="center"/>
    </xf>
    <xf numFmtId="249" fontId="6" fillId="0" borderId="318">
      <alignment vertical="center"/>
    </xf>
    <xf numFmtId="200" fontId="6" fillId="0" borderId="318">
      <alignment vertical="center"/>
    </xf>
    <xf numFmtId="241" fontId="6" fillId="0" borderId="306">
      <alignment horizontal="right" vertical="center"/>
    </xf>
    <xf numFmtId="240" fontId="6" fillId="0" borderId="306">
      <alignment horizontal="right" vertical="center"/>
    </xf>
    <xf numFmtId="322" fontId="9" fillId="0" borderId="308">
      <alignment horizontal="centerContinuous" vertical="center"/>
    </xf>
    <xf numFmtId="0" fontId="94" fillId="0" borderId="308">
      <alignment horizontal="centerContinuous" vertical="center"/>
    </xf>
    <xf numFmtId="0" fontId="153" fillId="22" borderId="223" applyNumberFormat="0" applyAlignment="0" applyProtection="0">
      <alignment vertical="center"/>
    </xf>
    <xf numFmtId="0" fontId="153" fillId="22" borderId="223" applyNumberFormat="0" applyAlignment="0" applyProtection="0">
      <alignment vertical="center"/>
    </xf>
    <xf numFmtId="0" fontId="153" fillId="22" borderId="223" applyNumberFormat="0" applyAlignment="0" applyProtection="0">
      <alignment vertical="center"/>
    </xf>
    <xf numFmtId="0" fontId="153" fillId="22" borderId="223" applyNumberFormat="0" applyAlignment="0" applyProtection="0">
      <alignment vertical="center"/>
    </xf>
    <xf numFmtId="0" fontId="153" fillId="22" borderId="223" applyNumberFormat="0" applyAlignment="0" applyProtection="0">
      <alignment vertical="center"/>
    </xf>
    <xf numFmtId="0" fontId="153" fillId="22" borderId="223" applyNumberFormat="0" applyAlignment="0" applyProtection="0">
      <alignment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191" fontId="6" fillId="0" borderId="318">
      <alignment vertical="center"/>
    </xf>
    <xf numFmtId="0" fontId="232" fillId="0" borderId="286" applyFont="0" applyFill="0" applyBorder="0" applyAlignment="0" applyProtection="0">
      <alignment horizontal="centerContinuous" vertical="center"/>
    </xf>
    <xf numFmtId="0" fontId="6" fillId="28" borderId="224" applyNumberFormat="0" applyFont="0" applyAlignment="0" applyProtection="0">
      <alignment vertical="center"/>
    </xf>
    <xf numFmtId="0" fontId="57" fillId="28" borderId="224" applyNumberFormat="0" applyFont="0" applyAlignment="0" applyProtection="0">
      <alignment vertical="center"/>
    </xf>
    <xf numFmtId="0" fontId="57" fillId="28" borderId="224" applyNumberFormat="0" applyFont="0" applyAlignment="0" applyProtection="0">
      <alignment vertical="center"/>
    </xf>
    <xf numFmtId="0" fontId="57" fillId="28" borderId="224" applyNumberFormat="0" applyFont="0" applyAlignment="0" applyProtection="0">
      <alignment vertical="center"/>
    </xf>
    <xf numFmtId="0" fontId="57" fillId="28" borderId="224" applyNumberFormat="0" applyFont="0" applyAlignment="0" applyProtection="0">
      <alignment vertical="center"/>
    </xf>
    <xf numFmtId="218" fontId="9" fillId="0" borderId="344">
      <alignment horizontal="centerContinuous" vertical="center"/>
    </xf>
    <xf numFmtId="242" fontId="6" fillId="0" borderId="342">
      <alignment horizontal="right" vertical="center"/>
    </xf>
    <xf numFmtId="0" fontId="185" fillId="22" borderId="337" applyNumberFormat="0" applyAlignment="0" applyProtection="0">
      <alignment vertical="center"/>
    </xf>
    <xf numFmtId="0" fontId="54" fillId="28" borderId="339" applyNumberFormat="0" applyFont="0" applyAlignment="0" applyProtection="0">
      <alignment vertical="center"/>
    </xf>
    <xf numFmtId="0" fontId="185" fillId="22" borderId="325" applyNumberFormat="0" applyAlignment="0" applyProtection="0">
      <alignment vertical="center"/>
    </xf>
    <xf numFmtId="0" fontId="50" fillId="3" borderId="319">
      <alignment vertical="center"/>
    </xf>
    <xf numFmtId="3" fontId="57" fillId="0" borderId="318"/>
    <xf numFmtId="218" fontId="9" fillId="0" borderId="308">
      <alignment horizontal="centerContinuous" vertical="center"/>
    </xf>
    <xf numFmtId="322" fontId="9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0" fontId="9" fillId="0" borderId="308">
      <alignment horizontal="centerContinuous" vertical="center"/>
    </xf>
    <xf numFmtId="0" fontId="57" fillId="28" borderId="271" applyNumberFormat="0" applyFont="0" applyAlignment="0" applyProtection="0">
      <alignment vertical="center"/>
    </xf>
    <xf numFmtId="3" fontId="57" fillId="0" borderId="318"/>
    <xf numFmtId="3" fontId="56" fillId="0" borderId="318"/>
    <xf numFmtId="0" fontId="50" fillId="3" borderId="319">
      <alignment vertical="center"/>
    </xf>
    <xf numFmtId="0" fontId="6" fillId="0" borderId="342">
      <alignment vertical="center"/>
    </xf>
    <xf numFmtId="230" fontId="6" fillId="0" borderId="286">
      <alignment vertical="center"/>
    </xf>
    <xf numFmtId="242" fontId="6" fillId="0" borderId="286">
      <alignment horizontal="right" vertical="center"/>
    </xf>
    <xf numFmtId="238" fontId="6" fillId="0" borderId="238">
      <alignment vertical="center"/>
    </xf>
    <xf numFmtId="238" fontId="6" fillId="0" borderId="238">
      <alignment vertical="center"/>
    </xf>
    <xf numFmtId="236" fontId="6" fillId="0" borderId="238">
      <alignment vertical="center"/>
    </xf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44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0" fontId="117" fillId="0" borderId="344">
      <alignment horizontal="centerContinuous" vertical="center"/>
    </xf>
    <xf numFmtId="322" fontId="9" fillId="0" borderId="344">
      <alignment horizontal="centerContinuous" vertical="center"/>
    </xf>
    <xf numFmtId="0" fontId="82" fillId="0" borderId="306"/>
    <xf numFmtId="10" fontId="39" fillId="4" borderId="306" applyNumberFormat="0" applyBorder="0" applyAlignment="0" applyProtection="0"/>
    <xf numFmtId="0" fontId="11" fillId="0" borderId="306" applyNumberFormat="0" applyFont="0" applyFill="0" applyAlignment="0" applyProtection="0">
      <alignment horizontal="center" vertical="center"/>
    </xf>
    <xf numFmtId="0" fontId="92" fillId="0" borderId="306"/>
    <xf numFmtId="10" fontId="39" fillId="2" borderId="306" applyNumberFormat="0" applyBorder="0" applyAlignment="0" applyProtection="0"/>
    <xf numFmtId="0" fontId="165" fillId="22" borderId="313" applyNumberFormat="0" applyAlignment="0" applyProtection="0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176" fontId="6" fillId="0" borderId="342">
      <alignment vertical="center"/>
    </xf>
    <xf numFmtId="249" fontId="6" fillId="0" borderId="342">
      <alignment vertical="center"/>
    </xf>
    <xf numFmtId="41" fontId="135" fillId="0" borderId="286" applyNumberFormat="0">
      <alignment vertical="center"/>
    </xf>
    <xf numFmtId="0" fontId="9" fillId="0" borderId="344">
      <alignment horizontal="centerContinuous" vertical="center"/>
    </xf>
    <xf numFmtId="0" fontId="94" fillId="0" borderId="344">
      <alignment horizontal="centerContinuous" vertical="center"/>
    </xf>
    <xf numFmtId="256" fontId="117" fillId="0" borderId="318" applyBorder="0">
      <alignment vertical="center"/>
    </xf>
    <xf numFmtId="0" fontId="159" fillId="0" borderId="225" applyNumberFormat="0" applyFill="0" applyAlignment="0" applyProtection="0">
      <alignment vertical="center"/>
    </xf>
    <xf numFmtId="0" fontId="159" fillId="0" borderId="225" applyNumberFormat="0" applyFill="0" applyAlignment="0" applyProtection="0">
      <alignment vertical="center"/>
    </xf>
    <xf numFmtId="0" fontId="159" fillId="0" borderId="225" applyNumberFormat="0" applyFill="0" applyAlignment="0" applyProtection="0">
      <alignment vertical="center"/>
    </xf>
    <xf numFmtId="0" fontId="159" fillId="0" borderId="225" applyNumberFormat="0" applyFill="0" applyAlignment="0" applyProtection="0">
      <alignment vertical="center"/>
    </xf>
    <xf numFmtId="0" fontId="159" fillId="0" borderId="225" applyNumberFormat="0" applyFill="0" applyAlignment="0" applyProtection="0">
      <alignment vertical="center"/>
    </xf>
    <xf numFmtId="0" fontId="159" fillId="0" borderId="225" applyNumberFormat="0" applyFill="0" applyAlignment="0" applyProtection="0">
      <alignment vertical="center"/>
    </xf>
    <xf numFmtId="0" fontId="224" fillId="0" borderId="320">
      <alignment horizontal="centerContinuous" vertical="center"/>
    </xf>
    <xf numFmtId="0" fontId="6" fillId="0" borderId="286" applyNumberFormat="0" applyFill="0" applyProtection="0">
      <alignment vertical="center"/>
    </xf>
    <xf numFmtId="0" fontId="117" fillId="0" borderId="332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0" fontId="50" fillId="3" borderId="319">
      <alignment vertical="center"/>
    </xf>
    <xf numFmtId="244" fontId="117" fillId="0" borderId="318">
      <alignment vertical="center"/>
    </xf>
    <xf numFmtId="200" fontId="6" fillId="0" borderId="274">
      <alignment vertical="center"/>
    </xf>
    <xf numFmtId="240" fontId="6" fillId="0" borderId="318">
      <alignment horizontal="right" vertical="center"/>
    </xf>
    <xf numFmtId="242" fontId="6" fillId="0" borderId="318">
      <alignment horizontal="right" vertical="center"/>
    </xf>
    <xf numFmtId="0" fontId="57" fillId="28" borderId="295" applyNumberFormat="0" applyFont="0" applyAlignment="0" applyProtection="0">
      <alignment vertical="center"/>
    </xf>
    <xf numFmtId="200" fontId="77" fillId="0" borderId="354">
      <alignment vertical="center"/>
    </xf>
    <xf numFmtId="0" fontId="56" fillId="0" borderId="298"/>
    <xf numFmtId="41" fontId="56" fillId="0" borderId="298" applyNumberFormat="0" applyFont="0" applyFill="0" applyBorder="0" applyProtection="0">
      <alignment horizontal="distributed"/>
    </xf>
    <xf numFmtId="0" fontId="6" fillId="0" borderId="298">
      <alignment horizontal="right" vertical="center" shrinkToFit="1"/>
    </xf>
    <xf numFmtId="0" fontId="94" fillId="0" borderId="308">
      <alignment horizontal="centerContinuous" vertical="center"/>
    </xf>
    <xf numFmtId="230" fontId="6" fillId="0" borderId="330">
      <alignment vertical="center"/>
    </xf>
    <xf numFmtId="242" fontId="6" fillId="0" borderId="306">
      <alignment horizontal="right" vertical="center"/>
    </xf>
    <xf numFmtId="240" fontId="6" fillId="0" borderId="306">
      <alignment horizontal="right" vertical="center"/>
    </xf>
    <xf numFmtId="0" fontId="94" fillId="0" borderId="308">
      <alignment horizontal="centerContinuous" vertical="center"/>
    </xf>
    <xf numFmtId="0" fontId="134" fillId="0" borderId="342">
      <alignment vertical="center"/>
    </xf>
    <xf numFmtId="0" fontId="41" fillId="0" borderId="307">
      <alignment horizontal="left" vertical="center"/>
    </xf>
    <xf numFmtId="0" fontId="6" fillId="0" borderId="320">
      <alignment horizontal="centerContinuous" vertical="center"/>
    </xf>
    <xf numFmtId="0" fontId="94" fillId="0" borderId="356">
      <alignment horizontal="centerContinuous" vertical="center"/>
    </xf>
    <xf numFmtId="338" fontId="19" fillId="0" borderId="318"/>
    <xf numFmtId="0" fontId="50" fillId="3" borderId="263">
      <alignment vertical="center"/>
    </xf>
    <xf numFmtId="0" fontId="6" fillId="0" borderId="320">
      <alignment horizontal="centerContinuous" vertical="center"/>
    </xf>
    <xf numFmtId="240" fontId="6" fillId="0" borderId="318">
      <alignment horizontal="right" vertical="center"/>
    </xf>
    <xf numFmtId="0" fontId="94" fillId="0" borderId="264">
      <alignment horizontal="centerContinuous" vertical="center"/>
    </xf>
    <xf numFmtId="0" fontId="94" fillId="0" borderId="264">
      <alignment horizontal="centerContinuous" vertical="center"/>
    </xf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250" fontId="117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49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18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200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0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176" fontId="6" fillId="0" borderId="226">
      <alignment vertical="center"/>
    </xf>
    <xf numFmtId="237" fontId="6" fillId="0" borderId="262">
      <alignment vertical="center"/>
    </xf>
    <xf numFmtId="246" fontId="117" fillId="0" borderId="226">
      <alignment vertical="center"/>
    </xf>
    <xf numFmtId="240" fontId="6" fillId="0" borderId="262">
      <alignment horizontal="right" vertical="center"/>
    </xf>
    <xf numFmtId="240" fontId="6" fillId="0" borderId="262">
      <alignment horizontal="right" vertical="center"/>
    </xf>
    <xf numFmtId="249" fontId="6" fillId="0" borderId="306">
      <alignment vertical="center"/>
    </xf>
    <xf numFmtId="249" fontId="6" fillId="0" borderId="306">
      <alignment vertical="center"/>
    </xf>
    <xf numFmtId="176" fontId="6" fillId="0" borderId="306">
      <alignment vertical="center"/>
    </xf>
    <xf numFmtId="0" fontId="160" fillId="12" borderId="223" applyNumberFormat="0" applyAlignment="0" applyProtection="0">
      <alignment vertical="center"/>
    </xf>
    <xf numFmtId="0" fontId="160" fillId="12" borderId="223" applyNumberFormat="0" applyAlignment="0" applyProtection="0">
      <alignment vertical="center"/>
    </xf>
    <xf numFmtId="0" fontId="160" fillId="12" borderId="223" applyNumberFormat="0" applyAlignment="0" applyProtection="0">
      <alignment vertical="center"/>
    </xf>
    <xf numFmtId="0" fontId="160" fillId="12" borderId="223" applyNumberFormat="0" applyAlignment="0" applyProtection="0">
      <alignment vertical="center"/>
    </xf>
    <xf numFmtId="0" fontId="160" fillId="12" borderId="223" applyNumberFormat="0" applyAlignment="0" applyProtection="0">
      <alignment vertical="center"/>
    </xf>
    <xf numFmtId="0" fontId="160" fillId="12" borderId="223" applyNumberFormat="0" applyAlignment="0" applyProtection="0">
      <alignment vertical="center"/>
    </xf>
    <xf numFmtId="238" fontId="6" fillId="0" borderId="226">
      <alignment vertical="center"/>
    </xf>
    <xf numFmtId="238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7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6" fontId="6" fillId="0" borderId="226">
      <alignment vertical="center"/>
    </xf>
    <xf numFmtId="235" fontId="117" fillId="0" borderId="226">
      <alignment vertical="center"/>
    </xf>
    <xf numFmtId="322" fontId="9" fillId="0" borderId="332">
      <alignment horizontal="centerContinuous" vertical="center"/>
    </xf>
    <xf numFmtId="322" fontId="9" fillId="0" borderId="332">
      <alignment horizontal="centerContinuous" vertical="center"/>
    </xf>
    <xf numFmtId="256" fontId="117" fillId="0" borderId="330" applyBorder="0">
      <alignment vertical="center"/>
    </xf>
    <xf numFmtId="249" fontId="6" fillId="0" borderId="318">
      <alignment vertical="center"/>
    </xf>
    <xf numFmtId="200" fontId="77" fillId="0" borderId="286">
      <alignment vertical="center"/>
    </xf>
    <xf numFmtId="0" fontId="165" fillId="22" borderId="222" applyNumberForma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0" fontId="165" fillId="22" borderId="222" applyNumberFormat="0" applyAlignment="0" applyProtection="0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5" fontId="117" fillId="0" borderId="274">
      <alignment vertical="center"/>
    </xf>
    <xf numFmtId="0" fontId="6" fillId="0" borderId="342">
      <alignment vertical="center"/>
    </xf>
    <xf numFmtId="0" fontId="165" fillId="22" borderId="269" applyNumberFormat="0" applyAlignment="0" applyProtection="0">
      <alignment vertical="center"/>
    </xf>
    <xf numFmtId="0" fontId="165" fillId="22" borderId="269" applyNumberFormat="0" applyAlignment="0" applyProtection="0">
      <alignment vertical="center"/>
    </xf>
    <xf numFmtId="0" fontId="6" fillId="0" borderId="330">
      <alignment vertical="center"/>
    </xf>
    <xf numFmtId="206" fontId="6" fillId="0" borderId="330">
      <alignment vertical="center"/>
    </xf>
    <xf numFmtId="206" fontId="6" fillId="0" borderId="330">
      <alignment vertical="center"/>
    </xf>
    <xf numFmtId="0" fontId="56" fillId="0" borderId="342"/>
    <xf numFmtId="0" fontId="50" fillId="3" borderId="343">
      <alignment vertical="center"/>
    </xf>
    <xf numFmtId="244" fontId="117" fillId="0" borderId="342">
      <alignment vertical="center"/>
    </xf>
    <xf numFmtId="239" fontId="117" fillId="0" borderId="342">
      <alignment horizontal="right" vertical="center"/>
    </xf>
    <xf numFmtId="236" fontId="6" fillId="0" borderId="262">
      <alignment vertical="center"/>
    </xf>
    <xf numFmtId="241" fontId="6" fillId="0" borderId="262">
      <alignment horizontal="right" vertical="center"/>
    </xf>
    <xf numFmtId="0" fontId="94" fillId="0" borderId="344">
      <alignment horizontal="centerContinuous" vertical="center"/>
    </xf>
    <xf numFmtId="228" fontId="117" fillId="0" borderId="261" applyBorder="0">
      <alignment vertical="center" wrapText="1"/>
    </xf>
    <xf numFmtId="0" fontId="94" fillId="0" borderId="276">
      <alignment horizontal="centerContinuous" vertical="center"/>
    </xf>
    <xf numFmtId="0" fontId="159" fillId="0" borderId="316" applyNumberFormat="0" applyFill="0" applyAlignment="0" applyProtection="0">
      <alignment vertical="center"/>
    </xf>
    <xf numFmtId="0" fontId="6" fillId="0" borderId="298">
      <alignment horizontal="right" vertical="center" shrinkToFit="1"/>
    </xf>
    <xf numFmtId="49" fontId="117" fillId="0" borderId="274">
      <alignment horizontal="center" vertical="center"/>
    </xf>
    <xf numFmtId="322" fontId="9" fillId="0" borderId="276">
      <alignment horizontal="centerContinuous" vertical="center"/>
    </xf>
    <xf numFmtId="230" fontId="6" fillId="0" borderId="330">
      <alignment vertical="center"/>
    </xf>
    <xf numFmtId="236" fontId="6" fillId="0" borderId="318">
      <alignment vertical="center"/>
    </xf>
    <xf numFmtId="185" fontId="235" fillId="0" borderId="208"/>
    <xf numFmtId="0" fontId="153" fillId="22" borderId="294" applyNumberFormat="0" applyAlignment="0" applyProtection="0">
      <alignment vertical="center"/>
    </xf>
    <xf numFmtId="338" fontId="19" fillId="0" borderId="330"/>
    <xf numFmtId="10" fontId="39" fillId="4" borderId="330" applyNumberFormat="0" applyBorder="0" applyAlignment="0" applyProtection="0"/>
    <xf numFmtId="236" fontId="6" fillId="0" borderId="306">
      <alignment vertical="center"/>
    </xf>
    <xf numFmtId="3" fontId="56" fillId="0" borderId="306"/>
    <xf numFmtId="3" fontId="6" fillId="0" borderId="306"/>
    <xf numFmtId="0" fontId="160" fillId="12" borderId="314" applyNumberFormat="0" applyAlignment="0" applyProtection="0">
      <alignment vertical="center"/>
    </xf>
    <xf numFmtId="3" fontId="57" fillId="0" borderId="306"/>
    <xf numFmtId="234" fontId="117" fillId="0" borderId="306">
      <alignment vertical="center"/>
    </xf>
    <xf numFmtId="0" fontId="9" fillId="0" borderId="309">
      <alignment horizontal="distributed"/>
    </xf>
    <xf numFmtId="338" fontId="19" fillId="0" borderId="306"/>
    <xf numFmtId="0" fontId="50" fillId="3" borderId="307">
      <alignment vertical="center"/>
    </xf>
    <xf numFmtId="0" fontId="54" fillId="28" borderId="315" applyNumberFormat="0" applyFont="0" applyAlignment="0" applyProtection="0">
      <alignment vertical="center"/>
    </xf>
    <xf numFmtId="0" fontId="224" fillId="0" borderId="308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322" fontId="9" fillId="0" borderId="344">
      <alignment horizontal="centerContinuous" vertical="center"/>
    </xf>
    <xf numFmtId="322" fontId="9" fillId="0" borderId="344">
      <alignment horizontal="centerContinuous" vertical="center"/>
    </xf>
    <xf numFmtId="37" fontId="117" fillId="0" borderId="330">
      <alignment horizontal="center" vertical="distributed"/>
    </xf>
    <xf numFmtId="322" fontId="9" fillId="0" borderId="320">
      <alignment horizontal="centerContinuous" vertical="center"/>
    </xf>
    <xf numFmtId="200" fontId="6" fillId="0" borderId="306">
      <alignment vertical="center"/>
    </xf>
    <xf numFmtId="322" fontId="9" fillId="0" borderId="332">
      <alignment horizontal="centerContinuous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0" fontId="6" fillId="0" borderId="276">
      <alignment horizontal="centerContinuous" vertical="center"/>
    </xf>
    <xf numFmtId="322" fontId="9" fillId="0" borderId="288">
      <alignment horizontal="centerContinuous" vertical="center"/>
    </xf>
    <xf numFmtId="3" fontId="56" fillId="0" borderId="354"/>
    <xf numFmtId="0" fontId="94" fillId="0" borderId="356">
      <alignment horizontal="centerContinuous" vertical="center"/>
    </xf>
    <xf numFmtId="0" fontId="56" fillId="0" borderId="306"/>
    <xf numFmtId="244" fontId="117" fillId="0" borderId="318">
      <alignment vertical="center"/>
    </xf>
    <xf numFmtId="237" fontId="6" fillId="0" borderId="274">
      <alignment vertical="center"/>
    </xf>
    <xf numFmtId="238" fontId="6" fillId="0" borderId="342">
      <alignment vertical="center"/>
    </xf>
    <xf numFmtId="191" fontId="6" fillId="0" borderId="306">
      <alignment vertical="center"/>
    </xf>
    <xf numFmtId="236" fontId="6" fillId="0" borderId="250">
      <alignment vertical="center"/>
    </xf>
    <xf numFmtId="240" fontId="6" fillId="0" borderId="250">
      <alignment horizontal="right" vertical="center"/>
    </xf>
    <xf numFmtId="218" fontId="6" fillId="0" borderId="342">
      <alignment vertical="center"/>
    </xf>
    <xf numFmtId="0" fontId="6" fillId="0" borderId="342" applyNumberFormat="0" applyFill="0" applyProtection="0">
      <alignment vertical="center"/>
    </xf>
    <xf numFmtId="0" fontId="153" fillId="22" borderId="258" applyNumberFormat="0" applyAlignment="0" applyProtection="0">
      <alignment vertical="center"/>
    </xf>
    <xf numFmtId="0" fontId="153" fillId="22" borderId="258" applyNumberFormat="0" applyAlignment="0" applyProtection="0">
      <alignment vertical="center"/>
    </xf>
    <xf numFmtId="0" fontId="94" fillId="0" borderId="308">
      <alignment horizontal="centerContinuous" vertical="center"/>
    </xf>
    <xf numFmtId="0" fontId="160" fillId="12" borderId="294" applyNumberFormat="0" applyAlignment="0" applyProtection="0">
      <alignment vertical="center"/>
    </xf>
    <xf numFmtId="0" fontId="153" fillId="22" borderId="294" applyNumberFormat="0" applyAlignment="0" applyProtection="0">
      <alignment vertical="center"/>
    </xf>
    <xf numFmtId="0" fontId="153" fillId="22" borderId="294" applyNumberFormat="0" applyAlignment="0" applyProtection="0">
      <alignment vertical="center"/>
    </xf>
    <xf numFmtId="322" fontId="9" fillId="0" borderId="276">
      <alignment horizontal="centerContinuous" vertical="center"/>
    </xf>
    <xf numFmtId="218" fontId="9" fillId="0" borderId="276">
      <alignment horizontal="centerContinuous" vertical="center"/>
    </xf>
    <xf numFmtId="218" fontId="9" fillId="0" borderId="276">
      <alignment horizontal="centerContinuous" vertical="center"/>
    </xf>
    <xf numFmtId="218" fontId="9" fillId="0" borderId="276">
      <alignment horizontal="centerContinuous" vertical="center"/>
    </xf>
    <xf numFmtId="218" fontId="9" fillId="0" borderId="276">
      <alignment horizontal="centerContinuous" vertical="center"/>
    </xf>
    <xf numFmtId="218" fontId="9" fillId="0" borderId="276">
      <alignment horizontal="centerContinuous" vertical="center"/>
    </xf>
    <xf numFmtId="3" fontId="57" fillId="0" borderId="274"/>
    <xf numFmtId="3" fontId="57" fillId="0" borderId="274"/>
    <xf numFmtId="3" fontId="57" fillId="0" borderId="274"/>
    <xf numFmtId="3" fontId="57" fillId="0" borderId="274"/>
    <xf numFmtId="3" fontId="57" fillId="0" borderId="274"/>
    <xf numFmtId="3" fontId="57" fillId="0" borderId="274"/>
    <xf numFmtId="0" fontId="94" fillId="0" borderId="276">
      <alignment horizontal="centerContinuous" vertical="center"/>
    </xf>
    <xf numFmtId="0" fontId="9" fillId="0" borderId="321">
      <alignment horizontal="distributed"/>
    </xf>
    <xf numFmtId="240" fontId="6" fillId="0" borderId="306">
      <alignment horizontal="right" vertical="center"/>
    </xf>
    <xf numFmtId="243" fontId="117" fillId="0" borderId="354">
      <alignment vertical="center"/>
    </xf>
    <xf numFmtId="243" fontId="117" fillId="0" borderId="354">
      <alignment vertical="center"/>
    </xf>
    <xf numFmtId="191" fontId="6" fillId="0" borderId="342">
      <alignment vertical="center"/>
    </xf>
    <xf numFmtId="256" fontId="117" fillId="0" borderId="330" applyBorder="0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191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230" fontId="6" fillId="0" borderId="262">
      <alignment vertical="center"/>
    </xf>
    <xf numFmtId="191" fontId="6" fillId="0" borderId="262">
      <alignment vertical="center"/>
    </xf>
    <xf numFmtId="238" fontId="6" fillId="0" borderId="318">
      <alignment vertical="center"/>
    </xf>
    <xf numFmtId="0" fontId="56" fillId="0" borderId="286"/>
    <xf numFmtId="0" fontId="82" fillId="0" borderId="342"/>
    <xf numFmtId="0" fontId="232" fillId="0" borderId="226" applyFont="0" applyFill="0" applyBorder="0" applyAlignment="0" applyProtection="0">
      <alignment horizontal="centerContinuous" vertical="center"/>
    </xf>
    <xf numFmtId="0" fontId="94" fillId="0" borderId="320">
      <alignment horizontal="centerContinuous" vertical="center"/>
    </xf>
    <xf numFmtId="322" fontId="9" fillId="0" borderId="320">
      <alignment horizontal="centerContinuous" vertical="center"/>
    </xf>
    <xf numFmtId="191" fontId="6" fillId="0" borderId="250">
      <alignment vertical="center"/>
    </xf>
    <xf numFmtId="191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185" fontId="8" fillId="0" borderId="342">
      <alignment vertical="center"/>
    </xf>
    <xf numFmtId="3" fontId="56" fillId="0" borderId="298"/>
    <xf numFmtId="0" fontId="9" fillId="0" borderId="320">
      <alignment horizontal="centerContinuous" vertical="center"/>
    </xf>
    <xf numFmtId="0" fontId="117" fillId="0" borderId="356">
      <alignment horizontal="centerContinuous" vertical="center"/>
    </xf>
    <xf numFmtId="0" fontId="159" fillId="0" borderId="236" applyNumberFormat="0" applyFill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0" fontId="159" fillId="0" borderId="236" applyNumberFormat="0" applyFill="0" applyAlignment="0" applyProtection="0">
      <alignment vertical="center"/>
    </xf>
    <xf numFmtId="243" fontId="117" fillId="0" borderId="342">
      <alignment vertical="center"/>
    </xf>
    <xf numFmtId="243" fontId="117" fillId="0" borderId="342">
      <alignment vertical="center"/>
    </xf>
    <xf numFmtId="0" fontId="50" fillId="3" borderId="331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191" fontId="6" fillId="0" borderId="306">
      <alignment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218" fontId="9" fillId="0" borderId="332">
      <alignment horizontal="centerContinuous" vertical="center"/>
    </xf>
    <xf numFmtId="242" fontId="6" fillId="0" borderId="286">
      <alignment horizontal="right" vertical="center"/>
    </xf>
    <xf numFmtId="240" fontId="6" fillId="0" borderId="286">
      <alignment horizontal="right" vertical="center"/>
    </xf>
    <xf numFmtId="0" fontId="94" fillId="0" borderId="344">
      <alignment horizontal="centerContinuous" vertical="center"/>
    </xf>
    <xf numFmtId="206" fontId="6" fillId="0" borderId="330">
      <alignment vertical="center"/>
    </xf>
    <xf numFmtId="206" fontId="6" fillId="0" borderId="330">
      <alignment vertical="center"/>
    </xf>
    <xf numFmtId="206" fontId="6" fillId="0" borderId="330">
      <alignment vertical="center"/>
    </xf>
    <xf numFmtId="0" fontId="6" fillId="0" borderId="330">
      <alignment vertical="center"/>
    </xf>
    <xf numFmtId="0" fontId="165" fillId="22" borderId="269" applyNumberFormat="0" applyAlignment="0" applyProtection="0">
      <alignment vertical="center"/>
    </xf>
    <xf numFmtId="0" fontId="165" fillId="22" borderId="269" applyNumberFormat="0" applyAlignment="0" applyProtection="0">
      <alignment vertical="center"/>
    </xf>
    <xf numFmtId="0" fontId="165" fillId="22" borderId="269" applyNumberFormat="0" applyAlignment="0" applyProtection="0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7" fontId="6" fillId="0" borderId="274">
      <alignment vertical="center"/>
    </xf>
    <xf numFmtId="238" fontId="6" fillId="0" borderId="274">
      <alignment vertical="center"/>
    </xf>
    <xf numFmtId="238" fontId="6" fillId="0" borderId="274">
      <alignment vertical="center"/>
    </xf>
    <xf numFmtId="176" fontId="6" fillId="0" borderId="274">
      <alignment vertical="center"/>
    </xf>
    <xf numFmtId="0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18" fontId="6" fillId="0" borderId="274">
      <alignment vertical="center"/>
    </xf>
    <xf numFmtId="218" fontId="6" fillId="0" borderId="274">
      <alignment vertical="center"/>
    </xf>
    <xf numFmtId="218" fontId="6" fillId="0" borderId="274">
      <alignment vertical="center"/>
    </xf>
    <xf numFmtId="249" fontId="6" fillId="0" borderId="274">
      <alignment vertical="center"/>
    </xf>
    <xf numFmtId="221" fontId="117" fillId="0" borderId="318">
      <alignment vertical="center"/>
    </xf>
    <xf numFmtId="0" fontId="11" fillId="0" borderId="318" applyNumberFormat="0" applyFont="0" applyFill="0" applyAlignment="0" applyProtection="0">
      <alignment horizontal="center" vertical="center"/>
    </xf>
    <xf numFmtId="3" fontId="57" fillId="0" borderId="318"/>
    <xf numFmtId="185" fontId="8" fillId="0" borderId="342">
      <alignment vertical="center"/>
    </xf>
    <xf numFmtId="185" fontId="8" fillId="0" borderId="306">
      <alignment vertical="center"/>
    </xf>
    <xf numFmtId="250" fontId="117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49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18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200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0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176" fontId="6" fillId="0" borderId="238">
      <alignment vertical="center"/>
    </xf>
    <xf numFmtId="0" fontId="9" fillId="0" borderId="321">
      <alignment horizontal="distributed"/>
    </xf>
    <xf numFmtId="246" fontId="117" fillId="0" borderId="238">
      <alignment vertical="center"/>
    </xf>
    <xf numFmtId="0" fontId="54" fillId="28" borderId="327" applyNumberFormat="0" applyFont="0" applyAlignment="0" applyProtection="0">
      <alignment vertical="center"/>
    </xf>
    <xf numFmtId="49" fontId="60" fillId="0" borderId="231" applyNumberFormat="0" applyAlignment="0"/>
    <xf numFmtId="0" fontId="160" fillId="12" borderId="234" applyNumberFormat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0" fontId="160" fillId="12" borderId="234" applyNumberFormat="0" applyAlignment="0" applyProtection="0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8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7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6" fontId="6" fillId="0" borderId="238">
      <alignment vertical="center"/>
    </xf>
    <xf numFmtId="235" fontId="117" fillId="0" borderId="238">
      <alignment vertical="center"/>
    </xf>
    <xf numFmtId="236" fontId="6" fillId="0" borderId="306">
      <alignment vertical="center"/>
    </xf>
    <xf numFmtId="0" fontId="165" fillId="22" borderId="233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0" fontId="165" fillId="22" borderId="233" applyNumberFormat="0" applyAlignment="0" applyProtection="0">
      <alignment vertical="center"/>
    </xf>
    <xf numFmtId="0" fontId="50" fillId="3" borderId="355">
      <alignment vertical="center"/>
    </xf>
    <xf numFmtId="0" fontId="6" fillId="0" borderId="342">
      <alignment vertical="center"/>
    </xf>
    <xf numFmtId="200" fontId="6" fillId="0" borderId="342">
      <alignment vertical="center"/>
    </xf>
    <xf numFmtId="0" fontId="57" fillId="28" borderId="327" applyNumberFormat="0" applyFont="0" applyAlignment="0" applyProtection="0">
      <alignment vertical="center"/>
    </xf>
    <xf numFmtId="0" fontId="153" fillId="22" borderId="326" applyNumberFormat="0" applyAlignment="0" applyProtection="0">
      <alignment vertical="center"/>
    </xf>
    <xf numFmtId="0" fontId="153" fillId="22" borderId="326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338" fontId="19" fillId="0" borderId="330"/>
    <xf numFmtId="322" fontId="9" fillId="0" borderId="332">
      <alignment horizontal="centerContinuous" vertical="center"/>
    </xf>
    <xf numFmtId="3" fontId="57" fillId="0" borderId="330"/>
    <xf numFmtId="241" fontId="6" fillId="0" borderId="318">
      <alignment horizontal="right" vertical="center"/>
    </xf>
    <xf numFmtId="0" fontId="159" fillId="0" borderId="305" applyNumberFormat="0" applyFill="0" applyAlignment="0" applyProtection="0">
      <alignment vertical="center"/>
    </xf>
    <xf numFmtId="3" fontId="57" fillId="0" borderId="286"/>
    <xf numFmtId="3" fontId="57" fillId="0" borderId="286"/>
    <xf numFmtId="234" fontId="117" fillId="0" borderId="286">
      <alignment vertical="center"/>
    </xf>
    <xf numFmtId="0" fontId="6" fillId="0" borderId="286">
      <alignment horizontal="right" vertical="center" shrinkToFit="1"/>
    </xf>
    <xf numFmtId="0" fontId="56" fillId="0" borderId="286"/>
    <xf numFmtId="3" fontId="57" fillId="0" borderId="298"/>
    <xf numFmtId="0" fontId="94" fillId="0" borderId="344">
      <alignment horizontal="centerContinuous" vertical="center"/>
    </xf>
    <xf numFmtId="322" fontId="9" fillId="0" borderId="332">
      <alignment horizontal="centerContinuous" vertical="center"/>
    </xf>
    <xf numFmtId="240" fontId="6" fillId="0" borderId="342">
      <alignment horizontal="right" vertical="center"/>
    </xf>
    <xf numFmtId="240" fontId="6" fillId="0" borderId="342">
      <alignment horizontal="right" vertical="center"/>
    </xf>
    <xf numFmtId="3" fontId="56" fillId="0" borderId="354"/>
    <xf numFmtId="3" fontId="6" fillId="0" borderId="298"/>
    <xf numFmtId="3" fontId="57" fillId="0" borderId="298"/>
    <xf numFmtId="322" fontId="9" fillId="0" borderId="344">
      <alignment horizontal="centerContinuous" vertical="center"/>
    </xf>
    <xf numFmtId="185" fontId="235" fillId="0" borderId="226"/>
    <xf numFmtId="0" fontId="54" fillId="28" borderId="304" applyNumberFormat="0" applyFont="0" applyAlignment="0" applyProtection="0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206" fontId="6" fillId="0" borderId="274">
      <alignment vertical="center"/>
    </xf>
    <xf numFmtId="206" fontId="6" fillId="0" borderId="274">
      <alignment vertical="center"/>
    </xf>
    <xf numFmtId="206" fontId="6" fillId="0" borderId="274">
      <alignment vertical="center"/>
    </xf>
    <xf numFmtId="0" fontId="6" fillId="0" borderId="274">
      <alignment vertical="center"/>
    </xf>
    <xf numFmtId="0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176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18" fontId="6" fillId="0" borderId="274">
      <alignment vertical="center"/>
    </xf>
    <xf numFmtId="218" fontId="6" fillId="0" borderId="274">
      <alignment vertical="center"/>
    </xf>
    <xf numFmtId="218" fontId="6" fillId="0" borderId="274">
      <alignment vertical="center"/>
    </xf>
    <xf numFmtId="218" fontId="6" fillId="0" borderId="274">
      <alignment vertical="center"/>
    </xf>
    <xf numFmtId="200" fontId="6" fillId="0" borderId="274">
      <alignment vertical="center"/>
    </xf>
    <xf numFmtId="200" fontId="6" fillId="0" borderId="274">
      <alignment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191" fontId="6" fillId="0" borderId="286">
      <alignment vertical="center"/>
    </xf>
    <xf numFmtId="191" fontId="6" fillId="0" borderId="286">
      <alignment vertical="center"/>
    </xf>
    <xf numFmtId="231" fontId="117" fillId="0" borderId="286">
      <alignment vertical="center"/>
    </xf>
    <xf numFmtId="230" fontId="6" fillId="0" borderId="28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191" fontId="6" fillId="0" borderId="330">
      <alignment vertical="center"/>
    </xf>
    <xf numFmtId="233" fontId="122" fillId="0" borderId="342" applyFill="0" applyBorder="0" applyAlignment="0"/>
    <xf numFmtId="230" fontId="6" fillId="0" borderId="318">
      <alignment vertical="center"/>
    </xf>
    <xf numFmtId="185" fontId="9" fillId="0" borderId="354">
      <alignment horizontal="center" vertical="center"/>
    </xf>
    <xf numFmtId="246" fontId="117" fillId="0" borderId="318">
      <alignment vertical="center"/>
    </xf>
    <xf numFmtId="237" fontId="6" fillId="0" borderId="318">
      <alignment vertical="center"/>
    </xf>
    <xf numFmtId="0" fontId="160" fillId="12" borderId="258" applyNumberFormat="0" applyAlignment="0" applyProtection="0">
      <alignment vertical="center"/>
    </xf>
    <xf numFmtId="0" fontId="160" fillId="12" borderId="258" applyNumberFormat="0" applyAlignment="0" applyProtection="0">
      <alignment vertical="center"/>
    </xf>
    <xf numFmtId="0" fontId="160" fillId="12" borderId="258" applyNumberFormat="0" applyAlignment="0" applyProtection="0">
      <alignment vertical="center"/>
    </xf>
    <xf numFmtId="49" fontId="60" fillId="0" borderId="255" applyNumberFormat="0" applyAlignment="0"/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239" fontId="117" fillId="0" borderId="262">
      <alignment horizontal="right" vertical="center"/>
    </xf>
    <xf numFmtId="239" fontId="117" fillId="0" borderId="262">
      <alignment horizontal="right" vertical="center"/>
    </xf>
    <xf numFmtId="239" fontId="117" fillId="0" borderId="262">
      <alignment horizontal="right" vertical="center"/>
    </xf>
    <xf numFmtId="234" fontId="117" fillId="0" borderId="262">
      <alignment vertical="center"/>
    </xf>
    <xf numFmtId="234" fontId="117" fillId="0" borderId="262">
      <alignment vertical="center"/>
    </xf>
    <xf numFmtId="234" fontId="117" fillId="0" borderId="262">
      <alignment vertical="center"/>
    </xf>
    <xf numFmtId="234" fontId="117" fillId="0" borderId="262">
      <alignment vertical="center"/>
    </xf>
    <xf numFmtId="234" fontId="117" fillId="0" borderId="262">
      <alignment vertical="center"/>
    </xf>
    <xf numFmtId="234" fontId="117" fillId="0" borderId="262">
      <alignment vertical="center"/>
    </xf>
    <xf numFmtId="10" fontId="39" fillId="2" borderId="262" applyNumberFormat="0" applyBorder="0" applyAlignment="0" applyProtection="0"/>
    <xf numFmtId="10" fontId="39" fillId="2" borderId="262" applyNumberFormat="0" applyBorder="0" applyAlignment="0" applyProtection="0"/>
    <xf numFmtId="10" fontId="39" fillId="2" borderId="262" applyNumberFormat="0" applyBorder="0" applyAlignment="0" applyProtection="0"/>
    <xf numFmtId="10" fontId="39" fillId="2" borderId="262" applyNumberFormat="0" applyBorder="0" applyAlignment="0" applyProtection="0"/>
    <xf numFmtId="0" fontId="6" fillId="0" borderId="276">
      <alignment horizontal="centerContinuous" vertical="center"/>
    </xf>
    <xf numFmtId="0" fontId="94" fillId="0" borderId="276">
      <alignment horizontal="centerContinuous" vertical="center"/>
    </xf>
    <xf numFmtId="191" fontId="6" fillId="0" borderId="274">
      <alignment vertical="center"/>
    </xf>
    <xf numFmtId="191" fontId="6" fillId="0" borderId="274">
      <alignment vertical="center"/>
    </xf>
    <xf numFmtId="191" fontId="6" fillId="0" borderId="274">
      <alignment vertical="center"/>
    </xf>
    <xf numFmtId="3" fontId="56" fillId="0" borderId="318"/>
    <xf numFmtId="0" fontId="56" fillId="0" borderId="318"/>
    <xf numFmtId="0" fontId="56" fillId="0" borderId="318"/>
    <xf numFmtId="191" fontId="6" fillId="0" borderId="342">
      <alignment vertical="center"/>
    </xf>
    <xf numFmtId="0" fontId="165" fillId="22" borderId="325" applyNumberFormat="0" applyAlignment="0" applyProtection="0">
      <alignment vertical="center"/>
    </xf>
    <xf numFmtId="0" fontId="153" fillId="22" borderId="314" applyNumberFormat="0" applyAlignment="0" applyProtection="0">
      <alignment vertical="center"/>
    </xf>
    <xf numFmtId="0" fontId="134" fillId="0" borderId="342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40" fontId="6" fillId="0" borderId="274">
      <alignment horizontal="right" vertical="center"/>
    </xf>
    <xf numFmtId="240" fontId="6" fillId="0" borderId="274">
      <alignment horizontal="right" vertical="center"/>
    </xf>
    <xf numFmtId="3" fontId="56" fillId="0" borderId="318"/>
    <xf numFmtId="238" fontId="6" fillId="0" borderId="318">
      <alignment vertical="center"/>
    </xf>
    <xf numFmtId="240" fontId="6" fillId="0" borderId="274">
      <alignment horizontal="right" vertical="center"/>
    </xf>
    <xf numFmtId="240" fontId="6" fillId="0" borderId="250">
      <alignment horizontal="right" vertical="center"/>
    </xf>
    <xf numFmtId="240" fontId="6" fillId="0" borderId="250">
      <alignment horizontal="right" vertical="center"/>
    </xf>
    <xf numFmtId="237" fontId="6" fillId="0" borderId="250">
      <alignment vertical="center"/>
    </xf>
    <xf numFmtId="3" fontId="57" fillId="0" borderId="262"/>
    <xf numFmtId="3" fontId="57" fillId="0" borderId="262"/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0" fontId="94" fillId="0" borderId="264">
      <alignment horizontal="centerContinuous" vertical="center"/>
    </xf>
    <xf numFmtId="0" fontId="6" fillId="0" borderId="264">
      <alignment horizontal="centerContinuous" vertical="center"/>
    </xf>
    <xf numFmtId="0" fontId="6" fillId="0" borderId="264">
      <alignment horizontal="centerContinuous" vertical="center"/>
    </xf>
    <xf numFmtId="0" fontId="9" fillId="0" borderId="264">
      <alignment horizontal="centerContinuous" vertical="center"/>
    </xf>
    <xf numFmtId="0" fontId="9" fillId="0" borderId="264">
      <alignment horizontal="centerContinuous" vertical="center"/>
    </xf>
    <xf numFmtId="3" fontId="57" fillId="0" borderId="318"/>
    <xf numFmtId="0" fontId="41" fillId="0" borderId="287">
      <alignment horizontal="left" vertical="center"/>
    </xf>
    <xf numFmtId="0" fontId="41" fillId="0" borderId="287">
      <alignment horizontal="left" vertical="center"/>
    </xf>
    <xf numFmtId="3" fontId="56" fillId="0" borderId="354"/>
    <xf numFmtId="0" fontId="92" fillId="0" borderId="354"/>
    <xf numFmtId="236" fontId="6" fillId="0" borderId="286">
      <alignment vertical="center"/>
    </xf>
    <xf numFmtId="0" fontId="9" fillId="0" borderId="289">
      <alignment horizontal="distributed"/>
    </xf>
    <xf numFmtId="0" fontId="9" fillId="0" borderId="289">
      <alignment horizontal="distributed"/>
    </xf>
    <xf numFmtId="0" fontId="9" fillId="0" borderId="289">
      <alignment horizontal="distributed"/>
    </xf>
    <xf numFmtId="0" fontId="185" fillId="22" borderId="293" applyNumberFormat="0" applyAlignment="0" applyProtection="0">
      <alignment vertical="center"/>
    </xf>
    <xf numFmtId="0" fontId="159" fillId="0" borderId="296" applyNumberFormat="0" applyFill="0" applyAlignment="0" applyProtection="0">
      <alignment vertical="center"/>
    </xf>
    <xf numFmtId="206" fontId="6" fillId="0" borderId="342">
      <alignment vertical="center"/>
    </xf>
    <xf numFmtId="206" fontId="6" fillId="0" borderId="342">
      <alignment vertical="center"/>
    </xf>
    <xf numFmtId="233" fontId="122" fillId="0" borderId="250" applyFill="0" applyBorder="0" applyAlignment="0"/>
    <xf numFmtId="218" fontId="9" fillId="0" borderId="356">
      <alignment horizontal="centerContinuous" vertical="center"/>
    </xf>
    <xf numFmtId="0" fontId="117" fillId="0" borderId="308">
      <alignment horizontal="centerContinuous" vertical="center"/>
    </xf>
    <xf numFmtId="0" fontId="56" fillId="0" borderId="306"/>
    <xf numFmtId="0" fontId="232" fillId="0" borderId="238" applyFont="0" applyFill="0" applyBorder="0" applyAlignment="0" applyProtection="0">
      <alignment horizontal="centerContinuous" vertical="center"/>
    </xf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200" fontId="77" fillId="0" borderId="342">
      <alignment vertical="center"/>
    </xf>
    <xf numFmtId="3" fontId="6" fillId="0" borderId="342"/>
    <xf numFmtId="0" fontId="56" fillId="0" borderId="342"/>
    <xf numFmtId="0" fontId="11" fillId="0" borderId="342" applyNumberFormat="0" applyFont="0" applyFill="0" applyAlignment="0" applyProtection="0">
      <alignment horizontal="center" vertical="center"/>
    </xf>
    <xf numFmtId="10" fontId="39" fillId="4" borderId="342" applyNumberFormat="0" applyBorder="0" applyAlignment="0" applyProtection="0"/>
    <xf numFmtId="0" fontId="159" fillId="0" borderId="248" applyNumberFormat="0" applyFill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0" fontId="159" fillId="0" borderId="248" applyNumberFormat="0" applyFill="0" applyAlignment="0" applyProtection="0">
      <alignment vertical="center"/>
    </xf>
    <xf numFmtId="41" fontId="135" fillId="0" borderId="318" applyNumberFormat="0">
      <alignment vertical="center"/>
    </xf>
    <xf numFmtId="0" fontId="6" fillId="0" borderId="342">
      <alignment horizontal="right" vertical="center" shrinkToFit="1"/>
    </xf>
    <xf numFmtId="0" fontId="117" fillId="0" borderId="320">
      <alignment horizontal="centerContinuous" vertical="center"/>
    </xf>
    <xf numFmtId="176" fontId="6" fillId="0" borderId="318">
      <alignment vertical="center"/>
    </xf>
    <xf numFmtId="0" fontId="56" fillId="0" borderId="286"/>
    <xf numFmtId="41" fontId="56" fillId="0" borderId="286" applyNumberFormat="0" applyFont="0" applyFill="0" applyBorder="0" applyProtection="0">
      <alignment horizontal="distributed"/>
    </xf>
    <xf numFmtId="0" fontId="6" fillId="0" borderId="286">
      <alignment horizontal="right" vertical="center" shrinkToFit="1"/>
    </xf>
    <xf numFmtId="243" fontId="117" fillId="0" borderId="286">
      <alignment vertical="center"/>
    </xf>
    <xf numFmtId="239" fontId="117" fillId="0" borderId="286">
      <alignment horizontal="right" vertical="center"/>
    </xf>
    <xf numFmtId="234" fontId="117" fillId="0" borderId="286">
      <alignment vertical="center"/>
    </xf>
    <xf numFmtId="236" fontId="6" fillId="0" borderId="306">
      <alignment vertical="center"/>
    </xf>
    <xf numFmtId="3" fontId="57" fillId="0" borderId="286"/>
    <xf numFmtId="3" fontId="57" fillId="0" borderId="286"/>
    <xf numFmtId="3" fontId="57" fillId="0" borderId="286"/>
    <xf numFmtId="185" fontId="8" fillId="0" borderId="286">
      <alignment vertical="center"/>
    </xf>
    <xf numFmtId="185" fontId="8" fillId="0" borderId="286">
      <alignment vertical="center"/>
    </xf>
    <xf numFmtId="185" fontId="8" fillId="0" borderId="286">
      <alignment vertical="center"/>
    </xf>
    <xf numFmtId="0" fontId="6" fillId="0" borderId="356">
      <alignment horizontal="centerContinuous" vertical="center"/>
    </xf>
    <xf numFmtId="0" fontId="153" fillId="22" borderId="303" applyNumberFormat="0" applyAlignment="0" applyProtection="0">
      <alignment vertical="center"/>
    </xf>
    <xf numFmtId="3" fontId="57" fillId="0" borderId="330"/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318"/>
    <xf numFmtId="241" fontId="6" fillId="0" borderId="318">
      <alignment horizontal="right" vertical="center"/>
    </xf>
    <xf numFmtId="0" fontId="117" fillId="0" borderId="332">
      <alignment horizontal="centerContinuous" vertical="center"/>
    </xf>
    <xf numFmtId="238" fontId="6" fillId="0" borderId="318">
      <alignment vertical="center"/>
    </xf>
    <xf numFmtId="249" fontId="6" fillId="0" borderId="330">
      <alignment vertical="center"/>
    </xf>
    <xf numFmtId="3" fontId="57" fillId="0" borderId="286"/>
    <xf numFmtId="243" fontId="117" fillId="0" borderId="354">
      <alignment vertical="center"/>
    </xf>
    <xf numFmtId="237" fontId="6" fillId="0" borderId="342">
      <alignment vertical="center"/>
    </xf>
    <xf numFmtId="206" fontId="6" fillId="0" borderId="330">
      <alignment vertical="center"/>
    </xf>
    <xf numFmtId="206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247" fontId="117" fillId="0" borderId="330">
      <alignment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38" fontId="6" fillId="0" borderId="330">
      <alignment vertical="center"/>
    </xf>
    <xf numFmtId="0" fontId="92" fillId="0" borderId="330"/>
    <xf numFmtId="256" fontId="117" fillId="0" borderId="330" applyBorder="0">
      <alignment vertical="center"/>
    </xf>
    <xf numFmtId="0" fontId="9" fillId="0" borderId="330">
      <alignment horizontal="distributed" vertical="center"/>
    </xf>
    <xf numFmtId="0" fontId="9" fillId="0" borderId="333">
      <alignment horizontal="distributed"/>
    </xf>
    <xf numFmtId="203" fontId="176" fillId="0" borderId="334" applyFill="0" applyProtection="0">
      <alignment horizontal="center"/>
    </xf>
    <xf numFmtId="49" fontId="60" fillId="0" borderId="243" applyNumberFormat="0" applyAlignment="0"/>
    <xf numFmtId="0" fontId="160" fillId="12" borderId="246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0" fontId="160" fillId="12" borderId="246" applyNumberFormat="0" applyAlignment="0" applyProtection="0">
      <alignment vertical="center"/>
    </xf>
    <xf numFmtId="239" fontId="117" fillId="0" borderId="306">
      <alignment horizontal="right" vertical="center"/>
    </xf>
    <xf numFmtId="0" fontId="117" fillId="0" borderId="356">
      <alignment horizontal="centerContinuous" vertical="center"/>
    </xf>
    <xf numFmtId="0" fontId="6" fillId="0" borderId="344">
      <alignment horizontal="centerContinuous" vertical="center"/>
    </xf>
    <xf numFmtId="309" fontId="9" fillId="0" borderId="286" applyFill="0" applyBorder="0" applyAlignment="0"/>
    <xf numFmtId="0" fontId="56" fillId="0" borderId="318"/>
    <xf numFmtId="200" fontId="6" fillId="0" borderId="330">
      <alignment vertical="center"/>
    </xf>
    <xf numFmtId="322" fontId="9" fillId="0" borderId="356">
      <alignment horizontal="centerContinuous" vertical="center"/>
    </xf>
    <xf numFmtId="0" fontId="165" fillId="22" borderId="245" applyNumberFormat="0" applyAlignment="0" applyProtection="0">
      <alignment vertical="center"/>
    </xf>
    <xf numFmtId="0" fontId="165" fillId="22" borderId="245" applyNumberFormat="0" applyAlignment="0" applyProtection="0">
      <alignment vertical="center"/>
    </xf>
    <xf numFmtId="0" fontId="165" fillId="22" borderId="245" applyNumberFormat="0" applyAlignment="0" applyProtection="0">
      <alignment vertical="center"/>
    </xf>
    <xf numFmtId="0" fontId="165" fillId="22" borderId="245" applyNumberFormat="0" applyAlignment="0" applyProtection="0">
      <alignment vertical="center"/>
    </xf>
    <xf numFmtId="0" fontId="165" fillId="22" borderId="245" applyNumberFormat="0" applyAlignment="0" applyProtection="0">
      <alignment vertical="center"/>
    </xf>
    <xf numFmtId="0" fontId="165" fillId="22" borderId="245" applyNumberFormat="0" applyAlignment="0" applyProtection="0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248" fontId="117" fillId="0" borderId="306">
      <alignment vertical="center"/>
    </xf>
    <xf numFmtId="240" fontId="6" fillId="0" borderId="306">
      <alignment horizontal="right" vertical="center"/>
    </xf>
    <xf numFmtId="242" fontId="6" fillId="0" borderId="306">
      <alignment horizontal="right" vertical="center"/>
    </xf>
    <xf numFmtId="241" fontId="6" fillId="0" borderId="306">
      <alignment horizontal="right" vertical="center"/>
    </xf>
    <xf numFmtId="233" fontId="122" fillId="0" borderId="274" applyFill="0" applyBorder="0" applyAlignment="0"/>
    <xf numFmtId="236" fontId="6" fillId="0" borderId="330">
      <alignment vertical="center"/>
    </xf>
    <xf numFmtId="230" fontId="6" fillId="0" borderId="274">
      <alignment vertical="center"/>
    </xf>
    <xf numFmtId="230" fontId="6" fillId="0" borderId="274">
      <alignment vertical="center"/>
    </xf>
    <xf numFmtId="0" fontId="6" fillId="0" borderId="330">
      <alignment vertical="center"/>
    </xf>
    <xf numFmtId="218" fontId="6" fillId="0" borderId="330">
      <alignment vertical="center"/>
    </xf>
    <xf numFmtId="200" fontId="77" fillId="0" borderId="330">
      <alignment vertical="center"/>
    </xf>
    <xf numFmtId="0" fontId="6" fillId="0" borderId="318" applyNumberFormat="0" applyFill="0" applyProtection="0">
      <alignment vertical="center"/>
    </xf>
    <xf numFmtId="256" fontId="117" fillId="0" borderId="318" applyBorder="0">
      <alignment vertical="center"/>
    </xf>
    <xf numFmtId="0" fontId="94" fillId="0" borderId="356">
      <alignment horizontal="centerContinuous" vertical="center"/>
    </xf>
    <xf numFmtId="200" fontId="6" fillId="0" borderId="33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10" fontId="39" fillId="2" borderId="354" applyNumberFormat="0" applyBorder="0" applyAlignment="0" applyProtection="0"/>
    <xf numFmtId="218" fontId="9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41" fontId="135" fillId="0" borderId="262" applyNumberFormat="0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8" fontId="6" fillId="0" borderId="274">
      <alignment vertical="center"/>
    </xf>
    <xf numFmtId="238" fontId="6" fillId="0" borderId="274">
      <alignment vertical="center"/>
    </xf>
    <xf numFmtId="237" fontId="6" fillId="0" borderId="274">
      <alignment vertical="center"/>
    </xf>
    <xf numFmtId="237" fontId="6" fillId="0" borderId="274">
      <alignment vertical="center"/>
    </xf>
    <xf numFmtId="236" fontId="6" fillId="0" borderId="274">
      <alignment vertical="center"/>
    </xf>
    <xf numFmtId="206" fontId="6" fillId="0" borderId="342">
      <alignment vertical="center"/>
    </xf>
    <xf numFmtId="185" fontId="235" fillId="0" borderId="238"/>
    <xf numFmtId="0" fontId="94" fillId="0" borderId="332">
      <alignment horizontal="centerContinuous" vertical="center"/>
    </xf>
    <xf numFmtId="240" fontId="6" fillId="0" borderId="318">
      <alignment horizontal="right" vertical="center"/>
    </xf>
    <xf numFmtId="240" fontId="6" fillId="0" borderId="318">
      <alignment horizontal="right" vertical="center"/>
    </xf>
    <xf numFmtId="0" fontId="9" fillId="0" borderId="265">
      <alignment horizontal="distributed"/>
    </xf>
    <xf numFmtId="0" fontId="9" fillId="0" borderId="265">
      <alignment horizontal="distributed"/>
    </xf>
    <xf numFmtId="0" fontId="9" fillId="0" borderId="265">
      <alignment horizontal="distributed"/>
    </xf>
    <xf numFmtId="0" fontId="9" fillId="0" borderId="265">
      <alignment horizontal="distributed"/>
    </xf>
    <xf numFmtId="0" fontId="9" fillId="0" borderId="265">
      <alignment horizontal="distributed"/>
    </xf>
    <xf numFmtId="0" fontId="9" fillId="0" borderId="265">
      <alignment horizontal="distributed"/>
    </xf>
    <xf numFmtId="0" fontId="9" fillId="0" borderId="265">
      <alignment horizontal="distributed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236" fontId="6" fillId="0" borderId="262">
      <alignment vertical="center"/>
    </xf>
    <xf numFmtId="242" fontId="6" fillId="0" borderId="262">
      <alignment horizontal="right" vertical="center"/>
    </xf>
    <xf numFmtId="0" fontId="185" fillId="22" borderId="349" applyNumberFormat="0" applyAlignment="0" applyProtection="0">
      <alignment vertical="center"/>
    </xf>
    <xf numFmtId="338" fontId="19" fillId="0" borderId="342"/>
    <xf numFmtId="0" fontId="9" fillId="0" borderId="342">
      <alignment horizontal="distributed" vertical="center"/>
    </xf>
    <xf numFmtId="0" fontId="50" fillId="3" borderId="263">
      <alignment vertical="center"/>
    </xf>
    <xf numFmtId="0" fontId="50" fillId="3" borderId="263">
      <alignment vertical="center"/>
    </xf>
    <xf numFmtId="3" fontId="57" fillId="0" borderId="342"/>
    <xf numFmtId="236" fontId="6" fillId="0" borderId="342">
      <alignment vertical="center"/>
    </xf>
    <xf numFmtId="257" fontId="117" fillId="0" borderId="330" applyBorder="0">
      <alignment horizontal="left" vertical="center"/>
    </xf>
    <xf numFmtId="0" fontId="134" fillId="0" borderId="330">
      <alignment vertical="center"/>
    </xf>
    <xf numFmtId="191" fontId="6" fillId="0" borderId="330">
      <alignment vertical="center"/>
    </xf>
    <xf numFmtId="0" fontId="6" fillId="0" borderId="320">
      <alignment horizontal="centerContinuous" vertical="center"/>
    </xf>
    <xf numFmtId="3" fontId="57" fillId="0" borderId="318"/>
    <xf numFmtId="322" fontId="9" fillId="0" borderId="344">
      <alignment horizontal="centerContinuous" vertical="center"/>
    </xf>
    <xf numFmtId="243" fontId="117" fillId="0" borderId="318">
      <alignment vertical="center"/>
    </xf>
    <xf numFmtId="0" fontId="94" fillId="0" borderId="276">
      <alignment horizontal="centerContinuous" vertical="center"/>
    </xf>
    <xf numFmtId="0" fontId="94" fillId="0" borderId="276">
      <alignment horizontal="centerContinuous" vertical="center"/>
    </xf>
    <xf numFmtId="0" fontId="6" fillId="0" borderId="276">
      <alignment horizontal="centerContinuous" vertical="center"/>
    </xf>
    <xf numFmtId="10" fontId="39" fillId="2" borderId="330" applyNumberFormat="0" applyBorder="0" applyAlignment="0" applyProtection="0"/>
    <xf numFmtId="322" fontId="9" fillId="0" borderId="264">
      <alignment horizontal="centerContinuous" vertical="center"/>
    </xf>
    <xf numFmtId="322" fontId="9" fillId="0" borderId="264">
      <alignment horizontal="centerContinuous" vertical="center"/>
    </xf>
    <xf numFmtId="10" fontId="39" fillId="2" borderId="306" applyNumberFormat="0" applyBorder="0" applyAlignment="0" applyProtection="0"/>
    <xf numFmtId="3" fontId="57" fillId="0" borderId="318"/>
    <xf numFmtId="3" fontId="57" fillId="0" borderId="318"/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236" fontId="6" fillId="0" borderId="318">
      <alignment vertical="center"/>
    </xf>
    <xf numFmtId="236" fontId="6" fillId="0" borderId="318">
      <alignment vertical="center"/>
    </xf>
    <xf numFmtId="0" fontId="94" fillId="0" borderId="356">
      <alignment horizontal="centerContinuous" vertical="center"/>
    </xf>
    <xf numFmtId="191" fontId="6" fillId="0" borderId="306">
      <alignment vertical="center"/>
    </xf>
    <xf numFmtId="249" fontId="6" fillId="0" borderId="330">
      <alignment vertical="center"/>
    </xf>
    <xf numFmtId="0" fontId="6" fillId="0" borderId="344">
      <alignment horizontal="centerContinuous" vertical="center"/>
    </xf>
    <xf numFmtId="0" fontId="117" fillId="0" borderId="344">
      <alignment horizontal="centerContinuous" vertical="center"/>
    </xf>
    <xf numFmtId="250" fontId="117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00" fontId="6" fillId="0" borderId="250">
      <alignment vertical="center"/>
    </xf>
    <xf numFmtId="249" fontId="6" fillId="0" borderId="250">
      <alignment vertical="center"/>
    </xf>
    <xf numFmtId="249" fontId="6" fillId="0" borderId="250">
      <alignment vertical="center"/>
    </xf>
    <xf numFmtId="249" fontId="6" fillId="0" borderId="250">
      <alignment vertical="center"/>
    </xf>
    <xf numFmtId="249" fontId="6" fillId="0" borderId="250">
      <alignment vertical="center"/>
    </xf>
    <xf numFmtId="249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218" fontId="6" fillId="0" borderId="250">
      <alignment vertical="center"/>
    </xf>
    <xf numFmtId="176" fontId="6" fillId="0" borderId="250">
      <alignment vertical="center"/>
    </xf>
    <xf numFmtId="0" fontId="6" fillId="0" borderId="250">
      <alignment vertical="center"/>
    </xf>
    <xf numFmtId="0" fontId="6" fillId="0" borderId="250">
      <alignment vertical="center"/>
    </xf>
    <xf numFmtId="206" fontId="6" fillId="0" borderId="250">
      <alignment vertical="center"/>
    </xf>
    <xf numFmtId="206" fontId="6" fillId="0" borderId="250">
      <alignment vertical="center"/>
    </xf>
    <xf numFmtId="206" fontId="6" fillId="0" borderId="250">
      <alignment vertical="center"/>
    </xf>
    <xf numFmtId="206" fontId="6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176" fontId="6" fillId="0" borderId="250">
      <alignment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41" fontId="6" fillId="0" borderId="250">
      <alignment horizontal="right"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6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8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237" fontId="6" fillId="0" borderId="250">
      <alignment vertical="center"/>
    </xf>
    <xf numFmtId="322" fontId="9" fillId="0" borderId="308">
      <alignment horizontal="centerContinuous" vertical="center"/>
    </xf>
    <xf numFmtId="3" fontId="57" fillId="0" borderId="342"/>
    <xf numFmtId="191" fontId="6" fillId="0" borderId="318">
      <alignment vertical="center"/>
    </xf>
    <xf numFmtId="191" fontId="6" fillId="0" borderId="318">
      <alignment vertical="center"/>
    </xf>
    <xf numFmtId="230" fontId="6" fillId="0" borderId="318">
      <alignment vertical="center"/>
    </xf>
    <xf numFmtId="191" fontId="6" fillId="0" borderId="318">
      <alignment vertical="center"/>
    </xf>
    <xf numFmtId="191" fontId="6" fillId="0" borderId="318">
      <alignment vertical="center"/>
    </xf>
    <xf numFmtId="256" fontId="117" fillId="0" borderId="298" applyBorder="0">
      <alignment vertical="center"/>
    </xf>
    <xf numFmtId="256" fontId="117" fillId="0" borderId="298" applyBorder="0">
      <alignment vertical="center"/>
    </xf>
    <xf numFmtId="0" fontId="9" fillId="0" borderId="298">
      <alignment horizontal="distributed" vertical="center"/>
    </xf>
    <xf numFmtId="0" fontId="9" fillId="0" borderId="298">
      <alignment horizontal="distributed" vertical="center"/>
    </xf>
    <xf numFmtId="338" fontId="19" fillId="0" borderId="298"/>
    <xf numFmtId="338" fontId="19" fillId="0" borderId="298"/>
    <xf numFmtId="338" fontId="19" fillId="0" borderId="298"/>
    <xf numFmtId="203" fontId="176" fillId="0" borderId="299" applyFill="0" applyProtection="0">
      <alignment horizontal="center"/>
    </xf>
    <xf numFmtId="0" fontId="153" fillId="22" borderId="303" applyNumberFormat="0" applyAlignment="0" applyProtection="0">
      <alignment vertical="center"/>
    </xf>
    <xf numFmtId="200" fontId="6" fillId="0" borderId="318">
      <alignment vertical="center"/>
    </xf>
    <xf numFmtId="191" fontId="6" fillId="0" borderId="318">
      <alignment vertical="center"/>
    </xf>
    <xf numFmtId="0" fontId="159" fillId="0" borderId="296" applyNumberFormat="0" applyFill="0" applyAlignment="0" applyProtection="0">
      <alignment vertical="center"/>
    </xf>
    <xf numFmtId="0" fontId="6" fillId="0" borderId="354" applyNumberFormat="0" applyFill="0" applyProtection="0">
      <alignment vertical="center"/>
    </xf>
    <xf numFmtId="0" fontId="9" fillId="0" borderId="357">
      <alignment horizontal="distributed"/>
    </xf>
    <xf numFmtId="3" fontId="57" fillId="0" borderId="354"/>
    <xf numFmtId="240" fontId="6" fillId="0" borderId="318">
      <alignment horizontal="right" vertical="center"/>
    </xf>
    <xf numFmtId="236" fontId="6" fillId="0" borderId="286">
      <alignment vertical="center"/>
    </xf>
    <xf numFmtId="200" fontId="6" fillId="0" borderId="306">
      <alignment vertical="center"/>
    </xf>
    <xf numFmtId="322" fontId="9" fillId="0" borderId="308">
      <alignment horizontal="centerContinuous" vertical="center"/>
    </xf>
    <xf numFmtId="0" fontId="6" fillId="0" borderId="308">
      <alignment horizontal="centerContinuous" vertical="center"/>
    </xf>
    <xf numFmtId="234" fontId="117" fillId="0" borderId="342">
      <alignment vertical="center"/>
    </xf>
    <xf numFmtId="256" fontId="117" fillId="0" borderId="342" applyBorder="0">
      <alignment vertical="center"/>
    </xf>
    <xf numFmtId="0" fontId="9" fillId="0" borderId="357">
      <alignment horizontal="distributed"/>
    </xf>
    <xf numFmtId="0" fontId="9" fillId="0" borderId="354">
      <alignment horizontal="distributed" vertical="center"/>
    </xf>
    <xf numFmtId="238" fontId="6" fillId="0" borderId="342">
      <alignment vertical="center"/>
    </xf>
    <xf numFmtId="0" fontId="117" fillId="0" borderId="332">
      <alignment horizontal="centerContinuous" vertical="center"/>
    </xf>
    <xf numFmtId="256" fontId="117" fillId="0" borderId="330" applyBorder="0">
      <alignment vertical="center"/>
    </xf>
    <xf numFmtId="322" fontId="9" fillId="0" borderId="332">
      <alignment horizontal="centerContinuous" vertical="center"/>
    </xf>
    <xf numFmtId="0" fontId="54" fillId="28" borderId="339" applyNumberFormat="0" applyFont="0" applyAlignment="0" applyProtection="0">
      <alignment vertical="center"/>
    </xf>
    <xf numFmtId="0" fontId="9" fillId="0" borderId="333">
      <alignment horizontal="distributed"/>
    </xf>
    <xf numFmtId="0" fontId="56" fillId="0" borderId="330"/>
    <xf numFmtId="0" fontId="56" fillId="0" borderId="330"/>
    <xf numFmtId="3" fontId="56" fillId="0" borderId="330"/>
    <xf numFmtId="41" fontId="56" fillId="0" borderId="330" applyNumberFormat="0" applyFont="0" applyFill="0" applyBorder="0" applyProtection="0">
      <alignment horizontal="distributed"/>
    </xf>
    <xf numFmtId="41" fontId="56" fillId="0" borderId="330" applyNumberFormat="0" applyFont="0" applyFill="0" applyBorder="0" applyProtection="0">
      <alignment horizontal="distributed"/>
    </xf>
    <xf numFmtId="0" fontId="6" fillId="0" borderId="330">
      <alignment horizontal="right" vertical="center" shrinkToFit="1"/>
    </xf>
    <xf numFmtId="0" fontId="6" fillId="0" borderId="330">
      <alignment horizontal="right" vertical="center" shrinkToFit="1"/>
    </xf>
    <xf numFmtId="322" fontId="9" fillId="0" borderId="332">
      <alignment horizontal="centerContinuous" vertical="center"/>
    </xf>
    <xf numFmtId="0" fontId="94" fillId="0" borderId="332">
      <alignment horizontal="centerContinuous" vertical="center"/>
    </xf>
    <xf numFmtId="0" fontId="9" fillId="0" borderId="333">
      <alignment horizontal="distributed"/>
    </xf>
    <xf numFmtId="0" fontId="50" fillId="3" borderId="331">
      <alignment vertical="center"/>
    </xf>
    <xf numFmtId="244" fontId="117" fillId="0" borderId="330">
      <alignment vertical="center"/>
    </xf>
    <xf numFmtId="244" fontId="117" fillId="0" borderId="330">
      <alignment vertical="center"/>
    </xf>
    <xf numFmtId="243" fontId="117" fillId="0" borderId="330">
      <alignment vertical="center"/>
    </xf>
    <xf numFmtId="234" fontId="117" fillId="0" borderId="330">
      <alignment vertical="center"/>
    </xf>
    <xf numFmtId="0" fontId="41" fillId="0" borderId="331">
      <alignment horizontal="left" vertical="center"/>
    </xf>
    <xf numFmtId="0" fontId="41" fillId="0" borderId="331">
      <alignment horizontal="left" vertical="center"/>
    </xf>
    <xf numFmtId="0" fontId="41" fillId="0" borderId="331">
      <alignment horizontal="left" vertical="center"/>
    </xf>
    <xf numFmtId="3" fontId="57" fillId="0" borderId="330"/>
    <xf numFmtId="3" fontId="57" fillId="0" borderId="330"/>
    <xf numFmtId="3" fontId="57" fillId="0" borderId="330"/>
    <xf numFmtId="0" fontId="41" fillId="0" borderId="331">
      <alignment horizontal="left" vertical="center"/>
    </xf>
    <xf numFmtId="185" fontId="8" fillId="0" borderId="330">
      <alignment vertical="center"/>
    </xf>
    <xf numFmtId="248" fontId="117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206" fontId="6" fillId="0" borderId="330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6" fontId="6" fillId="0" borderId="274">
      <alignment vertical="center"/>
    </xf>
    <xf numFmtId="237" fontId="6" fillId="0" borderId="274">
      <alignment vertical="center"/>
    </xf>
    <xf numFmtId="237" fontId="6" fillId="0" borderId="274">
      <alignment vertical="center"/>
    </xf>
    <xf numFmtId="237" fontId="6" fillId="0" borderId="274">
      <alignment vertical="center"/>
    </xf>
    <xf numFmtId="237" fontId="6" fillId="0" borderId="274">
      <alignment vertical="center"/>
    </xf>
    <xf numFmtId="0" fontId="160" fillId="12" borderId="270" applyNumberFormat="0" applyAlignment="0" applyProtection="0">
      <alignment vertical="center"/>
    </xf>
    <xf numFmtId="0" fontId="160" fillId="12" borderId="270" applyNumberFormat="0" applyAlignment="0" applyProtection="0">
      <alignment vertical="center"/>
    </xf>
    <xf numFmtId="0" fontId="160" fillId="12" borderId="270" applyNumberFormat="0" applyAlignment="0" applyProtection="0">
      <alignment vertical="center"/>
    </xf>
    <xf numFmtId="0" fontId="160" fillId="12" borderId="270" applyNumberFormat="0" applyAlignment="0" applyProtection="0">
      <alignment vertical="center"/>
    </xf>
    <xf numFmtId="0" fontId="160" fillId="12" borderId="270" applyNumberFormat="0" applyAlignment="0" applyProtection="0">
      <alignment vertical="center"/>
    </xf>
    <xf numFmtId="49" fontId="60" fillId="0" borderId="267" applyNumberFormat="0" applyAlignment="0"/>
    <xf numFmtId="0" fontId="6" fillId="0" borderId="274">
      <alignment horizontal="right" vertical="center" shrinkToFit="1"/>
    </xf>
    <xf numFmtId="0" fontId="6" fillId="0" borderId="274">
      <alignment horizontal="right" vertical="center" shrinkToFit="1"/>
    </xf>
    <xf numFmtId="239" fontId="117" fillId="0" borderId="274">
      <alignment horizontal="right" vertical="center"/>
    </xf>
    <xf numFmtId="239" fontId="117" fillId="0" borderId="274">
      <alignment horizontal="right" vertical="center"/>
    </xf>
    <xf numFmtId="239" fontId="117" fillId="0" borderId="274">
      <alignment horizontal="right" vertical="center"/>
    </xf>
    <xf numFmtId="239" fontId="117" fillId="0" borderId="274">
      <alignment horizontal="right" vertical="center"/>
    </xf>
    <xf numFmtId="239" fontId="117" fillId="0" borderId="274">
      <alignment horizontal="right" vertical="center"/>
    </xf>
    <xf numFmtId="234" fontId="117" fillId="0" borderId="274">
      <alignment vertical="center"/>
    </xf>
    <xf numFmtId="234" fontId="117" fillId="0" borderId="274">
      <alignment vertical="center"/>
    </xf>
    <xf numFmtId="234" fontId="117" fillId="0" borderId="274">
      <alignment vertical="center"/>
    </xf>
    <xf numFmtId="234" fontId="117" fillId="0" borderId="274">
      <alignment vertical="center"/>
    </xf>
    <xf numFmtId="10" fontId="39" fillId="4" borderId="274" applyNumberFormat="0" applyBorder="0" applyAlignment="0" applyProtection="0"/>
    <xf numFmtId="10" fontId="39" fillId="2" borderId="274" applyNumberFormat="0" applyBorder="0" applyAlignment="0" applyProtection="0"/>
    <xf numFmtId="10" fontId="39" fillId="2" borderId="274" applyNumberFormat="0" applyBorder="0" applyAlignment="0" applyProtection="0"/>
    <xf numFmtId="10" fontId="39" fillId="2" borderId="274" applyNumberFormat="0" applyBorder="0" applyAlignment="0" applyProtection="0"/>
    <xf numFmtId="10" fontId="39" fillId="2" borderId="274" applyNumberFormat="0" applyBorder="0" applyAlignment="0" applyProtection="0"/>
    <xf numFmtId="10" fontId="39" fillId="2" borderId="274" applyNumberFormat="0" applyBorder="0" applyAlignment="0" applyProtection="0"/>
    <xf numFmtId="0" fontId="41" fillId="0" borderId="275">
      <alignment horizontal="left" vertical="center"/>
    </xf>
    <xf numFmtId="0" fontId="41" fillId="0" borderId="275">
      <alignment horizontal="left" vertical="center"/>
    </xf>
    <xf numFmtId="0" fontId="41" fillId="0" borderId="275">
      <alignment horizontal="left" vertical="center"/>
    </xf>
    <xf numFmtId="0" fontId="41" fillId="0" borderId="275">
      <alignment horizontal="left" vertical="center"/>
    </xf>
    <xf numFmtId="0" fontId="41" fillId="0" borderId="275">
      <alignment horizontal="left" vertical="center"/>
    </xf>
    <xf numFmtId="0" fontId="41" fillId="0" borderId="275">
      <alignment horizontal="left" vertical="center"/>
    </xf>
    <xf numFmtId="191" fontId="6" fillId="0" borderId="342">
      <alignment vertical="center"/>
    </xf>
    <xf numFmtId="230" fontId="6" fillId="0" borderId="286">
      <alignment vertical="center"/>
    </xf>
    <xf numFmtId="230" fontId="6" fillId="0" borderId="286">
      <alignment vertical="center"/>
    </xf>
    <xf numFmtId="240" fontId="6" fillId="0" borderId="286">
      <alignment horizontal="right" vertical="center"/>
    </xf>
    <xf numFmtId="241" fontId="6" fillId="0" borderId="286">
      <alignment horizontal="right" vertical="center"/>
    </xf>
    <xf numFmtId="248" fontId="117" fillId="0" borderId="286">
      <alignment vertical="center"/>
    </xf>
    <xf numFmtId="322" fontId="9" fillId="0" borderId="308">
      <alignment horizontal="centerContinuous" vertical="center"/>
    </xf>
    <xf numFmtId="238" fontId="6" fillId="0" borderId="306">
      <alignment vertical="center"/>
    </xf>
    <xf numFmtId="236" fontId="6" fillId="0" borderId="306">
      <alignment vertical="center"/>
    </xf>
    <xf numFmtId="191" fontId="6" fillId="0" borderId="306">
      <alignment vertical="center"/>
    </xf>
    <xf numFmtId="191" fontId="6" fillId="0" borderId="306">
      <alignment vertical="center"/>
    </xf>
    <xf numFmtId="200" fontId="6" fillId="0" borderId="306">
      <alignment vertical="center"/>
    </xf>
    <xf numFmtId="322" fontId="9" fillId="0" borderId="332">
      <alignment horizontal="centerContinuous" vertical="center"/>
    </xf>
    <xf numFmtId="322" fontId="9" fillId="0" borderId="356">
      <alignment horizontal="centerContinuous" vertical="center"/>
    </xf>
    <xf numFmtId="0" fontId="56" fillId="0" borderId="306"/>
    <xf numFmtId="0" fontId="54" fillId="28" borderId="362" applyNumberFormat="0" applyFont="0" applyAlignment="0" applyProtection="0">
      <alignment vertical="center"/>
    </xf>
    <xf numFmtId="0" fontId="6" fillId="0" borderId="356">
      <alignment horizontal="centerContinuous" vertical="center"/>
    </xf>
    <xf numFmtId="200" fontId="6" fillId="0" borderId="306">
      <alignment vertical="center"/>
    </xf>
    <xf numFmtId="200" fontId="6" fillId="0" borderId="306">
      <alignment vertical="center"/>
    </xf>
    <xf numFmtId="0" fontId="153" fillId="22" borderId="314" applyNumberFormat="0" applyAlignment="0" applyProtection="0">
      <alignment vertical="center"/>
    </xf>
    <xf numFmtId="0" fontId="153" fillId="22" borderId="314" applyNumberFormat="0" applyAlignment="0" applyProtection="0">
      <alignment vertical="center"/>
    </xf>
    <xf numFmtId="0" fontId="185" fillId="22" borderId="313" applyNumberFormat="0" applyAlignment="0" applyProtection="0">
      <alignment vertical="center"/>
    </xf>
    <xf numFmtId="0" fontId="50" fillId="3" borderId="307">
      <alignment vertical="center"/>
    </xf>
    <xf numFmtId="322" fontId="9" fillId="0" borderId="288">
      <alignment horizontal="centerContinuous" vertical="center"/>
    </xf>
    <xf numFmtId="322" fontId="9" fillId="0" borderId="288">
      <alignment horizontal="centerContinuous" vertical="center"/>
    </xf>
    <xf numFmtId="0" fontId="94" fillId="0" borderId="276">
      <alignment horizontal="centerContinuous" vertical="center"/>
    </xf>
    <xf numFmtId="322" fontId="9" fillId="0" borderId="276">
      <alignment horizontal="centerContinuous" vertical="center"/>
    </xf>
    <xf numFmtId="322" fontId="9" fillId="0" borderId="276">
      <alignment horizontal="centerContinuous" vertical="center"/>
    </xf>
    <xf numFmtId="247" fontId="117" fillId="0" borderId="274">
      <alignment vertical="center"/>
    </xf>
    <xf numFmtId="176" fontId="6" fillId="0" borderId="274">
      <alignment vertical="center"/>
    </xf>
    <xf numFmtId="191" fontId="6" fillId="0" borderId="330">
      <alignment vertical="center"/>
    </xf>
    <xf numFmtId="0" fontId="56" fillId="0" borderId="330"/>
    <xf numFmtId="3" fontId="56" fillId="0" borderId="330"/>
    <xf numFmtId="0" fontId="6" fillId="0" borderId="330">
      <alignment horizontal="right" vertical="center" shrinkToFit="1"/>
    </xf>
    <xf numFmtId="256" fontId="117" fillId="0" borderId="286" applyBorder="0">
      <alignment vertical="center"/>
    </xf>
    <xf numFmtId="0" fontId="92" fillId="0" borderId="286"/>
    <xf numFmtId="0" fontId="92" fillId="0" borderId="286"/>
    <xf numFmtId="0" fontId="92" fillId="0" borderId="286"/>
    <xf numFmtId="0" fontId="92" fillId="0" borderId="286"/>
    <xf numFmtId="0" fontId="92" fillId="0" borderId="286"/>
    <xf numFmtId="0" fontId="92" fillId="0" borderId="286"/>
    <xf numFmtId="0" fontId="56" fillId="0" borderId="286"/>
    <xf numFmtId="3" fontId="56" fillId="0" borderId="286"/>
    <xf numFmtId="3" fontId="56" fillId="0" borderId="286"/>
    <xf numFmtId="3" fontId="56" fillId="0" borderId="286"/>
    <xf numFmtId="3" fontId="56" fillId="0" borderId="286"/>
    <xf numFmtId="3" fontId="56" fillId="0" borderId="286"/>
    <xf numFmtId="3" fontId="56" fillId="0" borderId="286"/>
    <xf numFmtId="0" fontId="117" fillId="0" borderId="344">
      <alignment horizontal="centerContinuous" vertical="center"/>
    </xf>
    <xf numFmtId="41" fontId="56" fillId="0" borderId="286" applyNumberFormat="0" applyFont="0" applyFill="0" applyBorder="0" applyProtection="0">
      <alignment horizontal="distributed"/>
    </xf>
    <xf numFmtId="41" fontId="56" fillId="0" borderId="286" applyNumberFormat="0" applyFont="0" applyFill="0" applyBorder="0" applyProtection="0">
      <alignment horizontal="distributed"/>
    </xf>
    <xf numFmtId="41" fontId="56" fillId="0" borderId="286" applyNumberFormat="0" applyFont="0" applyFill="0" applyBorder="0" applyProtection="0">
      <alignment horizontal="distributed"/>
    </xf>
    <xf numFmtId="41" fontId="56" fillId="0" borderId="286" applyNumberFormat="0" applyFont="0" applyFill="0" applyBorder="0" applyProtection="0">
      <alignment horizontal="distributed"/>
    </xf>
    <xf numFmtId="41" fontId="56" fillId="0" borderId="286" applyNumberFormat="0" applyFont="0" applyFill="0" applyBorder="0" applyProtection="0">
      <alignment horizontal="distributed"/>
    </xf>
    <xf numFmtId="244" fontId="117" fillId="0" borderId="286">
      <alignment vertical="center"/>
    </xf>
    <xf numFmtId="244" fontId="117" fillId="0" borderId="286">
      <alignment vertical="center"/>
    </xf>
    <xf numFmtId="243" fontId="117" fillId="0" borderId="286">
      <alignment vertical="center"/>
    </xf>
    <xf numFmtId="243" fontId="117" fillId="0" borderId="286">
      <alignment vertical="center"/>
    </xf>
    <xf numFmtId="243" fontId="117" fillId="0" borderId="286">
      <alignment vertical="center"/>
    </xf>
    <xf numFmtId="243" fontId="117" fillId="0" borderId="286">
      <alignment vertical="center"/>
    </xf>
    <xf numFmtId="239" fontId="117" fillId="0" borderId="286">
      <alignment horizontal="right" vertical="center"/>
    </xf>
    <xf numFmtId="234" fontId="117" fillId="0" borderId="286">
      <alignment vertical="center"/>
    </xf>
    <xf numFmtId="10" fontId="39" fillId="4" borderId="286" applyNumberFormat="0" applyBorder="0" applyAlignment="0" applyProtection="0"/>
    <xf numFmtId="10" fontId="39" fillId="2" borderId="286" applyNumberFormat="0" applyBorder="0" applyAlignment="0" applyProtection="0"/>
    <xf numFmtId="10" fontId="39" fillId="2" borderId="286" applyNumberFormat="0" applyBorder="0" applyAlignment="0" applyProtection="0"/>
    <xf numFmtId="10" fontId="39" fillId="2" borderId="286" applyNumberFormat="0" applyBorder="0" applyAlignment="0" applyProtection="0"/>
    <xf numFmtId="10" fontId="39" fillId="2" borderId="286" applyNumberFormat="0" applyBorder="0" applyAlignment="0" applyProtection="0"/>
    <xf numFmtId="10" fontId="39" fillId="2" borderId="286" applyNumberFormat="0" applyBorder="0" applyAlignment="0" applyProtection="0"/>
    <xf numFmtId="0" fontId="56" fillId="0" borderId="354"/>
    <xf numFmtId="0" fontId="56" fillId="0" borderId="354"/>
    <xf numFmtId="0" fontId="56" fillId="0" borderId="354"/>
    <xf numFmtId="236" fontId="6" fillId="0" borderId="318">
      <alignment vertical="center"/>
    </xf>
    <xf numFmtId="237" fontId="6" fillId="0" borderId="318">
      <alignment vertical="center"/>
    </xf>
    <xf numFmtId="0" fontId="159" fillId="0" borderId="316" applyNumberFormat="0" applyFill="0" applyAlignment="0" applyProtection="0">
      <alignment vertical="center"/>
    </xf>
    <xf numFmtId="0" fontId="186" fillId="0" borderId="330" applyProtection="0">
      <alignment vertical="center"/>
    </xf>
    <xf numFmtId="0" fontId="9" fillId="0" borderId="320">
      <alignment horizontal="centerContinuous" vertical="center"/>
    </xf>
    <xf numFmtId="0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240" fontId="6" fillId="0" borderId="318">
      <alignment horizontal="right" vertical="center"/>
    </xf>
    <xf numFmtId="240" fontId="6" fillId="0" borderId="318">
      <alignment horizontal="right" vertical="center"/>
    </xf>
    <xf numFmtId="240" fontId="6" fillId="0" borderId="318">
      <alignment horizontal="right" vertical="center"/>
    </xf>
    <xf numFmtId="200" fontId="6" fillId="0" borderId="306">
      <alignment vertical="center"/>
    </xf>
    <xf numFmtId="41" fontId="56" fillId="0" borderId="342" applyNumberFormat="0" applyFont="0" applyFill="0" applyBorder="0" applyProtection="0">
      <alignment horizontal="distributed"/>
    </xf>
    <xf numFmtId="218" fontId="6" fillId="0" borderId="274">
      <alignment vertical="center"/>
    </xf>
    <xf numFmtId="322" fontId="9" fillId="0" borderId="332">
      <alignment horizontal="centerContinuous" vertical="center"/>
    </xf>
    <xf numFmtId="240" fontId="6" fillId="0" borderId="318">
      <alignment horizontal="right" vertical="center"/>
    </xf>
    <xf numFmtId="176" fontId="6" fillId="0" borderId="274">
      <alignment vertical="center"/>
    </xf>
    <xf numFmtId="200" fontId="6" fillId="0" borderId="286">
      <alignment vertical="center"/>
    </xf>
    <xf numFmtId="176" fontId="6" fillId="0" borderId="318">
      <alignment vertical="center"/>
    </xf>
    <xf numFmtId="176" fontId="6" fillId="0" borderId="318">
      <alignment vertical="center"/>
    </xf>
    <xf numFmtId="322" fontId="9" fillId="0" borderId="320">
      <alignment horizontal="centerContinuous" vertical="center"/>
    </xf>
    <xf numFmtId="3" fontId="6" fillId="0" borderId="286"/>
    <xf numFmtId="0" fontId="92" fillId="0" borderId="286"/>
    <xf numFmtId="0" fontId="56" fillId="0" borderId="298"/>
    <xf numFmtId="0" fontId="94" fillId="0" borderId="344">
      <alignment horizontal="centerContinuous" vertical="center"/>
    </xf>
    <xf numFmtId="0" fontId="41" fillId="0" borderId="287">
      <alignment horizontal="left" vertical="center"/>
    </xf>
    <xf numFmtId="0" fontId="6" fillId="0" borderId="354">
      <alignment horizontal="right" vertical="center" shrinkToFit="1"/>
    </xf>
    <xf numFmtId="41" fontId="56" fillId="0" borderId="354" applyNumberFormat="0" applyFont="0" applyFill="0" applyBorder="0" applyProtection="0">
      <alignment horizontal="distributed"/>
    </xf>
    <xf numFmtId="0" fontId="165" fillId="22" borderId="293" applyNumberFormat="0" applyAlignment="0" applyProtection="0">
      <alignment vertical="center"/>
    </xf>
    <xf numFmtId="0" fontId="54" fillId="28" borderId="295" applyNumberFormat="0" applyFont="0" applyAlignment="0" applyProtection="0">
      <alignment vertical="center"/>
    </xf>
    <xf numFmtId="0" fontId="6" fillId="0" borderId="332">
      <alignment horizontal="centerContinuous" vertical="center"/>
    </xf>
    <xf numFmtId="0" fontId="6" fillId="0" borderId="332">
      <alignment horizontal="centerContinuous" vertical="center"/>
    </xf>
    <xf numFmtId="3" fontId="56" fillId="0" borderId="306"/>
    <xf numFmtId="3" fontId="56" fillId="0" borderId="306"/>
    <xf numFmtId="41" fontId="56" fillId="0" borderId="306" applyNumberFormat="0" applyFont="0" applyFill="0" applyBorder="0" applyProtection="0">
      <alignment horizontal="distributed"/>
    </xf>
    <xf numFmtId="41" fontId="56" fillId="0" borderId="306" applyNumberFormat="0" applyFont="0" applyFill="0" applyBorder="0" applyProtection="0">
      <alignment horizontal="distributed"/>
    </xf>
    <xf numFmtId="41" fontId="56" fillId="0" borderId="306" applyNumberFormat="0" applyFont="0" applyFill="0" applyBorder="0" applyProtection="0">
      <alignment horizontal="distributed"/>
    </xf>
    <xf numFmtId="0" fontId="6" fillId="0" borderId="306">
      <alignment horizontal="right" vertical="center" shrinkToFit="1"/>
    </xf>
    <xf numFmtId="0" fontId="6" fillId="0" borderId="306">
      <alignment horizontal="right" vertical="center" shrinkToFit="1"/>
    </xf>
    <xf numFmtId="0" fontId="6" fillId="0" borderId="306">
      <alignment horizontal="right" vertical="center" shrinkToFit="1"/>
    </xf>
    <xf numFmtId="244" fontId="117" fillId="0" borderId="306">
      <alignment vertical="center"/>
    </xf>
    <xf numFmtId="0" fontId="41" fillId="0" borderId="307">
      <alignment horizontal="left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250" fontId="117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00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49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218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0" fontId="6" fillId="0" borderId="262">
      <alignment vertical="center"/>
    </xf>
    <xf numFmtId="0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20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176" fontId="6" fillId="0" borderId="262">
      <alignment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241" fontId="6" fillId="0" borderId="262">
      <alignment horizontal="right" vertical="center"/>
    </xf>
    <xf numFmtId="240" fontId="6" fillId="0" borderId="262">
      <alignment horizontal="right"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6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8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237" fontId="6" fillId="0" borderId="262">
      <alignment vertical="center"/>
    </xf>
    <xf numFmtId="0" fontId="232" fillId="0" borderId="306" applyFont="0" applyFill="0" applyBorder="0" applyAlignment="0" applyProtection="0">
      <alignment horizontal="centerContinuous" vertical="center"/>
    </xf>
    <xf numFmtId="309" fontId="9" fillId="0" borderId="274" applyFill="0" applyBorder="0" applyAlignment="0"/>
    <xf numFmtId="237" fontId="6" fillId="0" borderId="306">
      <alignment vertical="center"/>
    </xf>
    <xf numFmtId="238" fontId="6" fillId="0" borderId="306">
      <alignment vertical="center"/>
    </xf>
    <xf numFmtId="191" fontId="6" fillId="0" borderId="330">
      <alignment vertical="center"/>
    </xf>
    <xf numFmtId="228" fontId="117" fillId="0" borderId="297" applyBorder="0">
      <alignment vertical="center" wrapText="1"/>
    </xf>
    <xf numFmtId="322" fontId="9" fillId="0" borderId="356">
      <alignment horizontal="centerContinuous" vertical="center"/>
    </xf>
    <xf numFmtId="240" fontId="6" fillId="0" borderId="330">
      <alignment horizontal="right" vertical="center"/>
    </xf>
    <xf numFmtId="0" fontId="184" fillId="0" borderId="274" applyFill="0" applyBorder="0" applyProtection="0">
      <alignment vertical="center"/>
    </xf>
    <xf numFmtId="0" fontId="41" fillId="0" borderId="319">
      <alignment horizontal="left" vertical="center"/>
    </xf>
    <xf numFmtId="191" fontId="6" fillId="0" borderId="342">
      <alignment vertical="center"/>
    </xf>
    <xf numFmtId="0" fontId="94" fillId="0" borderId="356">
      <alignment horizontal="centerContinuous" vertical="center"/>
    </xf>
    <xf numFmtId="218" fontId="9" fillId="0" borderId="356">
      <alignment horizontal="centerContinuous" vertical="center"/>
    </xf>
    <xf numFmtId="240" fontId="6" fillId="0" borderId="342">
      <alignment horizontal="right" vertical="center"/>
    </xf>
    <xf numFmtId="234" fontId="117" fillId="0" borderId="342">
      <alignment vertical="center"/>
    </xf>
    <xf numFmtId="10" fontId="39" fillId="4" borderId="306" applyNumberFormat="0" applyBorder="0" applyAlignment="0" applyProtection="0"/>
    <xf numFmtId="0" fontId="50" fillId="3" borderId="287">
      <alignment vertical="center"/>
    </xf>
    <xf numFmtId="0" fontId="50" fillId="3" borderId="287">
      <alignment vertical="center"/>
    </xf>
    <xf numFmtId="243" fontId="117" fillId="0" borderId="330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4" fontId="117" fillId="0" borderId="342">
      <alignment vertical="center"/>
    </xf>
    <xf numFmtId="241" fontId="6" fillId="0" borderId="342">
      <alignment horizontal="right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0" fontId="159" fillId="0" borderId="305" applyNumberFormat="0" applyFill="0" applyAlignment="0" applyProtection="0">
      <alignment vertical="center"/>
    </xf>
    <xf numFmtId="322" fontId="9" fillId="0" borderId="308">
      <alignment horizontal="centerContinuous" vertical="center"/>
    </xf>
    <xf numFmtId="241" fontId="6" fillId="0" borderId="306">
      <alignment horizontal="right" vertical="center"/>
    </xf>
    <xf numFmtId="240" fontId="6" fillId="0" borderId="306">
      <alignment horizontal="right" vertical="center"/>
    </xf>
    <xf numFmtId="240" fontId="6" fillId="0" borderId="306">
      <alignment horizontal="right" vertical="center"/>
    </xf>
    <xf numFmtId="256" fontId="117" fillId="0" borderId="330" applyBorder="0">
      <alignment vertical="center"/>
    </xf>
    <xf numFmtId="228" fontId="117" fillId="0" borderId="353" applyBorder="0">
      <alignment vertical="center" wrapText="1"/>
    </xf>
    <xf numFmtId="191" fontId="6" fillId="0" borderId="342">
      <alignment vertical="center"/>
    </xf>
    <xf numFmtId="191" fontId="6" fillId="0" borderId="342">
      <alignment vertical="center"/>
    </xf>
    <xf numFmtId="191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30" fontId="6" fillId="0" borderId="342">
      <alignment vertical="center"/>
    </xf>
    <xf numFmtId="191" fontId="6" fillId="0" borderId="342">
      <alignment vertical="center"/>
    </xf>
    <xf numFmtId="191" fontId="6" fillId="0" borderId="342">
      <alignment vertical="center"/>
    </xf>
    <xf numFmtId="230" fontId="6" fillId="0" borderId="342">
      <alignment vertical="center"/>
    </xf>
    <xf numFmtId="236" fontId="6" fillId="0" borderId="330">
      <alignment vertical="center"/>
    </xf>
    <xf numFmtId="0" fontId="160" fillId="12" borderId="294" applyNumberFormat="0" applyAlignment="0" applyProtection="0">
      <alignment vertical="center"/>
    </xf>
    <xf numFmtId="0" fontId="160" fillId="12" borderId="294" applyNumberFormat="0" applyAlignment="0" applyProtection="0">
      <alignment vertical="center"/>
    </xf>
    <xf numFmtId="0" fontId="6" fillId="0" borderId="298">
      <alignment horizontal="right" vertical="center" shrinkToFit="1"/>
    </xf>
    <xf numFmtId="0" fontId="6" fillId="0" borderId="298">
      <alignment horizontal="right" vertical="center" shrinkToFit="1"/>
    </xf>
    <xf numFmtId="0" fontId="6" fillId="0" borderId="298">
      <alignment horizontal="right" vertical="center" shrinkToFit="1"/>
    </xf>
    <xf numFmtId="243" fontId="117" fillId="0" borderId="298">
      <alignment vertical="center"/>
    </xf>
    <xf numFmtId="243" fontId="117" fillId="0" borderId="298">
      <alignment vertical="center"/>
    </xf>
    <xf numFmtId="243" fontId="117" fillId="0" borderId="298">
      <alignment vertical="center"/>
    </xf>
    <xf numFmtId="243" fontId="117" fillId="0" borderId="298">
      <alignment vertical="center"/>
    </xf>
    <xf numFmtId="239" fontId="117" fillId="0" borderId="298">
      <alignment horizontal="right" vertical="center"/>
    </xf>
    <xf numFmtId="239" fontId="117" fillId="0" borderId="298">
      <alignment horizontal="right" vertical="center"/>
    </xf>
    <xf numFmtId="239" fontId="117" fillId="0" borderId="298">
      <alignment horizontal="right" vertical="center"/>
    </xf>
    <xf numFmtId="239" fontId="117" fillId="0" borderId="298">
      <alignment horizontal="right" vertical="center"/>
    </xf>
    <xf numFmtId="239" fontId="117" fillId="0" borderId="298">
      <alignment horizontal="right" vertical="center"/>
    </xf>
    <xf numFmtId="234" fontId="117" fillId="0" borderId="298">
      <alignment vertical="center"/>
    </xf>
    <xf numFmtId="234" fontId="117" fillId="0" borderId="298">
      <alignment vertical="center"/>
    </xf>
    <xf numFmtId="234" fontId="117" fillId="0" borderId="298">
      <alignment vertical="center"/>
    </xf>
    <xf numFmtId="234" fontId="117" fillId="0" borderId="298">
      <alignment vertical="center"/>
    </xf>
    <xf numFmtId="234" fontId="117" fillId="0" borderId="298">
      <alignment vertical="center"/>
    </xf>
    <xf numFmtId="10" fontId="39" fillId="4" borderId="298" applyNumberFormat="0" applyBorder="0" applyAlignment="0" applyProtection="0"/>
    <xf numFmtId="10" fontId="39" fillId="2" borderId="298" applyNumberFormat="0" applyBorder="0" applyAlignment="0" applyProtection="0"/>
    <xf numFmtId="10" fontId="39" fillId="2" borderId="298" applyNumberFormat="0" applyBorder="0" applyAlignment="0" applyProtection="0"/>
    <xf numFmtId="10" fontId="39" fillId="2" borderId="298" applyNumberFormat="0" applyBorder="0" applyAlignment="0" applyProtection="0"/>
    <xf numFmtId="10" fontId="39" fillId="2" borderId="298" applyNumberFormat="0" applyBorder="0" applyAlignment="0" applyProtection="0"/>
    <xf numFmtId="10" fontId="39" fillId="2" borderId="298" applyNumberFormat="0" applyBorder="0" applyAlignment="0" applyProtection="0"/>
    <xf numFmtId="185" fontId="8" fillId="0" borderId="298">
      <alignment vertical="center"/>
    </xf>
    <xf numFmtId="3" fontId="6" fillId="0" borderId="318"/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38" fontId="6" fillId="0" borderId="318">
      <alignment vertical="center"/>
    </xf>
    <xf numFmtId="236" fontId="6" fillId="0" borderId="318">
      <alignment vertical="center"/>
    </xf>
    <xf numFmtId="257" fontId="117" fillId="0" borderId="306" applyBorder="0">
      <alignment horizontal="left" vertical="center"/>
    </xf>
    <xf numFmtId="0" fontId="41" fillId="0" borderId="343">
      <alignment horizontal="left" vertical="center"/>
    </xf>
    <xf numFmtId="206" fontId="6" fillId="0" borderId="318">
      <alignment vertical="center"/>
    </xf>
    <xf numFmtId="0" fontId="6" fillId="0" borderId="318">
      <alignment vertical="center"/>
    </xf>
    <xf numFmtId="0" fontId="6" fillId="0" borderId="318">
      <alignment vertical="center"/>
    </xf>
    <xf numFmtId="0" fontId="6" fillId="0" borderId="318">
      <alignment vertical="center"/>
    </xf>
    <xf numFmtId="0" fontId="6" fillId="0" borderId="318">
      <alignment vertical="center"/>
    </xf>
    <xf numFmtId="176" fontId="6" fillId="0" borderId="318">
      <alignment vertical="center"/>
    </xf>
    <xf numFmtId="241" fontId="6" fillId="0" borderId="286">
      <alignment horizontal="right" vertical="center"/>
    </xf>
    <xf numFmtId="240" fontId="6" fillId="0" borderId="286">
      <alignment horizontal="right" vertical="center"/>
    </xf>
    <xf numFmtId="240" fontId="6" fillId="0" borderId="286">
      <alignment horizontal="right" vertical="center"/>
    </xf>
    <xf numFmtId="0" fontId="57" fillId="28" borderId="315" applyNumberFormat="0" applyFont="0" applyAlignment="0" applyProtection="0">
      <alignment vertical="center"/>
    </xf>
    <xf numFmtId="0" fontId="82" fillId="0" borderId="298"/>
    <xf numFmtId="185" fontId="8" fillId="0" borderId="298">
      <alignment vertical="center"/>
    </xf>
    <xf numFmtId="185" fontId="8" fillId="0" borderId="298">
      <alignment vertical="center"/>
    </xf>
    <xf numFmtId="3" fontId="57" fillId="0" borderId="298"/>
    <xf numFmtId="0" fontId="94" fillId="0" borderId="308">
      <alignment horizontal="centerContinuous" vertical="center"/>
    </xf>
    <xf numFmtId="0" fontId="6" fillId="0" borderId="308">
      <alignment horizontal="centerContinuous" vertical="center"/>
    </xf>
    <xf numFmtId="0" fontId="6" fillId="0" borderId="308">
      <alignment horizontal="centerContinuous" vertical="center"/>
    </xf>
    <xf numFmtId="322" fontId="9" fillId="0" borderId="308">
      <alignment horizontal="centerContinuous" vertical="center"/>
    </xf>
    <xf numFmtId="322" fontId="9" fillId="0" borderId="308">
      <alignment horizontal="centerContinuous" vertical="center"/>
    </xf>
    <xf numFmtId="0" fontId="57" fillId="28" borderId="304" applyNumberFormat="0" applyFont="0" applyAlignment="0" applyProtection="0">
      <alignment vertical="center"/>
    </xf>
    <xf numFmtId="0" fontId="57" fillId="28" borderId="304" applyNumberFormat="0" applyFont="0" applyAlignment="0" applyProtection="0">
      <alignment vertical="center"/>
    </xf>
    <xf numFmtId="256" fontId="117" fillId="0" borderId="342" applyBorder="0">
      <alignment vertical="center"/>
    </xf>
    <xf numFmtId="256" fontId="117" fillId="0" borderId="342" applyBorder="0">
      <alignment vertical="center"/>
    </xf>
    <xf numFmtId="0" fontId="9" fillId="0" borderId="342">
      <alignment horizontal="distributed" vertical="center"/>
    </xf>
    <xf numFmtId="0" fontId="9" fillId="0" borderId="342">
      <alignment horizontal="distributed" vertical="center"/>
    </xf>
    <xf numFmtId="0" fontId="9" fillId="0" borderId="342">
      <alignment horizontal="distributed" vertical="center"/>
    </xf>
    <xf numFmtId="0" fontId="9" fillId="0" borderId="345">
      <alignment horizontal="distributed"/>
    </xf>
    <xf numFmtId="0" fontId="9" fillId="0" borderId="345">
      <alignment horizontal="distributed"/>
    </xf>
    <xf numFmtId="0" fontId="9" fillId="0" borderId="345">
      <alignment horizontal="distributed"/>
    </xf>
    <xf numFmtId="0" fontId="9" fillId="0" borderId="345">
      <alignment horizontal="distributed"/>
    </xf>
    <xf numFmtId="185" fontId="9" fillId="0" borderId="342">
      <alignment horizontal="center" vertical="center"/>
    </xf>
    <xf numFmtId="10" fontId="39" fillId="2" borderId="354" applyNumberFormat="0" applyBorder="0" applyAlignment="0" applyProtection="0"/>
    <xf numFmtId="0" fontId="41" fillId="0" borderId="355">
      <alignment horizontal="left" vertical="center"/>
    </xf>
    <xf numFmtId="185" fontId="8" fillId="0" borderId="354">
      <alignment vertical="center"/>
    </xf>
    <xf numFmtId="185" fontId="8" fillId="0" borderId="354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232" fillId="0" borderId="274" applyFont="0" applyFill="0" applyBorder="0" applyAlignment="0" applyProtection="0">
      <alignment horizontal="centerContinuous" vertical="center"/>
    </xf>
    <xf numFmtId="236" fontId="6" fillId="0" borderId="318">
      <alignment vertical="center"/>
    </xf>
    <xf numFmtId="237" fontId="6" fillId="0" borderId="318">
      <alignment vertical="center"/>
    </xf>
    <xf numFmtId="0" fontId="159" fillId="0" borderId="284" applyNumberFormat="0" applyFill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159" fillId="0" borderId="284" applyNumberFormat="0" applyFill="0" applyAlignment="0" applyProtection="0">
      <alignment vertical="center"/>
    </xf>
    <xf numFmtId="0" fontId="224" fillId="0" borderId="332">
      <alignment horizontal="centerContinuous" vertical="center"/>
    </xf>
    <xf numFmtId="0" fontId="92" fillId="0" borderId="330"/>
    <xf numFmtId="0" fontId="92" fillId="0" borderId="330"/>
    <xf numFmtId="3" fontId="56" fillId="0" borderId="330"/>
    <xf numFmtId="3" fontId="56" fillId="0" borderId="330"/>
    <xf numFmtId="236" fontId="6" fillId="0" borderId="342">
      <alignment vertical="center"/>
    </xf>
    <xf numFmtId="41" fontId="56" fillId="0" borderId="330" applyNumberFormat="0" applyFont="0" applyFill="0" applyBorder="0" applyProtection="0">
      <alignment horizontal="distributed"/>
    </xf>
    <xf numFmtId="41" fontId="56" fillId="0" borderId="330" applyNumberFormat="0" applyFont="0" applyFill="0" applyBorder="0" applyProtection="0">
      <alignment horizontal="distributed"/>
    </xf>
    <xf numFmtId="41" fontId="56" fillId="0" borderId="330" applyNumberFormat="0" applyFont="0" applyFill="0" applyBorder="0" applyProtection="0">
      <alignment horizontal="distributed"/>
    </xf>
    <xf numFmtId="0" fontId="6" fillId="0" borderId="330">
      <alignment horizontal="right" vertical="center" shrinkToFit="1"/>
    </xf>
    <xf numFmtId="0" fontId="6" fillId="0" borderId="330">
      <alignment horizontal="right" vertical="center" shrinkToFit="1"/>
    </xf>
    <xf numFmtId="0" fontId="50" fillId="3" borderId="331">
      <alignment vertical="center"/>
    </xf>
    <xf numFmtId="0" fontId="50" fillId="3" borderId="331">
      <alignment vertical="center"/>
    </xf>
    <xf numFmtId="244" fontId="117" fillId="0" borderId="330">
      <alignment vertical="center"/>
    </xf>
    <xf numFmtId="244" fontId="117" fillId="0" borderId="330">
      <alignment vertical="center"/>
    </xf>
    <xf numFmtId="244" fontId="117" fillId="0" borderId="330">
      <alignment vertical="center"/>
    </xf>
    <xf numFmtId="243" fontId="117" fillId="0" borderId="330">
      <alignment vertical="center"/>
    </xf>
    <xf numFmtId="243" fontId="117" fillId="0" borderId="330">
      <alignment vertical="center"/>
    </xf>
    <xf numFmtId="243" fontId="117" fillId="0" borderId="330">
      <alignment vertical="center"/>
    </xf>
    <xf numFmtId="239" fontId="117" fillId="0" borderId="330">
      <alignment horizontal="right" vertical="center"/>
    </xf>
    <xf numFmtId="239" fontId="117" fillId="0" borderId="330">
      <alignment horizontal="right" vertical="center"/>
    </xf>
    <xf numFmtId="239" fontId="117" fillId="0" borderId="330">
      <alignment horizontal="right" vertical="center"/>
    </xf>
    <xf numFmtId="234" fontId="117" fillId="0" borderId="330">
      <alignment vertical="center"/>
    </xf>
    <xf numFmtId="234" fontId="117" fillId="0" borderId="330">
      <alignment vertical="center"/>
    </xf>
    <xf numFmtId="234" fontId="117" fillId="0" borderId="330">
      <alignment vertical="center"/>
    </xf>
    <xf numFmtId="10" fontId="39" fillId="2" borderId="330" applyNumberFormat="0" applyBorder="0" applyAlignment="0" applyProtection="0"/>
    <xf numFmtId="10" fontId="39" fillId="2" borderId="330" applyNumberFormat="0" applyBorder="0" applyAlignment="0" applyProtection="0"/>
    <xf numFmtId="0" fontId="41" fillId="0" borderId="331">
      <alignment horizontal="left" vertical="center"/>
    </xf>
    <xf numFmtId="0" fontId="41" fillId="0" borderId="331">
      <alignment horizontal="left" vertical="center"/>
    </xf>
    <xf numFmtId="0" fontId="82" fillId="0" borderId="330"/>
    <xf numFmtId="3" fontId="57" fillId="0" borderId="330"/>
    <xf numFmtId="3" fontId="57" fillId="0" borderId="330"/>
    <xf numFmtId="3" fontId="57" fillId="0" borderId="330"/>
    <xf numFmtId="3" fontId="57" fillId="0" borderId="330"/>
    <xf numFmtId="3" fontId="57" fillId="0" borderId="330"/>
    <xf numFmtId="3" fontId="57" fillId="0" borderId="330"/>
    <xf numFmtId="322" fontId="9" fillId="0" borderId="332">
      <alignment horizontal="centerContinuous" vertical="center"/>
    </xf>
    <xf numFmtId="0" fontId="9" fillId="0" borderId="332">
      <alignment horizontal="centerContinuous" vertical="center"/>
    </xf>
    <xf numFmtId="0" fontId="11" fillId="0" borderId="330" applyNumberFormat="0" applyFont="0" applyFill="0" applyAlignment="0" applyProtection="0">
      <alignment horizontal="center" vertical="center"/>
    </xf>
    <xf numFmtId="236" fontId="6" fillId="0" borderId="330">
      <alignment vertical="center"/>
    </xf>
    <xf numFmtId="236" fontId="6" fillId="0" borderId="330">
      <alignment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0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1" fontId="6" fillId="0" borderId="330">
      <alignment horizontal="right" vertical="center"/>
    </xf>
    <xf numFmtId="242" fontId="6" fillId="0" borderId="330">
      <alignment horizontal="right" vertical="center"/>
    </xf>
    <xf numFmtId="242" fontId="6" fillId="0" borderId="330">
      <alignment horizontal="right" vertical="center"/>
    </xf>
    <xf numFmtId="242" fontId="6" fillId="0" borderId="330">
      <alignment horizontal="right" vertical="center"/>
    </xf>
    <xf numFmtId="240" fontId="6" fillId="0" borderId="330">
      <alignment horizontal="right" vertical="center"/>
    </xf>
    <xf numFmtId="206" fontId="6" fillId="0" borderId="330">
      <alignment vertical="center"/>
    </xf>
    <xf numFmtId="0" fontId="6" fillId="0" borderId="330">
      <alignment vertical="center"/>
    </xf>
    <xf numFmtId="0" fontId="6" fillId="0" borderId="330">
      <alignment vertical="center"/>
    </xf>
    <xf numFmtId="0" fontId="50" fillId="3" borderId="343">
      <alignment vertical="center"/>
    </xf>
    <xf numFmtId="49" fontId="60" fillId="0" borderId="279" applyNumberFormat="0" applyAlignment="0"/>
    <xf numFmtId="0" fontId="160" fillId="12" borderId="282" applyNumberFormat="0" applyAlignment="0" applyProtection="0">
      <alignment vertical="center"/>
    </xf>
    <xf numFmtId="0" fontId="160" fillId="12" borderId="282" applyNumberFormat="0" applyAlignment="0" applyProtection="0">
      <alignment vertical="center"/>
    </xf>
    <xf numFmtId="0" fontId="160" fillId="12" borderId="282" applyNumberFormat="0" applyAlignment="0" applyProtection="0">
      <alignment vertical="center"/>
    </xf>
    <xf numFmtId="0" fontId="160" fillId="12" borderId="282" applyNumberFormat="0" applyAlignment="0" applyProtection="0">
      <alignment vertical="center"/>
    </xf>
    <xf numFmtId="0" fontId="160" fillId="12" borderId="282" applyNumberFormat="0" applyAlignment="0" applyProtection="0">
      <alignment vertical="center"/>
    </xf>
    <xf numFmtId="0" fontId="160" fillId="12" borderId="282" applyNumberFormat="0" applyAlignment="0" applyProtection="0">
      <alignment vertical="center"/>
    </xf>
    <xf numFmtId="0" fontId="57" fillId="28" borderId="327" applyNumberFormat="0" applyFont="0" applyAlignment="0" applyProtection="0">
      <alignment vertical="center"/>
    </xf>
    <xf numFmtId="0" fontId="57" fillId="28" borderId="327" applyNumberFormat="0" applyFont="0" applyAlignment="0" applyProtection="0">
      <alignment vertical="center"/>
    </xf>
    <xf numFmtId="0" fontId="153" fillId="22" borderId="326" applyNumberFormat="0" applyAlignment="0" applyProtection="0">
      <alignment vertical="center"/>
    </xf>
    <xf numFmtId="0" fontId="153" fillId="22" borderId="326" applyNumberFormat="0" applyAlignment="0" applyProtection="0">
      <alignment vertical="center"/>
    </xf>
    <xf numFmtId="0" fontId="153" fillId="22" borderId="326" applyNumberFormat="0" applyAlignment="0" applyProtection="0">
      <alignment vertical="center"/>
    </xf>
    <xf numFmtId="185" fontId="8" fillId="0" borderId="330">
      <alignment vertical="center"/>
    </xf>
    <xf numFmtId="0" fontId="94" fillId="0" borderId="332">
      <alignment horizontal="centerContinuous" vertical="center"/>
    </xf>
    <xf numFmtId="322" fontId="9" fillId="0" borderId="332">
      <alignment horizontal="centerContinuous" vertical="center"/>
    </xf>
    <xf numFmtId="0" fontId="9" fillId="0" borderId="332">
      <alignment horizontal="centerContinuous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322" fontId="9" fillId="0" borderId="332">
      <alignment horizontal="centerContinuous" vertical="center"/>
    </xf>
    <xf numFmtId="0" fontId="165" fillId="22" borderId="281" applyNumberFormat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0" fontId="165" fillId="22" borderId="281" applyNumberFormat="0" applyAlignment="0" applyProtection="0">
      <alignment vertical="center"/>
    </xf>
    <xf numFmtId="230" fontId="6" fillId="0" borderId="318">
      <alignment vertical="center"/>
    </xf>
    <xf numFmtId="191" fontId="6" fillId="0" borderId="318">
      <alignment vertical="center"/>
    </xf>
    <xf numFmtId="191" fontId="6" fillId="0" borderId="318">
      <alignment vertical="center"/>
    </xf>
    <xf numFmtId="23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191" fontId="6" fillId="0" borderId="318">
      <alignment vertical="center"/>
    </xf>
    <xf numFmtId="191" fontId="6" fillId="0" borderId="318">
      <alignment vertical="center"/>
    </xf>
    <xf numFmtId="191" fontId="6" fillId="0" borderId="318">
      <alignment vertical="center"/>
    </xf>
    <xf numFmtId="191" fontId="6" fillId="0" borderId="318">
      <alignment vertical="center"/>
    </xf>
    <xf numFmtId="0" fontId="50" fillId="3" borderId="343">
      <alignment vertical="center"/>
    </xf>
    <xf numFmtId="185" fontId="235" fillId="0" borderId="274"/>
    <xf numFmtId="0" fontId="9" fillId="0" borderId="309">
      <alignment horizontal="distributed"/>
    </xf>
    <xf numFmtId="0" fontId="9" fillId="0" borderId="309">
      <alignment horizontal="distributed"/>
    </xf>
    <xf numFmtId="0" fontId="9" fillId="0" borderId="309">
      <alignment horizontal="distributed"/>
    </xf>
    <xf numFmtId="0" fontId="9" fillId="0" borderId="309">
      <alignment horizontal="distributed"/>
    </xf>
    <xf numFmtId="0" fontId="9" fillId="0" borderId="309">
      <alignment horizontal="distributed"/>
    </xf>
    <xf numFmtId="0" fontId="9" fillId="0" borderId="309">
      <alignment horizontal="distributed"/>
    </xf>
    <xf numFmtId="0" fontId="9" fillId="0" borderId="306">
      <alignment horizontal="distributed" vertical="center"/>
    </xf>
    <xf numFmtId="0" fontId="9" fillId="0" borderId="306">
      <alignment horizontal="distributed" vertical="center"/>
    </xf>
    <xf numFmtId="0" fontId="9" fillId="0" borderId="306">
      <alignment horizontal="distributed" vertical="center"/>
    </xf>
    <xf numFmtId="0" fontId="9" fillId="0" borderId="306">
      <alignment horizontal="distributed" vertical="center"/>
    </xf>
    <xf numFmtId="0" fontId="9" fillId="0" borderId="306">
      <alignment horizontal="distributed" vertical="center"/>
    </xf>
    <xf numFmtId="0" fontId="9" fillId="0" borderId="306">
      <alignment horizontal="distributed" vertical="center"/>
    </xf>
    <xf numFmtId="236" fontId="6" fillId="0" borderId="306">
      <alignment vertical="center"/>
    </xf>
    <xf numFmtId="256" fontId="117" fillId="0" borderId="306" applyBorder="0">
      <alignment vertical="center"/>
    </xf>
    <xf numFmtId="256" fontId="117" fillId="0" borderId="306" applyBorder="0">
      <alignment vertical="center"/>
    </xf>
    <xf numFmtId="256" fontId="117" fillId="0" borderId="306" applyBorder="0">
      <alignment vertical="center"/>
    </xf>
    <xf numFmtId="256" fontId="117" fillId="0" borderId="306" applyBorder="0">
      <alignment vertical="center"/>
    </xf>
    <xf numFmtId="256" fontId="117" fillId="0" borderId="306" applyBorder="0">
      <alignment vertical="center"/>
    </xf>
    <xf numFmtId="256" fontId="117" fillId="0" borderId="306" applyBorder="0">
      <alignment vertical="center"/>
    </xf>
    <xf numFmtId="191" fontId="6" fillId="0" borderId="330">
      <alignment vertical="center"/>
    </xf>
    <xf numFmtId="191" fontId="6" fillId="0" borderId="330">
      <alignment vertical="center"/>
    </xf>
    <xf numFmtId="191" fontId="6" fillId="0" borderId="330">
      <alignment vertical="center"/>
    </xf>
    <xf numFmtId="191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191" fontId="6" fillId="0" borderId="330">
      <alignment vertical="center"/>
    </xf>
    <xf numFmtId="0" fontId="92" fillId="0" borderId="306"/>
    <xf numFmtId="0" fontId="92" fillId="0" borderId="306"/>
    <xf numFmtId="0" fontId="92" fillId="0" borderId="306"/>
    <xf numFmtId="0" fontId="92" fillId="0" borderId="306"/>
    <xf numFmtId="233" fontId="122" fillId="0" borderId="330" applyFill="0" applyBorder="0" applyAlignment="0"/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244" fontId="117" fillId="0" borderId="306">
      <alignment vertical="center"/>
    </xf>
    <xf numFmtId="243" fontId="117" fillId="0" borderId="306">
      <alignment vertical="center"/>
    </xf>
    <xf numFmtId="243" fontId="117" fillId="0" borderId="306">
      <alignment vertical="center"/>
    </xf>
    <xf numFmtId="243" fontId="117" fillId="0" borderId="306">
      <alignment vertical="center"/>
    </xf>
    <xf numFmtId="243" fontId="117" fillId="0" borderId="306">
      <alignment vertical="center"/>
    </xf>
    <xf numFmtId="239" fontId="117" fillId="0" borderId="306">
      <alignment horizontal="right" vertical="center"/>
    </xf>
    <xf numFmtId="239" fontId="117" fillId="0" borderId="306">
      <alignment horizontal="right" vertical="center"/>
    </xf>
    <xf numFmtId="236" fontId="6" fillId="0" borderId="330">
      <alignment vertical="center"/>
    </xf>
    <xf numFmtId="0" fontId="134" fillId="0" borderId="318">
      <alignment vertical="center"/>
    </xf>
    <xf numFmtId="41" fontId="135" fillId="0" borderId="306" applyNumberFormat="0">
      <alignment vertical="center"/>
    </xf>
    <xf numFmtId="206" fontId="6" fillId="0" borderId="318">
      <alignment vertical="center"/>
    </xf>
    <xf numFmtId="3" fontId="57" fillId="0" borderId="354"/>
    <xf numFmtId="185" fontId="8" fillId="0" borderId="298">
      <alignment vertical="center"/>
    </xf>
    <xf numFmtId="185" fontId="8" fillId="0" borderId="298">
      <alignment vertical="center"/>
    </xf>
    <xf numFmtId="230" fontId="6" fillId="0" borderId="330">
      <alignment vertical="center"/>
    </xf>
    <xf numFmtId="243" fontId="117" fillId="0" borderId="306">
      <alignment vertical="center"/>
    </xf>
    <xf numFmtId="243" fontId="117" fillId="0" borderId="306">
      <alignment vertical="center"/>
    </xf>
    <xf numFmtId="3" fontId="57" fillId="0" borderId="306"/>
    <xf numFmtId="3" fontId="57" fillId="0" borderId="306"/>
    <xf numFmtId="10" fontId="39" fillId="4" borderId="342" applyNumberFormat="0" applyBorder="0" applyAlignment="0" applyProtection="0"/>
    <xf numFmtId="250" fontId="117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00" fontId="6" fillId="0" borderId="286">
      <alignment vertical="center"/>
    </xf>
    <xf numFmtId="249" fontId="6" fillId="0" borderId="286">
      <alignment vertical="center"/>
    </xf>
    <xf numFmtId="249" fontId="6" fillId="0" borderId="286">
      <alignment vertical="center"/>
    </xf>
    <xf numFmtId="249" fontId="6" fillId="0" borderId="286">
      <alignment vertical="center"/>
    </xf>
    <xf numFmtId="249" fontId="6" fillId="0" borderId="286">
      <alignment vertical="center"/>
    </xf>
    <xf numFmtId="249" fontId="6" fillId="0" borderId="286">
      <alignment vertical="center"/>
    </xf>
    <xf numFmtId="218" fontId="6" fillId="0" borderId="286">
      <alignment vertical="center"/>
    </xf>
    <xf numFmtId="218" fontId="6" fillId="0" borderId="286">
      <alignment vertical="center"/>
    </xf>
    <xf numFmtId="218" fontId="6" fillId="0" borderId="286">
      <alignment vertical="center"/>
    </xf>
    <xf numFmtId="218" fontId="6" fillId="0" borderId="286">
      <alignment vertical="center"/>
    </xf>
    <xf numFmtId="218" fontId="6" fillId="0" borderId="286">
      <alignment vertical="center"/>
    </xf>
    <xf numFmtId="218" fontId="6" fillId="0" borderId="286">
      <alignment vertical="center"/>
    </xf>
    <xf numFmtId="176" fontId="6" fillId="0" borderId="286">
      <alignment vertical="center"/>
    </xf>
    <xf numFmtId="0" fontId="6" fillId="0" borderId="286">
      <alignment vertical="center"/>
    </xf>
    <xf numFmtId="0" fontId="6" fillId="0" borderId="286">
      <alignment vertical="center"/>
    </xf>
    <xf numFmtId="206" fontId="6" fillId="0" borderId="286">
      <alignment vertical="center"/>
    </xf>
    <xf numFmtId="206" fontId="6" fillId="0" borderId="286">
      <alignment vertical="center"/>
    </xf>
    <xf numFmtId="206" fontId="6" fillId="0" borderId="286">
      <alignment vertical="center"/>
    </xf>
    <xf numFmtId="206" fontId="6" fillId="0" borderId="286">
      <alignment vertical="center"/>
    </xf>
    <xf numFmtId="176" fontId="6" fillId="0" borderId="286">
      <alignment vertical="center"/>
    </xf>
    <xf numFmtId="176" fontId="6" fillId="0" borderId="286">
      <alignment vertical="center"/>
    </xf>
    <xf numFmtId="176" fontId="6" fillId="0" borderId="286">
      <alignment vertical="center"/>
    </xf>
    <xf numFmtId="176" fontId="6" fillId="0" borderId="286">
      <alignment vertical="center"/>
    </xf>
    <xf numFmtId="241" fontId="6" fillId="0" borderId="286">
      <alignment horizontal="right" vertical="center"/>
    </xf>
    <xf numFmtId="241" fontId="6" fillId="0" borderId="286">
      <alignment horizontal="right" vertical="center"/>
    </xf>
    <xf numFmtId="241" fontId="6" fillId="0" borderId="286">
      <alignment horizontal="right" vertical="center"/>
    </xf>
    <xf numFmtId="241" fontId="6" fillId="0" borderId="286">
      <alignment horizontal="right" vertical="center"/>
    </xf>
    <xf numFmtId="241" fontId="6" fillId="0" borderId="286">
      <alignment horizontal="right" vertical="center"/>
    </xf>
    <xf numFmtId="241" fontId="6" fillId="0" borderId="286">
      <alignment horizontal="right" vertical="center"/>
    </xf>
    <xf numFmtId="0" fontId="117" fillId="0" borderId="344">
      <alignment horizontal="centerContinuous"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6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8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237" fontId="6" fillId="0" borderId="286">
      <alignment vertical="center"/>
    </xf>
    <xf numFmtId="176" fontId="6" fillId="0" borderId="318">
      <alignment vertical="center"/>
    </xf>
    <xf numFmtId="10" fontId="39" fillId="4" borderId="318" applyNumberFormat="0" applyBorder="0" applyAlignment="0" applyProtection="0"/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185" fontId="8" fillId="0" borderId="354">
      <alignment vertical="center"/>
    </xf>
    <xf numFmtId="3" fontId="57" fillId="0" borderId="354"/>
    <xf numFmtId="3" fontId="57" fillId="0" borderId="354"/>
    <xf numFmtId="3" fontId="57" fillId="0" borderId="354"/>
    <xf numFmtId="3" fontId="57" fillId="0" borderId="354"/>
    <xf numFmtId="3" fontId="57" fillId="0" borderId="354"/>
    <xf numFmtId="3" fontId="57" fillId="0" borderId="354"/>
    <xf numFmtId="0" fontId="82" fillId="0" borderId="354"/>
    <xf numFmtId="0" fontId="41" fillId="0" borderId="355">
      <alignment horizontal="left" vertical="center"/>
    </xf>
    <xf numFmtId="0" fontId="41" fillId="0" borderId="355">
      <alignment horizontal="left" vertical="center"/>
    </xf>
    <xf numFmtId="10" fontId="39" fillId="2" borderId="354" applyNumberFormat="0" applyBorder="0" applyAlignment="0" applyProtection="0"/>
    <xf numFmtId="244" fontId="117" fillId="0" borderId="342">
      <alignment vertical="center"/>
    </xf>
    <xf numFmtId="244" fontId="117" fillId="0" borderId="342">
      <alignment vertical="center"/>
    </xf>
    <xf numFmtId="244" fontId="117" fillId="0" borderId="342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18" fontId="6" fillId="0" borderId="318">
      <alignment vertical="center"/>
    </xf>
    <xf numFmtId="249" fontId="6" fillId="0" borderId="318">
      <alignment vertical="center"/>
    </xf>
    <xf numFmtId="249" fontId="6" fillId="0" borderId="318">
      <alignment vertical="center"/>
    </xf>
    <xf numFmtId="249" fontId="6" fillId="0" borderId="318">
      <alignment vertical="center"/>
    </xf>
    <xf numFmtId="249" fontId="6" fillId="0" borderId="318">
      <alignment vertical="center"/>
    </xf>
    <xf numFmtId="249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00" fontId="6" fillId="0" borderId="318">
      <alignment vertical="center"/>
    </xf>
    <xf numFmtId="250" fontId="117" fillId="0" borderId="318">
      <alignment vertical="center"/>
    </xf>
    <xf numFmtId="200" fontId="6" fillId="0" borderId="342">
      <alignment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94" fillId="0" borderId="320">
      <alignment horizontal="centerContinuous" vertical="center"/>
    </xf>
    <xf numFmtId="0" fontId="117" fillId="0" borderId="320">
      <alignment horizontal="centerContinuous" vertical="center"/>
    </xf>
    <xf numFmtId="0" fontId="117" fillId="0" borderId="320">
      <alignment horizontal="centerContinuous" vertical="center"/>
    </xf>
    <xf numFmtId="0" fontId="117" fillId="0" borderId="320">
      <alignment horizontal="centerContinuous" vertical="center"/>
    </xf>
    <xf numFmtId="0" fontId="117" fillId="0" borderId="320">
      <alignment horizontal="centerContinuous" vertical="center"/>
    </xf>
    <xf numFmtId="0" fontId="117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322" fontId="9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117" fillId="0" borderId="344">
      <alignment horizontal="centerContinuous" vertical="center"/>
    </xf>
    <xf numFmtId="0" fontId="117" fillId="0" borderId="344">
      <alignment horizontal="centerContinuous" vertical="center"/>
    </xf>
    <xf numFmtId="242" fontId="6" fillId="0" borderId="330">
      <alignment horizontal="right" vertical="center"/>
    </xf>
    <xf numFmtId="242" fontId="6" fillId="0" borderId="330">
      <alignment horizontal="right" vertical="center"/>
    </xf>
    <xf numFmtId="242" fontId="6" fillId="0" borderId="330">
      <alignment horizontal="right" vertical="center"/>
    </xf>
    <xf numFmtId="0" fontId="41" fillId="0" borderId="331">
      <alignment horizontal="left" vertical="center"/>
    </xf>
    <xf numFmtId="0" fontId="50" fillId="3" borderId="331">
      <alignment vertical="center"/>
    </xf>
    <xf numFmtId="338" fontId="19" fillId="0" borderId="330"/>
    <xf numFmtId="185" fontId="9" fillId="0" borderId="330">
      <alignment horizontal="center" vertical="center"/>
    </xf>
    <xf numFmtId="0" fontId="9" fillId="0" borderId="333">
      <alignment horizontal="distributed"/>
    </xf>
    <xf numFmtId="0" fontId="9" fillId="0" borderId="333">
      <alignment horizontal="distributed"/>
    </xf>
    <xf numFmtId="0" fontId="9" fillId="0" borderId="333">
      <alignment horizontal="distributed"/>
    </xf>
    <xf numFmtId="0" fontId="9" fillId="0" borderId="330">
      <alignment horizontal="distributed" vertical="center"/>
    </xf>
    <xf numFmtId="0" fontId="9" fillId="0" borderId="330">
      <alignment horizontal="distributed" vertical="center"/>
    </xf>
    <xf numFmtId="0" fontId="9" fillId="0" borderId="330">
      <alignment horizontal="distributed" vertical="center"/>
    </xf>
    <xf numFmtId="0" fontId="94" fillId="0" borderId="332">
      <alignment horizontal="centerContinuous" vertical="center"/>
    </xf>
    <xf numFmtId="0" fontId="94" fillId="0" borderId="332">
      <alignment horizontal="centerContinuous" vertical="center"/>
    </xf>
    <xf numFmtId="176" fontId="6" fillId="0" borderId="318">
      <alignment vertical="center"/>
    </xf>
    <xf numFmtId="176" fontId="6" fillId="0" borderId="318">
      <alignment vertical="center"/>
    </xf>
    <xf numFmtId="237" fontId="6" fillId="0" borderId="318">
      <alignment vertical="center"/>
    </xf>
    <xf numFmtId="237" fontId="6" fillId="0" borderId="318">
      <alignment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6" fillId="0" borderId="320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256" fontId="117" fillId="0" borderId="330" applyBorder="0">
      <alignment vertical="center"/>
    </xf>
    <xf numFmtId="322" fontId="9" fillId="0" borderId="332">
      <alignment horizontal="centerContinuous" vertical="center"/>
    </xf>
    <xf numFmtId="0" fontId="6" fillId="0" borderId="332">
      <alignment horizontal="centerContinuous" vertical="center"/>
    </xf>
    <xf numFmtId="203" fontId="176" fillId="0" borderId="346" applyFill="0" applyProtection="0">
      <alignment horizontal="center"/>
    </xf>
    <xf numFmtId="250" fontId="117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49" fontId="6" fillId="0" borderId="306">
      <alignment vertical="center"/>
    </xf>
    <xf numFmtId="249" fontId="6" fillId="0" borderId="306">
      <alignment vertical="center"/>
    </xf>
    <xf numFmtId="249" fontId="6" fillId="0" borderId="306">
      <alignment vertical="center"/>
    </xf>
    <xf numFmtId="249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18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200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0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176" fontId="6" fillId="0" borderId="306">
      <alignment vertical="center"/>
    </xf>
    <xf numFmtId="49" fontId="60" fillId="0" borderId="300" applyNumberFormat="0" applyAlignment="0"/>
    <xf numFmtId="0" fontId="160" fillId="12" borderId="303" applyNumberFormat="0" applyAlignment="0" applyProtection="0">
      <alignment vertical="center"/>
    </xf>
    <xf numFmtId="0" fontId="160" fillId="12" borderId="303" applyNumberFormat="0" applyAlignment="0" applyProtection="0">
      <alignment vertical="center"/>
    </xf>
    <xf numFmtId="0" fontId="160" fillId="12" borderId="303" applyNumberFormat="0" applyAlignment="0" applyProtection="0">
      <alignment vertical="center"/>
    </xf>
    <xf numFmtId="0" fontId="160" fillId="12" borderId="303" applyNumberFormat="0" applyAlignment="0" applyProtection="0">
      <alignment vertical="center"/>
    </xf>
    <xf numFmtId="0" fontId="160" fillId="12" borderId="303" applyNumberFormat="0" applyAlignment="0" applyProtection="0">
      <alignment vertical="center"/>
    </xf>
    <xf numFmtId="0" fontId="160" fillId="12" borderId="303" applyNumberFormat="0" applyAlignment="0" applyProtection="0">
      <alignment vertical="center"/>
    </xf>
    <xf numFmtId="238" fontId="6" fillId="0" borderId="306">
      <alignment vertical="center"/>
    </xf>
    <xf numFmtId="238" fontId="6" fillId="0" borderId="306">
      <alignment vertical="center"/>
    </xf>
    <xf numFmtId="238" fontId="6" fillId="0" borderId="306">
      <alignment vertical="center"/>
    </xf>
    <xf numFmtId="238" fontId="6" fillId="0" borderId="306">
      <alignment vertical="center"/>
    </xf>
    <xf numFmtId="238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7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236" fontId="6" fillId="0" borderId="306">
      <alignment vertical="center"/>
    </xf>
    <xf numFmtId="0" fontId="165" fillId="22" borderId="302" applyNumberForma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165" fillId="22" borderId="302" applyNumberFormat="0" applyAlignment="0" applyProtection="0">
      <alignment vertical="center"/>
    </xf>
    <xf numFmtId="0" fontId="57" fillId="28" borderId="339" applyNumberFormat="0" applyFont="0" applyAlignment="0" applyProtection="0">
      <alignment vertical="center"/>
    </xf>
    <xf numFmtId="0" fontId="57" fillId="28" borderId="339" applyNumberFormat="0" applyFont="0" applyAlignment="0" applyProtection="0">
      <alignment vertical="center"/>
    </xf>
    <xf numFmtId="0" fontId="57" fillId="28" borderId="339" applyNumberFormat="0" applyFont="0" applyAlignment="0" applyProtection="0">
      <alignment vertical="center"/>
    </xf>
    <xf numFmtId="0" fontId="57" fillId="28" borderId="339" applyNumberFormat="0" applyFont="0" applyAlignment="0" applyProtection="0">
      <alignment vertical="center"/>
    </xf>
    <xf numFmtId="0" fontId="6" fillId="28" borderId="339" applyNumberFormat="0" applyFon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0" fontId="153" fillId="22" borderId="338" applyNumberFormat="0" applyAlignment="0" applyProtection="0">
      <alignment vertical="center"/>
    </xf>
    <xf numFmtId="234" fontId="117" fillId="0" borderId="342">
      <alignment vertical="center"/>
    </xf>
    <xf numFmtId="234" fontId="117" fillId="0" borderId="342">
      <alignment vertical="center"/>
    </xf>
    <xf numFmtId="3" fontId="57" fillId="0" borderId="342"/>
    <xf numFmtId="241" fontId="6" fillId="0" borderId="342">
      <alignment horizontal="right" vertical="center"/>
    </xf>
    <xf numFmtId="241" fontId="6" fillId="0" borderId="342">
      <alignment horizontal="right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50" fillId="3" borderId="355">
      <alignment vertical="center"/>
    </xf>
    <xf numFmtId="203" fontId="176" fillId="0" borderId="358" applyFill="0" applyProtection="0">
      <alignment horizontal="center"/>
    </xf>
    <xf numFmtId="237" fontId="6" fillId="0" borderId="318">
      <alignment vertical="center"/>
    </xf>
    <xf numFmtId="237" fontId="6" fillId="0" borderId="318">
      <alignment vertical="center"/>
    </xf>
    <xf numFmtId="237" fontId="6" fillId="0" borderId="318">
      <alignment vertical="center"/>
    </xf>
    <xf numFmtId="237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6" fontId="6" fillId="0" borderId="318">
      <alignment vertical="center"/>
    </xf>
    <xf numFmtId="235" fontId="117" fillId="0" borderId="318">
      <alignment vertical="center"/>
    </xf>
    <xf numFmtId="0" fontId="165" fillId="22" borderId="313" applyNumberFormat="0" applyAlignment="0" applyProtection="0">
      <alignment vertical="center"/>
    </xf>
    <xf numFmtId="0" fontId="165" fillId="22" borderId="313" applyNumberFormat="0" applyAlignment="0" applyProtection="0">
      <alignment vertical="center"/>
    </xf>
    <xf numFmtId="0" fontId="165" fillId="22" borderId="313" applyNumberFormat="0" applyAlignment="0" applyProtection="0">
      <alignment vertical="center"/>
    </xf>
    <xf numFmtId="0" fontId="165" fillId="22" borderId="313" applyNumberFormat="0" applyAlignment="0" applyProtection="0">
      <alignment vertical="center"/>
    </xf>
    <xf numFmtId="0" fontId="165" fillId="22" borderId="313" applyNumberFormat="0" applyAlignment="0" applyProtection="0">
      <alignment vertical="center"/>
    </xf>
    <xf numFmtId="0" fontId="165" fillId="22" borderId="313" applyNumberFormat="0" applyAlignment="0" applyProtection="0">
      <alignment vertical="center"/>
    </xf>
    <xf numFmtId="185" fontId="235" fillId="0" borderId="306"/>
    <xf numFmtId="0" fontId="57" fillId="28" borderId="351" applyNumberFormat="0" applyFont="0" applyAlignment="0" applyProtection="0">
      <alignment vertical="center"/>
    </xf>
    <xf numFmtId="0" fontId="57" fillId="28" borderId="351" applyNumberFormat="0" applyFont="0" applyAlignment="0" applyProtection="0">
      <alignment vertical="center"/>
    </xf>
    <xf numFmtId="0" fontId="57" fillId="28" borderId="351" applyNumberFormat="0" applyFont="0" applyAlignment="0" applyProtection="0">
      <alignment vertical="center"/>
    </xf>
    <xf numFmtId="0" fontId="57" fillId="28" borderId="351" applyNumberFormat="0" applyFont="0" applyAlignment="0" applyProtection="0">
      <alignment vertical="center"/>
    </xf>
    <xf numFmtId="0" fontId="6" fillId="28" borderId="351" applyNumberFormat="0" applyFon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0" fontId="153" fillId="22" borderId="350" applyNumberFormat="0" applyAlignment="0" applyProtection="0">
      <alignment vertical="center"/>
    </xf>
    <xf numFmtId="234" fontId="117" fillId="0" borderId="354">
      <alignment vertical="center"/>
    </xf>
    <xf numFmtId="234" fontId="117" fillId="0" borderId="354">
      <alignment vertical="center"/>
    </xf>
    <xf numFmtId="3" fontId="57" fillId="0" borderId="354"/>
    <xf numFmtId="241" fontId="6" fillId="0" borderId="342">
      <alignment horizontal="right" vertical="center"/>
    </xf>
    <xf numFmtId="241" fontId="6" fillId="0" borderId="342">
      <alignment horizontal="right" vertical="center"/>
    </xf>
    <xf numFmtId="241" fontId="6" fillId="0" borderId="342">
      <alignment horizontal="right" vertical="center"/>
    </xf>
    <xf numFmtId="37" fontId="117" fillId="0" borderId="342">
      <alignment horizontal="center" vertical="distributed"/>
    </xf>
    <xf numFmtId="238" fontId="6" fillId="0" borderId="342">
      <alignment vertical="center"/>
    </xf>
    <xf numFmtId="238" fontId="6" fillId="0" borderId="342">
      <alignment vertical="center"/>
    </xf>
    <xf numFmtId="0" fontId="232" fillId="0" borderId="318" applyFont="0" applyFill="0" applyBorder="0" applyAlignment="0" applyProtection="0">
      <alignment horizontal="centerContinuous" vertical="center"/>
    </xf>
    <xf numFmtId="0" fontId="159" fillId="0" borderId="328" applyNumberFormat="0" applyFill="0" applyAlignment="0" applyProtection="0">
      <alignment vertical="center"/>
    </xf>
    <xf numFmtId="0" fontId="159" fillId="0" borderId="328" applyNumberFormat="0" applyFill="0" applyAlignment="0" applyProtection="0">
      <alignment vertical="center"/>
    </xf>
    <xf numFmtId="0" fontId="159" fillId="0" borderId="328" applyNumberFormat="0" applyFill="0" applyAlignment="0" applyProtection="0">
      <alignment vertical="center"/>
    </xf>
    <xf numFmtId="0" fontId="159" fillId="0" borderId="328" applyNumberFormat="0" applyFill="0" applyAlignment="0" applyProtection="0">
      <alignment vertical="center"/>
    </xf>
    <xf numFmtId="0" fontId="159" fillId="0" borderId="328" applyNumberFormat="0" applyFill="0" applyAlignment="0" applyProtection="0">
      <alignment vertical="center"/>
    </xf>
    <xf numFmtId="0" fontId="159" fillId="0" borderId="328" applyNumberFormat="0" applyFill="0" applyAlignment="0" applyProtection="0">
      <alignment vertical="center"/>
    </xf>
    <xf numFmtId="250" fontId="117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49" fontId="6" fillId="0" borderId="330">
      <alignment vertical="center"/>
    </xf>
    <xf numFmtId="249" fontId="6" fillId="0" borderId="330">
      <alignment vertical="center"/>
    </xf>
    <xf numFmtId="249" fontId="6" fillId="0" borderId="330">
      <alignment vertical="center"/>
    </xf>
    <xf numFmtId="249" fontId="6" fillId="0" borderId="330">
      <alignment vertical="center"/>
    </xf>
    <xf numFmtId="249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18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200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0" fontId="6" fillId="0" borderId="330">
      <alignment vertical="center"/>
    </xf>
    <xf numFmtId="0" fontId="6" fillId="0" borderId="330">
      <alignment vertical="center"/>
    </xf>
    <xf numFmtId="0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176" fontId="6" fillId="0" borderId="330">
      <alignment vertical="center"/>
    </xf>
    <xf numFmtId="246" fontId="117" fillId="0" borderId="330">
      <alignment vertical="center"/>
    </xf>
    <xf numFmtId="49" fontId="60" fillId="0" borderId="323" applyNumberFormat="0" applyAlignment="0"/>
    <xf numFmtId="0" fontId="160" fillId="12" borderId="326" applyNumberFormat="0" applyAlignment="0" applyProtection="0">
      <alignment vertical="center"/>
    </xf>
    <xf numFmtId="0" fontId="160" fillId="12" borderId="326" applyNumberFormat="0" applyAlignment="0" applyProtection="0">
      <alignment vertical="center"/>
    </xf>
    <xf numFmtId="0" fontId="160" fillId="12" borderId="326" applyNumberFormat="0" applyAlignment="0" applyProtection="0">
      <alignment vertical="center"/>
    </xf>
    <xf numFmtId="0" fontId="160" fillId="12" borderId="326" applyNumberFormat="0" applyAlignment="0" applyProtection="0">
      <alignment vertical="center"/>
    </xf>
    <xf numFmtId="0" fontId="160" fillId="12" borderId="326" applyNumberFormat="0" applyAlignment="0" applyProtection="0">
      <alignment vertical="center"/>
    </xf>
    <xf numFmtId="0" fontId="160" fillId="12" borderId="326" applyNumberFormat="0" applyAlignment="0" applyProtection="0">
      <alignment vertical="center"/>
    </xf>
    <xf numFmtId="238" fontId="6" fillId="0" borderId="330">
      <alignment vertical="center"/>
    </xf>
    <xf numFmtId="238" fontId="6" fillId="0" borderId="330">
      <alignment vertical="center"/>
    </xf>
    <xf numFmtId="238" fontId="6" fillId="0" borderId="330">
      <alignment vertical="center"/>
    </xf>
    <xf numFmtId="238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7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6" fontId="6" fillId="0" borderId="330">
      <alignment vertical="center"/>
    </xf>
    <xf numFmtId="235" fontId="117" fillId="0" borderId="330">
      <alignment vertical="center"/>
    </xf>
    <xf numFmtId="0" fontId="165" fillId="22" borderId="325" applyNumberFormat="0" applyAlignment="0" applyProtection="0">
      <alignment vertical="center"/>
    </xf>
    <xf numFmtId="0" fontId="165" fillId="22" borderId="325" applyNumberFormat="0" applyAlignment="0" applyProtection="0">
      <alignment vertical="center"/>
    </xf>
    <xf numFmtId="0" fontId="165" fillId="22" borderId="325" applyNumberFormat="0" applyAlignment="0" applyProtection="0">
      <alignment vertical="center"/>
    </xf>
    <xf numFmtId="0" fontId="165" fillId="22" borderId="325" applyNumberFormat="0" applyAlignment="0" applyProtection="0">
      <alignment vertical="center"/>
    </xf>
    <xf numFmtId="0" fontId="165" fillId="22" borderId="325" applyNumberFormat="0" applyAlignment="0" applyProtection="0">
      <alignment vertical="center"/>
    </xf>
    <xf numFmtId="0" fontId="165" fillId="22" borderId="325" applyNumberFormat="0" applyAlignment="0" applyProtection="0">
      <alignment vertical="center"/>
    </xf>
    <xf numFmtId="185" fontId="235" fillId="0" borderId="318"/>
    <xf numFmtId="0" fontId="232" fillId="0" borderId="330" applyFont="0" applyFill="0" applyBorder="0" applyAlignment="0" applyProtection="0">
      <alignment horizontal="centerContinuous" vertical="center"/>
    </xf>
    <xf numFmtId="0" fontId="159" fillId="0" borderId="340" applyNumberFormat="0" applyFill="0" applyAlignment="0" applyProtection="0">
      <alignment vertical="center"/>
    </xf>
    <xf numFmtId="0" fontId="159" fillId="0" borderId="340" applyNumberFormat="0" applyFill="0" applyAlignment="0" applyProtection="0">
      <alignment vertical="center"/>
    </xf>
    <xf numFmtId="0" fontId="159" fillId="0" borderId="340" applyNumberFormat="0" applyFill="0" applyAlignment="0" applyProtection="0">
      <alignment vertical="center"/>
    </xf>
    <xf numFmtId="0" fontId="159" fillId="0" borderId="340" applyNumberFormat="0" applyFill="0" applyAlignment="0" applyProtection="0">
      <alignment vertical="center"/>
    </xf>
    <xf numFmtId="0" fontId="159" fillId="0" borderId="340" applyNumberFormat="0" applyFill="0" applyAlignment="0" applyProtection="0">
      <alignment vertical="center"/>
    </xf>
    <xf numFmtId="0" fontId="159" fillId="0" borderId="340" applyNumberFormat="0" applyFill="0" applyAlignment="0" applyProtection="0">
      <alignment vertical="center"/>
    </xf>
    <xf numFmtId="250" fontId="117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49" fontId="6" fillId="0" borderId="342">
      <alignment vertical="center"/>
    </xf>
    <xf numFmtId="249" fontId="6" fillId="0" borderId="342">
      <alignment vertical="center"/>
    </xf>
    <xf numFmtId="249" fontId="6" fillId="0" borderId="342">
      <alignment vertical="center"/>
    </xf>
    <xf numFmtId="249" fontId="6" fillId="0" borderId="342">
      <alignment vertical="center"/>
    </xf>
    <xf numFmtId="249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18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200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0" fontId="6" fillId="0" borderId="342">
      <alignment vertical="center"/>
    </xf>
    <xf numFmtId="0" fontId="6" fillId="0" borderId="342">
      <alignment vertical="center"/>
    </xf>
    <xf numFmtId="0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176" fontId="6" fillId="0" borderId="342">
      <alignment vertical="center"/>
    </xf>
    <xf numFmtId="246" fontId="117" fillId="0" borderId="342">
      <alignment vertical="center"/>
    </xf>
    <xf numFmtId="49" fontId="60" fillId="0" borderId="335" applyNumberFormat="0" applyAlignment="0"/>
    <xf numFmtId="0" fontId="160" fillId="12" borderId="338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0" fontId="160" fillId="12" borderId="338" applyNumberFormat="0" applyAlignment="0" applyProtection="0">
      <alignment vertical="center"/>
    </xf>
    <xf numFmtId="238" fontId="6" fillId="0" borderId="342">
      <alignment vertical="center"/>
    </xf>
    <xf numFmtId="238" fontId="6" fillId="0" borderId="342">
      <alignment vertical="center"/>
    </xf>
    <xf numFmtId="238" fontId="6" fillId="0" borderId="342">
      <alignment vertical="center"/>
    </xf>
    <xf numFmtId="238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7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6" fontId="6" fillId="0" borderId="342">
      <alignment vertical="center"/>
    </xf>
    <xf numFmtId="235" fontId="117" fillId="0" borderId="342">
      <alignment vertical="center"/>
    </xf>
    <xf numFmtId="0" fontId="165" fillId="22" borderId="337" applyNumberFormat="0" applyAlignment="0" applyProtection="0">
      <alignment vertical="center"/>
    </xf>
    <xf numFmtId="0" fontId="165" fillId="22" borderId="337" applyNumberFormat="0" applyAlignment="0" applyProtection="0">
      <alignment vertical="center"/>
    </xf>
    <xf numFmtId="0" fontId="165" fillId="22" borderId="337" applyNumberFormat="0" applyAlignment="0" applyProtection="0">
      <alignment vertical="center"/>
    </xf>
    <xf numFmtId="0" fontId="165" fillId="22" borderId="337" applyNumberFormat="0" applyAlignment="0" applyProtection="0">
      <alignment vertical="center"/>
    </xf>
    <xf numFmtId="0" fontId="165" fillId="22" borderId="337" applyNumberFormat="0" applyAlignment="0" applyProtection="0">
      <alignment vertical="center"/>
    </xf>
    <xf numFmtId="0" fontId="165" fillId="22" borderId="337" applyNumberFormat="0" applyAlignment="0" applyProtection="0">
      <alignment vertical="center"/>
    </xf>
    <xf numFmtId="185" fontId="235" fillId="0" borderId="330"/>
    <xf numFmtId="0" fontId="232" fillId="0" borderId="342" applyFont="0" applyFill="0" applyBorder="0" applyAlignment="0" applyProtection="0">
      <alignment horizontal="centerContinuous" vertical="center"/>
    </xf>
    <xf numFmtId="0" fontId="159" fillId="0" borderId="352" applyNumberFormat="0" applyFill="0" applyAlignment="0" applyProtection="0">
      <alignment vertical="center"/>
    </xf>
    <xf numFmtId="0" fontId="159" fillId="0" borderId="352" applyNumberFormat="0" applyFill="0" applyAlignment="0" applyProtection="0">
      <alignment vertical="center"/>
    </xf>
    <xf numFmtId="0" fontId="159" fillId="0" borderId="352" applyNumberFormat="0" applyFill="0" applyAlignment="0" applyProtection="0">
      <alignment vertical="center"/>
    </xf>
    <xf numFmtId="0" fontId="159" fillId="0" borderId="352" applyNumberFormat="0" applyFill="0" applyAlignment="0" applyProtection="0">
      <alignment vertical="center"/>
    </xf>
    <xf numFmtId="0" fontId="159" fillId="0" borderId="352" applyNumberFormat="0" applyFill="0" applyAlignment="0" applyProtection="0">
      <alignment vertical="center"/>
    </xf>
    <xf numFmtId="0" fontId="159" fillId="0" borderId="352" applyNumberFormat="0" applyFill="0" applyAlignment="0" applyProtection="0">
      <alignment vertical="center"/>
    </xf>
    <xf numFmtId="49" fontId="60" fillId="0" borderId="347" applyNumberFormat="0" applyAlignment="0"/>
    <xf numFmtId="0" fontId="160" fillId="12" borderId="350" applyNumberFormat="0" applyAlignment="0" applyProtection="0">
      <alignment vertical="center"/>
    </xf>
    <xf numFmtId="0" fontId="160" fillId="12" borderId="350" applyNumberFormat="0" applyAlignment="0" applyProtection="0">
      <alignment vertical="center"/>
    </xf>
    <xf numFmtId="0" fontId="160" fillId="12" borderId="350" applyNumberFormat="0" applyAlignment="0" applyProtection="0">
      <alignment vertical="center"/>
    </xf>
    <xf numFmtId="0" fontId="160" fillId="12" borderId="350" applyNumberFormat="0" applyAlignment="0" applyProtection="0">
      <alignment vertical="center"/>
    </xf>
    <xf numFmtId="0" fontId="160" fillId="12" borderId="350" applyNumberFormat="0" applyAlignment="0" applyProtection="0">
      <alignment vertical="center"/>
    </xf>
    <xf numFmtId="0" fontId="160" fillId="12" borderId="350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0" fontId="165" fillId="22" borderId="349" applyNumberFormat="0" applyAlignment="0" applyProtection="0">
      <alignment vertical="center"/>
    </xf>
    <xf numFmtId="185" fontId="235" fillId="0" borderId="342"/>
    <xf numFmtId="193" fontId="23" fillId="0" borderId="0">
      <protection locked="0"/>
    </xf>
    <xf numFmtId="0" fontId="50" fillId="3" borderId="355">
      <alignment vertical="center"/>
    </xf>
    <xf numFmtId="3" fontId="57" fillId="0" borderId="382"/>
    <xf numFmtId="3" fontId="57" fillId="0" borderId="382"/>
    <xf numFmtId="3" fontId="57" fillId="0" borderId="382"/>
    <xf numFmtId="0" fontId="82" fillId="0" borderId="382"/>
    <xf numFmtId="10" fontId="39" fillId="4" borderId="382" applyNumberFormat="0" applyBorder="0" applyAlignment="0" applyProtection="0"/>
    <xf numFmtId="0" fontId="11" fillId="0" borderId="382" applyNumberFormat="0" applyFont="0" applyFill="0" applyAlignment="0" applyProtection="0">
      <alignment horizontal="center" vertical="center"/>
    </xf>
    <xf numFmtId="3" fontId="56" fillId="0" borderId="382"/>
    <xf numFmtId="0" fontId="56" fillId="0" borderId="382"/>
    <xf numFmtId="0" fontId="92" fillId="0" borderId="382"/>
    <xf numFmtId="3" fontId="6" fillId="0" borderId="382"/>
    <xf numFmtId="185" fontId="9" fillId="0" borderId="382">
      <alignment horizontal="center" vertical="center"/>
    </xf>
    <xf numFmtId="200" fontId="77" fillId="0" borderId="382">
      <alignment vertical="center"/>
    </xf>
    <xf numFmtId="0" fontId="6" fillId="0" borderId="382" applyNumberFormat="0" applyFill="0" applyProtection="0">
      <alignment vertical="center"/>
    </xf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185" fontId="8" fillId="0" borderId="382">
      <alignment vertical="center"/>
    </xf>
    <xf numFmtId="185" fontId="8" fillId="0" borderId="382">
      <alignment vertical="center"/>
    </xf>
    <xf numFmtId="185" fontId="8" fillId="0" borderId="382">
      <alignment vertical="center"/>
    </xf>
    <xf numFmtId="185" fontId="8" fillId="0" borderId="382">
      <alignment vertical="center"/>
    </xf>
    <xf numFmtId="185" fontId="8" fillId="0" borderId="382">
      <alignment vertical="center"/>
    </xf>
    <xf numFmtId="185" fontId="8" fillId="0" borderId="382">
      <alignment vertical="center"/>
    </xf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3" fontId="57" fillId="0" borderId="382"/>
    <xf numFmtId="0" fontId="82" fillId="0" borderId="382"/>
    <xf numFmtId="10" fontId="39" fillId="2" borderId="382" applyNumberFormat="0" applyBorder="0" applyAlignment="0" applyProtection="0"/>
    <xf numFmtId="10" fontId="39" fillId="2" borderId="382" applyNumberFormat="0" applyBorder="0" applyAlignment="0" applyProtection="0"/>
    <xf numFmtId="10" fontId="39" fillId="2" borderId="382" applyNumberFormat="0" applyBorder="0" applyAlignment="0" applyProtection="0"/>
    <xf numFmtId="10" fontId="39" fillId="2" borderId="382" applyNumberFormat="0" applyBorder="0" applyAlignment="0" applyProtection="0"/>
    <xf numFmtId="10" fontId="39" fillId="2" borderId="382" applyNumberFormat="0" applyBorder="0" applyAlignment="0" applyProtection="0"/>
    <xf numFmtId="10" fontId="39" fillId="4" borderId="382" applyNumberFormat="0" applyBorder="0" applyAlignment="0" applyProtection="0"/>
    <xf numFmtId="234" fontId="117" fillId="0" borderId="382">
      <alignment vertical="center"/>
    </xf>
    <xf numFmtId="234" fontId="117" fillId="0" borderId="382">
      <alignment vertical="center"/>
    </xf>
    <xf numFmtId="234" fontId="117" fillId="0" borderId="382">
      <alignment vertical="center"/>
    </xf>
    <xf numFmtId="234" fontId="117" fillId="0" borderId="382">
      <alignment vertical="center"/>
    </xf>
    <xf numFmtId="234" fontId="117" fillId="0" borderId="382">
      <alignment vertical="center"/>
    </xf>
    <xf numFmtId="234" fontId="117" fillId="0" borderId="382">
      <alignment vertical="center"/>
    </xf>
    <xf numFmtId="239" fontId="117" fillId="0" borderId="382">
      <alignment horizontal="right" vertical="center"/>
    </xf>
    <xf numFmtId="239" fontId="117" fillId="0" borderId="382">
      <alignment horizontal="right" vertical="center"/>
    </xf>
    <xf numFmtId="239" fontId="117" fillId="0" borderId="382">
      <alignment horizontal="right" vertical="center"/>
    </xf>
    <xf numFmtId="239" fontId="117" fillId="0" borderId="382">
      <alignment horizontal="right" vertical="center"/>
    </xf>
    <xf numFmtId="239" fontId="117" fillId="0" borderId="382">
      <alignment horizontal="right" vertical="center"/>
    </xf>
    <xf numFmtId="239" fontId="117" fillId="0" borderId="382">
      <alignment horizontal="right" vertical="center"/>
    </xf>
    <xf numFmtId="243" fontId="117" fillId="0" borderId="382">
      <alignment vertical="center"/>
    </xf>
    <xf numFmtId="243" fontId="117" fillId="0" borderId="382">
      <alignment vertical="center"/>
    </xf>
    <xf numFmtId="243" fontId="117" fillId="0" borderId="382">
      <alignment vertical="center"/>
    </xf>
    <xf numFmtId="243" fontId="117" fillId="0" borderId="382">
      <alignment vertical="center"/>
    </xf>
    <xf numFmtId="243" fontId="117" fillId="0" borderId="382">
      <alignment vertical="center"/>
    </xf>
    <xf numFmtId="243" fontId="117" fillId="0" borderId="382">
      <alignment vertical="center"/>
    </xf>
    <xf numFmtId="244" fontId="117" fillId="0" borderId="382">
      <alignment vertical="center"/>
    </xf>
    <xf numFmtId="244" fontId="117" fillId="0" borderId="382">
      <alignment vertical="center"/>
    </xf>
    <xf numFmtId="244" fontId="117" fillId="0" borderId="382">
      <alignment vertical="center"/>
    </xf>
    <xf numFmtId="244" fontId="117" fillId="0" borderId="382">
      <alignment vertical="center"/>
    </xf>
    <xf numFmtId="244" fontId="117" fillId="0" borderId="382">
      <alignment vertical="center"/>
    </xf>
    <xf numFmtId="244" fontId="117" fillId="0" borderId="382">
      <alignment vertical="center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0" fontId="6" fillId="0" borderId="382">
      <alignment horizontal="right" vertical="center" shrinkToFit="1"/>
    </xf>
    <xf numFmtId="41" fontId="56" fillId="0" borderId="382" applyNumberFormat="0" applyFont="0" applyFill="0" applyBorder="0" applyProtection="0">
      <alignment horizontal="distributed"/>
    </xf>
    <xf numFmtId="41" fontId="56" fillId="0" borderId="382" applyNumberFormat="0" applyFont="0" applyFill="0" applyBorder="0" applyProtection="0">
      <alignment horizontal="distributed"/>
    </xf>
    <xf numFmtId="41" fontId="56" fillId="0" borderId="382" applyNumberFormat="0" applyFont="0" applyFill="0" applyBorder="0" applyProtection="0">
      <alignment horizontal="distributed"/>
    </xf>
    <xf numFmtId="41" fontId="56" fillId="0" borderId="382" applyNumberFormat="0" applyFont="0" applyFill="0" applyBorder="0" applyProtection="0">
      <alignment horizontal="distributed"/>
    </xf>
    <xf numFmtId="41" fontId="56" fillId="0" borderId="382" applyNumberFormat="0" applyFont="0" applyFill="0" applyBorder="0" applyProtection="0">
      <alignment horizontal="distributed"/>
    </xf>
    <xf numFmtId="41" fontId="56" fillId="0" borderId="382" applyNumberFormat="0" applyFont="0" applyFill="0" applyBorder="0" applyProtection="0">
      <alignment horizontal="distributed"/>
    </xf>
    <xf numFmtId="3" fontId="56" fillId="0" borderId="382"/>
    <xf numFmtId="3" fontId="56" fillId="0" borderId="382"/>
    <xf numFmtId="3" fontId="56" fillId="0" borderId="382"/>
    <xf numFmtId="3" fontId="56" fillId="0" borderId="382"/>
    <xf numFmtId="3" fontId="56" fillId="0" borderId="382"/>
    <xf numFmtId="3" fontId="56" fillId="0" borderId="382"/>
    <xf numFmtId="0" fontId="56" fillId="0" borderId="382"/>
    <xf numFmtId="0" fontId="56" fillId="0" borderId="382"/>
    <xf numFmtId="0" fontId="56" fillId="0" borderId="382"/>
    <xf numFmtId="0" fontId="56" fillId="0" borderId="382"/>
    <xf numFmtId="0" fontId="56" fillId="0" borderId="382"/>
    <xf numFmtId="0" fontId="56" fillId="0" borderId="382"/>
    <xf numFmtId="0" fontId="92" fillId="0" borderId="382"/>
    <xf numFmtId="0" fontId="92" fillId="0" borderId="382"/>
    <xf numFmtId="0" fontId="92" fillId="0" borderId="382"/>
    <xf numFmtId="0" fontId="92" fillId="0" borderId="382"/>
    <xf numFmtId="0" fontId="92" fillId="0" borderId="382"/>
    <xf numFmtId="0" fontId="92" fillId="0" borderId="382"/>
    <xf numFmtId="256" fontId="117" fillId="0" borderId="382" applyBorder="0">
      <alignment vertical="center"/>
    </xf>
    <xf numFmtId="256" fontId="117" fillId="0" borderId="382" applyBorder="0">
      <alignment vertical="center"/>
    </xf>
    <xf numFmtId="256" fontId="117" fillId="0" borderId="382" applyBorder="0">
      <alignment vertical="center"/>
    </xf>
    <xf numFmtId="256" fontId="117" fillId="0" borderId="382" applyBorder="0">
      <alignment vertical="center"/>
    </xf>
    <xf numFmtId="256" fontId="117" fillId="0" borderId="382" applyBorder="0">
      <alignment vertical="center"/>
    </xf>
    <xf numFmtId="256" fontId="117" fillId="0" borderId="382" applyBorder="0">
      <alignment vertical="center"/>
    </xf>
    <xf numFmtId="0" fontId="9" fillId="0" borderId="382">
      <alignment horizontal="distributed" vertical="center"/>
    </xf>
    <xf numFmtId="0" fontId="9" fillId="0" borderId="382">
      <alignment horizontal="distributed" vertical="center"/>
    </xf>
    <xf numFmtId="0" fontId="9" fillId="0" borderId="382">
      <alignment horizontal="distributed" vertical="center"/>
    </xf>
    <xf numFmtId="0" fontId="9" fillId="0" borderId="382">
      <alignment horizontal="distributed" vertical="center"/>
    </xf>
    <xf numFmtId="0" fontId="9" fillId="0" borderId="382">
      <alignment horizontal="distributed" vertical="center"/>
    </xf>
    <xf numFmtId="0" fontId="9" fillId="0" borderId="382">
      <alignment horizontal="distributed" vertical="center"/>
    </xf>
    <xf numFmtId="185" fontId="9" fillId="0" borderId="382">
      <alignment horizontal="center" vertical="center"/>
    </xf>
    <xf numFmtId="338" fontId="19" fillId="0" borderId="382"/>
    <xf numFmtId="338" fontId="19" fillId="0" borderId="382"/>
    <xf numFmtId="338" fontId="19" fillId="0" borderId="382"/>
    <xf numFmtId="338" fontId="19" fillId="0" borderId="382"/>
    <xf numFmtId="338" fontId="19" fillId="0" borderId="382"/>
    <xf numFmtId="338" fontId="19" fillId="0" borderId="382"/>
    <xf numFmtId="0" fontId="2" fillId="0" borderId="0">
      <alignment vertical="center"/>
    </xf>
    <xf numFmtId="0" fontId="6" fillId="0" borderId="382" applyNumberFormat="0" applyFill="0" applyProtection="0">
      <alignment vertical="center"/>
    </xf>
    <xf numFmtId="203" fontId="176" fillId="0" borderId="383" applyFill="0" applyProtection="0">
      <alignment horizont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6" fontId="14" fillId="0" borderId="385"/>
    <xf numFmtId="0" fontId="54" fillId="28" borderId="388" applyNumberFormat="0" applyFont="0" applyAlignment="0" applyProtection="0">
      <alignment vertical="center"/>
    </xf>
    <xf numFmtId="10" fontId="39" fillId="4" borderId="382" applyNumberFormat="0" applyBorder="0" applyAlignment="0" applyProtection="0"/>
    <xf numFmtId="0" fontId="153" fillId="22" borderId="361" applyNumberFormat="0" applyAlignment="0" applyProtection="0">
      <alignment vertical="center"/>
    </xf>
    <xf numFmtId="0" fontId="153" fillId="22" borderId="361" applyNumberFormat="0" applyAlignment="0" applyProtection="0">
      <alignment vertical="center"/>
    </xf>
    <xf numFmtId="0" fontId="153" fillId="22" borderId="361" applyNumberFormat="0" applyAlignment="0" applyProtection="0">
      <alignment vertical="center"/>
    </xf>
    <xf numFmtId="0" fontId="153" fillId="22" borderId="361" applyNumberFormat="0" applyAlignment="0" applyProtection="0">
      <alignment vertical="center"/>
    </xf>
    <xf numFmtId="0" fontId="153" fillId="22" borderId="361" applyNumberFormat="0" applyAlignment="0" applyProtection="0">
      <alignment vertical="center"/>
    </xf>
    <xf numFmtId="0" fontId="153" fillId="22" borderId="361" applyNumberFormat="0" applyAlignment="0" applyProtection="0">
      <alignment vertical="center"/>
    </xf>
    <xf numFmtId="0" fontId="6" fillId="28" borderId="362" applyNumberFormat="0" applyFont="0" applyAlignment="0" applyProtection="0">
      <alignment vertical="center"/>
    </xf>
    <xf numFmtId="0" fontId="57" fillId="28" borderId="362" applyNumberFormat="0" applyFont="0" applyAlignment="0" applyProtection="0">
      <alignment vertical="center"/>
    </xf>
    <xf numFmtId="0" fontId="57" fillId="28" borderId="362" applyNumberFormat="0" applyFont="0" applyAlignment="0" applyProtection="0">
      <alignment vertical="center"/>
    </xf>
    <xf numFmtId="0" fontId="57" fillId="28" borderId="362" applyNumberFormat="0" applyFont="0" applyAlignment="0" applyProtection="0">
      <alignment vertical="center"/>
    </xf>
    <xf numFmtId="0" fontId="57" fillId="28" borderId="362" applyNumberFormat="0" applyFont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59" fillId="0" borderId="363" applyNumberFormat="0" applyFill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0" fillId="12" borderId="361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0" fontId="165" fillId="22" borderId="360" applyNumberFormat="0" applyAlignment="0" applyProtection="0">
      <alignment vertical="center"/>
    </xf>
    <xf numFmtId="218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92">
      <alignment horizontal="centerContinuous" vertical="center"/>
    </xf>
    <xf numFmtId="338" fontId="19" fillId="0" borderId="208"/>
    <xf numFmtId="256" fontId="117" fillId="0" borderId="208" applyBorder="0">
      <alignment vertical="center"/>
    </xf>
    <xf numFmtId="221" fontId="117" fillId="0" borderId="382">
      <alignment vertical="center"/>
    </xf>
    <xf numFmtId="3" fontId="57" fillId="0" borderId="208"/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0" fontId="41" fillId="0" borderId="355">
      <alignment horizontal="left" vertical="center"/>
    </xf>
    <xf numFmtId="218" fontId="9" fillId="0" borderId="356">
      <alignment horizontal="centerContinuous" vertical="center"/>
    </xf>
    <xf numFmtId="0" fontId="153" fillId="22" borderId="387" applyNumberFormat="0" applyAlignment="0" applyProtection="0">
      <alignment vertical="center"/>
    </xf>
    <xf numFmtId="0" fontId="186" fillId="0" borderId="208" applyProtection="0">
      <alignment vertical="center"/>
    </xf>
    <xf numFmtId="256" fontId="117" fillId="0" borderId="208" applyBorder="0">
      <alignment vertical="center"/>
    </xf>
    <xf numFmtId="176" fontId="6" fillId="0" borderId="208">
      <alignment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218" fontId="9" fillId="0" borderId="392">
      <alignment horizontal="centerContinuous" vertical="center"/>
    </xf>
    <xf numFmtId="0" fontId="117" fillId="0" borderId="392">
      <alignment horizontal="centerContinuous" vertical="center"/>
    </xf>
    <xf numFmtId="10" fontId="39" fillId="4" borderId="390" applyNumberFormat="0" applyBorder="0" applyAlignment="0" applyProtection="0"/>
    <xf numFmtId="0" fontId="56" fillId="0" borderId="208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42" fontId="6" fillId="0" borderId="208">
      <alignment horizontal="right" vertical="center"/>
    </xf>
    <xf numFmtId="237" fontId="6" fillId="0" borderId="208">
      <alignment vertical="center"/>
    </xf>
    <xf numFmtId="0" fontId="184" fillId="0" borderId="208" applyFill="0" applyBorder="0" applyProtection="0">
      <alignment vertical="center"/>
    </xf>
    <xf numFmtId="185" fontId="8" fillId="0" borderId="208">
      <alignment vertical="center"/>
    </xf>
    <xf numFmtId="0" fontId="94" fillId="0" borderId="356">
      <alignment horizontal="centerContinuous" vertical="center"/>
    </xf>
    <xf numFmtId="191" fontId="6" fillId="0" borderId="208">
      <alignment vertical="center"/>
    </xf>
    <xf numFmtId="0" fontId="94" fillId="0" borderId="356">
      <alignment horizontal="centerContinuous" vertical="center"/>
    </xf>
    <xf numFmtId="242" fontId="6" fillId="0" borderId="208">
      <alignment horizontal="right" vertical="center"/>
    </xf>
    <xf numFmtId="191" fontId="6" fillId="0" borderId="208">
      <alignment vertical="center"/>
    </xf>
    <xf numFmtId="191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322" fontId="9" fillId="0" borderId="356">
      <alignment horizontal="centerContinuous" vertical="center"/>
    </xf>
    <xf numFmtId="0" fontId="184" fillId="0" borderId="208" applyFill="0" applyBorder="0" applyProtection="0">
      <alignment vertical="center"/>
    </xf>
    <xf numFmtId="20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48" fontId="117" fillId="0" borderId="208">
      <alignment vertical="center"/>
    </xf>
    <xf numFmtId="0" fontId="9" fillId="0" borderId="208">
      <alignment horizontal="distributed" vertical="center"/>
    </xf>
    <xf numFmtId="246" fontId="117" fillId="0" borderId="208">
      <alignment vertical="center"/>
    </xf>
    <xf numFmtId="191" fontId="6" fillId="0" borderId="208">
      <alignment vertical="center"/>
    </xf>
    <xf numFmtId="0" fontId="50" fillId="3" borderId="355">
      <alignment vertical="center"/>
    </xf>
    <xf numFmtId="37" fontId="117" fillId="0" borderId="208">
      <alignment horizontal="center" vertical="distributed"/>
    </xf>
    <xf numFmtId="242" fontId="6" fillId="0" borderId="208">
      <alignment horizontal="right" vertical="center"/>
    </xf>
    <xf numFmtId="0" fontId="56" fillId="0" borderId="208"/>
    <xf numFmtId="0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240" fontId="6" fillId="0" borderId="208">
      <alignment horizontal="right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18" fontId="6" fillId="0" borderId="208">
      <alignment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38" fontId="6" fillId="0" borderId="208">
      <alignment vertical="center"/>
    </xf>
    <xf numFmtId="10" fontId="39" fillId="2" borderId="390" applyNumberFormat="0" applyBorder="0" applyAlignment="0" applyProtection="0"/>
    <xf numFmtId="200" fontId="6" fillId="0" borderId="208">
      <alignment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3" fontId="57" fillId="0" borderId="208"/>
    <xf numFmtId="3" fontId="57" fillId="0" borderId="208"/>
    <xf numFmtId="240" fontId="6" fillId="0" borderId="208">
      <alignment horizontal="right" vertical="center"/>
    </xf>
    <xf numFmtId="0" fontId="186" fillId="0" borderId="208" applyProtection="0">
      <alignment vertical="center"/>
    </xf>
    <xf numFmtId="0" fontId="6" fillId="0" borderId="208" applyNumberFormat="0" applyFill="0" applyProtection="0">
      <alignment vertical="center"/>
    </xf>
    <xf numFmtId="0" fontId="6" fillId="0" borderId="208" applyNumberFormat="0" applyFill="0" applyProtection="0">
      <alignment vertical="center"/>
    </xf>
    <xf numFmtId="0" fontId="50" fillId="3" borderId="391">
      <alignment vertical="center"/>
    </xf>
    <xf numFmtId="3" fontId="57" fillId="0" borderId="208"/>
    <xf numFmtId="0" fontId="56" fillId="0" borderId="208"/>
    <xf numFmtId="185" fontId="8" fillId="0" borderId="208">
      <alignment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4" fontId="117" fillId="0" borderId="208">
      <alignment vertical="center"/>
    </xf>
    <xf numFmtId="0" fontId="153" fillId="22" borderId="387" applyNumberFormat="0" applyAlignment="0" applyProtection="0">
      <alignment vertical="center"/>
    </xf>
    <xf numFmtId="240" fontId="6" fillId="0" borderId="208">
      <alignment horizontal="right" vertical="center"/>
    </xf>
    <xf numFmtId="0" fontId="185" fillId="22" borderId="386" applyNumberFormat="0" applyAlignment="0" applyProtection="0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117" fillId="0" borderId="356">
      <alignment horizontal="centerContinuous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40" fontId="6" fillId="0" borderId="208">
      <alignment horizontal="right" vertical="center"/>
    </xf>
    <xf numFmtId="0" fontId="153" fillId="22" borderId="387" applyNumberFormat="0" applyAlignment="0" applyProtection="0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50" fillId="3" borderId="355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322" fontId="9" fillId="0" borderId="356">
      <alignment horizontal="centerContinuous" vertical="center"/>
    </xf>
    <xf numFmtId="256" fontId="117" fillId="0" borderId="208" applyBorder="0">
      <alignment vertical="center"/>
    </xf>
    <xf numFmtId="240" fontId="6" fillId="0" borderId="208">
      <alignment horizontal="right"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0" fontId="9" fillId="0" borderId="357">
      <alignment horizontal="distributed"/>
    </xf>
    <xf numFmtId="338" fontId="19" fillId="0" borderId="208"/>
    <xf numFmtId="338" fontId="19" fillId="0" borderId="208"/>
    <xf numFmtId="240" fontId="6" fillId="0" borderId="208">
      <alignment horizontal="right" vertical="center"/>
    </xf>
    <xf numFmtId="236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40" fontId="6" fillId="0" borderId="208">
      <alignment horizontal="right" vertical="center"/>
    </xf>
    <xf numFmtId="3" fontId="57" fillId="0" borderId="208"/>
    <xf numFmtId="0" fontId="94" fillId="0" borderId="356">
      <alignment horizontal="centerContinuous" vertical="center"/>
    </xf>
    <xf numFmtId="191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28" fontId="117" fillId="0" borderId="353" applyBorder="0">
      <alignment vertical="center" wrapText="1"/>
    </xf>
    <xf numFmtId="237" fontId="6" fillId="0" borderId="208">
      <alignment vertical="center"/>
    </xf>
    <xf numFmtId="0" fontId="6" fillId="0" borderId="356">
      <alignment horizontal="centerContinuous" vertical="center"/>
    </xf>
    <xf numFmtId="231" fontId="117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2" fontId="6" fillId="0" borderId="208">
      <alignment horizontal="right"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3" fontId="57" fillId="0" borderId="208"/>
    <xf numFmtId="0" fontId="6" fillId="0" borderId="356">
      <alignment horizontal="centerContinuous" vertical="center"/>
    </xf>
    <xf numFmtId="200" fontId="6" fillId="0" borderId="208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218" fontId="9" fillId="0" borderId="356">
      <alignment horizontal="centerContinuous" vertical="center"/>
    </xf>
    <xf numFmtId="203" fontId="176" fillId="0" borderId="383" applyFill="0" applyProtection="0">
      <alignment horizont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6" fontId="14" fillId="0" borderId="385"/>
    <xf numFmtId="0" fontId="54" fillId="28" borderId="388" applyNumberFormat="0" applyFont="0" applyAlignment="0" applyProtection="0">
      <alignment vertical="center"/>
    </xf>
    <xf numFmtId="200" fontId="6" fillId="0" borderId="208">
      <alignment vertical="center"/>
    </xf>
    <xf numFmtId="0" fontId="224" fillId="0" borderId="356">
      <alignment horizontal="centerContinuous" vertical="center"/>
    </xf>
    <xf numFmtId="200" fontId="6" fillId="0" borderId="208">
      <alignment vertical="center"/>
    </xf>
    <xf numFmtId="0" fontId="153" fillId="22" borderId="387" applyNumberFormat="0" applyAlignment="0" applyProtection="0">
      <alignment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92" fillId="0" borderId="208"/>
    <xf numFmtId="0" fontId="92" fillId="0" borderId="208"/>
    <xf numFmtId="0" fontId="6" fillId="0" borderId="208">
      <alignment horizontal="right" vertical="center" shrinkToFit="1"/>
    </xf>
    <xf numFmtId="0" fontId="134" fillId="0" borderId="208">
      <alignment vertical="center"/>
    </xf>
    <xf numFmtId="3" fontId="57" fillId="0" borderId="208"/>
    <xf numFmtId="206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200" fontId="6" fillId="0" borderId="208">
      <alignment vertical="center"/>
    </xf>
    <xf numFmtId="238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17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176" fontId="6" fillId="0" borderId="208">
      <alignment vertical="center"/>
    </xf>
    <xf numFmtId="0" fontId="50" fillId="3" borderId="355">
      <alignment vertical="center"/>
    </xf>
    <xf numFmtId="0" fontId="94" fillId="0" borderId="356">
      <alignment horizontal="centerContinuous" vertical="center"/>
    </xf>
    <xf numFmtId="0" fontId="160" fillId="1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9" fillId="0" borderId="208">
      <alignment horizontal="distributed" vertical="center"/>
    </xf>
    <xf numFmtId="0" fontId="92" fillId="0" borderId="208"/>
    <xf numFmtId="0" fontId="186" fillId="0" borderId="208" applyProtection="0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6" fillId="0" borderId="208">
      <alignment horizontal="right" vertical="center" shrinkToFit="1"/>
    </xf>
    <xf numFmtId="234" fontId="117" fillId="0" borderId="208">
      <alignment vertical="center"/>
    </xf>
    <xf numFmtId="10" fontId="39" fillId="2" borderId="208" applyNumberFormat="0" applyBorder="0" applyAlignment="0" applyProtection="0"/>
    <xf numFmtId="3" fontId="57" fillId="0" borderId="208"/>
    <xf numFmtId="0" fontId="184" fillId="0" borderId="208" applyFill="0" applyBorder="0" applyProtection="0">
      <alignment vertical="center"/>
    </xf>
    <xf numFmtId="206" fontId="6" fillId="0" borderId="208">
      <alignment vertical="center"/>
    </xf>
    <xf numFmtId="0" fontId="117" fillId="0" borderId="392">
      <alignment horizontal="centerContinuous" vertical="center"/>
    </xf>
    <xf numFmtId="0" fontId="56" fillId="0" borderId="208"/>
    <xf numFmtId="256" fontId="117" fillId="0" borderId="208" applyBorder="0">
      <alignment vertical="center"/>
    </xf>
    <xf numFmtId="338" fontId="19" fillId="0" borderId="208"/>
    <xf numFmtId="322" fontId="9" fillId="0" borderId="356">
      <alignment horizontal="centerContinuous" vertical="center"/>
    </xf>
    <xf numFmtId="176" fontId="6" fillId="0" borderId="208">
      <alignment vertical="center"/>
    </xf>
    <xf numFmtId="206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6" fontId="6" fillId="0" borderId="208">
      <alignment vertical="center"/>
    </xf>
    <xf numFmtId="218" fontId="9" fillId="0" borderId="356">
      <alignment horizontal="centerContinuous" vertical="center"/>
    </xf>
    <xf numFmtId="3" fontId="57" fillId="0" borderId="208"/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3" fontId="56" fillId="0" borderId="208"/>
    <xf numFmtId="0" fontId="56" fillId="0" borderId="208"/>
    <xf numFmtId="0" fontId="92" fillId="0" borderId="208"/>
    <xf numFmtId="0" fontId="41" fillId="0" borderId="355">
      <alignment horizontal="left"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322" fontId="9" fillId="0" borderId="392">
      <alignment horizontal="centerContinuous" vertical="center"/>
    </xf>
    <xf numFmtId="257" fontId="117" fillId="0" borderId="208" applyBorder="0">
      <alignment horizontal="left" vertical="center"/>
    </xf>
    <xf numFmtId="0" fontId="41" fillId="0" borderId="355">
      <alignment horizontal="left" vertical="center"/>
    </xf>
    <xf numFmtId="236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30" fontId="6" fillId="0" borderId="208">
      <alignment vertical="center"/>
    </xf>
    <xf numFmtId="3" fontId="57" fillId="0" borderId="208"/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228" fontId="117" fillId="0" borderId="353" applyBorder="0">
      <alignment vertical="center" wrapText="1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238" fontId="6" fillId="0" borderId="208">
      <alignment vertical="center"/>
    </xf>
    <xf numFmtId="240" fontId="6" fillId="0" borderId="208">
      <alignment horizontal="right" vertical="center"/>
    </xf>
    <xf numFmtId="200" fontId="6" fillId="0" borderId="208">
      <alignment vertical="center"/>
    </xf>
    <xf numFmtId="0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242" fontId="6" fillId="0" borderId="208">
      <alignment horizontal="right" vertical="center"/>
    </xf>
    <xf numFmtId="0" fontId="186" fillId="0" borderId="208" applyProtection="0">
      <alignment vertical="center"/>
    </xf>
    <xf numFmtId="234" fontId="117" fillId="0" borderId="390">
      <alignment vertical="center"/>
    </xf>
    <xf numFmtId="37" fontId="117" fillId="0" borderId="208">
      <alignment horizontal="center" vertical="distributed"/>
    </xf>
    <xf numFmtId="10" fontId="39" fillId="2" borderId="208" applyNumberFormat="0" applyBorder="0" applyAlignment="0" applyProtection="0"/>
    <xf numFmtId="243" fontId="117" fillId="0" borderId="390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241" fontId="6" fillId="0" borderId="208">
      <alignment horizontal="right" vertical="center"/>
    </xf>
    <xf numFmtId="0" fontId="153" fillId="22" borderId="387" applyNumberFormat="0" applyAlignment="0" applyProtection="0">
      <alignment vertical="center"/>
    </xf>
    <xf numFmtId="3" fontId="57" fillId="0" borderId="208"/>
    <xf numFmtId="185" fontId="8" fillId="0" borderId="208">
      <alignment vertical="center"/>
    </xf>
    <xf numFmtId="250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56" fillId="0" borderId="208"/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390"/>
    <xf numFmtId="0" fontId="159" fillId="0" borderId="389" applyNumberFormat="0" applyFill="0" applyAlignment="0" applyProtection="0">
      <alignment vertical="center"/>
    </xf>
    <xf numFmtId="0" fontId="6" fillId="0" borderId="392">
      <alignment horizontal="centerContinuous" vertical="center"/>
    </xf>
    <xf numFmtId="221" fontId="117" fillId="0" borderId="208">
      <alignment vertical="center"/>
    </xf>
    <xf numFmtId="3" fontId="57" fillId="0" borderId="208"/>
    <xf numFmtId="236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3" fontId="57" fillId="0" borderId="208"/>
    <xf numFmtId="3" fontId="57" fillId="0" borderId="208"/>
    <xf numFmtId="0" fontId="82" fillId="0" borderId="208"/>
    <xf numFmtId="0" fontId="41" fillId="0" borderId="355">
      <alignment horizontal="left" vertical="center"/>
    </xf>
    <xf numFmtId="10" fontId="39" fillId="4" borderId="208" applyNumberFormat="0" applyBorder="0" applyAlignment="0" applyProtection="0"/>
    <xf numFmtId="0" fontId="50" fillId="3" borderId="355">
      <alignment vertical="center"/>
    </xf>
    <xf numFmtId="0" fontId="11" fillId="0" borderId="208" applyNumberFormat="0" applyFont="0" applyFill="0" applyAlignment="0" applyProtection="0">
      <alignment horizontal="center" vertical="center"/>
    </xf>
    <xf numFmtId="3" fontId="56" fillId="0" borderId="208"/>
    <xf numFmtId="0" fontId="56" fillId="0" borderId="208"/>
    <xf numFmtId="0" fontId="92" fillId="0" borderId="208"/>
    <xf numFmtId="0" fontId="50" fillId="3" borderId="355">
      <alignment vertical="center"/>
    </xf>
    <xf numFmtId="0" fontId="9" fillId="0" borderId="356">
      <alignment horizontal="centerContinuous" vertical="center"/>
    </xf>
    <xf numFmtId="0" fontId="6" fillId="0" borderId="208" applyNumberFormat="0" applyFill="0" applyProtection="0">
      <alignment vertical="center"/>
    </xf>
    <xf numFmtId="322" fontId="9" fillId="0" borderId="356">
      <alignment horizontal="centerContinuous"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36" fontId="6" fillId="0" borderId="208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185" fontId="9" fillId="0" borderId="208">
      <alignment horizontal="center" vertical="center"/>
    </xf>
    <xf numFmtId="338" fontId="19" fillId="0" borderId="208"/>
    <xf numFmtId="338" fontId="19" fillId="0" borderId="208"/>
    <xf numFmtId="338" fontId="19" fillId="0" borderId="208"/>
    <xf numFmtId="338" fontId="19" fillId="0" borderId="208"/>
    <xf numFmtId="338" fontId="19" fillId="0" borderId="208"/>
    <xf numFmtId="338" fontId="19" fillId="0" borderId="208"/>
    <xf numFmtId="3" fontId="57" fillId="0" borderId="390"/>
    <xf numFmtId="0" fontId="6" fillId="0" borderId="208" applyNumberFormat="0" applyFill="0" applyProtection="0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218" fontId="9" fillId="0" borderId="356">
      <alignment horizontal="centerContinuous" vertical="center"/>
    </xf>
    <xf numFmtId="203" fontId="176" fillId="0" borderId="383" applyFill="0" applyProtection="0">
      <alignment horizont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6" fontId="14" fillId="0" borderId="385"/>
    <xf numFmtId="0" fontId="54" fillId="28" borderId="388" applyNumberFormat="0" applyFont="0" applyAlignment="0" applyProtection="0">
      <alignment vertical="center"/>
    </xf>
    <xf numFmtId="0" fontId="224" fillId="0" borderId="356">
      <alignment horizontal="centerContinuous" vertical="center"/>
    </xf>
    <xf numFmtId="0" fontId="6" fillId="0" borderId="356">
      <alignment horizontal="centerContinuous" vertical="center"/>
    </xf>
    <xf numFmtId="206" fontId="6" fillId="0" borderId="208">
      <alignment vertical="center"/>
    </xf>
    <xf numFmtId="206" fontId="6" fillId="0" borderId="208">
      <alignment vertical="center"/>
    </xf>
    <xf numFmtId="241" fontId="6" fillId="0" borderId="208">
      <alignment horizontal="right" vertical="center"/>
    </xf>
    <xf numFmtId="242" fontId="6" fillId="0" borderId="208">
      <alignment horizontal="right" vertical="center"/>
    </xf>
    <xf numFmtId="3" fontId="57" fillId="0" borderId="208"/>
    <xf numFmtId="3" fontId="56" fillId="0" borderId="208"/>
    <xf numFmtId="0" fontId="50" fillId="3" borderId="355">
      <alignment vertical="center"/>
    </xf>
    <xf numFmtId="218" fontId="9" fillId="0" borderId="356">
      <alignment horizontal="centerContinuous" vertical="center"/>
    </xf>
    <xf numFmtId="203" fontId="176" fillId="0" borderId="383" applyFill="0" applyProtection="0">
      <alignment horizont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6" fontId="14" fillId="0" borderId="385"/>
    <xf numFmtId="0" fontId="54" fillId="28" borderId="388" applyNumberFormat="0" applyFon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224" fillId="0" borderId="356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0" fontId="6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185" fontId="8" fillId="0" borderId="390">
      <alignment vertical="center"/>
    </xf>
    <xf numFmtId="0" fontId="117" fillId="0" borderId="392">
      <alignment horizontal="centerContinuous" vertical="center"/>
    </xf>
    <xf numFmtId="0" fontId="117" fillId="0" borderId="392">
      <alignment horizontal="centerContinuous" vertical="center"/>
    </xf>
    <xf numFmtId="322" fontId="9" fillId="0" borderId="392">
      <alignment horizontal="centerContinuous" vertical="center"/>
    </xf>
    <xf numFmtId="0" fontId="9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218" fontId="9" fillId="0" borderId="392">
      <alignment horizontal="centerContinuous" vertical="center"/>
    </xf>
    <xf numFmtId="3" fontId="57" fillId="0" borderId="390"/>
    <xf numFmtId="3" fontId="57" fillId="0" borderId="390"/>
    <xf numFmtId="0" fontId="117" fillId="0" borderId="392">
      <alignment horizontal="centerContinuous" vertical="center"/>
    </xf>
    <xf numFmtId="0" fontId="6" fillId="0" borderId="390" applyNumberFormat="0" applyFill="0" applyProtection="0">
      <alignment vertical="center"/>
    </xf>
    <xf numFmtId="0" fontId="11" fillId="0" borderId="390" applyNumberFormat="0" applyFont="0" applyFill="0" applyAlignment="0" applyProtection="0">
      <alignment horizontal="center" vertical="center"/>
    </xf>
    <xf numFmtId="0" fontId="50" fillId="3" borderId="355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41" fontId="135" fillId="0" borderId="208" applyNumberFormat="0">
      <alignment vertical="center"/>
    </xf>
    <xf numFmtId="338" fontId="19" fillId="0" borderId="208"/>
    <xf numFmtId="0" fontId="94" fillId="0" borderId="356">
      <alignment horizontal="centerContinuous" vertical="center"/>
    </xf>
    <xf numFmtId="0" fontId="232" fillId="0" borderId="208" applyFont="0" applyFill="0" applyBorder="0" applyAlignment="0" applyProtection="0">
      <alignment horizontal="centerContinuous" vertical="center"/>
    </xf>
    <xf numFmtId="239" fontId="117" fillId="0" borderId="390">
      <alignment horizontal="right" vertical="center"/>
    </xf>
    <xf numFmtId="3" fontId="57" fillId="0" borderId="208"/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3" fontId="57" fillId="0" borderId="208"/>
    <xf numFmtId="239" fontId="117" fillId="0" borderId="208">
      <alignment horizontal="right" vertical="center"/>
    </xf>
    <xf numFmtId="244" fontId="117" fillId="0" borderId="208">
      <alignment vertical="center"/>
    </xf>
    <xf numFmtId="244" fontId="117" fillId="0" borderId="208">
      <alignment vertical="center"/>
    </xf>
    <xf numFmtId="41" fontId="9" fillId="0" borderId="208">
      <alignment horizontal="center" vertical="center"/>
    </xf>
    <xf numFmtId="41" fontId="56" fillId="0" borderId="208" applyNumberFormat="0" applyFont="0" applyFill="0" applyBorder="0" applyProtection="0">
      <alignment horizontal="distributed"/>
    </xf>
    <xf numFmtId="322" fontId="9" fillId="0" borderId="356">
      <alignment horizontal="centerContinuous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191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185" fontId="8" fillId="0" borderId="390">
      <alignment vertical="center"/>
    </xf>
    <xf numFmtId="41" fontId="135" fillId="0" borderId="208" applyNumberFormat="0">
      <alignment vertical="center"/>
    </xf>
    <xf numFmtId="0" fontId="50" fillId="3" borderId="355">
      <alignment vertical="center"/>
    </xf>
    <xf numFmtId="200" fontId="6" fillId="0" borderId="208">
      <alignment vertical="center"/>
    </xf>
    <xf numFmtId="0" fontId="41" fillId="0" borderId="355">
      <alignment horizontal="left" vertical="center"/>
    </xf>
    <xf numFmtId="10" fontId="39" fillId="4" borderId="208" applyNumberFormat="0" applyBorder="0" applyAlignment="0" applyProtection="0"/>
    <xf numFmtId="230" fontId="6" fillId="0" borderId="208">
      <alignment vertical="center"/>
    </xf>
    <xf numFmtId="230" fontId="6" fillId="0" borderId="208">
      <alignment vertical="center"/>
    </xf>
    <xf numFmtId="176" fontId="6" fillId="0" borderId="208">
      <alignment vertical="center"/>
    </xf>
    <xf numFmtId="0" fontId="224" fillId="0" borderId="356">
      <alignment horizontal="centerContinuous" vertical="center"/>
    </xf>
    <xf numFmtId="233" fontId="122" fillId="0" borderId="208" applyFill="0" applyBorder="0" applyAlignment="0"/>
    <xf numFmtId="200" fontId="6" fillId="0" borderId="208">
      <alignment vertical="center"/>
    </xf>
    <xf numFmtId="200" fontId="6" fillId="0" borderId="208">
      <alignment vertical="center"/>
    </xf>
    <xf numFmtId="0" fontId="56" fillId="0" borderId="208"/>
    <xf numFmtId="3" fontId="56" fillId="0" borderId="208"/>
    <xf numFmtId="3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0" fontId="92" fillId="0" borderId="208"/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10" fontId="39" fillId="4" borderId="208" applyNumberFormat="0" applyBorder="0" applyAlignment="0" applyProtection="0"/>
    <xf numFmtId="0" fontId="41" fillId="0" borderId="355">
      <alignment horizontal="left" vertical="center"/>
    </xf>
    <xf numFmtId="3" fontId="57" fillId="0" borderId="208"/>
    <xf numFmtId="185" fontId="9" fillId="0" borderId="208">
      <alignment horizontal="center" vertical="center"/>
    </xf>
    <xf numFmtId="0" fontId="50" fillId="3" borderId="355">
      <alignment vertical="center"/>
    </xf>
    <xf numFmtId="240" fontId="6" fillId="0" borderId="208">
      <alignment horizontal="right"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206" fontId="6" fillId="0" borderId="208">
      <alignment vertical="center"/>
    </xf>
    <xf numFmtId="256" fontId="117" fillId="0" borderId="390" applyBorder="0">
      <alignment vertical="center"/>
    </xf>
    <xf numFmtId="0" fontId="92" fillId="0" borderId="390"/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17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4" fontId="117" fillId="0" borderId="390">
      <alignment vertical="center"/>
    </xf>
    <xf numFmtId="243" fontId="117" fillId="0" borderId="390">
      <alignment vertical="center"/>
    </xf>
    <xf numFmtId="237" fontId="6" fillId="0" borderId="208">
      <alignment vertical="center"/>
    </xf>
    <xf numFmtId="0" fontId="6" fillId="0" borderId="208">
      <alignment vertical="center"/>
    </xf>
    <xf numFmtId="230" fontId="6" fillId="0" borderId="208">
      <alignment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41" fillId="0" borderId="355">
      <alignment horizontal="left" vertical="center"/>
    </xf>
    <xf numFmtId="0" fontId="6" fillId="0" borderId="356">
      <alignment horizontal="centerContinuous" vertical="center"/>
    </xf>
    <xf numFmtId="0" fontId="6" fillId="0" borderId="392">
      <alignment horizontal="centerContinuous" vertical="center"/>
    </xf>
    <xf numFmtId="176" fontId="6" fillId="0" borderId="208">
      <alignment vertical="center"/>
    </xf>
    <xf numFmtId="191" fontId="6" fillId="0" borderId="208">
      <alignment vertical="center"/>
    </xf>
    <xf numFmtId="3" fontId="57" fillId="0" borderId="208"/>
    <xf numFmtId="0" fontId="6" fillId="0" borderId="208" applyNumberFormat="0" applyFill="0" applyProtection="0">
      <alignment vertical="center"/>
    </xf>
    <xf numFmtId="0" fontId="56" fillId="0" borderId="390"/>
    <xf numFmtId="0" fontId="186" fillId="0" borderId="208" applyProtection="0">
      <alignment vertical="center"/>
    </xf>
    <xf numFmtId="200" fontId="6" fillId="0" borderId="208">
      <alignment vertical="center"/>
    </xf>
    <xf numFmtId="0" fontId="184" fillId="0" borderId="208" applyFill="0" applyBorder="0" applyProtection="0">
      <alignment vertical="center"/>
    </xf>
    <xf numFmtId="10" fontId="39" fillId="4" borderId="208" applyNumberFormat="0" applyBorder="0" applyAlignment="0" applyProtection="0"/>
    <xf numFmtId="249" fontId="6" fillId="0" borderId="208">
      <alignment vertical="center"/>
    </xf>
    <xf numFmtId="176" fontId="6" fillId="0" borderId="208">
      <alignment vertical="center"/>
    </xf>
    <xf numFmtId="185" fontId="8" fillId="0" borderId="208">
      <alignment vertical="center"/>
    </xf>
    <xf numFmtId="244" fontId="117" fillId="0" borderId="390">
      <alignment vertical="center"/>
    </xf>
    <xf numFmtId="239" fontId="117" fillId="0" borderId="208">
      <alignment horizontal="right" vertical="center"/>
    </xf>
    <xf numFmtId="0" fontId="94" fillId="0" borderId="356">
      <alignment horizontal="centerContinuous" vertical="center"/>
    </xf>
    <xf numFmtId="236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41" fontId="6" fillId="0" borderId="208">
      <alignment horizontal="right" vertical="center"/>
    </xf>
    <xf numFmtId="176" fontId="6" fillId="0" borderId="208">
      <alignment vertical="center"/>
    </xf>
    <xf numFmtId="241" fontId="6" fillId="0" borderId="208">
      <alignment horizontal="right" vertical="center"/>
    </xf>
    <xf numFmtId="236" fontId="6" fillId="0" borderId="208">
      <alignment vertical="center"/>
    </xf>
    <xf numFmtId="191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322" fontId="9" fillId="0" borderId="356">
      <alignment horizontal="centerContinuous" vertical="center"/>
    </xf>
    <xf numFmtId="309" fontId="9" fillId="0" borderId="208" applyFill="0" applyBorder="0" applyAlignment="0"/>
    <xf numFmtId="218" fontId="6" fillId="0" borderId="208">
      <alignment vertical="center"/>
    </xf>
    <xf numFmtId="200" fontId="6" fillId="0" borderId="208">
      <alignment vertical="center"/>
    </xf>
    <xf numFmtId="0" fontId="94" fillId="0" borderId="356">
      <alignment horizontal="centerContinuous" vertical="center"/>
    </xf>
    <xf numFmtId="185" fontId="8" fillId="0" borderId="390">
      <alignment vertical="center"/>
    </xf>
    <xf numFmtId="3" fontId="56" fillId="0" borderId="208"/>
    <xf numFmtId="242" fontId="6" fillId="0" borderId="208">
      <alignment horizontal="right" vertical="center"/>
    </xf>
    <xf numFmtId="0" fontId="50" fillId="3" borderId="355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208">
      <alignment vertical="center"/>
    </xf>
    <xf numFmtId="0" fontId="159" fillId="0" borderId="399" applyNumberFormat="0" applyFill="0" applyAlignment="0" applyProtection="0">
      <alignment vertical="center"/>
    </xf>
    <xf numFmtId="243" fontId="117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176" fontId="6" fillId="0" borderId="208">
      <alignment vertical="center"/>
    </xf>
    <xf numFmtId="241" fontId="6" fillId="0" borderId="208">
      <alignment horizontal="right" vertical="center"/>
    </xf>
    <xf numFmtId="49" fontId="117" fillId="0" borderId="208">
      <alignment horizontal="center" vertical="center"/>
    </xf>
    <xf numFmtId="221" fontId="117" fillId="0" borderId="208">
      <alignment vertical="center"/>
    </xf>
    <xf numFmtId="3" fontId="57" fillId="0" borderId="208"/>
    <xf numFmtId="3" fontId="57" fillId="0" borderId="208"/>
    <xf numFmtId="0" fontId="57" fillId="28" borderId="388" applyNumberFormat="0" applyFont="0" applyAlignment="0" applyProtection="0">
      <alignment vertical="center"/>
    </xf>
    <xf numFmtId="240" fontId="6" fillId="0" borderId="208">
      <alignment horizontal="right" vertical="center"/>
    </xf>
    <xf numFmtId="41" fontId="56" fillId="0" borderId="208" applyNumberFormat="0" applyFont="0" applyFill="0" applyBorder="0" applyProtection="0">
      <alignment horizontal="distributed"/>
    </xf>
    <xf numFmtId="0" fontId="57" fillId="28" borderId="388" applyNumberFormat="0" applyFont="0" applyAlignment="0" applyProtection="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" fontId="57" fillId="0" borderId="208"/>
    <xf numFmtId="191" fontId="6" fillId="0" borderId="208">
      <alignment vertical="center"/>
    </xf>
    <xf numFmtId="0" fontId="56" fillId="0" borderId="208"/>
    <xf numFmtId="0" fontId="94" fillId="0" borderId="356">
      <alignment horizontal="centerContinuous" vertical="center"/>
    </xf>
    <xf numFmtId="185" fontId="235" fillId="0" borderId="208"/>
    <xf numFmtId="228" fontId="117" fillId="0" borderId="353" applyBorder="0">
      <alignment vertical="center" wrapText="1"/>
    </xf>
    <xf numFmtId="41" fontId="9" fillId="0" borderId="208">
      <alignment horizontal="center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230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191" fontId="6" fillId="0" borderId="382">
      <alignment vertical="center"/>
    </xf>
    <xf numFmtId="231" fontId="117" fillId="0" borderId="382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0" fontId="6" fillId="0" borderId="208" applyNumberFormat="0" applyFill="0" applyProtection="0">
      <alignment vertical="center"/>
    </xf>
    <xf numFmtId="176" fontId="6" fillId="0" borderId="208">
      <alignment vertical="center"/>
    </xf>
    <xf numFmtId="242" fontId="6" fillId="0" borderId="208">
      <alignment horizontal="right" vertical="center"/>
    </xf>
    <xf numFmtId="256" fontId="117" fillId="0" borderId="208" applyBorder="0">
      <alignment vertical="center"/>
    </xf>
    <xf numFmtId="240" fontId="6" fillId="0" borderId="208">
      <alignment horizontal="right" vertical="center"/>
    </xf>
    <xf numFmtId="3" fontId="56" fillId="0" borderId="390"/>
    <xf numFmtId="0" fontId="6" fillId="0" borderId="390">
      <alignment horizontal="right" vertical="center" shrinkToFit="1"/>
    </xf>
    <xf numFmtId="322" fontId="9" fillId="0" borderId="356">
      <alignment horizontal="centerContinuous" vertical="center"/>
    </xf>
    <xf numFmtId="238" fontId="6" fillId="0" borderId="208">
      <alignment vertical="center"/>
    </xf>
    <xf numFmtId="236" fontId="6" fillId="0" borderId="208">
      <alignment vertical="center"/>
    </xf>
    <xf numFmtId="206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7" fontId="117" fillId="0" borderId="208">
      <alignment vertical="center"/>
    </xf>
    <xf numFmtId="237" fontId="6" fillId="0" borderId="208">
      <alignment vertical="center"/>
    </xf>
    <xf numFmtId="3" fontId="57" fillId="0" borderId="390"/>
    <xf numFmtId="0" fontId="50" fillId="3" borderId="355">
      <alignment vertical="center"/>
    </xf>
    <xf numFmtId="0" fontId="94" fillId="0" borderId="356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40" fontId="6" fillId="0" borderId="208">
      <alignment horizontal="right" vertical="center"/>
    </xf>
    <xf numFmtId="3" fontId="57" fillId="0" borderId="208"/>
    <xf numFmtId="3" fontId="57" fillId="0" borderId="208"/>
    <xf numFmtId="0" fontId="82" fillId="0" borderId="208"/>
    <xf numFmtId="234" fontId="117" fillId="0" borderId="208">
      <alignment vertical="center"/>
    </xf>
    <xf numFmtId="0" fontId="6" fillId="0" borderId="208">
      <alignment horizontal="right" vertical="center" shrinkToFit="1"/>
    </xf>
    <xf numFmtId="218" fontId="6" fillId="0" borderId="208">
      <alignment vertical="center"/>
    </xf>
    <xf numFmtId="0" fontId="94" fillId="0" borderId="356">
      <alignment horizontal="centerContinuous" vertical="center"/>
    </xf>
    <xf numFmtId="230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50" fontId="117" fillId="0" borderId="208">
      <alignment vertical="center"/>
    </xf>
    <xf numFmtId="200" fontId="6" fillId="0" borderId="208">
      <alignment vertical="center"/>
    </xf>
    <xf numFmtId="0" fontId="6" fillId="0" borderId="208">
      <alignment vertical="center"/>
    </xf>
    <xf numFmtId="0" fontId="117" fillId="0" borderId="356">
      <alignment horizontal="centerContinuous" vertical="center"/>
    </xf>
    <xf numFmtId="176" fontId="6" fillId="0" borderId="208">
      <alignment vertical="center"/>
    </xf>
    <xf numFmtId="10" fontId="39" fillId="2" borderId="390" applyNumberFormat="0" applyBorder="0" applyAlignment="0" applyProtection="0"/>
    <xf numFmtId="233" fontId="122" fillId="0" borderId="382" applyFill="0" applyBorder="0" applyAlignment="0"/>
    <xf numFmtId="37" fontId="117" fillId="0" borderId="382">
      <alignment horizontal="center" vertical="distributed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8" fontId="117" fillId="0" borderId="208">
      <alignment vertical="center"/>
    </xf>
    <xf numFmtId="0" fontId="50" fillId="3" borderId="355">
      <alignment vertical="center"/>
    </xf>
    <xf numFmtId="0" fontId="94" fillId="0" borderId="356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0" fontId="41" fillId="0" borderId="355">
      <alignment horizontal="lef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35" fontId="117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7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8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382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1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2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240" fontId="6" fillId="0" borderId="382">
      <alignment horizontal="right" vertical="center"/>
    </xf>
    <xf numFmtId="0" fontId="117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0" fontId="50" fillId="3" borderId="355">
      <alignment vertical="center"/>
    </xf>
    <xf numFmtId="246" fontId="117" fillId="0" borderId="382">
      <alignment vertical="center"/>
    </xf>
    <xf numFmtId="240" fontId="6" fillId="0" borderId="208">
      <alignment horizontal="right" vertical="center"/>
    </xf>
    <xf numFmtId="49" fontId="117" fillId="0" borderId="382">
      <alignment horizontal="center" vertical="center"/>
    </xf>
    <xf numFmtId="247" fontId="117" fillId="0" borderId="382">
      <alignment vertical="center"/>
    </xf>
    <xf numFmtId="248" fontId="117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206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0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176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18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49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00" fontId="6" fillId="0" borderId="382">
      <alignment vertical="center"/>
    </xf>
    <xf numFmtId="250" fontId="117" fillId="0" borderId="382">
      <alignment vertical="center"/>
    </xf>
    <xf numFmtId="0" fontId="6" fillId="0" borderId="208">
      <alignment horizontal="right" vertical="center" shrinkToFit="1"/>
    </xf>
    <xf numFmtId="206" fontId="6" fillId="0" borderId="208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42" fontId="6" fillId="0" borderId="208">
      <alignment horizontal="right" vertical="center"/>
    </xf>
    <xf numFmtId="185" fontId="8" fillId="0" borderId="208">
      <alignment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236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0" fontId="94" fillId="0" borderId="392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50" fillId="3" borderId="355">
      <alignment vertical="center"/>
    </xf>
    <xf numFmtId="206" fontId="6" fillId="0" borderId="208">
      <alignment vertical="center"/>
    </xf>
    <xf numFmtId="0" fontId="117" fillId="0" borderId="356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56">
      <alignment horizontal="centerContinuous" vertical="center"/>
    </xf>
    <xf numFmtId="238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0" fontId="57" fillId="28" borderId="388" applyNumberFormat="0" applyFont="0" applyAlignment="0" applyProtection="0">
      <alignment vertical="center"/>
    </xf>
    <xf numFmtId="309" fontId="9" fillId="0" borderId="208" applyFill="0" applyBorder="0" applyAlignment="0"/>
    <xf numFmtId="240" fontId="6" fillId="0" borderId="208">
      <alignment horizontal="right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237" fontId="6" fillId="0" borderId="208">
      <alignment vertical="center"/>
    </xf>
    <xf numFmtId="241" fontId="6" fillId="0" borderId="208">
      <alignment horizontal="right" vertical="center"/>
    </xf>
    <xf numFmtId="191" fontId="6" fillId="0" borderId="208">
      <alignment vertical="center"/>
    </xf>
    <xf numFmtId="228" fontId="117" fillId="0" borderId="353" applyBorder="0">
      <alignment vertical="center" wrapText="1"/>
    </xf>
    <xf numFmtId="176" fontId="6" fillId="0" borderId="208">
      <alignment vertical="center"/>
    </xf>
    <xf numFmtId="230" fontId="6" fillId="0" borderId="208">
      <alignment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38" fontId="19" fillId="0" borderId="208"/>
    <xf numFmtId="0" fontId="92" fillId="0" borderId="208"/>
    <xf numFmtId="206" fontId="6" fillId="0" borderId="208">
      <alignment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0" fontId="50" fillId="3" borderId="355">
      <alignment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0" fontId="6" fillId="0" borderId="356">
      <alignment horizontal="centerContinuous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236" fontId="6" fillId="0" borderId="208">
      <alignment vertical="center"/>
    </xf>
    <xf numFmtId="10" fontId="39" fillId="4" borderId="208" applyNumberFormat="0" applyBorder="0" applyAlignment="0" applyProtection="0"/>
    <xf numFmtId="0" fontId="94" fillId="0" borderId="356">
      <alignment horizontal="centerContinuous" vertical="center"/>
    </xf>
    <xf numFmtId="0" fontId="134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309" fontId="9" fillId="0" borderId="208" applyFill="0" applyBorder="0" applyAlignment="0"/>
    <xf numFmtId="233" fontId="122" fillId="0" borderId="208" applyFill="0" applyBorder="0" applyAlignment="0"/>
    <xf numFmtId="200" fontId="6" fillId="0" borderId="208">
      <alignment vertical="center"/>
    </xf>
    <xf numFmtId="0" fontId="134" fillId="0" borderId="208">
      <alignment vertical="center"/>
    </xf>
    <xf numFmtId="0" fontId="134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" fillId="0" borderId="392">
      <alignment horizontal="centerContinuous" vertical="center"/>
    </xf>
    <xf numFmtId="0" fontId="41" fillId="0" borderId="355">
      <alignment horizontal="left" vertical="center"/>
    </xf>
    <xf numFmtId="10" fontId="39" fillId="2" borderId="208" applyNumberFormat="0" applyBorder="0" applyAlignment="0" applyProtection="0"/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9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3" fontId="122" fillId="0" borderId="208" applyFill="0" applyBorder="0" applyAlignment="0"/>
    <xf numFmtId="49" fontId="117" fillId="0" borderId="208">
      <alignment horizontal="center"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8" fontId="117" fillId="0" borderId="208">
      <alignment vertical="center"/>
    </xf>
    <xf numFmtId="218" fontId="9" fillId="0" borderId="356">
      <alignment horizontal="centerContinuous" vertical="center"/>
    </xf>
    <xf numFmtId="206" fontId="6" fillId="0" borderId="208">
      <alignment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30" fontId="6" fillId="0" borderId="208">
      <alignment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57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34" fontId="117" fillId="0" borderId="390">
      <alignment vertical="center"/>
    </xf>
    <xf numFmtId="0" fontId="117" fillId="0" borderId="392">
      <alignment horizontal="centerContinuous" vertical="center"/>
    </xf>
    <xf numFmtId="236" fontId="6" fillId="0" borderId="208">
      <alignment vertical="center"/>
    </xf>
    <xf numFmtId="237" fontId="6" fillId="0" borderId="208">
      <alignment vertical="center"/>
    </xf>
    <xf numFmtId="0" fontId="134" fillId="0" borderId="382">
      <alignment vertical="center"/>
    </xf>
    <xf numFmtId="0" fontId="134" fillId="0" borderId="382">
      <alignment vertical="center"/>
    </xf>
    <xf numFmtId="257" fontId="117" fillId="0" borderId="382" applyBorder="0">
      <alignment horizontal="left"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42" fontId="6" fillId="0" borderId="208">
      <alignment horizontal="right"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186" fontId="14" fillId="0" borderId="385"/>
    <xf numFmtId="0" fontId="94" fillId="0" borderId="392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239" fontId="117" fillId="0" borderId="208">
      <alignment horizontal="right" vertical="center"/>
    </xf>
    <xf numFmtId="0" fontId="6" fillId="0" borderId="208">
      <alignment horizontal="right" vertical="center" shrinkToFit="1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40" fontId="6" fillId="0" borderId="208">
      <alignment horizontal="right"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" fillId="0" borderId="356">
      <alignment horizontal="centerContinuous" vertical="center"/>
    </xf>
    <xf numFmtId="218" fontId="9" fillId="0" borderId="356">
      <alignment horizontal="centerContinuous" vertical="center"/>
    </xf>
    <xf numFmtId="20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218" fontId="9" fillId="0" borderId="356">
      <alignment horizontal="centerContinuous" vertical="center"/>
    </xf>
    <xf numFmtId="242" fontId="6" fillId="0" borderId="208">
      <alignment horizontal="right"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0" fontId="185" fillId="22" borderId="396" applyNumberFormat="0" applyAlignment="0" applyProtection="0">
      <alignment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6" fillId="0" borderId="392">
      <alignment horizontal="centerContinuous"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28" fontId="117" fillId="0" borderId="353" applyBorder="0">
      <alignment vertical="center" wrapText="1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38" fontId="6" fillId="0" borderId="208">
      <alignment vertical="center"/>
    </xf>
    <xf numFmtId="242" fontId="6" fillId="0" borderId="208">
      <alignment horizontal="right" vertical="center"/>
    </xf>
    <xf numFmtId="238" fontId="6" fillId="0" borderId="208">
      <alignment vertical="center"/>
    </xf>
    <xf numFmtId="0" fontId="56" fillId="0" borderId="208"/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238" fontId="6" fillId="0" borderId="208">
      <alignment vertical="center"/>
    </xf>
    <xf numFmtId="3" fontId="57" fillId="0" borderId="208"/>
    <xf numFmtId="242" fontId="6" fillId="0" borderId="208">
      <alignment horizontal="right" vertical="center"/>
    </xf>
    <xf numFmtId="0" fontId="82" fillId="0" borderId="208"/>
    <xf numFmtId="238" fontId="6" fillId="0" borderId="208">
      <alignment vertical="center"/>
    </xf>
    <xf numFmtId="237" fontId="6" fillId="0" borderId="208">
      <alignment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10" fontId="39" fillId="2" borderId="208" applyNumberFormat="0" applyBorder="0" applyAlignment="0" applyProtection="0"/>
    <xf numFmtId="234" fontId="117" fillId="0" borderId="208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0" fontId="50" fillId="3" borderId="355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0" fontId="56" fillId="0" borderId="208"/>
    <xf numFmtId="185" fontId="9" fillId="0" borderId="208">
      <alignment horizontal="center" vertical="center"/>
    </xf>
    <xf numFmtId="338" fontId="19" fillId="0" borderId="208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40" fontId="6" fillId="0" borderId="208">
      <alignment horizontal="right" vertical="center"/>
    </xf>
    <xf numFmtId="0" fontId="92" fillId="0" borderId="390"/>
    <xf numFmtId="309" fontId="9" fillId="0" borderId="208" applyFill="0" applyBorder="0" applyAlignment="0"/>
    <xf numFmtId="10" fontId="39" fillId="2" borderId="390" applyNumberFormat="0" applyBorder="0" applyAlignment="0" applyProtection="0"/>
    <xf numFmtId="240" fontId="6" fillId="0" borderId="208">
      <alignment horizontal="right" vertical="center"/>
    </xf>
    <xf numFmtId="200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6" fontId="6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92">
      <alignment horizontal="centerContinuous" vertical="center"/>
    </xf>
    <xf numFmtId="3" fontId="57" fillId="0" borderId="208"/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76" fontId="6" fillId="0" borderId="208">
      <alignment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40" fontId="6" fillId="0" borderId="208">
      <alignment horizontal="right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0" fontId="159" fillId="0" borderId="389" applyNumberFormat="0" applyFill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200" fontId="6" fillId="0" borderId="208">
      <alignment vertical="center"/>
    </xf>
    <xf numFmtId="230" fontId="6" fillId="0" borderId="208">
      <alignment vertical="center"/>
    </xf>
    <xf numFmtId="242" fontId="6" fillId="0" borderId="208">
      <alignment horizontal="right" vertical="center"/>
    </xf>
    <xf numFmtId="230" fontId="6" fillId="0" borderId="208">
      <alignment vertical="center"/>
    </xf>
    <xf numFmtId="191" fontId="6" fillId="0" borderId="208">
      <alignment vertical="center"/>
    </xf>
    <xf numFmtId="3" fontId="56" fillId="0" borderId="208"/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0" fontId="165" fillId="22" borderId="386" applyNumberFormat="0" applyAlignment="0" applyProtection="0">
      <alignment vertical="center"/>
    </xf>
    <xf numFmtId="191" fontId="6" fillId="0" borderId="208">
      <alignment vertical="center"/>
    </xf>
    <xf numFmtId="200" fontId="6" fillId="0" borderId="208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236" fontId="6" fillId="0" borderId="208">
      <alignment vertical="center"/>
    </xf>
    <xf numFmtId="0" fontId="41" fillId="0" borderId="391">
      <alignment horizontal="left" vertical="center"/>
    </xf>
    <xf numFmtId="176" fontId="6" fillId="0" borderId="208">
      <alignment vertical="center"/>
    </xf>
    <xf numFmtId="237" fontId="6" fillId="0" borderId="208">
      <alignment vertical="center"/>
    </xf>
    <xf numFmtId="41" fontId="56" fillId="0" borderId="208" applyNumberFormat="0" applyFont="0" applyFill="0" applyBorder="0" applyProtection="0">
      <alignment horizontal="distributed"/>
    </xf>
    <xf numFmtId="0" fontId="6" fillId="0" borderId="390">
      <alignment horizontal="right" vertical="center" shrinkToFit="1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18" fontId="9" fillId="0" borderId="356">
      <alignment horizontal="centerContinuous" vertical="center"/>
    </xf>
    <xf numFmtId="244" fontId="117" fillId="0" borderId="390">
      <alignment vertical="center"/>
    </xf>
    <xf numFmtId="0" fontId="160" fillId="12" borderId="397" applyNumberFormat="0" applyAlignment="0" applyProtection="0">
      <alignment vertical="center"/>
    </xf>
    <xf numFmtId="0" fontId="6" fillId="0" borderId="356">
      <alignment horizontal="centerContinuous" vertical="center"/>
    </xf>
    <xf numFmtId="241" fontId="6" fillId="0" borderId="208">
      <alignment horizontal="right" vertical="center"/>
    </xf>
    <xf numFmtId="322" fontId="9" fillId="0" borderId="392">
      <alignment horizontal="centerContinuous" vertical="center"/>
    </xf>
    <xf numFmtId="41" fontId="56" fillId="0" borderId="390" applyNumberFormat="0" applyFont="0" applyFill="0" applyBorder="0" applyProtection="0">
      <alignment horizontal="distributed"/>
    </xf>
    <xf numFmtId="41" fontId="56" fillId="0" borderId="390" applyNumberFormat="0" applyFont="0" applyFill="0" applyBorder="0" applyProtection="0">
      <alignment horizontal="distributed"/>
    </xf>
    <xf numFmtId="0" fontId="50" fillId="3" borderId="391">
      <alignment vertical="center"/>
    </xf>
    <xf numFmtId="200" fontId="6" fillId="0" borderId="208">
      <alignment vertical="center"/>
    </xf>
    <xf numFmtId="3" fontId="56" fillId="0" borderId="208"/>
    <xf numFmtId="0" fontId="92" fillId="0" borderId="208"/>
    <xf numFmtId="256" fontId="117" fillId="0" borderId="208" applyBorder="0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00" fontId="6" fillId="0" borderId="208">
      <alignment vertical="center"/>
    </xf>
    <xf numFmtId="322" fontId="9" fillId="0" borderId="392">
      <alignment horizontal="centerContinuous" vertical="center"/>
    </xf>
    <xf numFmtId="0" fontId="160" fillId="12" borderId="387" applyNumberFormat="0" applyAlignment="0" applyProtection="0">
      <alignment vertical="center"/>
    </xf>
    <xf numFmtId="0" fontId="6" fillId="0" borderId="208">
      <alignment horizontal="right" vertical="center" shrinkToFit="1"/>
    </xf>
    <xf numFmtId="0" fontId="50" fillId="3" borderId="355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240" fontId="6" fillId="0" borderId="208">
      <alignment horizontal="right" vertical="center"/>
    </xf>
    <xf numFmtId="191" fontId="6" fillId="0" borderId="208">
      <alignment vertical="center"/>
    </xf>
    <xf numFmtId="236" fontId="6" fillId="0" borderId="208">
      <alignment vertical="center"/>
    </xf>
    <xf numFmtId="3" fontId="57" fillId="0" borderId="390"/>
    <xf numFmtId="0" fontId="41" fillId="0" borderId="355">
      <alignment horizontal="left" vertical="center"/>
    </xf>
    <xf numFmtId="0" fontId="54" fillId="28" borderId="388" applyNumberFormat="0" applyFont="0" applyAlignment="0" applyProtection="0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322" fontId="9" fillId="0" borderId="392">
      <alignment horizontal="centerContinuous"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94" fillId="0" borderId="356">
      <alignment horizontal="centerContinuous" vertical="center"/>
    </xf>
    <xf numFmtId="240" fontId="6" fillId="0" borderId="208">
      <alignment horizontal="right"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0" fontId="57" fillId="28" borderId="388" applyNumberFormat="0" applyFont="0" applyAlignment="0" applyProtection="0">
      <alignment vertical="center"/>
    </xf>
    <xf numFmtId="0" fontId="6" fillId="0" borderId="356">
      <alignment horizontal="centerContinuous" vertical="center"/>
    </xf>
    <xf numFmtId="0" fontId="41" fillId="0" borderId="391">
      <alignment horizontal="left" vertical="center"/>
    </xf>
    <xf numFmtId="233" fontId="122" fillId="0" borderId="208" applyFill="0" applyBorder="0" applyAlignment="0"/>
    <xf numFmtId="0" fontId="6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0" fontId="56" fillId="0" borderId="208"/>
    <xf numFmtId="0" fontId="94" fillId="0" borderId="356">
      <alignment horizontal="centerContinuous" vertical="center"/>
    </xf>
    <xf numFmtId="41" fontId="9" fillId="0" borderId="208">
      <alignment horizontal="center" vertical="center"/>
    </xf>
    <xf numFmtId="236" fontId="6" fillId="0" borderId="208">
      <alignment vertical="center"/>
    </xf>
    <xf numFmtId="239" fontId="117" fillId="0" borderId="390">
      <alignment horizontal="right" vertical="center"/>
    </xf>
    <xf numFmtId="0" fontId="160" fillId="12" borderId="387" applyNumberFormat="0" applyAlignment="0" applyProtection="0">
      <alignment vertical="center"/>
    </xf>
    <xf numFmtId="10" fontId="39" fillId="4" borderId="208" applyNumberFormat="0" applyBorder="0" applyAlignment="0" applyProtection="0"/>
    <xf numFmtId="0" fontId="9" fillId="0" borderId="357">
      <alignment horizontal="distributed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20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1" fontId="6" fillId="0" borderId="208">
      <alignment horizontal="right" vertical="center"/>
    </xf>
    <xf numFmtId="3" fontId="57" fillId="0" borderId="208"/>
    <xf numFmtId="0" fontId="94" fillId="0" borderId="356">
      <alignment horizontal="centerContinuous" vertical="center"/>
    </xf>
    <xf numFmtId="0" fontId="6" fillId="0" borderId="392">
      <alignment horizontal="centerContinuous" vertical="center"/>
    </xf>
    <xf numFmtId="0" fontId="54" fillId="28" borderId="388" applyNumberFormat="0" applyFon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85" fillId="22" borderId="386" applyNumberFormat="0" applyAlignment="0" applyProtection="0">
      <alignment vertical="center"/>
    </xf>
    <xf numFmtId="218" fontId="9" fillId="0" borderId="356">
      <alignment horizontal="centerContinuous" vertical="center"/>
    </xf>
    <xf numFmtId="0" fontId="50" fillId="3" borderId="355">
      <alignment vertical="center"/>
    </xf>
    <xf numFmtId="0" fontId="6" fillId="0" borderId="208" applyNumberFormat="0" applyFill="0" applyProtection="0">
      <alignment vertical="center"/>
    </xf>
    <xf numFmtId="338" fontId="19" fillId="0" borderId="208"/>
    <xf numFmtId="338" fontId="19" fillId="0" borderId="208"/>
    <xf numFmtId="185" fontId="9" fillId="0" borderId="208">
      <alignment horizontal="center"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2" fillId="0" borderId="208"/>
    <xf numFmtId="0" fontId="92" fillId="0" borderId="208"/>
    <xf numFmtId="0" fontId="92" fillId="0" borderId="208"/>
    <xf numFmtId="41" fontId="9" fillId="0" borderId="208">
      <alignment horizontal="center" vertical="center"/>
    </xf>
    <xf numFmtId="0" fontId="50" fillId="3" borderId="355">
      <alignment vertical="center"/>
    </xf>
    <xf numFmtId="0" fontId="56" fillId="0" borderId="208"/>
    <xf numFmtId="0" fontId="56" fillId="0" borderId="208"/>
    <xf numFmtId="0" fontId="56" fillId="0" borderId="208"/>
    <xf numFmtId="3" fontId="56" fillId="0" borderId="208"/>
    <xf numFmtId="3" fontId="56" fillId="0" borderId="208"/>
    <xf numFmtId="3" fontId="56" fillId="0" borderId="208"/>
    <xf numFmtId="236" fontId="6" fillId="0" borderId="208">
      <alignment vertical="center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94" fillId="0" borderId="356">
      <alignment horizontal="centerContinuous" vertical="center"/>
    </xf>
    <xf numFmtId="0" fontId="6" fillId="0" borderId="392">
      <alignment horizontal="centerContinuous" vertical="center"/>
    </xf>
    <xf numFmtId="338" fontId="19" fillId="0" borderId="208"/>
    <xf numFmtId="0" fontId="50" fillId="3" borderId="355">
      <alignment vertical="center"/>
    </xf>
    <xf numFmtId="0" fontId="50" fillId="3" borderId="355">
      <alignment vertical="center"/>
    </xf>
    <xf numFmtId="0" fontId="92" fillId="0" borderId="208"/>
    <xf numFmtId="3" fontId="57" fillId="0" borderId="208"/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3" fontId="57" fillId="0" borderId="208"/>
    <xf numFmtId="3" fontId="57" fillId="0" borderId="208"/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208"/>
    <xf numFmtId="200" fontId="77" fillId="0" borderId="208">
      <alignment vertical="center"/>
    </xf>
    <xf numFmtId="10" fontId="39" fillId="4" borderId="208" applyNumberFormat="0" applyBorder="0" applyAlignment="0" applyProtection="0"/>
    <xf numFmtId="0" fontId="50" fillId="3" borderId="355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191" fontId="6" fillId="0" borderId="208">
      <alignment vertical="center"/>
    </xf>
    <xf numFmtId="0" fontId="6" fillId="0" borderId="356">
      <alignment horizontal="centerContinuous" vertical="center"/>
    </xf>
    <xf numFmtId="221" fontId="117" fillId="0" borderId="208">
      <alignment vertical="center"/>
    </xf>
    <xf numFmtId="247" fontId="117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238" fontId="6" fillId="0" borderId="208">
      <alignment vertical="center"/>
    </xf>
    <xf numFmtId="3" fontId="57" fillId="0" borderId="208"/>
    <xf numFmtId="244" fontId="117" fillId="0" borderId="208">
      <alignment vertical="center"/>
    </xf>
    <xf numFmtId="3" fontId="57" fillId="0" borderId="208"/>
    <xf numFmtId="206" fontId="6" fillId="0" borderId="208">
      <alignment vertical="center"/>
    </xf>
    <xf numFmtId="242" fontId="6" fillId="0" borderId="208">
      <alignment horizontal="right" vertical="center"/>
    </xf>
    <xf numFmtId="20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153" fillId="22" borderId="387" applyNumberFormat="0" applyAlignment="0" applyProtection="0">
      <alignment vertical="center"/>
    </xf>
    <xf numFmtId="0" fontId="6" fillId="0" borderId="356">
      <alignment horizontal="centerContinuous" vertical="center"/>
    </xf>
    <xf numFmtId="176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322" fontId="9" fillId="0" borderId="356">
      <alignment horizontal="centerContinuous"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41" fontId="6" fillId="0" borderId="208">
      <alignment horizontal="right" vertical="center"/>
    </xf>
    <xf numFmtId="230" fontId="6" fillId="0" borderId="208">
      <alignment vertical="center"/>
    </xf>
    <xf numFmtId="230" fontId="6" fillId="0" borderId="208">
      <alignment vertical="center"/>
    </xf>
    <xf numFmtId="233" fontId="122" fillId="0" borderId="208" applyFill="0" applyBorder="0" applyAlignment="0"/>
    <xf numFmtId="240" fontId="6" fillId="0" borderId="208">
      <alignment horizontal="right" vertical="center"/>
    </xf>
    <xf numFmtId="322" fontId="9" fillId="0" borderId="392">
      <alignment horizontal="centerContinuous" vertical="center"/>
    </xf>
    <xf numFmtId="236" fontId="6" fillId="0" borderId="208">
      <alignment vertical="center"/>
    </xf>
    <xf numFmtId="200" fontId="6" fillId="0" borderId="208">
      <alignment vertical="center"/>
    </xf>
    <xf numFmtId="257" fontId="117" fillId="0" borderId="208" applyBorder="0">
      <alignment horizontal="left" vertical="center"/>
    </xf>
    <xf numFmtId="0" fontId="134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39" fontId="117" fillId="0" borderId="390">
      <alignment horizontal="right" vertical="center"/>
    </xf>
    <xf numFmtId="0" fontId="94" fillId="0" borderId="356">
      <alignment horizontal="centerContinuous" vertical="center"/>
    </xf>
    <xf numFmtId="244" fontId="117" fillId="0" borderId="208">
      <alignment vertical="center"/>
    </xf>
    <xf numFmtId="0" fontId="94" fillId="0" borderId="356">
      <alignment horizontal="centerContinuous" vertical="center"/>
    </xf>
    <xf numFmtId="237" fontId="6" fillId="0" borderId="208">
      <alignment vertical="center"/>
    </xf>
    <xf numFmtId="3" fontId="57" fillId="0" borderId="208"/>
    <xf numFmtId="0" fontId="92" fillId="0" borderId="390"/>
    <xf numFmtId="191" fontId="6" fillId="0" borderId="208">
      <alignment vertical="center"/>
    </xf>
    <xf numFmtId="256" fontId="117" fillId="0" borderId="208" applyBorder="0">
      <alignment vertical="center"/>
    </xf>
    <xf numFmtId="0" fontId="6" fillId="0" borderId="356">
      <alignment horizontal="centerContinuous" vertical="center"/>
    </xf>
    <xf numFmtId="191" fontId="6" fillId="0" borderId="208">
      <alignment vertical="center"/>
    </xf>
    <xf numFmtId="3" fontId="56" fillId="0" borderId="390"/>
    <xf numFmtId="41" fontId="56" fillId="0" borderId="390" applyNumberFormat="0" applyFont="0" applyFill="0" applyBorder="0" applyProtection="0">
      <alignment horizontal="distributed"/>
    </xf>
    <xf numFmtId="200" fontId="6" fillId="0" borderId="208">
      <alignment vertical="center"/>
    </xf>
    <xf numFmtId="0" fontId="92" fillId="0" borderId="208"/>
    <xf numFmtId="0" fontId="9" fillId="0" borderId="208">
      <alignment horizontal="distributed" vertical="center"/>
    </xf>
    <xf numFmtId="0" fontId="9" fillId="0" borderId="357">
      <alignment horizontal="distributed"/>
    </xf>
    <xf numFmtId="200" fontId="6" fillId="0" borderId="208">
      <alignment vertical="center"/>
    </xf>
    <xf numFmtId="3" fontId="56" fillId="0" borderId="208"/>
    <xf numFmtId="240" fontId="6" fillId="0" borderId="208">
      <alignment horizontal="right" vertical="center"/>
    </xf>
    <xf numFmtId="238" fontId="6" fillId="0" borderId="208">
      <alignment vertical="center"/>
    </xf>
    <xf numFmtId="191" fontId="6" fillId="0" borderId="208">
      <alignment vertical="center"/>
    </xf>
    <xf numFmtId="0" fontId="134" fillId="0" borderId="208">
      <alignment vertical="center"/>
    </xf>
    <xf numFmtId="3" fontId="57" fillId="0" borderId="390"/>
    <xf numFmtId="0" fontId="41" fillId="0" borderId="355">
      <alignment horizontal="left" vertical="center"/>
    </xf>
    <xf numFmtId="243" fontId="117" fillId="0" borderId="390">
      <alignment vertical="center"/>
    </xf>
    <xf numFmtId="0" fontId="153" fillId="22" borderId="387" applyNumberFormat="0" applyAlignment="0" applyProtection="0">
      <alignment vertical="center"/>
    </xf>
    <xf numFmtId="230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6" fillId="28" borderId="388" applyNumberFormat="0" applyFont="0" applyAlignment="0" applyProtection="0">
      <alignment vertical="center"/>
    </xf>
    <xf numFmtId="0" fontId="9" fillId="0" borderId="390">
      <alignment horizontal="distributed" vertical="center"/>
    </xf>
    <xf numFmtId="322" fontId="9" fillId="0" borderId="392">
      <alignment horizontal="centerContinuous"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94" fillId="0" borderId="356">
      <alignment horizontal="centerContinuous" vertical="center"/>
    </xf>
    <xf numFmtId="0" fontId="56" fillId="0" borderId="208"/>
    <xf numFmtId="243" fontId="117" fillId="0" borderId="208">
      <alignment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241" fontId="6" fillId="0" borderId="208">
      <alignment horizontal="right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236" fontId="6" fillId="0" borderId="208">
      <alignment vertical="center"/>
    </xf>
    <xf numFmtId="0" fontId="50" fillId="3" borderId="355">
      <alignment vertical="center"/>
    </xf>
    <xf numFmtId="3" fontId="57" fillId="0" borderId="208"/>
    <xf numFmtId="338" fontId="19" fillId="0" borderId="208"/>
    <xf numFmtId="3" fontId="56" fillId="0" borderId="208"/>
    <xf numFmtId="0" fontId="56" fillId="0" borderId="208"/>
    <xf numFmtId="0" fontId="6" fillId="0" borderId="356">
      <alignment horizontal="centerContinuous" vertical="center"/>
    </xf>
    <xf numFmtId="200" fontId="6" fillId="0" borderId="208">
      <alignment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0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224" fillId="0" borderId="356">
      <alignment horizontal="centerContinuous" vertical="center"/>
    </xf>
    <xf numFmtId="186" fontId="14" fillId="0" borderId="385"/>
    <xf numFmtId="0" fontId="160" fillId="1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03" fontId="176" fillId="0" borderId="383" applyFill="0" applyProtection="0">
      <alignment horizontal="center"/>
    </xf>
    <xf numFmtId="0" fontId="50" fillId="3" borderId="355">
      <alignment vertical="center"/>
    </xf>
    <xf numFmtId="338" fontId="19" fillId="0" borderId="208"/>
    <xf numFmtId="338" fontId="19" fillId="0" borderId="208"/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36" fontId="6" fillId="0" borderId="208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2" fillId="0" borderId="208"/>
    <xf numFmtId="0" fontId="92" fillId="0" borderId="208"/>
    <xf numFmtId="0" fontId="92" fillId="0" borderId="208"/>
    <xf numFmtId="0" fontId="56" fillId="0" borderId="208"/>
    <xf numFmtId="0" fontId="56" fillId="0" borderId="208"/>
    <xf numFmtId="0" fontId="56" fillId="0" borderId="208"/>
    <xf numFmtId="3" fontId="56" fillId="0" borderId="208"/>
    <xf numFmtId="3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322" fontId="9" fillId="0" borderId="356">
      <alignment horizontal="centerContinuous" vertical="center"/>
    </xf>
    <xf numFmtId="176" fontId="6" fillId="0" borderId="208">
      <alignment vertical="center"/>
    </xf>
    <xf numFmtId="0" fontId="94" fillId="0" borderId="356">
      <alignment horizontal="centerContinuous" vertical="center"/>
    </xf>
    <xf numFmtId="338" fontId="19" fillId="0" borderId="208"/>
    <xf numFmtId="0" fontId="50" fillId="3" borderId="355">
      <alignment vertical="center"/>
    </xf>
    <xf numFmtId="200" fontId="6" fillId="0" borderId="208">
      <alignment vertical="center"/>
    </xf>
    <xf numFmtId="3" fontId="57" fillId="0" borderId="208"/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3" fontId="57" fillId="0" borderId="208"/>
    <xf numFmtId="236" fontId="6" fillId="0" borderId="208">
      <alignment vertical="center"/>
    </xf>
    <xf numFmtId="0" fontId="6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390"/>
    <xf numFmtId="185" fontId="9" fillId="0" borderId="208">
      <alignment horizontal="center" vertical="center"/>
    </xf>
    <xf numFmtId="0" fontId="82" fillId="0" borderId="208"/>
    <xf numFmtId="3" fontId="57" fillId="0" borderId="208"/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0" fontId="6" fillId="28" borderId="388" applyNumberFormat="0" applyFont="0" applyAlignment="0" applyProtection="0">
      <alignment vertical="center"/>
    </xf>
    <xf numFmtId="191" fontId="6" fillId="0" borderId="208">
      <alignment vertical="center"/>
    </xf>
    <xf numFmtId="243" fontId="117" fillId="0" borderId="208">
      <alignment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6" fillId="0" borderId="356">
      <alignment horizontal="centerContinuous" vertical="center"/>
    </xf>
    <xf numFmtId="249" fontId="6" fillId="0" borderId="208">
      <alignment vertical="center"/>
    </xf>
    <xf numFmtId="0" fontId="50" fillId="3" borderId="355">
      <alignment vertical="center"/>
    </xf>
    <xf numFmtId="0" fontId="159" fillId="0" borderId="389" applyNumberFormat="0" applyFill="0" applyAlignment="0" applyProtection="0">
      <alignment vertical="center"/>
    </xf>
    <xf numFmtId="3" fontId="57" fillId="0" borderId="208"/>
    <xf numFmtId="191" fontId="6" fillId="0" borderId="208">
      <alignment vertical="center"/>
    </xf>
    <xf numFmtId="10" fontId="39" fillId="4" borderId="208" applyNumberFormat="0" applyBorder="0" applyAlignment="0" applyProtection="0"/>
    <xf numFmtId="206" fontId="6" fillId="0" borderId="208">
      <alignment vertical="center"/>
    </xf>
    <xf numFmtId="256" fontId="117" fillId="0" borderId="208" applyBorder="0">
      <alignment vertical="center"/>
    </xf>
    <xf numFmtId="191" fontId="6" fillId="0" borderId="208">
      <alignment vertical="center"/>
    </xf>
    <xf numFmtId="0" fontId="92" fillId="0" borderId="208"/>
    <xf numFmtId="41" fontId="56" fillId="0" borderId="208" applyNumberFormat="0" applyFont="0" applyFill="0" applyBorder="0" applyProtection="0">
      <alignment horizontal="distributed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10" fontId="39" fillId="2" borderId="208" applyNumberFormat="0" applyBorder="0" applyAlignment="0" applyProtection="0"/>
    <xf numFmtId="244" fontId="117" fillId="0" borderId="208">
      <alignment vertical="center"/>
    </xf>
    <xf numFmtId="244" fontId="117" fillId="0" borderId="208">
      <alignment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0" fontId="82" fillId="0" borderId="208"/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7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0" fontId="186" fillId="0" borderId="208" applyProtection="0">
      <alignment vertical="center"/>
    </xf>
    <xf numFmtId="10" fontId="39" fillId="2" borderId="208" applyNumberFormat="0" applyBorder="0" applyAlignment="0" applyProtection="0"/>
    <xf numFmtId="234" fontId="117" fillId="0" borderId="208">
      <alignment vertical="center"/>
    </xf>
    <xf numFmtId="3" fontId="56" fillId="0" borderId="208"/>
    <xf numFmtId="221" fontId="117" fillId="0" borderId="208">
      <alignment vertical="center"/>
    </xf>
    <xf numFmtId="191" fontId="6" fillId="0" borderId="208">
      <alignment vertical="center"/>
    </xf>
    <xf numFmtId="3" fontId="57" fillId="0" borderId="208"/>
    <xf numFmtId="3" fontId="6" fillId="0" borderId="208"/>
    <xf numFmtId="0" fontId="41" fillId="0" borderId="355">
      <alignment horizontal="left" vertical="center"/>
    </xf>
    <xf numFmtId="0" fontId="50" fillId="3" borderId="355">
      <alignment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2" fillId="0" borderId="208"/>
    <xf numFmtId="322" fontId="9" fillId="0" borderId="356">
      <alignment horizontal="centerContinuous"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6" fillId="0" borderId="392">
      <alignment horizontal="centerContinuous" vertical="center"/>
    </xf>
    <xf numFmtId="0" fontId="94" fillId="0" borderId="392">
      <alignment horizontal="centerContinuous" vertical="center"/>
    </xf>
    <xf numFmtId="200" fontId="6" fillId="0" borderId="208">
      <alignment vertical="center"/>
    </xf>
    <xf numFmtId="41" fontId="9" fillId="0" borderId="382">
      <alignment horizontal="center" vertical="center"/>
    </xf>
    <xf numFmtId="0" fontId="41" fillId="0" borderId="355">
      <alignment horizontal="left" vertical="center"/>
    </xf>
    <xf numFmtId="0" fontId="159" fillId="0" borderId="389" applyNumberFormat="0" applyFill="0" applyAlignment="0" applyProtection="0">
      <alignment vertical="center"/>
    </xf>
    <xf numFmtId="240" fontId="6" fillId="0" borderId="208">
      <alignment horizontal="right" vertical="center"/>
    </xf>
    <xf numFmtId="0" fontId="50" fillId="3" borderId="391">
      <alignment vertical="center"/>
    </xf>
    <xf numFmtId="230" fontId="6" fillId="0" borderId="208">
      <alignment vertical="center"/>
    </xf>
    <xf numFmtId="3" fontId="57" fillId="0" borderId="208"/>
    <xf numFmtId="236" fontId="6" fillId="0" borderId="208">
      <alignment vertical="center"/>
    </xf>
    <xf numFmtId="0" fontId="9" fillId="0" borderId="357">
      <alignment horizontal="distributed"/>
    </xf>
    <xf numFmtId="235" fontId="117" fillId="0" borderId="208">
      <alignment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" fontId="57" fillId="0" borderId="208"/>
    <xf numFmtId="249" fontId="6" fillId="0" borderId="208">
      <alignment vertical="center"/>
    </xf>
    <xf numFmtId="3" fontId="57" fillId="0" borderId="390"/>
    <xf numFmtId="191" fontId="6" fillId="0" borderId="208">
      <alignment vertical="center"/>
    </xf>
    <xf numFmtId="191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38" fontId="19" fillId="0" borderId="390"/>
    <xf numFmtId="49" fontId="117" fillId="0" borderId="208">
      <alignment horizontal="center" vertical="center"/>
    </xf>
    <xf numFmtId="247" fontId="117" fillId="0" borderId="208">
      <alignment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200" fontId="6" fillId="0" borderId="208">
      <alignment vertical="center"/>
    </xf>
    <xf numFmtId="200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40" fontId="6" fillId="0" borderId="208">
      <alignment horizontal="right" vertical="center"/>
    </xf>
    <xf numFmtId="185" fontId="8" fillId="0" borderId="208">
      <alignment vertical="center"/>
    </xf>
    <xf numFmtId="185" fontId="8" fillId="0" borderId="208">
      <alignment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200" fontId="6" fillId="0" borderId="208">
      <alignment vertical="center"/>
    </xf>
    <xf numFmtId="0" fontId="41" fillId="0" borderId="355">
      <alignment horizontal="left" vertical="center"/>
    </xf>
    <xf numFmtId="243" fontId="117" fillId="0" borderId="208">
      <alignment vertical="center"/>
    </xf>
    <xf numFmtId="230" fontId="6" fillId="0" borderId="208">
      <alignment vertical="center"/>
    </xf>
    <xf numFmtId="0" fontId="82" fillId="0" borderId="208"/>
    <xf numFmtId="0" fontId="56" fillId="0" borderId="208"/>
    <xf numFmtId="239" fontId="117" fillId="0" borderId="208">
      <alignment horizontal="right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7">
      <alignment horizontal="distributed"/>
    </xf>
    <xf numFmtId="237" fontId="6" fillId="0" borderId="208">
      <alignment vertical="center"/>
    </xf>
    <xf numFmtId="10" fontId="39" fillId="4" borderId="208" applyNumberFormat="0" applyBorder="0" applyAlignment="0" applyProtection="0"/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35" fontId="117" fillId="0" borderId="208">
      <alignment vertical="center"/>
    </xf>
    <xf numFmtId="0" fontId="6" fillId="0" borderId="208">
      <alignment horizontal="right" vertical="center" shrinkToFit="1"/>
    </xf>
    <xf numFmtId="3" fontId="56" fillId="0" borderId="208"/>
    <xf numFmtId="231" fontId="117" fillId="0" borderId="208">
      <alignment vertical="center"/>
    </xf>
    <xf numFmtId="247" fontId="117" fillId="0" borderId="208">
      <alignment vertical="center"/>
    </xf>
    <xf numFmtId="176" fontId="6" fillId="0" borderId="208">
      <alignment vertical="center"/>
    </xf>
    <xf numFmtId="230" fontId="6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0" fontId="6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3" fontId="56" fillId="0" borderId="390"/>
    <xf numFmtId="0" fontId="117" fillId="0" borderId="356">
      <alignment horizontal="centerContinuous" vertical="center"/>
    </xf>
    <xf numFmtId="200" fontId="6" fillId="0" borderId="208">
      <alignment vertical="center"/>
    </xf>
    <xf numFmtId="176" fontId="6" fillId="0" borderId="208">
      <alignment vertical="center"/>
    </xf>
    <xf numFmtId="0" fontId="92" fillId="0" borderId="208"/>
    <xf numFmtId="0" fontId="94" fillId="0" borderId="356">
      <alignment horizontal="centerContinuous" vertical="center"/>
    </xf>
    <xf numFmtId="10" fontId="39" fillId="2" borderId="208" applyNumberFormat="0" applyBorder="0" applyAlignment="0" applyProtection="0"/>
    <xf numFmtId="240" fontId="6" fillId="0" borderId="208">
      <alignment horizontal="right" vertical="center"/>
    </xf>
    <xf numFmtId="200" fontId="6" fillId="0" borderId="208">
      <alignment vertical="center"/>
    </xf>
    <xf numFmtId="176" fontId="6" fillId="0" borderId="208">
      <alignment vertical="center"/>
    </xf>
    <xf numFmtId="200" fontId="77" fillId="0" borderId="208">
      <alignment vertical="center"/>
    </xf>
    <xf numFmtId="243" fontId="117" fillId="0" borderId="208">
      <alignment vertical="center"/>
    </xf>
    <xf numFmtId="200" fontId="6" fillId="0" borderId="208">
      <alignment vertical="center"/>
    </xf>
    <xf numFmtId="10" fontId="39" fillId="4" borderId="390" applyNumberFormat="0" applyBorder="0" applyAlignment="0" applyProtection="0"/>
    <xf numFmtId="200" fontId="6" fillId="0" borderId="208">
      <alignment vertical="center"/>
    </xf>
    <xf numFmtId="185" fontId="8" fillId="0" borderId="390">
      <alignment vertical="center"/>
    </xf>
    <xf numFmtId="176" fontId="6" fillId="0" borderId="208">
      <alignment vertical="center"/>
    </xf>
    <xf numFmtId="200" fontId="77" fillId="0" borderId="390">
      <alignment vertical="center"/>
    </xf>
    <xf numFmtId="0" fontId="6" fillId="0" borderId="356">
      <alignment horizontal="centerContinuous" vertical="center"/>
    </xf>
    <xf numFmtId="309" fontId="9" fillId="0" borderId="382" applyFill="0" applyBorder="0" applyAlignment="0"/>
    <xf numFmtId="236" fontId="6" fillId="0" borderId="208">
      <alignment vertical="center"/>
    </xf>
    <xf numFmtId="41" fontId="56" fillId="0" borderId="390" applyNumberFormat="0" applyFont="0" applyFill="0" applyBorder="0" applyProtection="0">
      <alignment horizontal="distributed"/>
    </xf>
    <xf numFmtId="3" fontId="56" fillId="0" borderId="390"/>
    <xf numFmtId="3" fontId="56" fillId="0" borderId="390"/>
    <xf numFmtId="41" fontId="56" fillId="0" borderId="390" applyNumberFormat="0" applyFont="0" applyFill="0" applyBorder="0" applyProtection="0">
      <alignment horizontal="distributed"/>
    </xf>
    <xf numFmtId="0" fontId="6" fillId="0" borderId="390">
      <alignment horizontal="right" vertical="center" shrinkToFit="1"/>
    </xf>
    <xf numFmtId="240" fontId="6" fillId="0" borderId="208">
      <alignment horizontal="right" vertical="center"/>
    </xf>
    <xf numFmtId="256" fontId="117" fillId="0" borderId="208" applyBorder="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238" fontId="6" fillId="0" borderId="208">
      <alignment vertical="center"/>
    </xf>
    <xf numFmtId="236" fontId="6" fillId="0" borderId="208">
      <alignment vertical="center"/>
    </xf>
    <xf numFmtId="242" fontId="6" fillId="0" borderId="208">
      <alignment horizontal="right"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10" fontId="39" fillId="4" borderId="382" applyNumberFormat="0" applyBorder="0" applyAlignment="0" applyProtection="0"/>
    <xf numFmtId="241" fontId="6" fillId="0" borderId="208">
      <alignment horizontal="right" vertical="center"/>
    </xf>
    <xf numFmtId="0" fontId="184" fillId="0" borderId="382" applyFill="0" applyBorder="0" applyProtection="0">
      <alignment vertical="center"/>
    </xf>
    <xf numFmtId="218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86" fillId="0" borderId="382" applyProtection="0">
      <alignment vertical="center"/>
    </xf>
    <xf numFmtId="0" fontId="117" fillId="0" borderId="356">
      <alignment horizontal="centerContinuous" vertical="center"/>
    </xf>
    <xf numFmtId="185" fontId="8" fillId="0" borderId="208">
      <alignment vertical="center"/>
    </xf>
    <xf numFmtId="3" fontId="57" fillId="0" borderId="208"/>
    <xf numFmtId="0" fontId="41" fillId="0" borderId="355">
      <alignment horizontal="left" vertical="center"/>
    </xf>
    <xf numFmtId="200" fontId="6" fillId="0" borderId="208">
      <alignment vertical="center"/>
    </xf>
    <xf numFmtId="3" fontId="57" fillId="0" borderId="208"/>
    <xf numFmtId="234" fontId="117" fillId="0" borderId="208">
      <alignment vertical="center"/>
    </xf>
    <xf numFmtId="0" fontId="6" fillId="0" borderId="356">
      <alignment horizontal="centerContinuous" vertical="center"/>
    </xf>
    <xf numFmtId="0" fontId="9" fillId="0" borderId="357">
      <alignment horizontal="distributed"/>
    </xf>
    <xf numFmtId="41" fontId="9" fillId="0" borderId="208">
      <alignment horizontal="center" vertical="center"/>
    </xf>
    <xf numFmtId="236" fontId="6" fillId="0" borderId="208">
      <alignment vertical="center"/>
    </xf>
    <xf numFmtId="0" fontId="94" fillId="0" borderId="392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390"/>
    <xf numFmtId="0" fontId="9" fillId="0" borderId="356">
      <alignment horizontal="centerContinuous" vertical="center"/>
    </xf>
    <xf numFmtId="237" fontId="6" fillId="0" borderId="208">
      <alignment vertical="center"/>
    </xf>
    <xf numFmtId="191" fontId="6" fillId="0" borderId="208">
      <alignment vertical="center"/>
    </xf>
    <xf numFmtId="0" fontId="6" fillId="0" borderId="208">
      <alignment vertical="center"/>
    </xf>
    <xf numFmtId="0" fontId="153" fillId="22" borderId="387" applyNumberFormat="0" applyAlignment="0" applyProtection="0">
      <alignment vertical="center"/>
    </xf>
    <xf numFmtId="322" fontId="9" fillId="0" borderId="356">
      <alignment horizontal="centerContinuous" vertical="center"/>
    </xf>
    <xf numFmtId="247" fontId="117" fillId="0" borderId="208">
      <alignment vertical="center"/>
    </xf>
    <xf numFmtId="0" fontId="94" fillId="0" borderId="356">
      <alignment horizontal="centerContinuous" vertical="center"/>
    </xf>
    <xf numFmtId="203" fontId="176" fillId="0" borderId="383" applyFill="0" applyProtection="0">
      <alignment horizontal="center"/>
    </xf>
    <xf numFmtId="20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185" fontId="8" fillId="0" borderId="208">
      <alignment vertical="center"/>
    </xf>
    <xf numFmtId="3" fontId="57" fillId="0" borderId="208"/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3" fontId="56" fillId="0" borderId="208"/>
    <xf numFmtId="0" fontId="92" fillId="0" borderId="208"/>
    <xf numFmtId="256" fontId="117" fillId="0" borderId="208" applyBorder="0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338" fontId="19" fillId="0" borderId="208"/>
    <xf numFmtId="0" fontId="9" fillId="0" borderId="393">
      <alignment horizontal="distributed"/>
    </xf>
    <xf numFmtId="322" fontId="9" fillId="0" borderId="356">
      <alignment horizontal="centerContinuous" vertical="center"/>
    </xf>
    <xf numFmtId="185" fontId="8" fillId="0" borderId="208">
      <alignment vertical="center"/>
    </xf>
    <xf numFmtId="10" fontId="39" fillId="4" borderId="208" applyNumberFormat="0" applyBorder="0" applyAlignment="0" applyProtection="0"/>
    <xf numFmtId="257" fontId="117" fillId="0" borderId="208" applyBorder="0">
      <alignment horizontal="left" vertical="center"/>
    </xf>
    <xf numFmtId="0" fontId="134" fillId="0" borderId="208">
      <alignment vertical="center"/>
    </xf>
    <xf numFmtId="0" fontId="134" fillId="0" borderId="208">
      <alignment vertical="center"/>
    </xf>
    <xf numFmtId="191" fontId="6" fillId="0" borderId="208">
      <alignment vertical="center"/>
    </xf>
    <xf numFmtId="37" fontId="117" fillId="0" borderId="208">
      <alignment horizontal="center" vertical="distributed"/>
    </xf>
    <xf numFmtId="237" fontId="6" fillId="0" borderId="208">
      <alignment vertical="center"/>
    </xf>
    <xf numFmtId="206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0" fontId="6" fillId="0" borderId="392">
      <alignment horizontal="centerContinuous"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322" fontId="9" fillId="0" borderId="356">
      <alignment horizontal="centerContinuous" vertical="center"/>
    </xf>
    <xf numFmtId="237" fontId="6" fillId="0" borderId="208">
      <alignment vertical="center"/>
    </xf>
    <xf numFmtId="41" fontId="135" fillId="0" borderId="382" applyNumberFormat="0">
      <alignment vertical="center"/>
    </xf>
    <xf numFmtId="0" fontId="6" fillId="0" borderId="392">
      <alignment horizontal="centerContinuous" vertical="center"/>
    </xf>
    <xf numFmtId="0" fontId="94" fillId="0" borderId="392">
      <alignment horizontal="centerContinuous" vertical="center"/>
    </xf>
    <xf numFmtId="0" fontId="41" fillId="0" borderId="391">
      <alignment horizontal="left" vertical="center"/>
    </xf>
    <xf numFmtId="200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3" fontId="57" fillId="0" borderId="208"/>
    <xf numFmtId="3" fontId="57" fillId="0" borderId="208"/>
    <xf numFmtId="0" fontId="41" fillId="0" borderId="355">
      <alignment horizontal="left" vertical="center"/>
    </xf>
    <xf numFmtId="10" fontId="39" fillId="4" borderId="208" applyNumberFormat="0" applyBorder="0" applyAlignment="0" applyProtection="0"/>
    <xf numFmtId="0" fontId="50" fillId="3" borderId="355">
      <alignment vertical="center"/>
    </xf>
    <xf numFmtId="3" fontId="6" fillId="0" borderId="208"/>
    <xf numFmtId="185" fontId="9" fillId="0" borderId="208">
      <alignment horizontal="center" vertical="center"/>
    </xf>
    <xf numFmtId="200" fontId="77" fillId="0" borderId="208">
      <alignment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0" fontId="94" fillId="0" borderId="356">
      <alignment horizontal="centerContinuous" vertical="center"/>
    </xf>
    <xf numFmtId="200" fontId="6" fillId="0" borderId="208">
      <alignment vertical="center"/>
    </xf>
    <xf numFmtId="0" fontId="56" fillId="0" borderId="208"/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56" fillId="0" borderId="208"/>
    <xf numFmtId="37" fontId="117" fillId="0" borderId="208">
      <alignment horizontal="center" vertical="distributed"/>
    </xf>
    <xf numFmtId="231" fontId="117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0" fontId="94" fillId="0" borderId="356">
      <alignment horizontal="centerContinuous" vertical="center"/>
    </xf>
    <xf numFmtId="200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41" fontId="56" fillId="0" borderId="208" applyNumberFormat="0" applyFont="0" applyFill="0" applyBorder="0" applyProtection="0">
      <alignment horizontal="distributed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338" fontId="19" fillId="0" borderId="208"/>
    <xf numFmtId="41" fontId="135" fillId="0" borderId="208" applyNumberFormat="0">
      <alignment vertical="center"/>
    </xf>
    <xf numFmtId="3" fontId="57" fillId="0" borderId="208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40" fontId="6" fillId="0" borderId="208">
      <alignment horizontal="right" vertical="center"/>
    </xf>
    <xf numFmtId="247" fontId="117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243" fontId="117" fillId="0" borderId="390">
      <alignment vertical="center"/>
    </xf>
    <xf numFmtId="20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43" fontId="117" fillId="0" borderId="208">
      <alignment vertical="center"/>
    </xf>
    <xf numFmtId="238" fontId="6" fillId="0" borderId="208">
      <alignment vertical="center"/>
    </xf>
    <xf numFmtId="41" fontId="135" fillId="0" borderId="208" applyNumberFormat="0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44" fontId="117" fillId="0" borderId="390">
      <alignment vertical="center"/>
    </xf>
    <xf numFmtId="0" fontId="82" fillId="0" borderId="390"/>
    <xf numFmtId="3" fontId="57" fillId="0" borderId="390"/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322" fontId="9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0" fontId="6" fillId="0" borderId="392">
      <alignment horizontal="centerContinuous" vertical="center"/>
    </xf>
    <xf numFmtId="235" fontId="117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49" fontId="60" fillId="0" borderId="384" applyNumberFormat="0" applyAlignment="0"/>
    <xf numFmtId="0" fontId="9" fillId="0" borderId="208">
      <alignment horizontal="distributed" vertical="center"/>
    </xf>
    <xf numFmtId="218" fontId="9" fillId="0" borderId="356">
      <alignment horizontal="centerContinuous" vertical="center"/>
    </xf>
    <xf numFmtId="0" fontId="50" fillId="3" borderId="355">
      <alignment vertical="center"/>
    </xf>
    <xf numFmtId="191" fontId="6" fillId="0" borderId="208">
      <alignment vertical="center"/>
    </xf>
    <xf numFmtId="0" fontId="56" fillId="0" borderId="208"/>
    <xf numFmtId="0" fontId="9" fillId="0" borderId="393">
      <alignment horizontal="distributed"/>
    </xf>
    <xf numFmtId="228" fontId="117" fillId="0" borderId="353" applyBorder="0">
      <alignment vertical="center" wrapText="1"/>
    </xf>
    <xf numFmtId="338" fontId="19" fillId="0" borderId="208"/>
    <xf numFmtId="0" fontId="94" fillId="0" borderId="356">
      <alignment horizontal="centerContinuous" vertical="center"/>
    </xf>
    <xf numFmtId="3" fontId="56" fillId="0" borderId="208"/>
    <xf numFmtId="0" fontId="92" fillId="0" borderId="208"/>
    <xf numFmtId="185" fontId="9" fillId="0" borderId="208">
      <alignment horizontal="center" vertical="center"/>
    </xf>
    <xf numFmtId="3" fontId="57" fillId="0" borderId="208"/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3" fontId="56" fillId="0" borderId="208"/>
    <xf numFmtId="191" fontId="6" fillId="0" borderId="208">
      <alignment vertical="center"/>
    </xf>
    <xf numFmtId="257" fontId="117" fillId="0" borderId="208" applyBorder="0">
      <alignment horizontal="left" vertical="center"/>
    </xf>
    <xf numFmtId="0" fontId="134" fillId="0" borderId="208">
      <alignment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338" fontId="19" fillId="0" borderId="208"/>
    <xf numFmtId="185" fontId="9" fillId="0" borderId="208">
      <alignment horizontal="center" vertical="center"/>
    </xf>
    <xf numFmtId="185" fontId="8" fillId="0" borderId="208">
      <alignment vertical="center"/>
    </xf>
    <xf numFmtId="185" fontId="8" fillId="0" borderId="208">
      <alignment vertical="center"/>
    </xf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0" fontId="54" fillId="28" borderId="388" applyNumberFormat="0" applyFont="0" applyAlignment="0" applyProtection="0">
      <alignment vertical="center"/>
    </xf>
    <xf numFmtId="0" fontId="6" fillId="0" borderId="208" applyNumberFormat="0" applyFill="0" applyProtection="0">
      <alignment vertical="center"/>
    </xf>
    <xf numFmtId="0" fontId="6" fillId="0" borderId="392">
      <alignment horizontal="centerContinuous"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90" applyNumberFormat="0" applyFill="0" applyProtection="0">
      <alignment vertical="center"/>
    </xf>
    <xf numFmtId="0" fontId="50" fillId="3" borderId="355">
      <alignment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0" fontId="94" fillId="0" borderId="392">
      <alignment horizontal="centerContinuous" vertical="center"/>
    </xf>
    <xf numFmtId="191" fontId="6" fillId="0" borderId="208">
      <alignment vertical="center"/>
    </xf>
    <xf numFmtId="236" fontId="6" fillId="0" borderId="208">
      <alignment vertical="center"/>
    </xf>
    <xf numFmtId="3" fontId="56" fillId="0" borderId="208"/>
    <xf numFmtId="200" fontId="6" fillId="0" borderId="208">
      <alignment vertical="center"/>
    </xf>
    <xf numFmtId="236" fontId="6" fillId="0" borderId="208">
      <alignment vertical="center"/>
    </xf>
    <xf numFmtId="218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3" fontId="57" fillId="0" borderId="208"/>
    <xf numFmtId="322" fontId="9" fillId="0" borderId="356">
      <alignment horizontal="centerContinuous" vertical="center"/>
    </xf>
    <xf numFmtId="218" fontId="6" fillId="0" borderId="208">
      <alignment vertical="center"/>
    </xf>
    <xf numFmtId="218" fontId="9" fillId="0" borderId="392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243" fontId="117" fillId="0" borderId="208">
      <alignment vertical="center"/>
    </xf>
    <xf numFmtId="233" fontId="122" fillId="0" borderId="208" applyFill="0" applyBorder="0" applyAlignment="0"/>
    <xf numFmtId="0" fontId="6" fillId="0" borderId="392">
      <alignment horizontal="centerContinuous" vertical="center"/>
    </xf>
    <xf numFmtId="246" fontId="117" fillId="0" borderId="208">
      <alignment vertical="center"/>
    </xf>
    <xf numFmtId="236" fontId="6" fillId="0" borderId="208">
      <alignment vertical="center"/>
    </xf>
    <xf numFmtId="0" fontId="6" fillId="0" borderId="208">
      <alignment horizontal="right" vertical="center" shrinkToFit="1"/>
    </xf>
    <xf numFmtId="0" fontId="6" fillId="0" borderId="356">
      <alignment horizontal="centerContinuous" vertical="center"/>
    </xf>
    <xf numFmtId="0" fontId="6" fillId="0" borderId="208" applyNumberFormat="0" applyFill="0" applyProtection="0">
      <alignment vertical="center"/>
    </xf>
    <xf numFmtId="0" fontId="94" fillId="0" borderId="392">
      <alignment horizontal="centerContinuous" vertical="center"/>
    </xf>
    <xf numFmtId="338" fontId="19" fillId="0" borderId="208"/>
    <xf numFmtId="338" fontId="19" fillId="0" borderId="208"/>
    <xf numFmtId="338" fontId="19" fillId="0" borderId="208"/>
    <xf numFmtId="185" fontId="9" fillId="0" borderId="208">
      <alignment horizontal="center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" fillId="0" borderId="357">
      <alignment horizontal="distributed"/>
    </xf>
    <xf numFmtId="0" fontId="56" fillId="0" borderId="208"/>
    <xf numFmtId="0" fontId="56" fillId="0" borderId="208"/>
    <xf numFmtId="0" fontId="56" fillId="0" borderId="208"/>
    <xf numFmtId="0" fontId="56" fillId="0" borderId="208"/>
    <xf numFmtId="0" fontId="56" fillId="0" borderId="208"/>
    <xf numFmtId="0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153" fillId="22" borderId="387" applyNumberFormat="0" applyAlignment="0" applyProtection="0">
      <alignment vertical="center"/>
    </xf>
    <xf numFmtId="176" fontId="6" fillId="0" borderId="208">
      <alignment vertical="center"/>
    </xf>
    <xf numFmtId="0" fontId="9" fillId="0" borderId="390">
      <alignment horizontal="distributed"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206" fontId="6" fillId="0" borderId="208">
      <alignment vertical="center"/>
    </xf>
    <xf numFmtId="0" fontId="92" fillId="0" borderId="208"/>
    <xf numFmtId="191" fontId="6" fillId="0" borderId="208">
      <alignment vertical="center"/>
    </xf>
    <xf numFmtId="0" fontId="82" fillId="0" borderId="208"/>
    <xf numFmtId="322" fontId="9" fillId="0" borderId="356">
      <alignment horizontal="centerContinuous" vertical="center"/>
    </xf>
    <xf numFmtId="3" fontId="57" fillId="0" borderId="208"/>
    <xf numFmtId="0" fontId="6" fillId="0" borderId="208">
      <alignment vertical="center"/>
    </xf>
    <xf numFmtId="0" fontId="94" fillId="0" borderId="392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92">
      <alignment horizontal="centerContinuous" vertical="center"/>
    </xf>
    <xf numFmtId="0" fontId="165" fillId="22" borderId="386" applyNumberFormat="0" applyAlignment="0" applyProtection="0">
      <alignment vertical="center"/>
    </xf>
    <xf numFmtId="0" fontId="94" fillId="0" borderId="392">
      <alignment horizontal="centerContinuous" vertical="center"/>
    </xf>
    <xf numFmtId="0" fontId="6" fillId="0" borderId="392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206" fontId="6" fillId="0" borderId="208">
      <alignment vertical="center"/>
    </xf>
    <xf numFmtId="20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57" fillId="28" borderId="388" applyNumberFormat="0" applyFont="0" applyAlignment="0" applyProtection="0">
      <alignment vertical="center"/>
    </xf>
    <xf numFmtId="191" fontId="6" fillId="0" borderId="208">
      <alignment vertical="center"/>
    </xf>
    <xf numFmtId="0" fontId="9" fillId="0" borderId="208">
      <alignment horizontal="distributed"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0" fontId="56" fillId="0" borderId="208"/>
    <xf numFmtId="0" fontId="6" fillId="0" borderId="208">
      <alignment horizontal="right" vertical="center" shrinkToFit="1"/>
    </xf>
    <xf numFmtId="234" fontId="117" fillId="0" borderId="208">
      <alignment vertical="center"/>
    </xf>
    <xf numFmtId="0" fontId="117" fillId="0" borderId="356">
      <alignment horizontal="centerContinuous" vertical="center"/>
    </xf>
    <xf numFmtId="242" fontId="6" fillId="0" borderId="208">
      <alignment horizontal="right"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1" fontId="117" fillId="0" borderId="208">
      <alignment vertical="center"/>
    </xf>
    <xf numFmtId="0" fontId="41" fillId="0" borderId="355">
      <alignment horizontal="left" vertical="center"/>
    </xf>
    <xf numFmtId="233" fontId="122" fillId="0" borderId="208" applyFill="0" applyBorder="0" applyAlignment="0"/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50" fillId="3" borderId="355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0" fontId="6" fillId="0" borderId="208">
      <alignment horizontal="right" vertical="center"/>
    </xf>
    <xf numFmtId="322" fontId="9" fillId="0" borderId="356">
      <alignment horizontal="centerContinuous" vertical="center"/>
    </xf>
    <xf numFmtId="241" fontId="6" fillId="0" borderId="208">
      <alignment horizontal="right" vertical="center"/>
    </xf>
    <xf numFmtId="0" fontId="6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203" fontId="176" fillId="0" borderId="383" applyFill="0" applyProtection="0">
      <alignment horizontal="center"/>
    </xf>
    <xf numFmtId="0" fontId="6" fillId="0" borderId="208" applyNumberFormat="0" applyFill="0" applyProtection="0">
      <alignment vertical="center"/>
    </xf>
    <xf numFmtId="200" fontId="77" fillId="0" borderId="208">
      <alignment vertical="center"/>
    </xf>
    <xf numFmtId="185" fontId="9" fillId="0" borderId="208">
      <alignment horizontal="center" vertical="center"/>
    </xf>
    <xf numFmtId="3" fontId="6" fillId="0" borderId="208"/>
    <xf numFmtId="0" fontId="92" fillId="0" borderId="208"/>
    <xf numFmtId="0" fontId="56" fillId="0" borderId="208"/>
    <xf numFmtId="3" fontId="56" fillId="0" borderId="208"/>
    <xf numFmtId="0" fontId="11" fillId="0" borderId="208" applyNumberFormat="0" applyFont="0" applyFill="0" applyAlignment="0" applyProtection="0">
      <alignment horizontal="center" vertical="center"/>
    </xf>
    <xf numFmtId="10" fontId="39" fillId="4" borderId="208" applyNumberFormat="0" applyBorder="0" applyAlignment="0" applyProtection="0"/>
    <xf numFmtId="0" fontId="82" fillId="0" borderId="208"/>
    <xf numFmtId="3" fontId="57" fillId="0" borderId="208"/>
    <xf numFmtId="3" fontId="57" fillId="0" borderId="208"/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0" fontId="50" fillId="3" borderId="391">
      <alignment vertical="center"/>
    </xf>
    <xf numFmtId="3" fontId="57" fillId="0" borderId="390"/>
    <xf numFmtId="238" fontId="6" fillId="0" borderId="208">
      <alignment vertical="center"/>
    </xf>
    <xf numFmtId="37" fontId="117" fillId="0" borderId="208">
      <alignment horizontal="center" vertical="distributed"/>
    </xf>
    <xf numFmtId="3" fontId="57" fillId="0" borderId="390"/>
    <xf numFmtId="322" fontId="9" fillId="0" borderId="356">
      <alignment horizontal="centerContinuous" vertical="center"/>
    </xf>
    <xf numFmtId="0" fontId="41" fillId="0" borderId="355">
      <alignment horizontal="left"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56" fontId="117" fillId="0" borderId="208" applyBorder="0">
      <alignment vertical="center"/>
    </xf>
    <xf numFmtId="322" fontId="9" fillId="0" borderId="356">
      <alignment horizontal="centerContinuous" vertical="center"/>
    </xf>
    <xf numFmtId="309" fontId="9" fillId="0" borderId="208" applyFill="0" applyBorder="0" applyAlignment="0"/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0" fontId="9" fillId="0" borderId="357">
      <alignment horizontal="distributed"/>
    </xf>
    <xf numFmtId="0" fontId="6" fillId="0" borderId="208" applyNumberFormat="0" applyFill="0" applyProtection="0">
      <alignment vertical="center"/>
    </xf>
    <xf numFmtId="41" fontId="56" fillId="0" borderId="208" applyNumberFormat="0" applyFont="0" applyFill="0" applyBorder="0" applyProtection="0">
      <alignment horizontal="distributed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06" fontId="6" fillId="0" borderId="208">
      <alignment vertical="center"/>
    </xf>
    <xf numFmtId="0" fontId="153" fillId="22" borderId="397" applyNumberFormat="0" applyAlignment="0" applyProtection="0">
      <alignment vertical="center"/>
    </xf>
    <xf numFmtId="338" fontId="19" fillId="0" borderId="390"/>
    <xf numFmtId="0" fontId="9" fillId="0" borderId="393">
      <alignment horizontal="distributed"/>
    </xf>
    <xf numFmtId="0" fontId="9" fillId="0" borderId="390">
      <alignment horizontal="distributed" vertical="center"/>
    </xf>
    <xf numFmtId="244" fontId="117" fillId="0" borderId="390">
      <alignment vertical="center"/>
    </xf>
    <xf numFmtId="239" fontId="117" fillId="0" borderId="390">
      <alignment horizontal="right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06" fontId="6" fillId="0" borderId="208">
      <alignment vertical="center"/>
    </xf>
    <xf numFmtId="0" fontId="9" fillId="0" borderId="356">
      <alignment horizontal="centerContinuous" vertical="center"/>
    </xf>
    <xf numFmtId="176" fontId="6" fillId="0" borderId="208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92">
      <alignment horizontal="centerContinuous" vertical="center"/>
    </xf>
    <xf numFmtId="246" fontId="117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37" fontId="6" fillId="0" borderId="208">
      <alignment vertical="center"/>
    </xf>
    <xf numFmtId="242" fontId="6" fillId="0" borderId="208">
      <alignment horizontal="right" vertical="center"/>
    </xf>
    <xf numFmtId="322" fontId="9" fillId="0" borderId="356">
      <alignment horizontal="centerContinuous" vertical="center"/>
    </xf>
    <xf numFmtId="237" fontId="6" fillId="0" borderId="208">
      <alignment vertical="center"/>
    </xf>
    <xf numFmtId="237" fontId="6" fillId="0" borderId="208">
      <alignment vertical="center"/>
    </xf>
    <xf numFmtId="185" fontId="8" fillId="0" borderId="208">
      <alignment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242" fontId="6" fillId="0" borderId="208">
      <alignment horizontal="right"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4" fontId="117" fillId="0" borderId="208">
      <alignment vertical="center"/>
    </xf>
    <xf numFmtId="0" fontId="50" fillId="3" borderId="355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218" fontId="9" fillId="0" borderId="392">
      <alignment horizontal="centerContinuous" vertical="center"/>
    </xf>
    <xf numFmtId="256" fontId="117" fillId="0" borderId="390" applyBorder="0">
      <alignment vertical="center"/>
    </xf>
    <xf numFmtId="218" fontId="9" fillId="0" borderId="356">
      <alignment horizontal="centerContinuous" vertical="center"/>
    </xf>
    <xf numFmtId="0" fontId="56" fillId="0" borderId="208"/>
    <xf numFmtId="240" fontId="6" fillId="0" borderId="208">
      <alignment horizontal="right" vertical="center"/>
    </xf>
    <xf numFmtId="0" fontId="6" fillId="0" borderId="208">
      <alignment vertical="center"/>
    </xf>
    <xf numFmtId="176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0" fontId="94" fillId="0" borderId="356">
      <alignment horizontal="centerContinuous" vertical="center"/>
    </xf>
    <xf numFmtId="3" fontId="57" fillId="0" borderId="390"/>
    <xf numFmtId="3" fontId="57" fillId="0" borderId="390"/>
    <xf numFmtId="185" fontId="9" fillId="0" borderId="390">
      <alignment horizontal="center" vertical="center"/>
    </xf>
    <xf numFmtId="0" fontId="9" fillId="0" borderId="393">
      <alignment horizontal="distributed"/>
    </xf>
    <xf numFmtId="234" fontId="117" fillId="0" borderId="390">
      <alignment vertical="center"/>
    </xf>
    <xf numFmtId="185" fontId="8" fillId="0" borderId="390">
      <alignment vertical="center"/>
    </xf>
    <xf numFmtId="191" fontId="6" fillId="0" borderId="208">
      <alignment vertical="center"/>
    </xf>
    <xf numFmtId="0" fontId="153" fillId="22" borderId="387" applyNumberFormat="0" applyAlignment="0" applyProtection="0">
      <alignment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18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9" fillId="0" borderId="357">
      <alignment horizontal="distributed"/>
    </xf>
    <xf numFmtId="0" fontId="9" fillId="0" borderId="357">
      <alignment horizontal="distributed"/>
    </xf>
    <xf numFmtId="236" fontId="6" fillId="0" borderId="208">
      <alignment vertical="center"/>
    </xf>
    <xf numFmtId="3" fontId="57" fillId="0" borderId="208"/>
    <xf numFmtId="186" fontId="14" fillId="0" borderId="385"/>
    <xf numFmtId="176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191" fontId="6" fillId="0" borderId="208">
      <alignment vertical="center"/>
    </xf>
    <xf numFmtId="176" fontId="6" fillId="0" borderId="208">
      <alignment vertical="center"/>
    </xf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244" fontId="117" fillId="0" borderId="390">
      <alignment vertical="center"/>
    </xf>
    <xf numFmtId="206" fontId="6" fillId="0" borderId="208">
      <alignment vertical="center"/>
    </xf>
    <xf numFmtId="185" fontId="8" fillId="0" borderId="208">
      <alignment vertical="center"/>
    </xf>
    <xf numFmtId="248" fontId="117" fillId="0" borderId="208">
      <alignment vertical="center"/>
    </xf>
    <xf numFmtId="0" fontId="6" fillId="0" borderId="208">
      <alignment vertical="center"/>
    </xf>
    <xf numFmtId="200" fontId="6" fillId="0" borderId="208">
      <alignment vertical="center"/>
    </xf>
    <xf numFmtId="243" fontId="117" fillId="0" borderId="208">
      <alignment vertical="center"/>
    </xf>
    <xf numFmtId="0" fontId="92" fillId="0" borderId="208"/>
    <xf numFmtId="200" fontId="6" fillId="0" borderId="208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41" fillId="0" borderId="391">
      <alignment horizontal="left" vertical="center"/>
    </xf>
    <xf numFmtId="10" fontId="39" fillId="2" borderId="208" applyNumberFormat="0" applyBorder="0" applyAlignment="0" applyProtection="0"/>
    <xf numFmtId="242" fontId="6" fillId="0" borderId="208">
      <alignment horizontal="right" vertical="center"/>
    </xf>
    <xf numFmtId="221" fontId="117" fillId="0" borderId="208">
      <alignment vertical="center"/>
    </xf>
    <xf numFmtId="338" fontId="19" fillId="0" borderId="390"/>
    <xf numFmtId="0" fontId="56" fillId="0" borderId="390"/>
    <xf numFmtId="200" fontId="6" fillId="0" borderId="208">
      <alignment vertical="center"/>
    </xf>
    <xf numFmtId="249" fontId="6" fillId="0" borderId="208">
      <alignment vertical="center"/>
    </xf>
    <xf numFmtId="185" fontId="8" fillId="0" borderId="208">
      <alignment vertical="center"/>
    </xf>
    <xf numFmtId="0" fontId="94" fillId="0" borderId="356">
      <alignment horizontal="centerContinuous" vertical="center"/>
    </xf>
    <xf numFmtId="0" fontId="41" fillId="0" borderId="355">
      <alignment horizontal="left" vertical="center"/>
    </xf>
    <xf numFmtId="0" fontId="50" fillId="3" borderId="355">
      <alignment vertical="center"/>
    </xf>
    <xf numFmtId="0" fontId="6" fillId="0" borderId="356">
      <alignment horizontal="centerContinuous" vertical="center"/>
    </xf>
    <xf numFmtId="234" fontId="117" fillId="0" borderId="390">
      <alignment vertical="center"/>
    </xf>
    <xf numFmtId="3" fontId="57" fillId="0" borderId="208"/>
    <xf numFmtId="3" fontId="57" fillId="0" borderId="208"/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0" fontId="6" fillId="0" borderId="208">
      <alignment vertical="center"/>
    </xf>
    <xf numFmtId="3" fontId="57" fillId="0" borderId="208"/>
    <xf numFmtId="0" fontId="50" fillId="3" borderId="355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18" fontId="9" fillId="0" borderId="356">
      <alignment horizontal="centerContinuous" vertical="center"/>
    </xf>
    <xf numFmtId="37" fontId="117" fillId="0" borderId="208">
      <alignment horizontal="center" vertical="distributed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36" fontId="6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218" fontId="9" fillId="0" borderId="356">
      <alignment horizontal="centerContinuous" vertical="center"/>
    </xf>
    <xf numFmtId="0" fontId="50" fillId="3" borderId="355">
      <alignment vertical="center"/>
    </xf>
    <xf numFmtId="3" fontId="6" fillId="0" borderId="208"/>
    <xf numFmtId="0" fontId="92" fillId="0" borderId="208"/>
    <xf numFmtId="0" fontId="56" fillId="0" borderId="208"/>
    <xf numFmtId="0" fontId="11" fillId="0" borderId="208" applyNumberFormat="0" applyFont="0" applyFill="0" applyAlignment="0" applyProtection="0">
      <alignment horizontal="center" vertical="center"/>
    </xf>
    <xf numFmtId="0" fontId="50" fillId="3" borderId="355">
      <alignment vertical="center"/>
    </xf>
    <xf numFmtId="0" fontId="41" fillId="0" borderId="355">
      <alignment horizontal="left" vertical="center"/>
    </xf>
    <xf numFmtId="221" fontId="117" fillId="0" borderId="208">
      <alignment vertical="center"/>
    </xf>
    <xf numFmtId="218" fontId="9" fillId="0" borderId="356">
      <alignment horizontal="centerContinuous" vertical="center"/>
    </xf>
    <xf numFmtId="0" fontId="50" fillId="3" borderId="355">
      <alignment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224" fillId="0" borderId="356">
      <alignment horizontal="centerContinuous" vertical="center"/>
    </xf>
    <xf numFmtId="41" fontId="9" fillId="0" borderId="208">
      <alignment horizontal="center" vertical="center"/>
    </xf>
    <xf numFmtId="0" fontId="94" fillId="0" borderId="392">
      <alignment horizontal="centerContinuous"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18" fontId="9" fillId="0" borderId="392">
      <alignment horizontal="centerContinuous" vertical="center"/>
    </xf>
    <xf numFmtId="3" fontId="57" fillId="0" borderId="390"/>
    <xf numFmtId="0" fontId="117" fillId="0" borderId="392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0" fontId="9" fillId="0" borderId="357">
      <alignment horizontal="distributed"/>
    </xf>
    <xf numFmtId="49" fontId="117" fillId="0" borderId="208">
      <alignment horizontal="center"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0" fontId="184" fillId="0" borderId="208" applyFill="0" applyBorder="0" applyProtection="0">
      <alignment vertical="center"/>
    </xf>
    <xf numFmtId="0" fontId="159" fillId="0" borderId="389" applyNumberFormat="0" applyFill="0" applyAlignment="0" applyProtection="0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50" fillId="3" borderId="355">
      <alignment vertical="center"/>
    </xf>
    <xf numFmtId="218" fontId="9" fillId="0" borderId="356">
      <alignment horizontal="centerContinuous" vertical="center"/>
    </xf>
    <xf numFmtId="0" fontId="185" fillId="22" borderId="386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82" fillId="0" borderId="208"/>
    <xf numFmtId="0" fontId="9" fillId="0" borderId="393">
      <alignment horizontal="distributed"/>
    </xf>
    <xf numFmtId="0" fontId="94" fillId="0" borderId="356">
      <alignment horizontal="centerContinuous" vertical="center"/>
    </xf>
    <xf numFmtId="0" fontId="6" fillId="0" borderId="392">
      <alignment horizontal="centerContinuous"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40" fontId="6" fillId="0" borderId="208">
      <alignment horizontal="right" vertical="center"/>
    </xf>
    <xf numFmtId="10" fontId="39" fillId="4" borderId="208" applyNumberFormat="0" applyBorder="0" applyAlignment="0" applyProtection="0"/>
    <xf numFmtId="256" fontId="117" fillId="0" borderId="208" applyBorder="0">
      <alignment vertical="center"/>
    </xf>
    <xf numFmtId="3" fontId="56" fillId="0" borderId="208"/>
    <xf numFmtId="0" fontId="41" fillId="0" borderId="355">
      <alignment horizontal="left" vertical="center"/>
    </xf>
    <xf numFmtId="0" fontId="6" fillId="0" borderId="356">
      <alignment horizontal="centerContinuous" vertical="center"/>
    </xf>
    <xf numFmtId="185" fontId="8" fillId="0" borderId="208">
      <alignment vertical="center"/>
    </xf>
    <xf numFmtId="0" fontId="117" fillId="0" borderId="356">
      <alignment horizontal="centerContinuous" vertical="center"/>
    </xf>
    <xf numFmtId="10" fontId="39" fillId="4" borderId="208" applyNumberFormat="0" applyBorder="0" applyAlignment="0" applyProtection="0"/>
    <xf numFmtId="0" fontId="6" fillId="0" borderId="356">
      <alignment horizontal="centerContinuous" vertical="center"/>
    </xf>
    <xf numFmtId="176" fontId="6" fillId="0" borderId="208">
      <alignment vertical="center"/>
    </xf>
    <xf numFmtId="0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0" fontId="165" fillId="22" borderId="386" applyNumberForma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309" fontId="9" fillId="0" borderId="208" applyFill="0" applyBorder="0" applyAlignment="0"/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00" fontId="6" fillId="0" borderId="208">
      <alignment vertical="center"/>
    </xf>
    <xf numFmtId="322" fontId="9" fillId="0" borderId="392">
      <alignment horizontal="centerContinuous" vertical="center"/>
    </xf>
    <xf numFmtId="176" fontId="6" fillId="0" borderId="208">
      <alignment vertical="center"/>
    </xf>
    <xf numFmtId="240" fontId="6" fillId="0" borderId="208">
      <alignment horizontal="right" vertical="center"/>
    </xf>
    <xf numFmtId="241" fontId="6" fillId="0" borderId="208">
      <alignment horizontal="right" vertical="center"/>
    </xf>
    <xf numFmtId="0" fontId="94" fillId="0" borderId="356">
      <alignment horizontal="centerContinuous" vertical="center"/>
    </xf>
    <xf numFmtId="0" fontId="82" fillId="0" borderId="208"/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200" fontId="6" fillId="0" borderId="208">
      <alignment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246" fontId="117" fillId="0" borderId="208">
      <alignment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236" fontId="6" fillId="0" borderId="208">
      <alignment vertical="center"/>
    </xf>
    <xf numFmtId="3" fontId="57" fillId="0" borderId="390"/>
    <xf numFmtId="3" fontId="57" fillId="0" borderId="390"/>
    <xf numFmtId="0" fontId="54" fillId="28" borderId="388" applyNumberFormat="0" applyFont="0" applyAlignment="0" applyProtection="0">
      <alignment vertical="center"/>
    </xf>
    <xf numFmtId="0" fontId="134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0" fontId="9" fillId="0" borderId="390">
      <alignment horizontal="distributed" vertical="center"/>
    </xf>
    <xf numFmtId="0" fontId="41" fillId="0" borderId="355">
      <alignment horizontal="left" vertical="center"/>
    </xf>
    <xf numFmtId="322" fontId="9" fillId="0" borderId="392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3" fontId="57" fillId="0" borderId="208"/>
    <xf numFmtId="3" fontId="57" fillId="0" borderId="208"/>
    <xf numFmtId="3" fontId="57" fillId="0" borderId="208"/>
    <xf numFmtId="256" fontId="117" fillId="0" borderId="390" applyBorder="0">
      <alignment vertical="center"/>
    </xf>
    <xf numFmtId="240" fontId="6" fillId="0" borderId="208">
      <alignment horizontal="right" vertical="center"/>
    </xf>
    <xf numFmtId="200" fontId="77" fillId="0" borderId="208">
      <alignment vertical="center"/>
    </xf>
    <xf numFmtId="3" fontId="6" fillId="0" borderId="208"/>
    <xf numFmtId="10" fontId="39" fillId="4" borderId="208" applyNumberFormat="0" applyBorder="0" applyAlignment="0" applyProtection="0"/>
    <xf numFmtId="0" fontId="82" fillId="0" borderId="208"/>
    <xf numFmtId="3" fontId="57" fillId="0" borderId="208"/>
    <xf numFmtId="221" fontId="117" fillId="0" borderId="208">
      <alignment vertical="center"/>
    </xf>
    <xf numFmtId="3" fontId="57" fillId="0" borderId="208"/>
    <xf numFmtId="0" fontId="9" fillId="0" borderId="208">
      <alignment horizontal="distributed" vertical="center"/>
    </xf>
    <xf numFmtId="0" fontId="56" fillId="0" borderId="208"/>
    <xf numFmtId="3" fontId="56" fillId="0" borderId="208"/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4" fontId="117" fillId="0" borderId="208">
      <alignment vertical="center"/>
    </xf>
    <xf numFmtId="0" fontId="50" fillId="3" borderId="355">
      <alignment vertical="center"/>
    </xf>
    <xf numFmtId="0" fontId="92" fillId="0" borderId="208"/>
    <xf numFmtId="3" fontId="56" fillId="0" borderId="208"/>
    <xf numFmtId="0" fontId="41" fillId="0" borderId="355">
      <alignment horizontal="left" vertical="center"/>
    </xf>
    <xf numFmtId="49" fontId="117" fillId="0" borderId="208">
      <alignment horizontal="center"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0" fontId="54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03" fontId="176" fillId="0" borderId="383" applyFill="0" applyProtection="0">
      <alignment horizontal="center"/>
    </xf>
    <xf numFmtId="0" fontId="50" fillId="3" borderId="355">
      <alignment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208">
      <alignment horizontal="distributed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00" fontId="77" fillId="0" borderId="208">
      <alignment vertical="center"/>
    </xf>
    <xf numFmtId="3" fontId="6" fillId="0" borderId="208"/>
    <xf numFmtId="0" fontId="11" fillId="0" borderId="208" applyNumberFormat="0" applyFont="0" applyFill="0" applyAlignment="0" applyProtection="0">
      <alignment horizontal="center" vertical="center"/>
    </xf>
    <xf numFmtId="10" fontId="39" fillId="4" borderId="208" applyNumberFormat="0" applyBorder="0" applyAlignment="0" applyProtection="0"/>
    <xf numFmtId="249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0" fontId="117" fillId="0" borderId="356">
      <alignment horizontal="centerContinuous" vertical="center"/>
    </xf>
    <xf numFmtId="234" fontId="117" fillId="0" borderId="390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0" fontId="9" fillId="0" borderId="392">
      <alignment horizontal="centerContinuous"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92">
      <alignment horizontal="centerContinuous" vertical="center"/>
    </xf>
    <xf numFmtId="0" fontId="50" fillId="3" borderId="355">
      <alignment vertical="center"/>
    </xf>
    <xf numFmtId="0" fontId="134" fillId="0" borderId="208">
      <alignment vertical="center"/>
    </xf>
    <xf numFmtId="0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256" fontId="117" fillId="0" borderId="390" applyBorder="0">
      <alignment vertical="center"/>
    </xf>
    <xf numFmtId="0" fontId="92" fillId="0" borderId="390"/>
    <xf numFmtId="0" fontId="92" fillId="0" borderId="390"/>
    <xf numFmtId="0" fontId="92" fillId="0" borderId="390"/>
    <xf numFmtId="0" fontId="159" fillId="0" borderId="389" applyNumberFormat="0" applyFill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10" fontId="39" fillId="4" borderId="208" applyNumberFormat="0" applyBorder="0" applyAlignment="0" applyProtection="0"/>
    <xf numFmtId="244" fontId="117" fillId="0" borderId="208">
      <alignment vertical="center"/>
    </xf>
    <xf numFmtId="200" fontId="6" fillId="0" borderId="208">
      <alignment vertical="center"/>
    </xf>
    <xf numFmtId="0" fontId="153" fillId="22" borderId="387" applyNumberFormat="0" applyAlignment="0" applyProtection="0">
      <alignment vertical="center"/>
    </xf>
    <xf numFmtId="0" fontId="6" fillId="0" borderId="392">
      <alignment horizontal="centerContinuous" vertical="center"/>
    </xf>
    <xf numFmtId="238" fontId="6" fillId="0" borderId="208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3" fontId="57" fillId="0" borderId="208"/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185" fontId="8" fillId="0" borderId="208">
      <alignment vertical="center"/>
    </xf>
    <xf numFmtId="0" fontId="41" fillId="0" borderId="355">
      <alignment horizontal="left"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234" fontId="117" fillId="0" borderId="208">
      <alignment vertical="center"/>
    </xf>
    <xf numFmtId="0" fontId="56" fillId="0" borderId="208"/>
    <xf numFmtId="0" fontId="56" fillId="0" borderId="208"/>
    <xf numFmtId="256" fontId="117" fillId="0" borderId="208" applyBorder="0">
      <alignment vertical="center"/>
    </xf>
    <xf numFmtId="0" fontId="9" fillId="0" borderId="357">
      <alignment horizontal="distributed"/>
    </xf>
    <xf numFmtId="0" fontId="9" fillId="0" borderId="357">
      <alignment horizontal="distributed"/>
    </xf>
    <xf numFmtId="10" fontId="39" fillId="2" borderId="208" applyNumberFormat="0" applyBorder="0" applyAlignment="0" applyProtection="0"/>
    <xf numFmtId="0" fontId="54" fillId="28" borderId="388" applyNumberFormat="0" applyFont="0" applyAlignment="0" applyProtection="0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322" fontId="9" fillId="0" borderId="392">
      <alignment horizontal="centerContinuous" vertical="center"/>
    </xf>
    <xf numFmtId="3" fontId="57" fillId="0" borderId="390"/>
    <xf numFmtId="0" fontId="117" fillId="0" borderId="356">
      <alignment horizontal="centerContinuous" vertical="center"/>
    </xf>
    <xf numFmtId="176" fontId="6" fillId="0" borderId="208">
      <alignment vertical="center"/>
    </xf>
    <xf numFmtId="0" fontId="117" fillId="0" borderId="356">
      <alignment horizontal="centerContinuous" vertical="center"/>
    </xf>
    <xf numFmtId="0" fontId="92" fillId="0" borderId="208"/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06" fontId="6" fillId="0" borderId="208">
      <alignment vertical="center"/>
    </xf>
    <xf numFmtId="257" fontId="117" fillId="0" borderId="208" applyBorder="0">
      <alignment horizontal="left" vertical="center"/>
    </xf>
    <xf numFmtId="17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36" fontId="6" fillId="0" borderId="208">
      <alignment vertical="center"/>
    </xf>
    <xf numFmtId="249" fontId="6" fillId="0" borderId="208">
      <alignment vertical="center"/>
    </xf>
    <xf numFmtId="240" fontId="6" fillId="0" borderId="208">
      <alignment horizontal="right" vertical="center"/>
    </xf>
    <xf numFmtId="0" fontId="6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0" fontId="50" fillId="3" borderId="355">
      <alignment vertical="center"/>
    </xf>
    <xf numFmtId="0" fontId="153" fillId="22" borderId="387" applyNumberFormat="0" applyAlignment="0" applyProtection="0">
      <alignment vertical="center"/>
    </xf>
    <xf numFmtId="0" fontId="94" fillId="0" borderId="356">
      <alignment horizontal="centerContinuous" vertical="center"/>
    </xf>
    <xf numFmtId="242" fontId="6" fillId="0" borderId="208">
      <alignment horizontal="right" vertical="center"/>
    </xf>
    <xf numFmtId="0" fontId="41" fillId="0" borderId="391">
      <alignment horizontal="left"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47" fontId="117" fillId="0" borderId="208">
      <alignment vertical="center"/>
    </xf>
    <xf numFmtId="49" fontId="117" fillId="0" borderId="208">
      <alignment horizontal="center" vertical="center"/>
    </xf>
    <xf numFmtId="186" fontId="14" fillId="0" borderId="385"/>
    <xf numFmtId="0" fontId="9" fillId="0" borderId="208">
      <alignment horizontal="distributed" vertical="center"/>
    </xf>
    <xf numFmtId="243" fontId="117" fillId="0" borderId="208">
      <alignment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0" fontId="50" fillId="3" borderId="355">
      <alignment vertical="center"/>
    </xf>
    <xf numFmtId="0" fontId="6" fillId="0" borderId="392">
      <alignment horizontal="centerContinuous" vertical="center"/>
    </xf>
    <xf numFmtId="0" fontId="6" fillId="0" borderId="356">
      <alignment horizontal="centerContinuous" vertical="center"/>
    </xf>
    <xf numFmtId="185" fontId="235" fillId="0" borderId="208"/>
    <xf numFmtId="191" fontId="6" fillId="0" borderId="208">
      <alignment vertical="center"/>
    </xf>
    <xf numFmtId="230" fontId="6" fillId="0" borderId="208">
      <alignment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50" fillId="3" borderId="391">
      <alignment vertical="center"/>
    </xf>
    <xf numFmtId="240" fontId="6" fillId="0" borderId="208">
      <alignment horizontal="right"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40" fontId="6" fillId="0" borderId="208">
      <alignment horizontal="right" vertical="center"/>
    </xf>
    <xf numFmtId="185" fontId="8" fillId="0" borderId="208">
      <alignment vertical="center"/>
    </xf>
    <xf numFmtId="256" fontId="117" fillId="0" borderId="390" applyBorder="0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236" fontId="6" fillId="0" borderId="208">
      <alignment vertical="center"/>
    </xf>
    <xf numFmtId="0" fontId="6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236" fontId="6" fillId="0" borderId="208">
      <alignment vertical="center"/>
    </xf>
    <xf numFmtId="200" fontId="6" fillId="0" borderId="208">
      <alignment vertical="center"/>
    </xf>
    <xf numFmtId="218" fontId="9" fillId="0" borderId="356">
      <alignment horizontal="centerContinuous" vertical="center"/>
    </xf>
    <xf numFmtId="0" fontId="94" fillId="0" borderId="356">
      <alignment horizontal="centerContinuous" vertical="center"/>
    </xf>
    <xf numFmtId="176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49" fontId="117" fillId="0" borderId="208">
      <alignment horizontal="center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322" fontId="9" fillId="0" borderId="356">
      <alignment horizontal="centerContinuous" vertical="center"/>
    </xf>
    <xf numFmtId="256" fontId="117" fillId="0" borderId="208" applyBorder="0">
      <alignment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50" fillId="3" borderId="355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240" fontId="6" fillId="0" borderId="208">
      <alignment horizontal="right" vertical="center"/>
    </xf>
    <xf numFmtId="0" fontId="9" fillId="0" borderId="357">
      <alignment horizontal="distributed"/>
    </xf>
    <xf numFmtId="41" fontId="56" fillId="0" borderId="208" applyNumberFormat="0" applyFont="0" applyFill="0" applyBorder="0" applyProtection="0">
      <alignment horizontal="distributed"/>
    </xf>
    <xf numFmtId="338" fontId="19" fillId="0" borderId="208"/>
    <xf numFmtId="206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0" fontId="6" fillId="0" borderId="208">
      <alignment horizontal="right" vertical="center"/>
    </xf>
    <xf numFmtId="228" fontId="117" fillId="0" borderId="353" applyBorder="0">
      <alignment vertical="center" wrapText="1"/>
    </xf>
    <xf numFmtId="0" fontId="56" fillId="0" borderId="208"/>
    <xf numFmtId="0" fontId="56" fillId="0" borderId="208"/>
    <xf numFmtId="0" fontId="92" fillId="0" borderId="208"/>
    <xf numFmtId="0" fontId="92" fillId="0" borderId="208"/>
    <xf numFmtId="0" fontId="92" fillId="0" borderId="208"/>
    <xf numFmtId="191" fontId="6" fillId="0" borderId="208">
      <alignment vertical="center"/>
    </xf>
    <xf numFmtId="256" fontId="117" fillId="0" borderId="208" applyBorder="0">
      <alignment vertical="center"/>
    </xf>
    <xf numFmtId="3" fontId="57" fillId="0" borderId="208"/>
    <xf numFmtId="230" fontId="6" fillId="0" borderId="208">
      <alignment vertical="center"/>
    </xf>
    <xf numFmtId="176" fontId="6" fillId="0" borderId="208">
      <alignment vertical="center"/>
    </xf>
    <xf numFmtId="218" fontId="6" fillId="0" borderId="208">
      <alignment vertical="center"/>
    </xf>
    <xf numFmtId="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2" fillId="0" borderId="208"/>
    <xf numFmtId="236" fontId="6" fillId="0" borderId="208">
      <alignment vertical="center"/>
    </xf>
    <xf numFmtId="237" fontId="6" fillId="0" borderId="208">
      <alignment vertical="center"/>
    </xf>
    <xf numFmtId="0" fontId="6" fillId="0" borderId="356">
      <alignment horizontal="centerContinuous" vertical="center"/>
    </xf>
    <xf numFmtId="191" fontId="6" fillId="0" borderId="208">
      <alignment vertical="center"/>
    </xf>
    <xf numFmtId="243" fontId="117" fillId="0" borderId="390">
      <alignment vertical="center"/>
    </xf>
    <xf numFmtId="230" fontId="6" fillId="0" borderId="208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6" fontId="117" fillId="0" borderId="208">
      <alignment vertical="center"/>
    </xf>
    <xf numFmtId="240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5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0" fontId="6" fillId="0" borderId="356">
      <alignment horizontal="centerContinuous" vertical="center"/>
    </xf>
    <xf numFmtId="37" fontId="117" fillId="0" borderId="208">
      <alignment horizontal="center" vertical="distributed"/>
    </xf>
    <xf numFmtId="233" fontId="122" fillId="0" borderId="208" applyFill="0" applyBorder="0" applyAlignment="0"/>
    <xf numFmtId="0" fontId="6" fillId="0" borderId="392">
      <alignment horizontal="centerContinuous" vertical="center"/>
    </xf>
    <xf numFmtId="256" fontId="117" fillId="0" borderId="390" applyBorder="0">
      <alignment vertical="center"/>
    </xf>
    <xf numFmtId="0" fontId="165" fillId="22" borderId="386" applyNumberFormat="0" applyAlignment="0" applyProtection="0">
      <alignment vertical="center"/>
    </xf>
    <xf numFmtId="200" fontId="6" fillId="0" borderId="208">
      <alignment vertical="center"/>
    </xf>
    <xf numFmtId="0" fontId="6" fillId="0" borderId="356">
      <alignment horizontal="centerContinuous" vertical="center"/>
    </xf>
    <xf numFmtId="176" fontId="6" fillId="0" borderId="208">
      <alignment vertical="center"/>
    </xf>
    <xf numFmtId="200" fontId="6" fillId="0" borderId="208">
      <alignment vertical="center"/>
    </xf>
    <xf numFmtId="0" fontId="6" fillId="0" borderId="208">
      <alignment vertical="center"/>
    </xf>
    <xf numFmtId="3" fontId="57" fillId="0" borderId="208"/>
    <xf numFmtId="3" fontId="57" fillId="0" borderId="208"/>
    <xf numFmtId="240" fontId="6" fillId="0" borderId="208">
      <alignment horizontal="right" vertical="center"/>
    </xf>
    <xf numFmtId="236" fontId="6" fillId="0" borderId="208">
      <alignment vertical="center"/>
    </xf>
    <xf numFmtId="0" fontId="153" fillId="22" borderId="387" applyNumberFormat="0" applyAlignment="0" applyProtection="0">
      <alignment vertical="center"/>
    </xf>
    <xf numFmtId="3" fontId="57" fillId="0" borderId="208"/>
    <xf numFmtId="3" fontId="57" fillId="0" borderId="208"/>
    <xf numFmtId="0" fontId="82" fillId="0" borderId="208"/>
    <xf numFmtId="0" fontId="41" fillId="0" borderId="355">
      <alignment horizontal="left" vertical="center"/>
    </xf>
    <xf numFmtId="10" fontId="39" fillId="4" borderId="208" applyNumberFormat="0" applyBorder="0" applyAlignment="0" applyProtection="0"/>
    <xf numFmtId="0" fontId="50" fillId="3" borderId="355">
      <alignment vertical="center"/>
    </xf>
    <xf numFmtId="0" fontId="11" fillId="0" borderId="208" applyNumberFormat="0" applyFont="0" applyFill="0" applyAlignment="0" applyProtection="0">
      <alignment horizontal="center" vertical="center"/>
    </xf>
    <xf numFmtId="3" fontId="56" fillId="0" borderId="208"/>
    <xf numFmtId="0" fontId="56" fillId="0" borderId="208"/>
    <xf numFmtId="191" fontId="6" fillId="0" borderId="208">
      <alignment vertical="center"/>
    </xf>
    <xf numFmtId="0" fontId="92" fillId="0" borderId="208"/>
    <xf numFmtId="3" fontId="6" fillId="0" borderId="208"/>
    <xf numFmtId="185" fontId="9" fillId="0" borderId="208">
      <alignment horizontal="center" vertical="center"/>
    </xf>
    <xf numFmtId="200" fontId="77" fillId="0" borderId="208">
      <alignment vertical="center"/>
    </xf>
    <xf numFmtId="0" fontId="50" fillId="3" borderId="355">
      <alignment vertical="center"/>
    </xf>
    <xf numFmtId="0" fontId="6" fillId="0" borderId="356">
      <alignment horizontal="centerContinuous" vertical="center"/>
    </xf>
    <xf numFmtId="249" fontId="6" fillId="0" borderId="208">
      <alignment vertical="center"/>
    </xf>
    <xf numFmtId="0" fontId="6" fillId="0" borderId="208" applyNumberFormat="0" applyFill="0" applyProtection="0">
      <alignment vertical="center"/>
    </xf>
    <xf numFmtId="0" fontId="54" fillId="28" borderId="388" applyNumberFormat="0" applyFont="0" applyAlignment="0" applyProtection="0">
      <alignment vertical="center"/>
    </xf>
    <xf numFmtId="322" fontId="9" fillId="0" borderId="392">
      <alignment horizontal="centerContinuous" vertical="center"/>
    </xf>
    <xf numFmtId="218" fontId="9" fillId="0" borderId="392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218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238" fontId="6" fillId="0" borderId="208">
      <alignment vertical="center"/>
    </xf>
    <xf numFmtId="218" fontId="6" fillId="0" borderId="208">
      <alignment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3" fontId="57" fillId="0" borderId="208"/>
    <xf numFmtId="236" fontId="6" fillId="0" borderId="208">
      <alignment vertical="center"/>
    </xf>
    <xf numFmtId="240" fontId="6" fillId="0" borderId="208">
      <alignment horizontal="right" vertical="center"/>
    </xf>
    <xf numFmtId="3" fontId="57" fillId="0" borderId="208"/>
    <xf numFmtId="240" fontId="6" fillId="0" borderId="208">
      <alignment horizontal="right" vertical="center"/>
    </xf>
    <xf numFmtId="249" fontId="6" fillId="0" borderId="208">
      <alignment vertical="center"/>
    </xf>
    <xf numFmtId="200" fontId="6" fillId="0" borderId="208">
      <alignment vertical="center"/>
    </xf>
    <xf numFmtId="0" fontId="6" fillId="0" borderId="356">
      <alignment horizontal="centerContinuous" vertical="center"/>
    </xf>
    <xf numFmtId="0" fontId="6" fillId="0" borderId="208">
      <alignment vertical="center"/>
    </xf>
    <xf numFmtId="3" fontId="57" fillId="0" borderId="208"/>
    <xf numFmtId="241" fontId="6" fillId="0" borderId="208">
      <alignment horizontal="right" vertical="center"/>
    </xf>
    <xf numFmtId="236" fontId="6" fillId="0" borderId="208">
      <alignment vertical="center"/>
    </xf>
    <xf numFmtId="235" fontId="117" fillId="0" borderId="208">
      <alignment vertical="center"/>
    </xf>
    <xf numFmtId="0" fontId="94" fillId="0" borderId="356">
      <alignment horizontal="centerContinuous"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322" fontId="9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248" fontId="117" fillId="0" borderId="208">
      <alignment vertical="center"/>
    </xf>
    <xf numFmtId="218" fontId="6" fillId="0" borderId="208">
      <alignment vertical="center"/>
    </xf>
    <xf numFmtId="0" fontId="6" fillId="0" borderId="356">
      <alignment horizontal="centerContinuous" vertical="center"/>
    </xf>
    <xf numFmtId="0" fontId="82" fillId="0" borderId="208"/>
    <xf numFmtId="0" fontId="6" fillId="0" borderId="390">
      <alignment horizontal="right" vertical="center" shrinkToFit="1"/>
    </xf>
    <xf numFmtId="249" fontId="6" fillId="0" borderId="208">
      <alignment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4" borderId="208" applyNumberFormat="0" applyBorder="0" applyAlignment="0" applyProtection="0"/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18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50" fillId="3" borderId="355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242" fontId="6" fillId="0" borderId="208">
      <alignment horizontal="right" vertical="center"/>
    </xf>
    <xf numFmtId="0" fontId="6" fillId="0" borderId="208">
      <alignment horizontal="right" vertical="center" shrinkToFit="1"/>
    </xf>
    <xf numFmtId="322" fontId="9" fillId="0" borderId="356">
      <alignment horizontal="centerContinuous"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3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0" fontId="56" fillId="0" borderId="208"/>
    <xf numFmtId="0" fontId="56" fillId="0" borderId="208"/>
    <xf numFmtId="0" fontId="56" fillId="0" borderId="208"/>
    <xf numFmtId="0" fontId="56" fillId="0" borderId="208"/>
    <xf numFmtId="0" fontId="56" fillId="0" borderId="208"/>
    <xf numFmtId="0" fontId="56" fillId="0" borderId="208"/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0" fontId="6" fillId="0" borderId="208">
      <alignment horizontal="right" vertical="center" shrinkToFit="1"/>
    </xf>
    <xf numFmtId="3" fontId="56" fillId="0" borderId="208"/>
    <xf numFmtId="0" fontId="56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0" fontId="9" fillId="0" borderId="392">
      <alignment horizontal="centerContinuous" vertical="center"/>
    </xf>
    <xf numFmtId="236" fontId="6" fillId="0" borderId="208">
      <alignment vertical="center"/>
    </xf>
    <xf numFmtId="240" fontId="6" fillId="0" borderId="208">
      <alignment horizontal="right" vertical="center"/>
    </xf>
    <xf numFmtId="0" fontId="186" fillId="0" borderId="208" applyProtection="0">
      <alignment vertical="center"/>
    </xf>
    <xf numFmtId="239" fontId="117" fillId="0" borderId="208">
      <alignment horizontal="right"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185" fontId="9" fillId="0" borderId="208">
      <alignment horizontal="center" vertical="center"/>
    </xf>
    <xf numFmtId="338" fontId="19" fillId="0" borderId="208"/>
    <xf numFmtId="338" fontId="19" fillId="0" borderId="208"/>
    <xf numFmtId="338" fontId="19" fillId="0" borderId="208"/>
    <xf numFmtId="338" fontId="19" fillId="0" borderId="208"/>
    <xf numFmtId="338" fontId="19" fillId="0" borderId="208"/>
    <xf numFmtId="338" fontId="19" fillId="0" borderId="208"/>
    <xf numFmtId="237" fontId="6" fillId="0" borderId="208">
      <alignment vertical="center"/>
    </xf>
    <xf numFmtId="218" fontId="6" fillId="0" borderId="208">
      <alignment vertical="center"/>
    </xf>
    <xf numFmtId="0" fontId="2" fillId="0" borderId="0">
      <alignment vertical="center"/>
    </xf>
    <xf numFmtId="0" fontId="6" fillId="0" borderId="208" applyNumberFormat="0" applyFill="0" applyProtection="0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218" fontId="9" fillId="0" borderId="356">
      <alignment horizontal="centerContinuous" vertical="center"/>
    </xf>
    <xf numFmtId="203" fontId="176" fillId="0" borderId="383" applyFill="0" applyProtection="0">
      <alignment horizont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6" fontId="14" fillId="0" borderId="385"/>
    <xf numFmtId="0" fontId="54" fillId="28" borderId="388" applyNumberFormat="0" applyFont="0" applyAlignment="0" applyProtection="0">
      <alignment vertical="center"/>
    </xf>
    <xf numFmtId="0" fontId="224" fillId="0" borderId="356">
      <alignment horizontal="centerContinuous" vertical="center"/>
    </xf>
    <xf numFmtId="0" fontId="41" fillId="0" borderId="355">
      <alignment horizontal="left" vertical="center"/>
    </xf>
    <xf numFmtId="0" fontId="6" fillId="0" borderId="392">
      <alignment horizontal="centerContinuous" vertical="center"/>
    </xf>
    <xf numFmtId="338" fontId="19" fillId="0" borderId="208"/>
    <xf numFmtId="338" fontId="19" fillId="0" borderId="208"/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256" fontId="117" fillId="0" borderId="208" applyBorder="0">
      <alignment vertical="center"/>
    </xf>
    <xf numFmtId="0" fontId="54" fillId="28" borderId="398" applyNumberFormat="0" applyFont="0" applyAlignment="0" applyProtection="0">
      <alignment vertical="center"/>
    </xf>
    <xf numFmtId="0" fontId="184" fillId="0" borderId="208" applyFill="0" applyBorder="0" applyProtection="0">
      <alignment vertical="center"/>
    </xf>
    <xf numFmtId="228" fontId="117" fillId="0" borderId="353" applyBorder="0">
      <alignment vertical="center" wrapText="1"/>
    </xf>
    <xf numFmtId="191" fontId="6" fillId="0" borderId="208">
      <alignment vertical="center"/>
    </xf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185" fontId="9" fillId="0" borderId="208">
      <alignment horizontal="center" vertical="center"/>
    </xf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0" fontId="134" fillId="0" borderId="208">
      <alignment vertical="center"/>
    </xf>
    <xf numFmtId="0" fontId="50" fillId="3" borderId="355">
      <alignment vertical="center"/>
    </xf>
    <xf numFmtId="248" fontId="117" fillId="0" borderId="208">
      <alignment vertical="center"/>
    </xf>
    <xf numFmtId="0" fontId="159" fillId="0" borderId="389" applyNumberFormat="0" applyFill="0" applyAlignment="0" applyProtection="0">
      <alignment vertical="center"/>
    </xf>
    <xf numFmtId="0" fontId="9" fillId="0" borderId="357">
      <alignment horizontal="distributed"/>
    </xf>
    <xf numFmtId="239" fontId="117" fillId="0" borderId="208">
      <alignment horizontal="right" vertical="center"/>
    </xf>
    <xf numFmtId="244" fontId="117" fillId="0" borderId="208">
      <alignment vertical="center"/>
    </xf>
    <xf numFmtId="10" fontId="39" fillId="4" borderId="208" applyNumberFormat="0" applyBorder="0" applyAlignment="0" applyProtection="0"/>
    <xf numFmtId="242" fontId="6" fillId="0" borderId="208">
      <alignment horizontal="right" vertical="center"/>
    </xf>
    <xf numFmtId="249" fontId="6" fillId="0" borderId="208">
      <alignment vertical="center"/>
    </xf>
    <xf numFmtId="20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3" fontId="56" fillId="0" borderId="208"/>
    <xf numFmtId="240" fontId="6" fillId="0" borderId="208">
      <alignment horizontal="right" vertical="center"/>
    </xf>
    <xf numFmtId="0" fontId="94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176" fontId="6" fillId="0" borderId="208">
      <alignment vertical="center"/>
    </xf>
    <xf numFmtId="0" fontId="6" fillId="0" borderId="208">
      <alignment vertical="center"/>
    </xf>
    <xf numFmtId="0" fontId="94" fillId="0" borderId="356">
      <alignment horizontal="centerContinuous" vertical="center"/>
    </xf>
    <xf numFmtId="0" fontId="153" fillId="22" borderId="387" applyNumberFormat="0" applyAlignment="0" applyProtection="0">
      <alignment vertical="center"/>
    </xf>
    <xf numFmtId="338" fontId="19" fillId="0" borderId="208"/>
    <xf numFmtId="338" fontId="19" fillId="0" borderId="208"/>
    <xf numFmtId="0" fontId="41" fillId="0" borderId="355">
      <alignment horizontal="left" vertical="center"/>
    </xf>
    <xf numFmtId="0" fontId="117" fillId="0" borderId="356">
      <alignment horizontal="centerContinuous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185" fontId="8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191" fontId="6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248" fontId="117" fillId="0" borderId="208">
      <alignment vertical="center"/>
    </xf>
    <xf numFmtId="0" fontId="6" fillId="0" borderId="208">
      <alignment vertical="center"/>
    </xf>
    <xf numFmtId="0" fontId="6" fillId="0" borderId="392">
      <alignment horizontal="centerContinuous" vertical="center"/>
    </xf>
    <xf numFmtId="41" fontId="56" fillId="0" borderId="390" applyNumberFormat="0" applyFont="0" applyFill="0" applyBorder="0" applyProtection="0">
      <alignment horizontal="distributed"/>
    </xf>
    <xf numFmtId="0" fontId="6" fillId="0" borderId="390">
      <alignment horizontal="right" vertical="center" shrinkToFit="1"/>
    </xf>
    <xf numFmtId="0" fontId="6" fillId="0" borderId="356">
      <alignment horizontal="centerContinuous" vertical="center"/>
    </xf>
    <xf numFmtId="236" fontId="6" fillId="0" borderId="208">
      <alignment vertical="center"/>
    </xf>
    <xf numFmtId="0" fontId="50" fillId="3" borderId="355">
      <alignment vertical="center"/>
    </xf>
    <xf numFmtId="41" fontId="56" fillId="0" borderId="208" applyNumberFormat="0" applyFont="0" applyFill="0" applyBorder="0" applyProtection="0">
      <alignment horizontal="distributed"/>
    </xf>
    <xf numFmtId="230" fontId="6" fillId="0" borderId="208">
      <alignment vertical="center"/>
    </xf>
    <xf numFmtId="23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0" fontId="39" fillId="4" borderId="208" applyNumberFormat="0" applyBorder="0" applyAlignment="0" applyProtection="0"/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249" fontId="6" fillId="0" borderId="208">
      <alignment vertical="center"/>
    </xf>
    <xf numFmtId="185" fontId="8" fillId="0" borderId="208">
      <alignment vertical="center"/>
    </xf>
    <xf numFmtId="185" fontId="8" fillId="0" borderId="208">
      <alignment vertical="center"/>
    </xf>
    <xf numFmtId="3" fontId="57" fillId="0" borderId="208"/>
    <xf numFmtId="3" fontId="57" fillId="0" borderId="208"/>
    <xf numFmtId="3" fontId="57" fillId="0" borderId="208"/>
    <xf numFmtId="3" fontId="57" fillId="0" borderId="208"/>
    <xf numFmtId="3" fontId="57" fillId="0" borderId="208"/>
    <xf numFmtId="0" fontId="82" fillId="0" borderId="208"/>
    <xf numFmtId="191" fontId="6" fillId="0" borderId="208">
      <alignment vertical="center"/>
    </xf>
    <xf numFmtId="10" fontId="39" fillId="2" borderId="208" applyNumberFormat="0" applyBorder="0" applyAlignment="0" applyProtection="0"/>
    <xf numFmtId="234" fontId="117" fillId="0" borderId="208">
      <alignment vertical="center"/>
    </xf>
    <xf numFmtId="234" fontId="117" fillId="0" borderId="208">
      <alignment vertical="center"/>
    </xf>
    <xf numFmtId="239" fontId="117" fillId="0" borderId="208">
      <alignment horizontal="right" vertical="center"/>
    </xf>
    <xf numFmtId="243" fontId="117" fillId="0" borderId="208">
      <alignment vertical="center"/>
    </xf>
    <xf numFmtId="244" fontId="117" fillId="0" borderId="208">
      <alignment vertical="center"/>
    </xf>
    <xf numFmtId="0" fontId="50" fillId="3" borderId="355">
      <alignment vertical="center"/>
    </xf>
    <xf numFmtId="0" fontId="50" fillId="3" borderId="355">
      <alignment vertical="center"/>
    </xf>
    <xf numFmtId="0" fontId="11" fillId="0" borderId="208" applyNumberFormat="0" applyFont="0" applyFill="0" applyAlignment="0" applyProtection="0">
      <alignment horizontal="center" vertical="center"/>
    </xf>
    <xf numFmtId="200" fontId="77" fillId="0" borderId="208">
      <alignment vertical="center"/>
    </xf>
    <xf numFmtId="234" fontId="117" fillId="0" borderId="208">
      <alignment vertical="center"/>
    </xf>
    <xf numFmtId="0" fontId="6" fillId="0" borderId="208">
      <alignment horizontal="right" vertical="center" shrinkToFit="1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0" fontId="56" fillId="0" borderId="208"/>
    <xf numFmtId="218" fontId="6" fillId="0" borderId="208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186" fontId="14" fillId="0" borderId="385"/>
    <xf numFmtId="0" fontId="6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41" fillId="0" borderId="355">
      <alignment horizontal="left" vertical="center"/>
    </xf>
    <xf numFmtId="191" fontId="6" fillId="0" borderId="208">
      <alignment vertical="center"/>
    </xf>
    <xf numFmtId="191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3" fontId="57" fillId="0" borderId="208"/>
    <xf numFmtId="176" fontId="6" fillId="0" borderId="208">
      <alignment vertical="center"/>
    </xf>
    <xf numFmtId="17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176" fontId="6" fillId="0" borderId="208">
      <alignment vertical="center"/>
    </xf>
    <xf numFmtId="257" fontId="117" fillId="0" borderId="208" applyBorder="0">
      <alignment horizontal="left" vertical="center"/>
    </xf>
    <xf numFmtId="0" fontId="134" fillId="0" borderId="208">
      <alignment vertical="center"/>
    </xf>
    <xf numFmtId="0" fontId="134" fillId="0" borderId="208">
      <alignment vertical="center"/>
    </xf>
    <xf numFmtId="231" fontId="117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6" fontId="6" fillId="0" borderId="208">
      <alignment vertical="center"/>
    </xf>
    <xf numFmtId="10" fontId="39" fillId="4" borderId="208" applyNumberFormat="0" applyBorder="0" applyAlignment="0" applyProtection="0"/>
    <xf numFmtId="0" fontId="232" fillId="0" borderId="382" applyFont="0" applyFill="0" applyBorder="0" applyAlignment="0" applyProtection="0">
      <alignment horizontal="centerContinuous" vertical="center"/>
    </xf>
    <xf numFmtId="3" fontId="57" fillId="0" borderId="208"/>
    <xf numFmtId="10" fontId="39" fillId="2" borderId="208" applyNumberFormat="0" applyBorder="0" applyAlignment="0" applyProtection="0"/>
    <xf numFmtId="239" fontId="117" fillId="0" borderId="208">
      <alignment horizontal="right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10" fontId="39" fillId="4" borderId="390" applyNumberFormat="0" applyBorder="0" applyAlignment="0" applyProtection="0"/>
    <xf numFmtId="0" fontId="94" fillId="0" borderId="392">
      <alignment horizontal="centerContinuous" vertical="center"/>
    </xf>
    <xf numFmtId="0" fontId="6" fillId="0" borderId="356">
      <alignment horizontal="centerContinuous" vertical="center"/>
    </xf>
    <xf numFmtId="0" fontId="9" fillId="0" borderId="356">
      <alignment horizontal="centerContinuous" vertical="center"/>
    </xf>
    <xf numFmtId="0" fontId="6" fillId="0" borderId="356">
      <alignment horizontal="centerContinuous" vertical="center"/>
    </xf>
    <xf numFmtId="250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8" fontId="117" fillId="0" borderId="208">
      <alignment vertical="center"/>
    </xf>
    <xf numFmtId="247" fontId="117" fillId="0" borderId="208">
      <alignment vertical="center"/>
    </xf>
    <xf numFmtId="49" fontId="117" fillId="0" borderId="208">
      <alignment horizontal="center" vertical="center"/>
    </xf>
    <xf numFmtId="238" fontId="6" fillId="0" borderId="208">
      <alignment vertical="center"/>
    </xf>
    <xf numFmtId="185" fontId="9" fillId="0" borderId="208">
      <alignment horizontal="center" vertical="center"/>
    </xf>
    <xf numFmtId="0" fontId="50" fillId="3" borderId="355">
      <alignment vertical="center"/>
    </xf>
    <xf numFmtId="0" fontId="185" fillId="22" borderId="386" applyNumberFormat="0" applyAlignment="0" applyProtection="0">
      <alignment vertical="center"/>
    </xf>
    <xf numFmtId="41" fontId="56" fillId="0" borderId="208" applyNumberFormat="0" applyFont="0" applyFill="0" applyBorder="0" applyProtection="0">
      <alignment horizontal="distributed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238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0" fontId="6" fillId="0" borderId="208">
      <alignment horizontal="right" vertical="center"/>
    </xf>
    <xf numFmtId="0" fontId="9" fillId="0" borderId="390">
      <alignment horizontal="distributed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322" fontId="9" fillId="0" borderId="356">
      <alignment horizontal="centerContinuous" vertical="center"/>
    </xf>
    <xf numFmtId="3" fontId="56" fillId="0" borderId="390"/>
    <xf numFmtId="0" fontId="92" fillId="0" borderId="208"/>
    <xf numFmtId="322" fontId="9" fillId="0" borderId="392">
      <alignment horizontal="centerContinuous"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0" fontId="50" fillId="3" borderId="355">
      <alignment vertical="center"/>
    </xf>
    <xf numFmtId="0" fontId="9" fillId="0" borderId="357">
      <alignment horizontal="distributed"/>
    </xf>
    <xf numFmtId="200" fontId="6" fillId="0" borderId="208">
      <alignment vertical="center"/>
    </xf>
    <xf numFmtId="322" fontId="9" fillId="0" borderId="356">
      <alignment horizontal="centerContinuous" vertical="center"/>
    </xf>
    <xf numFmtId="0" fontId="117" fillId="0" borderId="392">
      <alignment horizontal="centerContinuous"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246" fontId="117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0" fontId="159" fillId="0" borderId="389" applyNumberFormat="0" applyFill="0" applyAlignment="0" applyProtection="0">
      <alignment vertical="center"/>
    </xf>
    <xf numFmtId="0" fontId="6" fillId="0" borderId="392">
      <alignment horizontal="centerContinuous" vertical="center"/>
    </xf>
    <xf numFmtId="185" fontId="235" fillId="0" borderId="382"/>
    <xf numFmtId="0" fontId="6" fillId="0" borderId="390">
      <alignment horizontal="right" vertical="center" shrinkToFit="1"/>
    </xf>
    <xf numFmtId="0" fontId="6" fillId="0" borderId="390">
      <alignment horizontal="right" vertical="center" shrinkToFit="1"/>
    </xf>
    <xf numFmtId="0" fontId="50" fillId="3" borderId="391">
      <alignment vertical="center"/>
    </xf>
    <xf numFmtId="3" fontId="56" fillId="0" borderId="390"/>
    <xf numFmtId="246" fontId="117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50" fontId="117" fillId="0" borderId="208">
      <alignment vertical="center"/>
    </xf>
    <xf numFmtId="185" fontId="8" fillId="0" borderId="208">
      <alignment vertical="center"/>
    </xf>
    <xf numFmtId="3" fontId="57" fillId="0" borderId="208"/>
    <xf numFmtId="3" fontId="57" fillId="0" borderId="208"/>
    <xf numFmtId="243" fontId="117" fillId="0" borderId="208">
      <alignment vertical="center"/>
    </xf>
    <xf numFmtId="0" fontId="6" fillId="0" borderId="208">
      <alignment horizontal="right" vertical="center" shrinkToFit="1"/>
    </xf>
    <xf numFmtId="41" fontId="56" fillId="0" borderId="208" applyNumberFormat="0" applyFont="0" applyFill="0" applyBorder="0" applyProtection="0">
      <alignment horizontal="distributed"/>
    </xf>
    <xf numFmtId="241" fontId="6" fillId="0" borderId="208">
      <alignment horizontal="right" vertical="center"/>
    </xf>
    <xf numFmtId="0" fontId="185" fillId="22" borderId="386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3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00" fontId="6" fillId="0" borderId="208">
      <alignment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38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239" fontId="117" fillId="0" borderId="390">
      <alignment horizontal="right" vertical="center"/>
    </xf>
    <xf numFmtId="0" fontId="9" fillId="0" borderId="357">
      <alignment horizontal="distributed"/>
    </xf>
    <xf numFmtId="309" fontId="9" fillId="0" borderId="208" applyFill="0" applyBorder="0" applyAlignment="0"/>
    <xf numFmtId="3" fontId="57" fillId="0" borderId="208"/>
    <xf numFmtId="3" fontId="57" fillId="0" borderId="208"/>
    <xf numFmtId="3" fontId="56" fillId="0" borderId="208"/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0" fontId="82" fillId="0" borderId="208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49" fontId="6" fillId="0" borderId="208">
      <alignment vertical="center"/>
    </xf>
    <xf numFmtId="218" fontId="6" fillId="0" borderId="208">
      <alignment vertical="center"/>
    </xf>
    <xf numFmtId="3" fontId="57" fillId="0" borderId="208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36" fontId="6" fillId="0" borderId="208">
      <alignment vertical="center"/>
    </xf>
    <xf numFmtId="176" fontId="6" fillId="0" borderId="208">
      <alignment vertical="center"/>
    </xf>
    <xf numFmtId="0" fontId="56" fillId="0" borderId="208"/>
    <xf numFmtId="338" fontId="19" fillId="0" borderId="208"/>
    <xf numFmtId="0" fontId="159" fillId="0" borderId="389" applyNumberFormat="0" applyFill="0" applyAlignment="0" applyProtection="0">
      <alignment vertical="center"/>
    </xf>
    <xf numFmtId="0" fontId="54" fillId="28" borderId="388" applyNumberFormat="0" applyFont="0" applyAlignment="0" applyProtection="0">
      <alignment vertical="center"/>
    </xf>
    <xf numFmtId="237" fontId="6" fillId="0" borderId="208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2" fillId="0" borderId="208"/>
    <xf numFmtId="0" fontId="57" fillId="28" borderId="388" applyNumberFormat="0" applyFont="0" applyAlignment="0" applyProtection="0">
      <alignment vertical="center"/>
    </xf>
    <xf numFmtId="191" fontId="6" fillId="0" borderId="208">
      <alignment vertical="center"/>
    </xf>
    <xf numFmtId="10" fontId="39" fillId="4" borderId="208" applyNumberFormat="0" applyBorder="0" applyAlignment="0" applyProtection="0"/>
    <xf numFmtId="0" fontId="6" fillId="0" borderId="208">
      <alignment horizontal="right" vertical="center" shrinkToFit="1"/>
    </xf>
    <xf numFmtId="203" fontId="176" fillId="0" borderId="383" applyFill="0" applyProtection="0">
      <alignment horizontal="center"/>
    </xf>
    <xf numFmtId="322" fontId="9" fillId="0" borderId="356">
      <alignment horizontal="centerContinuous" vertical="center"/>
    </xf>
    <xf numFmtId="218" fontId="6" fillId="0" borderId="208">
      <alignment vertical="center"/>
    </xf>
    <xf numFmtId="0" fontId="6" fillId="0" borderId="208">
      <alignment vertical="center"/>
    </xf>
    <xf numFmtId="238" fontId="6" fillId="0" borderId="208">
      <alignment vertical="center"/>
    </xf>
    <xf numFmtId="185" fontId="8" fillId="0" borderId="390">
      <alignment vertical="center"/>
    </xf>
    <xf numFmtId="3" fontId="57" fillId="0" borderId="208"/>
    <xf numFmtId="0" fontId="50" fillId="3" borderId="355">
      <alignment vertical="center"/>
    </xf>
    <xf numFmtId="0" fontId="82" fillId="0" borderId="208"/>
    <xf numFmtId="218" fontId="6" fillId="0" borderId="208">
      <alignment vertical="center"/>
    </xf>
    <xf numFmtId="0" fontId="11" fillId="0" borderId="208" applyNumberFormat="0" applyFont="0" applyFill="0" applyAlignment="0" applyProtection="0">
      <alignment horizontal="center" vertical="center"/>
    </xf>
    <xf numFmtId="0" fontId="6" fillId="0" borderId="356">
      <alignment horizontal="centerContinuous" vertical="center"/>
    </xf>
    <xf numFmtId="10" fontId="39" fillId="4" borderId="208" applyNumberFormat="0" applyBorder="0" applyAlignment="0" applyProtection="0"/>
    <xf numFmtId="0" fontId="56" fillId="0" borderId="390"/>
    <xf numFmtId="230" fontId="6" fillId="0" borderId="208">
      <alignment vertical="center"/>
    </xf>
    <xf numFmtId="322" fontId="9" fillId="0" borderId="356">
      <alignment horizontal="centerContinuous" vertical="center"/>
    </xf>
    <xf numFmtId="0" fontId="56" fillId="0" borderId="208"/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6" fillId="0" borderId="392">
      <alignment horizontal="centerContinuous" vertical="center"/>
    </xf>
    <xf numFmtId="236" fontId="6" fillId="0" borderId="208">
      <alignment vertical="center"/>
    </xf>
    <xf numFmtId="0" fontId="94" fillId="0" borderId="356">
      <alignment horizontal="centerContinuous"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6" fillId="0" borderId="208">
      <alignment horizontal="right" vertical="center" shrinkToFit="1"/>
    </xf>
    <xf numFmtId="0" fontId="224" fillId="0" borderId="356">
      <alignment horizontal="centerContinuous" vertical="center"/>
    </xf>
    <xf numFmtId="0" fontId="6" fillId="0" borderId="392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338" fontId="19" fillId="0" borderId="390"/>
    <xf numFmtId="0" fontId="6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241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00" fontId="6" fillId="0" borderId="208">
      <alignment vertical="center"/>
    </xf>
    <xf numFmtId="191" fontId="6" fillId="0" borderId="208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9" fillId="0" borderId="208">
      <alignment horizontal="distributed" vertical="center"/>
    </xf>
    <xf numFmtId="0" fontId="41" fillId="0" borderId="391">
      <alignment horizontal="left" vertical="center"/>
    </xf>
    <xf numFmtId="10" fontId="39" fillId="2" borderId="390" applyNumberFormat="0" applyBorder="0" applyAlignment="0" applyProtection="0"/>
    <xf numFmtId="200" fontId="6" fillId="0" borderId="208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41" fontId="9" fillId="0" borderId="208">
      <alignment horizontal="center" vertical="center"/>
    </xf>
    <xf numFmtId="3" fontId="57" fillId="0" borderId="208"/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203" fontId="176" fillId="0" borderId="394" applyFill="0" applyProtection="0">
      <alignment horizontal="center"/>
    </xf>
    <xf numFmtId="0" fontId="9" fillId="0" borderId="390">
      <alignment horizontal="distributed" vertical="center"/>
    </xf>
    <xf numFmtId="0" fontId="9" fillId="0" borderId="393">
      <alignment horizontal="distributed"/>
    </xf>
    <xf numFmtId="0" fontId="50" fillId="3" borderId="391">
      <alignment vertical="center"/>
    </xf>
    <xf numFmtId="200" fontId="6" fillId="0" borderId="208">
      <alignment vertical="center"/>
    </xf>
    <xf numFmtId="0" fontId="6" fillId="0" borderId="208">
      <alignment horizontal="right" vertical="center" shrinkToFit="1"/>
    </xf>
    <xf numFmtId="236" fontId="6" fillId="0" borderId="208">
      <alignment vertical="center"/>
    </xf>
    <xf numFmtId="338" fontId="19" fillId="0" borderId="208"/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38" fontId="19" fillId="0" borderId="390"/>
    <xf numFmtId="0" fontId="94" fillId="0" borderId="356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10" fontId="39" fillId="4" borderId="208" applyNumberFormat="0" applyBorder="0" applyAlignment="0" applyProtection="0"/>
    <xf numFmtId="0" fontId="184" fillId="0" borderId="208" applyFill="0" applyBorder="0" applyProtection="0">
      <alignment vertical="center"/>
    </xf>
    <xf numFmtId="0" fontId="94" fillId="0" borderId="356">
      <alignment horizontal="centerContinuous" vertical="center"/>
    </xf>
    <xf numFmtId="3" fontId="57" fillId="0" borderId="208"/>
    <xf numFmtId="0" fontId="92" fillId="0" borderId="208"/>
    <xf numFmtId="0" fontId="56" fillId="0" borderId="208"/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244" fontId="117" fillId="0" borderId="208">
      <alignment vertical="center"/>
    </xf>
    <xf numFmtId="24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238" fontId="6" fillId="0" borderId="208">
      <alignment vertical="center"/>
    </xf>
    <xf numFmtId="3" fontId="57" fillId="0" borderId="208"/>
    <xf numFmtId="185" fontId="8" fillId="0" borderId="208">
      <alignment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3" fontId="57" fillId="0" borderId="390"/>
    <xf numFmtId="249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236" fontId="6" fillId="0" borderId="208">
      <alignment vertical="center"/>
    </xf>
    <xf numFmtId="257" fontId="117" fillId="0" borderId="208" applyBorder="0">
      <alignment horizontal="left" vertical="center"/>
    </xf>
    <xf numFmtId="176" fontId="6" fillId="0" borderId="208">
      <alignment vertical="center"/>
    </xf>
    <xf numFmtId="228" fontId="117" fillId="0" borderId="353" applyBorder="0">
      <alignment vertical="center" wrapText="1"/>
    </xf>
    <xf numFmtId="322" fontId="9" fillId="0" borderId="392">
      <alignment horizontal="centerContinuous" vertical="center"/>
    </xf>
    <xf numFmtId="10" fontId="39" fillId="2" borderId="390" applyNumberFormat="0" applyBorder="0" applyAlignment="0" applyProtection="0"/>
    <xf numFmtId="0" fontId="94" fillId="0" borderId="356">
      <alignment horizontal="centerContinuous" vertical="center"/>
    </xf>
    <xf numFmtId="0" fontId="153" fillId="22" borderId="387" applyNumberFormat="0" applyAlignment="0" applyProtection="0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42" fontId="6" fillId="0" borderId="208">
      <alignment horizontal="right" vertical="center"/>
    </xf>
    <xf numFmtId="185" fontId="235" fillId="0" borderId="208"/>
    <xf numFmtId="41" fontId="135" fillId="0" borderId="208" applyNumberFormat="0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41" fontId="135" fillId="0" borderId="208" applyNumberFormat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36" fontId="6" fillId="0" borderId="208">
      <alignment vertical="center"/>
    </xf>
    <xf numFmtId="200" fontId="6" fillId="0" borderId="208">
      <alignment vertical="center"/>
    </xf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0" fontId="92" fillId="0" borderId="208"/>
    <xf numFmtId="241" fontId="6" fillId="0" borderId="208">
      <alignment horizontal="right" vertical="center"/>
    </xf>
    <xf numFmtId="0" fontId="56" fillId="0" borderId="208"/>
    <xf numFmtId="0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244" fontId="117" fillId="0" borderId="208">
      <alignment vertical="center"/>
    </xf>
    <xf numFmtId="244" fontId="117" fillId="0" borderId="208">
      <alignment vertical="center"/>
    </xf>
    <xf numFmtId="244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39" fontId="117" fillId="0" borderId="208">
      <alignment horizontal="right"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10" fontId="39" fillId="4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191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1" fontId="117" fillId="0" borderId="208">
      <alignment vertical="center"/>
    </xf>
    <xf numFmtId="0" fontId="9" fillId="0" borderId="392">
      <alignment horizontal="centerContinuous" vertical="center"/>
    </xf>
    <xf numFmtId="218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41" fillId="0" borderId="355">
      <alignment horizontal="left" vertical="center"/>
    </xf>
    <xf numFmtId="0" fontId="41" fillId="0" borderId="355">
      <alignment horizontal="left" vertical="center"/>
    </xf>
    <xf numFmtId="185" fontId="9" fillId="0" borderId="208">
      <alignment horizontal="center" vertical="center"/>
    </xf>
    <xf numFmtId="3" fontId="6" fillId="0" borderId="208"/>
    <xf numFmtId="0" fontId="11" fillId="0" borderId="208" applyNumberFormat="0" applyFont="0" applyFill="0" applyAlignment="0" applyProtection="0">
      <alignment horizontal="center"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3" fontId="57" fillId="0" borderId="208"/>
    <xf numFmtId="240" fontId="6" fillId="0" borderId="208">
      <alignment horizontal="right"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191" fontId="6" fillId="0" borderId="208">
      <alignment vertical="center"/>
    </xf>
    <xf numFmtId="250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18" fontId="9" fillId="0" borderId="356">
      <alignment horizontal="centerContinuous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46" fontId="117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0" fontId="6" fillId="0" borderId="208">
      <alignment vertical="center"/>
    </xf>
    <xf numFmtId="218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3" fontId="117" fillId="0" borderId="208">
      <alignment vertical="center"/>
    </xf>
    <xf numFmtId="243" fontId="117" fillId="0" borderId="208">
      <alignment vertical="center"/>
    </xf>
    <xf numFmtId="244" fontId="117" fillId="0" borderId="208">
      <alignment vertical="center"/>
    </xf>
    <xf numFmtId="0" fontId="9" fillId="0" borderId="357">
      <alignment horizontal="distributed"/>
    </xf>
    <xf numFmtId="0" fontId="6" fillId="0" borderId="208" applyNumberFormat="0" applyFill="0" applyProtection="0">
      <alignment vertical="center"/>
    </xf>
    <xf numFmtId="0" fontId="153" fillId="22" borderId="387" applyNumberFormat="0" applyAlignment="0" applyProtection="0">
      <alignment vertical="center"/>
    </xf>
    <xf numFmtId="218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309" fontId="9" fillId="0" borderId="208" applyFill="0" applyBorder="0" applyAlignment="0"/>
    <xf numFmtId="0" fontId="6" fillId="0" borderId="356">
      <alignment horizontal="centerContinuous" vertical="center"/>
    </xf>
    <xf numFmtId="230" fontId="6" fillId="0" borderId="208">
      <alignment vertical="center"/>
    </xf>
    <xf numFmtId="3" fontId="57" fillId="0" borderId="208"/>
    <xf numFmtId="191" fontId="6" fillId="0" borderId="208">
      <alignment vertical="center"/>
    </xf>
    <xf numFmtId="0" fontId="6" fillId="0" borderId="356">
      <alignment horizontal="centerContinuous" vertical="center"/>
    </xf>
    <xf numFmtId="191" fontId="6" fillId="0" borderId="208">
      <alignment vertical="center"/>
    </xf>
    <xf numFmtId="238" fontId="6" fillId="0" borderId="208">
      <alignment vertical="center"/>
    </xf>
    <xf numFmtId="0" fontId="6" fillId="0" borderId="392">
      <alignment horizontal="centerContinuous" vertical="center"/>
    </xf>
    <xf numFmtId="0" fontId="184" fillId="0" borderId="208" applyFill="0" applyBorder="0" applyProtection="0">
      <alignment vertical="center"/>
    </xf>
    <xf numFmtId="0" fontId="92" fillId="0" borderId="208"/>
    <xf numFmtId="230" fontId="6" fillId="0" borderId="208">
      <alignment vertical="center"/>
    </xf>
    <xf numFmtId="242" fontId="6" fillId="0" borderId="208">
      <alignment horizontal="right" vertical="center"/>
    </xf>
    <xf numFmtId="0" fontId="94" fillId="0" borderId="356">
      <alignment horizontal="centerContinuous" vertical="center"/>
    </xf>
    <xf numFmtId="191" fontId="6" fillId="0" borderId="208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6" fillId="28" borderId="388" applyNumberFormat="0" applyFont="0" applyAlignment="0" applyProtection="0">
      <alignment vertical="center"/>
    </xf>
    <xf numFmtId="243" fontId="117" fillId="0" borderId="390">
      <alignment vertical="center"/>
    </xf>
    <xf numFmtId="3" fontId="57" fillId="0" borderId="390"/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0" fontId="153" fillId="22" borderId="387" applyNumberFormat="0" applyAlignment="0" applyProtection="0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0" fontId="41" fillId="0" borderId="355">
      <alignment horizontal="left" vertical="center"/>
    </xf>
    <xf numFmtId="322" fontId="9" fillId="0" borderId="356">
      <alignment horizontal="centerContinuous" vertical="center"/>
    </xf>
    <xf numFmtId="0" fontId="56" fillId="0" borderId="208"/>
    <xf numFmtId="237" fontId="6" fillId="0" borderId="208">
      <alignment vertical="center"/>
    </xf>
    <xf numFmtId="0" fontId="9" fillId="0" borderId="208">
      <alignment horizontal="distributed"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41" fillId="0" borderId="355">
      <alignment horizontal="left" vertical="center"/>
    </xf>
    <xf numFmtId="0" fontId="6" fillId="0" borderId="208">
      <alignment vertical="center"/>
    </xf>
    <xf numFmtId="236" fontId="6" fillId="0" borderId="208">
      <alignment vertical="center"/>
    </xf>
    <xf numFmtId="191" fontId="6" fillId="0" borderId="208">
      <alignment vertical="center"/>
    </xf>
    <xf numFmtId="0" fontId="117" fillId="0" borderId="356">
      <alignment horizontal="centerContinuous" vertical="center"/>
    </xf>
    <xf numFmtId="0" fontId="6" fillId="0" borderId="208">
      <alignment vertical="center"/>
    </xf>
    <xf numFmtId="338" fontId="19" fillId="0" borderId="208"/>
    <xf numFmtId="200" fontId="6" fillId="0" borderId="208">
      <alignment vertical="center"/>
    </xf>
    <xf numFmtId="230" fontId="6" fillId="0" borderId="208">
      <alignment vertical="center"/>
    </xf>
    <xf numFmtId="3" fontId="57" fillId="0" borderId="208"/>
    <xf numFmtId="3" fontId="57" fillId="0" borderId="208"/>
    <xf numFmtId="3" fontId="57" fillId="0" borderId="208"/>
    <xf numFmtId="0" fontId="92" fillId="0" borderId="208"/>
    <xf numFmtId="0" fontId="92" fillId="0" borderId="208"/>
    <xf numFmtId="0" fontId="153" fillId="22" borderId="387" applyNumberFormat="0" applyAlignment="0" applyProtection="0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0" fontId="6" fillId="0" borderId="208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21" fontId="117" fillId="0" borderId="208">
      <alignment vertical="center"/>
    </xf>
    <xf numFmtId="0" fontId="6" fillId="0" borderId="208" applyNumberFormat="0" applyFill="0" applyProtection="0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4" fontId="117" fillId="0" borderId="208">
      <alignment vertical="center"/>
    </xf>
    <xf numFmtId="0" fontId="153" fillId="22" borderId="387" applyNumberFormat="0" applyAlignment="0" applyProtection="0">
      <alignment vertical="center"/>
    </xf>
    <xf numFmtId="0" fontId="6" fillId="0" borderId="208" applyNumberFormat="0" applyFill="0" applyProtection="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94" fillId="0" borderId="356">
      <alignment horizontal="centerContinuous" vertical="center"/>
    </xf>
    <xf numFmtId="0" fontId="9" fillId="0" borderId="356">
      <alignment horizontal="centerContinuous" vertical="center"/>
    </xf>
    <xf numFmtId="230" fontId="6" fillId="0" borderId="208">
      <alignment vertical="center"/>
    </xf>
    <xf numFmtId="0" fontId="6" fillId="0" borderId="356">
      <alignment horizontal="centerContinuous" vertical="center"/>
    </xf>
    <xf numFmtId="230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206" fontId="6" fillId="0" borderId="208">
      <alignment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50" fillId="3" borderId="355">
      <alignment vertical="center"/>
    </xf>
    <xf numFmtId="0" fontId="159" fillId="0" borderId="389" applyNumberFormat="0" applyFill="0" applyAlignment="0" applyProtection="0">
      <alignment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3" fontId="57" fillId="0" borderId="208"/>
    <xf numFmtId="3" fontId="57" fillId="0" borderId="208"/>
    <xf numFmtId="185" fontId="8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56" fillId="0" borderId="390"/>
    <xf numFmtId="0" fontId="56" fillId="0" borderId="390"/>
    <xf numFmtId="0" fontId="56" fillId="0" borderId="390"/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208">
      <alignment vertical="center"/>
    </xf>
    <xf numFmtId="176" fontId="6" fillId="0" borderId="208">
      <alignment vertical="center"/>
    </xf>
    <xf numFmtId="249" fontId="6" fillId="0" borderId="208">
      <alignment vertical="center"/>
    </xf>
    <xf numFmtId="250" fontId="117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0" fontId="54" fillId="28" borderId="398" applyNumberFormat="0" applyFont="0" applyAlignment="0" applyProtection="0">
      <alignment vertical="center"/>
    </xf>
    <xf numFmtId="250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6" fontId="117" fillId="0" borderId="208">
      <alignment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5" fontId="117" fillId="0" borderId="208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322" fontId="9" fillId="0" borderId="356">
      <alignment horizontal="centerContinuous" vertical="center"/>
    </xf>
    <xf numFmtId="236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0" fontId="186" fillId="0" borderId="208" applyProtection="0">
      <alignment vertical="center"/>
    </xf>
    <xf numFmtId="185" fontId="235" fillId="0" borderId="208"/>
    <xf numFmtId="0" fontId="9" fillId="0" borderId="357">
      <alignment horizontal="distributed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49" fontId="60" fillId="0" borderId="384" applyNumberFormat="0" applyAlignment="0"/>
    <xf numFmtId="0" fontId="232" fillId="0" borderId="208" applyFont="0" applyFill="0" applyBorder="0" applyAlignment="0" applyProtection="0">
      <alignment horizontal="centerContinuous" vertical="center"/>
    </xf>
    <xf numFmtId="191" fontId="6" fillId="0" borderId="208">
      <alignment vertical="center"/>
    </xf>
    <xf numFmtId="0" fontId="6" fillId="0" borderId="208">
      <alignment horizontal="right" vertical="center" shrinkToFit="1"/>
    </xf>
    <xf numFmtId="244" fontId="117" fillId="0" borderId="208">
      <alignment vertical="center"/>
    </xf>
    <xf numFmtId="239" fontId="117" fillId="0" borderId="208">
      <alignment horizontal="right" vertical="center"/>
    </xf>
    <xf numFmtId="234" fontId="117" fillId="0" borderId="208">
      <alignment vertical="center"/>
    </xf>
    <xf numFmtId="185" fontId="8" fillId="0" borderId="208">
      <alignment vertical="center"/>
    </xf>
    <xf numFmtId="0" fontId="117" fillId="0" borderId="356">
      <alignment horizontal="centerContinuous" vertical="center"/>
    </xf>
    <xf numFmtId="0" fontId="117" fillId="0" borderId="356">
      <alignment horizontal="centerContinuous" vertical="center"/>
    </xf>
    <xf numFmtId="0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240" fontId="6" fillId="0" borderId="208">
      <alignment horizontal="right" vertical="center"/>
    </xf>
    <xf numFmtId="237" fontId="6" fillId="0" borderId="208">
      <alignment vertical="center"/>
    </xf>
    <xf numFmtId="236" fontId="6" fillId="0" borderId="208">
      <alignment vertical="center"/>
    </xf>
    <xf numFmtId="37" fontId="117" fillId="0" borderId="208">
      <alignment horizontal="center" vertical="distributed"/>
    </xf>
    <xf numFmtId="0" fontId="153" fillId="22" borderId="387" applyNumberFormat="0" applyAlignment="0" applyProtection="0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0" fontId="39" fillId="2" borderId="208" applyNumberFormat="0" applyBorder="0" applyAlignment="0" applyProtection="0"/>
    <xf numFmtId="10" fontId="39" fillId="2" borderId="208" applyNumberFormat="0" applyBorder="0" applyAlignment="0" applyProtection="0"/>
    <xf numFmtId="10" fontId="39" fillId="4" borderId="208" applyNumberFormat="0" applyBorder="0" applyAlignment="0" applyProtection="0"/>
    <xf numFmtId="234" fontId="117" fillId="0" borderId="208">
      <alignment vertical="center"/>
    </xf>
    <xf numFmtId="234" fontId="117" fillId="0" borderId="208">
      <alignment vertical="center"/>
    </xf>
    <xf numFmtId="234" fontId="117" fillId="0" borderId="208">
      <alignment vertical="center"/>
    </xf>
    <xf numFmtId="0" fontId="54" fillId="28" borderId="388" applyNumberFormat="0" applyFon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0" fontId="9" fillId="0" borderId="356">
      <alignment horizontal="centerContinuous" vertical="center"/>
    </xf>
    <xf numFmtId="0" fontId="9" fillId="0" borderId="356">
      <alignment horizontal="centerContinuous" vertical="center"/>
    </xf>
    <xf numFmtId="322" fontId="9" fillId="0" borderId="356">
      <alignment horizontal="centerContinuous" vertical="center"/>
    </xf>
    <xf numFmtId="191" fontId="6" fillId="0" borderId="208">
      <alignment vertical="center"/>
    </xf>
    <xf numFmtId="191" fontId="6" fillId="0" borderId="208">
      <alignment vertical="center"/>
    </xf>
    <xf numFmtId="249" fontId="6" fillId="0" borderId="208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0" fontId="117" fillId="0" borderId="392">
      <alignment horizontal="centerContinuous" vertical="center"/>
    </xf>
    <xf numFmtId="0" fontId="117" fillId="0" borderId="392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230" fontId="6" fillId="0" borderId="208">
      <alignment vertical="center"/>
    </xf>
    <xf numFmtId="23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30" fontId="6" fillId="0" borderId="208">
      <alignment vertical="center"/>
    </xf>
    <xf numFmtId="0" fontId="9" fillId="0" borderId="357">
      <alignment horizontal="distributed"/>
    </xf>
    <xf numFmtId="0" fontId="9" fillId="0" borderId="357">
      <alignment horizontal="distributed"/>
    </xf>
    <xf numFmtId="236" fontId="6" fillId="0" borderId="208">
      <alignment vertical="center"/>
    </xf>
    <xf numFmtId="237" fontId="6" fillId="0" borderId="208">
      <alignment vertical="center"/>
    </xf>
    <xf numFmtId="241" fontId="6" fillId="0" borderId="208">
      <alignment horizontal="right" vertical="center"/>
    </xf>
    <xf numFmtId="257" fontId="117" fillId="0" borderId="208" applyBorder="0">
      <alignment horizontal="left" vertical="center"/>
    </xf>
    <xf numFmtId="0" fontId="134" fillId="0" borderId="208">
      <alignment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00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41" fontId="135" fillId="0" borderId="208" applyNumberFormat="0">
      <alignment vertical="center"/>
    </xf>
    <xf numFmtId="185" fontId="235" fillId="0" borderId="208"/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117" fillId="0" borderId="392">
      <alignment horizontal="centerContinuous" vertical="center"/>
    </xf>
    <xf numFmtId="0" fontId="117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82" fillId="0" borderId="390"/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1" fontId="117" fillId="0" borderId="208">
      <alignment vertical="center"/>
    </xf>
    <xf numFmtId="338" fontId="19" fillId="0" borderId="208"/>
    <xf numFmtId="338" fontId="19" fillId="0" borderId="208"/>
    <xf numFmtId="338" fontId="19" fillId="0" borderId="208"/>
    <xf numFmtId="338" fontId="19" fillId="0" borderId="208"/>
    <xf numFmtId="338" fontId="19" fillId="0" borderId="208"/>
    <xf numFmtId="185" fontId="9" fillId="0" borderId="208">
      <alignment horizontal="center" vertical="center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208">
      <alignment horizontal="distributed"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256" fontId="117" fillId="0" borderId="208" applyBorder="0">
      <alignment vertical="center"/>
    </xf>
    <xf numFmtId="0" fontId="165" fillId="22" borderId="386" applyNumberFormat="0" applyAlignment="0" applyProtection="0">
      <alignment vertical="center"/>
    </xf>
    <xf numFmtId="234" fontId="117" fillId="0" borderId="390">
      <alignment vertical="center"/>
    </xf>
    <xf numFmtId="0" fontId="41" fillId="0" borderId="355">
      <alignment horizontal="left" vertical="center"/>
    </xf>
    <xf numFmtId="230" fontId="6" fillId="0" borderId="208">
      <alignment vertical="center"/>
    </xf>
    <xf numFmtId="242" fontId="6" fillId="0" borderId="208">
      <alignment horizontal="right" vertical="center"/>
    </xf>
    <xf numFmtId="238" fontId="6" fillId="0" borderId="208">
      <alignment vertical="center"/>
    </xf>
    <xf numFmtId="191" fontId="6" fillId="0" borderId="208">
      <alignment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238" fontId="6" fillId="0" borderId="208">
      <alignment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224" fillId="0" borderId="392">
      <alignment horizontal="centerContinuous" vertical="center"/>
    </xf>
    <xf numFmtId="186" fontId="14" fillId="0" borderId="395"/>
    <xf numFmtId="249" fontId="6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239" fontId="117" fillId="0" borderId="390">
      <alignment horizontal="right" vertical="center"/>
    </xf>
    <xf numFmtId="0" fontId="41" fillId="0" borderId="391">
      <alignment horizontal="left" vertical="center"/>
    </xf>
    <xf numFmtId="0" fontId="56" fillId="0" borderId="208"/>
    <xf numFmtId="3" fontId="56" fillId="0" borderId="208"/>
    <xf numFmtId="41" fontId="56" fillId="0" borderId="208" applyNumberFormat="0" applyFont="0" applyFill="0" applyBorder="0" applyProtection="0">
      <alignment horizontal="distributed"/>
    </xf>
    <xf numFmtId="41" fontId="56" fillId="0" borderId="208" applyNumberFormat="0" applyFont="0" applyFill="0" applyBorder="0" applyProtection="0">
      <alignment horizontal="distributed"/>
    </xf>
    <xf numFmtId="244" fontId="117" fillId="0" borderId="208">
      <alignment vertical="center"/>
    </xf>
    <xf numFmtId="244" fontId="117" fillId="0" borderId="208">
      <alignment vertical="center"/>
    </xf>
    <xf numFmtId="0" fontId="94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34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30" fontId="6" fillId="0" borderId="208">
      <alignment vertical="center"/>
    </xf>
    <xf numFmtId="200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191" fontId="6" fillId="0" borderId="208">
      <alignment vertical="center"/>
    </xf>
    <xf numFmtId="206" fontId="6" fillId="0" borderId="208">
      <alignment vertical="center"/>
    </xf>
    <xf numFmtId="240" fontId="6" fillId="0" borderId="208">
      <alignment horizontal="right" vertical="center"/>
    </xf>
    <xf numFmtId="242" fontId="6" fillId="0" borderId="208">
      <alignment horizontal="right" vertical="center"/>
    </xf>
    <xf numFmtId="241" fontId="6" fillId="0" borderId="208">
      <alignment horizontal="right" vertical="center"/>
    </xf>
    <xf numFmtId="241" fontId="6" fillId="0" borderId="208">
      <alignment horizontal="right" vertical="center"/>
    </xf>
    <xf numFmtId="240" fontId="6" fillId="0" borderId="208">
      <alignment horizontal="right" vertical="center"/>
    </xf>
    <xf numFmtId="240" fontId="6" fillId="0" borderId="208">
      <alignment horizontal="right" vertical="center"/>
    </xf>
    <xf numFmtId="236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5" fontId="117" fillId="0" borderId="208">
      <alignment vertical="center"/>
    </xf>
    <xf numFmtId="185" fontId="235" fillId="0" borderId="208"/>
    <xf numFmtId="241" fontId="6" fillId="0" borderId="208">
      <alignment horizontal="right"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06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0" fontId="232" fillId="0" borderId="208" applyFont="0" applyFill="0" applyBorder="0" applyAlignment="0" applyProtection="0">
      <alignment horizontal="centerContinuous" vertical="center"/>
    </xf>
    <xf numFmtId="231" fontId="117" fillId="0" borderId="208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6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117" fillId="0" borderId="356">
      <alignment horizontal="centerContinuous" vertical="center"/>
    </xf>
    <xf numFmtId="0" fontId="57" fillId="28" borderId="388" applyNumberFormat="0" applyFont="0" applyAlignment="0" applyProtection="0">
      <alignment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322" fontId="9" fillId="0" borderId="356">
      <alignment horizontal="centerContinuous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3" fontId="57" fillId="0" borderId="208"/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3" fontId="57" fillId="0" borderId="208"/>
    <xf numFmtId="3" fontId="57" fillId="0" borderId="208"/>
    <xf numFmtId="3" fontId="57" fillId="0" borderId="208"/>
    <xf numFmtId="0" fontId="6" fillId="28" borderId="388" applyNumberFormat="0" applyFon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0" fontId="54" fillId="28" borderId="398" applyNumberFormat="0" applyFont="0" applyAlignment="0" applyProtection="0">
      <alignment vertical="center"/>
    </xf>
    <xf numFmtId="218" fontId="9" fillId="0" borderId="392">
      <alignment horizontal="centerContinuous" vertical="center"/>
    </xf>
    <xf numFmtId="338" fontId="19" fillId="0" borderId="390"/>
    <xf numFmtId="0" fontId="9" fillId="0" borderId="393">
      <alignment horizontal="distributed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322" fontId="9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94" fillId="0" borderId="392">
      <alignment horizontal="centerContinuous" vertical="center"/>
    </xf>
    <xf numFmtId="0" fontId="56" fillId="0" borderId="390"/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41" fillId="0" borderId="391">
      <alignment horizontal="left" vertical="center"/>
    </xf>
    <xf numFmtId="41" fontId="9" fillId="0" borderId="208">
      <alignment horizontal="center" vertical="center"/>
    </xf>
    <xf numFmtId="176" fontId="6" fillId="0" borderId="208">
      <alignment vertical="center"/>
    </xf>
    <xf numFmtId="41" fontId="135" fillId="0" borderId="208" applyNumberFormat="0">
      <alignment vertical="center"/>
    </xf>
    <xf numFmtId="240" fontId="6" fillId="0" borderId="208">
      <alignment horizontal="right" vertical="center"/>
    </xf>
    <xf numFmtId="338" fontId="19" fillId="0" borderId="208"/>
    <xf numFmtId="338" fontId="19" fillId="0" borderId="208"/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357">
      <alignment horizontal="distributed"/>
    </xf>
    <xf numFmtId="0" fontId="9" fillId="0" borderId="208">
      <alignment horizontal="distributed" vertical="center"/>
    </xf>
    <xf numFmtId="0" fontId="9" fillId="0" borderId="208">
      <alignment horizontal="distributed" vertical="center"/>
    </xf>
    <xf numFmtId="0" fontId="94" fillId="0" borderId="356">
      <alignment horizontal="centerContinuous" vertical="center"/>
    </xf>
    <xf numFmtId="0" fontId="94" fillId="0" borderId="356">
      <alignment horizontal="centerContinuous" vertical="center"/>
    </xf>
    <xf numFmtId="218" fontId="6" fillId="0" borderId="208">
      <alignment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6" fillId="0" borderId="392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57" fillId="28" borderId="388" applyNumberFormat="0" applyFont="0" applyAlignment="0" applyProtection="0">
      <alignment vertical="center"/>
    </xf>
    <xf numFmtId="0" fontId="6" fillId="28" borderId="388" applyNumberFormat="0" applyFont="0" applyAlignment="0" applyProtection="0">
      <alignment vertical="center"/>
    </xf>
    <xf numFmtId="185" fontId="9" fillId="0" borderId="390">
      <alignment horizontal="center" vertical="center"/>
    </xf>
    <xf numFmtId="3" fontId="6" fillId="0" borderId="390"/>
    <xf numFmtId="0" fontId="92" fillId="0" borderId="390"/>
    <xf numFmtId="250" fontId="117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49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18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20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0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176" fontId="6" fillId="0" borderId="208">
      <alignment vertical="center"/>
    </xf>
    <xf numFmtId="246" fontId="117" fillId="0" borderId="208">
      <alignment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8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7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6" fontId="6" fillId="0" borderId="208">
      <alignment vertical="center"/>
    </xf>
    <xf numFmtId="235" fontId="117" fillId="0" borderId="208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5" fontId="235" fillId="0" borderId="208"/>
    <xf numFmtId="0" fontId="232" fillId="0" borderId="208" applyFont="0" applyFill="0" applyBorder="0" applyAlignment="0" applyProtection="0">
      <alignment horizontal="centerContinuous"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159" fillId="0" borderId="389" applyNumberFormat="0" applyFill="0" applyAlignment="0" applyProtection="0">
      <alignment vertical="center"/>
    </xf>
    <xf numFmtId="0" fontId="50" fillId="3" borderId="355">
      <alignment vertical="center"/>
    </xf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185" fontId="235" fillId="0" borderId="208"/>
    <xf numFmtId="49" fontId="60" fillId="0" borderId="384" applyNumberFormat="0" applyAlignment="0"/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0" fillId="12" borderId="387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165" fillId="22" borderId="386" applyNumberFormat="0" applyAlignment="0" applyProtection="0">
      <alignment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184" fillId="0" borderId="400" applyFill="0" applyBorder="0" applyProtection="0">
      <alignment vertical="center"/>
    </xf>
    <xf numFmtId="3" fontId="56" fillId="0" borderId="412"/>
    <xf numFmtId="3" fontId="57" fillId="0" borderId="412"/>
    <xf numFmtId="257" fontId="117" fillId="0" borderId="412" applyBorder="0">
      <alignment horizontal="lef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37" fontId="6" fillId="0" borderId="400">
      <alignment vertical="center"/>
    </xf>
    <xf numFmtId="240" fontId="6" fillId="0" borderId="412">
      <alignment horizontal="right" vertical="center"/>
    </xf>
    <xf numFmtId="37" fontId="117" fillId="0" borderId="412">
      <alignment horizontal="center" vertical="distributed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0" fontId="82" fillId="0" borderId="412"/>
    <xf numFmtId="221" fontId="117" fillId="0" borderId="400">
      <alignment vertical="center"/>
    </xf>
    <xf numFmtId="3" fontId="6" fillId="0" borderId="400"/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82" fillId="0" borderId="412"/>
    <xf numFmtId="0" fontId="6" fillId="0" borderId="400">
      <alignment vertical="center"/>
    </xf>
    <xf numFmtId="309" fontId="9" fillId="0" borderId="412" applyFill="0" applyBorder="0" applyAlignment="0"/>
    <xf numFmtId="185" fontId="8" fillId="0" borderId="400">
      <alignment vertical="center"/>
    </xf>
    <xf numFmtId="3" fontId="57" fillId="0" borderId="400"/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54" fillId="28" borderId="421" applyNumberFormat="0" applyFont="0" applyAlignment="0" applyProtection="0">
      <alignment vertical="center"/>
    </xf>
    <xf numFmtId="0" fontId="92" fillId="0" borderId="412"/>
    <xf numFmtId="238" fontId="6" fillId="0" borderId="412">
      <alignment vertical="center"/>
    </xf>
    <xf numFmtId="0" fontId="160" fillId="12" borderId="420" applyNumberFormat="0" applyAlignment="0" applyProtection="0">
      <alignment vertical="center"/>
    </xf>
    <xf numFmtId="240" fontId="6" fillId="0" borderId="412">
      <alignment horizontal="right" vertical="center"/>
    </xf>
    <xf numFmtId="206" fontId="6" fillId="0" borderId="412">
      <alignment vertical="center"/>
    </xf>
    <xf numFmtId="0" fontId="94" fillId="0" borderId="414">
      <alignment horizontal="centerContinuous" vertical="center"/>
    </xf>
    <xf numFmtId="241" fontId="6" fillId="0" borderId="412">
      <alignment horizontal="right" vertical="center"/>
    </xf>
    <xf numFmtId="240" fontId="6" fillId="0" borderId="400">
      <alignment horizontal="right" vertical="center"/>
    </xf>
    <xf numFmtId="338" fontId="19" fillId="0" borderId="412"/>
    <xf numFmtId="0" fontId="160" fillId="12" borderId="420" applyNumberFormat="0" applyAlignment="0" applyProtection="0">
      <alignment vertical="center"/>
    </xf>
    <xf numFmtId="236" fontId="6" fillId="0" borderId="412">
      <alignment vertical="center"/>
    </xf>
    <xf numFmtId="322" fontId="9" fillId="0" borderId="414">
      <alignment horizontal="centerContinuous" vertical="center"/>
    </xf>
    <xf numFmtId="0" fontId="6" fillId="0" borderId="412">
      <alignment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76" fontId="6" fillId="0" borderId="400">
      <alignment vertical="center"/>
    </xf>
    <xf numFmtId="0" fontId="9" fillId="0" borderId="412">
      <alignment horizontal="distributed" vertical="center"/>
    </xf>
    <xf numFmtId="228" fontId="117" fillId="0" borderId="423" applyBorder="0">
      <alignment vertical="center" wrapText="1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2">
      <alignment horizontal="right" vertical="center" shrinkToFit="1"/>
    </xf>
    <xf numFmtId="10" fontId="39" fillId="4" borderId="412" applyNumberFormat="0" applyBorder="0" applyAlignment="0" applyProtection="0"/>
    <xf numFmtId="10" fontId="39" fillId="2" borderId="412" applyNumberFormat="0" applyBorder="0" applyAlignment="0" applyProtection="0"/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3" fontId="56" fillId="0" borderId="400"/>
    <xf numFmtId="3" fontId="56" fillId="0" borderId="400"/>
    <xf numFmtId="191" fontId="6" fillId="0" borderId="400">
      <alignment vertical="center"/>
    </xf>
    <xf numFmtId="10" fontId="39" fillId="4" borderId="412" applyNumberFormat="0" applyBorder="0" applyAlignment="0" applyProtection="0"/>
    <xf numFmtId="191" fontId="6" fillId="0" borderId="400">
      <alignment vertical="center"/>
    </xf>
    <xf numFmtId="191" fontId="6" fillId="0" borderId="400">
      <alignment vertical="center"/>
    </xf>
    <xf numFmtId="0" fontId="57" fillId="28" borderId="409" applyNumberFormat="0" applyFont="0" applyAlignment="0" applyProtection="0">
      <alignment vertical="center"/>
    </xf>
    <xf numFmtId="0" fontId="6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218" fontId="9" fillId="0" borderId="414">
      <alignment horizontal="centerContinuous" vertical="center"/>
    </xf>
    <xf numFmtId="191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0" fontId="153" fillId="22" borderId="408" applyNumberFormat="0" applyAlignment="0" applyProtection="0">
      <alignment vertical="center"/>
    </xf>
    <xf numFmtId="3" fontId="57" fillId="0" borderId="400"/>
    <xf numFmtId="218" fontId="6" fillId="0" borderId="412">
      <alignment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242" fontId="6" fillId="0" borderId="412">
      <alignment horizontal="right" vertical="center"/>
    </xf>
    <xf numFmtId="241" fontId="6" fillId="0" borderId="412">
      <alignment horizontal="right" vertical="center"/>
    </xf>
    <xf numFmtId="0" fontId="94" fillId="0" borderId="414">
      <alignment horizontal="centerContinuous" vertical="center"/>
    </xf>
    <xf numFmtId="0" fontId="92" fillId="0" borderId="412"/>
    <xf numFmtId="191" fontId="6" fillId="0" borderId="412">
      <alignment vertical="center"/>
    </xf>
    <xf numFmtId="3" fontId="57" fillId="0" borderId="400"/>
    <xf numFmtId="244" fontId="117" fillId="0" borderId="412">
      <alignment vertical="center"/>
    </xf>
    <xf numFmtId="0" fontId="94" fillId="0" borderId="414">
      <alignment horizontal="centerContinuous" vertical="center"/>
    </xf>
    <xf numFmtId="3" fontId="57" fillId="0" borderId="400"/>
    <xf numFmtId="3" fontId="57" fillId="0" borderId="400"/>
    <xf numFmtId="0" fontId="82" fillId="0" borderId="400"/>
    <xf numFmtId="243" fontId="117" fillId="0" borderId="400">
      <alignment vertical="center"/>
    </xf>
    <xf numFmtId="10" fontId="39" fillId="4" borderId="400" applyNumberFormat="0" applyBorder="0" applyAlignment="0" applyProtection="0"/>
    <xf numFmtId="0" fontId="11" fillId="0" borderId="400" applyNumberFormat="0" applyFont="0" applyFill="0" applyAlignment="0" applyProtection="0">
      <alignment horizontal="center" vertical="center"/>
    </xf>
    <xf numFmtId="3" fontId="56" fillId="0" borderId="400"/>
    <xf numFmtId="0" fontId="56" fillId="0" borderId="400"/>
    <xf numFmtId="0" fontId="6" fillId="0" borderId="400">
      <alignment vertical="center"/>
    </xf>
    <xf numFmtId="0" fontId="92" fillId="0" borderId="400"/>
    <xf numFmtId="3" fontId="6" fillId="0" borderId="400"/>
    <xf numFmtId="185" fontId="9" fillId="0" borderId="400">
      <alignment horizontal="center" vertical="center"/>
    </xf>
    <xf numFmtId="200" fontId="77" fillId="0" borderId="400">
      <alignment vertical="center"/>
    </xf>
    <xf numFmtId="176" fontId="6" fillId="0" borderId="412">
      <alignment vertical="center"/>
    </xf>
    <xf numFmtId="238" fontId="6" fillId="0" borderId="400">
      <alignment vertical="center"/>
    </xf>
    <xf numFmtId="200" fontId="6" fillId="0" borderId="400">
      <alignment vertical="center"/>
    </xf>
    <xf numFmtId="0" fontId="6" fillId="0" borderId="400" applyNumberFormat="0" applyFill="0" applyProtection="0">
      <alignment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218" fontId="9" fillId="0" borderId="414">
      <alignment horizontal="centerContinuous" vertical="center"/>
    </xf>
    <xf numFmtId="200" fontId="77" fillId="0" borderId="412">
      <alignment vertical="center"/>
    </xf>
    <xf numFmtId="0" fontId="160" fillId="12" borderId="420" applyNumberFormat="0" applyAlignment="0" applyProtection="0">
      <alignment vertical="center"/>
    </xf>
    <xf numFmtId="0" fontId="117" fillId="0" borderId="414">
      <alignment horizontal="centerContinuous" vertical="center"/>
    </xf>
    <xf numFmtId="3" fontId="57" fillId="0" borderId="412"/>
    <xf numFmtId="185" fontId="9" fillId="0" borderId="412">
      <alignment horizontal="center" vertical="center"/>
    </xf>
    <xf numFmtId="0" fontId="160" fillId="12" borderId="420" applyNumberFormat="0" applyAlignment="0" applyProtection="0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38" fontId="6" fillId="0" borderId="412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0" fontId="9" fillId="0" borderId="412">
      <alignment horizontal="distributed" vertical="center"/>
    </xf>
    <xf numFmtId="37" fontId="117" fillId="0" borderId="400">
      <alignment horizontal="center" vertical="distributed"/>
    </xf>
    <xf numFmtId="240" fontId="6" fillId="0" borderId="400">
      <alignment horizontal="right" vertical="center"/>
    </xf>
    <xf numFmtId="230" fontId="6" fillId="0" borderId="400">
      <alignment vertical="center"/>
    </xf>
    <xf numFmtId="191" fontId="6" fillId="0" borderId="400">
      <alignment vertical="center"/>
    </xf>
    <xf numFmtId="0" fontId="6" fillId="0" borderId="414">
      <alignment horizontal="centerContinuous" vertical="center"/>
    </xf>
    <xf numFmtId="176" fontId="6" fillId="0" borderId="400">
      <alignment vertical="center"/>
    </xf>
    <xf numFmtId="176" fontId="6" fillId="0" borderId="400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0" fontId="50" fillId="3" borderId="413">
      <alignment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14">
      <alignment horizontal="centerContinuous" vertical="center"/>
    </xf>
    <xf numFmtId="200" fontId="6" fillId="0" borderId="412">
      <alignment vertical="center"/>
    </xf>
    <xf numFmtId="309" fontId="9" fillId="0" borderId="400" applyFill="0" applyBorder="0" applyAlignment="0"/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39" fontId="117" fillId="0" borderId="412">
      <alignment horizontal="right" vertical="center"/>
    </xf>
    <xf numFmtId="0" fontId="92" fillId="0" borderId="412"/>
    <xf numFmtId="0" fontId="6" fillId="0" borderId="412">
      <alignment horizontal="right" vertical="center" shrinkToFit="1"/>
    </xf>
    <xf numFmtId="239" fontId="117" fillId="0" borderId="412">
      <alignment horizontal="right" vertical="center"/>
    </xf>
    <xf numFmtId="243" fontId="117" fillId="0" borderId="412">
      <alignment vertical="center"/>
    </xf>
    <xf numFmtId="244" fontId="117" fillId="0" borderId="412">
      <alignment vertical="center"/>
    </xf>
    <xf numFmtId="0" fontId="6" fillId="0" borderId="412">
      <alignment horizontal="right" vertical="center" shrinkToFit="1"/>
    </xf>
    <xf numFmtId="0" fontId="92" fillId="0" borderId="412"/>
    <xf numFmtId="0" fontId="94" fillId="0" borderId="414">
      <alignment horizontal="centerContinuous" vertical="center"/>
    </xf>
    <xf numFmtId="3" fontId="57" fillId="0" borderId="400"/>
    <xf numFmtId="236" fontId="6" fillId="0" borderId="412">
      <alignment vertical="center"/>
    </xf>
    <xf numFmtId="206" fontId="6" fillId="0" borderId="412">
      <alignment vertical="center"/>
    </xf>
    <xf numFmtId="206" fontId="6" fillId="0" borderId="400">
      <alignment vertical="center"/>
    </xf>
    <xf numFmtId="322" fontId="9" fillId="0" borderId="402">
      <alignment horizontal="centerContinuous" vertical="center"/>
    </xf>
    <xf numFmtId="0" fontId="6" fillId="0" borderId="400" applyNumberFormat="0" applyFill="0" applyProtection="0">
      <alignment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9" fillId="0" borderId="402">
      <alignment horizontal="centerContinuous" vertical="center"/>
    </xf>
    <xf numFmtId="218" fontId="9" fillId="0" borderId="414">
      <alignment horizontal="centerContinuous" vertical="center"/>
    </xf>
    <xf numFmtId="240" fontId="6" fillId="0" borderId="412">
      <alignment horizontal="right" vertical="center"/>
    </xf>
    <xf numFmtId="3" fontId="56" fillId="0" borderId="412"/>
    <xf numFmtId="234" fontId="117" fillId="0" borderId="400">
      <alignment vertical="center"/>
    </xf>
    <xf numFmtId="243" fontId="117" fillId="0" borderId="400">
      <alignment vertical="center"/>
    </xf>
    <xf numFmtId="238" fontId="6" fillId="0" borderId="400">
      <alignment vertical="center"/>
    </xf>
    <xf numFmtId="176" fontId="6" fillId="0" borderId="400">
      <alignment vertical="center"/>
    </xf>
    <xf numFmtId="41" fontId="56" fillId="0" borderId="400" applyNumberFormat="0" applyFont="0" applyFill="0" applyBorder="0" applyProtection="0">
      <alignment horizontal="distributed"/>
    </xf>
    <xf numFmtId="218" fontId="9" fillId="0" borderId="414">
      <alignment horizontal="centerContinuous" vertical="center"/>
    </xf>
    <xf numFmtId="240" fontId="6" fillId="0" borderId="412">
      <alignment horizontal="right" vertical="center"/>
    </xf>
    <xf numFmtId="0" fontId="6" fillId="0" borderId="412">
      <alignment horizontal="right" vertical="center" shrinkToFit="1"/>
    </xf>
    <xf numFmtId="238" fontId="6" fillId="0" borderId="412">
      <alignment vertical="center"/>
    </xf>
    <xf numFmtId="176" fontId="6" fillId="0" borderId="400">
      <alignment vertical="center"/>
    </xf>
    <xf numFmtId="238" fontId="6" fillId="0" borderId="412">
      <alignment vertical="center"/>
    </xf>
    <xf numFmtId="243" fontId="117" fillId="0" borderId="412">
      <alignment vertical="center"/>
    </xf>
    <xf numFmtId="322" fontId="9" fillId="0" borderId="414">
      <alignment horizontal="centerContinuous" vertical="center"/>
    </xf>
    <xf numFmtId="41" fontId="56" fillId="0" borderId="400" applyNumberFormat="0" applyFont="0" applyFill="0" applyBorder="0" applyProtection="0">
      <alignment horizontal="distributed"/>
    </xf>
    <xf numFmtId="3" fontId="57" fillId="0" borderId="400"/>
    <xf numFmtId="218" fontId="6" fillId="0" borderId="400">
      <alignment vertical="center"/>
    </xf>
    <xf numFmtId="240" fontId="6" fillId="0" borderId="400">
      <alignment horizontal="right" vertical="center"/>
    </xf>
    <xf numFmtId="236" fontId="6" fillId="0" borderId="400">
      <alignment vertical="center"/>
    </xf>
    <xf numFmtId="176" fontId="6" fillId="0" borderId="412">
      <alignment vertical="center"/>
    </xf>
    <xf numFmtId="236" fontId="6" fillId="0" borderId="412">
      <alignment vertical="center"/>
    </xf>
    <xf numFmtId="233" fontId="122" fillId="0" borderId="412" applyFill="0" applyBorder="0" applyAlignment="0"/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322" fontId="9" fillId="0" borderId="402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240" fontId="6" fillId="0" borderId="412">
      <alignment horizontal="right" vertical="center"/>
    </xf>
    <xf numFmtId="244" fontId="117" fillId="0" borderId="400">
      <alignment vertical="center"/>
    </xf>
    <xf numFmtId="244" fontId="117" fillId="0" borderId="400">
      <alignment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82" fillId="0" borderId="400"/>
    <xf numFmtId="239" fontId="117" fillId="0" borderId="412">
      <alignment horizontal="right" vertical="center"/>
    </xf>
    <xf numFmtId="242" fontId="6" fillId="0" borderId="412">
      <alignment horizontal="right" vertical="center"/>
    </xf>
    <xf numFmtId="0" fontId="6" fillId="0" borderId="402">
      <alignment horizontal="centerContinuous" vertical="center"/>
    </xf>
    <xf numFmtId="230" fontId="6" fillId="0" borderId="412">
      <alignment vertical="center"/>
    </xf>
    <xf numFmtId="243" fontId="117" fillId="0" borderId="400">
      <alignment vertical="center"/>
    </xf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4" borderId="400" applyNumberFormat="0" applyBorder="0" applyAlignment="0" applyProtection="0"/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36" fontId="6" fillId="0" borderId="400">
      <alignment vertical="center"/>
    </xf>
    <xf numFmtId="256" fontId="117" fillId="0" borderId="412" applyBorder="0">
      <alignment vertical="center"/>
    </xf>
    <xf numFmtId="230" fontId="6" fillId="0" borderId="412">
      <alignment vertical="center"/>
    </xf>
    <xf numFmtId="238" fontId="6" fillId="0" borderId="412">
      <alignment vertical="center"/>
    </xf>
    <xf numFmtId="236" fontId="6" fillId="0" borderId="412">
      <alignment vertical="center"/>
    </xf>
    <xf numFmtId="0" fontId="6" fillId="0" borderId="412">
      <alignment horizontal="right" vertical="center" shrinkToFit="1"/>
    </xf>
    <xf numFmtId="3" fontId="57" fillId="0" borderId="412"/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200" fontId="6" fillId="0" borderId="400">
      <alignment vertical="center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249" fontId="6" fillId="0" borderId="412">
      <alignment vertical="center"/>
    </xf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249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50" fillId="3" borderId="401">
      <alignment vertical="center"/>
    </xf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218" fontId="9" fillId="0" borderId="414">
      <alignment horizontal="centerContinuous" vertical="center"/>
    </xf>
    <xf numFmtId="236" fontId="6" fillId="0" borderId="400">
      <alignment vertical="center"/>
    </xf>
    <xf numFmtId="0" fontId="94" fillId="0" borderId="414">
      <alignment horizontal="centerContinuous"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200" fontId="6" fillId="0" borderId="412">
      <alignment vertical="center"/>
    </xf>
    <xf numFmtId="338" fontId="19" fillId="0" borderId="412"/>
    <xf numFmtId="244" fontId="117" fillId="0" borderId="400">
      <alignment vertical="center"/>
    </xf>
    <xf numFmtId="3" fontId="57" fillId="0" borderId="400"/>
    <xf numFmtId="0" fontId="94" fillId="0" borderId="414">
      <alignment horizontal="centerContinuous" vertical="center"/>
    </xf>
    <xf numFmtId="185" fontId="9" fillId="0" borderId="400">
      <alignment horizontal="center" vertical="center"/>
    </xf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218" fontId="9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00" applyNumberFormat="0" applyFill="0" applyProtection="0">
      <alignment vertical="center"/>
    </xf>
    <xf numFmtId="322" fontId="9" fillId="0" borderId="402">
      <alignment horizontal="centerContinuous" vertical="center"/>
    </xf>
    <xf numFmtId="0" fontId="224" fillId="0" borderId="414">
      <alignment horizontal="centerContinuous" vertical="center"/>
    </xf>
    <xf numFmtId="241" fontId="6" fillId="0" borderId="400">
      <alignment horizontal="right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322" fontId="9" fillId="0" borderId="414">
      <alignment horizontal="centerContinuous" vertical="center"/>
    </xf>
    <xf numFmtId="0" fontId="50" fillId="3" borderId="401">
      <alignment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3" fontId="56" fillId="0" borderId="412"/>
    <xf numFmtId="0" fontId="117" fillId="0" borderId="414">
      <alignment horizontal="centerContinuous" vertical="center"/>
    </xf>
    <xf numFmtId="240" fontId="6" fillId="0" borderId="400">
      <alignment horizontal="right" vertical="center"/>
    </xf>
    <xf numFmtId="241" fontId="6" fillId="0" borderId="412">
      <alignment horizontal="right" vertical="center"/>
    </xf>
    <xf numFmtId="249" fontId="6" fillId="0" borderId="400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243" fontId="117" fillId="0" borderId="412">
      <alignment vertical="center"/>
    </xf>
    <xf numFmtId="10" fontId="39" fillId="4" borderId="400" applyNumberFormat="0" applyBorder="0" applyAlignment="0" applyProtection="0"/>
    <xf numFmtId="238" fontId="6" fillId="0" borderId="412">
      <alignment vertical="center"/>
    </xf>
    <xf numFmtId="0" fontId="6" fillId="0" borderId="412" applyNumberFormat="0" applyFill="0" applyProtection="0">
      <alignment vertical="center"/>
    </xf>
    <xf numFmtId="49" fontId="60" fillId="0" borderId="417" applyNumberFormat="0" applyAlignment="0"/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0" fontId="6" fillId="0" borderId="414">
      <alignment horizontal="centerContinuous" vertical="center"/>
    </xf>
    <xf numFmtId="309" fontId="9" fillId="0" borderId="400" applyFill="0" applyBorder="0" applyAlignment="0"/>
    <xf numFmtId="322" fontId="9" fillId="0" borderId="402">
      <alignment horizontal="centerContinuous" vertical="center"/>
    </xf>
    <xf numFmtId="0" fontId="94" fillId="0" borderId="414">
      <alignment horizontal="centerContinuous" vertical="center"/>
    </xf>
    <xf numFmtId="0" fontId="92" fillId="0" borderId="412"/>
    <xf numFmtId="0" fontId="94" fillId="0" borderId="414">
      <alignment horizontal="centerContinuous" vertical="center"/>
    </xf>
    <xf numFmtId="0" fontId="6" fillId="0" borderId="412">
      <alignment vertical="center"/>
    </xf>
    <xf numFmtId="206" fontId="6" fillId="0" borderId="412">
      <alignment vertical="center"/>
    </xf>
    <xf numFmtId="3" fontId="57" fillId="0" borderId="412"/>
    <xf numFmtId="257" fontId="117" fillId="0" borderId="400" applyBorder="0">
      <alignment horizontal="lef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00" fontId="6" fillId="0" borderId="400">
      <alignment vertical="center"/>
    </xf>
    <xf numFmtId="10" fontId="39" fillId="4" borderId="400" applyNumberFormat="0" applyBorder="0" applyAlignment="0" applyProtection="0"/>
    <xf numFmtId="185" fontId="8" fillId="0" borderId="412">
      <alignment vertical="center"/>
    </xf>
    <xf numFmtId="0" fontId="50" fillId="3" borderId="413">
      <alignment vertical="center"/>
    </xf>
    <xf numFmtId="200" fontId="6" fillId="0" borderId="412">
      <alignment vertical="center"/>
    </xf>
    <xf numFmtId="230" fontId="6" fillId="0" borderId="412">
      <alignment vertical="center"/>
    </xf>
    <xf numFmtId="49" fontId="117" fillId="0" borderId="412">
      <alignment horizontal="center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191" fontId="6" fillId="0" borderId="412">
      <alignment vertical="center"/>
    </xf>
    <xf numFmtId="0" fontId="94" fillId="0" borderId="414">
      <alignment horizontal="centerContinuous" vertical="center"/>
    </xf>
    <xf numFmtId="185" fontId="8" fillId="0" borderId="412">
      <alignment vertical="center"/>
    </xf>
    <xf numFmtId="10" fontId="39" fillId="4" borderId="400" applyNumberFormat="0" applyBorder="0" applyAlignment="0" applyProtection="0"/>
    <xf numFmtId="0" fontId="224" fillId="0" borderId="402">
      <alignment horizontal="centerContinuous" vertical="center"/>
    </xf>
    <xf numFmtId="230" fontId="6" fillId="0" borderId="412">
      <alignment vertical="center"/>
    </xf>
    <xf numFmtId="239" fontId="117" fillId="0" borderId="412">
      <alignment horizontal="right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" fillId="0" borderId="414">
      <alignment horizontal="centerContinuous" vertical="center"/>
    </xf>
    <xf numFmtId="0" fontId="6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322" fontId="9" fillId="0" borderId="414">
      <alignment horizontal="centerContinuous" vertical="center"/>
    </xf>
    <xf numFmtId="200" fontId="6" fillId="0" borderId="400">
      <alignment vertical="center"/>
    </xf>
    <xf numFmtId="0" fontId="6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185" fontId="9" fillId="0" borderId="400">
      <alignment horizontal="center" vertical="center"/>
    </xf>
    <xf numFmtId="239" fontId="117" fillId="0" borderId="412">
      <alignment horizontal="right" vertical="center"/>
    </xf>
    <xf numFmtId="0" fontId="94" fillId="0" borderId="414">
      <alignment horizontal="centerContinuous" vertical="center"/>
    </xf>
    <xf numFmtId="239" fontId="117" fillId="0" borderId="412">
      <alignment horizontal="right" vertical="center"/>
    </xf>
    <xf numFmtId="49" fontId="117" fillId="0" borderId="400">
      <alignment horizontal="center" vertical="center"/>
    </xf>
    <xf numFmtId="218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176" fontId="6" fillId="0" borderId="400">
      <alignment vertical="center"/>
    </xf>
    <xf numFmtId="218" fontId="6" fillId="0" borderId="400">
      <alignment vertical="center"/>
    </xf>
    <xf numFmtId="206" fontId="6" fillId="0" borderId="400">
      <alignment vertical="center"/>
    </xf>
    <xf numFmtId="249" fontId="6" fillId="0" borderId="400">
      <alignment vertical="center"/>
    </xf>
    <xf numFmtId="191" fontId="6" fillId="0" borderId="400">
      <alignment vertical="center"/>
    </xf>
    <xf numFmtId="176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0" fontId="153" fillId="22" borderId="408" applyNumberFormat="0" applyAlignment="0" applyProtection="0">
      <alignment vertical="center"/>
    </xf>
    <xf numFmtId="3" fontId="57" fillId="0" borderId="400"/>
    <xf numFmtId="236" fontId="6" fillId="0" borderId="400">
      <alignment vertical="center"/>
    </xf>
    <xf numFmtId="322" fontId="9" fillId="0" borderId="414">
      <alignment horizontal="centerContinuous" vertical="center"/>
    </xf>
    <xf numFmtId="206" fontId="6" fillId="0" borderId="400">
      <alignment vertical="center"/>
    </xf>
    <xf numFmtId="249" fontId="6" fillId="0" borderId="400">
      <alignment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0" fontId="6" fillId="0" borderId="414">
      <alignment horizontal="centerContinuous" vertical="center"/>
    </xf>
    <xf numFmtId="0" fontId="41" fillId="0" borderId="413">
      <alignment horizontal="left" vertical="center"/>
    </xf>
    <xf numFmtId="10" fontId="39" fillId="2" borderId="412" applyNumberFormat="0" applyBorder="0" applyAlignment="0" applyProtection="0"/>
    <xf numFmtId="256" fontId="117" fillId="0" borderId="412" applyBorder="0">
      <alignment vertical="center"/>
    </xf>
    <xf numFmtId="256" fontId="117" fillId="0" borderId="412" applyBorder="0">
      <alignment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0" fontId="54" fillId="28" borderId="409" applyNumberFormat="0" applyFon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85" fillId="22" borderId="407" applyNumberFormat="0" applyAlignment="0" applyProtection="0">
      <alignment vertical="center"/>
    </xf>
    <xf numFmtId="0" fontId="6" fillId="0" borderId="400" applyNumberFormat="0" applyFill="0" applyProtection="0">
      <alignment vertical="center"/>
    </xf>
    <xf numFmtId="338" fontId="19" fillId="0" borderId="400"/>
    <xf numFmtId="185" fontId="9" fillId="0" borderId="400">
      <alignment horizontal="center" vertical="center"/>
    </xf>
    <xf numFmtId="191" fontId="6" fillId="0" borderId="412">
      <alignment vertical="center"/>
    </xf>
    <xf numFmtId="0" fontId="92" fillId="0" borderId="400"/>
    <xf numFmtId="3" fontId="57" fillId="0" borderId="400"/>
    <xf numFmtId="230" fontId="6" fillId="0" borderId="412">
      <alignment vertical="center"/>
    </xf>
    <xf numFmtId="3" fontId="57" fillId="0" borderId="400"/>
    <xf numFmtId="3" fontId="57" fillId="0" borderId="400"/>
    <xf numFmtId="0" fontId="82" fillId="0" borderId="400"/>
    <xf numFmtId="0" fontId="92" fillId="0" borderId="400"/>
    <xf numFmtId="3" fontId="6" fillId="0" borderId="400"/>
    <xf numFmtId="322" fontId="9" fillId="0" borderId="414">
      <alignment horizontal="centerContinuous" vertical="center"/>
    </xf>
    <xf numFmtId="0" fontId="6" fillId="0" borderId="412">
      <alignment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191" fontId="6" fillId="0" borderId="412">
      <alignment vertical="center"/>
    </xf>
    <xf numFmtId="322" fontId="9" fillId="0" borderId="402">
      <alignment horizontal="centerContinuous" vertical="center"/>
    </xf>
    <xf numFmtId="322" fontId="9" fillId="0" borderId="414">
      <alignment horizontal="centerContinuous" vertical="center"/>
    </xf>
    <xf numFmtId="191" fontId="6" fillId="0" borderId="412">
      <alignment vertical="center"/>
    </xf>
    <xf numFmtId="191" fontId="6" fillId="0" borderId="412">
      <alignment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" fontId="57" fillId="0" borderId="412"/>
    <xf numFmtId="0" fontId="56" fillId="0" borderId="400"/>
    <xf numFmtId="0" fontId="6" fillId="0" borderId="412" applyNumberFormat="0" applyFill="0" applyProtection="0">
      <alignment vertical="center"/>
    </xf>
    <xf numFmtId="0" fontId="56" fillId="0" borderId="412"/>
    <xf numFmtId="0" fontId="50" fillId="3" borderId="401">
      <alignment vertical="center"/>
    </xf>
    <xf numFmtId="218" fontId="9" fillId="0" borderId="402">
      <alignment horizontal="centerContinuous" vertical="center"/>
    </xf>
    <xf numFmtId="185" fontId="9" fillId="0" borderId="412">
      <alignment horizontal="center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48" fontId="117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159" fillId="0" borderId="410" applyNumberFormat="0" applyFill="0" applyAlignment="0" applyProtection="0">
      <alignment vertical="center"/>
    </xf>
    <xf numFmtId="10" fontId="39" fillId="4" borderId="400" applyNumberFormat="0" applyBorder="0" applyAlignment="0" applyProtection="0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36" fontId="6" fillId="0" borderId="412">
      <alignment vertical="center"/>
    </xf>
    <xf numFmtId="238" fontId="6" fillId="0" borderId="412">
      <alignment vertical="center"/>
    </xf>
    <xf numFmtId="322" fontId="9" fillId="0" borderId="414">
      <alignment horizontal="centerContinuous" vertical="center"/>
    </xf>
    <xf numFmtId="3" fontId="57" fillId="0" borderId="412"/>
    <xf numFmtId="3" fontId="57" fillId="0" borderId="412"/>
    <xf numFmtId="0" fontId="117" fillId="0" borderId="414">
      <alignment horizontal="centerContinuous" vertical="center"/>
    </xf>
    <xf numFmtId="0" fontId="6" fillId="0" borderId="414">
      <alignment horizontal="centerContinuous" vertical="center"/>
    </xf>
    <xf numFmtId="206" fontId="6" fillId="0" borderId="412">
      <alignment vertical="center"/>
    </xf>
    <xf numFmtId="3" fontId="57" fillId="0" borderId="412"/>
    <xf numFmtId="191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2" fillId="0" borderId="412"/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horizontal="right" vertical="center" shrinkToFit="1"/>
    </xf>
    <xf numFmtId="0" fontId="50" fillId="3" borderId="413">
      <alignment vertical="center"/>
    </xf>
    <xf numFmtId="0" fontId="50" fillId="3" borderId="413">
      <alignment vertical="center"/>
    </xf>
    <xf numFmtId="239" fontId="117" fillId="0" borderId="412">
      <alignment horizontal="right" vertical="center"/>
    </xf>
    <xf numFmtId="200" fontId="6" fillId="0" borderId="400">
      <alignment vertical="center"/>
    </xf>
    <xf numFmtId="0" fontId="94" fillId="0" borderId="414">
      <alignment horizontal="centerContinuous" vertical="center"/>
    </xf>
    <xf numFmtId="221" fontId="117" fillId="0" borderId="400">
      <alignment vertical="center"/>
    </xf>
    <xf numFmtId="0" fontId="117" fillId="0" borderId="414">
      <alignment horizontal="centerContinuous" vertical="center"/>
    </xf>
    <xf numFmtId="228" fontId="117" fillId="0" borderId="423" applyBorder="0">
      <alignment vertical="center" wrapText="1"/>
    </xf>
    <xf numFmtId="176" fontId="6" fillId="0" borderId="400">
      <alignment vertical="center"/>
    </xf>
    <xf numFmtId="41" fontId="9" fillId="0" borderId="412">
      <alignment horizontal="center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185" fontId="235" fillId="0" borderId="400"/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49" fontId="6" fillId="0" borderId="412">
      <alignment vertical="center"/>
    </xf>
    <xf numFmtId="3" fontId="57" fillId="0" borderId="412"/>
    <xf numFmtId="236" fontId="6" fillId="0" borderId="412">
      <alignment vertical="center"/>
    </xf>
    <xf numFmtId="191" fontId="6" fillId="0" borderId="412">
      <alignment vertical="center"/>
    </xf>
    <xf numFmtId="3" fontId="57" fillId="0" borderId="400"/>
    <xf numFmtId="3" fontId="57" fillId="0" borderId="400"/>
    <xf numFmtId="3" fontId="56" fillId="0" borderId="412"/>
    <xf numFmtId="0" fontId="6" fillId="0" borderId="412" applyNumberFormat="0" applyFill="0" applyProtection="0">
      <alignment vertical="center"/>
    </xf>
    <xf numFmtId="239" fontId="117" fillId="0" borderId="412">
      <alignment horizontal="right" vertical="center"/>
    </xf>
    <xf numFmtId="238" fontId="6" fillId="0" borderId="412">
      <alignment vertical="center"/>
    </xf>
    <xf numFmtId="41" fontId="135" fillId="0" borderId="412" applyNumberFormat="0">
      <alignment vertical="center"/>
    </xf>
    <xf numFmtId="0" fontId="50" fillId="3" borderId="401">
      <alignment vertical="center"/>
    </xf>
    <xf numFmtId="218" fontId="6" fillId="0" borderId="412">
      <alignment vertical="center"/>
    </xf>
    <xf numFmtId="20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0" fontId="9" fillId="0" borderId="415">
      <alignment horizontal="distributed"/>
    </xf>
    <xf numFmtId="230" fontId="6" fillId="0" borderId="412">
      <alignment vertical="center"/>
    </xf>
    <xf numFmtId="0" fontId="117" fillId="0" borderId="414">
      <alignment horizontal="centerContinuous" vertical="center"/>
    </xf>
    <xf numFmtId="240" fontId="6" fillId="0" borderId="400">
      <alignment horizontal="right" vertical="center"/>
    </xf>
    <xf numFmtId="236" fontId="6" fillId="0" borderId="400">
      <alignment vertical="center"/>
    </xf>
    <xf numFmtId="235" fontId="117" fillId="0" borderId="400">
      <alignment vertical="center"/>
    </xf>
    <xf numFmtId="3" fontId="56" fillId="0" borderId="412"/>
    <xf numFmtId="240" fontId="6" fillId="0" borderId="412">
      <alignment horizontal="right" vertical="center"/>
    </xf>
    <xf numFmtId="191" fontId="6" fillId="0" borderId="412">
      <alignment vertical="center"/>
    </xf>
    <xf numFmtId="218" fontId="9" fillId="0" borderId="414">
      <alignment horizontal="centerContinuous" vertical="center"/>
    </xf>
    <xf numFmtId="231" fontId="117" fillId="0" borderId="412">
      <alignment vertical="center"/>
    </xf>
    <xf numFmtId="0" fontId="117" fillId="0" borderId="414">
      <alignment horizontal="centerContinuous" vertical="center"/>
    </xf>
    <xf numFmtId="0" fontId="6" fillId="0" borderId="400">
      <alignment vertical="center"/>
    </xf>
    <xf numFmtId="3" fontId="57" fillId="0" borderId="400"/>
    <xf numFmtId="234" fontId="117" fillId="0" borderId="400">
      <alignment vertical="center"/>
    </xf>
    <xf numFmtId="239" fontId="117" fillId="0" borderId="400">
      <alignment horizontal="right"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1" fontId="6" fillId="0" borderId="412">
      <alignment horizontal="right" vertical="center"/>
    </xf>
    <xf numFmtId="0" fontId="50" fillId="3" borderId="401">
      <alignment vertical="center"/>
    </xf>
    <xf numFmtId="238" fontId="6" fillId="0" borderId="412">
      <alignment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230" fontId="6" fillId="0" borderId="412">
      <alignment vertical="center"/>
    </xf>
    <xf numFmtId="3" fontId="56" fillId="0" borderId="400"/>
    <xf numFmtId="3" fontId="56" fillId="0" borderId="400"/>
    <xf numFmtId="3" fontId="56" fillId="0" borderId="400"/>
    <xf numFmtId="0" fontId="56" fillId="0" borderId="400"/>
    <xf numFmtId="0" fontId="56" fillId="0" borderId="400"/>
    <xf numFmtId="0" fontId="56" fillId="0" borderId="400"/>
    <xf numFmtId="233" fontId="122" fillId="0" borderId="400" applyFill="0" applyBorder="0" applyAlignment="0"/>
    <xf numFmtId="0" fontId="94" fillId="0" borderId="414">
      <alignment horizontal="centerContinuous" vertical="center"/>
    </xf>
    <xf numFmtId="0" fontId="50" fillId="3" borderId="401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41" fontId="135" fillId="0" borderId="400" applyNumberFormat="0">
      <alignment vertical="center"/>
    </xf>
    <xf numFmtId="0" fontId="153" fillId="22" borderId="408" applyNumberFormat="0" applyAlignment="0" applyProtection="0">
      <alignment vertical="center"/>
    </xf>
    <xf numFmtId="244" fontId="117" fillId="0" borderId="400">
      <alignment vertical="center"/>
    </xf>
    <xf numFmtId="0" fontId="92" fillId="0" borderId="400"/>
    <xf numFmtId="236" fontId="6" fillId="0" borderId="412">
      <alignment vertical="center"/>
    </xf>
    <xf numFmtId="3" fontId="56" fillId="0" borderId="400"/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0" fontId="159" fillId="0" borderId="422" applyNumberFormat="0" applyFill="0" applyAlignment="0" applyProtection="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176" fontId="6" fillId="0" borderId="400">
      <alignment vertical="center"/>
    </xf>
    <xf numFmtId="322" fontId="9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14">
      <alignment horizontal="centerContinuous" vertical="center"/>
    </xf>
    <xf numFmtId="0" fontId="6" fillId="0" borderId="400">
      <alignment vertical="center"/>
    </xf>
    <xf numFmtId="0" fontId="6" fillId="0" borderId="400">
      <alignment vertical="center"/>
    </xf>
    <xf numFmtId="200" fontId="6" fillId="0" borderId="400">
      <alignment vertical="center"/>
    </xf>
    <xf numFmtId="322" fontId="9" fillId="0" borderId="414">
      <alignment horizontal="centerContinuous" vertical="center"/>
    </xf>
    <xf numFmtId="231" fontId="117" fillId="0" borderId="412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6" fillId="0" borderId="412"/>
    <xf numFmtId="0" fontId="165" fillId="22" borderId="419" applyNumberFormat="0" applyAlignment="0" applyProtection="0">
      <alignment vertical="center"/>
    </xf>
    <xf numFmtId="0" fontId="94" fillId="0" borderId="414">
      <alignment horizontal="centerContinuous" vertical="center"/>
    </xf>
    <xf numFmtId="0" fontId="41" fillId="0" borderId="401">
      <alignment horizontal="left" vertical="center"/>
    </xf>
    <xf numFmtId="338" fontId="19" fillId="0" borderId="400"/>
    <xf numFmtId="237" fontId="6" fillId="0" borderId="412">
      <alignment vertical="center"/>
    </xf>
    <xf numFmtId="3" fontId="57" fillId="0" borderId="412"/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160" fillId="1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338" fontId="19" fillId="0" borderId="412"/>
    <xf numFmtId="338" fontId="19" fillId="0" borderId="412"/>
    <xf numFmtId="10" fontId="39" fillId="2" borderId="412" applyNumberFormat="0" applyBorder="0" applyAlignment="0" applyProtection="0"/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3" fontId="57" fillId="0" borderId="412"/>
    <xf numFmtId="0" fontId="94" fillId="0" borderId="414">
      <alignment horizontal="centerContinuous" vertical="center"/>
    </xf>
    <xf numFmtId="3" fontId="57" fillId="0" borderId="412"/>
    <xf numFmtId="200" fontId="77" fillId="0" borderId="412">
      <alignment vertical="center"/>
    </xf>
    <xf numFmtId="3" fontId="57" fillId="0" borderId="400"/>
    <xf numFmtId="3" fontId="57" fillId="0" borderId="400"/>
    <xf numFmtId="3" fontId="57" fillId="0" borderId="400"/>
    <xf numFmtId="3" fontId="57" fillId="0" borderId="412"/>
    <xf numFmtId="0" fontId="50" fillId="3" borderId="413">
      <alignment vertical="center"/>
    </xf>
    <xf numFmtId="185" fontId="8" fillId="0" borderId="412">
      <alignment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37" fontId="6" fillId="0" borderId="400">
      <alignment vertical="center"/>
    </xf>
    <xf numFmtId="240" fontId="6" fillId="0" borderId="400">
      <alignment horizontal="right" vertical="center"/>
    </xf>
    <xf numFmtId="0" fontId="186" fillId="0" borderId="400" applyProtection="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0" fontId="50" fillId="3" borderId="413">
      <alignment vertical="center"/>
    </xf>
    <xf numFmtId="0" fontId="184" fillId="0" borderId="400" applyFill="0" applyBorder="0" applyProtection="0">
      <alignment vertical="center"/>
    </xf>
    <xf numFmtId="10" fontId="39" fillId="4" borderId="400" applyNumberFormat="0" applyBorder="0" applyAlignment="0" applyProtection="0"/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41" fillId="0" borderId="413">
      <alignment horizontal="left" vertical="center"/>
    </xf>
    <xf numFmtId="0" fontId="41" fillId="0" borderId="413">
      <alignment horizontal="left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246" fontId="117" fillId="0" borderId="412">
      <alignment vertical="center"/>
    </xf>
    <xf numFmtId="0" fontId="94" fillId="0" borderId="414">
      <alignment horizontal="centerContinuous" vertical="center"/>
    </xf>
    <xf numFmtId="322" fontId="9" fillId="0" borderId="402">
      <alignment horizontal="centerContinuous" vertical="center"/>
    </xf>
    <xf numFmtId="0" fontId="41" fillId="0" borderId="413">
      <alignment horizontal="left" vertical="center"/>
    </xf>
    <xf numFmtId="338" fontId="19" fillId="0" borderId="400"/>
    <xf numFmtId="338" fontId="19" fillId="0" borderId="400"/>
    <xf numFmtId="41" fontId="56" fillId="0" borderId="412" applyNumberFormat="0" applyFont="0" applyFill="0" applyBorder="0" applyProtection="0">
      <alignment horizontal="distributed"/>
    </xf>
    <xf numFmtId="338" fontId="19" fillId="0" borderId="412"/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82" fillId="0" borderId="400"/>
    <xf numFmtId="338" fontId="19" fillId="0" borderId="412"/>
    <xf numFmtId="309" fontId="9" fillId="0" borderId="400" applyFill="0" applyBorder="0" applyAlignment="0"/>
    <xf numFmtId="218" fontId="9" fillId="0" borderId="414">
      <alignment horizontal="centerContinuous" vertical="center"/>
    </xf>
    <xf numFmtId="0" fontId="9" fillId="0" borderId="402">
      <alignment horizontal="centerContinuous" vertical="center"/>
    </xf>
    <xf numFmtId="0" fontId="56" fillId="0" borderId="412"/>
    <xf numFmtId="0" fontId="9" fillId="0" borderId="414">
      <alignment horizontal="centerContinuous" vertical="center"/>
    </xf>
    <xf numFmtId="41" fontId="9" fillId="0" borderId="412">
      <alignment horizontal="center" vertical="center"/>
    </xf>
    <xf numFmtId="176" fontId="6" fillId="0" borderId="412">
      <alignment vertical="center"/>
    </xf>
    <xf numFmtId="0" fontId="9" fillId="0" borderId="415">
      <alignment horizontal="distributed"/>
    </xf>
    <xf numFmtId="244" fontId="117" fillId="0" borderId="412">
      <alignment vertical="center"/>
    </xf>
    <xf numFmtId="243" fontId="117" fillId="0" borderId="412">
      <alignment vertical="center"/>
    </xf>
    <xf numFmtId="234" fontId="117" fillId="0" borderId="412">
      <alignment vertical="center"/>
    </xf>
    <xf numFmtId="0" fontId="41" fillId="0" borderId="413">
      <alignment horizontal="left" vertical="center"/>
    </xf>
    <xf numFmtId="3" fontId="57" fillId="0" borderId="412"/>
    <xf numFmtId="0" fontId="56" fillId="0" borderId="400"/>
    <xf numFmtId="3" fontId="56" fillId="0" borderId="400"/>
    <xf numFmtId="0" fontId="6" fillId="0" borderId="400">
      <alignment horizontal="right" vertical="center" shrinkToFit="1"/>
    </xf>
    <xf numFmtId="3" fontId="57" fillId="0" borderId="412"/>
    <xf numFmtId="244" fontId="117" fillId="0" borderId="400">
      <alignment vertical="center"/>
    </xf>
    <xf numFmtId="239" fontId="117" fillId="0" borderId="400">
      <alignment horizontal="right" vertical="center"/>
    </xf>
    <xf numFmtId="322" fontId="9" fillId="0" borderId="414">
      <alignment horizontal="centerContinuous" vertical="center"/>
    </xf>
    <xf numFmtId="200" fontId="6" fillId="0" borderId="412">
      <alignment vertical="center"/>
    </xf>
    <xf numFmtId="0" fontId="6" fillId="0" borderId="412">
      <alignment horizontal="right" vertical="center" shrinkToFit="1"/>
    </xf>
    <xf numFmtId="0" fontId="9" fillId="0" borderId="414">
      <alignment horizontal="centerContinuous" vertical="center"/>
    </xf>
    <xf numFmtId="0" fontId="6" fillId="0" borderId="412">
      <alignment horizontal="right" vertical="center" shrinkToFit="1"/>
    </xf>
    <xf numFmtId="322" fontId="9" fillId="0" borderId="414">
      <alignment horizontal="centerContinuous" vertical="center"/>
    </xf>
    <xf numFmtId="0" fontId="6" fillId="0" borderId="412">
      <alignment vertical="center"/>
    </xf>
    <xf numFmtId="0" fontId="186" fillId="0" borderId="400" applyProtection="0">
      <alignment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0" fontId="134" fillId="0" borderId="400">
      <alignment vertical="center"/>
    </xf>
    <xf numFmtId="241" fontId="6" fillId="0" borderId="412">
      <alignment horizontal="righ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9" fillId="0" borderId="414">
      <alignment horizontal="centerContinuous" vertical="center"/>
    </xf>
    <xf numFmtId="3" fontId="57" fillId="0" borderId="412"/>
    <xf numFmtId="236" fontId="6" fillId="0" borderId="412">
      <alignment vertical="center"/>
    </xf>
    <xf numFmtId="0" fontId="50" fillId="3" borderId="413">
      <alignment vertical="center"/>
    </xf>
    <xf numFmtId="0" fontId="159" fillId="0" borderId="410" applyNumberFormat="0" applyFill="0" applyAlignment="0" applyProtection="0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44" fontId="117" fillId="0" borderId="412">
      <alignment vertical="center"/>
    </xf>
    <xf numFmtId="0" fontId="6" fillId="0" borderId="402">
      <alignment horizontal="centerContinuous" vertical="center"/>
    </xf>
    <xf numFmtId="240" fontId="6" fillId="0" borderId="400">
      <alignment horizontal="right" vertical="center"/>
    </xf>
    <xf numFmtId="338" fontId="19" fillId="0" borderId="412"/>
    <xf numFmtId="235" fontId="117" fillId="0" borderId="400">
      <alignment vertical="center"/>
    </xf>
    <xf numFmtId="242" fontId="6" fillId="0" borderId="400">
      <alignment horizontal="right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49" fontId="6" fillId="0" borderId="400">
      <alignment vertical="center"/>
    </xf>
    <xf numFmtId="203" fontId="176" fillId="0" borderId="416" applyFill="0" applyProtection="0">
      <alignment horizont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06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0" fontId="6" fillId="0" borderId="414">
      <alignment horizontal="centerContinuous" vertical="center"/>
    </xf>
    <xf numFmtId="243" fontId="117" fillId="0" borderId="412">
      <alignment vertical="center"/>
    </xf>
    <xf numFmtId="41" fontId="56" fillId="0" borderId="412" applyNumberFormat="0" applyFont="0" applyFill="0" applyBorder="0" applyProtection="0">
      <alignment horizontal="distributed"/>
    </xf>
    <xf numFmtId="206" fontId="6" fillId="0" borderId="412">
      <alignment vertical="center"/>
    </xf>
    <xf numFmtId="238" fontId="6" fillId="0" borderId="412">
      <alignment vertical="center"/>
    </xf>
    <xf numFmtId="0" fontId="41" fillId="0" borderId="413">
      <alignment horizontal="left" vertical="center"/>
    </xf>
    <xf numFmtId="322" fontId="9" fillId="0" borderId="414">
      <alignment horizontal="centerContinuous" vertical="center"/>
    </xf>
    <xf numFmtId="206" fontId="6" fillId="0" borderId="400">
      <alignment vertical="center"/>
    </xf>
    <xf numFmtId="242" fontId="6" fillId="0" borderId="400">
      <alignment horizontal="right" vertical="center"/>
    </xf>
    <xf numFmtId="238" fontId="6" fillId="0" borderId="400">
      <alignment vertical="center"/>
    </xf>
    <xf numFmtId="338" fontId="19" fillId="0" borderId="412"/>
    <xf numFmtId="0" fontId="57" fillId="28" borderId="421" applyNumberFormat="0" applyFont="0" applyAlignment="0" applyProtection="0">
      <alignment vertical="center"/>
    </xf>
    <xf numFmtId="200" fontId="6" fillId="0" borderId="412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185" fontId="8" fillId="0" borderId="400">
      <alignment vertical="center"/>
    </xf>
    <xf numFmtId="10" fontId="39" fillId="2" borderId="400" applyNumberFormat="0" applyBorder="0" applyAlignment="0" applyProtection="0"/>
    <xf numFmtId="239" fontId="117" fillId="0" borderId="400">
      <alignment horizontal="right" vertical="center"/>
    </xf>
    <xf numFmtId="239" fontId="117" fillId="0" borderId="400">
      <alignment horizontal="right"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0" fontId="9" fillId="0" borderId="402">
      <alignment horizontal="centerContinuous" vertical="center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322" fontId="9" fillId="0" borderId="414">
      <alignment horizontal="centerContinuous" vertical="center"/>
    </xf>
    <xf numFmtId="3" fontId="56" fillId="0" borderId="400"/>
    <xf numFmtId="3" fontId="56" fillId="0" borderId="400"/>
    <xf numFmtId="3" fontId="56" fillId="0" borderId="400"/>
    <xf numFmtId="0" fontId="56" fillId="0" borderId="400"/>
    <xf numFmtId="0" fontId="56" fillId="0" borderId="400"/>
    <xf numFmtId="0" fontId="56" fillId="0" borderId="400"/>
    <xf numFmtId="191" fontId="6" fillId="0" borderId="412">
      <alignment vertical="center"/>
    </xf>
    <xf numFmtId="0" fontId="56" fillId="0" borderId="412"/>
    <xf numFmtId="3" fontId="56" fillId="0" borderId="412"/>
    <xf numFmtId="0" fontId="92" fillId="0" borderId="400"/>
    <xf numFmtId="0" fontId="92" fillId="0" borderId="400"/>
    <xf numFmtId="0" fontId="92" fillId="0" borderId="400"/>
    <xf numFmtId="228" fontId="117" fillId="0" borderId="411" applyBorder="0">
      <alignment vertical="center" wrapText="1"/>
    </xf>
    <xf numFmtId="200" fontId="6" fillId="0" borderId="412">
      <alignment vertical="center"/>
    </xf>
    <xf numFmtId="176" fontId="6" fillId="0" borderId="412">
      <alignment vertical="center"/>
    </xf>
    <xf numFmtId="3" fontId="57" fillId="0" borderId="412"/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240" fontId="6" fillId="0" borderId="412">
      <alignment horizontal="right" vertical="center"/>
    </xf>
    <xf numFmtId="185" fontId="9" fillId="0" borderId="400">
      <alignment horizontal="center" vertical="center"/>
    </xf>
    <xf numFmtId="338" fontId="19" fillId="0" borderId="400"/>
    <xf numFmtId="236" fontId="6" fillId="0" borderId="400">
      <alignment vertical="center"/>
    </xf>
    <xf numFmtId="0" fontId="6" fillId="0" borderId="400" applyNumberFormat="0" applyFill="0" applyProtection="0">
      <alignment vertical="center"/>
    </xf>
    <xf numFmtId="0" fontId="94" fillId="0" borderId="402">
      <alignment horizontal="centerContinuous" vertical="center"/>
    </xf>
    <xf numFmtId="0" fontId="56" fillId="0" borderId="412"/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191" fontId="6" fillId="0" borderId="412">
      <alignment vertical="center"/>
    </xf>
    <xf numFmtId="218" fontId="6" fillId="0" borderId="400">
      <alignment vertical="center"/>
    </xf>
    <xf numFmtId="0" fontId="56" fillId="0" borderId="412"/>
    <xf numFmtId="0" fontId="6" fillId="0" borderId="400">
      <alignment vertical="center"/>
    </xf>
    <xf numFmtId="0" fontId="6" fillId="0" borderId="400">
      <alignment vertical="center"/>
    </xf>
    <xf numFmtId="0" fontId="92" fillId="0" borderId="412"/>
    <xf numFmtId="3" fontId="56" fillId="0" borderId="412"/>
    <xf numFmtId="0" fontId="6" fillId="0" borderId="400">
      <alignment vertical="center"/>
    </xf>
    <xf numFmtId="3" fontId="57" fillId="0" borderId="400"/>
    <xf numFmtId="176" fontId="6" fillId="0" borderId="400">
      <alignment vertical="center"/>
    </xf>
    <xf numFmtId="0" fontId="6" fillId="0" borderId="400">
      <alignment horizontal="right" vertical="center" shrinkToFit="1"/>
    </xf>
    <xf numFmtId="249" fontId="6" fillId="0" borderId="400">
      <alignment vertical="center"/>
    </xf>
    <xf numFmtId="249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0" fontId="6" fillId="0" borderId="400">
      <alignment vertical="center"/>
    </xf>
    <xf numFmtId="238" fontId="6" fillId="0" borderId="412">
      <alignment vertical="center"/>
    </xf>
    <xf numFmtId="0" fontId="41" fillId="0" borderId="413">
      <alignment horizontal="left" vertical="center"/>
    </xf>
    <xf numFmtId="41" fontId="56" fillId="0" borderId="412" applyNumberFormat="0" applyFont="0" applyFill="0" applyBorder="0" applyProtection="0">
      <alignment horizontal="distributed"/>
    </xf>
    <xf numFmtId="0" fontId="159" fillId="0" borderId="410" applyNumberFormat="0" applyFill="0" applyAlignment="0" applyProtection="0">
      <alignment vertical="center"/>
    </xf>
    <xf numFmtId="256" fontId="117" fillId="0" borderId="412" applyBorder="0">
      <alignment vertical="center"/>
    </xf>
    <xf numFmtId="0" fontId="92" fillId="0" borderId="412"/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240" fontId="6" fillId="0" borderId="412">
      <alignment horizontal="right" vertical="center"/>
    </xf>
    <xf numFmtId="0" fontId="6" fillId="0" borderId="414">
      <alignment horizontal="centerContinuous"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230" fontId="6" fillId="0" borderId="412">
      <alignment vertical="center"/>
    </xf>
    <xf numFmtId="3" fontId="57" fillId="0" borderId="412"/>
    <xf numFmtId="0" fontId="159" fillId="0" borderId="422" applyNumberFormat="0" applyFill="0" applyAlignment="0" applyProtection="0">
      <alignment vertical="center"/>
    </xf>
    <xf numFmtId="0" fontId="6" fillId="28" borderId="409" applyNumberFormat="0" applyFont="0" applyAlignment="0" applyProtection="0">
      <alignment vertical="center"/>
    </xf>
    <xf numFmtId="322" fontId="9" fillId="0" borderId="414">
      <alignment horizontal="centerContinuous" vertical="center"/>
    </xf>
    <xf numFmtId="241" fontId="6" fillId="0" borderId="412">
      <alignment horizontal="right" vertical="center"/>
    </xf>
    <xf numFmtId="218" fontId="9" fillId="0" borderId="402">
      <alignment horizontal="centerContinuous" vertical="center"/>
    </xf>
    <xf numFmtId="176" fontId="6" fillId="0" borderId="412">
      <alignment vertical="center"/>
    </xf>
    <xf numFmtId="0" fontId="50" fillId="3" borderId="413">
      <alignment vertical="center"/>
    </xf>
    <xf numFmtId="240" fontId="6" fillId="0" borderId="400">
      <alignment horizontal="right" vertical="center"/>
    </xf>
    <xf numFmtId="0" fontId="94" fillId="0" borderId="402">
      <alignment horizontal="centerContinuous" vertical="center"/>
    </xf>
    <xf numFmtId="10" fontId="39" fillId="4" borderId="400" applyNumberFormat="0" applyBorder="0" applyAlignment="0" applyProtection="0"/>
    <xf numFmtId="0" fontId="6" fillId="0" borderId="400">
      <alignment horizontal="right" vertical="center" shrinkToFit="1"/>
    </xf>
    <xf numFmtId="3" fontId="56" fillId="0" borderId="400"/>
    <xf numFmtId="0" fontId="56" fillId="0" borderId="400"/>
    <xf numFmtId="0" fontId="56" fillId="0" borderId="400"/>
    <xf numFmtId="3" fontId="56" fillId="0" borderId="412"/>
    <xf numFmtId="0" fontId="92" fillId="0" borderId="400"/>
    <xf numFmtId="0" fontId="92" fillId="0" borderId="400"/>
    <xf numFmtId="322" fontId="9" fillId="0" borderId="414">
      <alignment horizontal="centerContinuous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338" fontId="19" fillId="0" borderId="400"/>
    <xf numFmtId="0" fontId="117" fillId="0" borderId="414">
      <alignment horizontal="centerContinuous" vertical="center"/>
    </xf>
    <xf numFmtId="176" fontId="6" fillId="0" borderId="400">
      <alignment vertical="center"/>
    </xf>
    <xf numFmtId="176" fontId="6" fillId="0" borderId="400">
      <alignment vertical="center"/>
    </xf>
    <xf numFmtId="0" fontId="82" fillId="0" borderId="400"/>
    <xf numFmtId="3" fontId="57" fillId="0" borderId="400"/>
    <xf numFmtId="0" fontId="50" fillId="3" borderId="355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6" fontId="6" fillId="0" borderId="40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30" fontId="6" fillId="0" borderId="400">
      <alignment vertical="center"/>
    </xf>
    <xf numFmtId="0" fontId="160" fillId="12" borderId="408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176" fontId="6" fillId="0" borderId="412">
      <alignment vertical="center"/>
    </xf>
    <xf numFmtId="0" fontId="159" fillId="0" borderId="422" applyNumberFormat="0" applyFill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6" fillId="0" borderId="414">
      <alignment horizontal="centerContinuous" vertical="center"/>
    </xf>
    <xf numFmtId="218" fontId="9" fillId="0" borderId="414">
      <alignment horizontal="centerContinuous"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0" fontId="6" fillId="0" borderId="400">
      <alignment vertical="center"/>
    </xf>
    <xf numFmtId="41" fontId="56" fillId="0" borderId="412" applyNumberFormat="0" applyFont="0" applyFill="0" applyBorder="0" applyProtection="0">
      <alignment horizontal="distributed"/>
    </xf>
    <xf numFmtId="3" fontId="57" fillId="0" borderId="400"/>
    <xf numFmtId="41" fontId="135" fillId="0" borderId="412" applyNumberFormat="0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94" fillId="0" borderId="402">
      <alignment horizontal="centerContinuous" vertical="center"/>
    </xf>
    <xf numFmtId="176" fontId="6" fillId="0" borderId="400">
      <alignment vertical="center"/>
    </xf>
    <xf numFmtId="0" fontId="9" fillId="0" borderId="414">
      <alignment horizontal="centerContinuous" vertical="center"/>
    </xf>
    <xf numFmtId="0" fontId="50" fillId="3" borderId="413">
      <alignment vertical="center"/>
    </xf>
    <xf numFmtId="41" fontId="9" fillId="0" borderId="400">
      <alignment horizontal="center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218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236" fontId="6" fillId="0" borderId="412">
      <alignment vertical="center"/>
    </xf>
    <xf numFmtId="191" fontId="6" fillId="0" borderId="412">
      <alignment vertical="center"/>
    </xf>
    <xf numFmtId="0" fontId="57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54" fillId="28" borderId="421" applyNumberFormat="0" applyFont="0" applyAlignment="0" applyProtection="0">
      <alignment vertical="center"/>
    </xf>
    <xf numFmtId="338" fontId="19" fillId="0" borderId="412"/>
    <xf numFmtId="3" fontId="57" fillId="0" borderId="412"/>
    <xf numFmtId="0" fontId="94" fillId="0" borderId="414">
      <alignment horizontal="centerContinuous" vertical="center"/>
    </xf>
    <xf numFmtId="0" fontId="9" fillId="0" borderId="414">
      <alignment horizontal="centerContinuous"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0" fontId="160" fillId="12" borderId="408" applyNumberFormat="0" applyAlignment="0" applyProtection="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176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0" fontId="50" fillId="3" borderId="401">
      <alignment vertical="center"/>
    </xf>
    <xf numFmtId="240" fontId="6" fillId="0" borderId="400">
      <alignment horizontal="right" vertical="center"/>
    </xf>
    <xf numFmtId="0" fontId="134" fillId="0" borderId="400">
      <alignment vertical="center"/>
    </xf>
    <xf numFmtId="0" fontId="56" fillId="0" borderId="412"/>
    <xf numFmtId="200" fontId="6" fillId="0" borderId="400">
      <alignment vertical="center"/>
    </xf>
    <xf numFmtId="3" fontId="57" fillId="0" borderId="412"/>
    <xf numFmtId="185" fontId="9" fillId="0" borderId="412">
      <alignment horizontal="center" vertical="center"/>
    </xf>
    <xf numFmtId="0" fontId="153" fillId="22" borderId="408" applyNumberForma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322" fontId="9" fillId="0" borderId="414">
      <alignment horizontal="centerContinuous"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191" fontId="6" fillId="0" borderId="412">
      <alignment vertical="center"/>
    </xf>
    <xf numFmtId="3" fontId="57" fillId="0" borderId="400"/>
    <xf numFmtId="0" fontId="9" fillId="0" borderId="412">
      <alignment horizontal="distributed" vertical="center"/>
    </xf>
    <xf numFmtId="206" fontId="6" fillId="0" borderId="412">
      <alignment vertical="center"/>
    </xf>
    <xf numFmtId="230" fontId="6" fillId="0" borderId="412">
      <alignment vertical="center"/>
    </xf>
    <xf numFmtId="0" fontId="153" fillId="22" borderId="420" applyNumberFormat="0" applyAlignment="0" applyProtection="0">
      <alignment vertical="center"/>
    </xf>
    <xf numFmtId="234" fontId="117" fillId="0" borderId="412">
      <alignment vertical="center"/>
    </xf>
    <xf numFmtId="0" fontId="6" fillId="0" borderId="412">
      <alignment horizontal="right" vertical="center" shrinkToFit="1"/>
    </xf>
    <xf numFmtId="41" fontId="56" fillId="0" borderId="412" applyNumberFormat="0" applyFont="0" applyFill="0" applyBorder="0" applyProtection="0">
      <alignment horizontal="distributed"/>
    </xf>
    <xf numFmtId="228" fontId="117" fillId="0" borderId="411" applyBorder="0">
      <alignment vertical="center" wrapText="1"/>
    </xf>
    <xf numFmtId="206" fontId="6" fillId="0" borderId="412">
      <alignment vertical="center"/>
    </xf>
    <xf numFmtId="200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322" fontId="9" fillId="0" borderId="402">
      <alignment horizontal="centerContinuous" vertical="center"/>
    </xf>
    <xf numFmtId="191" fontId="6" fillId="0" borderId="412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31" fontId="117" fillId="0" borderId="400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02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9" fillId="0" borderId="415">
      <alignment horizontal="distributed"/>
    </xf>
    <xf numFmtId="242" fontId="6" fillId="0" borderId="412">
      <alignment horizontal="right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39" fontId="117" fillId="0" borderId="412">
      <alignment horizontal="right" vertical="center"/>
    </xf>
    <xf numFmtId="0" fontId="184" fillId="0" borderId="400" applyFill="0" applyBorder="0" applyProtection="0">
      <alignment vertical="center"/>
    </xf>
    <xf numFmtId="203" fontId="176" fillId="0" borderId="416" applyFill="0" applyProtection="0">
      <alignment horizontal="center"/>
    </xf>
    <xf numFmtId="218" fontId="6" fillId="0" borderId="412">
      <alignment vertical="center"/>
    </xf>
    <xf numFmtId="257" fontId="117" fillId="0" borderId="412" applyBorder="0">
      <alignment horizontal="left" vertical="center"/>
    </xf>
    <xf numFmtId="10" fontId="39" fillId="4" borderId="412" applyNumberFormat="0" applyBorder="0" applyAlignment="0" applyProtection="0"/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117" fillId="0" borderId="414">
      <alignment horizontal="centerContinuous" vertical="center"/>
    </xf>
    <xf numFmtId="233" fontId="122" fillId="0" borderId="400" applyFill="0" applyBorder="0" applyAlignment="0"/>
    <xf numFmtId="37" fontId="117" fillId="0" borderId="400">
      <alignment horizontal="center" vertical="distributed"/>
    </xf>
    <xf numFmtId="236" fontId="6" fillId="0" borderId="400">
      <alignment vertical="center"/>
    </xf>
    <xf numFmtId="176" fontId="6" fillId="0" borderId="400">
      <alignment vertical="center"/>
    </xf>
    <xf numFmtId="256" fontId="117" fillId="0" borderId="412" applyBorder="0">
      <alignment vertical="center"/>
    </xf>
    <xf numFmtId="237" fontId="6" fillId="0" borderId="400">
      <alignment vertical="center"/>
    </xf>
    <xf numFmtId="0" fontId="9" fillId="0" borderId="414">
      <alignment horizontal="centerContinuous" vertical="center"/>
    </xf>
    <xf numFmtId="338" fontId="19" fillId="0" borderId="412"/>
    <xf numFmtId="257" fontId="117" fillId="0" borderId="400" applyBorder="0">
      <alignment horizontal="left" vertical="center"/>
    </xf>
    <xf numFmtId="0" fontId="134" fillId="0" borderId="400">
      <alignment vertical="center"/>
    </xf>
    <xf numFmtId="0" fontId="134" fillId="0" borderId="400">
      <alignment vertical="center"/>
    </xf>
    <xf numFmtId="256" fontId="117" fillId="0" borderId="400" applyBorder="0">
      <alignment vertical="center"/>
    </xf>
    <xf numFmtId="0" fontId="92" fillId="0" borderId="400"/>
    <xf numFmtId="0" fontId="92" fillId="0" borderId="400"/>
    <xf numFmtId="0" fontId="56" fillId="0" borderId="400"/>
    <xf numFmtId="3" fontId="56" fillId="0" borderId="400"/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31" fontId="117" fillId="0" borderId="400">
      <alignment vertical="center"/>
    </xf>
    <xf numFmtId="0" fontId="94" fillId="0" borderId="414">
      <alignment horizontal="centerContinuous" vertical="center"/>
    </xf>
    <xf numFmtId="0" fontId="159" fillId="0" borderId="422" applyNumberFormat="0" applyFill="0" applyAlignment="0" applyProtection="0">
      <alignment vertical="center"/>
    </xf>
    <xf numFmtId="218" fontId="9" fillId="0" borderId="402">
      <alignment horizontal="centerContinuous" vertical="center"/>
    </xf>
    <xf numFmtId="176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3" fontId="56" fillId="0" borderId="412"/>
    <xf numFmtId="176" fontId="6" fillId="0" borderId="400">
      <alignment vertical="center"/>
    </xf>
    <xf numFmtId="37" fontId="117" fillId="0" borderId="400">
      <alignment horizontal="center" vertical="distributed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17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0" fontId="92" fillId="0" borderId="412"/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18" fontId="6" fillId="0" borderId="412">
      <alignment vertical="center"/>
    </xf>
    <xf numFmtId="200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236" fontId="6" fillId="0" borderId="412">
      <alignment vertical="center"/>
    </xf>
    <xf numFmtId="238" fontId="6" fillId="0" borderId="412">
      <alignment vertical="center"/>
    </xf>
    <xf numFmtId="257" fontId="117" fillId="0" borderId="400" applyBorder="0">
      <alignment horizontal="left" vertical="center"/>
    </xf>
    <xf numFmtId="10" fontId="39" fillId="4" borderId="412" applyNumberFormat="0" applyBorder="0" applyAlignment="0" applyProtection="0"/>
    <xf numFmtId="3" fontId="57" fillId="0" borderId="400"/>
    <xf numFmtId="322" fontId="9" fillId="0" borderId="414">
      <alignment horizontal="centerContinuous" vertical="center"/>
    </xf>
    <xf numFmtId="10" fontId="39" fillId="4" borderId="412" applyNumberFormat="0" applyBorder="0" applyAlignment="0" applyProtection="0"/>
    <xf numFmtId="234" fontId="117" fillId="0" borderId="412">
      <alignment vertical="center"/>
    </xf>
    <xf numFmtId="0" fontId="9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" fontId="57" fillId="0" borderId="412"/>
    <xf numFmtId="0" fontId="134" fillId="0" borderId="400">
      <alignment vertical="center"/>
    </xf>
    <xf numFmtId="0" fontId="134" fillId="0" borderId="400">
      <alignment vertical="center"/>
    </xf>
    <xf numFmtId="0" fontId="159" fillId="0" borderId="410" applyNumberFormat="0" applyFill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176" fontId="6" fillId="0" borderId="412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3" fontId="57" fillId="0" borderId="412"/>
    <xf numFmtId="3" fontId="57" fillId="0" borderId="412"/>
    <xf numFmtId="257" fontId="117" fillId="0" borderId="400" applyBorder="0">
      <alignment horizontal="left" vertical="center"/>
    </xf>
    <xf numFmtId="176" fontId="6" fillId="0" borderId="400">
      <alignment vertical="center"/>
    </xf>
    <xf numFmtId="176" fontId="6" fillId="0" borderId="412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0" fontId="50" fillId="3" borderId="413">
      <alignment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12">
      <alignment horizontal="right" vertical="center" shrinkToFit="1"/>
    </xf>
    <xf numFmtId="0" fontId="82" fillId="0" borderId="412"/>
    <xf numFmtId="241" fontId="6" fillId="0" borderId="412">
      <alignment horizontal="right" vertical="center"/>
    </xf>
    <xf numFmtId="185" fontId="8" fillId="0" borderId="412">
      <alignment vertical="center"/>
    </xf>
    <xf numFmtId="218" fontId="6" fillId="0" borderId="400">
      <alignment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9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2" fontId="6" fillId="0" borderId="412">
      <alignment horizontal="right" vertical="center"/>
    </xf>
    <xf numFmtId="0" fontId="50" fillId="3" borderId="401">
      <alignment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18" fontId="9" fillId="0" borderId="414">
      <alignment horizontal="centerContinuous" vertical="center"/>
    </xf>
    <xf numFmtId="247" fontId="117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00" fontId="6" fillId="0" borderId="400">
      <alignment vertical="center"/>
    </xf>
    <xf numFmtId="3" fontId="57" fillId="0" borderId="412"/>
    <xf numFmtId="239" fontId="117" fillId="0" borderId="412">
      <alignment horizontal="right" vertical="center"/>
    </xf>
    <xf numFmtId="0" fontId="6" fillId="0" borderId="412" applyNumberFormat="0" applyFill="0" applyProtection="0">
      <alignment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3" fontId="57" fillId="0" borderId="412"/>
    <xf numFmtId="3" fontId="56" fillId="0" borderId="412"/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0" fontId="165" fillId="22" borderId="407" applyNumberFormat="0" applyAlignment="0" applyProtection="0">
      <alignment vertical="center"/>
    </xf>
    <xf numFmtId="200" fontId="77" fillId="0" borderId="400">
      <alignment vertical="center"/>
    </xf>
    <xf numFmtId="0" fontId="153" fillId="22" borderId="408" applyNumberFormat="0" applyAlignment="0" applyProtection="0">
      <alignment vertical="center"/>
    </xf>
    <xf numFmtId="3" fontId="57" fillId="0" borderId="400"/>
    <xf numFmtId="3" fontId="57" fillId="0" borderId="400"/>
    <xf numFmtId="3" fontId="57" fillId="0" borderId="400"/>
    <xf numFmtId="243" fontId="117" fillId="0" borderId="412">
      <alignment vertical="center"/>
    </xf>
    <xf numFmtId="234" fontId="117" fillId="0" borderId="412">
      <alignment vertical="center"/>
    </xf>
    <xf numFmtId="231" fontId="117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56" fontId="117" fillId="0" borderId="412" applyBorder="0">
      <alignment vertical="center"/>
    </xf>
    <xf numFmtId="206" fontId="6" fillId="0" borderId="400">
      <alignment vertical="center"/>
    </xf>
    <xf numFmtId="10" fontId="39" fillId="4" borderId="412" applyNumberFormat="0" applyBorder="0" applyAlignment="0" applyProtection="0"/>
    <xf numFmtId="322" fontId="9" fillId="0" borderId="414">
      <alignment horizontal="centerContinuous" vertical="center"/>
    </xf>
    <xf numFmtId="3" fontId="57" fillId="0" borderId="400"/>
    <xf numFmtId="3" fontId="57" fillId="0" borderId="400"/>
    <xf numFmtId="338" fontId="19" fillId="0" borderId="400"/>
    <xf numFmtId="338" fontId="19" fillId="0" borderId="400"/>
    <xf numFmtId="234" fontId="117" fillId="0" borderId="412">
      <alignment vertical="center"/>
    </xf>
    <xf numFmtId="0" fontId="9" fillId="0" borderId="400">
      <alignment horizontal="distributed" vertical="center"/>
    </xf>
    <xf numFmtId="0" fontId="165" fillId="22" borderId="407" applyNumberFormat="0" applyAlignment="0" applyProtection="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41" fontId="6" fillId="0" borderId="412">
      <alignment horizontal="right" vertical="center"/>
    </xf>
    <xf numFmtId="236" fontId="6" fillId="0" borderId="412">
      <alignment vertical="center"/>
    </xf>
    <xf numFmtId="231" fontId="117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244" fontId="117" fillId="0" borderId="400">
      <alignment vertical="center"/>
    </xf>
    <xf numFmtId="236" fontId="6" fillId="0" borderId="412">
      <alignment vertical="center"/>
    </xf>
    <xf numFmtId="240" fontId="6" fillId="0" borderId="412">
      <alignment horizontal="right" vertical="center"/>
    </xf>
    <xf numFmtId="200" fontId="6" fillId="0" borderId="412">
      <alignment vertical="center"/>
    </xf>
    <xf numFmtId="0" fontId="232" fillId="0" borderId="400" applyFont="0" applyFill="0" applyBorder="0" applyAlignment="0" applyProtection="0">
      <alignment horizontal="centerContinuous" vertical="center"/>
    </xf>
    <xf numFmtId="228" fontId="117" fillId="0" borderId="411" applyBorder="0">
      <alignment vertical="center" wrapText="1"/>
    </xf>
    <xf numFmtId="244" fontId="117" fillId="0" borderId="412">
      <alignment vertical="center"/>
    </xf>
    <xf numFmtId="243" fontId="117" fillId="0" borderId="412">
      <alignment vertical="center"/>
    </xf>
    <xf numFmtId="239" fontId="117" fillId="0" borderId="412">
      <alignment horizontal="right" vertical="center"/>
    </xf>
    <xf numFmtId="242" fontId="6" fillId="0" borderId="412">
      <alignment horizontal="right" vertical="center"/>
    </xf>
    <xf numFmtId="0" fontId="159" fillId="0" borderId="422" applyNumberFormat="0" applyFill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0" fontId="165" fillId="22" borderId="407" applyNumberFormat="0" applyAlignment="0" applyProtection="0">
      <alignment vertical="center"/>
    </xf>
    <xf numFmtId="0" fontId="50" fillId="3" borderId="401">
      <alignment vertical="center"/>
    </xf>
    <xf numFmtId="10" fontId="39" fillId="4" borderId="400" applyNumberFormat="0" applyBorder="0" applyAlignment="0" applyProtection="0"/>
    <xf numFmtId="0" fontId="184" fillId="0" borderId="400" applyFill="0" applyBorder="0" applyProtection="0">
      <alignment vertical="center"/>
    </xf>
    <xf numFmtId="256" fontId="117" fillId="0" borderId="400" applyBorder="0">
      <alignment vertical="center"/>
    </xf>
    <xf numFmtId="0" fontId="50" fillId="3" borderId="401">
      <alignment vertical="center"/>
    </xf>
    <xf numFmtId="0" fontId="160" fillId="12" borderId="408" applyNumberFormat="0" applyAlignment="0" applyProtection="0">
      <alignment vertical="center"/>
    </xf>
    <xf numFmtId="186" fontId="14" fillId="0" borderId="406"/>
    <xf numFmtId="0" fontId="186" fillId="0" borderId="400" applyProtection="0">
      <alignment vertical="center"/>
    </xf>
    <xf numFmtId="218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218" fontId="6" fillId="0" borderId="412">
      <alignment vertical="center"/>
    </xf>
    <xf numFmtId="0" fontId="6" fillId="0" borderId="412">
      <alignment horizontal="right" vertical="center" shrinkToFit="1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0" fontId="56" fillId="0" borderId="412"/>
    <xf numFmtId="0" fontId="117" fillId="0" borderId="414">
      <alignment horizontal="centerContinuous" vertical="center"/>
    </xf>
    <xf numFmtId="191" fontId="6" fillId="0" borderId="412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249" fontId="6" fillId="0" borderId="412">
      <alignment vertical="center"/>
    </xf>
    <xf numFmtId="200" fontId="6" fillId="0" borderId="400">
      <alignment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165" fillId="22" borderId="419" applyNumberFormat="0" applyAlignment="0" applyProtection="0">
      <alignment vertical="center"/>
    </xf>
    <xf numFmtId="200" fontId="6" fillId="0" borderId="400">
      <alignment vertical="center"/>
    </xf>
    <xf numFmtId="247" fontId="117" fillId="0" borderId="400">
      <alignment vertical="center"/>
    </xf>
    <xf numFmtId="322" fontId="9" fillId="0" borderId="414">
      <alignment horizontal="centerContinuous" vertical="center"/>
    </xf>
    <xf numFmtId="0" fontId="56" fillId="0" borderId="400"/>
    <xf numFmtId="322" fontId="9" fillId="0" borderId="414">
      <alignment horizontal="centerContinuous" vertical="center"/>
    </xf>
    <xf numFmtId="0" fontId="50" fillId="3" borderId="401">
      <alignment vertical="center"/>
    </xf>
    <xf numFmtId="0" fontId="6" fillId="0" borderId="412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" fontId="56" fillId="0" borderId="400"/>
    <xf numFmtId="186" fontId="14" fillId="0" borderId="418"/>
    <xf numFmtId="3" fontId="57" fillId="0" borderId="400"/>
    <xf numFmtId="0" fontId="6" fillId="0" borderId="414">
      <alignment horizontal="centerContinuous" vertical="center"/>
    </xf>
    <xf numFmtId="3" fontId="57" fillId="0" borderId="400"/>
    <xf numFmtId="244" fontId="117" fillId="0" borderId="412">
      <alignment vertical="center"/>
    </xf>
    <xf numFmtId="200" fontId="6" fillId="0" borderId="412">
      <alignment vertical="center"/>
    </xf>
    <xf numFmtId="240" fontId="6" fillId="0" borderId="412">
      <alignment horizontal="right" vertical="center"/>
    </xf>
    <xf numFmtId="191" fontId="6" fillId="0" borderId="40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237" fontId="6" fillId="0" borderId="412">
      <alignment vertical="center"/>
    </xf>
    <xf numFmtId="3" fontId="56" fillId="0" borderId="412"/>
    <xf numFmtId="243" fontId="117" fillId="0" borderId="412">
      <alignment vertical="center"/>
    </xf>
    <xf numFmtId="0" fontId="224" fillId="0" borderId="402">
      <alignment horizontal="centerContinuous" vertical="center"/>
    </xf>
    <xf numFmtId="186" fontId="14" fillId="0" borderId="406"/>
    <xf numFmtId="0" fontId="160" fillId="12" borderId="408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203" fontId="176" fillId="0" borderId="404" applyFill="0" applyProtection="0">
      <alignment horizontal="center"/>
    </xf>
    <xf numFmtId="0" fontId="50" fillId="3" borderId="401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50" fillId="3" borderId="401">
      <alignment vertical="center"/>
    </xf>
    <xf numFmtId="221" fontId="117" fillId="0" borderId="400">
      <alignment vertical="center"/>
    </xf>
    <xf numFmtId="0" fontId="6" fillId="0" borderId="414">
      <alignment horizontal="centerContinuous" vertical="center"/>
    </xf>
    <xf numFmtId="191" fontId="6" fillId="0" borderId="400">
      <alignment vertical="center"/>
    </xf>
    <xf numFmtId="200" fontId="6" fillId="0" borderId="400">
      <alignment vertical="center"/>
    </xf>
    <xf numFmtId="233" fontId="122" fillId="0" borderId="400" applyFill="0" applyBorder="0" applyAlignment="0"/>
    <xf numFmtId="176" fontId="6" fillId="0" borderId="400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40" fontId="6" fillId="0" borderId="400">
      <alignment horizontal="right" vertical="center"/>
    </xf>
    <xf numFmtId="0" fontId="6" fillId="0" borderId="402">
      <alignment horizontal="centerContinuous" vertical="center"/>
    </xf>
    <xf numFmtId="239" fontId="117" fillId="0" borderId="412">
      <alignment horizontal="right" vertical="center"/>
    </xf>
    <xf numFmtId="0" fontId="50" fillId="3" borderId="413">
      <alignment vertical="center"/>
    </xf>
    <xf numFmtId="41" fontId="56" fillId="0" borderId="412" applyNumberFormat="0" applyFont="0" applyFill="0" applyBorder="0" applyProtection="0">
      <alignment horizontal="distributed"/>
    </xf>
    <xf numFmtId="206" fontId="6" fillId="0" borderId="412">
      <alignment vertical="center"/>
    </xf>
    <xf numFmtId="0" fontId="117" fillId="0" borderId="414">
      <alignment horizontal="centerContinuous" vertical="center"/>
    </xf>
    <xf numFmtId="3" fontId="57" fillId="0" borderId="412"/>
    <xf numFmtId="243" fontId="117" fillId="0" borderId="412">
      <alignment vertical="center"/>
    </xf>
    <xf numFmtId="0" fontId="6" fillId="0" borderId="400">
      <alignment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14">
      <alignment horizontal="centerContinuous" vertical="center"/>
    </xf>
    <xf numFmtId="10" fontId="39" fillId="4" borderId="400" applyNumberFormat="0" applyBorder="0" applyAlignment="0" applyProtection="0"/>
    <xf numFmtId="0" fontId="184" fillId="0" borderId="400" applyFill="0" applyBorder="0" applyProtection="0">
      <alignment vertical="center"/>
    </xf>
    <xf numFmtId="0" fontId="6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12" applyNumberFormat="0" applyFill="0" applyProtection="0">
      <alignment vertical="center"/>
    </xf>
    <xf numFmtId="239" fontId="117" fillId="0" borderId="412">
      <alignment horizontal="right" vertical="center"/>
    </xf>
    <xf numFmtId="0" fontId="9" fillId="0" borderId="403">
      <alignment horizontal="distributed"/>
    </xf>
    <xf numFmtId="203" fontId="176" fillId="0" borderId="404" applyFill="0" applyProtection="0">
      <alignment horizontal="center"/>
    </xf>
    <xf numFmtId="3" fontId="56" fillId="0" borderId="412"/>
    <xf numFmtId="0" fontId="117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2" fillId="0" borderId="412"/>
    <xf numFmtId="230" fontId="6" fillId="0" borderId="400">
      <alignment vertical="center"/>
    </xf>
    <xf numFmtId="230" fontId="6" fillId="0" borderId="40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6" fillId="0" borderId="414">
      <alignment horizontal="centerContinuous" vertical="center"/>
    </xf>
    <xf numFmtId="0" fontId="224" fillId="0" borderId="402">
      <alignment horizontal="centerContinuous" vertical="center"/>
    </xf>
    <xf numFmtId="186" fontId="14" fillId="0" borderId="406"/>
    <xf numFmtId="0" fontId="160" fillId="12" borderId="408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203" fontId="176" fillId="0" borderId="404" applyFill="0" applyProtection="0">
      <alignment horizontal="center"/>
    </xf>
    <xf numFmtId="0" fontId="50" fillId="3" borderId="401">
      <alignment vertical="center"/>
    </xf>
    <xf numFmtId="0" fontId="117" fillId="0" borderId="414">
      <alignment horizontal="centerContinuous" vertical="center"/>
    </xf>
    <xf numFmtId="0" fontId="9" fillId="0" borderId="412">
      <alignment horizontal="distributed" vertical="center"/>
    </xf>
    <xf numFmtId="242" fontId="6" fillId="0" borderId="412">
      <alignment horizontal="right" vertical="center"/>
    </xf>
    <xf numFmtId="241" fontId="6" fillId="0" borderId="400">
      <alignment horizontal="right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50" fillId="3" borderId="401">
      <alignment vertical="center"/>
    </xf>
    <xf numFmtId="0" fontId="50" fillId="3" borderId="401">
      <alignment vertical="center"/>
    </xf>
    <xf numFmtId="185" fontId="9" fillId="0" borderId="400">
      <alignment horizontal="center" vertical="center"/>
    </xf>
    <xf numFmtId="0" fontId="41" fillId="0" borderId="413">
      <alignment horizontal="left" vertical="center"/>
    </xf>
    <xf numFmtId="338" fontId="19" fillId="0" borderId="412"/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186" fontId="14" fillId="0" borderId="418"/>
    <xf numFmtId="206" fontId="6" fillId="0" borderId="412">
      <alignment vertical="center"/>
    </xf>
    <xf numFmtId="238" fontId="6" fillId="0" borderId="412">
      <alignment vertical="center"/>
    </xf>
    <xf numFmtId="338" fontId="19" fillId="0" borderId="412"/>
    <xf numFmtId="10" fontId="39" fillId="4" borderId="412" applyNumberFormat="0" applyBorder="0" applyAlignment="0" applyProtection="0"/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0" fontId="94" fillId="0" borderId="414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50" fillId="3" borderId="401">
      <alignment vertical="center"/>
    </xf>
    <xf numFmtId="176" fontId="6" fillId="0" borderId="400">
      <alignment vertical="center"/>
    </xf>
    <xf numFmtId="0" fontId="50" fillId="3" borderId="401">
      <alignment vertical="center"/>
    </xf>
    <xf numFmtId="0" fontId="41" fillId="0" borderId="401">
      <alignment horizontal="left" vertical="center"/>
    </xf>
    <xf numFmtId="185" fontId="8" fillId="0" borderId="412">
      <alignment vertical="center"/>
    </xf>
    <xf numFmtId="200" fontId="6" fillId="0" borderId="412">
      <alignment vertical="center"/>
    </xf>
    <xf numFmtId="0" fontId="50" fillId="3" borderId="401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185" fontId="8" fillId="0" borderId="412">
      <alignment vertical="center"/>
    </xf>
    <xf numFmtId="322" fontId="9" fillId="0" borderId="414">
      <alignment horizontal="centerContinuous" vertical="center"/>
    </xf>
    <xf numFmtId="10" fontId="39" fillId="4" borderId="412" applyNumberFormat="0" applyBorder="0" applyAlignment="0" applyProtection="0"/>
    <xf numFmtId="206" fontId="6" fillId="0" borderId="412">
      <alignment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0" fontId="94" fillId="0" borderId="414">
      <alignment horizontal="centerContinuous" vertical="center"/>
    </xf>
    <xf numFmtId="338" fontId="19" fillId="0" borderId="412"/>
    <xf numFmtId="237" fontId="6" fillId="0" borderId="400">
      <alignment vertical="center"/>
    </xf>
    <xf numFmtId="236" fontId="6" fillId="0" borderId="400">
      <alignment vertical="center"/>
    </xf>
    <xf numFmtId="176" fontId="6" fillId="0" borderId="412">
      <alignment vertical="center"/>
    </xf>
    <xf numFmtId="218" fontId="9" fillId="0" borderId="414">
      <alignment horizontal="centerContinuous" vertical="center"/>
    </xf>
    <xf numFmtId="0" fontId="153" fillId="22" borderId="408" applyNumberFormat="0" applyAlignment="0" applyProtection="0">
      <alignment vertical="center"/>
    </xf>
    <xf numFmtId="242" fontId="6" fillId="0" borderId="412">
      <alignment horizontal="right" vertical="center"/>
    </xf>
    <xf numFmtId="0" fontId="54" fillId="28" borderId="421" applyNumberFormat="0" applyFont="0" applyAlignment="0" applyProtection="0">
      <alignment vertical="center"/>
    </xf>
    <xf numFmtId="237" fontId="6" fillId="0" borderId="400">
      <alignment vertical="center"/>
    </xf>
    <xf numFmtId="238" fontId="6" fillId="0" borderId="400">
      <alignment vertical="center"/>
    </xf>
    <xf numFmtId="236" fontId="6" fillId="0" borderId="400">
      <alignment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3" fontId="57" fillId="0" borderId="400"/>
    <xf numFmtId="0" fontId="184" fillId="0" borderId="412" applyFill="0" applyBorder="0" applyProtection="0">
      <alignment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94" fillId="0" borderId="402">
      <alignment horizontal="centerContinuous" vertical="center"/>
    </xf>
    <xf numFmtId="200" fontId="6" fillId="0" borderId="400">
      <alignment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176" fontId="6" fillId="0" borderId="400">
      <alignment vertical="center"/>
    </xf>
    <xf numFmtId="49" fontId="117" fillId="0" borderId="400">
      <alignment horizontal="center" vertical="center"/>
    </xf>
    <xf numFmtId="176" fontId="6" fillId="0" borderId="412">
      <alignment vertical="center"/>
    </xf>
    <xf numFmtId="0" fontId="6" fillId="0" borderId="412">
      <alignment horizontal="right" vertical="center" shrinkToFit="1"/>
    </xf>
    <xf numFmtId="3" fontId="57" fillId="0" borderId="412"/>
    <xf numFmtId="41" fontId="135" fillId="0" borderId="400" applyNumberFormat="0">
      <alignment vertical="center"/>
    </xf>
    <xf numFmtId="0" fontId="153" fillId="22" borderId="420" applyNumberFormat="0" applyAlignment="0" applyProtection="0">
      <alignment vertical="center"/>
    </xf>
    <xf numFmtId="0" fontId="82" fillId="0" borderId="412"/>
    <xf numFmtId="0" fontId="94" fillId="0" borderId="414">
      <alignment horizontal="centerContinuous" vertical="center"/>
    </xf>
    <xf numFmtId="0" fontId="50" fillId="3" borderId="413">
      <alignment vertical="center"/>
    </xf>
    <xf numFmtId="41" fontId="9" fillId="0" borderId="400">
      <alignment horizontal="center" vertical="center"/>
    </xf>
    <xf numFmtId="0" fontId="56" fillId="0" borderId="400"/>
    <xf numFmtId="0" fontId="11" fillId="0" borderId="400" applyNumberFormat="0" applyFont="0" applyFill="0" applyAlignment="0" applyProtection="0">
      <alignment horizontal="center" vertical="center"/>
    </xf>
    <xf numFmtId="10" fontId="39" fillId="4" borderId="400" applyNumberFormat="0" applyBorder="0" applyAlignment="0" applyProtection="0"/>
    <xf numFmtId="0" fontId="82" fillId="0" borderId="400"/>
    <xf numFmtId="3" fontId="57" fillId="0" borderId="400"/>
    <xf numFmtId="230" fontId="6" fillId="0" borderId="412">
      <alignment vertical="center"/>
    </xf>
    <xf numFmtId="234" fontId="117" fillId="0" borderId="412">
      <alignment vertical="center"/>
    </xf>
    <xf numFmtId="0" fontId="6" fillId="0" borderId="412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176" fontId="6" fillId="0" borderId="412">
      <alignment vertical="center"/>
    </xf>
    <xf numFmtId="244" fontId="117" fillId="0" borderId="412">
      <alignment vertical="center"/>
    </xf>
    <xf numFmtId="200" fontId="6" fillId="0" borderId="400">
      <alignment vertical="center"/>
    </xf>
    <xf numFmtId="0" fontId="54" fillId="28" borderId="409" applyNumberFormat="0" applyFon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85" fillId="22" borderId="407" applyNumberFormat="0" applyAlignment="0" applyProtection="0">
      <alignment vertical="center"/>
    </xf>
    <xf numFmtId="218" fontId="9" fillId="0" borderId="402">
      <alignment horizontal="centerContinuous" vertical="center"/>
    </xf>
    <xf numFmtId="0" fontId="50" fillId="3" borderId="401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322" fontId="9" fillId="0" borderId="414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240" fontId="6" fillId="0" borderId="412">
      <alignment horizontal="right" vertical="center"/>
    </xf>
    <xf numFmtId="176" fontId="6" fillId="0" borderId="400">
      <alignment vertical="center"/>
    </xf>
    <xf numFmtId="0" fontId="50" fillId="3" borderId="401">
      <alignment vertical="center"/>
    </xf>
    <xf numFmtId="0" fontId="41" fillId="0" borderId="401">
      <alignment horizontal="left" vertical="center"/>
    </xf>
    <xf numFmtId="200" fontId="6" fillId="0" borderId="412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191" fontId="6" fillId="0" borderId="400">
      <alignment vertical="center"/>
    </xf>
    <xf numFmtId="240" fontId="6" fillId="0" borderId="400">
      <alignment horizontal="right" vertical="center"/>
    </xf>
    <xf numFmtId="230" fontId="6" fillId="0" borderId="400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42" fontId="6" fillId="0" borderId="400">
      <alignment horizontal="right" vertical="center"/>
    </xf>
    <xf numFmtId="237" fontId="6" fillId="0" borderId="400">
      <alignment vertical="center"/>
    </xf>
    <xf numFmtId="322" fontId="9" fillId="0" borderId="414">
      <alignment horizontal="centerContinuous" vertical="center"/>
    </xf>
    <xf numFmtId="244" fontId="117" fillId="0" borderId="412">
      <alignment vertical="center"/>
    </xf>
    <xf numFmtId="41" fontId="56" fillId="0" borderId="412" applyNumberFormat="0" applyFont="0" applyFill="0" applyBorder="0" applyProtection="0">
      <alignment horizontal="distributed"/>
    </xf>
    <xf numFmtId="200" fontId="6" fillId="0" borderId="412">
      <alignment vertical="center"/>
    </xf>
    <xf numFmtId="0" fontId="117" fillId="0" borderId="414">
      <alignment horizontal="centerContinuous" vertical="center"/>
    </xf>
    <xf numFmtId="41" fontId="56" fillId="0" borderId="412" applyNumberFormat="0" applyFont="0" applyFill="0" applyBorder="0" applyProtection="0">
      <alignment horizontal="distributed"/>
    </xf>
    <xf numFmtId="0" fontId="82" fillId="0" borderId="412"/>
    <xf numFmtId="0" fontId="94" fillId="0" borderId="402">
      <alignment horizontal="centerContinuous" vertical="center"/>
    </xf>
    <xf numFmtId="0" fontId="153" fillId="22" borderId="420" applyNumberFormat="0" applyAlignment="0" applyProtection="0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186" fillId="0" borderId="400" applyProtection="0">
      <alignment vertical="center"/>
    </xf>
    <xf numFmtId="322" fontId="9" fillId="0" borderId="414">
      <alignment horizontal="centerContinuous" vertical="center"/>
    </xf>
    <xf numFmtId="10" fontId="39" fillId="2" borderId="412" applyNumberFormat="0" applyBorder="0" applyAlignment="0" applyProtection="0"/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185" fontId="8" fillId="0" borderId="412">
      <alignment vertical="center"/>
    </xf>
    <xf numFmtId="230" fontId="6" fillId="0" borderId="400">
      <alignment vertical="center"/>
    </xf>
    <xf numFmtId="200" fontId="6" fillId="0" borderId="40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6" fillId="0" borderId="414">
      <alignment horizontal="centerContinuous" vertical="center"/>
    </xf>
    <xf numFmtId="0" fontId="54" fillId="28" borderId="409" applyNumberFormat="0" applyFon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85" fillId="22" borderId="407" applyNumberFormat="0" applyAlignment="0" applyProtection="0">
      <alignment vertical="center"/>
    </xf>
    <xf numFmtId="218" fontId="9" fillId="0" borderId="402">
      <alignment horizontal="centerContinuous" vertical="center"/>
    </xf>
    <xf numFmtId="0" fontId="50" fillId="3" borderId="401">
      <alignment vertical="center"/>
    </xf>
    <xf numFmtId="240" fontId="6" fillId="0" borderId="412">
      <alignment horizontal="right" vertical="center"/>
    </xf>
    <xf numFmtId="0" fontId="117" fillId="0" borderId="414">
      <alignment horizontal="centerContinuous" vertical="center"/>
    </xf>
    <xf numFmtId="0" fontId="9" fillId="0" borderId="403">
      <alignment horizontal="distributed"/>
    </xf>
    <xf numFmtId="0" fontId="9" fillId="0" borderId="403">
      <alignment horizontal="distributed"/>
    </xf>
    <xf numFmtId="242" fontId="6" fillId="0" borderId="412">
      <alignment horizontal="right" vertical="center"/>
    </xf>
    <xf numFmtId="0" fontId="50" fillId="3" borderId="401">
      <alignment vertical="center"/>
    </xf>
    <xf numFmtId="3" fontId="57" fillId="0" borderId="412"/>
    <xf numFmtId="234" fontId="117" fillId="0" borderId="412">
      <alignment vertical="center"/>
    </xf>
    <xf numFmtId="0" fontId="54" fillId="28" borderId="421" applyNumberFormat="0" applyFont="0" applyAlignment="0" applyProtection="0">
      <alignment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94" fillId="0" borderId="402">
      <alignment horizontal="centerContinuous" vertical="center"/>
    </xf>
    <xf numFmtId="230" fontId="6" fillId="0" borderId="412">
      <alignment vertical="center"/>
    </xf>
    <xf numFmtId="240" fontId="6" fillId="0" borderId="412">
      <alignment horizontal="right" vertical="center"/>
    </xf>
    <xf numFmtId="0" fontId="165" fillId="22" borderId="419" applyNumberFormat="0" applyAlignment="0" applyProtection="0">
      <alignment vertical="center"/>
    </xf>
    <xf numFmtId="0" fontId="9" fillId="0" borderId="412">
      <alignment horizontal="distributed" vertical="center"/>
    </xf>
    <xf numFmtId="3" fontId="57" fillId="0" borderId="412"/>
    <xf numFmtId="218" fontId="6" fillId="0" borderId="400">
      <alignment vertical="center"/>
    </xf>
    <xf numFmtId="322" fontId="9" fillId="0" borderId="414">
      <alignment horizontal="centerContinuous" vertical="center"/>
    </xf>
    <xf numFmtId="218" fontId="6" fillId="0" borderId="400">
      <alignment vertical="center"/>
    </xf>
    <xf numFmtId="3" fontId="57" fillId="0" borderId="412"/>
    <xf numFmtId="0" fontId="56" fillId="0" borderId="412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185" fontId="235" fillId="0" borderId="400"/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6" fillId="0" borderId="412">
      <alignment vertical="center"/>
    </xf>
    <xf numFmtId="41" fontId="56" fillId="0" borderId="412" applyNumberFormat="0" applyFont="0" applyFill="0" applyBorder="0" applyProtection="0">
      <alignment horizontal="distributed"/>
    </xf>
    <xf numFmtId="241" fontId="6" fillId="0" borderId="412">
      <alignment horizontal="right" vertical="center"/>
    </xf>
    <xf numFmtId="176" fontId="6" fillId="0" borderId="400">
      <alignment vertical="center"/>
    </xf>
    <xf numFmtId="0" fontId="134" fillId="0" borderId="400">
      <alignment vertical="center"/>
    </xf>
    <xf numFmtId="0" fontId="117" fillId="0" borderId="414">
      <alignment horizontal="centerContinuous" vertical="center"/>
    </xf>
    <xf numFmtId="0" fontId="92" fillId="0" borderId="412"/>
    <xf numFmtId="176" fontId="6" fillId="0" borderId="400">
      <alignment vertical="center"/>
    </xf>
    <xf numFmtId="322" fontId="9" fillId="0" borderId="414">
      <alignment horizontal="centerContinuous" vertical="center"/>
    </xf>
    <xf numFmtId="200" fontId="6" fillId="0" borderId="412">
      <alignment vertical="center"/>
    </xf>
    <xf numFmtId="221" fontId="117" fillId="0" borderId="400">
      <alignment vertical="center"/>
    </xf>
    <xf numFmtId="236" fontId="6" fillId="0" borderId="400">
      <alignment vertical="center"/>
    </xf>
    <xf numFmtId="0" fontId="134" fillId="0" borderId="412">
      <alignment vertical="center"/>
    </xf>
    <xf numFmtId="0" fontId="94" fillId="0" borderId="414">
      <alignment horizontal="centerContinuous" vertical="center"/>
    </xf>
    <xf numFmtId="242" fontId="6" fillId="0" borderId="412">
      <alignment horizontal="right" vertical="center"/>
    </xf>
    <xf numFmtId="240" fontId="6" fillId="0" borderId="400">
      <alignment horizontal="right" vertical="center"/>
    </xf>
    <xf numFmtId="3" fontId="57" fillId="0" borderId="412"/>
    <xf numFmtId="0" fontId="94" fillId="0" borderId="414">
      <alignment horizontal="centerContinuous" vertical="center"/>
    </xf>
    <xf numFmtId="0" fontId="186" fillId="0" borderId="412" applyProtection="0">
      <alignment vertical="center"/>
    </xf>
    <xf numFmtId="185" fontId="9" fillId="0" borderId="400">
      <alignment horizontal="center" vertical="center"/>
    </xf>
    <xf numFmtId="185" fontId="8" fillId="0" borderId="400">
      <alignment vertical="center"/>
    </xf>
    <xf numFmtId="218" fontId="9" fillId="0" borderId="414">
      <alignment horizontal="centerContinuous" vertical="center"/>
    </xf>
    <xf numFmtId="3" fontId="57" fillId="0" borderId="400"/>
    <xf numFmtId="3" fontId="57" fillId="0" borderId="400"/>
    <xf numFmtId="0" fontId="82" fillId="0" borderId="400"/>
    <xf numFmtId="0" fontId="54" fillId="28" borderId="421" applyNumberFormat="0" applyFont="0" applyAlignment="0" applyProtection="0">
      <alignment vertical="center"/>
    </xf>
    <xf numFmtId="0" fontId="92" fillId="0" borderId="400"/>
    <xf numFmtId="0" fontId="6" fillId="0" borderId="414">
      <alignment horizontal="centerContinuous" vertical="center"/>
    </xf>
    <xf numFmtId="0" fontId="224" fillId="0" borderId="414">
      <alignment horizontal="centerContinuous" vertical="center"/>
    </xf>
    <xf numFmtId="3" fontId="6" fillId="0" borderId="412"/>
    <xf numFmtId="191" fontId="6" fillId="0" borderId="412">
      <alignment vertical="center"/>
    </xf>
    <xf numFmtId="218" fontId="6" fillId="0" borderId="400">
      <alignment vertical="center"/>
    </xf>
    <xf numFmtId="0" fontId="54" fillId="28" borderId="421" applyNumberFormat="0" applyFont="0" applyAlignment="0" applyProtection="0">
      <alignment vertical="center"/>
    </xf>
    <xf numFmtId="3" fontId="57" fillId="0" borderId="400"/>
    <xf numFmtId="234" fontId="117" fillId="0" borderId="400">
      <alignment vertical="center"/>
    </xf>
    <xf numFmtId="0" fontId="6" fillId="0" borderId="400">
      <alignment horizontal="right" vertical="center" shrinkToFit="1"/>
    </xf>
    <xf numFmtId="200" fontId="6" fillId="0" borderId="400">
      <alignment vertical="center"/>
    </xf>
    <xf numFmtId="191" fontId="6" fillId="0" borderId="400">
      <alignment vertical="center"/>
    </xf>
    <xf numFmtId="191" fontId="6" fillId="0" borderId="412">
      <alignment vertical="center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200" fontId="6" fillId="0" borderId="412">
      <alignment vertical="center"/>
    </xf>
    <xf numFmtId="230" fontId="6" fillId="0" borderId="412">
      <alignment vertical="center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3" fontId="57" fillId="0" borderId="400"/>
    <xf numFmtId="3" fontId="57" fillId="0" borderId="400"/>
    <xf numFmtId="0" fontId="6" fillId="0" borderId="412">
      <alignment horizontal="right" vertical="center" shrinkToFit="1"/>
    </xf>
    <xf numFmtId="236" fontId="6" fillId="0" borderId="412">
      <alignment vertical="center"/>
    </xf>
    <xf numFmtId="238" fontId="6" fillId="0" borderId="412">
      <alignment vertical="center"/>
    </xf>
    <xf numFmtId="322" fontId="9" fillId="0" borderId="414">
      <alignment horizontal="centerContinuous" vertical="center"/>
    </xf>
    <xf numFmtId="218" fontId="6" fillId="0" borderId="412">
      <alignment vertical="center"/>
    </xf>
    <xf numFmtId="176" fontId="6" fillId="0" borderId="412">
      <alignment vertical="center"/>
    </xf>
    <xf numFmtId="242" fontId="6" fillId="0" borderId="412">
      <alignment horizontal="right" vertical="center"/>
    </xf>
    <xf numFmtId="0" fontId="56" fillId="0" borderId="412"/>
    <xf numFmtId="0" fontId="56" fillId="0" borderId="412"/>
    <xf numFmtId="0" fontId="153" fillId="22" borderId="420" applyNumberForma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76" fontId="6" fillId="0" borderId="412">
      <alignment vertical="center"/>
    </xf>
    <xf numFmtId="0" fontId="92" fillId="0" borderId="400"/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56" fontId="117" fillId="0" borderId="412" applyBorder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238" fontId="6" fillId="0" borderId="412">
      <alignment vertical="center"/>
    </xf>
    <xf numFmtId="41" fontId="9" fillId="0" borderId="412">
      <alignment horizontal="center" vertical="center"/>
    </xf>
    <xf numFmtId="3" fontId="57" fillId="0" borderId="412"/>
    <xf numFmtId="0" fontId="11" fillId="0" borderId="400" applyNumberFormat="0" applyFont="0" applyFill="0" applyAlignment="0" applyProtection="0">
      <alignment horizontal="center" vertical="center"/>
    </xf>
    <xf numFmtId="0" fontId="6" fillId="0" borderId="400" applyNumberFormat="0" applyFill="0" applyProtection="0">
      <alignment vertical="center"/>
    </xf>
    <xf numFmtId="256" fontId="117" fillId="0" borderId="400" applyBorder="0">
      <alignment vertical="center"/>
    </xf>
    <xf numFmtId="0" fontId="6" fillId="0" borderId="400">
      <alignment horizontal="right" vertical="center" shrinkToFit="1"/>
    </xf>
    <xf numFmtId="230" fontId="6" fillId="0" borderId="412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153" fillId="22" borderId="408" applyNumberFormat="0" applyAlignment="0" applyProtection="0">
      <alignment vertical="center"/>
    </xf>
    <xf numFmtId="0" fontId="6" fillId="0" borderId="414">
      <alignment horizontal="centerContinuous" vertical="center"/>
    </xf>
    <xf numFmtId="218" fontId="9" fillId="0" borderId="414">
      <alignment horizontal="centerContinuous" vertical="center"/>
    </xf>
    <xf numFmtId="218" fontId="9" fillId="0" borderId="414">
      <alignment horizontal="centerContinuous" vertical="center"/>
    </xf>
    <xf numFmtId="322" fontId="9" fillId="0" borderId="414">
      <alignment horizontal="centerContinuous" vertical="center"/>
    </xf>
    <xf numFmtId="236" fontId="6" fillId="0" borderId="412">
      <alignment vertical="center"/>
    </xf>
    <xf numFmtId="238" fontId="6" fillId="0" borderId="412">
      <alignment vertical="center"/>
    </xf>
    <xf numFmtId="3" fontId="57" fillId="0" borderId="412"/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12">
      <alignment horizontal="distributed" vertical="center"/>
    </xf>
    <xf numFmtId="3" fontId="57" fillId="0" borderId="412"/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42" fontId="6" fillId="0" borderId="400">
      <alignment horizontal="right" vertical="center"/>
    </xf>
    <xf numFmtId="0" fontId="186" fillId="0" borderId="412" applyProtection="0">
      <alignment vertical="center"/>
    </xf>
    <xf numFmtId="241" fontId="6" fillId="0" borderId="400">
      <alignment horizontal="right" vertical="center"/>
    </xf>
    <xf numFmtId="241" fontId="6" fillId="0" borderId="412">
      <alignment horizontal="right" vertical="center"/>
    </xf>
    <xf numFmtId="0" fontId="41" fillId="0" borderId="413">
      <alignment horizontal="left" vertical="center"/>
    </xf>
    <xf numFmtId="240" fontId="6" fillId="0" borderId="412">
      <alignment horizontal="right" vertical="center"/>
    </xf>
    <xf numFmtId="0" fontId="9" fillId="0" borderId="412">
      <alignment horizontal="distributed" vertical="center"/>
    </xf>
    <xf numFmtId="0" fontId="94" fillId="0" borderId="402">
      <alignment horizontal="centerContinuous" vertical="center"/>
    </xf>
    <xf numFmtId="0" fontId="134" fillId="0" borderId="400">
      <alignment vertical="center"/>
    </xf>
    <xf numFmtId="185" fontId="8" fillId="0" borderId="412">
      <alignment vertical="center"/>
    </xf>
    <xf numFmtId="236" fontId="6" fillId="0" borderId="412">
      <alignment vertical="center"/>
    </xf>
    <xf numFmtId="191" fontId="6" fillId="0" borderId="412">
      <alignment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50" fillId="3" borderId="401">
      <alignment vertical="center"/>
    </xf>
    <xf numFmtId="246" fontId="117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0" fontId="117" fillId="0" borderId="414">
      <alignment horizontal="centerContinuous" vertical="center"/>
    </xf>
    <xf numFmtId="338" fontId="19" fillId="0" borderId="412"/>
    <xf numFmtId="338" fontId="19" fillId="0" borderId="412"/>
    <xf numFmtId="0" fontId="153" fillId="22" borderId="420" applyNumberFormat="0" applyAlignment="0" applyProtection="0">
      <alignment vertical="center"/>
    </xf>
    <xf numFmtId="186" fontId="14" fillId="0" borderId="418"/>
    <xf numFmtId="0" fontId="94" fillId="0" borderId="414">
      <alignment horizontal="centerContinuous" vertical="center"/>
    </xf>
    <xf numFmtId="206" fontId="6" fillId="0" borderId="412">
      <alignment vertical="center"/>
    </xf>
    <xf numFmtId="0" fontId="9" fillId="0" borderId="412">
      <alignment horizontal="distributed" vertical="center"/>
    </xf>
    <xf numFmtId="231" fontId="117" fillId="0" borderId="412">
      <alignment vertical="center"/>
    </xf>
    <xf numFmtId="0" fontId="56" fillId="0" borderId="400"/>
    <xf numFmtId="0" fontId="117" fillId="0" borderId="402">
      <alignment horizontal="centerContinuous" vertical="center"/>
    </xf>
    <xf numFmtId="218" fontId="6" fillId="0" borderId="412">
      <alignment vertical="center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0" fontId="9" fillId="0" borderId="403">
      <alignment horizontal="distributed"/>
    </xf>
    <xf numFmtId="0" fontId="9" fillId="0" borderId="403">
      <alignment horizontal="distributed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200" fontId="6" fillId="0" borderId="400">
      <alignment vertical="center"/>
    </xf>
    <xf numFmtId="0" fontId="232" fillId="0" borderId="400" applyFont="0" applyFill="0" applyBorder="0" applyAlignment="0" applyProtection="0">
      <alignment horizontal="centerContinuous"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76" fontId="6" fillId="0" borderId="412">
      <alignment vertical="center"/>
    </xf>
    <xf numFmtId="0" fontId="57" fillId="28" borderId="409" applyNumberFormat="0" applyFont="0" applyAlignment="0" applyProtection="0">
      <alignment vertical="center"/>
    </xf>
    <xf numFmtId="240" fontId="6" fillId="0" borderId="412">
      <alignment horizontal="right"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6" fillId="0" borderId="412">
      <alignment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14">
      <alignment horizontal="centerContinuous" vertical="center"/>
    </xf>
    <xf numFmtId="3" fontId="57" fillId="0" borderId="400"/>
    <xf numFmtId="0" fontId="41" fillId="0" borderId="413">
      <alignment horizontal="left" vertical="center"/>
    </xf>
    <xf numFmtId="200" fontId="6" fillId="0" borderId="412">
      <alignment vertical="center"/>
    </xf>
    <xf numFmtId="242" fontId="6" fillId="0" borderId="412">
      <alignment horizontal="right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" fontId="57" fillId="0" borderId="412"/>
    <xf numFmtId="191" fontId="6" fillId="0" borderId="412">
      <alignment vertical="center"/>
    </xf>
    <xf numFmtId="322" fontId="9" fillId="0" borderId="414">
      <alignment horizontal="centerContinuous" vertical="center"/>
    </xf>
    <xf numFmtId="206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0" fontId="6" fillId="0" borderId="400">
      <alignment vertical="center"/>
    </xf>
    <xf numFmtId="200" fontId="6" fillId="0" borderId="412">
      <alignment vertical="center"/>
    </xf>
    <xf numFmtId="185" fontId="235" fillId="0" borderId="400"/>
    <xf numFmtId="0" fontId="6" fillId="0" borderId="414">
      <alignment horizontal="centerContinuous" vertical="center"/>
    </xf>
    <xf numFmtId="240" fontId="6" fillId="0" borderId="412">
      <alignment horizontal="right" vertical="center"/>
    </xf>
    <xf numFmtId="0" fontId="117" fillId="0" borderId="414">
      <alignment horizontal="centerContinuous" vertical="center"/>
    </xf>
    <xf numFmtId="218" fontId="9" fillId="0" borderId="414">
      <alignment horizontal="centerContinuous" vertical="center"/>
    </xf>
    <xf numFmtId="0" fontId="57" fillId="28" borderId="409" applyNumberFormat="0" applyFont="0" applyAlignment="0" applyProtection="0">
      <alignment vertical="center"/>
    </xf>
    <xf numFmtId="0" fontId="117" fillId="0" borderId="414">
      <alignment horizontal="centerContinuous" vertical="center"/>
    </xf>
    <xf numFmtId="236" fontId="6" fillId="0" borderId="400">
      <alignment vertical="center"/>
    </xf>
    <xf numFmtId="244" fontId="117" fillId="0" borderId="412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0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1" fontId="117" fillId="0" borderId="400">
      <alignment vertical="center"/>
    </xf>
    <xf numFmtId="322" fontId="9" fillId="0" borderId="414">
      <alignment horizontal="centerContinuous" vertical="center"/>
    </xf>
    <xf numFmtId="257" fontId="117" fillId="0" borderId="400" applyBorder="0">
      <alignment horizontal="left" vertical="center"/>
    </xf>
    <xf numFmtId="191" fontId="6" fillId="0" borderId="400">
      <alignment vertical="center"/>
    </xf>
    <xf numFmtId="185" fontId="8" fillId="0" borderId="400">
      <alignment vertical="center"/>
    </xf>
    <xf numFmtId="3" fontId="57" fillId="0" borderId="400"/>
    <xf numFmtId="10" fontId="39" fillId="2" borderId="412" applyNumberFormat="0" applyBorder="0" applyAlignment="0" applyProtection="0"/>
    <xf numFmtId="239" fontId="117" fillId="0" borderId="412">
      <alignment horizontal="right" vertical="center"/>
    </xf>
    <xf numFmtId="242" fontId="6" fillId="0" borderId="412">
      <alignment horizontal="right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185" fontId="8" fillId="0" borderId="400">
      <alignment vertical="center"/>
    </xf>
    <xf numFmtId="10" fontId="39" fillId="4" borderId="400" applyNumberFormat="0" applyBorder="0" applyAlignment="0" applyProtection="0"/>
    <xf numFmtId="206" fontId="6" fillId="0" borderId="400">
      <alignment vertical="center"/>
    </xf>
    <xf numFmtId="239" fontId="117" fillId="0" borderId="400">
      <alignment horizontal="right" vertical="center"/>
    </xf>
    <xf numFmtId="243" fontId="117" fillId="0" borderId="400">
      <alignment vertical="center"/>
    </xf>
    <xf numFmtId="338" fontId="19" fillId="0" borderId="412"/>
    <xf numFmtId="191" fontId="6" fillId="0" borderId="400">
      <alignment vertical="center"/>
    </xf>
    <xf numFmtId="0" fontId="6" fillId="0" borderId="414">
      <alignment horizontal="centerContinuous" vertical="center"/>
    </xf>
    <xf numFmtId="0" fontId="6" fillId="0" borderId="400">
      <alignment vertical="center"/>
    </xf>
    <xf numFmtId="176" fontId="6" fillId="0" borderId="400">
      <alignment vertical="center"/>
    </xf>
    <xf numFmtId="206" fontId="6" fillId="0" borderId="400">
      <alignment vertical="center"/>
    </xf>
    <xf numFmtId="0" fontId="153" fillId="22" borderId="408" applyNumberFormat="0" applyAlignment="0" applyProtection="0">
      <alignment vertical="center"/>
    </xf>
    <xf numFmtId="37" fontId="117" fillId="0" borderId="412">
      <alignment horizontal="center" vertical="distributed"/>
    </xf>
    <xf numFmtId="241" fontId="6" fillId="0" borderId="412">
      <alignment horizontal="right" vertical="center"/>
    </xf>
    <xf numFmtId="0" fontId="6" fillId="0" borderId="414">
      <alignment horizontal="centerContinuous"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40" fontId="6" fillId="0" borderId="412">
      <alignment horizontal="right" vertical="center"/>
    </xf>
    <xf numFmtId="242" fontId="6" fillId="0" borderId="412">
      <alignment horizontal="right" vertical="center"/>
    </xf>
    <xf numFmtId="236" fontId="6" fillId="0" borderId="412">
      <alignment vertical="center"/>
    </xf>
    <xf numFmtId="235" fontId="117" fillId="0" borderId="412">
      <alignment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10" fontId="39" fillId="2" borderId="412" applyNumberFormat="0" applyBorder="0" applyAlignment="0" applyProtection="0"/>
    <xf numFmtId="244" fontId="117" fillId="0" borderId="412">
      <alignment vertical="center"/>
    </xf>
    <xf numFmtId="244" fontId="117" fillId="0" borderId="412">
      <alignment vertical="center"/>
    </xf>
    <xf numFmtId="0" fontId="50" fillId="3" borderId="413">
      <alignment vertical="center"/>
    </xf>
    <xf numFmtId="0" fontId="6" fillId="0" borderId="412">
      <alignment horizontal="right" vertical="center" shrinkToFit="1"/>
    </xf>
    <xf numFmtId="322" fontId="9" fillId="0" borderId="414">
      <alignment horizontal="centerContinuous" vertical="center"/>
    </xf>
    <xf numFmtId="242" fontId="6" fillId="0" borderId="412">
      <alignment horizontal="right" vertical="center"/>
    </xf>
    <xf numFmtId="0" fontId="94" fillId="0" borderId="414">
      <alignment horizontal="centerContinuous" vertical="center"/>
    </xf>
    <xf numFmtId="0" fontId="92" fillId="0" borderId="400"/>
    <xf numFmtId="0" fontId="92" fillId="0" borderId="400"/>
    <xf numFmtId="0" fontId="92" fillId="0" borderId="400"/>
    <xf numFmtId="191" fontId="6" fillId="0" borderId="400">
      <alignment vertical="center"/>
    </xf>
    <xf numFmtId="23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185" fontId="9" fillId="0" borderId="400">
      <alignment horizontal="center" vertical="center"/>
    </xf>
    <xf numFmtId="338" fontId="19" fillId="0" borderId="400"/>
    <xf numFmtId="338" fontId="19" fillId="0" borderId="400"/>
    <xf numFmtId="0" fontId="6" fillId="0" borderId="400" applyNumberFormat="0" applyFill="0" applyProtection="0">
      <alignment vertical="center"/>
    </xf>
    <xf numFmtId="0" fontId="50" fillId="3" borderId="401">
      <alignment vertical="center"/>
    </xf>
    <xf numFmtId="218" fontId="9" fillId="0" borderId="402">
      <alignment horizontal="centerContinuous" vertical="center"/>
    </xf>
    <xf numFmtId="0" fontId="185" fillId="22" borderId="407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240" fontId="6" fillId="0" borderId="412">
      <alignment horizontal="right" vertical="center"/>
    </xf>
    <xf numFmtId="3" fontId="57" fillId="0" borderId="400"/>
    <xf numFmtId="185" fontId="8" fillId="0" borderId="412">
      <alignment vertical="center"/>
    </xf>
    <xf numFmtId="0" fontId="159" fillId="0" borderId="422" applyNumberFormat="0" applyFill="0" applyAlignment="0" applyProtection="0">
      <alignment vertical="center"/>
    </xf>
    <xf numFmtId="0" fontId="41" fillId="0" borderId="413">
      <alignment horizontal="left" vertical="center"/>
    </xf>
    <xf numFmtId="236" fontId="6" fillId="0" borderId="400">
      <alignment vertical="center"/>
    </xf>
    <xf numFmtId="206" fontId="6" fillId="0" borderId="412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0" fontId="134" fillId="0" borderId="400">
      <alignment vertical="center"/>
    </xf>
    <xf numFmtId="0" fontId="94" fillId="0" borderId="414">
      <alignment horizontal="centerContinuous" vertical="center"/>
    </xf>
    <xf numFmtId="0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00" fontId="6" fillId="0" borderId="400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3" fontId="57" fillId="0" borderId="412"/>
    <xf numFmtId="0" fontId="6" fillId="0" borderId="412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37" fontId="117" fillId="0" borderId="400">
      <alignment horizontal="center" vertical="distributed"/>
    </xf>
    <xf numFmtId="233" fontId="122" fillId="0" borderId="400" applyFill="0" applyBorder="0" applyAlignment="0"/>
    <xf numFmtId="0" fontId="159" fillId="0" borderId="410" applyNumberFormat="0" applyFill="0" applyAlignment="0" applyProtection="0">
      <alignment vertical="center"/>
    </xf>
    <xf numFmtId="0" fontId="117" fillId="0" borderId="414">
      <alignment horizontal="centerContinuous" vertical="center"/>
    </xf>
    <xf numFmtId="191" fontId="6" fillId="0" borderId="412">
      <alignment vertical="center"/>
    </xf>
    <xf numFmtId="230" fontId="6" fillId="0" borderId="412">
      <alignment vertical="center"/>
    </xf>
    <xf numFmtId="0" fontId="134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18" fontId="6" fillId="0" borderId="400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0" fontId="117" fillId="0" borderId="414">
      <alignment horizontal="centerContinuous" vertical="center"/>
    </xf>
    <xf numFmtId="218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191" fontId="6" fillId="0" borderId="412">
      <alignment vertical="center"/>
    </xf>
    <xf numFmtId="230" fontId="6" fillId="0" borderId="412">
      <alignment vertical="center"/>
    </xf>
    <xf numFmtId="241" fontId="6" fillId="0" borderId="400">
      <alignment horizontal="right" vertical="center"/>
    </xf>
    <xf numFmtId="237" fontId="6" fillId="0" borderId="400">
      <alignment vertical="center"/>
    </xf>
    <xf numFmtId="236" fontId="6" fillId="0" borderId="400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" fontId="57" fillId="0" borderId="412"/>
    <xf numFmtId="309" fontId="9" fillId="0" borderId="400" applyFill="0" applyBorder="0" applyAlignment="0"/>
    <xf numFmtId="243" fontId="117" fillId="0" borderId="412">
      <alignment vertical="center"/>
    </xf>
    <xf numFmtId="237" fontId="6" fillId="0" borderId="400">
      <alignment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50" fillId="3" borderId="401">
      <alignment vertical="center"/>
    </xf>
    <xf numFmtId="41" fontId="135" fillId="0" borderId="400" applyNumberFormat="0">
      <alignment vertical="center"/>
    </xf>
    <xf numFmtId="0" fontId="82" fillId="0" borderId="400"/>
    <xf numFmtId="176" fontId="6" fillId="0" borderId="412">
      <alignment vertical="center"/>
    </xf>
    <xf numFmtId="185" fontId="8" fillId="0" borderId="400">
      <alignment vertical="center"/>
    </xf>
    <xf numFmtId="200" fontId="6" fillId="0" borderId="412">
      <alignment vertical="center"/>
    </xf>
    <xf numFmtId="10" fontId="39" fillId="4" borderId="400" applyNumberFormat="0" applyBorder="0" applyAlignment="0" applyProtection="0"/>
    <xf numFmtId="0" fontId="6" fillId="0" borderId="400">
      <alignment vertical="center"/>
    </xf>
    <xf numFmtId="246" fontId="117" fillId="0" borderId="400">
      <alignment vertical="center"/>
    </xf>
    <xf numFmtId="236" fontId="6" fillId="0" borderId="400">
      <alignment vertical="center"/>
    </xf>
    <xf numFmtId="3" fontId="56" fillId="0" borderId="412"/>
    <xf numFmtId="3" fontId="56" fillId="0" borderId="412"/>
    <xf numFmtId="3" fontId="56" fillId="0" borderId="412"/>
    <xf numFmtId="191" fontId="6" fillId="0" borderId="412">
      <alignment vertical="center"/>
    </xf>
    <xf numFmtId="41" fontId="9" fillId="0" borderId="400">
      <alignment horizontal="center" vertical="center"/>
    </xf>
    <xf numFmtId="206" fontId="6" fillId="0" borderId="412">
      <alignment vertical="center"/>
    </xf>
    <xf numFmtId="206" fontId="6" fillId="0" borderId="412">
      <alignment vertical="center"/>
    </xf>
    <xf numFmtId="230" fontId="6" fillId="0" borderId="412">
      <alignment vertical="center"/>
    </xf>
    <xf numFmtId="41" fontId="9" fillId="0" borderId="412">
      <alignment horizontal="center" vertical="center"/>
    </xf>
    <xf numFmtId="3" fontId="57" fillId="0" borderId="412"/>
    <xf numFmtId="185" fontId="8" fillId="0" borderId="412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" fontId="57" fillId="0" borderId="412"/>
    <xf numFmtId="0" fontId="50" fillId="3" borderId="413">
      <alignment vertical="center"/>
    </xf>
    <xf numFmtId="0" fontId="92" fillId="0" borderId="412"/>
    <xf numFmtId="3" fontId="57" fillId="0" borderId="412"/>
    <xf numFmtId="322" fontId="9" fillId="0" borderId="414">
      <alignment horizontal="centerContinuous" vertical="center"/>
    </xf>
    <xf numFmtId="191" fontId="6" fillId="0" borderId="412">
      <alignment vertical="center"/>
    </xf>
    <xf numFmtId="239" fontId="117" fillId="0" borderId="412">
      <alignment horizontal="right" vertical="center"/>
    </xf>
    <xf numFmtId="3" fontId="56" fillId="0" borderId="400"/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200" fontId="6" fillId="0" borderId="400">
      <alignment vertical="center"/>
    </xf>
    <xf numFmtId="230" fontId="6" fillId="0" borderId="412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39" fontId="117" fillId="0" borderId="412">
      <alignment horizontal="right" vertical="center"/>
    </xf>
    <xf numFmtId="10" fontId="39" fillId="2" borderId="412" applyNumberFormat="0" applyBorder="0" applyAlignment="0" applyProtection="0"/>
    <xf numFmtId="243" fontId="117" fillId="0" borderId="400">
      <alignment vertical="center"/>
    </xf>
    <xf numFmtId="0" fontId="41" fillId="0" borderId="413">
      <alignment horizontal="left" vertical="center"/>
    </xf>
    <xf numFmtId="0" fontId="50" fillId="3" borderId="413">
      <alignment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12">
      <alignment vertical="center"/>
    </xf>
    <xf numFmtId="176" fontId="6" fillId="0" borderId="400">
      <alignment vertical="center"/>
    </xf>
    <xf numFmtId="249" fontId="6" fillId="0" borderId="400">
      <alignment vertical="center"/>
    </xf>
    <xf numFmtId="236" fontId="6" fillId="0" borderId="412">
      <alignment vertical="center"/>
    </xf>
    <xf numFmtId="240" fontId="6" fillId="0" borderId="412">
      <alignment horizontal="right" vertical="center"/>
    </xf>
    <xf numFmtId="0" fontId="134" fillId="0" borderId="400">
      <alignment vertical="center"/>
    </xf>
    <xf numFmtId="230" fontId="6" fillId="0" borderId="412">
      <alignment vertical="center"/>
    </xf>
    <xf numFmtId="230" fontId="6" fillId="0" borderId="412">
      <alignment vertical="center"/>
    </xf>
    <xf numFmtId="200" fontId="6" fillId="0" borderId="400">
      <alignment vertical="center"/>
    </xf>
    <xf numFmtId="0" fontId="56" fillId="0" borderId="412"/>
    <xf numFmtId="206" fontId="6" fillId="0" borderId="412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00" fontId="6" fillId="0" borderId="400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0" fontId="184" fillId="0" borderId="412" applyFill="0" applyBorder="0" applyProtection="0">
      <alignment vertical="center"/>
    </xf>
    <xf numFmtId="0" fontId="6" fillId="0" borderId="412">
      <alignment horizontal="right" vertical="center" shrinkToFit="1"/>
    </xf>
    <xf numFmtId="230" fontId="6" fillId="0" borderId="412">
      <alignment vertical="center"/>
    </xf>
    <xf numFmtId="322" fontId="9" fillId="0" borderId="414">
      <alignment horizontal="centerContinuous" vertical="center"/>
    </xf>
    <xf numFmtId="191" fontId="6" fillId="0" borderId="412">
      <alignment vertical="center"/>
    </xf>
    <xf numFmtId="322" fontId="9" fillId="0" borderId="414">
      <alignment horizontal="centerContinuous" vertical="center"/>
    </xf>
    <xf numFmtId="0" fontId="50" fillId="3" borderId="413">
      <alignment vertical="center"/>
    </xf>
    <xf numFmtId="256" fontId="117" fillId="0" borderId="412" applyBorder="0">
      <alignment vertical="center"/>
    </xf>
    <xf numFmtId="0" fontId="6" fillId="0" borderId="412">
      <alignment horizontal="right" vertical="center" shrinkToFit="1"/>
    </xf>
    <xf numFmtId="0" fontId="6" fillId="0" borderId="400">
      <alignment horizontal="right" vertical="center" shrinkToFit="1"/>
    </xf>
    <xf numFmtId="0" fontId="160" fillId="12" borderId="420" applyNumberFormat="0" applyAlignment="0" applyProtection="0">
      <alignment vertical="center"/>
    </xf>
    <xf numFmtId="244" fontId="117" fillId="0" borderId="400">
      <alignment vertical="center"/>
    </xf>
    <xf numFmtId="234" fontId="117" fillId="0" borderId="400">
      <alignment vertical="center"/>
    </xf>
    <xf numFmtId="3" fontId="57" fillId="0" borderId="400"/>
    <xf numFmtId="3" fontId="57" fillId="0" borderId="400"/>
    <xf numFmtId="185" fontId="8" fillId="0" borderId="400">
      <alignment vertical="center"/>
    </xf>
    <xf numFmtId="185" fontId="8" fillId="0" borderId="400">
      <alignment vertical="center"/>
    </xf>
    <xf numFmtId="244" fontId="117" fillId="0" borderId="412">
      <alignment vertical="center"/>
    </xf>
    <xf numFmtId="244" fontId="117" fillId="0" borderId="412">
      <alignment vertical="center"/>
    </xf>
    <xf numFmtId="176" fontId="6" fillId="0" borderId="412">
      <alignment vertical="center"/>
    </xf>
    <xf numFmtId="0" fontId="50" fillId="3" borderId="413">
      <alignment vertical="center"/>
    </xf>
    <xf numFmtId="0" fontId="94" fillId="0" borderId="414">
      <alignment horizontal="centerContinuous" vertical="center"/>
    </xf>
    <xf numFmtId="0" fontId="56" fillId="0" borderId="412"/>
    <xf numFmtId="176" fontId="6" fillId="0" borderId="400">
      <alignment vertical="center"/>
    </xf>
    <xf numFmtId="0" fontId="54" fillId="28" borderId="421" applyNumberFormat="0" applyFont="0" applyAlignment="0" applyProtection="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0" fontId="134" fillId="0" borderId="400">
      <alignment vertical="center"/>
    </xf>
    <xf numFmtId="322" fontId="9" fillId="0" borderId="414">
      <alignment horizontal="centerContinuous" vertical="center"/>
    </xf>
    <xf numFmtId="3" fontId="57" fillId="0" borderId="400"/>
    <xf numFmtId="0" fontId="6" fillId="28" borderId="421" applyNumberFormat="0" applyFont="0" applyAlignment="0" applyProtection="0">
      <alignment vertical="center"/>
    </xf>
    <xf numFmtId="0" fontId="94" fillId="0" borderId="414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36" fontId="6" fillId="0" borderId="412">
      <alignment vertical="center"/>
    </xf>
    <xf numFmtId="0" fontId="94" fillId="0" borderId="402">
      <alignment horizontal="centerContinuous" vertical="center"/>
    </xf>
    <xf numFmtId="0" fontId="6" fillId="0" borderId="414">
      <alignment horizontal="centerContinuous"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6" fillId="28" borderId="409" applyNumberFormat="0" applyFont="0" applyAlignment="0" applyProtection="0">
      <alignment vertical="center"/>
    </xf>
    <xf numFmtId="3" fontId="57" fillId="0" borderId="412"/>
    <xf numFmtId="234" fontId="117" fillId="0" borderId="412">
      <alignment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18" fontId="6" fillId="0" borderId="412">
      <alignment vertical="center"/>
    </xf>
    <xf numFmtId="247" fontId="117" fillId="0" borderId="412">
      <alignment vertical="center"/>
    </xf>
    <xf numFmtId="241" fontId="6" fillId="0" borderId="412">
      <alignment horizontal="right" vertical="center"/>
    </xf>
    <xf numFmtId="20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0" fontId="39" fillId="4" borderId="400" applyNumberFormat="0" applyBorder="0" applyAlignment="0" applyProtection="0"/>
    <xf numFmtId="200" fontId="6" fillId="0" borderId="412">
      <alignment vertical="center"/>
    </xf>
    <xf numFmtId="3" fontId="57" fillId="0" borderId="412"/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0" fontId="92" fillId="0" borderId="400"/>
    <xf numFmtId="206" fontId="6" fillId="0" borderId="412">
      <alignment vertical="center"/>
    </xf>
    <xf numFmtId="0" fontId="94" fillId="0" borderId="402">
      <alignment horizontal="centerContinuous" vertical="center"/>
    </xf>
    <xf numFmtId="3" fontId="57" fillId="0" borderId="400"/>
    <xf numFmtId="241" fontId="6" fillId="0" borderId="412">
      <alignment horizontal="right" vertical="center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vertical="center"/>
    </xf>
    <xf numFmtId="242" fontId="6" fillId="0" borderId="412">
      <alignment horizontal="right" vertical="center"/>
    </xf>
    <xf numFmtId="236" fontId="6" fillId="0" borderId="412">
      <alignment vertical="center"/>
    </xf>
    <xf numFmtId="41" fontId="9" fillId="0" borderId="400">
      <alignment horizontal="center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00" fontId="77" fillId="0" borderId="400">
      <alignment vertical="center"/>
    </xf>
    <xf numFmtId="206" fontId="6" fillId="0" borderId="412">
      <alignment vertical="center"/>
    </xf>
    <xf numFmtId="191" fontId="6" fillId="0" borderId="412">
      <alignment vertical="center"/>
    </xf>
    <xf numFmtId="0" fontId="117" fillId="0" borderId="414">
      <alignment horizontal="centerContinuous" vertical="center"/>
    </xf>
    <xf numFmtId="49" fontId="117" fillId="0" borderId="412">
      <alignment horizontal="center" vertical="center"/>
    </xf>
    <xf numFmtId="0" fontId="6" fillId="0" borderId="414">
      <alignment horizontal="centerContinuous"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34" fontId="117" fillId="0" borderId="412">
      <alignment vertical="center"/>
    </xf>
    <xf numFmtId="0" fontId="134" fillId="0" borderId="412">
      <alignment vertical="center"/>
    </xf>
    <xf numFmtId="0" fontId="9" fillId="0" borderId="415">
      <alignment horizontal="distributed"/>
    </xf>
    <xf numFmtId="256" fontId="117" fillId="0" borderId="412" applyBorder="0">
      <alignment vertical="center"/>
    </xf>
    <xf numFmtId="0" fontId="6" fillId="0" borderId="412">
      <alignment horizontal="right" vertical="center" shrinkToFit="1"/>
    </xf>
    <xf numFmtId="249" fontId="6" fillId="0" borderId="412">
      <alignment vertical="center"/>
    </xf>
    <xf numFmtId="3" fontId="57" fillId="0" borderId="400"/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236" fontId="6" fillId="0" borderId="400">
      <alignment vertical="center"/>
    </xf>
    <xf numFmtId="0" fontId="41" fillId="0" borderId="413">
      <alignment horizontal="left" vertical="center"/>
    </xf>
    <xf numFmtId="206" fontId="6" fillId="0" borderId="412">
      <alignment vertical="center"/>
    </xf>
    <xf numFmtId="206" fontId="6" fillId="0" borderId="412">
      <alignment vertical="center"/>
    </xf>
    <xf numFmtId="256" fontId="117" fillId="0" borderId="400" applyBorder="0">
      <alignment vertical="center"/>
    </xf>
    <xf numFmtId="191" fontId="6" fillId="0" borderId="412">
      <alignment vertical="center"/>
    </xf>
    <xf numFmtId="249" fontId="6" fillId="0" borderId="412">
      <alignment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" fontId="57" fillId="0" borderId="400"/>
    <xf numFmtId="0" fontId="82" fillId="0" borderId="400"/>
    <xf numFmtId="0" fontId="92" fillId="0" borderId="412"/>
    <xf numFmtId="0" fontId="92" fillId="0" borderId="412"/>
    <xf numFmtId="0" fontId="50" fillId="3" borderId="413">
      <alignment vertical="center"/>
    </xf>
    <xf numFmtId="0" fontId="224" fillId="0" borderId="402">
      <alignment horizontal="centerContinuous" vertical="center"/>
    </xf>
    <xf numFmtId="249" fontId="6" fillId="0" borderId="400">
      <alignment vertical="center"/>
    </xf>
    <xf numFmtId="0" fontId="54" fillId="28" borderId="409" applyNumberFormat="0" applyFont="0" applyAlignment="0" applyProtection="0">
      <alignment vertical="center"/>
    </xf>
    <xf numFmtId="186" fontId="14" fillId="0" borderId="406"/>
    <xf numFmtId="0" fontId="165" fillId="22" borderId="407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85" fillId="22" borderId="407" applyNumberFormat="0" applyAlignment="0" applyProtection="0">
      <alignment vertical="center"/>
    </xf>
    <xf numFmtId="203" fontId="176" fillId="0" borderId="404" applyFill="0" applyProtection="0">
      <alignment horizontal="center"/>
    </xf>
    <xf numFmtId="218" fontId="9" fillId="0" borderId="402">
      <alignment horizontal="centerContinuous" vertical="center"/>
    </xf>
    <xf numFmtId="240" fontId="6" fillId="0" borderId="400">
      <alignment horizontal="right" vertical="center"/>
    </xf>
    <xf numFmtId="0" fontId="50" fillId="3" borderId="401">
      <alignment vertical="center"/>
    </xf>
    <xf numFmtId="0" fontId="50" fillId="3" borderId="401">
      <alignment vertical="center"/>
    </xf>
    <xf numFmtId="0" fontId="6" fillId="0" borderId="400" applyNumberFormat="0" applyFill="0" applyProtection="0">
      <alignment vertical="center"/>
    </xf>
    <xf numFmtId="176" fontId="6" fillId="0" borderId="400">
      <alignment vertical="center"/>
    </xf>
    <xf numFmtId="0" fontId="6" fillId="0" borderId="412">
      <alignment horizontal="right" vertical="center" shrinkToFit="1"/>
    </xf>
    <xf numFmtId="23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185" fontId="9" fillId="0" borderId="400">
      <alignment horizontal="center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236" fontId="6" fillId="0" borderId="40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3" fontId="56" fillId="0" borderId="400"/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159" fillId="0" borderId="410" applyNumberFormat="0" applyFill="0" applyAlignment="0" applyProtection="0">
      <alignment vertical="center"/>
    </xf>
    <xf numFmtId="338" fontId="19" fillId="0" borderId="412"/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176" fontId="6" fillId="0" borderId="412">
      <alignment vertical="center"/>
    </xf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3" fontId="57" fillId="0" borderId="400"/>
    <xf numFmtId="3" fontId="57" fillId="0" borderId="412"/>
    <xf numFmtId="3" fontId="57" fillId="0" borderId="412"/>
    <xf numFmtId="0" fontId="186" fillId="0" borderId="400" applyProtection="0">
      <alignment vertical="center"/>
    </xf>
    <xf numFmtId="235" fontId="117" fillId="0" borderId="400">
      <alignment vertical="center"/>
    </xf>
    <xf numFmtId="236" fontId="6" fillId="0" borderId="400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4" fontId="117" fillId="0" borderId="412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10" fontId="39" fillId="4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309" fontId="9" fillId="0" borderId="412" applyFill="0" applyBorder="0" applyAlignment="0"/>
    <xf numFmtId="0" fontId="82" fillId="0" borderId="400"/>
    <xf numFmtId="0" fontId="9" fillId="0" borderId="402">
      <alignment horizontal="centerContinuous" vertical="center"/>
    </xf>
    <xf numFmtId="191" fontId="6" fillId="0" borderId="400">
      <alignment vertical="center"/>
    </xf>
    <xf numFmtId="0" fontId="94" fillId="0" borderId="402">
      <alignment horizontal="centerContinuous" vertical="center"/>
    </xf>
    <xf numFmtId="191" fontId="6" fillId="0" borderId="412">
      <alignment vertical="center"/>
    </xf>
    <xf numFmtId="338" fontId="19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240" fontId="6" fillId="0" borderId="400">
      <alignment horizontal="right"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206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249" fontId="6" fillId="0" borderId="400">
      <alignment vertical="center"/>
    </xf>
    <xf numFmtId="0" fontId="117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46" fontId="117" fillId="0" borderId="400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191" fontId="6" fillId="0" borderId="412">
      <alignment vertical="center"/>
    </xf>
    <xf numFmtId="0" fontId="6" fillId="0" borderId="400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49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185" fontId="9" fillId="0" borderId="412">
      <alignment horizontal="center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249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41" fontId="56" fillId="0" borderId="412" applyNumberFormat="0" applyFont="0" applyFill="0" applyBorder="0" applyProtection="0">
      <alignment horizontal="distributed"/>
    </xf>
    <xf numFmtId="0" fontId="56" fillId="0" borderId="400"/>
    <xf numFmtId="0" fontId="11" fillId="0" borderId="412" applyNumberFormat="0" applyFont="0" applyFill="0" applyAlignment="0" applyProtection="0">
      <alignment horizontal="center" vertical="center"/>
    </xf>
    <xf numFmtId="0" fontId="6" fillId="28" borderId="409" applyNumberFormat="0" applyFont="0" applyAlignment="0" applyProtection="0">
      <alignment vertical="center"/>
    </xf>
    <xf numFmtId="322" fontId="9" fillId="0" borderId="414">
      <alignment horizontal="centerContinuous" vertical="center"/>
    </xf>
    <xf numFmtId="0" fontId="92" fillId="0" borderId="412"/>
    <xf numFmtId="191" fontId="6" fillId="0" borderId="412">
      <alignment vertical="center"/>
    </xf>
    <xf numFmtId="3" fontId="57" fillId="0" borderId="412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00" applyNumberFormat="0" applyFill="0" applyProtection="0">
      <alignment vertical="center"/>
    </xf>
    <xf numFmtId="0" fontId="94" fillId="0" borderId="414">
      <alignment horizontal="centerContinuous" vertical="center"/>
    </xf>
    <xf numFmtId="0" fontId="57" fillId="28" borderId="409" applyNumberFormat="0" applyFont="0" applyAlignment="0" applyProtection="0">
      <alignment vertical="center"/>
    </xf>
    <xf numFmtId="240" fontId="6" fillId="0" borderId="412">
      <alignment horizontal="right" vertical="center"/>
    </xf>
    <xf numFmtId="0" fontId="50" fillId="3" borderId="401">
      <alignment vertical="center"/>
    </xf>
    <xf numFmtId="200" fontId="77" fillId="0" borderId="400">
      <alignment vertical="center"/>
    </xf>
    <xf numFmtId="185" fontId="9" fillId="0" borderId="400">
      <alignment horizontal="center" vertical="center"/>
    </xf>
    <xf numFmtId="3" fontId="6" fillId="0" borderId="400"/>
    <xf numFmtId="0" fontId="92" fillId="0" borderId="400"/>
    <xf numFmtId="237" fontId="6" fillId="0" borderId="412">
      <alignment vertical="center"/>
    </xf>
    <xf numFmtId="0" fontId="56" fillId="0" borderId="400"/>
    <xf numFmtId="3" fontId="56" fillId="0" borderId="400"/>
    <xf numFmtId="0" fontId="11" fillId="0" borderId="400" applyNumberFormat="0" applyFont="0" applyFill="0" applyAlignment="0" applyProtection="0">
      <alignment horizontal="center" vertical="center"/>
    </xf>
    <xf numFmtId="0" fontId="50" fillId="3" borderId="401">
      <alignment vertical="center"/>
    </xf>
    <xf numFmtId="10" fontId="39" fillId="4" borderId="400" applyNumberFormat="0" applyBorder="0" applyAlignment="0" applyProtection="0"/>
    <xf numFmtId="0" fontId="41" fillId="0" borderId="401">
      <alignment horizontal="left" vertical="center"/>
    </xf>
    <xf numFmtId="0" fontId="82" fillId="0" borderId="400"/>
    <xf numFmtId="3" fontId="57" fillId="0" borderId="400"/>
    <xf numFmtId="3" fontId="57" fillId="0" borderId="400"/>
    <xf numFmtId="206" fontId="6" fillId="0" borderId="400">
      <alignment vertical="center"/>
    </xf>
    <xf numFmtId="176" fontId="6" fillId="0" borderId="400">
      <alignment vertical="center"/>
    </xf>
    <xf numFmtId="249" fontId="6" fillId="0" borderId="400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" fontId="57" fillId="0" borderId="400"/>
    <xf numFmtId="221" fontId="117" fillId="0" borderId="40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49" fontId="6" fillId="0" borderId="400">
      <alignment vertical="center"/>
    </xf>
    <xf numFmtId="176" fontId="6" fillId="0" borderId="400">
      <alignment vertical="center"/>
    </xf>
    <xf numFmtId="0" fontId="50" fillId="3" borderId="413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3" fontId="57" fillId="0" borderId="400"/>
    <xf numFmtId="322" fontId="9" fillId="0" borderId="414">
      <alignment horizontal="centerContinuous" vertical="center"/>
    </xf>
    <xf numFmtId="237" fontId="6" fillId="0" borderId="412">
      <alignment vertical="center"/>
    </xf>
    <xf numFmtId="238" fontId="6" fillId="0" borderId="412">
      <alignment vertical="center"/>
    </xf>
    <xf numFmtId="0" fontId="6" fillId="0" borderId="414">
      <alignment horizontal="centerContinuous" vertical="center"/>
    </xf>
    <xf numFmtId="10" fontId="39" fillId="2" borderId="412" applyNumberFormat="0" applyBorder="0" applyAlignment="0" applyProtection="0"/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82" fillId="0" borderId="412"/>
    <xf numFmtId="3" fontId="57" fillId="0" borderId="412"/>
    <xf numFmtId="322" fontId="9" fillId="0" borderId="414">
      <alignment horizontal="centerContinuous" vertical="center"/>
    </xf>
    <xf numFmtId="243" fontId="117" fillId="0" borderId="400">
      <alignment vertical="center"/>
    </xf>
    <xf numFmtId="244" fontId="117" fillId="0" borderId="400">
      <alignment vertical="center"/>
    </xf>
    <xf numFmtId="41" fontId="56" fillId="0" borderId="400" applyNumberFormat="0" applyFont="0" applyFill="0" applyBorder="0" applyProtection="0">
      <alignment horizontal="distributed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0" fontId="56" fillId="0" borderId="400"/>
    <xf numFmtId="0" fontId="56" fillId="0" borderId="400"/>
    <xf numFmtId="0" fontId="56" fillId="0" borderId="400"/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191" fontId="6" fillId="0" borderId="400">
      <alignment vertical="center"/>
    </xf>
    <xf numFmtId="256" fontId="117" fillId="0" borderId="400" applyBorder="0">
      <alignment vertical="center"/>
    </xf>
    <xf numFmtId="236" fontId="6" fillId="0" borderId="40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338" fontId="19" fillId="0" borderId="400"/>
    <xf numFmtId="338" fontId="19" fillId="0" borderId="400"/>
    <xf numFmtId="338" fontId="19" fillId="0" borderId="400"/>
    <xf numFmtId="0" fontId="160" fillId="12" borderId="408" applyNumberFormat="0" applyAlignment="0" applyProtection="0">
      <alignment vertical="center"/>
    </xf>
    <xf numFmtId="203" fontId="176" fillId="0" borderId="404" applyFill="0" applyProtection="0">
      <alignment horizontal="center"/>
    </xf>
    <xf numFmtId="0" fontId="153" fillId="22" borderId="408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185" fontId="8" fillId="0" borderId="400">
      <alignment vertical="center"/>
    </xf>
    <xf numFmtId="10" fontId="39" fillId="4" borderId="400" applyNumberFormat="0" applyBorder="0" applyAlignment="0" applyProtection="0"/>
    <xf numFmtId="0" fontId="6" fillId="0" borderId="414">
      <alignment horizontal="centerContinuous" vertical="center"/>
    </xf>
    <xf numFmtId="3" fontId="57" fillId="0" borderId="412"/>
    <xf numFmtId="41" fontId="56" fillId="0" borderId="412" applyNumberFormat="0" applyFont="0" applyFill="0" applyBorder="0" applyProtection="0">
      <alignment horizontal="distributed"/>
    </xf>
    <xf numFmtId="0" fontId="50" fillId="3" borderId="401">
      <alignment vertical="center"/>
    </xf>
    <xf numFmtId="322" fontId="9" fillId="0" borderId="414">
      <alignment horizontal="centerContinuous" vertical="center"/>
    </xf>
    <xf numFmtId="49" fontId="117" fillId="0" borderId="400">
      <alignment horizontal="center" vertical="center"/>
    </xf>
    <xf numFmtId="247" fontId="117" fillId="0" borderId="400">
      <alignment vertical="center"/>
    </xf>
    <xf numFmtId="248" fontId="117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3" fontId="56" fillId="0" borderId="412"/>
    <xf numFmtId="242" fontId="6" fillId="0" borderId="412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3" fontId="57" fillId="0" borderId="412"/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0" fontId="134" fillId="0" borderId="412">
      <alignment vertical="center"/>
    </xf>
    <xf numFmtId="230" fontId="6" fillId="0" borderId="412">
      <alignment vertical="center"/>
    </xf>
    <xf numFmtId="231" fontId="117" fillId="0" borderId="412">
      <alignment vertical="center"/>
    </xf>
    <xf numFmtId="191" fontId="6" fillId="0" borderId="412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41" fontId="9" fillId="0" borderId="400">
      <alignment horizontal="center" vertical="center"/>
    </xf>
    <xf numFmtId="0" fontId="94" fillId="0" borderId="414">
      <alignment horizontal="centerContinuous" vertical="center"/>
    </xf>
    <xf numFmtId="41" fontId="135" fillId="0" borderId="400" applyNumberFormat="0">
      <alignment vertical="center"/>
    </xf>
    <xf numFmtId="0" fontId="56" fillId="0" borderId="412"/>
    <xf numFmtId="0" fontId="56" fillId="0" borderId="412"/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horizontal="right" vertical="center" shrinkToFit="1"/>
    </xf>
    <xf numFmtId="239" fontId="117" fillId="0" borderId="412">
      <alignment horizontal="right" vertical="center"/>
    </xf>
    <xf numFmtId="234" fontId="117" fillId="0" borderId="412">
      <alignment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236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2" fontId="6" fillId="0" borderId="400">
      <alignment horizontal="right" vertical="center"/>
    </xf>
    <xf numFmtId="230" fontId="6" fillId="0" borderId="412">
      <alignment vertical="center"/>
    </xf>
    <xf numFmtId="191" fontId="6" fillId="0" borderId="412">
      <alignment vertical="center"/>
    </xf>
    <xf numFmtId="338" fontId="19" fillId="0" borderId="412"/>
    <xf numFmtId="0" fontId="94" fillId="0" borderId="414">
      <alignment horizontal="centerContinuous" vertical="center"/>
    </xf>
    <xf numFmtId="238" fontId="6" fillId="0" borderId="412">
      <alignment vertical="center"/>
    </xf>
    <xf numFmtId="238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1" fontId="6" fillId="0" borderId="412">
      <alignment horizontal="right" vertical="center"/>
    </xf>
    <xf numFmtId="230" fontId="6" fillId="0" borderId="412">
      <alignment vertical="center"/>
    </xf>
    <xf numFmtId="0" fontId="9" fillId="0" borderId="412">
      <alignment horizontal="distributed" vertical="center"/>
    </xf>
    <xf numFmtId="0" fontId="153" fillId="22" borderId="408" applyNumberFormat="0" applyAlignment="0" applyProtection="0">
      <alignment vertical="center"/>
    </xf>
    <xf numFmtId="0" fontId="6" fillId="0" borderId="414">
      <alignment horizontal="centerContinuous" vertical="center"/>
    </xf>
    <xf numFmtId="241" fontId="6" fillId="0" borderId="412">
      <alignment horizontal="right" vertical="center"/>
    </xf>
    <xf numFmtId="206" fontId="6" fillId="0" borderId="412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0" fontId="94" fillId="0" borderId="414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0" fontId="6" fillId="0" borderId="412" applyNumberFormat="0" applyFill="0" applyProtection="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176" fontId="6" fillId="0" borderId="412">
      <alignment vertical="center"/>
    </xf>
    <xf numFmtId="200" fontId="6" fillId="0" borderId="412">
      <alignment vertical="center"/>
    </xf>
    <xf numFmtId="37" fontId="117" fillId="0" borderId="400">
      <alignment horizontal="center" vertical="distributed"/>
    </xf>
    <xf numFmtId="236" fontId="6" fillId="0" borderId="412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8" fontId="117" fillId="0" borderId="400">
      <alignment vertical="center"/>
    </xf>
    <xf numFmtId="176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30" fontId="6" fillId="0" borderId="400">
      <alignment vertical="center"/>
    </xf>
    <xf numFmtId="3" fontId="57" fillId="0" borderId="400"/>
    <xf numFmtId="249" fontId="6" fillId="0" borderId="412">
      <alignment vertical="center"/>
    </xf>
    <xf numFmtId="242" fontId="6" fillId="0" borderId="412">
      <alignment horizontal="right" vertical="center"/>
    </xf>
    <xf numFmtId="0" fontId="92" fillId="0" borderId="412"/>
    <xf numFmtId="191" fontId="6" fillId="0" borderId="412">
      <alignment vertical="center"/>
    </xf>
    <xf numFmtId="0" fontId="6" fillId="0" borderId="412">
      <alignment horizontal="right" vertical="center" shrinkToFit="1"/>
    </xf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242" fontId="6" fillId="0" borderId="412">
      <alignment horizontal="righ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94" fillId="0" borderId="414">
      <alignment horizontal="centerContinuous" vertical="center"/>
    </xf>
    <xf numFmtId="3" fontId="57" fillId="0" borderId="412"/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236" fontId="6" fillId="0" borderId="400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200" fontId="6" fillId="0" borderId="400">
      <alignment vertical="center"/>
    </xf>
    <xf numFmtId="200" fontId="6" fillId="0" borderId="400">
      <alignment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159" fillId="0" borderId="410" applyNumberFormat="0" applyFill="0" applyAlignment="0" applyProtection="0">
      <alignment vertical="center"/>
    </xf>
    <xf numFmtId="191" fontId="6" fillId="0" borderId="412">
      <alignment vertical="center"/>
    </xf>
    <xf numFmtId="230" fontId="6" fillId="0" borderId="412">
      <alignment vertical="center"/>
    </xf>
    <xf numFmtId="238" fontId="6" fillId="0" borderId="412">
      <alignment vertical="center"/>
    </xf>
    <xf numFmtId="0" fontId="9" fillId="0" borderId="415">
      <alignment horizontal="distributed"/>
    </xf>
    <xf numFmtId="338" fontId="19" fillId="0" borderId="400"/>
    <xf numFmtId="176" fontId="6" fillId="0" borderId="412">
      <alignment vertical="center"/>
    </xf>
    <xf numFmtId="249" fontId="6" fillId="0" borderId="412">
      <alignment vertical="center"/>
    </xf>
    <xf numFmtId="10" fontId="39" fillId="2" borderId="412" applyNumberFormat="0" applyBorder="0" applyAlignment="0" applyProtection="0"/>
    <xf numFmtId="191" fontId="6" fillId="0" borderId="40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57" fillId="28" borderId="421" applyNumberFormat="0" applyFont="0" applyAlignment="0" applyProtection="0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0" fontId="6" fillId="0" borderId="414">
      <alignment horizontal="centerContinuous" vertical="center"/>
    </xf>
    <xf numFmtId="176" fontId="6" fillId="0" borderId="400">
      <alignment vertical="center"/>
    </xf>
    <xf numFmtId="242" fontId="6" fillId="0" borderId="400">
      <alignment horizontal="right" vertical="center"/>
    </xf>
    <xf numFmtId="176" fontId="6" fillId="0" borderId="412">
      <alignment vertical="center"/>
    </xf>
    <xf numFmtId="256" fontId="117" fillId="0" borderId="400" applyBorder="0">
      <alignment vertical="center"/>
    </xf>
    <xf numFmtId="191" fontId="6" fillId="0" borderId="412">
      <alignment vertical="center"/>
    </xf>
    <xf numFmtId="230" fontId="6" fillId="0" borderId="412">
      <alignment vertical="center"/>
    </xf>
    <xf numFmtId="191" fontId="6" fillId="0" borderId="412">
      <alignment vertical="center"/>
    </xf>
    <xf numFmtId="191" fontId="6" fillId="0" borderId="400">
      <alignment vertical="center"/>
    </xf>
    <xf numFmtId="221" fontId="117" fillId="0" borderId="412">
      <alignment vertical="center"/>
    </xf>
    <xf numFmtId="0" fontId="56" fillId="0" borderId="412"/>
    <xf numFmtId="0" fontId="41" fillId="0" borderId="413">
      <alignment horizontal="left" vertical="center"/>
    </xf>
    <xf numFmtId="3" fontId="57" fillId="0" borderId="400"/>
    <xf numFmtId="3" fontId="57" fillId="0" borderId="400"/>
    <xf numFmtId="218" fontId="9" fillId="0" borderId="414">
      <alignment horizontal="centerContinuous" vertical="center"/>
    </xf>
    <xf numFmtId="191" fontId="6" fillId="0" borderId="412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94" fillId="0" borderId="402">
      <alignment horizontal="centerContinuous" vertical="center"/>
    </xf>
    <xf numFmtId="176" fontId="6" fillId="0" borderId="412">
      <alignment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00" fontId="6" fillId="0" borderId="412">
      <alignment vertical="center"/>
    </xf>
    <xf numFmtId="0" fontId="92" fillId="0" borderId="412"/>
    <xf numFmtId="10" fontId="39" fillId="4" borderId="400" applyNumberFormat="0" applyBorder="0" applyAlignment="0" applyProtection="0"/>
    <xf numFmtId="0" fontId="94" fillId="0" borderId="414">
      <alignment horizontal="centerContinuous" vertical="center"/>
    </xf>
    <xf numFmtId="191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0" fontId="6" fillId="0" borderId="414">
      <alignment horizontal="centerContinuous" vertical="center"/>
    </xf>
    <xf numFmtId="338" fontId="19" fillId="0" borderId="412"/>
    <xf numFmtId="0" fontId="153" fillId="22" borderId="408" applyNumberFormat="0" applyAlignment="0" applyProtection="0">
      <alignment vertical="center"/>
    </xf>
    <xf numFmtId="176" fontId="6" fillId="0" borderId="400">
      <alignment vertical="center"/>
    </xf>
    <xf numFmtId="0" fontId="117" fillId="0" borderId="414">
      <alignment horizontal="centerContinuous" vertical="center"/>
    </xf>
    <xf numFmtId="230" fontId="6" fillId="0" borderId="412">
      <alignment vertical="center"/>
    </xf>
    <xf numFmtId="230" fontId="6" fillId="0" borderId="412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0" fontId="134" fillId="0" borderId="400">
      <alignment vertical="center"/>
    </xf>
    <xf numFmtId="200" fontId="6" fillId="0" borderId="412">
      <alignment vertical="center"/>
    </xf>
    <xf numFmtId="338" fontId="19" fillId="0" borderId="412"/>
    <xf numFmtId="0" fontId="41" fillId="0" borderId="413">
      <alignment horizontal="left" vertical="center"/>
    </xf>
    <xf numFmtId="0" fontId="9" fillId="0" borderId="415">
      <alignment horizontal="distributed"/>
    </xf>
    <xf numFmtId="240" fontId="6" fillId="0" borderId="412">
      <alignment horizontal="right" vertical="center"/>
    </xf>
    <xf numFmtId="0" fontId="6" fillId="0" borderId="400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" fontId="57" fillId="0" borderId="400"/>
    <xf numFmtId="0" fontId="94" fillId="0" borderId="402">
      <alignment horizontal="centerContinuous" vertical="center"/>
    </xf>
    <xf numFmtId="0" fontId="9" fillId="0" borderId="415">
      <alignment horizontal="distributed"/>
    </xf>
    <xf numFmtId="0" fontId="41" fillId="0" borderId="413">
      <alignment horizontal="left" vertical="center"/>
    </xf>
    <xf numFmtId="221" fontId="117" fillId="0" borderId="412">
      <alignment vertical="center"/>
    </xf>
    <xf numFmtId="3" fontId="57" fillId="0" borderId="412"/>
    <xf numFmtId="3" fontId="57" fillId="0" borderId="412"/>
    <xf numFmtId="234" fontId="117" fillId="0" borderId="412">
      <alignment vertical="center"/>
    </xf>
    <xf numFmtId="0" fontId="41" fillId="0" borderId="401">
      <alignment horizontal="left" vertical="center"/>
    </xf>
    <xf numFmtId="218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0" fontId="50" fillId="3" borderId="413">
      <alignment vertical="center"/>
    </xf>
    <xf numFmtId="338" fontId="19" fillId="0" borderId="412"/>
    <xf numFmtId="0" fontId="94" fillId="0" borderId="414">
      <alignment horizontal="centerContinuous" vertical="center"/>
    </xf>
    <xf numFmtId="10" fontId="39" fillId="2" borderId="412" applyNumberFormat="0" applyBorder="0" applyAlignment="0" applyProtection="0"/>
    <xf numFmtId="176" fontId="6" fillId="0" borderId="412">
      <alignment vertical="center"/>
    </xf>
    <xf numFmtId="338" fontId="19" fillId="0" borderId="412"/>
    <xf numFmtId="0" fontId="9" fillId="0" borderId="414">
      <alignment horizontal="centerContinuous" vertical="center"/>
    </xf>
    <xf numFmtId="0" fontId="50" fillId="3" borderId="413">
      <alignment vertical="center"/>
    </xf>
    <xf numFmtId="3" fontId="56" fillId="0" borderId="412"/>
    <xf numFmtId="0" fontId="6" fillId="0" borderId="414">
      <alignment horizontal="centerContinuous" vertical="center"/>
    </xf>
    <xf numFmtId="3" fontId="57" fillId="0" borderId="412"/>
    <xf numFmtId="200" fontId="6" fillId="0" borderId="412">
      <alignment vertical="center"/>
    </xf>
    <xf numFmtId="230" fontId="6" fillId="0" borderId="412">
      <alignment vertical="center"/>
    </xf>
    <xf numFmtId="185" fontId="8" fillId="0" borderId="412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0" fontId="50" fillId="3" borderId="413">
      <alignment vertical="center"/>
    </xf>
    <xf numFmtId="49" fontId="117" fillId="0" borderId="412">
      <alignment horizontal="center" vertical="center"/>
    </xf>
    <xf numFmtId="247" fontId="117" fillId="0" borderId="412">
      <alignment vertical="center"/>
    </xf>
    <xf numFmtId="248" fontId="117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218" fontId="6" fillId="0" borderId="412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3" fontId="57" fillId="0" borderId="412"/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" fontId="57" fillId="0" borderId="412"/>
    <xf numFmtId="185" fontId="8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34" fontId="117" fillId="0" borderId="412">
      <alignment vertical="center"/>
    </xf>
    <xf numFmtId="0" fontId="56" fillId="0" borderId="412"/>
    <xf numFmtId="185" fontId="8" fillId="0" borderId="412">
      <alignment vertical="center"/>
    </xf>
    <xf numFmtId="185" fontId="8" fillId="0" borderId="412">
      <alignment vertical="center"/>
    </xf>
    <xf numFmtId="230" fontId="6" fillId="0" borderId="412">
      <alignment vertical="center"/>
    </xf>
    <xf numFmtId="10" fontId="39" fillId="4" borderId="412" applyNumberFormat="0" applyBorder="0" applyAlignment="0" applyProtection="0"/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0" fontId="57" fillId="28" borderId="421" applyNumberFormat="0" applyFont="0" applyAlignment="0" applyProtection="0">
      <alignment vertical="center"/>
    </xf>
    <xf numFmtId="240" fontId="6" fillId="0" borderId="412">
      <alignment horizontal="right" vertical="center"/>
    </xf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184" fillId="0" borderId="412" applyFill="0" applyBorder="0" applyProtection="0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236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34" fontId="117" fillId="0" borderId="412">
      <alignment vertical="center"/>
    </xf>
    <xf numFmtId="234" fontId="117" fillId="0" borderId="412">
      <alignment vertical="center"/>
    </xf>
    <xf numFmtId="230" fontId="6" fillId="0" borderId="412">
      <alignment vertical="center"/>
    </xf>
    <xf numFmtId="230" fontId="6" fillId="0" borderId="412">
      <alignment vertical="center"/>
    </xf>
    <xf numFmtId="230" fontId="6" fillId="0" borderId="412">
      <alignment vertical="center"/>
    </xf>
    <xf numFmtId="23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30" fontId="6" fillId="0" borderId="412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0" fontId="184" fillId="0" borderId="412" applyFill="0" applyBorder="0" applyProtection="0">
      <alignment vertical="center"/>
    </xf>
    <xf numFmtId="236" fontId="6" fillId="0" borderId="412">
      <alignment vertical="center"/>
    </xf>
    <xf numFmtId="238" fontId="6" fillId="0" borderId="412">
      <alignment vertical="center"/>
    </xf>
    <xf numFmtId="309" fontId="9" fillId="0" borderId="412" applyFill="0" applyBorder="0" applyAlignment="0"/>
    <xf numFmtId="237" fontId="6" fillId="0" borderId="412">
      <alignment vertical="center"/>
    </xf>
    <xf numFmtId="236" fontId="6" fillId="0" borderId="412">
      <alignment vertical="center"/>
    </xf>
    <xf numFmtId="0" fontId="92" fillId="0" borderId="412"/>
    <xf numFmtId="0" fontId="92" fillId="0" borderId="412"/>
    <xf numFmtId="0" fontId="56" fillId="0" borderId="412"/>
    <xf numFmtId="206" fontId="6" fillId="0" borderId="400">
      <alignment vertical="center"/>
    </xf>
    <xf numFmtId="176" fontId="6" fillId="0" borderId="400">
      <alignment vertical="center"/>
    </xf>
    <xf numFmtId="248" fontId="117" fillId="0" borderId="400">
      <alignment vertical="center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2">
      <alignment horizontal="distributed" vertical="center"/>
    </xf>
    <xf numFmtId="244" fontId="117" fillId="0" borderId="412">
      <alignment vertical="center"/>
    </xf>
    <xf numFmtId="244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39" fontId="117" fillId="0" borderId="412">
      <alignment horizontal="right" vertical="center"/>
    </xf>
    <xf numFmtId="239" fontId="117" fillId="0" borderId="412">
      <alignment horizontal="right" vertical="center"/>
    </xf>
    <xf numFmtId="234" fontId="117" fillId="0" borderId="412">
      <alignment vertical="center"/>
    </xf>
    <xf numFmtId="10" fontId="39" fillId="4" borderId="412" applyNumberFormat="0" applyBorder="0" applyAlignment="0" applyProtection="0"/>
    <xf numFmtId="10" fontId="39" fillId="2" borderId="412" applyNumberFormat="0" applyBorder="0" applyAlignment="0" applyProtection="0"/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0" fontId="41" fillId="0" borderId="413">
      <alignment horizontal="lef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3" fontId="57" fillId="0" borderId="412"/>
    <xf numFmtId="185" fontId="8" fillId="0" borderId="412">
      <alignment vertical="center"/>
    </xf>
    <xf numFmtId="185" fontId="8" fillId="0" borderId="412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0" fontId="160" fillId="12" borderId="408" applyNumberFormat="0" applyAlignment="0" applyProtection="0">
      <alignment vertical="center"/>
    </xf>
    <xf numFmtId="3" fontId="57" fillId="0" borderId="400"/>
    <xf numFmtId="176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10" fontId="39" fillId="4" borderId="400" applyNumberFormat="0" applyBorder="0" applyAlignment="0" applyProtection="0"/>
    <xf numFmtId="0" fontId="11" fillId="0" borderId="400" applyNumberFormat="0" applyFont="0" applyFill="0" applyAlignment="0" applyProtection="0">
      <alignment horizontal="center" vertical="center"/>
    </xf>
    <xf numFmtId="3" fontId="56" fillId="0" borderId="400"/>
    <xf numFmtId="0" fontId="92" fillId="0" borderId="400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2" fillId="0" borderId="412"/>
    <xf numFmtId="0" fontId="9" fillId="0" borderId="414">
      <alignment horizontal="centerContinuous" vertical="center"/>
    </xf>
    <xf numFmtId="0" fontId="6" fillId="0" borderId="400">
      <alignment vertical="center"/>
    </xf>
    <xf numFmtId="0" fontId="6" fillId="0" borderId="400">
      <alignment vertical="center"/>
    </xf>
    <xf numFmtId="240" fontId="6" fillId="0" borderId="412">
      <alignment horizontal="right" vertical="center"/>
    </xf>
    <xf numFmtId="241" fontId="6" fillId="0" borderId="412">
      <alignment horizontal="right" vertical="center"/>
    </xf>
    <xf numFmtId="185" fontId="9" fillId="0" borderId="412">
      <alignment horizontal="center" vertical="center"/>
    </xf>
    <xf numFmtId="0" fontId="117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06" fontId="6" fillId="0" borderId="412">
      <alignment vertical="center"/>
    </xf>
    <xf numFmtId="249" fontId="6" fillId="0" borderId="412">
      <alignment vertical="center"/>
    </xf>
    <xf numFmtId="322" fontId="9" fillId="0" borderId="414">
      <alignment horizontal="centerContinuous" vertical="center"/>
    </xf>
    <xf numFmtId="200" fontId="6" fillId="0" borderId="400">
      <alignment vertical="center"/>
    </xf>
    <xf numFmtId="236" fontId="6" fillId="0" borderId="412">
      <alignment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218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239" fontId="117" fillId="0" borderId="412">
      <alignment horizontal="right" vertical="center"/>
    </xf>
    <xf numFmtId="0" fontId="41" fillId="0" borderId="401">
      <alignment horizontal="left" vertical="center"/>
    </xf>
    <xf numFmtId="241" fontId="6" fillId="0" borderId="412">
      <alignment horizontal="right" vertical="center"/>
    </xf>
    <xf numFmtId="238" fontId="6" fillId="0" borderId="412">
      <alignment vertical="center"/>
    </xf>
    <xf numFmtId="237" fontId="6" fillId="0" borderId="412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309" fontId="9" fillId="0" borderId="412" applyFill="0" applyBorder="0" applyAlignment="0"/>
    <xf numFmtId="236" fontId="6" fillId="0" borderId="412">
      <alignment vertical="center"/>
    </xf>
    <xf numFmtId="237" fontId="6" fillId="0" borderId="412">
      <alignment vertical="center"/>
    </xf>
    <xf numFmtId="0" fontId="160" fillId="12" borderId="420" applyNumberFormat="0" applyAlignment="0" applyProtection="0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240" fontId="6" fillId="0" borderId="412">
      <alignment horizontal="right"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338" fontId="19" fillId="0" borderId="400"/>
    <xf numFmtId="338" fontId="19" fillId="0" borderId="400"/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256" fontId="117" fillId="0" borderId="400" applyBorder="0">
      <alignment vertical="center"/>
    </xf>
    <xf numFmtId="200" fontId="6" fillId="0" borderId="412">
      <alignment vertical="center"/>
    </xf>
    <xf numFmtId="241" fontId="6" fillId="0" borderId="400">
      <alignment horizontal="right" vertical="center"/>
    </xf>
    <xf numFmtId="176" fontId="6" fillId="0" borderId="412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0" fontId="9" fillId="0" borderId="412">
      <alignment horizontal="distributed" vertical="center"/>
    </xf>
    <xf numFmtId="0" fontId="9" fillId="0" borderId="415">
      <alignment horizontal="distributed"/>
    </xf>
    <xf numFmtId="0" fontId="9" fillId="0" borderId="415">
      <alignment horizontal="distributed"/>
    </xf>
    <xf numFmtId="185" fontId="9" fillId="0" borderId="412">
      <alignment horizontal="center" vertical="center"/>
    </xf>
    <xf numFmtId="191" fontId="6" fillId="0" borderId="412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41" fontId="6" fillId="0" borderId="412">
      <alignment horizontal="right" vertical="center"/>
    </xf>
    <xf numFmtId="0" fontId="165" fillId="22" borderId="407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10" fontId="39" fillId="2" borderId="412" applyNumberFormat="0" applyBorder="0" applyAlignment="0" applyProtection="0"/>
    <xf numFmtId="256" fontId="117" fillId="0" borderId="412" applyBorder="0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3" fontId="57" fillId="0" borderId="412"/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18" fontId="9" fillId="0" borderId="414">
      <alignment horizontal="centerContinuous" vertical="center"/>
    </xf>
    <xf numFmtId="0" fontId="94" fillId="0" borderId="402">
      <alignment horizontal="centerContinuous" vertical="center"/>
    </xf>
    <xf numFmtId="3" fontId="57" fillId="0" borderId="400"/>
    <xf numFmtId="10" fontId="39" fillId="4" borderId="400" applyNumberFormat="0" applyBorder="0" applyAlignment="0" applyProtection="0"/>
    <xf numFmtId="0" fontId="11" fillId="0" borderId="400" applyNumberFormat="0" applyFont="0" applyFill="0" applyAlignment="0" applyProtection="0">
      <alignment horizontal="center" vertical="center"/>
    </xf>
    <xf numFmtId="3" fontId="56" fillId="0" borderId="400"/>
    <xf numFmtId="0" fontId="56" fillId="0" borderId="400"/>
    <xf numFmtId="0" fontId="92" fillId="0" borderId="412"/>
    <xf numFmtId="41" fontId="56" fillId="0" borderId="412" applyNumberFormat="0" applyFont="0" applyFill="0" applyBorder="0" applyProtection="0">
      <alignment horizontal="distributed"/>
    </xf>
    <xf numFmtId="185" fontId="9" fillId="0" borderId="400">
      <alignment horizontal="center" vertical="center"/>
    </xf>
    <xf numFmtId="0" fontId="6" fillId="0" borderId="400" applyNumberFormat="0" applyFill="0" applyProtection="0">
      <alignment vertical="center"/>
    </xf>
    <xf numFmtId="241" fontId="6" fillId="0" borderId="412">
      <alignment horizontal="right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02">
      <alignment horizontal="centerContinuous" vertical="center"/>
    </xf>
    <xf numFmtId="236" fontId="6" fillId="0" borderId="412">
      <alignment vertical="center"/>
    </xf>
    <xf numFmtId="191" fontId="6" fillId="0" borderId="412">
      <alignment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3" fontId="57" fillId="0" borderId="400"/>
    <xf numFmtId="3" fontId="57" fillId="0" borderId="400"/>
    <xf numFmtId="0" fontId="6" fillId="0" borderId="414">
      <alignment horizontal="centerContinuous" vertical="center"/>
    </xf>
    <xf numFmtId="200" fontId="6" fillId="0" borderId="412">
      <alignment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40" fontId="6" fillId="0" borderId="412">
      <alignment horizontal="right" vertical="center"/>
    </xf>
    <xf numFmtId="0" fontId="159" fillId="0" borderId="422" applyNumberFormat="0" applyFill="0" applyAlignment="0" applyProtection="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191" fontId="6" fillId="0" borderId="412">
      <alignment vertical="center"/>
    </xf>
    <xf numFmtId="176" fontId="6" fillId="0" borderId="412">
      <alignment vertical="center"/>
    </xf>
    <xf numFmtId="0" fontId="9" fillId="0" borderId="415">
      <alignment horizontal="distributed"/>
    </xf>
    <xf numFmtId="191" fontId="6" fillId="0" borderId="412">
      <alignment vertical="center"/>
    </xf>
    <xf numFmtId="244" fontId="117" fillId="0" borderId="400">
      <alignment vertical="center"/>
    </xf>
    <xf numFmtId="0" fontId="6" fillId="0" borderId="400">
      <alignment horizontal="right" vertical="center" shrinkToFit="1"/>
    </xf>
    <xf numFmtId="3" fontId="56" fillId="0" borderId="400"/>
    <xf numFmtId="0" fontId="159" fillId="0" borderId="422" applyNumberFormat="0" applyFill="0" applyAlignment="0" applyProtection="0">
      <alignment vertical="center"/>
    </xf>
    <xf numFmtId="0" fontId="9" fillId="0" borderId="412">
      <alignment horizontal="distributed" vertical="center"/>
    </xf>
    <xf numFmtId="0" fontId="56" fillId="0" borderId="412"/>
    <xf numFmtId="10" fontId="39" fillId="4" borderId="412" applyNumberFormat="0" applyBorder="0" applyAlignment="0" applyProtection="0"/>
    <xf numFmtId="230" fontId="6" fillId="0" borderId="400">
      <alignment vertical="center"/>
    </xf>
    <xf numFmtId="236" fontId="6" fillId="0" borderId="412">
      <alignment vertical="center"/>
    </xf>
    <xf numFmtId="0" fontId="159" fillId="0" borderId="422" applyNumberFormat="0" applyFill="0" applyAlignment="0" applyProtection="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00" fontId="6" fillId="0" borderId="400">
      <alignment vertical="center"/>
    </xf>
    <xf numFmtId="0" fontId="9" fillId="0" borderId="400">
      <alignment horizontal="distributed" vertical="center"/>
    </xf>
    <xf numFmtId="0" fontId="56" fillId="0" borderId="400"/>
    <xf numFmtId="0" fontId="56" fillId="0" borderId="400"/>
    <xf numFmtId="218" fontId="6" fillId="0" borderId="400">
      <alignment vertical="center"/>
    </xf>
    <xf numFmtId="176" fontId="6" fillId="0" borderId="400">
      <alignment vertical="center"/>
    </xf>
    <xf numFmtId="246" fontId="117" fillId="0" borderId="400">
      <alignment vertical="center"/>
    </xf>
    <xf numFmtId="242" fontId="6" fillId="0" borderId="400">
      <alignment horizontal="right" vertical="center"/>
    </xf>
    <xf numFmtId="322" fontId="9" fillId="0" borderId="414">
      <alignment horizontal="centerContinuous" vertical="center"/>
    </xf>
    <xf numFmtId="200" fontId="6" fillId="0" borderId="400">
      <alignment vertical="center"/>
    </xf>
    <xf numFmtId="191" fontId="6" fillId="0" borderId="400">
      <alignment vertical="center"/>
    </xf>
    <xf numFmtId="241" fontId="6" fillId="0" borderId="412">
      <alignment horizontal="right" vertical="center"/>
    </xf>
    <xf numFmtId="0" fontId="9" fillId="0" borderId="414">
      <alignment horizontal="centerContinuous" vertical="center"/>
    </xf>
    <xf numFmtId="0" fontId="117" fillId="0" borderId="414">
      <alignment horizontal="centerContinuous" vertical="center"/>
    </xf>
    <xf numFmtId="221" fontId="117" fillId="0" borderId="412">
      <alignment vertical="center"/>
    </xf>
    <xf numFmtId="240" fontId="6" fillId="0" borderId="412">
      <alignment horizontal="right" vertical="center"/>
    </xf>
    <xf numFmtId="185" fontId="8" fillId="0" borderId="412">
      <alignment vertical="center"/>
    </xf>
    <xf numFmtId="3" fontId="57" fillId="0" borderId="412"/>
    <xf numFmtId="0" fontId="41" fillId="0" borderId="413">
      <alignment horizontal="left" vertical="center"/>
    </xf>
    <xf numFmtId="0" fontId="9" fillId="0" borderId="415">
      <alignment horizontal="distributed"/>
    </xf>
    <xf numFmtId="338" fontId="19" fillId="0" borderId="412"/>
    <xf numFmtId="218" fontId="9" fillId="0" borderId="414">
      <alignment horizontal="centerContinuous" vertical="center"/>
    </xf>
    <xf numFmtId="0" fontId="54" fillId="28" borderId="421" applyNumberFormat="0" applyFont="0" applyAlignment="0" applyProtection="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0" fontId="6" fillId="0" borderId="412">
      <alignment vertical="center"/>
    </xf>
    <xf numFmtId="0" fontId="159" fillId="0" borderId="410" applyNumberFormat="0" applyFill="0" applyAlignment="0" applyProtection="0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02">
      <alignment horizontal="centerContinuous" vertical="center"/>
    </xf>
    <xf numFmtId="0" fontId="54" fillId="28" borderId="409" applyNumberFormat="0" applyFont="0" applyAlignment="0" applyProtection="0">
      <alignment vertical="center"/>
    </xf>
    <xf numFmtId="0" fontId="6" fillId="0" borderId="414">
      <alignment horizontal="centerContinuous" vertical="center"/>
    </xf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3" fontId="56" fillId="0" borderId="400"/>
    <xf numFmtId="246" fontId="117" fillId="0" borderId="400">
      <alignment vertical="center"/>
    </xf>
    <xf numFmtId="230" fontId="6" fillId="0" borderId="412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91" fontId="6" fillId="0" borderId="400">
      <alignment vertical="center"/>
    </xf>
    <xf numFmtId="249" fontId="6" fillId="0" borderId="400">
      <alignment vertical="center"/>
    </xf>
    <xf numFmtId="0" fontId="153" fillId="22" borderId="408" applyNumberFormat="0" applyAlignment="0" applyProtection="0">
      <alignment vertical="center"/>
    </xf>
    <xf numFmtId="0" fontId="6" fillId="0" borderId="400">
      <alignment horizontal="right" vertical="center" shrinkToFit="1"/>
    </xf>
    <xf numFmtId="3" fontId="57" fillId="0" borderId="412"/>
    <xf numFmtId="3" fontId="57" fillId="0" borderId="412"/>
    <xf numFmtId="191" fontId="6" fillId="0" borderId="412">
      <alignment vertical="center"/>
    </xf>
    <xf numFmtId="240" fontId="6" fillId="0" borderId="412">
      <alignment horizontal="right" vertical="center"/>
    </xf>
    <xf numFmtId="256" fontId="117" fillId="0" borderId="412" applyBorder="0">
      <alignment vertical="center"/>
    </xf>
    <xf numFmtId="240" fontId="6" fillId="0" borderId="400">
      <alignment horizontal="right" vertical="center"/>
    </xf>
    <xf numFmtId="244" fontId="117" fillId="0" borderId="412">
      <alignment vertical="center"/>
    </xf>
    <xf numFmtId="186" fontId="14" fillId="0" borderId="418"/>
    <xf numFmtId="176" fontId="6" fillId="0" borderId="400">
      <alignment vertical="center"/>
    </xf>
    <xf numFmtId="322" fontId="9" fillId="0" borderId="414">
      <alignment horizontal="centerContinuous" vertical="center"/>
    </xf>
    <xf numFmtId="230" fontId="6" fillId="0" borderId="412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3" fontId="57" fillId="0" borderId="412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54" fillId="28" borderId="409" applyNumberFormat="0" applyFont="0" applyAlignment="0" applyProtection="0">
      <alignment vertical="center"/>
    </xf>
    <xf numFmtId="186" fontId="14" fillId="0" borderId="406"/>
    <xf numFmtId="0" fontId="6" fillId="0" borderId="414">
      <alignment horizontal="centerContinuous" vertical="center"/>
    </xf>
    <xf numFmtId="200" fontId="6" fillId="0" borderId="40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191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0" fontId="6" fillId="0" borderId="400">
      <alignment vertical="center"/>
    </xf>
    <xf numFmtId="0" fontId="50" fillId="3" borderId="401">
      <alignment vertical="center"/>
    </xf>
    <xf numFmtId="0" fontId="9" fillId="0" borderId="415">
      <alignment horizontal="distributed"/>
    </xf>
    <xf numFmtId="0" fontId="41" fillId="0" borderId="401">
      <alignment horizontal="left" vertical="center"/>
    </xf>
    <xf numFmtId="200" fontId="77" fillId="0" borderId="400">
      <alignment vertical="center"/>
    </xf>
    <xf numFmtId="0" fontId="92" fillId="0" borderId="412"/>
    <xf numFmtId="0" fontId="186" fillId="0" borderId="412" applyProtection="0">
      <alignment vertical="center"/>
    </xf>
    <xf numFmtId="236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34" fontId="117" fillId="0" borderId="412">
      <alignment vertical="center"/>
    </xf>
    <xf numFmtId="322" fontId="9" fillId="0" borderId="414">
      <alignment horizontal="centerContinuous" vertical="center"/>
    </xf>
    <xf numFmtId="242" fontId="6" fillId="0" borderId="400">
      <alignment horizontal="right" vertical="center"/>
    </xf>
    <xf numFmtId="218" fontId="9" fillId="0" borderId="414">
      <alignment horizontal="centerContinuous" vertical="center"/>
    </xf>
    <xf numFmtId="176" fontId="6" fillId="0" borderId="412">
      <alignment vertical="center"/>
    </xf>
    <xf numFmtId="242" fontId="6" fillId="0" borderId="412">
      <alignment horizontal="right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234" fontId="117" fillId="0" borderId="412">
      <alignment vertical="center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3" fontId="56" fillId="0" borderId="400"/>
    <xf numFmtId="3" fontId="56" fillId="0" borderId="400"/>
    <xf numFmtId="0" fontId="56" fillId="0" borderId="400"/>
    <xf numFmtId="0" fontId="92" fillId="0" borderId="400"/>
    <xf numFmtId="0" fontId="6" fillId="0" borderId="412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00">
      <alignment horizontal="distributed" vertical="center"/>
    </xf>
    <xf numFmtId="338" fontId="19" fillId="0" borderId="400"/>
    <xf numFmtId="322" fontId="9" fillId="0" borderId="414">
      <alignment horizontal="centerContinuous" vertical="center"/>
    </xf>
    <xf numFmtId="3" fontId="57" fillId="0" borderId="412"/>
    <xf numFmtId="3" fontId="57" fillId="0" borderId="400"/>
    <xf numFmtId="249" fontId="6" fillId="0" borderId="400">
      <alignment vertical="center"/>
    </xf>
    <xf numFmtId="200" fontId="6" fillId="0" borderId="400">
      <alignment vertical="center"/>
    </xf>
    <xf numFmtId="191" fontId="6" fillId="0" borderId="412">
      <alignment vertical="center"/>
    </xf>
    <xf numFmtId="249" fontId="6" fillId="0" borderId="412">
      <alignment vertical="center"/>
    </xf>
    <xf numFmtId="322" fontId="9" fillId="0" borderId="402">
      <alignment horizontal="centerContinuous" vertical="center"/>
    </xf>
    <xf numFmtId="0" fontId="6" fillId="0" borderId="414">
      <alignment horizontal="centerContinuous" vertical="center"/>
    </xf>
    <xf numFmtId="230" fontId="6" fillId="0" borderId="400">
      <alignment vertical="center"/>
    </xf>
    <xf numFmtId="0" fontId="6" fillId="0" borderId="414">
      <alignment horizontal="centerContinuous" vertical="center"/>
    </xf>
    <xf numFmtId="230" fontId="6" fillId="0" borderId="412">
      <alignment vertical="center"/>
    </xf>
    <xf numFmtId="0" fontId="54" fillId="28" borderId="421" applyNumberFormat="0" applyFont="0" applyAlignment="0" applyProtection="0">
      <alignment vertical="center"/>
    </xf>
    <xf numFmtId="238" fontId="6" fillId="0" borderId="412">
      <alignment vertical="center"/>
    </xf>
    <xf numFmtId="3" fontId="57" fillId="0" borderId="412"/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257" fontId="117" fillId="0" borderId="400" applyBorder="0">
      <alignment horizontal="left" vertical="center"/>
    </xf>
    <xf numFmtId="0" fontId="94" fillId="0" borderId="414">
      <alignment horizontal="centerContinuous" vertical="center"/>
    </xf>
    <xf numFmtId="3" fontId="57" fillId="0" borderId="400"/>
    <xf numFmtId="206" fontId="6" fillId="0" borderId="412">
      <alignment vertical="center"/>
    </xf>
    <xf numFmtId="240" fontId="6" fillId="0" borderId="412">
      <alignment horizontal="right" vertical="center"/>
    </xf>
    <xf numFmtId="10" fontId="39" fillId="4" borderId="412" applyNumberFormat="0" applyBorder="0" applyAlignment="0" applyProtection="0"/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185" fontId="8" fillId="0" borderId="412">
      <alignment vertical="center"/>
    </xf>
    <xf numFmtId="185" fontId="8" fillId="0" borderId="412">
      <alignment vertical="center"/>
    </xf>
    <xf numFmtId="185" fontId="8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240" fontId="6" fillId="0" borderId="412">
      <alignment horizontal="right" vertical="center"/>
    </xf>
    <xf numFmtId="218" fontId="9" fillId="0" borderId="414">
      <alignment horizontal="centerContinuous" vertical="center"/>
    </xf>
    <xf numFmtId="0" fontId="94" fillId="0" borderId="414">
      <alignment horizontal="centerContinuous" vertical="center"/>
    </xf>
    <xf numFmtId="200" fontId="6" fillId="0" borderId="412">
      <alignment vertical="center"/>
    </xf>
    <xf numFmtId="0" fontId="117" fillId="0" borderId="414">
      <alignment horizontal="centerContinuous" vertical="center"/>
    </xf>
    <xf numFmtId="191" fontId="6" fillId="0" borderId="412">
      <alignment vertical="center"/>
    </xf>
    <xf numFmtId="191" fontId="6" fillId="0" borderId="412">
      <alignment vertical="center"/>
    </xf>
    <xf numFmtId="0" fontId="6" fillId="0" borderId="400" applyNumberFormat="0" applyFill="0" applyProtection="0">
      <alignment vertical="center"/>
    </xf>
    <xf numFmtId="234" fontId="117" fillId="0" borderId="412">
      <alignment vertical="center"/>
    </xf>
    <xf numFmtId="338" fontId="19" fillId="0" borderId="400"/>
    <xf numFmtId="338" fontId="19" fillId="0" borderId="400"/>
    <xf numFmtId="338" fontId="19" fillId="0" borderId="400"/>
    <xf numFmtId="185" fontId="9" fillId="0" borderId="400">
      <alignment horizontal="center" vertical="center"/>
    </xf>
    <xf numFmtId="0" fontId="6" fillId="0" borderId="412">
      <alignment horizontal="right" vertical="center" shrinkToFit="1"/>
    </xf>
    <xf numFmtId="3" fontId="56" fillId="0" borderId="412"/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191" fontId="6" fillId="0" borderId="412">
      <alignment vertical="center"/>
    </xf>
    <xf numFmtId="338" fontId="19" fillId="0" borderId="412"/>
    <xf numFmtId="0" fontId="6" fillId="0" borderId="402">
      <alignment horizontal="centerContinuous" vertical="center"/>
    </xf>
    <xf numFmtId="0" fontId="6" fillId="28" borderId="421" applyNumberFormat="0" applyFont="0" applyAlignment="0" applyProtection="0">
      <alignment vertical="center"/>
    </xf>
    <xf numFmtId="37" fontId="117" fillId="0" borderId="400">
      <alignment horizontal="center" vertical="distributed"/>
    </xf>
    <xf numFmtId="0" fontId="6" fillId="0" borderId="402">
      <alignment horizontal="centerContinuous" vertical="center"/>
    </xf>
    <xf numFmtId="3" fontId="56" fillId="0" borderId="412"/>
    <xf numFmtId="239" fontId="117" fillId="0" borderId="412">
      <alignment horizontal="right" vertical="center"/>
    </xf>
    <xf numFmtId="191" fontId="6" fillId="0" borderId="400">
      <alignment vertical="center"/>
    </xf>
    <xf numFmtId="191" fontId="6" fillId="0" borderId="400">
      <alignment vertical="center"/>
    </xf>
    <xf numFmtId="322" fontId="9" fillId="0" borderId="414">
      <alignment horizontal="centerContinuous" vertical="center"/>
    </xf>
    <xf numFmtId="244" fontId="117" fillId="0" borderId="400">
      <alignment vertical="center"/>
    </xf>
    <xf numFmtId="3" fontId="57" fillId="0" borderId="400"/>
    <xf numFmtId="3" fontId="57" fillId="0" borderId="412"/>
    <xf numFmtId="0" fontId="6" fillId="0" borderId="412" applyNumberFormat="0" applyFill="0" applyProtection="0">
      <alignment vertical="center"/>
    </xf>
    <xf numFmtId="322" fontId="9" fillId="0" borderId="414">
      <alignment horizontal="centerContinuous" vertical="center"/>
    </xf>
    <xf numFmtId="176" fontId="6" fillId="0" borderId="412">
      <alignment vertical="center"/>
    </xf>
    <xf numFmtId="0" fontId="6" fillId="0" borderId="412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" fontId="57" fillId="0" borderId="412"/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48" fontId="117" fillId="0" borderId="400">
      <alignment vertical="center"/>
    </xf>
    <xf numFmtId="247" fontId="117" fillId="0" borderId="400">
      <alignment vertical="center"/>
    </xf>
    <xf numFmtId="49" fontId="117" fillId="0" borderId="400">
      <alignment horizontal="center" vertical="center"/>
    </xf>
    <xf numFmtId="0" fontId="94" fillId="0" borderId="402">
      <alignment horizontal="centerContinuous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0" fontId="50" fillId="3" borderId="401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00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2" fontId="6" fillId="0" borderId="412">
      <alignment horizontal="right" vertical="center"/>
    </xf>
    <xf numFmtId="49" fontId="117" fillId="0" borderId="400">
      <alignment horizontal="center" vertical="center"/>
    </xf>
    <xf numFmtId="248" fontId="117" fillId="0" borderId="400">
      <alignment vertical="center"/>
    </xf>
    <xf numFmtId="17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00" fontId="6" fillId="0" borderId="400">
      <alignment vertical="center"/>
    </xf>
    <xf numFmtId="322" fontId="9" fillId="0" borderId="414">
      <alignment horizontal="centerContinuous" vertical="center"/>
    </xf>
    <xf numFmtId="3" fontId="57" fillId="0" borderId="412"/>
    <xf numFmtId="0" fontId="41" fillId="0" borderId="413">
      <alignment horizontal="left" vertical="center"/>
    </xf>
    <xf numFmtId="0" fontId="92" fillId="0" borderId="412"/>
    <xf numFmtId="0" fontId="153" fillId="22" borderId="408" applyNumberFormat="0" applyAlignment="0" applyProtection="0">
      <alignment vertical="center"/>
    </xf>
    <xf numFmtId="230" fontId="6" fillId="0" borderId="412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2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42" fontId="6" fillId="0" borderId="412">
      <alignment horizontal="right" vertical="center"/>
    </xf>
    <xf numFmtId="0" fontId="153" fillId="22" borderId="408" applyNumberFormat="0" applyAlignment="0" applyProtection="0">
      <alignment vertical="center"/>
    </xf>
    <xf numFmtId="3" fontId="57" fillId="0" borderId="412"/>
    <xf numFmtId="236" fontId="6" fillId="0" borderId="412">
      <alignment vertical="center"/>
    </xf>
    <xf numFmtId="191" fontId="6" fillId="0" borderId="400">
      <alignment vertical="center"/>
    </xf>
    <xf numFmtId="243" fontId="117" fillId="0" borderId="412">
      <alignment vertical="center"/>
    </xf>
    <xf numFmtId="239" fontId="117" fillId="0" borderId="412">
      <alignment horizontal="right" vertical="center"/>
    </xf>
    <xf numFmtId="250" fontId="117" fillId="0" borderId="400">
      <alignment vertical="center"/>
    </xf>
    <xf numFmtId="322" fontId="9" fillId="0" borderId="414">
      <alignment horizontal="centerContinuous" vertical="center"/>
    </xf>
    <xf numFmtId="230" fontId="6" fillId="0" borderId="412">
      <alignment vertical="center"/>
    </xf>
    <xf numFmtId="10" fontId="39" fillId="4" borderId="412" applyNumberFormat="0" applyBorder="0" applyAlignment="0" applyProtection="0"/>
    <xf numFmtId="0" fontId="41" fillId="0" borderId="413">
      <alignment horizontal="left" vertical="center"/>
    </xf>
    <xf numFmtId="3" fontId="57" fillId="0" borderId="412"/>
    <xf numFmtId="3" fontId="57" fillId="0" borderId="412"/>
    <xf numFmtId="3" fontId="57" fillId="0" borderId="412"/>
    <xf numFmtId="221" fontId="117" fillId="0" borderId="400">
      <alignment vertical="center"/>
    </xf>
    <xf numFmtId="242" fontId="6" fillId="0" borderId="400">
      <alignment horizontal="right" vertical="center"/>
    </xf>
    <xf numFmtId="3" fontId="57" fillId="0" borderId="400"/>
    <xf numFmtId="234" fontId="117" fillId="0" borderId="400">
      <alignment vertical="center"/>
    </xf>
    <xf numFmtId="206" fontId="6" fillId="0" borderId="412">
      <alignment vertical="center"/>
    </xf>
    <xf numFmtId="3" fontId="57" fillId="0" borderId="400"/>
    <xf numFmtId="3" fontId="57" fillId="0" borderId="400"/>
    <xf numFmtId="0" fontId="82" fillId="0" borderId="400"/>
    <xf numFmtId="0" fontId="41" fillId="0" borderId="401">
      <alignment horizontal="left" vertical="center"/>
    </xf>
    <xf numFmtId="10" fontId="39" fillId="4" borderId="400" applyNumberFormat="0" applyBorder="0" applyAlignment="0" applyProtection="0"/>
    <xf numFmtId="0" fontId="50" fillId="3" borderId="401">
      <alignment vertical="center"/>
    </xf>
    <xf numFmtId="0" fontId="11" fillId="0" borderId="400" applyNumberFormat="0" applyFont="0" applyFill="0" applyAlignment="0" applyProtection="0">
      <alignment horizontal="center" vertical="center"/>
    </xf>
    <xf numFmtId="3" fontId="56" fillId="0" borderId="400"/>
    <xf numFmtId="0" fontId="56" fillId="0" borderId="400"/>
    <xf numFmtId="0" fontId="92" fillId="0" borderId="400"/>
    <xf numFmtId="3" fontId="6" fillId="0" borderId="400"/>
    <xf numFmtId="185" fontId="9" fillId="0" borderId="400">
      <alignment horizontal="center" vertical="center"/>
    </xf>
    <xf numFmtId="200" fontId="77" fillId="0" borderId="400">
      <alignment vertical="center"/>
    </xf>
    <xf numFmtId="0" fontId="50" fillId="3" borderId="401">
      <alignment vertical="center"/>
    </xf>
    <xf numFmtId="0" fontId="94" fillId="0" borderId="402">
      <alignment horizontal="centerContinuous" vertical="center"/>
    </xf>
    <xf numFmtId="247" fontId="117" fillId="0" borderId="400">
      <alignment vertical="center"/>
    </xf>
    <xf numFmtId="0" fontId="6" fillId="0" borderId="400" applyNumberFormat="0" applyFill="0" applyProtection="0">
      <alignment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117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00">
      <alignment vertical="center"/>
    </xf>
    <xf numFmtId="0" fontId="6" fillId="0" borderId="400">
      <alignment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50" fillId="3" borderId="413">
      <alignment vertical="center"/>
    </xf>
    <xf numFmtId="0" fontId="94" fillId="0" borderId="402">
      <alignment horizontal="centerContinuous" vertical="center"/>
    </xf>
    <xf numFmtId="3" fontId="57" fillId="0" borderId="400"/>
    <xf numFmtId="0" fontId="50" fillId="3" borderId="413">
      <alignment vertical="center"/>
    </xf>
    <xf numFmtId="0" fontId="6" fillId="0" borderId="412">
      <alignment vertical="center"/>
    </xf>
    <xf numFmtId="244" fontId="117" fillId="0" borderId="400">
      <alignment vertical="center"/>
    </xf>
    <xf numFmtId="247" fontId="117" fillId="0" borderId="412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186" fontId="14" fillId="0" borderId="418"/>
    <xf numFmtId="242" fontId="6" fillId="0" borderId="412">
      <alignment horizontal="right" vertical="center"/>
    </xf>
    <xf numFmtId="0" fontId="94" fillId="0" borderId="414">
      <alignment horizontal="centerContinuous" vertical="center"/>
    </xf>
    <xf numFmtId="0" fontId="153" fillId="22" borderId="420" applyNumberFormat="0" applyAlignment="0" applyProtection="0">
      <alignment vertical="center"/>
    </xf>
    <xf numFmtId="0" fontId="54" fillId="28" borderId="421" applyNumberFormat="0" applyFont="0" applyAlignment="0" applyProtection="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322" fontId="9" fillId="0" borderId="414">
      <alignment horizontal="centerContinuous" vertical="center"/>
    </xf>
    <xf numFmtId="0" fontId="153" fillId="22" borderId="420" applyNumberFormat="0" applyAlignment="0" applyProtection="0">
      <alignment vertical="center"/>
    </xf>
    <xf numFmtId="0" fontId="6" fillId="0" borderId="402">
      <alignment horizontal="centerContinuous" vertical="center"/>
    </xf>
    <xf numFmtId="10" fontId="39" fillId="4" borderId="400" applyNumberFormat="0" applyBorder="0" applyAlignment="0" applyProtection="0"/>
    <xf numFmtId="191" fontId="6" fillId="0" borderId="412">
      <alignment vertical="center"/>
    </xf>
    <xf numFmtId="244" fontId="117" fillId="0" borderId="400">
      <alignment vertical="center"/>
    </xf>
    <xf numFmtId="176" fontId="6" fillId="0" borderId="412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0" fontId="117" fillId="0" borderId="414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0" fontId="6" fillId="0" borderId="402">
      <alignment horizontal="centerContinuous" vertical="center"/>
    </xf>
    <xf numFmtId="0" fontId="6" fillId="0" borderId="414">
      <alignment horizontal="centerContinuous" vertical="center"/>
    </xf>
    <xf numFmtId="242" fontId="6" fillId="0" borderId="412">
      <alignment horizontal="right" vertical="center"/>
    </xf>
    <xf numFmtId="206" fontId="6" fillId="0" borderId="400">
      <alignment vertical="center"/>
    </xf>
    <xf numFmtId="206" fontId="6" fillId="0" borderId="400">
      <alignment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186" fontId="14" fillId="0" borderId="406"/>
    <xf numFmtId="0" fontId="82" fillId="0" borderId="400"/>
    <xf numFmtId="0" fontId="186" fillId="0" borderId="400" applyProtection="0">
      <alignment vertical="center"/>
    </xf>
    <xf numFmtId="242" fontId="6" fillId="0" borderId="400">
      <alignment horizontal="right" vertical="center"/>
    </xf>
    <xf numFmtId="0" fontId="94" fillId="0" borderId="402">
      <alignment horizontal="centerContinuous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4" borderId="400" applyNumberFormat="0" applyBorder="0" applyAlignment="0" applyProtection="0"/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0" fontId="94" fillId="0" borderId="414">
      <alignment horizontal="centerContinuous" vertical="center"/>
    </xf>
    <xf numFmtId="200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18" fontId="9" fillId="0" borderId="414">
      <alignment horizontal="centerContinuous" vertical="center"/>
    </xf>
    <xf numFmtId="0" fontId="159" fillId="0" borderId="410" applyNumberFormat="0" applyFill="0" applyAlignment="0" applyProtection="0">
      <alignment vertical="center"/>
    </xf>
    <xf numFmtId="49" fontId="60" fillId="0" borderId="405" applyNumberFormat="0" applyAlignment="0"/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0" fontId="56" fillId="0" borderId="400"/>
    <xf numFmtId="239" fontId="117" fillId="0" borderId="412">
      <alignment horizontal="right" vertical="center"/>
    </xf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117" fillId="0" borderId="414">
      <alignment horizontal="centerContinuous" vertical="center"/>
    </xf>
    <xf numFmtId="0" fontId="94" fillId="0" borderId="414">
      <alignment horizontal="centerContinuous" vertical="center"/>
    </xf>
    <xf numFmtId="206" fontId="6" fillId="0" borderId="412">
      <alignment vertical="center"/>
    </xf>
    <xf numFmtId="49" fontId="117" fillId="0" borderId="412">
      <alignment horizontal="center"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236" fontId="6" fillId="0" borderId="40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185" fontId="9" fillId="0" borderId="400">
      <alignment horizontal="center" vertical="center"/>
    </xf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338" fontId="19" fillId="0" borderId="400"/>
    <xf numFmtId="0" fontId="2" fillId="0" borderId="0">
      <alignment vertical="center"/>
    </xf>
    <xf numFmtId="0" fontId="6" fillId="0" borderId="400" applyNumberFormat="0" applyFill="0" applyProtection="0">
      <alignment vertical="center"/>
    </xf>
    <xf numFmtId="0" fontId="50" fillId="3" borderId="401">
      <alignment vertical="center"/>
    </xf>
    <xf numFmtId="0" fontId="50" fillId="3" borderId="401">
      <alignment vertical="center"/>
    </xf>
    <xf numFmtId="218" fontId="9" fillId="0" borderId="402">
      <alignment horizontal="centerContinuous" vertical="center"/>
    </xf>
    <xf numFmtId="203" fontId="176" fillId="0" borderId="404" applyFill="0" applyProtection="0">
      <alignment horizontal="center"/>
    </xf>
    <xf numFmtId="0" fontId="185" fillId="22" borderId="407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186" fontId="14" fillId="0" borderId="406"/>
    <xf numFmtId="0" fontId="54" fillId="28" borderId="409" applyNumberFormat="0" applyFont="0" applyAlignment="0" applyProtection="0">
      <alignment vertical="center"/>
    </xf>
    <xf numFmtId="0" fontId="94" fillId="0" borderId="402">
      <alignment horizontal="centerContinuous" vertical="center"/>
    </xf>
    <xf numFmtId="0" fontId="224" fillId="0" borderId="402">
      <alignment horizontal="centerContinuous" vertical="center"/>
    </xf>
    <xf numFmtId="0" fontId="56" fillId="0" borderId="412"/>
    <xf numFmtId="240" fontId="6" fillId="0" borderId="400">
      <alignment horizontal="right" vertical="center"/>
    </xf>
    <xf numFmtId="238" fontId="6" fillId="0" borderId="412">
      <alignment vertical="center"/>
    </xf>
    <xf numFmtId="191" fontId="6" fillId="0" borderId="412">
      <alignment vertical="center"/>
    </xf>
    <xf numFmtId="3" fontId="57" fillId="0" borderId="400"/>
    <xf numFmtId="237" fontId="6" fillId="0" borderId="400">
      <alignment vertical="center"/>
    </xf>
    <xf numFmtId="0" fontId="153" fillId="22" borderId="420" applyNumberFormat="0" applyAlignment="0" applyProtection="0">
      <alignment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02">
      <alignment horizontal="centerContinuous" vertical="center"/>
    </xf>
    <xf numFmtId="0" fontId="94" fillId="0" borderId="414">
      <alignment horizontal="centerContinuous" vertical="center"/>
    </xf>
    <xf numFmtId="3" fontId="56" fillId="0" borderId="412"/>
    <xf numFmtId="0" fontId="6" fillId="0" borderId="414">
      <alignment horizontal="centerContinuous" vertical="center"/>
    </xf>
    <xf numFmtId="0" fontId="185" fillId="22" borderId="419" applyNumberFormat="0" applyAlignment="0" applyProtection="0">
      <alignment vertical="center"/>
    </xf>
    <xf numFmtId="240" fontId="6" fillId="0" borderId="412">
      <alignment horizontal="right" vertical="center"/>
    </xf>
    <xf numFmtId="233" fontId="122" fillId="0" borderId="412" applyFill="0" applyBorder="0" applyAlignment="0"/>
    <xf numFmtId="3" fontId="56" fillId="0" borderId="412"/>
    <xf numFmtId="3" fontId="56" fillId="0" borderId="412"/>
    <xf numFmtId="0" fontId="56" fillId="0" borderId="412"/>
    <xf numFmtId="0" fontId="41" fillId="0" borderId="401">
      <alignment horizontal="left" vertical="center"/>
    </xf>
    <xf numFmtId="0" fontId="92" fillId="0" borderId="412"/>
    <xf numFmtId="200" fontId="6" fillId="0" borderId="412">
      <alignment vertical="center"/>
    </xf>
    <xf numFmtId="242" fontId="6" fillId="0" borderId="412">
      <alignment horizontal="right" vertical="center"/>
    </xf>
    <xf numFmtId="176" fontId="6" fillId="0" borderId="400">
      <alignment vertical="center"/>
    </xf>
    <xf numFmtId="322" fontId="9" fillId="0" borderId="402">
      <alignment horizontal="centerContinuous" vertical="center"/>
    </xf>
    <xf numFmtId="0" fontId="92" fillId="0" borderId="412"/>
    <xf numFmtId="244" fontId="117" fillId="0" borderId="400">
      <alignment vertical="center"/>
    </xf>
    <xf numFmtId="0" fontId="94" fillId="0" borderId="414">
      <alignment horizontal="centerContinuous" vertical="center"/>
    </xf>
    <xf numFmtId="0" fontId="92" fillId="0" borderId="400"/>
    <xf numFmtId="0" fontId="92" fillId="0" borderId="400"/>
    <xf numFmtId="0" fontId="92" fillId="0" borderId="400"/>
    <xf numFmtId="230" fontId="6" fillId="0" borderId="400">
      <alignment vertical="center"/>
    </xf>
    <xf numFmtId="0" fontId="6" fillId="0" borderId="400">
      <alignment vertical="center"/>
    </xf>
    <xf numFmtId="0" fontId="92" fillId="0" borderId="412"/>
    <xf numFmtId="176" fontId="6" fillId="0" borderId="412">
      <alignment vertical="center"/>
    </xf>
    <xf numFmtId="230" fontId="6" fillId="0" borderId="400">
      <alignment vertical="center"/>
    </xf>
    <xf numFmtId="206" fontId="6" fillId="0" borderId="400">
      <alignment vertical="center"/>
    </xf>
    <xf numFmtId="0" fontId="57" fillId="28" borderId="409" applyNumberFormat="0" applyFon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41" fillId="0" borderId="413">
      <alignment horizontal="left" vertical="center"/>
    </xf>
    <xf numFmtId="239" fontId="117" fillId="0" borderId="400">
      <alignment horizontal="right" vertical="center"/>
    </xf>
    <xf numFmtId="185" fontId="9" fillId="0" borderId="412">
      <alignment horizontal="center" vertical="center"/>
    </xf>
    <xf numFmtId="236" fontId="6" fillId="0" borderId="400">
      <alignment vertical="center"/>
    </xf>
    <xf numFmtId="236" fontId="6" fillId="0" borderId="400">
      <alignment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00" fontId="6" fillId="0" borderId="412">
      <alignment vertical="center"/>
    </xf>
    <xf numFmtId="249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242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12">
      <alignment horizontal="right" vertical="center"/>
    </xf>
    <xf numFmtId="191" fontId="6" fillId="0" borderId="412">
      <alignment vertical="center"/>
    </xf>
    <xf numFmtId="3" fontId="57" fillId="0" borderId="400"/>
    <xf numFmtId="3" fontId="57" fillId="0" borderId="412"/>
    <xf numFmtId="200" fontId="6" fillId="0" borderId="400">
      <alignment vertical="center"/>
    </xf>
    <xf numFmtId="218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28" fontId="117" fillId="0" borderId="423" applyBorder="0">
      <alignment vertical="center" wrapText="1"/>
    </xf>
    <xf numFmtId="206" fontId="6" fillId="0" borderId="400">
      <alignment vertical="center"/>
    </xf>
    <xf numFmtId="0" fontId="6" fillId="0" borderId="402">
      <alignment horizontal="centerContinuous" vertical="center"/>
    </xf>
    <xf numFmtId="185" fontId="8" fillId="0" borderId="412">
      <alignment vertical="center"/>
    </xf>
    <xf numFmtId="0" fontId="94" fillId="0" borderId="414">
      <alignment horizontal="centerContinuous" vertical="center"/>
    </xf>
    <xf numFmtId="0" fontId="9" fillId="0" borderId="412">
      <alignment horizontal="distributed"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94" fillId="0" borderId="414">
      <alignment horizontal="centerContinuous" vertical="center"/>
    </xf>
    <xf numFmtId="185" fontId="8" fillId="0" borderId="412">
      <alignment vertical="center"/>
    </xf>
    <xf numFmtId="3" fontId="57" fillId="0" borderId="412"/>
    <xf numFmtId="10" fontId="39" fillId="2" borderId="412" applyNumberFormat="0" applyBorder="0" applyAlignment="0" applyProtection="0"/>
    <xf numFmtId="0" fontId="57" fillId="28" borderId="409" applyNumberFormat="0" applyFont="0" applyAlignment="0" applyProtection="0">
      <alignment vertical="center"/>
    </xf>
    <xf numFmtId="0" fontId="41" fillId="0" borderId="413">
      <alignment horizontal="left" vertical="center"/>
    </xf>
    <xf numFmtId="322" fontId="9" fillId="0" borderId="414">
      <alignment horizontal="centerContinuous" vertical="center"/>
    </xf>
    <xf numFmtId="41" fontId="9" fillId="0" borderId="400">
      <alignment horizontal="center" vertical="center"/>
    </xf>
    <xf numFmtId="241" fontId="6" fillId="0" borderId="400">
      <alignment horizontal="right" vertical="center"/>
    </xf>
    <xf numFmtId="228" fontId="117" fillId="0" borderId="411" applyBorder="0">
      <alignment vertical="center" wrapText="1"/>
    </xf>
    <xf numFmtId="0" fontId="6" fillId="0" borderId="402">
      <alignment horizontal="centerContinuous" vertical="center"/>
    </xf>
    <xf numFmtId="238" fontId="6" fillId="0" borderId="400">
      <alignment vertical="center"/>
    </xf>
    <xf numFmtId="236" fontId="6" fillId="0" borderId="412">
      <alignment vertical="center"/>
    </xf>
    <xf numFmtId="200" fontId="6" fillId="0" borderId="412">
      <alignment vertical="center"/>
    </xf>
    <xf numFmtId="240" fontId="6" fillId="0" borderId="400">
      <alignment horizontal="right" vertical="center"/>
    </xf>
    <xf numFmtId="0" fontId="6" fillId="0" borderId="402">
      <alignment horizontal="centerContinuous" vertical="center"/>
    </xf>
    <xf numFmtId="176" fontId="6" fillId="0" borderId="400">
      <alignment vertical="center"/>
    </xf>
    <xf numFmtId="200" fontId="6" fillId="0" borderId="400">
      <alignment vertical="center"/>
    </xf>
    <xf numFmtId="0" fontId="6" fillId="0" borderId="400">
      <alignment vertical="center"/>
    </xf>
    <xf numFmtId="206" fontId="6" fillId="0" borderId="412">
      <alignment vertical="center"/>
    </xf>
    <xf numFmtId="243" fontId="117" fillId="0" borderId="400">
      <alignment vertical="center"/>
    </xf>
    <xf numFmtId="0" fontId="224" fillId="0" borderId="402">
      <alignment horizontal="centerContinuous" vertical="center"/>
    </xf>
    <xf numFmtId="241" fontId="6" fillId="0" borderId="412">
      <alignment horizontal="right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236" fontId="6" fillId="0" borderId="412">
      <alignment vertical="center"/>
    </xf>
    <xf numFmtId="0" fontId="117" fillId="0" borderId="414">
      <alignment horizontal="centerContinuous" vertical="center"/>
    </xf>
    <xf numFmtId="242" fontId="6" fillId="0" borderId="412">
      <alignment horizontal="right" vertical="center"/>
    </xf>
    <xf numFmtId="237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42" fontId="6" fillId="0" borderId="412">
      <alignment horizontal="right" vertical="center"/>
    </xf>
    <xf numFmtId="243" fontId="117" fillId="0" borderId="400">
      <alignment vertical="center"/>
    </xf>
    <xf numFmtId="243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244" fontId="117" fillId="0" borderId="400">
      <alignment vertical="center"/>
    </xf>
    <xf numFmtId="0" fontId="6" fillId="0" borderId="402">
      <alignment horizontal="centerContinuous" vertical="center"/>
    </xf>
    <xf numFmtId="10" fontId="39" fillId="4" borderId="400" applyNumberFormat="0" applyBorder="0" applyAlignment="0" applyProtection="0"/>
    <xf numFmtId="41" fontId="56" fillId="0" borderId="412" applyNumberFormat="0" applyFont="0" applyFill="0" applyBorder="0" applyProtection="0">
      <alignment horizontal="distributed"/>
    </xf>
    <xf numFmtId="0" fontId="94" fillId="0" borderId="402">
      <alignment horizontal="centerContinuous" vertical="center"/>
    </xf>
    <xf numFmtId="0" fontId="56" fillId="0" borderId="412"/>
    <xf numFmtId="0" fontId="50" fillId="3" borderId="401">
      <alignment vertical="center"/>
    </xf>
    <xf numFmtId="0" fontId="9" fillId="0" borderId="403">
      <alignment horizontal="distributed"/>
    </xf>
    <xf numFmtId="0" fontId="50" fillId="3" borderId="401">
      <alignment vertical="center"/>
    </xf>
    <xf numFmtId="0" fontId="153" fillId="2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322" fontId="9" fillId="0" borderId="414">
      <alignment horizontal="centerContinuous" vertical="center"/>
    </xf>
    <xf numFmtId="0" fontId="6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176" fontId="6" fillId="0" borderId="412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153" fillId="22" borderId="397" applyNumberFormat="0" applyAlignment="0" applyProtection="0">
      <alignment vertical="center"/>
    </xf>
    <xf numFmtId="0" fontId="153" fillId="22" borderId="397" applyNumberFormat="0" applyAlignment="0" applyProtection="0">
      <alignment vertical="center"/>
    </xf>
    <xf numFmtId="0" fontId="153" fillId="22" borderId="397" applyNumberFormat="0" applyAlignment="0" applyProtection="0">
      <alignment vertical="center"/>
    </xf>
    <xf numFmtId="0" fontId="153" fillId="22" borderId="397" applyNumberFormat="0" applyAlignment="0" applyProtection="0">
      <alignment vertical="center"/>
    </xf>
    <xf numFmtId="0" fontId="153" fillId="22" borderId="397" applyNumberFormat="0" applyAlignment="0" applyProtection="0">
      <alignment vertical="center"/>
    </xf>
    <xf numFmtId="0" fontId="153" fillId="22" borderId="397" applyNumberFormat="0" applyAlignment="0" applyProtection="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191" fontId="6" fillId="0" borderId="412">
      <alignment vertical="center"/>
    </xf>
    <xf numFmtId="0" fontId="232" fillId="0" borderId="400" applyFont="0" applyFill="0" applyBorder="0" applyAlignment="0" applyProtection="0">
      <alignment horizontal="centerContinuous" vertical="center"/>
    </xf>
    <xf numFmtId="0" fontId="6" fillId="28" borderId="398" applyNumberFormat="0" applyFont="0" applyAlignment="0" applyProtection="0">
      <alignment vertical="center"/>
    </xf>
    <xf numFmtId="0" fontId="57" fillId="28" borderId="398" applyNumberFormat="0" applyFont="0" applyAlignment="0" applyProtection="0">
      <alignment vertical="center"/>
    </xf>
    <xf numFmtId="0" fontId="57" fillId="28" borderId="398" applyNumberFormat="0" applyFont="0" applyAlignment="0" applyProtection="0">
      <alignment vertical="center"/>
    </xf>
    <xf numFmtId="0" fontId="57" fillId="28" borderId="398" applyNumberFormat="0" applyFont="0" applyAlignment="0" applyProtection="0">
      <alignment vertical="center"/>
    </xf>
    <xf numFmtId="0" fontId="57" fillId="28" borderId="398" applyNumberFormat="0" applyFont="0" applyAlignment="0" applyProtection="0">
      <alignment vertical="center"/>
    </xf>
    <xf numFmtId="218" fontId="9" fillId="0" borderId="414">
      <alignment horizontal="centerContinuous" vertical="center"/>
    </xf>
    <xf numFmtId="242" fontId="6" fillId="0" borderId="412">
      <alignment horizontal="right" vertical="center"/>
    </xf>
    <xf numFmtId="0" fontId="185" fillId="22" borderId="419" applyNumberFormat="0" applyAlignment="0" applyProtection="0">
      <alignment vertical="center"/>
    </xf>
    <xf numFmtId="0" fontId="54" fillId="28" borderId="421" applyNumberFormat="0" applyFont="0" applyAlignment="0" applyProtection="0">
      <alignment vertical="center"/>
    </xf>
    <xf numFmtId="0" fontId="185" fillId="22" borderId="419" applyNumberFormat="0" applyAlignment="0" applyProtection="0">
      <alignment vertical="center"/>
    </xf>
    <xf numFmtId="0" fontId="50" fillId="3" borderId="413">
      <alignment vertical="center"/>
    </xf>
    <xf numFmtId="3" fontId="57" fillId="0" borderId="412"/>
    <xf numFmtId="218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" fillId="0" borderId="414">
      <alignment horizontal="centerContinuous" vertical="center"/>
    </xf>
    <xf numFmtId="0" fontId="57" fillId="28" borderId="409" applyNumberFormat="0" applyFont="0" applyAlignment="0" applyProtection="0">
      <alignment vertical="center"/>
    </xf>
    <xf numFmtId="3" fontId="57" fillId="0" borderId="412"/>
    <xf numFmtId="3" fontId="56" fillId="0" borderId="412"/>
    <xf numFmtId="0" fontId="50" fillId="3" borderId="413">
      <alignment vertical="center"/>
    </xf>
    <xf numFmtId="0" fontId="6" fillId="0" borderId="412">
      <alignment vertical="center"/>
    </xf>
    <xf numFmtId="230" fontId="6" fillId="0" borderId="400">
      <alignment vertical="center"/>
    </xf>
    <xf numFmtId="242" fontId="6" fillId="0" borderId="400">
      <alignment horizontal="right" vertical="center"/>
    </xf>
    <xf numFmtId="238" fontId="6" fillId="0" borderId="400">
      <alignment vertical="center"/>
    </xf>
    <xf numFmtId="238" fontId="6" fillId="0" borderId="400">
      <alignment vertical="center"/>
    </xf>
    <xf numFmtId="236" fontId="6" fillId="0" borderId="400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0" fontId="82" fillId="0" borderId="412"/>
    <xf numFmtId="10" fontId="39" fillId="4" borderId="412" applyNumberFormat="0" applyBorder="0" applyAlignment="0" applyProtection="0"/>
    <xf numFmtId="0" fontId="11" fillId="0" borderId="412" applyNumberFormat="0" applyFont="0" applyFill="0" applyAlignment="0" applyProtection="0">
      <alignment horizontal="center" vertical="center"/>
    </xf>
    <xf numFmtId="0" fontId="92" fillId="0" borderId="412"/>
    <xf numFmtId="10" fontId="39" fillId="2" borderId="412" applyNumberFormat="0" applyBorder="0" applyAlignment="0" applyProtection="0"/>
    <xf numFmtId="0" fontId="165" fillId="22" borderId="419" applyNumberFormat="0" applyAlignment="0" applyProtection="0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176" fontId="6" fillId="0" borderId="412">
      <alignment vertical="center"/>
    </xf>
    <xf numFmtId="249" fontId="6" fillId="0" borderId="412">
      <alignment vertical="center"/>
    </xf>
    <xf numFmtId="41" fontId="135" fillId="0" borderId="400" applyNumberFormat="0">
      <alignment vertical="center"/>
    </xf>
    <xf numFmtId="0" fontId="9" fillId="0" borderId="414">
      <alignment horizontal="centerContinuous" vertical="center"/>
    </xf>
    <xf numFmtId="0" fontId="94" fillId="0" borderId="414">
      <alignment horizontal="centerContinuous" vertical="center"/>
    </xf>
    <xf numFmtId="256" fontId="117" fillId="0" borderId="412" applyBorder="0">
      <alignment vertical="center"/>
    </xf>
    <xf numFmtId="0" fontId="159" fillId="0" borderId="399" applyNumberFormat="0" applyFill="0" applyAlignment="0" applyProtection="0">
      <alignment vertical="center"/>
    </xf>
    <xf numFmtId="0" fontId="159" fillId="0" borderId="399" applyNumberFormat="0" applyFill="0" applyAlignment="0" applyProtection="0">
      <alignment vertical="center"/>
    </xf>
    <xf numFmtId="0" fontId="159" fillId="0" borderId="399" applyNumberFormat="0" applyFill="0" applyAlignment="0" applyProtection="0">
      <alignment vertical="center"/>
    </xf>
    <xf numFmtId="0" fontId="159" fillId="0" borderId="399" applyNumberFormat="0" applyFill="0" applyAlignment="0" applyProtection="0">
      <alignment vertical="center"/>
    </xf>
    <xf numFmtId="0" fontId="159" fillId="0" borderId="399" applyNumberFormat="0" applyFill="0" applyAlignment="0" applyProtection="0">
      <alignment vertical="center"/>
    </xf>
    <xf numFmtId="0" fontId="159" fillId="0" borderId="399" applyNumberFormat="0" applyFill="0" applyAlignment="0" applyProtection="0">
      <alignment vertical="center"/>
    </xf>
    <xf numFmtId="0" fontId="224" fillId="0" borderId="414">
      <alignment horizontal="centerContinuous" vertical="center"/>
    </xf>
    <xf numFmtId="0" fontId="6" fillId="0" borderId="400" applyNumberFormat="0" applyFill="0" applyProtection="0">
      <alignment vertical="center"/>
    </xf>
    <xf numFmtId="0" fontId="117" fillId="0" borderId="414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50" fillId="3" borderId="413">
      <alignment vertical="center"/>
    </xf>
    <xf numFmtId="244" fontId="117" fillId="0" borderId="412">
      <alignment vertical="center"/>
    </xf>
    <xf numFmtId="200" fontId="6" fillId="0" borderId="400">
      <alignment vertical="center"/>
    </xf>
    <xf numFmtId="240" fontId="6" fillId="0" borderId="412">
      <alignment horizontal="right" vertical="center"/>
    </xf>
    <xf numFmtId="242" fontId="6" fillId="0" borderId="412">
      <alignment horizontal="right" vertical="center"/>
    </xf>
    <xf numFmtId="0" fontId="57" fillId="28" borderId="409" applyNumberFormat="0" applyFont="0" applyAlignment="0" applyProtection="0">
      <alignment vertical="center"/>
    </xf>
    <xf numFmtId="200" fontId="77" fillId="0" borderId="412">
      <alignment vertical="center"/>
    </xf>
    <xf numFmtId="0" fontId="56" fillId="0" borderId="400"/>
    <xf numFmtId="41" fontId="56" fillId="0" borderId="400" applyNumberFormat="0" applyFont="0" applyFill="0" applyBorder="0" applyProtection="0">
      <alignment horizontal="distributed"/>
    </xf>
    <xf numFmtId="0" fontId="6" fillId="0" borderId="400">
      <alignment horizontal="right" vertical="center" shrinkToFit="1"/>
    </xf>
    <xf numFmtId="0" fontId="94" fillId="0" borderId="414">
      <alignment horizontal="centerContinuous" vertical="center"/>
    </xf>
    <xf numFmtId="230" fontId="6" fillId="0" borderId="412">
      <alignment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0" fontId="94" fillId="0" borderId="414">
      <alignment horizontal="centerContinuous" vertical="center"/>
    </xf>
    <xf numFmtId="0" fontId="134" fillId="0" borderId="412">
      <alignment vertical="center"/>
    </xf>
    <xf numFmtId="0" fontId="41" fillId="0" borderId="413">
      <alignment horizontal="left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338" fontId="19" fillId="0" borderId="412"/>
    <xf numFmtId="0" fontId="50" fillId="3" borderId="401">
      <alignment vertical="center"/>
    </xf>
    <xf numFmtId="0" fontId="6" fillId="0" borderId="414">
      <alignment horizontal="centerContinuous" vertical="center"/>
    </xf>
    <xf numFmtId="240" fontId="6" fillId="0" borderId="412">
      <alignment horizontal="right"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50" fontId="117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37" fontId="6" fillId="0" borderId="400">
      <alignment vertical="center"/>
    </xf>
    <xf numFmtId="246" fontId="117" fillId="0" borderId="400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9" fontId="6" fillId="0" borderId="412">
      <alignment vertical="center"/>
    </xf>
    <xf numFmtId="249" fontId="6" fillId="0" borderId="412">
      <alignment vertical="center"/>
    </xf>
    <xf numFmtId="176" fontId="6" fillId="0" borderId="412">
      <alignment vertical="center"/>
    </xf>
    <xf numFmtId="0" fontId="160" fillId="12" borderId="397" applyNumberFormat="0" applyAlignment="0" applyProtection="0">
      <alignment vertical="center"/>
    </xf>
    <xf numFmtId="0" fontId="160" fillId="12" borderId="397" applyNumberFormat="0" applyAlignment="0" applyProtection="0">
      <alignment vertical="center"/>
    </xf>
    <xf numFmtId="0" fontId="160" fillId="12" borderId="397" applyNumberFormat="0" applyAlignment="0" applyProtection="0">
      <alignment vertical="center"/>
    </xf>
    <xf numFmtId="0" fontId="160" fillId="12" borderId="397" applyNumberFormat="0" applyAlignment="0" applyProtection="0">
      <alignment vertical="center"/>
    </xf>
    <xf numFmtId="0" fontId="160" fillId="12" borderId="397" applyNumberFormat="0" applyAlignment="0" applyProtection="0">
      <alignment vertical="center"/>
    </xf>
    <xf numFmtId="0" fontId="160" fillId="12" borderId="397" applyNumberFormat="0" applyAlignment="0" applyProtection="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5" fontId="117" fillId="0" borderId="400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56" fontId="117" fillId="0" borderId="412" applyBorder="0">
      <alignment vertical="center"/>
    </xf>
    <xf numFmtId="249" fontId="6" fillId="0" borderId="412">
      <alignment vertical="center"/>
    </xf>
    <xf numFmtId="200" fontId="77" fillId="0" borderId="400">
      <alignment vertical="center"/>
    </xf>
    <xf numFmtId="0" fontId="165" fillId="22" borderId="396" applyNumberForma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0" fontId="165" fillId="22" borderId="396" applyNumberFormat="0" applyAlignment="0" applyProtection="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5" fontId="117" fillId="0" borderId="400">
      <alignment vertical="center"/>
    </xf>
    <xf numFmtId="0" fontId="6" fillId="0" borderId="412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0" fontId="56" fillId="0" borderId="412"/>
    <xf numFmtId="0" fontId="50" fillId="3" borderId="413">
      <alignment vertical="center"/>
    </xf>
    <xf numFmtId="244" fontId="117" fillId="0" borderId="412">
      <alignment vertical="center"/>
    </xf>
    <xf numFmtId="239" fontId="117" fillId="0" borderId="412">
      <alignment horizontal="right" vertical="center"/>
    </xf>
    <xf numFmtId="236" fontId="6" fillId="0" borderId="400">
      <alignment vertical="center"/>
    </xf>
    <xf numFmtId="241" fontId="6" fillId="0" borderId="400">
      <alignment horizontal="right" vertical="center"/>
    </xf>
    <xf numFmtId="0" fontId="94" fillId="0" borderId="414">
      <alignment horizontal="centerContinuous" vertical="center"/>
    </xf>
    <xf numFmtId="228" fontId="117" fillId="0" borderId="411" applyBorder="0">
      <alignment vertical="center" wrapText="1"/>
    </xf>
    <xf numFmtId="0" fontId="94" fillId="0" borderId="402">
      <alignment horizontal="centerContinuous" vertical="center"/>
    </xf>
    <xf numFmtId="0" fontId="159" fillId="0" borderId="422" applyNumberFormat="0" applyFill="0" applyAlignment="0" applyProtection="0">
      <alignment vertical="center"/>
    </xf>
    <xf numFmtId="0" fontId="6" fillId="0" borderId="400">
      <alignment horizontal="right" vertical="center" shrinkToFit="1"/>
    </xf>
    <xf numFmtId="49" fontId="117" fillId="0" borderId="400">
      <alignment horizontal="center" vertical="center"/>
    </xf>
    <xf numFmtId="322" fontId="9" fillId="0" borderId="402">
      <alignment horizontal="centerContinuous" vertical="center"/>
    </xf>
    <xf numFmtId="230" fontId="6" fillId="0" borderId="412">
      <alignment vertical="center"/>
    </xf>
    <xf numFmtId="236" fontId="6" fillId="0" borderId="412">
      <alignment vertical="center"/>
    </xf>
    <xf numFmtId="0" fontId="153" fillId="22" borderId="408" applyNumberFormat="0" applyAlignment="0" applyProtection="0">
      <alignment vertical="center"/>
    </xf>
    <xf numFmtId="338" fontId="19" fillId="0" borderId="412"/>
    <xf numFmtId="10" fontId="39" fillId="4" borderId="412" applyNumberFormat="0" applyBorder="0" applyAlignment="0" applyProtection="0"/>
    <xf numFmtId="236" fontId="6" fillId="0" borderId="412">
      <alignment vertical="center"/>
    </xf>
    <xf numFmtId="3" fontId="56" fillId="0" borderId="412"/>
    <xf numFmtId="3" fontId="6" fillId="0" borderId="412"/>
    <xf numFmtId="0" fontId="160" fillId="12" borderId="420" applyNumberFormat="0" applyAlignment="0" applyProtection="0">
      <alignment vertical="center"/>
    </xf>
    <xf numFmtId="3" fontId="57" fillId="0" borderId="412"/>
    <xf numFmtId="234" fontId="117" fillId="0" borderId="412">
      <alignment vertical="center"/>
    </xf>
    <xf numFmtId="0" fontId="9" fillId="0" borderId="415">
      <alignment horizontal="distributed"/>
    </xf>
    <xf numFmtId="338" fontId="19" fillId="0" borderId="412"/>
    <xf numFmtId="0" fontId="50" fillId="3" borderId="413">
      <alignment vertical="center"/>
    </xf>
    <xf numFmtId="0" fontId="54" fillId="28" borderId="421" applyNumberFormat="0" applyFont="0" applyAlignment="0" applyProtection="0">
      <alignment vertical="center"/>
    </xf>
    <xf numFmtId="0" fontId="22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7" fontId="117" fillId="0" borderId="412">
      <alignment horizontal="center" vertical="distributed"/>
    </xf>
    <xf numFmtId="322" fontId="9" fillId="0" borderId="414">
      <alignment horizontal="centerContinuous"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322" fontId="9" fillId="0" borderId="402">
      <alignment horizontal="centerContinuous" vertical="center"/>
    </xf>
    <xf numFmtId="3" fontId="56" fillId="0" borderId="412"/>
    <xf numFmtId="0" fontId="94" fillId="0" borderId="414">
      <alignment horizontal="centerContinuous" vertical="center"/>
    </xf>
    <xf numFmtId="0" fontId="56" fillId="0" borderId="412"/>
    <xf numFmtId="244" fontId="117" fillId="0" borderId="412">
      <alignment vertical="center"/>
    </xf>
    <xf numFmtId="237" fontId="6" fillId="0" borderId="400">
      <alignment vertical="center"/>
    </xf>
    <xf numFmtId="238" fontId="6" fillId="0" borderId="412">
      <alignment vertical="center"/>
    </xf>
    <xf numFmtId="191" fontId="6" fillId="0" borderId="412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18" fontId="6" fillId="0" borderId="412">
      <alignment vertical="center"/>
    </xf>
    <xf numFmtId="0" fontId="6" fillId="0" borderId="412" applyNumberFormat="0" applyFill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94" fillId="0" borderId="414">
      <alignment horizontal="centerContinuous" vertical="center"/>
    </xf>
    <xf numFmtId="0" fontId="160" fillId="1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0" fontId="153" fillId="22" borderId="408" applyNumberFormat="0" applyAlignment="0" applyProtection="0">
      <alignment vertical="center"/>
    </xf>
    <xf numFmtId="322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218" fontId="9" fillId="0" borderId="402">
      <alignment horizontal="centerContinuous" vertical="center"/>
    </xf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3" fontId="57" fillId="0" borderId="400"/>
    <xf numFmtId="0" fontId="94" fillId="0" borderId="402">
      <alignment horizontal="centerContinuous" vertical="center"/>
    </xf>
    <xf numFmtId="0" fontId="9" fillId="0" borderId="415">
      <alignment horizontal="distributed"/>
    </xf>
    <xf numFmtId="240" fontId="6" fillId="0" borderId="412">
      <alignment horizontal="right" vertical="center"/>
    </xf>
    <xf numFmtId="243" fontId="117" fillId="0" borderId="412">
      <alignment vertical="center"/>
    </xf>
    <xf numFmtId="243" fontId="117" fillId="0" borderId="412">
      <alignment vertical="center"/>
    </xf>
    <xf numFmtId="191" fontId="6" fillId="0" borderId="412">
      <alignment vertical="center"/>
    </xf>
    <xf numFmtId="256" fontId="117" fillId="0" borderId="412" applyBorder="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191" fontId="6" fillId="0" borderId="400">
      <alignment vertical="center"/>
    </xf>
    <xf numFmtId="238" fontId="6" fillId="0" borderId="412">
      <alignment vertical="center"/>
    </xf>
    <xf numFmtId="0" fontId="56" fillId="0" borderId="400"/>
    <xf numFmtId="0" fontId="82" fillId="0" borderId="412"/>
    <xf numFmtId="0" fontId="232" fillId="0" borderId="400" applyFont="0" applyFill="0" applyBorder="0" applyAlignment="0" applyProtection="0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191" fontId="6" fillId="0" borderId="400">
      <alignment vertical="center"/>
    </xf>
    <xf numFmtId="191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85" fontId="8" fillId="0" borderId="412">
      <alignment vertical="center"/>
    </xf>
    <xf numFmtId="3" fontId="56" fillId="0" borderId="400"/>
    <xf numFmtId="0" fontId="9" fillId="0" borderId="414">
      <alignment horizontal="centerContinuous" vertical="center"/>
    </xf>
    <xf numFmtId="0" fontId="117" fillId="0" borderId="414">
      <alignment horizontal="centerContinuous"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0" fontId="50" fillId="3" borderId="413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191" fontId="6" fillId="0" borderId="412">
      <alignment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242" fontId="6" fillId="0" borderId="400">
      <alignment horizontal="right" vertical="center"/>
    </xf>
    <xf numFmtId="240" fontId="6" fillId="0" borderId="400">
      <alignment horizontal="right" vertical="center"/>
    </xf>
    <xf numFmtId="0" fontId="94" fillId="0" borderId="414">
      <alignment horizontal="centerContinuous" vertical="center"/>
    </xf>
    <xf numFmtId="206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0" fontId="6" fillId="0" borderId="412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49" fontId="6" fillId="0" borderId="400">
      <alignment vertical="center"/>
    </xf>
    <xf numFmtId="221" fontId="117" fillId="0" borderId="412">
      <alignment vertical="center"/>
    </xf>
    <xf numFmtId="0" fontId="11" fillId="0" borderId="412" applyNumberFormat="0" applyFont="0" applyFill="0" applyAlignment="0" applyProtection="0">
      <alignment horizontal="center" vertical="center"/>
    </xf>
    <xf numFmtId="3" fontId="57" fillId="0" borderId="412"/>
    <xf numFmtId="185" fontId="8" fillId="0" borderId="412">
      <alignment vertical="center"/>
    </xf>
    <xf numFmtId="185" fontId="8" fillId="0" borderId="412">
      <alignment vertical="center"/>
    </xf>
    <xf numFmtId="250" fontId="117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9" fillId="0" borderId="415">
      <alignment horizontal="distributed"/>
    </xf>
    <xf numFmtId="246" fontId="117" fillId="0" borderId="400">
      <alignment vertical="center"/>
    </xf>
    <xf numFmtId="0" fontId="54" fillId="28" borderId="421" applyNumberFormat="0" applyFont="0" applyAlignment="0" applyProtection="0">
      <alignment vertical="center"/>
    </xf>
    <xf numFmtId="49" fontId="60" fillId="0" borderId="405" applyNumberFormat="0" applyAlignment="0"/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5" fontId="117" fillId="0" borderId="400">
      <alignment vertical="center"/>
    </xf>
    <xf numFmtId="236" fontId="6" fillId="0" borderId="412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50" fillId="3" borderId="413">
      <alignment vertical="center"/>
    </xf>
    <xf numFmtId="0" fontId="6" fillId="0" borderId="412">
      <alignment vertical="center"/>
    </xf>
    <xf numFmtId="200" fontId="6" fillId="0" borderId="412">
      <alignment vertical="center"/>
    </xf>
    <xf numFmtId="0" fontId="57" fillId="28" borderId="421" applyNumberFormat="0" applyFon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338" fontId="19" fillId="0" borderId="412"/>
    <xf numFmtId="322" fontId="9" fillId="0" borderId="414">
      <alignment horizontal="centerContinuous" vertical="center"/>
    </xf>
    <xf numFmtId="3" fontId="57" fillId="0" borderId="412"/>
    <xf numFmtId="241" fontId="6" fillId="0" borderId="412">
      <alignment horizontal="right" vertical="center"/>
    </xf>
    <xf numFmtId="0" fontId="159" fillId="0" borderId="410" applyNumberFormat="0" applyFill="0" applyAlignment="0" applyProtection="0">
      <alignment vertical="center"/>
    </xf>
    <xf numFmtId="3" fontId="57" fillId="0" borderId="400"/>
    <xf numFmtId="3" fontId="57" fillId="0" borderId="400"/>
    <xf numFmtId="234" fontId="117" fillId="0" borderId="400">
      <alignment vertical="center"/>
    </xf>
    <xf numFmtId="0" fontId="6" fillId="0" borderId="400">
      <alignment horizontal="right" vertical="center" shrinkToFit="1"/>
    </xf>
    <xf numFmtId="0" fontId="56" fillId="0" borderId="400"/>
    <xf numFmtId="3" fontId="57" fillId="0" borderId="400"/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3" fontId="56" fillId="0" borderId="412"/>
    <xf numFmtId="3" fontId="6" fillId="0" borderId="400"/>
    <xf numFmtId="3" fontId="57" fillId="0" borderId="400"/>
    <xf numFmtId="322" fontId="9" fillId="0" borderId="414">
      <alignment horizontal="centerContinuous" vertical="center"/>
    </xf>
    <xf numFmtId="185" fontId="235" fillId="0" borderId="400"/>
    <xf numFmtId="0" fontId="54" fillId="28" borderId="409" applyNumberFormat="0" applyFont="0" applyAlignment="0" applyProtection="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191" fontId="6" fillId="0" borderId="400">
      <alignment vertical="center"/>
    </xf>
    <xf numFmtId="191" fontId="6" fillId="0" borderId="400">
      <alignment vertical="center"/>
    </xf>
    <xf numFmtId="231" fontId="117" fillId="0" borderId="400">
      <alignment vertical="center"/>
    </xf>
    <xf numFmtId="230" fontId="6" fillId="0" borderId="400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233" fontId="122" fillId="0" borderId="412" applyFill="0" applyBorder="0" applyAlignment="0"/>
    <xf numFmtId="230" fontId="6" fillId="0" borderId="412">
      <alignment vertical="center"/>
    </xf>
    <xf numFmtId="185" fontId="9" fillId="0" borderId="412">
      <alignment horizontal="center" vertical="center"/>
    </xf>
    <xf numFmtId="246" fontId="117" fillId="0" borderId="412">
      <alignment vertical="center"/>
    </xf>
    <xf numFmtId="237" fontId="6" fillId="0" borderId="412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49" fontId="60" fillId="0" borderId="405" applyNumberFormat="0" applyAlignment="0"/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0" fontId="6" fillId="0" borderId="402">
      <alignment horizontal="centerContinuous" vertical="center"/>
    </xf>
    <xf numFmtId="0" fontId="94" fillId="0" borderId="402">
      <alignment horizontal="centerContinuous" vertical="center"/>
    </xf>
    <xf numFmtId="191" fontId="6" fillId="0" borderId="400">
      <alignment vertical="center"/>
    </xf>
    <xf numFmtId="191" fontId="6" fillId="0" borderId="400">
      <alignment vertical="center"/>
    </xf>
    <xf numFmtId="191" fontId="6" fillId="0" borderId="400">
      <alignment vertical="center"/>
    </xf>
    <xf numFmtId="3" fontId="56" fillId="0" borderId="412"/>
    <xf numFmtId="0" fontId="56" fillId="0" borderId="412"/>
    <xf numFmtId="0" fontId="56" fillId="0" borderId="412"/>
    <xf numFmtId="191" fontId="6" fillId="0" borderId="412">
      <alignment vertical="center"/>
    </xf>
    <xf numFmtId="0" fontId="165" fillId="22" borderId="419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34" fillId="0" borderId="412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3" fontId="56" fillId="0" borderId="412"/>
    <xf numFmtId="238" fontId="6" fillId="0" borderId="412">
      <alignment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237" fontId="6" fillId="0" borderId="400">
      <alignment vertical="center"/>
    </xf>
    <xf numFmtId="3" fontId="57" fillId="0" borderId="400"/>
    <xf numFmtId="3" fontId="57" fillId="0" borderId="400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0" fontId="6" fillId="0" borderId="402">
      <alignment horizontal="centerContinuous" vertical="center"/>
    </xf>
    <xf numFmtId="0" fontId="9" fillId="0" borderId="402">
      <alignment horizontal="centerContinuous" vertical="center"/>
    </xf>
    <xf numFmtId="0" fontId="9" fillId="0" borderId="402">
      <alignment horizontal="centerContinuous" vertical="center"/>
    </xf>
    <xf numFmtId="3" fontId="57" fillId="0" borderId="412"/>
    <xf numFmtId="0" fontId="41" fillId="0" borderId="401">
      <alignment horizontal="left" vertical="center"/>
    </xf>
    <xf numFmtId="0" fontId="41" fillId="0" borderId="401">
      <alignment horizontal="left" vertical="center"/>
    </xf>
    <xf numFmtId="3" fontId="56" fillId="0" borderId="412"/>
    <xf numFmtId="0" fontId="92" fillId="0" borderId="412"/>
    <xf numFmtId="236" fontId="6" fillId="0" borderId="400">
      <alignment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185" fillId="22" borderId="407" applyNumberFormat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233" fontId="122" fillId="0" borderId="400" applyFill="0" applyBorder="0" applyAlignment="0"/>
    <xf numFmtId="218" fontId="9" fillId="0" borderId="414">
      <alignment horizontal="centerContinuous" vertical="center"/>
    </xf>
    <xf numFmtId="0" fontId="117" fillId="0" borderId="414">
      <alignment horizontal="centerContinuous" vertical="center"/>
    </xf>
    <xf numFmtId="0" fontId="56" fillId="0" borderId="412"/>
    <xf numFmtId="0" fontId="232" fillId="0" borderId="400" applyFont="0" applyFill="0" applyBorder="0" applyAlignment="0" applyProtection="0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00" fontId="77" fillId="0" borderId="412">
      <alignment vertical="center"/>
    </xf>
    <xf numFmtId="3" fontId="6" fillId="0" borderId="412"/>
    <xf numFmtId="0" fontId="56" fillId="0" borderId="412"/>
    <xf numFmtId="0" fontId="11" fillId="0" borderId="412" applyNumberFormat="0" applyFont="0" applyFill="0" applyAlignment="0" applyProtection="0">
      <alignment horizontal="center" vertical="center"/>
    </xf>
    <xf numFmtId="10" fontId="39" fillId="4" borderId="412" applyNumberFormat="0" applyBorder="0" applyAlignment="0" applyProtection="0"/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41" fontId="135" fillId="0" borderId="412" applyNumberFormat="0">
      <alignment vertical="center"/>
    </xf>
    <xf numFmtId="0" fontId="6" fillId="0" borderId="412">
      <alignment horizontal="right" vertical="center" shrinkToFit="1"/>
    </xf>
    <xf numFmtId="0" fontId="117" fillId="0" borderId="414">
      <alignment horizontal="centerContinuous" vertical="center"/>
    </xf>
    <xf numFmtId="176" fontId="6" fillId="0" borderId="412">
      <alignment vertical="center"/>
    </xf>
    <xf numFmtId="0" fontId="56" fillId="0" borderId="400"/>
    <xf numFmtId="41" fontId="56" fillId="0" borderId="400" applyNumberFormat="0" applyFont="0" applyFill="0" applyBorder="0" applyProtection="0">
      <alignment horizontal="distributed"/>
    </xf>
    <xf numFmtId="0" fontId="6" fillId="0" borderId="400">
      <alignment horizontal="right" vertical="center" shrinkToFit="1"/>
    </xf>
    <xf numFmtId="243" fontId="117" fillId="0" borderId="400">
      <alignment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36" fontId="6" fillId="0" borderId="412">
      <alignment vertical="center"/>
    </xf>
    <xf numFmtId="3" fontId="57" fillId="0" borderId="400"/>
    <xf numFmtId="3" fontId="57" fillId="0" borderId="400"/>
    <xf numFmtId="3" fontId="57" fillId="0" borderId="400"/>
    <xf numFmtId="185" fontId="8" fillId="0" borderId="400">
      <alignment vertical="center"/>
    </xf>
    <xf numFmtId="185" fontId="8" fillId="0" borderId="400">
      <alignment vertical="center"/>
    </xf>
    <xf numFmtId="185" fontId="8" fillId="0" borderId="400">
      <alignment vertical="center"/>
    </xf>
    <xf numFmtId="0" fontId="6" fillId="0" borderId="414">
      <alignment horizontal="centerContinuous" vertical="center"/>
    </xf>
    <xf numFmtId="0" fontId="153" fillId="22" borderId="408" applyNumberFormat="0" applyAlignment="0" applyProtection="0">
      <alignment vertical="center"/>
    </xf>
    <xf numFmtId="3" fontId="57" fillId="0" borderId="412"/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117" fillId="0" borderId="414">
      <alignment horizontal="centerContinuous" vertical="center"/>
    </xf>
    <xf numFmtId="3" fontId="57" fillId="0" borderId="412"/>
    <xf numFmtId="241" fontId="6" fillId="0" borderId="412">
      <alignment horizontal="right" vertical="center"/>
    </xf>
    <xf numFmtId="0" fontId="117" fillId="0" borderId="414">
      <alignment horizontal="centerContinuous" vertical="center"/>
    </xf>
    <xf numFmtId="238" fontId="6" fillId="0" borderId="412">
      <alignment vertical="center"/>
    </xf>
    <xf numFmtId="249" fontId="6" fillId="0" borderId="412">
      <alignment vertical="center"/>
    </xf>
    <xf numFmtId="3" fontId="57" fillId="0" borderId="400"/>
    <xf numFmtId="243" fontId="117" fillId="0" borderId="412">
      <alignment vertical="center"/>
    </xf>
    <xf numFmtId="237" fontId="6" fillId="0" borderId="412">
      <alignment vertical="center"/>
    </xf>
    <xf numFmtId="206" fontId="6" fillId="0" borderId="412">
      <alignment vertical="center"/>
    </xf>
    <xf numFmtId="20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7" fontId="117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38" fontId="6" fillId="0" borderId="412">
      <alignment vertical="center"/>
    </xf>
    <xf numFmtId="0" fontId="92" fillId="0" borderId="412"/>
    <xf numFmtId="256" fontId="117" fillId="0" borderId="412" applyBorder="0">
      <alignment vertical="center"/>
    </xf>
    <xf numFmtId="0" fontId="9" fillId="0" borderId="412">
      <alignment horizontal="distributed" vertical="center"/>
    </xf>
    <xf numFmtId="0" fontId="9" fillId="0" borderId="415">
      <alignment horizontal="distributed"/>
    </xf>
    <xf numFmtId="203" fontId="176" fillId="0" borderId="416" applyFill="0" applyProtection="0">
      <alignment horizontal="center"/>
    </xf>
    <xf numFmtId="49" fontId="60" fillId="0" borderId="405" applyNumberFormat="0" applyAlignment="0"/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239" fontId="117" fillId="0" borderId="412">
      <alignment horizontal="right" vertical="center"/>
    </xf>
    <xf numFmtId="0" fontId="117" fillId="0" borderId="414">
      <alignment horizontal="centerContinuous" vertical="center"/>
    </xf>
    <xf numFmtId="0" fontId="6" fillId="0" borderId="414">
      <alignment horizontal="centerContinuous" vertical="center"/>
    </xf>
    <xf numFmtId="309" fontId="9" fillId="0" borderId="400" applyFill="0" applyBorder="0" applyAlignment="0"/>
    <xf numFmtId="0" fontId="56" fillId="0" borderId="412"/>
    <xf numFmtId="200" fontId="6" fillId="0" borderId="412">
      <alignment vertical="center"/>
    </xf>
    <xf numFmtId="322" fontId="9" fillId="0" borderId="414">
      <alignment horizontal="centerContinuous"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8" fontId="117" fillId="0" borderId="412">
      <alignment vertical="center"/>
    </xf>
    <xf numFmtId="240" fontId="6" fillId="0" borderId="412">
      <alignment horizontal="right" vertical="center"/>
    </xf>
    <xf numFmtId="242" fontId="6" fillId="0" borderId="412">
      <alignment horizontal="right" vertical="center"/>
    </xf>
    <xf numFmtId="241" fontId="6" fillId="0" borderId="412">
      <alignment horizontal="right" vertical="center"/>
    </xf>
    <xf numFmtId="233" fontId="122" fillId="0" borderId="400" applyFill="0" applyBorder="0" applyAlignment="0"/>
    <xf numFmtId="236" fontId="6" fillId="0" borderId="412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0" fontId="6" fillId="0" borderId="412">
      <alignment vertical="center"/>
    </xf>
    <xf numFmtId="218" fontId="6" fillId="0" borderId="412">
      <alignment vertical="center"/>
    </xf>
    <xf numFmtId="200" fontId="77" fillId="0" borderId="412">
      <alignment vertical="center"/>
    </xf>
    <xf numFmtId="0" fontId="6" fillId="0" borderId="412" applyNumberFormat="0" applyFill="0" applyProtection="0">
      <alignment vertical="center"/>
    </xf>
    <xf numFmtId="256" fontId="117" fillId="0" borderId="412" applyBorder="0">
      <alignment vertical="center"/>
    </xf>
    <xf numFmtId="0" fontId="94" fillId="0" borderId="414">
      <alignment horizontal="centerContinuous"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10" fontId="39" fillId="2" borderId="412" applyNumberFormat="0" applyBorder="0" applyAlignment="0" applyProtection="0"/>
    <xf numFmtId="218" fontId="9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41" fontId="135" fillId="0" borderId="400" applyNumberFormat="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06" fontId="6" fillId="0" borderId="412">
      <alignment vertical="center"/>
    </xf>
    <xf numFmtId="185" fontId="235" fillId="0" borderId="400"/>
    <xf numFmtId="0" fontId="94" fillId="0" borderId="414">
      <alignment horizontal="centerContinuous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0" fontId="9" fillId="0" borderId="403">
      <alignment horizontal="distributed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6" fontId="6" fillId="0" borderId="400">
      <alignment vertical="center"/>
    </xf>
    <xf numFmtId="242" fontId="6" fillId="0" borderId="400">
      <alignment horizontal="right" vertical="center"/>
    </xf>
    <xf numFmtId="0" fontId="185" fillId="22" borderId="419" applyNumberFormat="0" applyAlignment="0" applyProtection="0">
      <alignment vertical="center"/>
    </xf>
    <xf numFmtId="338" fontId="19" fillId="0" borderId="412"/>
    <xf numFmtId="0" fontId="9" fillId="0" borderId="412">
      <alignment horizontal="distributed" vertical="center"/>
    </xf>
    <xf numFmtId="0" fontId="50" fillId="3" borderId="401">
      <alignment vertical="center"/>
    </xf>
    <xf numFmtId="0" fontId="50" fillId="3" borderId="401">
      <alignment vertical="center"/>
    </xf>
    <xf numFmtId="3" fontId="57" fillId="0" borderId="412"/>
    <xf numFmtId="236" fontId="6" fillId="0" borderId="412">
      <alignment vertical="center"/>
    </xf>
    <xf numFmtId="257" fontId="117" fillId="0" borderId="412" applyBorder="0">
      <alignment horizontal="left" vertical="center"/>
    </xf>
    <xf numFmtId="0" fontId="134" fillId="0" borderId="412">
      <alignment vertical="center"/>
    </xf>
    <xf numFmtId="191" fontId="6" fillId="0" borderId="412">
      <alignment vertical="center"/>
    </xf>
    <xf numFmtId="0" fontId="6" fillId="0" borderId="414">
      <alignment horizontal="centerContinuous" vertical="center"/>
    </xf>
    <xf numFmtId="3" fontId="57" fillId="0" borderId="412"/>
    <xf numFmtId="322" fontId="9" fillId="0" borderId="414">
      <alignment horizontal="centerContinuous" vertical="center"/>
    </xf>
    <xf numFmtId="243" fontId="117" fillId="0" borderId="412">
      <alignment vertical="center"/>
    </xf>
    <xf numFmtId="0" fontId="94" fillId="0" borderId="402">
      <alignment horizontal="centerContinuous" vertical="center"/>
    </xf>
    <xf numFmtId="0" fontId="94" fillId="0" borderId="402">
      <alignment horizontal="centerContinuous" vertical="center"/>
    </xf>
    <xf numFmtId="0" fontId="6" fillId="0" borderId="402">
      <alignment horizontal="centerContinuous" vertical="center"/>
    </xf>
    <xf numFmtId="10" fontId="39" fillId="2" borderId="412" applyNumberFormat="0" applyBorder="0" applyAlignment="0" applyProtection="0"/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10" fontId="39" fillId="2" borderId="412" applyNumberFormat="0" applyBorder="0" applyAlignment="0" applyProtection="0"/>
    <xf numFmtId="3" fontId="57" fillId="0" borderId="412"/>
    <xf numFmtId="3" fontId="57" fillId="0" borderId="412"/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36" fontId="6" fillId="0" borderId="412">
      <alignment vertical="center"/>
    </xf>
    <xf numFmtId="236" fontId="6" fillId="0" borderId="412">
      <alignment vertical="center"/>
    </xf>
    <xf numFmtId="0" fontId="94" fillId="0" borderId="414">
      <alignment horizontal="centerContinuous" vertical="center"/>
    </xf>
    <xf numFmtId="191" fontId="6" fillId="0" borderId="412">
      <alignment vertical="center"/>
    </xf>
    <xf numFmtId="249" fontId="6" fillId="0" borderId="412">
      <alignment vertical="center"/>
    </xf>
    <xf numFmtId="0" fontId="6" fillId="0" borderId="414">
      <alignment horizontal="centerContinuous" vertical="center"/>
    </xf>
    <xf numFmtId="0" fontId="117" fillId="0" borderId="414">
      <alignment horizontal="centerContinuous" vertical="center"/>
    </xf>
    <xf numFmtId="250" fontId="117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322" fontId="9" fillId="0" borderId="414">
      <alignment horizontal="centerContinuous" vertical="center"/>
    </xf>
    <xf numFmtId="3" fontId="57" fillId="0" borderId="412"/>
    <xf numFmtId="191" fontId="6" fillId="0" borderId="412">
      <alignment vertical="center"/>
    </xf>
    <xf numFmtId="191" fontId="6" fillId="0" borderId="412">
      <alignment vertical="center"/>
    </xf>
    <xf numFmtId="23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56" fontId="117" fillId="0" borderId="400" applyBorder="0">
      <alignment vertical="center"/>
    </xf>
    <xf numFmtId="256" fontId="117" fillId="0" borderId="400" applyBorder="0">
      <alignment vertical="center"/>
    </xf>
    <xf numFmtId="0" fontId="9" fillId="0" borderId="400">
      <alignment horizontal="distributed" vertical="center"/>
    </xf>
    <xf numFmtId="0" fontId="9" fillId="0" borderId="400">
      <alignment horizontal="distributed" vertical="center"/>
    </xf>
    <xf numFmtId="338" fontId="19" fillId="0" borderId="400"/>
    <xf numFmtId="338" fontId="19" fillId="0" borderId="400"/>
    <xf numFmtId="338" fontId="19" fillId="0" borderId="400"/>
    <xf numFmtId="203" fontId="176" fillId="0" borderId="404" applyFill="0" applyProtection="0">
      <alignment horizontal="center"/>
    </xf>
    <xf numFmtId="0" fontId="153" fillId="22" borderId="408" applyNumberFormat="0" applyAlignment="0" applyProtection="0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0" fontId="159" fillId="0" borderId="410" applyNumberFormat="0" applyFill="0" applyAlignment="0" applyProtection="0">
      <alignment vertical="center"/>
    </xf>
    <xf numFmtId="0" fontId="6" fillId="0" borderId="412" applyNumberFormat="0" applyFill="0" applyProtection="0">
      <alignment vertical="center"/>
    </xf>
    <xf numFmtId="0" fontId="9" fillId="0" borderId="415">
      <alignment horizontal="distributed"/>
    </xf>
    <xf numFmtId="3" fontId="57" fillId="0" borderId="412"/>
    <xf numFmtId="240" fontId="6" fillId="0" borderId="412">
      <alignment horizontal="right" vertical="center"/>
    </xf>
    <xf numFmtId="236" fontId="6" fillId="0" borderId="400">
      <alignment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234" fontId="117" fillId="0" borderId="412">
      <alignment vertical="center"/>
    </xf>
    <xf numFmtId="256" fontId="117" fillId="0" borderId="412" applyBorder="0">
      <alignment vertical="center"/>
    </xf>
    <xf numFmtId="0" fontId="9" fillId="0" borderId="415">
      <alignment horizontal="distributed"/>
    </xf>
    <xf numFmtId="0" fontId="9" fillId="0" borderId="412">
      <alignment horizontal="distributed" vertical="center"/>
    </xf>
    <xf numFmtId="238" fontId="6" fillId="0" borderId="412">
      <alignment vertical="center"/>
    </xf>
    <xf numFmtId="0" fontId="117" fillId="0" borderId="414">
      <alignment horizontal="centerContinuous" vertical="center"/>
    </xf>
    <xf numFmtId="256" fontId="117" fillId="0" borderId="412" applyBorder="0">
      <alignment vertical="center"/>
    </xf>
    <xf numFmtId="322" fontId="9" fillId="0" borderId="414">
      <alignment horizontal="centerContinuous" vertical="center"/>
    </xf>
    <xf numFmtId="0" fontId="54" fillId="28" borderId="421" applyNumberFormat="0" applyFont="0" applyAlignment="0" applyProtection="0">
      <alignment vertical="center"/>
    </xf>
    <xf numFmtId="0" fontId="9" fillId="0" borderId="415">
      <alignment horizontal="distributed"/>
    </xf>
    <xf numFmtId="0" fontId="56" fillId="0" borderId="412"/>
    <xf numFmtId="0" fontId="56" fillId="0" borderId="412"/>
    <xf numFmtId="3" fontId="56" fillId="0" borderId="412"/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" fillId="0" borderId="415">
      <alignment horizontal="distributed"/>
    </xf>
    <xf numFmtId="0" fontId="50" fillId="3" borderId="413">
      <alignment vertical="center"/>
    </xf>
    <xf numFmtId="244" fontId="117" fillId="0" borderId="412">
      <alignment vertical="center"/>
    </xf>
    <xf numFmtId="244" fontId="117" fillId="0" borderId="412">
      <alignment vertical="center"/>
    </xf>
    <xf numFmtId="243" fontId="117" fillId="0" borderId="412">
      <alignment vertical="center"/>
    </xf>
    <xf numFmtId="234" fontId="117" fillId="0" borderId="412">
      <alignment vertical="center"/>
    </xf>
    <xf numFmtId="0" fontId="41" fillId="0" borderId="413">
      <alignment horizontal="left" vertical="center"/>
    </xf>
    <xf numFmtId="0" fontId="41" fillId="0" borderId="413">
      <alignment horizontal="left" vertical="center"/>
    </xf>
    <xf numFmtId="0" fontId="41" fillId="0" borderId="413">
      <alignment horizontal="left" vertical="center"/>
    </xf>
    <xf numFmtId="3" fontId="57" fillId="0" borderId="412"/>
    <xf numFmtId="3" fontId="57" fillId="0" borderId="412"/>
    <xf numFmtId="3" fontId="57" fillId="0" borderId="412"/>
    <xf numFmtId="0" fontId="41" fillId="0" borderId="413">
      <alignment horizontal="left" vertical="center"/>
    </xf>
    <xf numFmtId="185" fontId="8" fillId="0" borderId="412">
      <alignment vertical="center"/>
    </xf>
    <xf numFmtId="248" fontId="117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06" fontId="6" fillId="0" borderId="412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49" fontId="60" fillId="0" borderId="405" applyNumberFormat="0" applyAlignment="0"/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10" fontId="39" fillId="4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0" fontId="41" fillId="0" borderId="401">
      <alignment horizontal="left" vertical="center"/>
    </xf>
    <xf numFmtId="191" fontId="6" fillId="0" borderId="412">
      <alignment vertical="center"/>
    </xf>
    <xf numFmtId="230" fontId="6" fillId="0" borderId="400">
      <alignment vertical="center"/>
    </xf>
    <xf numFmtId="230" fontId="6" fillId="0" borderId="400">
      <alignment vertical="center"/>
    </xf>
    <xf numFmtId="240" fontId="6" fillId="0" borderId="400">
      <alignment horizontal="right" vertical="center"/>
    </xf>
    <xf numFmtId="241" fontId="6" fillId="0" borderId="400">
      <alignment horizontal="right" vertical="center"/>
    </xf>
    <xf numFmtId="248" fontId="117" fillId="0" borderId="400">
      <alignment vertical="center"/>
    </xf>
    <xf numFmtId="322" fontId="9" fillId="0" borderId="414">
      <alignment horizontal="centerContinuous" vertical="center"/>
    </xf>
    <xf numFmtId="238" fontId="6" fillId="0" borderId="412">
      <alignment vertical="center"/>
    </xf>
    <xf numFmtId="236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56" fillId="0" borderId="412"/>
    <xf numFmtId="0" fontId="54" fillId="28" borderId="421" applyNumberFormat="0" applyFont="0" applyAlignment="0" applyProtection="0">
      <alignment vertical="center"/>
    </xf>
    <xf numFmtId="0" fontId="6" fillId="0" borderId="414">
      <alignment horizontal="centerContinuous" vertical="center"/>
    </xf>
    <xf numFmtId="200" fontId="6" fillId="0" borderId="412">
      <alignment vertical="center"/>
    </xf>
    <xf numFmtId="200" fontId="6" fillId="0" borderId="412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85" fillId="22" borderId="419" applyNumberFormat="0" applyAlignment="0" applyProtection="0">
      <alignment vertical="center"/>
    </xf>
    <xf numFmtId="0" fontId="50" fillId="3" borderId="413">
      <alignment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0" fontId="94" fillId="0" borderId="402">
      <alignment horizontal="centerContinuous" vertical="center"/>
    </xf>
    <xf numFmtId="322" fontId="9" fillId="0" borderId="402">
      <alignment horizontal="centerContinuous" vertical="center"/>
    </xf>
    <xf numFmtId="322" fontId="9" fillId="0" borderId="402">
      <alignment horizontal="centerContinuous" vertical="center"/>
    </xf>
    <xf numFmtId="247" fontId="117" fillId="0" borderId="400">
      <alignment vertical="center"/>
    </xf>
    <xf numFmtId="176" fontId="6" fillId="0" borderId="400">
      <alignment vertical="center"/>
    </xf>
    <xf numFmtId="191" fontId="6" fillId="0" borderId="412">
      <alignment vertical="center"/>
    </xf>
    <xf numFmtId="0" fontId="56" fillId="0" borderId="412"/>
    <xf numFmtId="3" fontId="56" fillId="0" borderId="412"/>
    <xf numFmtId="0" fontId="6" fillId="0" borderId="412">
      <alignment horizontal="right" vertical="center" shrinkToFit="1"/>
    </xf>
    <xf numFmtId="256" fontId="117" fillId="0" borderId="400" applyBorder="0">
      <alignment vertical="center"/>
    </xf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92" fillId="0" borderId="400"/>
    <xf numFmtId="0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3" fontId="56" fillId="0" borderId="400"/>
    <xf numFmtId="0" fontId="117" fillId="0" borderId="414">
      <alignment horizontal="centerContinuous" vertical="center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41" fontId="56" fillId="0" borderId="400" applyNumberFormat="0" applyFont="0" applyFill="0" applyBorder="0" applyProtection="0">
      <alignment horizontal="distributed"/>
    </xf>
    <xf numFmtId="244" fontId="117" fillId="0" borderId="400">
      <alignment vertical="center"/>
    </xf>
    <xf numFmtId="244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10" fontId="39" fillId="4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0" fontId="56" fillId="0" borderId="412"/>
    <xf numFmtId="0" fontId="56" fillId="0" borderId="412"/>
    <xf numFmtId="0" fontId="56" fillId="0" borderId="412"/>
    <xf numFmtId="236" fontId="6" fillId="0" borderId="412">
      <alignment vertical="center"/>
    </xf>
    <xf numFmtId="237" fontId="6" fillId="0" borderId="412">
      <alignment vertical="center"/>
    </xf>
    <xf numFmtId="0" fontId="159" fillId="0" borderId="422" applyNumberFormat="0" applyFill="0" applyAlignment="0" applyProtection="0">
      <alignment vertical="center"/>
    </xf>
    <xf numFmtId="0" fontId="186" fillId="0" borderId="412" applyProtection="0">
      <alignment vertical="center"/>
    </xf>
    <xf numFmtId="0" fontId="9" fillId="0" borderId="414">
      <alignment horizontal="centerContinuous" vertical="center"/>
    </xf>
    <xf numFmtId="0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00" fontId="6" fillId="0" borderId="412">
      <alignment vertical="center"/>
    </xf>
    <xf numFmtId="41" fontId="56" fillId="0" borderId="412" applyNumberFormat="0" applyFont="0" applyFill="0" applyBorder="0" applyProtection="0">
      <alignment horizontal="distributed"/>
    </xf>
    <xf numFmtId="218" fontId="6" fillId="0" borderId="400">
      <alignment vertical="center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176" fontId="6" fillId="0" borderId="400">
      <alignment vertical="center"/>
    </xf>
    <xf numFmtId="200" fontId="6" fillId="0" borderId="400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322" fontId="9" fillId="0" borderId="414">
      <alignment horizontal="centerContinuous" vertical="center"/>
    </xf>
    <xf numFmtId="3" fontId="6" fillId="0" borderId="400"/>
    <xf numFmtId="0" fontId="92" fillId="0" borderId="400"/>
    <xf numFmtId="0" fontId="56" fillId="0" borderId="400"/>
    <xf numFmtId="0" fontId="94" fillId="0" borderId="414">
      <alignment horizontal="centerContinuous" vertical="center"/>
    </xf>
    <xf numFmtId="0" fontId="41" fillId="0" borderId="401">
      <alignment horizontal="left" vertical="center"/>
    </xf>
    <xf numFmtId="0" fontId="6" fillId="0" borderId="412">
      <alignment horizontal="right" vertical="center" shrinkToFit="1"/>
    </xf>
    <xf numFmtId="41" fontId="56" fillId="0" borderId="412" applyNumberFormat="0" applyFont="0" applyFill="0" applyBorder="0" applyProtection="0">
      <alignment horizontal="distributed"/>
    </xf>
    <xf numFmtId="0" fontId="165" fillId="22" borderId="407" applyNumberFormat="0" applyAlignment="0" applyProtection="0">
      <alignment vertical="center"/>
    </xf>
    <xf numFmtId="0" fontId="54" fillId="28" borderId="409" applyNumberFormat="0" applyFont="0" applyAlignment="0" applyProtection="0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" fontId="56" fillId="0" borderId="412"/>
    <xf numFmtId="3" fontId="56" fillId="0" borderId="412"/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244" fontId="117" fillId="0" borderId="412">
      <alignment vertical="center"/>
    </xf>
    <xf numFmtId="0" fontId="41" fillId="0" borderId="413">
      <alignment horizontal="left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250" fontId="117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0" fontId="232" fillId="0" borderId="412" applyFont="0" applyFill="0" applyBorder="0" applyAlignment="0" applyProtection="0">
      <alignment horizontal="centerContinuous" vertical="center"/>
    </xf>
    <xf numFmtId="309" fontId="9" fillId="0" borderId="400" applyFill="0" applyBorder="0" applyAlignment="0"/>
    <xf numFmtId="237" fontId="6" fillId="0" borderId="412">
      <alignment vertical="center"/>
    </xf>
    <xf numFmtId="238" fontId="6" fillId="0" borderId="412">
      <alignment vertical="center"/>
    </xf>
    <xf numFmtId="191" fontId="6" fillId="0" borderId="412">
      <alignment vertical="center"/>
    </xf>
    <xf numFmtId="228" fontId="117" fillId="0" borderId="411" applyBorder="0">
      <alignment vertical="center" wrapText="1"/>
    </xf>
    <xf numFmtId="322" fontId="9" fillId="0" borderId="414">
      <alignment horizontal="centerContinuous" vertical="center"/>
    </xf>
    <xf numFmtId="240" fontId="6" fillId="0" borderId="412">
      <alignment horizontal="right" vertical="center"/>
    </xf>
    <xf numFmtId="0" fontId="184" fillId="0" borderId="400" applyFill="0" applyBorder="0" applyProtection="0">
      <alignment vertical="center"/>
    </xf>
    <xf numFmtId="0" fontId="41" fillId="0" borderId="413">
      <alignment horizontal="left" vertical="center"/>
    </xf>
    <xf numFmtId="191" fontId="6" fillId="0" borderId="412">
      <alignment vertical="center"/>
    </xf>
    <xf numFmtId="0" fontId="94" fillId="0" borderId="414">
      <alignment horizontal="centerContinuous" vertical="center"/>
    </xf>
    <xf numFmtId="218" fontId="9" fillId="0" borderId="414">
      <alignment horizontal="centerContinuous" vertical="center"/>
    </xf>
    <xf numFmtId="240" fontId="6" fillId="0" borderId="412">
      <alignment horizontal="right" vertical="center"/>
    </xf>
    <xf numFmtId="234" fontId="117" fillId="0" borderId="412">
      <alignment vertical="center"/>
    </xf>
    <xf numFmtId="10" fontId="39" fillId="4" borderId="412" applyNumberFormat="0" applyBorder="0" applyAlignment="0" applyProtection="0"/>
    <xf numFmtId="0" fontId="50" fillId="3" borderId="401">
      <alignment vertical="center"/>
    </xf>
    <xf numFmtId="0" fontId="50" fillId="3" borderId="401">
      <alignment vertical="center"/>
    </xf>
    <xf numFmtId="243" fontId="117" fillId="0" borderId="412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4" fontId="117" fillId="0" borderId="412">
      <alignment vertical="center"/>
    </xf>
    <xf numFmtId="241" fontId="6" fillId="0" borderId="412">
      <alignment horizontal="right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159" fillId="0" borderId="410" applyNumberFormat="0" applyFill="0" applyAlignment="0" applyProtection="0">
      <alignment vertical="center"/>
    </xf>
    <xf numFmtId="322" fontId="9" fillId="0" borderId="414">
      <alignment horizontal="centerContinuous" vertical="center"/>
    </xf>
    <xf numFmtId="241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56" fontId="117" fillId="0" borderId="412" applyBorder="0">
      <alignment vertical="center"/>
    </xf>
    <xf numFmtId="228" fontId="117" fillId="0" borderId="423" applyBorder="0">
      <alignment vertical="center" wrapText="1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3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30" fontId="6" fillId="0" borderId="412">
      <alignment vertical="center"/>
    </xf>
    <xf numFmtId="236" fontId="6" fillId="0" borderId="412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0" fontId="6" fillId="0" borderId="400">
      <alignment horizontal="right" vertical="center" shrinkToFit="1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43" fontId="117" fillId="0" borderId="400">
      <alignment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9" fontId="117" fillId="0" borderId="400">
      <alignment horizontal="right"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234" fontId="117" fillId="0" borderId="400">
      <alignment vertical="center"/>
    </xf>
    <xf numFmtId="10" fontId="39" fillId="4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0" fontId="39" fillId="2" borderId="400" applyNumberFormat="0" applyBorder="0" applyAlignment="0" applyProtection="0"/>
    <xf numFmtId="185" fontId="8" fillId="0" borderId="400">
      <alignment vertical="center"/>
    </xf>
    <xf numFmtId="3" fontId="6" fillId="0" borderId="412"/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38" fontId="6" fillId="0" borderId="412">
      <alignment vertical="center"/>
    </xf>
    <xf numFmtId="236" fontId="6" fillId="0" borderId="412">
      <alignment vertical="center"/>
    </xf>
    <xf numFmtId="257" fontId="117" fillId="0" borderId="412" applyBorder="0">
      <alignment horizontal="left" vertical="center"/>
    </xf>
    <xf numFmtId="0" fontId="41" fillId="0" borderId="413">
      <alignment horizontal="left" vertical="center"/>
    </xf>
    <xf numFmtId="206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241" fontId="6" fillId="0" borderId="400">
      <alignment horizontal="right" vertical="center"/>
    </xf>
    <xf numFmtId="240" fontId="6" fillId="0" borderId="400">
      <alignment horizontal="right" vertical="center"/>
    </xf>
    <xf numFmtId="240" fontId="6" fillId="0" borderId="400">
      <alignment horizontal="right" vertical="center"/>
    </xf>
    <xf numFmtId="0" fontId="57" fillId="28" borderId="421" applyNumberFormat="0" applyFont="0" applyAlignment="0" applyProtection="0">
      <alignment vertical="center"/>
    </xf>
    <xf numFmtId="0" fontId="82" fillId="0" borderId="400"/>
    <xf numFmtId="185" fontId="8" fillId="0" borderId="400">
      <alignment vertical="center"/>
    </xf>
    <xf numFmtId="185" fontId="8" fillId="0" borderId="400">
      <alignment vertical="center"/>
    </xf>
    <xf numFmtId="3" fontId="57" fillId="0" borderId="400"/>
    <xf numFmtId="0" fontId="94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57" fillId="28" borderId="409" applyNumberFormat="0" applyFont="0" applyAlignment="0" applyProtection="0">
      <alignment vertical="center"/>
    </xf>
    <xf numFmtId="0" fontId="57" fillId="28" borderId="409" applyNumberFormat="0" applyFont="0" applyAlignment="0" applyProtection="0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185" fontId="9" fillId="0" borderId="412">
      <alignment horizontal="center" vertical="center"/>
    </xf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185" fontId="8" fillId="0" borderId="412">
      <alignment vertical="center"/>
    </xf>
    <xf numFmtId="185" fontId="8" fillId="0" borderId="412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232" fillId="0" borderId="400" applyFont="0" applyFill="0" applyBorder="0" applyAlignment="0" applyProtection="0">
      <alignment horizontal="centerContinuous" vertical="center"/>
    </xf>
    <xf numFmtId="236" fontId="6" fillId="0" borderId="412">
      <alignment vertical="center"/>
    </xf>
    <xf numFmtId="237" fontId="6" fillId="0" borderId="412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159" fillId="0" borderId="410" applyNumberFormat="0" applyFill="0" applyAlignment="0" applyProtection="0">
      <alignment vertical="center"/>
    </xf>
    <xf numFmtId="0" fontId="224" fillId="0" borderId="414">
      <alignment horizontal="centerContinuous" vertical="center"/>
    </xf>
    <xf numFmtId="0" fontId="92" fillId="0" borderId="412"/>
    <xf numFmtId="0" fontId="92" fillId="0" borderId="412"/>
    <xf numFmtId="3" fontId="56" fillId="0" borderId="412"/>
    <xf numFmtId="3" fontId="56" fillId="0" borderId="412"/>
    <xf numFmtId="236" fontId="6" fillId="0" borderId="412">
      <alignment vertical="center"/>
    </xf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41" fontId="56" fillId="0" borderId="412" applyNumberFormat="0" applyFont="0" applyFill="0" applyBorder="0" applyProtection="0">
      <alignment horizontal="distributed"/>
    </xf>
    <xf numFmtId="0" fontId="6" fillId="0" borderId="412">
      <alignment horizontal="right" vertical="center" shrinkToFit="1"/>
    </xf>
    <xf numFmtId="0" fontId="6" fillId="0" borderId="412">
      <alignment horizontal="right" vertical="center" shrinkToFit="1"/>
    </xf>
    <xf numFmtId="0" fontId="50" fillId="3" borderId="413">
      <alignment vertical="center"/>
    </xf>
    <xf numFmtId="0" fontId="50" fillId="3" borderId="413">
      <alignment vertical="center"/>
    </xf>
    <xf numFmtId="244" fontId="117" fillId="0" borderId="412">
      <alignment vertical="center"/>
    </xf>
    <xf numFmtId="244" fontId="117" fillId="0" borderId="412">
      <alignment vertical="center"/>
    </xf>
    <xf numFmtId="244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39" fontId="117" fillId="0" borderId="412">
      <alignment horizontal="right" vertical="center"/>
    </xf>
    <xf numFmtId="239" fontId="117" fillId="0" borderId="412">
      <alignment horizontal="right" vertical="center"/>
    </xf>
    <xf numFmtId="239" fontId="117" fillId="0" borderId="412">
      <alignment horizontal="right" vertical="center"/>
    </xf>
    <xf numFmtId="234" fontId="117" fillId="0" borderId="412">
      <alignment vertical="center"/>
    </xf>
    <xf numFmtId="234" fontId="117" fillId="0" borderId="412">
      <alignment vertical="center"/>
    </xf>
    <xf numFmtId="234" fontId="117" fillId="0" borderId="412">
      <alignment vertical="center"/>
    </xf>
    <xf numFmtId="10" fontId="39" fillId="2" borderId="412" applyNumberFormat="0" applyBorder="0" applyAlignment="0" applyProtection="0"/>
    <xf numFmtId="10" fontId="39" fillId="2" borderId="412" applyNumberFormat="0" applyBorder="0" applyAlignment="0" applyProtection="0"/>
    <xf numFmtId="0" fontId="41" fillId="0" borderId="413">
      <alignment horizontal="left" vertical="center"/>
    </xf>
    <xf numFmtId="0" fontId="41" fillId="0" borderId="413">
      <alignment horizontal="left" vertical="center"/>
    </xf>
    <xf numFmtId="0" fontId="82" fillId="0" borderId="412"/>
    <xf numFmtId="3" fontId="57" fillId="0" borderId="412"/>
    <xf numFmtId="3" fontId="57" fillId="0" borderId="412"/>
    <xf numFmtId="3" fontId="57" fillId="0" borderId="412"/>
    <xf numFmtId="3" fontId="57" fillId="0" borderId="412"/>
    <xf numFmtId="3" fontId="57" fillId="0" borderId="412"/>
    <xf numFmtId="3" fontId="57" fillId="0" borderId="412"/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11" fillId="0" borderId="412" applyNumberFormat="0" applyFont="0" applyFill="0" applyAlignment="0" applyProtection="0">
      <alignment horizontal="center" vertical="center"/>
    </xf>
    <xf numFmtId="236" fontId="6" fillId="0" borderId="412">
      <alignment vertical="center"/>
    </xf>
    <xf numFmtId="236" fontId="6" fillId="0" borderId="412">
      <alignment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0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0" fontId="6" fillId="0" borderId="412">
      <alignment horizontal="right" vertical="center"/>
    </xf>
    <xf numFmtId="206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50" fillId="3" borderId="413">
      <alignment vertical="center"/>
    </xf>
    <xf numFmtId="49" fontId="60" fillId="0" borderId="405" applyNumberFormat="0" applyAlignment="0"/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185" fontId="8" fillId="0" borderId="412">
      <alignment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23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3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0" fontId="50" fillId="3" borderId="413">
      <alignment vertical="center"/>
    </xf>
    <xf numFmtId="185" fontId="235" fillId="0" borderId="400"/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236" fontId="6" fillId="0" borderId="412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256" fontId="117" fillId="0" borderId="412" applyBorder="0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191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91" fontId="6" fillId="0" borderId="412">
      <alignment vertical="center"/>
    </xf>
    <xf numFmtId="0" fontId="92" fillId="0" borderId="412"/>
    <xf numFmtId="0" fontId="92" fillId="0" borderId="412"/>
    <xf numFmtId="0" fontId="92" fillId="0" borderId="412"/>
    <xf numFmtId="0" fontId="92" fillId="0" borderId="412"/>
    <xf numFmtId="233" fontId="122" fillId="0" borderId="412" applyFill="0" applyBorder="0" applyAlignment="0"/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117" fillId="0" borderId="414">
      <alignment horizontal="centerContinuous" vertical="center"/>
    </xf>
    <xf numFmtId="244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239" fontId="117" fillId="0" borderId="412">
      <alignment horizontal="right" vertical="center"/>
    </xf>
    <xf numFmtId="239" fontId="117" fillId="0" borderId="412">
      <alignment horizontal="right" vertical="center"/>
    </xf>
    <xf numFmtId="236" fontId="6" fillId="0" borderId="412">
      <alignment vertical="center"/>
    </xf>
    <xf numFmtId="0" fontId="134" fillId="0" borderId="412">
      <alignment vertical="center"/>
    </xf>
    <xf numFmtId="41" fontId="135" fillId="0" borderId="412" applyNumberFormat="0">
      <alignment vertical="center"/>
    </xf>
    <xf numFmtId="206" fontId="6" fillId="0" borderId="412">
      <alignment vertical="center"/>
    </xf>
    <xf numFmtId="3" fontId="57" fillId="0" borderId="412"/>
    <xf numFmtId="185" fontId="8" fillId="0" borderId="400">
      <alignment vertical="center"/>
    </xf>
    <xf numFmtId="185" fontId="8" fillId="0" borderId="400">
      <alignment vertical="center"/>
    </xf>
    <xf numFmtId="230" fontId="6" fillId="0" borderId="412">
      <alignment vertical="center"/>
    </xf>
    <xf numFmtId="243" fontId="117" fillId="0" borderId="412">
      <alignment vertical="center"/>
    </xf>
    <xf numFmtId="243" fontId="117" fillId="0" borderId="412">
      <alignment vertical="center"/>
    </xf>
    <xf numFmtId="3" fontId="57" fillId="0" borderId="412"/>
    <xf numFmtId="3" fontId="57" fillId="0" borderId="412"/>
    <xf numFmtId="10" fontId="39" fillId="4" borderId="412" applyNumberFormat="0" applyBorder="0" applyAlignment="0" applyProtection="0"/>
    <xf numFmtId="250" fontId="117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00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49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218" fontId="6" fillId="0" borderId="400">
      <alignment vertical="center"/>
    </xf>
    <xf numFmtId="176" fontId="6" fillId="0" borderId="400">
      <alignment vertical="center"/>
    </xf>
    <xf numFmtId="0" fontId="6" fillId="0" borderId="400">
      <alignment vertical="center"/>
    </xf>
    <xf numFmtId="0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20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176" fontId="6" fillId="0" borderId="400">
      <alignment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241" fontId="6" fillId="0" borderId="400">
      <alignment horizontal="right" vertical="center"/>
    </xf>
    <xf numFmtId="0" fontId="117" fillId="0" borderId="414">
      <alignment horizontal="centerContinuous"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6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8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237" fontId="6" fillId="0" borderId="400">
      <alignment vertical="center"/>
    </xf>
    <xf numFmtId="176" fontId="6" fillId="0" borderId="412">
      <alignment vertical="center"/>
    </xf>
    <xf numFmtId="10" fontId="39" fillId="4" borderId="412" applyNumberFormat="0" applyBorder="0" applyAlignment="0" applyProtection="0"/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322" fontId="9" fillId="0" borderId="414">
      <alignment horizontal="centerContinuous" vertical="center"/>
    </xf>
    <xf numFmtId="185" fontId="8" fillId="0" borderId="412">
      <alignment vertical="center"/>
    </xf>
    <xf numFmtId="3" fontId="57" fillId="0" borderId="412"/>
    <xf numFmtId="3" fontId="57" fillId="0" borderId="412"/>
    <xf numFmtId="3" fontId="57" fillId="0" borderId="412"/>
    <xf numFmtId="3" fontId="57" fillId="0" borderId="412"/>
    <xf numFmtId="3" fontId="57" fillId="0" borderId="412"/>
    <xf numFmtId="3" fontId="57" fillId="0" borderId="412"/>
    <xf numFmtId="0" fontId="82" fillId="0" borderId="412"/>
    <xf numFmtId="0" fontId="41" fillId="0" borderId="413">
      <alignment horizontal="left" vertical="center"/>
    </xf>
    <xf numFmtId="0" fontId="41" fillId="0" borderId="413">
      <alignment horizontal="left" vertical="center"/>
    </xf>
    <xf numFmtId="10" fontId="39" fillId="2" borderId="412" applyNumberFormat="0" applyBorder="0" applyAlignment="0" applyProtection="0"/>
    <xf numFmtId="244" fontId="117" fillId="0" borderId="412">
      <alignment vertical="center"/>
    </xf>
    <xf numFmtId="244" fontId="117" fillId="0" borderId="412">
      <alignment vertical="center"/>
    </xf>
    <xf numFmtId="244" fontId="117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50" fontId="117" fillId="0" borderId="412">
      <alignment vertical="center"/>
    </xf>
    <xf numFmtId="200" fontId="6" fillId="0" borderId="412">
      <alignment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117" fillId="0" borderId="414">
      <alignment horizontal="centerContinuous" vertical="center"/>
    </xf>
    <xf numFmtId="0" fontId="117" fillId="0" borderId="414">
      <alignment horizontal="centerContinuous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242" fontId="6" fillId="0" borderId="412">
      <alignment horizontal="right" vertical="center"/>
    </xf>
    <xf numFmtId="0" fontId="41" fillId="0" borderId="413">
      <alignment horizontal="left" vertical="center"/>
    </xf>
    <xf numFmtId="0" fontId="50" fillId="3" borderId="413">
      <alignment vertical="center"/>
    </xf>
    <xf numFmtId="338" fontId="19" fillId="0" borderId="412"/>
    <xf numFmtId="185" fontId="9" fillId="0" borderId="412">
      <alignment horizontal="center" vertical="center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5">
      <alignment horizontal="distributed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" fillId="0" borderId="412">
      <alignment horizontal="distributed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176" fontId="6" fillId="0" borderId="412">
      <alignment vertical="center"/>
    </xf>
    <xf numFmtId="176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6" fillId="0" borderId="414">
      <alignment horizontal="centerContinuous" vertical="center"/>
    </xf>
    <xf numFmtId="0" fontId="9" fillId="0" borderId="414">
      <alignment horizontal="centerContinuous" vertical="center"/>
    </xf>
    <xf numFmtId="0" fontId="9" fillId="0" borderId="414">
      <alignment horizontal="centerContinuous" vertical="center"/>
    </xf>
    <xf numFmtId="256" fontId="117" fillId="0" borderId="412" applyBorder="0">
      <alignment vertical="center"/>
    </xf>
    <xf numFmtId="322" fontId="9" fillId="0" borderId="414">
      <alignment horizontal="centerContinuous" vertical="center"/>
    </xf>
    <xf numFmtId="0" fontId="6" fillId="0" borderId="414">
      <alignment horizontal="centerContinuous" vertical="center"/>
    </xf>
    <xf numFmtId="203" fontId="176" fillId="0" borderId="416" applyFill="0" applyProtection="0">
      <alignment horizontal="center"/>
    </xf>
    <xf numFmtId="250" fontId="117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49" fontId="60" fillId="0" borderId="405" applyNumberFormat="0" applyAlignment="0"/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0" fontId="160" fillId="12" borderId="408" applyNumberFormat="0" applyAlignment="0" applyProtection="0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165" fillId="22" borderId="407" applyNumberForma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6" fillId="28" borderId="421" applyNumberFormat="0" applyFon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234" fontId="117" fillId="0" borderId="412">
      <alignment vertical="center"/>
    </xf>
    <xf numFmtId="234" fontId="117" fillId="0" borderId="412">
      <alignment vertical="center"/>
    </xf>
    <xf numFmtId="3" fontId="57" fillId="0" borderId="412"/>
    <xf numFmtId="241" fontId="6" fillId="0" borderId="412">
      <alignment horizontal="right" vertical="center"/>
    </xf>
    <xf numFmtId="241" fontId="6" fillId="0" borderId="412">
      <alignment horizontal="right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94" fillId="0" borderId="414">
      <alignment horizontal="centerContinuous" vertical="center"/>
    </xf>
    <xf numFmtId="0" fontId="50" fillId="3" borderId="413">
      <alignment vertical="center"/>
    </xf>
    <xf numFmtId="203" fontId="176" fillId="0" borderId="416" applyFill="0" applyProtection="0">
      <alignment horizont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5" fontId="117" fillId="0" borderId="412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185" fontId="235" fillId="0" borderId="412"/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57" fillId="28" borderId="421" applyNumberFormat="0" applyFont="0" applyAlignment="0" applyProtection="0">
      <alignment vertical="center"/>
    </xf>
    <xf numFmtId="0" fontId="6" fillId="28" borderId="421" applyNumberFormat="0" applyFon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0" fontId="153" fillId="22" borderId="420" applyNumberFormat="0" applyAlignment="0" applyProtection="0">
      <alignment vertical="center"/>
    </xf>
    <xf numFmtId="234" fontId="117" fillId="0" borderId="412">
      <alignment vertical="center"/>
    </xf>
    <xf numFmtId="234" fontId="117" fillId="0" borderId="412">
      <alignment vertical="center"/>
    </xf>
    <xf numFmtId="3" fontId="57" fillId="0" borderId="412"/>
    <xf numFmtId="241" fontId="6" fillId="0" borderId="412">
      <alignment horizontal="right" vertical="center"/>
    </xf>
    <xf numFmtId="241" fontId="6" fillId="0" borderId="412">
      <alignment horizontal="right" vertical="center"/>
    </xf>
    <xf numFmtId="241" fontId="6" fillId="0" borderId="412">
      <alignment horizontal="right" vertical="center"/>
    </xf>
    <xf numFmtId="37" fontId="117" fillId="0" borderId="412">
      <alignment horizontal="center" vertical="distributed"/>
    </xf>
    <xf numFmtId="238" fontId="6" fillId="0" borderId="412">
      <alignment vertical="center"/>
    </xf>
    <xf numFmtId="238" fontId="6" fillId="0" borderId="412">
      <alignment vertical="center"/>
    </xf>
    <xf numFmtId="0" fontId="232" fillId="0" borderId="412" applyFont="0" applyFill="0" applyBorder="0" applyAlignment="0" applyProtection="0">
      <alignment horizontal="centerContinuous"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250" fontId="117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6" fontId="117" fillId="0" borderId="412">
      <alignment vertical="center"/>
    </xf>
    <xf numFmtId="49" fontId="60" fillId="0" borderId="417" applyNumberFormat="0" applyAlignment="0"/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5" fontId="117" fillId="0" borderId="412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185" fontId="235" fillId="0" borderId="412"/>
    <xf numFmtId="0" fontId="232" fillId="0" borderId="412" applyFont="0" applyFill="0" applyBorder="0" applyAlignment="0" applyProtection="0">
      <alignment horizontal="centerContinuous"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250" fontId="117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49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18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20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0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176" fontId="6" fillId="0" borderId="412">
      <alignment vertical="center"/>
    </xf>
    <xf numFmtId="246" fontId="117" fillId="0" borderId="412">
      <alignment vertical="center"/>
    </xf>
    <xf numFmtId="49" fontId="60" fillId="0" borderId="417" applyNumberFormat="0" applyAlignment="0"/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8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7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6" fontId="6" fillId="0" borderId="412">
      <alignment vertical="center"/>
    </xf>
    <xf numFmtId="235" fontId="117" fillId="0" borderId="412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185" fontId="235" fillId="0" borderId="412"/>
    <xf numFmtId="0" fontId="232" fillId="0" borderId="412" applyFont="0" applyFill="0" applyBorder="0" applyAlignment="0" applyProtection="0">
      <alignment horizontal="centerContinuous"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0" fontId="159" fillId="0" borderId="422" applyNumberFormat="0" applyFill="0" applyAlignment="0" applyProtection="0">
      <alignment vertical="center"/>
    </xf>
    <xf numFmtId="49" fontId="60" fillId="0" borderId="417" applyNumberFormat="0" applyAlignment="0"/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0" fillId="12" borderId="420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0" fontId="165" fillId="22" borderId="419" applyNumberFormat="0" applyAlignment="0" applyProtection="0">
      <alignment vertical="center"/>
    </xf>
    <xf numFmtId="185" fontId="235" fillId="0" borderId="412"/>
    <xf numFmtId="0" fontId="242" fillId="0" borderId="0"/>
    <xf numFmtId="0" fontId="9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9" fillId="0" borderId="0"/>
    <xf numFmtId="0" fontId="150" fillId="0" borderId="0"/>
    <xf numFmtId="0" fontId="150" fillId="0" borderId="0"/>
    <xf numFmtId="0" fontId="264" fillId="0" borderId="0">
      <alignment vertical="center"/>
    </xf>
    <xf numFmtId="41" fontId="264" fillId="0" borderId="0" applyFont="0" applyFill="0" applyBorder="0" applyAlignment="0" applyProtection="0">
      <alignment vertical="center"/>
    </xf>
    <xf numFmtId="0" fontId="60" fillId="0" borderId="0"/>
    <xf numFmtId="0" fontId="240" fillId="0" borderId="0">
      <alignment vertical="center"/>
    </xf>
    <xf numFmtId="0" fontId="6" fillId="0" borderId="0"/>
    <xf numFmtId="0" fontId="240" fillId="0" borderId="0">
      <alignment vertical="center"/>
    </xf>
  </cellStyleXfs>
  <cellXfs count="1790">
    <xf numFmtId="0" fontId="0" fillId="0" borderId="0" xfId="0">
      <alignment vertical="center"/>
    </xf>
    <xf numFmtId="41" fontId="13" fillId="0" borderId="0" xfId="3426" applyFont="1" applyFill="1" applyBorder="1" applyAlignment="1">
      <alignment vertical="center"/>
    </xf>
    <xf numFmtId="41" fontId="13" fillId="0" borderId="9" xfId="3426" applyFont="1" applyFill="1" applyBorder="1" applyAlignment="1">
      <alignment vertical="center" shrinkToFit="1"/>
    </xf>
    <xf numFmtId="41" fontId="13" fillId="0" borderId="9" xfId="3426" applyFont="1" applyFill="1" applyBorder="1" applyAlignment="1">
      <alignment horizontal="center" vertical="center" shrinkToFit="1"/>
    </xf>
    <xf numFmtId="41" fontId="55" fillId="0" borderId="21" xfId="3426" applyFont="1" applyFill="1" applyBorder="1" applyAlignment="1">
      <alignment horizontal="center" vertical="center"/>
    </xf>
    <xf numFmtId="197" fontId="75" fillId="0" borderId="0" xfId="4525" applyNumberFormat="1" applyFont="1" applyAlignment="1">
      <alignment horizontal="left" vertical="center"/>
    </xf>
    <xf numFmtId="197" fontId="13" fillId="0" borderId="0" xfId="4525" applyNumberFormat="1" applyFont="1" applyAlignment="1">
      <alignment horizontal="center" vertical="center"/>
    </xf>
    <xf numFmtId="0" fontId="13" fillId="0" borderId="0" xfId="4525" applyFont="1">
      <alignment vertical="center"/>
    </xf>
    <xf numFmtId="197" fontId="13" fillId="0" borderId="0" xfId="4525" applyNumberFormat="1" applyFont="1">
      <alignment vertical="center"/>
    </xf>
    <xf numFmtId="197" fontId="13" fillId="0" borderId="0" xfId="4525" applyNumberFormat="1" applyFont="1" applyAlignment="1">
      <alignment horizontal="center" vertical="center" shrinkToFit="1"/>
    </xf>
    <xf numFmtId="0" fontId="58" fillId="0" borderId="21" xfId="4525" applyFont="1" applyBorder="1">
      <alignment vertical="center"/>
    </xf>
    <xf numFmtId="197" fontId="55" fillId="0" borderId="21" xfId="4525" applyNumberFormat="1" applyFont="1" applyBorder="1" applyAlignment="1">
      <alignment horizontal="center" vertical="center"/>
    </xf>
    <xf numFmtId="0" fontId="55" fillId="0" borderId="21" xfId="4525" applyFont="1" applyBorder="1" applyAlignment="1">
      <alignment horizontal="center" vertical="center"/>
    </xf>
    <xf numFmtId="197" fontId="55" fillId="0" borderId="21" xfId="4525" applyNumberFormat="1" applyFont="1" applyBorder="1" applyAlignment="1">
      <alignment horizontal="center" vertical="center" shrinkToFit="1"/>
    </xf>
    <xf numFmtId="197" fontId="56" fillId="0" borderId="9" xfId="4525" applyNumberFormat="1" applyFont="1" applyBorder="1" applyAlignment="1">
      <alignment horizontal="center" vertical="center" shrinkToFit="1"/>
    </xf>
    <xf numFmtId="0" fontId="56" fillId="0" borderId="9" xfId="4525" applyFont="1" applyBorder="1" applyAlignment="1">
      <alignment horizontal="center" vertical="center" shrinkToFit="1"/>
    </xf>
    <xf numFmtId="177" fontId="81" fillId="0" borderId="9" xfId="4525" applyNumberFormat="1" applyFont="1" applyBorder="1" applyAlignment="1">
      <alignment horizontal="center" vertical="center" shrinkToFit="1"/>
    </xf>
    <xf numFmtId="177" fontId="75" fillId="0" borderId="9" xfId="4525" applyNumberFormat="1" applyFont="1" applyBorder="1" applyAlignment="1">
      <alignment vertical="center" shrinkToFit="1"/>
    </xf>
    <xf numFmtId="177" fontId="56" fillId="0" borderId="25" xfId="4525" applyNumberFormat="1" applyFont="1" applyBorder="1" applyAlignment="1">
      <alignment vertical="center" shrinkToFit="1"/>
    </xf>
    <xf numFmtId="177" fontId="81" fillId="0" borderId="9" xfId="4525" applyNumberFormat="1" applyFont="1" applyBorder="1" applyAlignment="1">
      <alignment horizontal="right" vertical="center" shrinkToFit="1"/>
    </xf>
    <xf numFmtId="0" fontId="13" fillId="0" borderId="9" xfId="4525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41" xfId="0" applyFont="1" applyBorder="1">
      <alignment vertical="center"/>
    </xf>
    <xf numFmtId="0" fontId="77" fillId="0" borderId="37" xfId="0" applyFont="1" applyBorder="1">
      <alignment vertical="center"/>
    </xf>
    <xf numFmtId="0" fontId="77" fillId="0" borderId="7" xfId="0" applyFont="1" applyBorder="1">
      <alignment vertical="center"/>
    </xf>
    <xf numFmtId="0" fontId="77" fillId="0" borderId="0" xfId="0" applyFont="1">
      <alignment vertical="center"/>
    </xf>
    <xf numFmtId="0" fontId="77" fillId="0" borderId="0" xfId="0" applyFont="1" applyAlignment="1">
      <alignment horizontal="left" vertical="center"/>
    </xf>
    <xf numFmtId="0" fontId="77" fillId="0" borderId="38" xfId="0" applyFont="1" applyBorder="1">
      <alignment vertical="center"/>
    </xf>
    <xf numFmtId="0" fontId="77" fillId="0" borderId="21" xfId="0" applyFont="1" applyBorder="1">
      <alignment vertical="center"/>
    </xf>
    <xf numFmtId="0" fontId="139" fillId="0" borderId="21" xfId="0" applyFont="1" applyBorder="1">
      <alignment vertical="center"/>
    </xf>
    <xf numFmtId="0" fontId="13" fillId="0" borderId="26" xfId="0" applyFont="1" applyBorder="1" applyAlignment="1">
      <alignment horizontal="center" vertical="center"/>
    </xf>
    <xf numFmtId="0" fontId="13" fillId="0" borderId="29" xfId="4534" applyFont="1" applyBorder="1" applyAlignment="1">
      <alignment horizontal="left" vertical="center" shrinkToFit="1"/>
    </xf>
    <xf numFmtId="0" fontId="13" fillId="0" borderId="23" xfId="4534" applyFont="1" applyBorder="1" applyAlignment="1">
      <alignment horizontal="left" vertical="center" shrinkToFit="1"/>
    </xf>
    <xf numFmtId="0" fontId="13" fillId="0" borderId="23" xfId="4534" applyFont="1" applyBorder="1" applyAlignment="1">
      <alignment horizontal="center" vertical="center" shrinkToFit="1"/>
    </xf>
    <xf numFmtId="41" fontId="13" fillId="0" borderId="23" xfId="3426" applyFont="1" applyFill="1" applyBorder="1" applyAlignment="1">
      <alignment vertical="center" shrinkToFit="1"/>
    </xf>
    <xf numFmtId="41" fontId="13" fillId="0" borderId="23" xfId="3426" applyFont="1" applyFill="1" applyBorder="1" applyAlignment="1">
      <alignment horizontal="center" vertical="center" shrinkToFit="1"/>
    </xf>
    <xf numFmtId="0" fontId="13" fillId="0" borderId="24" xfId="4534" applyFont="1" applyBorder="1" applyAlignment="1">
      <alignment horizontal="center" vertical="center" shrinkToFit="1"/>
    </xf>
    <xf numFmtId="0" fontId="13" fillId="0" borderId="8" xfId="4534" applyFont="1" applyBorder="1" applyAlignment="1">
      <alignment horizontal="left" vertical="center" shrinkToFit="1"/>
    </xf>
    <xf numFmtId="0" fontId="13" fillId="0" borderId="9" xfId="4534" applyFont="1" applyBorder="1" applyAlignment="1">
      <alignment horizontal="left" vertical="center" shrinkToFit="1"/>
    </xf>
    <xf numFmtId="0" fontId="13" fillId="0" borderId="9" xfId="4534" applyFont="1" applyBorder="1" applyAlignment="1">
      <alignment horizontal="center" vertical="center" shrinkToFit="1"/>
    </xf>
    <xf numFmtId="41" fontId="13" fillId="0" borderId="25" xfId="4534" applyNumberFormat="1" applyFont="1" applyBorder="1" applyAlignment="1">
      <alignment horizontal="center" vertical="center" shrinkToFit="1"/>
    </xf>
    <xf numFmtId="0" fontId="13" fillId="0" borderId="25" xfId="4534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8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/>
    </xf>
    <xf numFmtId="0" fontId="13" fillId="0" borderId="27" xfId="0" applyFont="1" applyBorder="1" applyAlignment="1">
      <alignment horizontal="center" vertical="center"/>
    </xf>
    <xf numFmtId="0" fontId="58" fillId="0" borderId="2" xfId="4536" applyFont="1" applyBorder="1" applyAlignment="1">
      <alignment vertical="center" shrinkToFit="1"/>
    </xf>
    <xf numFmtId="272" fontId="58" fillId="0" borderId="13" xfId="4537" applyNumberFormat="1" applyFont="1" applyBorder="1" applyAlignment="1">
      <alignment horizontal="center" vertical="center" wrapText="1" shrinkToFit="1"/>
    </xf>
    <xf numFmtId="185" fontId="58" fillId="0" borderId="13" xfId="4537" applyFont="1" applyBorder="1" applyAlignment="1">
      <alignment horizontal="centerContinuous" vertical="center"/>
    </xf>
    <xf numFmtId="185" fontId="58" fillId="0" borderId="13" xfId="4537" applyFont="1" applyBorder="1" applyAlignment="1">
      <alignment horizontal="center" vertical="center"/>
    </xf>
    <xf numFmtId="0" fontId="58" fillId="0" borderId="6" xfId="4536" applyFont="1" applyBorder="1" applyAlignment="1">
      <alignment horizontal="center" vertical="center" wrapText="1" shrinkToFit="1"/>
    </xf>
    <xf numFmtId="0" fontId="56" fillId="0" borderId="7" xfId="4536" applyFont="1" applyBorder="1" applyAlignment="1">
      <alignment horizontal="center" vertical="center"/>
    </xf>
    <xf numFmtId="185" fontId="56" fillId="0" borderId="43" xfId="4537" applyFont="1" applyBorder="1" applyAlignment="1">
      <alignment horizontal="center" vertical="center"/>
    </xf>
    <xf numFmtId="0" fontId="56" fillId="0" borderId="0" xfId="4538" applyFont="1"/>
    <xf numFmtId="0" fontId="56" fillId="0" borderId="0" xfId="4536" applyFont="1" applyAlignment="1">
      <alignment horizontal="centerContinuous" vertical="center"/>
    </xf>
    <xf numFmtId="185" fontId="56" fillId="0" borderId="0" xfId="4537" applyFont="1" applyBorder="1" applyAlignment="1">
      <alignment horizontal="center" vertical="center"/>
    </xf>
    <xf numFmtId="273" fontId="56" fillId="0" borderId="0" xfId="4537" applyNumberFormat="1" applyFont="1" applyBorder="1" applyAlignment="1">
      <alignment horizontal="right" vertical="center"/>
    </xf>
    <xf numFmtId="273" fontId="56" fillId="0" borderId="0" xfId="4537" applyNumberFormat="1" applyFont="1" applyBorder="1" applyAlignment="1">
      <alignment horizontal="left" vertical="center"/>
    </xf>
    <xf numFmtId="194" fontId="56" fillId="0" borderId="0" xfId="4536" applyNumberFormat="1" applyFont="1" applyAlignment="1">
      <alignment horizontal="right" vertical="center"/>
    </xf>
    <xf numFmtId="0" fontId="56" fillId="0" borderId="7" xfId="4536" applyFont="1" applyBorder="1"/>
    <xf numFmtId="0" fontId="56" fillId="0" borderId="43" xfId="4536" applyFont="1" applyBorder="1" applyAlignment="1">
      <alignment horizontal="center" vertical="center" wrapText="1" shrinkToFit="1"/>
    </xf>
    <xf numFmtId="0" fontId="56" fillId="0" borderId="43" xfId="4536" applyFont="1" applyBorder="1"/>
    <xf numFmtId="185" fontId="56" fillId="0" borderId="7" xfId="4537" applyFont="1" applyBorder="1" applyAlignment="1">
      <alignment horizontal="center" vertical="center"/>
    </xf>
    <xf numFmtId="274" fontId="56" fillId="0" borderId="38" xfId="4537" applyNumberFormat="1" applyFont="1" applyBorder="1" applyAlignment="1">
      <alignment horizontal="right" vertical="center"/>
    </xf>
    <xf numFmtId="185" fontId="56" fillId="0" borderId="4" xfId="4537" applyFont="1" applyBorder="1" applyAlignment="1">
      <alignment horizontal="center" vertical="center"/>
    </xf>
    <xf numFmtId="0" fontId="56" fillId="0" borderId="7" xfId="4536" applyFont="1" applyBorder="1" applyAlignment="1">
      <alignment vertical="center"/>
    </xf>
    <xf numFmtId="0" fontId="56" fillId="0" borderId="43" xfId="4536" applyFont="1" applyBorder="1" applyAlignment="1">
      <alignment horizontal="center" vertical="center"/>
    </xf>
    <xf numFmtId="0" fontId="56" fillId="0" borderId="21" xfId="4536" applyFont="1" applyBorder="1" applyAlignment="1">
      <alignment horizontal="right"/>
    </xf>
    <xf numFmtId="0" fontId="56" fillId="0" borderId="43" xfId="4538" applyFont="1" applyBorder="1"/>
    <xf numFmtId="273" fontId="56" fillId="0" borderId="0" xfId="4538" applyNumberFormat="1" applyFont="1" applyAlignment="1">
      <alignment vertical="center"/>
    </xf>
    <xf numFmtId="0" fontId="56" fillId="0" borderId="38" xfId="4536" applyFont="1" applyBorder="1"/>
    <xf numFmtId="273" fontId="56" fillId="0" borderId="21" xfId="4536" applyNumberFormat="1" applyFont="1" applyBorder="1"/>
    <xf numFmtId="273" fontId="56" fillId="0" borderId="21" xfId="4536" applyNumberFormat="1" applyFont="1" applyBorder="1" applyAlignment="1">
      <alignment horizontal="center" vertical="center"/>
    </xf>
    <xf numFmtId="273" fontId="56" fillId="0" borderId="21" xfId="4537" applyNumberFormat="1" applyFont="1" applyBorder="1" applyAlignment="1">
      <alignment horizontal="left" vertical="center"/>
    </xf>
    <xf numFmtId="0" fontId="56" fillId="0" borderId="21" xfId="4536" applyFont="1" applyBorder="1" applyAlignment="1">
      <alignment horizontal="center"/>
    </xf>
    <xf numFmtId="274" fontId="56" fillId="0" borderId="21" xfId="4537" applyNumberFormat="1" applyFont="1" applyBorder="1" applyAlignment="1">
      <alignment horizontal="center" vertical="center"/>
    </xf>
    <xf numFmtId="273" fontId="56" fillId="0" borderId="38" xfId="4537" applyNumberFormat="1" applyFont="1" applyBorder="1" applyAlignment="1">
      <alignment horizontal="left" vertical="center"/>
    </xf>
    <xf numFmtId="47" fontId="56" fillId="0" borderId="7" xfId="4536" quotePrefix="1" applyNumberFormat="1" applyFont="1" applyBorder="1" applyAlignment="1">
      <alignment horizontal="center" vertical="center"/>
    </xf>
    <xf numFmtId="273" fontId="56" fillId="0" borderId="21" xfId="4537" applyNumberFormat="1" applyFont="1" applyBorder="1" applyAlignment="1">
      <alignment horizontal="center" vertical="center" wrapText="1" shrinkToFit="1"/>
    </xf>
    <xf numFmtId="273" fontId="56" fillId="0" borderId="21" xfId="4537" applyNumberFormat="1" applyFont="1" applyBorder="1" applyAlignment="1">
      <alignment horizontal="left" vertical="center" wrapText="1" shrinkToFit="1"/>
    </xf>
    <xf numFmtId="41" fontId="56" fillId="0" borderId="38" xfId="3426" applyFont="1" applyFill="1" applyBorder="1" applyAlignment="1">
      <alignment horizontal="right" vertical="center"/>
    </xf>
    <xf numFmtId="41" fontId="56" fillId="0" borderId="21" xfId="3426" applyFont="1" applyFill="1" applyBorder="1" applyAlignment="1">
      <alignment horizontal="center" vertical="center"/>
    </xf>
    <xf numFmtId="41" fontId="56" fillId="0" borderId="21" xfId="3426" applyFont="1" applyFill="1" applyBorder="1" applyAlignment="1">
      <alignment horizontal="left" vertical="center"/>
    </xf>
    <xf numFmtId="0" fontId="56" fillId="0" borderId="0" xfId="4538" applyFont="1" applyAlignment="1">
      <alignment vertical="center"/>
    </xf>
    <xf numFmtId="273" fontId="56" fillId="0" borderId="21" xfId="4537" applyNumberFormat="1" applyFont="1" applyFill="1" applyBorder="1" applyAlignment="1">
      <alignment horizontal="left" vertical="center"/>
    </xf>
    <xf numFmtId="272" fontId="56" fillId="0" borderId="21" xfId="4537" applyNumberFormat="1" applyFont="1" applyFill="1" applyBorder="1" applyAlignment="1">
      <alignment horizontal="right" vertical="center"/>
    </xf>
    <xf numFmtId="0" fontId="56" fillId="0" borderId="21" xfId="4536" applyFont="1" applyBorder="1" applyAlignment="1">
      <alignment horizontal="center" vertical="center"/>
    </xf>
    <xf numFmtId="274" fontId="56" fillId="0" borderId="38" xfId="4537" applyNumberFormat="1" applyFont="1" applyBorder="1" applyAlignment="1">
      <alignment horizontal="center" vertical="center"/>
    </xf>
    <xf numFmtId="272" fontId="56" fillId="0" borderId="38" xfId="4537" applyNumberFormat="1" applyFont="1" applyBorder="1" applyAlignment="1">
      <alignment horizontal="right" vertical="center"/>
    </xf>
    <xf numFmtId="272" fontId="56" fillId="0" borderId="21" xfId="4537" applyNumberFormat="1" applyFont="1" applyBorder="1" applyAlignment="1">
      <alignment horizontal="right" vertical="center"/>
    </xf>
    <xf numFmtId="272" fontId="56" fillId="0" borderId="21" xfId="4537" applyNumberFormat="1" applyFont="1" applyBorder="1" applyAlignment="1">
      <alignment horizontal="center" vertical="center"/>
    </xf>
    <xf numFmtId="274" fontId="56" fillId="0" borderId="21" xfId="4537" applyNumberFormat="1" applyFont="1" applyBorder="1" applyAlignment="1">
      <alignment horizontal="right" vertical="center"/>
    </xf>
    <xf numFmtId="0" fontId="56" fillId="0" borderId="0" xfId="4539" applyFont="1"/>
    <xf numFmtId="0" fontId="56" fillId="0" borderId="7" xfId="4536" applyFont="1" applyBorder="1" applyAlignment="1">
      <alignment horizontal="right" vertical="center"/>
    </xf>
    <xf numFmtId="0" fontId="56" fillId="0" borderId="38" xfId="4536" applyFont="1" applyBorder="1" applyAlignment="1">
      <alignment horizontal="left"/>
    </xf>
    <xf numFmtId="0" fontId="56" fillId="0" borderId="21" xfId="4536" applyFont="1" applyBorder="1"/>
    <xf numFmtId="273" fontId="56" fillId="0" borderId="38" xfId="4537" applyNumberFormat="1" applyFont="1" applyBorder="1" applyAlignment="1">
      <alignment horizontal="center" vertical="center"/>
    </xf>
    <xf numFmtId="0" fontId="56" fillId="0" borderId="4" xfId="4536" applyFont="1" applyBorder="1" applyAlignment="1">
      <alignment horizontal="center" vertical="center"/>
    </xf>
    <xf numFmtId="272" fontId="56" fillId="0" borderId="0" xfId="4537" applyNumberFormat="1" applyFont="1" applyBorder="1" applyAlignment="1">
      <alignment horizontal="left" vertical="center"/>
    </xf>
    <xf numFmtId="272" fontId="56" fillId="0" borderId="38" xfId="4537" applyNumberFormat="1" applyFont="1" applyBorder="1" applyAlignment="1">
      <alignment horizontal="left" vertical="center"/>
    </xf>
    <xf numFmtId="272" fontId="56" fillId="0" borderId="21" xfId="4537" applyNumberFormat="1" applyFont="1" applyBorder="1" applyAlignment="1">
      <alignment horizontal="left" vertical="center"/>
    </xf>
    <xf numFmtId="185" fontId="56" fillId="0" borderId="21" xfId="4537" applyFont="1" applyBorder="1" applyAlignment="1">
      <alignment horizontal="centerContinuous" vertical="center"/>
    </xf>
    <xf numFmtId="190" fontId="56" fillId="0" borderId="38" xfId="4536" applyNumberFormat="1" applyFont="1" applyBorder="1" applyAlignment="1">
      <alignment horizontal="right" vertical="center"/>
    </xf>
    <xf numFmtId="0" fontId="81" fillId="0" borderId="38" xfId="0" applyFont="1" applyBorder="1" applyAlignment="1">
      <alignment horizontal="center" vertical="center" wrapText="1" shrinkToFit="1"/>
    </xf>
    <xf numFmtId="0" fontId="81" fillId="0" borderId="21" xfId="0" applyFont="1" applyBorder="1" applyAlignment="1">
      <alignment horizontal="center" vertical="center" wrapText="1" shrinkToFit="1"/>
    </xf>
    <xf numFmtId="0" fontId="81" fillId="0" borderId="21" xfId="0" applyFont="1" applyBorder="1" applyAlignment="1">
      <alignment horizontal="center" vertical="center"/>
    </xf>
    <xf numFmtId="0" fontId="56" fillId="0" borderId="38" xfId="4536" applyFont="1" applyBorder="1" applyAlignment="1">
      <alignment horizontal="center" vertical="center"/>
    </xf>
    <xf numFmtId="0" fontId="56" fillId="0" borderId="21" xfId="4539" applyFont="1" applyBorder="1"/>
    <xf numFmtId="185" fontId="56" fillId="0" borderId="7" xfId="4537" applyFont="1" applyBorder="1" applyAlignment="1">
      <alignment horizontal="left" vertical="center"/>
    </xf>
    <xf numFmtId="272" fontId="141" fillId="6" borderId="38" xfId="4537" applyNumberFormat="1" applyFont="1" applyFill="1" applyBorder="1" applyAlignment="1">
      <alignment horizontal="center" vertical="center" wrapText="1" shrinkToFit="1"/>
    </xf>
    <xf numFmtId="273" fontId="141" fillId="6" borderId="21" xfId="4537" applyNumberFormat="1" applyFont="1" applyFill="1" applyBorder="1" applyAlignment="1">
      <alignment horizontal="center" vertical="center" wrapText="1" shrinkToFit="1"/>
    </xf>
    <xf numFmtId="273" fontId="141" fillId="6" borderId="21" xfId="4537" applyNumberFormat="1" applyFont="1" applyFill="1" applyBorder="1" applyAlignment="1">
      <alignment horizontal="left" vertical="center" wrapText="1" shrinkToFit="1"/>
    </xf>
    <xf numFmtId="273" fontId="141" fillId="6" borderId="21" xfId="4537" applyNumberFormat="1" applyFont="1" applyFill="1" applyBorder="1" applyAlignment="1">
      <alignment horizontal="center" vertical="center"/>
    </xf>
    <xf numFmtId="185" fontId="141" fillId="6" borderId="21" xfId="4537" applyFont="1" applyFill="1" applyBorder="1" applyAlignment="1">
      <alignment horizontal="center" vertical="center"/>
    </xf>
    <xf numFmtId="273" fontId="141" fillId="6" borderId="38" xfId="4537" applyNumberFormat="1" applyFont="1" applyFill="1" applyBorder="1" applyAlignment="1">
      <alignment horizontal="left" vertical="center"/>
    </xf>
    <xf numFmtId="185" fontId="141" fillId="6" borderId="43" xfId="4537" applyFont="1" applyFill="1" applyBorder="1" applyAlignment="1">
      <alignment horizontal="center" vertical="center"/>
    </xf>
    <xf numFmtId="41" fontId="141" fillId="6" borderId="38" xfId="3426" applyFont="1" applyFill="1" applyBorder="1" applyAlignment="1">
      <alignment horizontal="right" vertical="center"/>
    </xf>
    <xf numFmtId="272" fontId="141" fillId="6" borderId="0" xfId="4537" applyNumberFormat="1" applyFont="1" applyFill="1" applyBorder="1" applyAlignment="1">
      <alignment horizontal="center" vertical="center"/>
    </xf>
    <xf numFmtId="41" fontId="141" fillId="6" borderId="21" xfId="3426" applyFont="1" applyFill="1" applyBorder="1" applyAlignment="1">
      <alignment horizontal="center" vertical="center"/>
    </xf>
    <xf numFmtId="275" fontId="141" fillId="6" borderId="21" xfId="3426" applyNumberFormat="1" applyFont="1" applyFill="1" applyBorder="1" applyAlignment="1">
      <alignment vertical="center"/>
    </xf>
    <xf numFmtId="41" fontId="141" fillId="6" borderId="21" xfId="3426" applyFont="1" applyFill="1" applyBorder="1" applyAlignment="1">
      <alignment horizontal="left" vertical="center"/>
    </xf>
    <xf numFmtId="0" fontId="141" fillId="6" borderId="0" xfId="4538" applyFont="1" applyFill="1" applyAlignment="1">
      <alignment vertical="center"/>
    </xf>
    <xf numFmtId="273" fontId="141" fillId="6" borderId="21" xfId="4537" applyNumberFormat="1" applyFont="1" applyFill="1" applyBorder="1" applyAlignment="1">
      <alignment horizontal="left" vertical="center"/>
    </xf>
    <xf numFmtId="272" fontId="141" fillId="6" borderId="21" xfId="4537" applyNumberFormat="1" applyFont="1" applyFill="1" applyBorder="1" applyAlignment="1">
      <alignment horizontal="right" vertical="center"/>
    </xf>
    <xf numFmtId="0" fontId="141" fillId="6" borderId="21" xfId="4536" applyFont="1" applyFill="1" applyBorder="1" applyAlignment="1">
      <alignment horizontal="center" vertical="center"/>
    </xf>
    <xf numFmtId="274" fontId="141" fillId="6" borderId="38" xfId="4537" applyNumberFormat="1" applyFont="1" applyFill="1" applyBorder="1" applyAlignment="1">
      <alignment horizontal="center" vertical="center"/>
    </xf>
    <xf numFmtId="185" fontId="141" fillId="6" borderId="4" xfId="4537" applyFont="1" applyFill="1" applyBorder="1" applyAlignment="1">
      <alignment horizontal="center" vertical="center"/>
    </xf>
    <xf numFmtId="272" fontId="141" fillId="6" borderId="38" xfId="4537" applyNumberFormat="1" applyFont="1" applyFill="1" applyBorder="1" applyAlignment="1">
      <alignment horizontal="right" vertical="center"/>
    </xf>
    <xf numFmtId="272" fontId="141" fillId="6" borderId="21" xfId="4537" applyNumberFormat="1" applyFont="1" applyFill="1" applyBorder="1" applyAlignment="1">
      <alignment horizontal="center" vertical="center"/>
    </xf>
    <xf numFmtId="274" fontId="141" fillId="6" borderId="21" xfId="4537" applyNumberFormat="1" applyFont="1" applyFill="1" applyBorder="1" applyAlignment="1">
      <alignment horizontal="right" vertical="center"/>
    </xf>
    <xf numFmtId="0" fontId="141" fillId="6" borderId="0" xfId="4538" applyFont="1" applyFill="1"/>
    <xf numFmtId="0" fontId="141" fillId="6" borderId="43" xfId="4536" applyFont="1" applyFill="1" applyBorder="1" applyAlignment="1">
      <alignment horizontal="center" vertical="center"/>
    </xf>
    <xf numFmtId="0" fontId="141" fillId="6" borderId="38" xfId="4536" applyFont="1" applyFill="1" applyBorder="1" applyAlignment="1">
      <alignment horizontal="left"/>
    </xf>
    <xf numFmtId="0" fontId="141" fillId="6" borderId="21" xfId="4536" applyFont="1" applyFill="1" applyBorder="1" applyAlignment="1">
      <alignment horizontal="left"/>
    </xf>
    <xf numFmtId="0" fontId="141" fillId="6" borderId="21" xfId="4536" applyFont="1" applyFill="1" applyBorder="1"/>
    <xf numFmtId="273" fontId="141" fillId="6" borderId="38" xfId="4537" applyNumberFormat="1" applyFont="1" applyFill="1" applyBorder="1" applyAlignment="1">
      <alignment horizontal="center" vertical="center"/>
    </xf>
    <xf numFmtId="0" fontId="141" fillId="6" borderId="4" xfId="4536" applyFont="1" applyFill="1" applyBorder="1" applyAlignment="1">
      <alignment horizontal="center" vertical="center"/>
    </xf>
    <xf numFmtId="272" fontId="141" fillId="6" borderId="0" xfId="4537" applyNumberFormat="1" applyFont="1" applyFill="1" applyBorder="1" applyAlignment="1">
      <alignment horizontal="left" vertical="center"/>
    </xf>
    <xf numFmtId="185" fontId="141" fillId="6" borderId="0" xfId="4537" applyFont="1" applyFill="1" applyBorder="1" applyAlignment="1">
      <alignment horizontal="center" vertical="center"/>
    </xf>
    <xf numFmtId="0" fontId="141" fillId="6" borderId="0" xfId="4536" applyFont="1" applyFill="1"/>
    <xf numFmtId="272" fontId="141" fillId="6" borderId="38" xfId="4537" applyNumberFormat="1" applyFont="1" applyFill="1" applyBorder="1" applyAlignment="1">
      <alignment horizontal="left" vertical="center"/>
    </xf>
    <xf numFmtId="272" fontId="141" fillId="6" borderId="21" xfId="4537" applyNumberFormat="1" applyFont="1" applyFill="1" applyBorder="1" applyAlignment="1">
      <alignment horizontal="left" vertical="center"/>
    </xf>
    <xf numFmtId="185" fontId="141" fillId="6" borderId="21" xfId="4537" applyFont="1" applyFill="1" applyBorder="1" applyAlignment="1">
      <alignment horizontal="centerContinuous" vertical="center"/>
    </xf>
    <xf numFmtId="190" fontId="141" fillId="6" borderId="38" xfId="4536" applyNumberFormat="1" applyFont="1" applyFill="1" applyBorder="1" applyAlignment="1">
      <alignment horizontal="right" vertical="center"/>
    </xf>
    <xf numFmtId="272" fontId="141" fillId="6" borderId="21" xfId="4537" applyNumberFormat="1" applyFont="1" applyFill="1" applyBorder="1" applyAlignment="1">
      <alignment horizontal="center" vertical="center" wrapText="1" shrinkToFit="1"/>
    </xf>
    <xf numFmtId="185" fontId="141" fillId="6" borderId="38" xfId="4537" applyFont="1" applyFill="1" applyBorder="1" applyAlignment="1">
      <alignment horizontal="center" vertical="center"/>
    </xf>
    <xf numFmtId="0" fontId="141" fillId="6" borderId="4" xfId="4536" applyFont="1" applyFill="1" applyBorder="1" applyAlignment="1">
      <alignment horizontal="center" vertical="center" wrapText="1" shrinkToFit="1"/>
    </xf>
    <xf numFmtId="0" fontId="141" fillId="6" borderId="38" xfId="0" applyFont="1" applyFill="1" applyBorder="1" applyAlignment="1">
      <alignment horizontal="center" vertical="center" wrapText="1" shrinkToFit="1"/>
    </xf>
    <xf numFmtId="0" fontId="141" fillId="6" borderId="21" xfId="0" applyFont="1" applyFill="1" applyBorder="1" applyAlignment="1">
      <alignment horizontal="center" vertical="center" wrapText="1" shrinkToFit="1"/>
    </xf>
    <xf numFmtId="0" fontId="141" fillId="6" borderId="21" xfId="0" applyFont="1" applyFill="1" applyBorder="1" applyAlignment="1">
      <alignment horizontal="center" vertical="center"/>
    </xf>
    <xf numFmtId="272" fontId="141" fillId="0" borderId="38" xfId="4537" applyNumberFormat="1" applyFont="1" applyBorder="1" applyAlignment="1">
      <alignment horizontal="center" vertical="center" wrapText="1" shrinkToFit="1"/>
    </xf>
    <xf numFmtId="272" fontId="141" fillId="0" borderId="21" xfId="4537" applyNumberFormat="1" applyFont="1" applyBorder="1" applyAlignment="1">
      <alignment horizontal="center" vertical="center" wrapText="1" shrinkToFit="1"/>
    </xf>
    <xf numFmtId="185" fontId="141" fillId="0" borderId="21" xfId="4537" applyFont="1" applyBorder="1" applyAlignment="1">
      <alignment horizontal="center" vertical="center"/>
    </xf>
    <xf numFmtId="185" fontId="141" fillId="0" borderId="38" xfId="4537" applyFont="1" applyBorder="1" applyAlignment="1">
      <alignment horizontal="center" vertical="center"/>
    </xf>
    <xf numFmtId="0" fontId="141" fillId="0" borderId="4" xfId="4536" applyFont="1" applyBorder="1" applyAlignment="1">
      <alignment horizontal="center" vertical="center" wrapText="1" shrinkToFit="1"/>
    </xf>
    <xf numFmtId="43" fontId="13" fillId="0" borderId="23" xfId="4524" applyNumberFormat="1" applyFont="1" applyBorder="1" applyAlignment="1">
      <alignment horizontal="center" vertical="center"/>
    </xf>
    <xf numFmtId="0" fontId="13" fillId="0" borderId="23" xfId="4525" applyFont="1" applyBorder="1" applyAlignment="1">
      <alignment horizontal="center" vertical="center"/>
    </xf>
    <xf numFmtId="177" fontId="13" fillId="0" borderId="23" xfId="4525" applyNumberFormat="1" applyFont="1" applyBorder="1" applyAlignment="1">
      <alignment vertical="center" shrinkToFit="1"/>
    </xf>
    <xf numFmtId="177" fontId="13" fillId="0" borderId="23" xfId="4525" applyNumberFormat="1" applyFont="1" applyBorder="1" applyAlignment="1">
      <alignment horizontal="right" vertical="center" shrinkToFit="1"/>
    </xf>
    <xf numFmtId="0" fontId="0" fillId="6" borderId="0" xfId="0" applyFill="1">
      <alignment vertical="center"/>
    </xf>
    <xf numFmtId="0" fontId="78" fillId="6" borderId="0" xfId="3426" applyNumberFormat="1" applyFont="1" applyFill="1" applyAlignment="1">
      <alignment horizontal="left" vertical="center"/>
    </xf>
    <xf numFmtId="41" fontId="76" fillId="6" borderId="0" xfId="3426" applyFont="1" applyFill="1" applyAlignment="1">
      <alignment horizontal="left" vertical="center"/>
    </xf>
    <xf numFmtId="41" fontId="76" fillId="6" borderId="0" xfId="3426" applyFont="1" applyFill="1" applyAlignment="1">
      <alignment vertical="center"/>
    </xf>
    <xf numFmtId="41" fontId="112" fillId="6" borderId="0" xfId="3426" applyFont="1" applyFill="1" applyAlignment="1">
      <alignment vertical="center"/>
    </xf>
    <xf numFmtId="177" fontId="56" fillId="6" borderId="46" xfId="0" applyNumberFormat="1" applyFont="1" applyFill="1" applyBorder="1" applyAlignment="1">
      <alignment vertical="center" shrinkToFit="1"/>
    </xf>
    <xf numFmtId="0" fontId="77" fillId="6" borderId="25" xfId="4535" applyFont="1" applyFill="1" applyBorder="1">
      <alignment vertical="center"/>
    </xf>
    <xf numFmtId="41" fontId="140" fillId="6" borderId="3" xfId="3426" applyFont="1" applyFill="1" applyBorder="1" applyAlignment="1">
      <alignment vertical="center"/>
    </xf>
    <xf numFmtId="0" fontId="77" fillId="6" borderId="0" xfId="0" applyFont="1" applyFill="1" applyAlignment="1">
      <alignment horizontal="center" vertical="center"/>
    </xf>
    <xf numFmtId="177" fontId="56" fillId="0" borderId="25" xfId="4525" applyNumberFormat="1" applyFont="1" applyBorder="1" applyAlignment="1">
      <alignment horizontal="center" vertical="center" shrinkToFit="1"/>
    </xf>
    <xf numFmtId="0" fontId="76" fillId="0" borderId="2" xfId="0" applyFont="1" applyBorder="1">
      <alignment vertical="center"/>
    </xf>
    <xf numFmtId="0" fontId="77" fillId="0" borderId="13" xfId="0" applyFont="1" applyBorder="1">
      <alignment vertical="center"/>
    </xf>
    <xf numFmtId="0" fontId="77" fillId="0" borderId="0" xfId="0" quotePrefix="1" applyFont="1">
      <alignment vertical="center"/>
    </xf>
    <xf numFmtId="273" fontId="56" fillId="0" borderId="0" xfId="4537" applyNumberFormat="1" applyFont="1" applyFill="1" applyBorder="1" applyAlignment="1">
      <alignment horizontal="center" vertical="center"/>
    </xf>
    <xf numFmtId="206" fontId="56" fillId="0" borderId="21" xfId="3426" applyNumberFormat="1" applyFont="1" applyFill="1" applyBorder="1" applyAlignment="1">
      <alignment vertical="center"/>
    </xf>
    <xf numFmtId="273" fontId="58" fillId="0" borderId="13" xfId="4537" applyNumberFormat="1" applyFont="1" applyBorder="1" applyAlignment="1">
      <alignment horizontal="center" vertical="center"/>
    </xf>
    <xf numFmtId="273" fontId="56" fillId="0" borderId="0" xfId="4536" applyNumberFormat="1" applyFont="1"/>
    <xf numFmtId="273" fontId="56" fillId="0" borderId="21" xfId="4536" applyNumberFormat="1" applyFont="1" applyBorder="1" applyAlignment="1">
      <alignment horizontal="centerContinuous" vertical="center"/>
    </xf>
    <xf numFmtId="273" fontId="81" fillId="0" borderId="21" xfId="0" applyNumberFormat="1" applyFont="1" applyBorder="1" applyAlignment="1">
      <alignment horizontal="center" vertical="center"/>
    </xf>
    <xf numFmtId="273" fontId="141" fillId="6" borderId="21" xfId="4537" applyNumberFormat="1" applyFont="1" applyFill="1" applyBorder="1" applyAlignment="1">
      <alignment vertical="center"/>
    </xf>
    <xf numFmtId="273" fontId="141" fillId="6" borderId="21" xfId="4536" applyNumberFormat="1" applyFont="1" applyFill="1" applyBorder="1"/>
    <xf numFmtId="273" fontId="141" fillId="6" borderId="0" xfId="4536" applyNumberFormat="1" applyFont="1" applyFill="1"/>
    <xf numFmtId="273" fontId="141" fillId="6" borderId="21" xfId="4536" applyNumberFormat="1" applyFont="1" applyFill="1" applyBorder="1" applyAlignment="1">
      <alignment horizontal="centerContinuous" vertical="center"/>
    </xf>
    <xf numFmtId="273" fontId="141" fillId="6" borderId="21" xfId="0" applyNumberFormat="1" applyFont="1" applyFill="1" applyBorder="1" applyAlignment="1">
      <alignment horizontal="center" vertical="center"/>
    </xf>
    <xf numFmtId="273" fontId="141" fillId="0" borderId="21" xfId="4536" applyNumberFormat="1" applyFont="1" applyBorder="1"/>
    <xf numFmtId="273" fontId="0" fillId="0" borderId="0" xfId="0" applyNumberFormat="1">
      <alignment vertical="center"/>
    </xf>
    <xf numFmtId="14" fontId="0" fillId="0" borderId="0" xfId="0" quotePrefix="1" applyNumberFormat="1">
      <alignment vertical="center"/>
    </xf>
    <xf numFmtId="177" fontId="13" fillId="0" borderId="9" xfId="4525" applyNumberFormat="1" applyFont="1" applyBorder="1" applyAlignment="1">
      <alignment horizontal="right" vertical="center" shrinkToFit="1"/>
    </xf>
    <xf numFmtId="43" fontId="13" fillId="0" borderId="8" xfId="4524" applyNumberFormat="1" applyFont="1" applyBorder="1" applyAlignment="1">
      <alignment horizontal="left" vertical="center" shrinkToFit="1"/>
    </xf>
    <xf numFmtId="43" fontId="13" fillId="0" borderId="9" xfId="4524" applyNumberFormat="1" applyFont="1" applyBorder="1" applyAlignment="1">
      <alignment horizontal="center" vertical="center"/>
    </xf>
    <xf numFmtId="198" fontId="13" fillId="0" borderId="25" xfId="4525" applyNumberFormat="1" applyFont="1" applyBorder="1" applyAlignment="1">
      <alignment horizontal="center" vertical="center" shrinkToFit="1"/>
    </xf>
    <xf numFmtId="0" fontId="0" fillId="0" borderId="0" xfId="0" applyAlignment="1">
      <alignment horizontal="right" vertical="center"/>
    </xf>
    <xf numFmtId="0" fontId="0" fillId="6" borderId="0" xfId="0" applyFill="1" applyAlignment="1">
      <alignment horizontal="right" vertical="center"/>
    </xf>
    <xf numFmtId="177" fontId="13" fillId="0" borderId="9" xfId="4525" applyNumberFormat="1" applyFont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213" fillId="0" borderId="0" xfId="11383"/>
    <xf numFmtId="0" fontId="213" fillId="0" borderId="0" xfId="11383" applyAlignment="1">
      <alignment horizontal="center"/>
    </xf>
    <xf numFmtId="0" fontId="213" fillId="0" borderId="83" xfId="11383" applyBorder="1"/>
    <xf numFmtId="0" fontId="213" fillId="0" borderId="84" xfId="11383" applyBorder="1"/>
    <xf numFmtId="0" fontId="213" fillId="0" borderId="81" xfId="11383" applyBorder="1"/>
    <xf numFmtId="0" fontId="213" fillId="0" borderId="7" xfId="11383" applyBorder="1"/>
    <xf numFmtId="0" fontId="213" fillId="0" borderId="43" xfId="11383" applyBorder="1"/>
    <xf numFmtId="0" fontId="213" fillId="0" borderId="85" xfId="11383" applyBorder="1" applyAlignment="1">
      <alignment horizontal="center" vertical="center"/>
    </xf>
    <xf numFmtId="0" fontId="213" fillId="0" borderId="86" xfId="11383" applyBorder="1"/>
    <xf numFmtId="0" fontId="213" fillId="0" borderId="40" xfId="11383" applyBorder="1"/>
    <xf numFmtId="0" fontId="213" fillId="0" borderId="85" xfId="11383" applyBorder="1" applyAlignment="1">
      <alignment horizontal="left" vertical="center"/>
    </xf>
    <xf numFmtId="352" fontId="213" fillId="0" borderId="85" xfId="11383" applyNumberFormat="1" applyBorder="1"/>
    <xf numFmtId="0" fontId="213" fillId="0" borderId="85" xfId="11383" applyBorder="1" applyAlignment="1">
      <alignment horizontal="center"/>
    </xf>
    <xf numFmtId="3" fontId="213" fillId="0" borderId="85" xfId="11383" applyNumberFormat="1" applyBorder="1" applyAlignment="1">
      <alignment horizontal="right"/>
    </xf>
    <xf numFmtId="0" fontId="213" fillId="0" borderId="85" xfId="11383" applyBorder="1"/>
    <xf numFmtId="0" fontId="213" fillId="0" borderId="50" xfId="11383" applyBorder="1" applyAlignment="1">
      <alignment horizontal="center" vertical="center"/>
    </xf>
    <xf numFmtId="0" fontId="213" fillId="0" borderId="87" xfId="11383" applyBorder="1" applyAlignment="1">
      <alignment horizontal="center" vertical="center"/>
    </xf>
    <xf numFmtId="0" fontId="213" fillId="0" borderId="86" xfId="11383" applyBorder="1" applyAlignment="1">
      <alignment horizontal="center" vertical="center"/>
    </xf>
    <xf numFmtId="0" fontId="213" fillId="0" borderId="0" xfId="11383" applyAlignment="1">
      <alignment horizontal="center" vertical="center"/>
    </xf>
    <xf numFmtId="0" fontId="213" fillId="0" borderId="22" xfId="11383" applyBorder="1" applyAlignment="1">
      <alignment horizontal="center" vertical="center"/>
    </xf>
    <xf numFmtId="3" fontId="213" fillId="0" borderId="85" xfId="11383" applyNumberFormat="1" applyBorder="1"/>
    <xf numFmtId="0" fontId="213" fillId="0" borderId="88" xfId="11383" applyBorder="1" applyAlignment="1">
      <alignment horizontal="center" vertical="center"/>
    </xf>
    <xf numFmtId="0" fontId="213" fillId="0" borderId="20" xfId="11383" applyBorder="1" applyAlignment="1">
      <alignment horizontal="center" vertical="center"/>
    </xf>
    <xf numFmtId="0" fontId="213" fillId="0" borderId="11" xfId="11383" applyBorder="1" applyAlignment="1">
      <alignment horizontal="center" vertical="center"/>
    </xf>
    <xf numFmtId="0" fontId="213" fillId="0" borderId="38" xfId="11383" applyBorder="1"/>
    <xf numFmtId="0" fontId="213" fillId="0" borderId="89" xfId="11383" applyBorder="1"/>
    <xf numFmtId="0" fontId="213" fillId="0" borderId="21" xfId="11383" applyBorder="1"/>
    <xf numFmtId="0" fontId="213" fillId="0" borderId="4" xfId="11383" applyBorder="1"/>
    <xf numFmtId="0" fontId="219" fillId="0" borderId="85" xfId="11383" applyFont="1" applyBorder="1" applyAlignment="1">
      <alignment horizontal="left" vertical="center"/>
    </xf>
    <xf numFmtId="0" fontId="213" fillId="0" borderId="0" xfId="11388"/>
    <xf numFmtId="354" fontId="217" fillId="0" borderId="21" xfId="11388" applyNumberFormat="1" applyFont="1" applyBorder="1" applyAlignment="1">
      <alignment vertical="center"/>
    </xf>
    <xf numFmtId="354" fontId="217" fillId="0" borderId="7" xfId="11388" applyNumberFormat="1" applyFont="1" applyBorder="1" applyAlignment="1">
      <alignment vertical="center"/>
    </xf>
    <xf numFmtId="354" fontId="217" fillId="0" borderId="0" xfId="11388" applyNumberFormat="1" applyFont="1" applyAlignment="1">
      <alignment vertical="center"/>
    </xf>
    <xf numFmtId="354" fontId="217" fillId="0" borderId="38" xfId="11388" applyNumberFormat="1" applyFont="1" applyBorder="1" applyAlignment="1">
      <alignment vertical="center"/>
    </xf>
    <xf numFmtId="354" fontId="216" fillId="0" borderId="7" xfId="11388" applyNumberFormat="1" applyFont="1" applyBorder="1" applyAlignment="1">
      <alignment horizontal="left" vertical="center"/>
    </xf>
    <xf numFmtId="3" fontId="216" fillId="0" borderId="34" xfId="11388" applyNumberFormat="1" applyFont="1" applyBorder="1" applyAlignment="1">
      <alignment horizontal="right" vertical="center"/>
    </xf>
    <xf numFmtId="354" fontId="217" fillId="0" borderId="40" xfId="11388" applyNumberFormat="1" applyFont="1" applyBorder="1" applyAlignment="1">
      <alignment horizontal="right" vertical="center"/>
    </xf>
    <xf numFmtId="354" fontId="217" fillId="0" borderId="34" xfId="11388" applyNumberFormat="1" applyFont="1" applyBorder="1" applyAlignment="1">
      <alignment horizontal="right" vertical="center"/>
    </xf>
    <xf numFmtId="3" fontId="217" fillId="0" borderId="34" xfId="11388" applyNumberFormat="1" applyFont="1" applyBorder="1" applyAlignment="1">
      <alignment horizontal="right" vertical="center"/>
    </xf>
    <xf numFmtId="3" fontId="216" fillId="0" borderId="40" xfId="11388" applyNumberFormat="1" applyFont="1" applyBorder="1" applyAlignment="1">
      <alignment horizontal="right" vertical="center"/>
    </xf>
    <xf numFmtId="354" fontId="217" fillId="0" borderId="45" xfId="11388" applyNumberFormat="1" applyFont="1" applyBorder="1" applyAlignment="1">
      <alignment horizontal="right" vertical="center"/>
    </xf>
    <xf numFmtId="354" fontId="217" fillId="0" borderId="80" xfId="11388" applyNumberFormat="1" applyFont="1" applyBorder="1" applyAlignment="1">
      <alignment horizontal="right" vertical="center"/>
    </xf>
    <xf numFmtId="0" fontId="219" fillId="0" borderId="0" xfId="11383" applyFont="1" applyAlignment="1">
      <alignment horizontal="center" vertical="center"/>
    </xf>
    <xf numFmtId="354" fontId="217" fillId="0" borderId="0" xfId="0" applyNumberFormat="1" applyFont="1">
      <alignment vertical="center"/>
    </xf>
    <xf numFmtId="354" fontId="217" fillId="0" borderId="0" xfId="0" applyNumberFormat="1" applyFont="1" applyAlignment="1"/>
    <xf numFmtId="3" fontId="216" fillId="0" borderId="34" xfId="0" applyNumberFormat="1" applyFont="1" applyBorder="1" applyAlignment="1">
      <alignment horizontal="right" vertical="center"/>
    </xf>
    <xf numFmtId="0" fontId="0" fillId="0" borderId="0" xfId="0" applyAlignment="1"/>
    <xf numFmtId="354" fontId="217" fillId="0" borderId="7" xfId="0" applyNumberFormat="1" applyFont="1" applyBorder="1">
      <alignment vertical="center"/>
    </xf>
    <xf numFmtId="354" fontId="217" fillId="0" borderId="34" xfId="0" applyNumberFormat="1" applyFont="1" applyBorder="1" applyAlignment="1">
      <alignment horizontal="right" vertical="center"/>
    </xf>
    <xf numFmtId="354" fontId="217" fillId="0" borderId="38" xfId="0" applyNumberFormat="1" applyFont="1" applyBorder="1">
      <alignment vertical="center"/>
    </xf>
    <xf numFmtId="354" fontId="217" fillId="0" borderId="21" xfId="0" applyNumberFormat="1" applyFont="1" applyBorder="1">
      <alignment vertical="center"/>
    </xf>
    <xf numFmtId="354" fontId="217" fillId="0" borderId="21" xfId="0" applyNumberFormat="1" applyFont="1" applyBorder="1" applyAlignment="1"/>
    <xf numFmtId="354" fontId="217" fillId="0" borderId="45" xfId="0" applyNumberFormat="1" applyFont="1" applyBorder="1" applyAlignment="1">
      <alignment horizontal="right" vertical="center"/>
    </xf>
    <xf numFmtId="3" fontId="217" fillId="0" borderId="34" xfId="0" applyNumberFormat="1" applyFont="1" applyBorder="1" applyAlignment="1">
      <alignment horizontal="right" vertical="center"/>
    </xf>
    <xf numFmtId="354" fontId="216" fillId="0" borderId="90" xfId="11388" applyNumberFormat="1" applyFont="1" applyBorder="1" applyAlignment="1">
      <alignment horizontal="center" vertical="center"/>
    </xf>
    <xf numFmtId="354" fontId="216" fillId="0" borderId="79" xfId="11388" applyNumberFormat="1" applyFont="1" applyBorder="1" applyAlignment="1">
      <alignment horizontal="center" vertical="center"/>
    </xf>
    <xf numFmtId="3" fontId="216" fillId="0" borderId="22" xfId="11388" applyNumberFormat="1" applyFont="1" applyBorder="1" applyAlignment="1">
      <alignment horizontal="right" vertical="center"/>
    </xf>
    <xf numFmtId="354" fontId="217" fillId="0" borderId="40" xfId="0" applyNumberFormat="1" applyFont="1" applyBorder="1">
      <alignment vertical="center"/>
    </xf>
    <xf numFmtId="354" fontId="217" fillId="0" borderId="83" xfId="11388" applyNumberFormat="1" applyFont="1" applyBorder="1" applyAlignment="1">
      <alignment vertical="center"/>
    </xf>
    <xf numFmtId="354" fontId="217" fillId="0" borderId="84" xfId="11388" applyNumberFormat="1" applyFont="1" applyBorder="1" applyAlignment="1">
      <alignment vertical="center"/>
    </xf>
    <xf numFmtId="3" fontId="217" fillId="0" borderId="90" xfId="11388" applyNumberFormat="1" applyFont="1" applyBorder="1" applyAlignment="1">
      <alignment horizontal="right" vertical="center"/>
    </xf>
    <xf numFmtId="354" fontId="217" fillId="0" borderId="90" xfId="11388" applyNumberFormat="1" applyFont="1" applyBorder="1" applyAlignment="1">
      <alignment horizontal="right" vertical="center"/>
    </xf>
    <xf numFmtId="354" fontId="217" fillId="0" borderId="79" xfId="11388" applyNumberFormat="1" applyFont="1" applyBorder="1" applyAlignment="1">
      <alignment horizontal="right" vertical="center"/>
    </xf>
    <xf numFmtId="354" fontId="217" fillId="0" borderId="80" xfId="0" applyNumberFormat="1" applyFont="1" applyBorder="1">
      <alignment vertical="center"/>
    </xf>
    <xf numFmtId="354" fontId="216" fillId="0" borderId="83" xfId="11388" applyNumberFormat="1" applyFont="1" applyBorder="1" applyAlignment="1">
      <alignment horizontal="left" vertical="center"/>
    </xf>
    <xf numFmtId="0" fontId="213" fillId="0" borderId="90" xfId="11388" applyBorder="1"/>
    <xf numFmtId="3" fontId="216" fillId="0" borderId="79" xfId="11388" applyNumberFormat="1" applyFont="1" applyBorder="1" applyAlignment="1">
      <alignment horizontal="right" vertical="center"/>
    </xf>
    <xf numFmtId="3" fontId="217" fillId="0" borderId="45" xfId="0" applyNumberFormat="1" applyFont="1" applyBorder="1" applyAlignment="1">
      <alignment horizontal="right" vertical="center"/>
    </xf>
    <xf numFmtId="354" fontId="217" fillId="0" borderId="84" xfId="0" applyNumberFormat="1" applyFont="1" applyBorder="1">
      <alignment vertical="center"/>
    </xf>
    <xf numFmtId="354" fontId="217" fillId="0" borderId="79" xfId="0" applyNumberFormat="1" applyFont="1" applyBorder="1">
      <alignment vertical="center"/>
    </xf>
    <xf numFmtId="354" fontId="217" fillId="0" borderId="83" xfId="0" applyNumberFormat="1" applyFont="1" applyBorder="1">
      <alignment vertical="center"/>
    </xf>
    <xf numFmtId="3" fontId="217" fillId="0" borderId="90" xfId="0" applyNumberFormat="1" applyFont="1" applyBorder="1" applyAlignment="1">
      <alignment horizontal="right" vertical="center"/>
    </xf>
    <xf numFmtId="354" fontId="217" fillId="0" borderId="90" xfId="0" applyNumberFormat="1" applyFont="1" applyBorder="1" applyAlignment="1">
      <alignment horizontal="right" vertical="center"/>
    </xf>
    <xf numFmtId="0" fontId="56" fillId="0" borderId="4" xfId="4539" applyFont="1" applyBorder="1"/>
    <xf numFmtId="194" fontId="56" fillId="0" borderId="43" xfId="4536" applyNumberFormat="1" applyFont="1" applyBorder="1" applyAlignment="1">
      <alignment horizontal="right" vertical="center"/>
    </xf>
    <xf numFmtId="0" fontId="58" fillId="0" borderId="84" xfId="4536" applyFont="1" applyBorder="1" applyAlignment="1">
      <alignment horizontal="center" vertical="center"/>
    </xf>
    <xf numFmtId="0" fontId="56" fillId="0" borderId="43" xfId="4538" applyFont="1" applyBorder="1" applyAlignment="1">
      <alignment horizontal="center" vertical="center"/>
    </xf>
    <xf numFmtId="0" fontId="56" fillId="0" borderId="4" xfId="4536" applyFont="1" applyBorder="1" applyAlignment="1">
      <alignment horizontal="right"/>
    </xf>
    <xf numFmtId="272" fontId="56" fillId="0" borderId="21" xfId="4537" applyNumberFormat="1" applyFont="1" applyBorder="1" applyAlignment="1">
      <alignment horizontal="center" vertical="center" wrapText="1" shrinkToFit="1"/>
    </xf>
    <xf numFmtId="185" fontId="56" fillId="0" borderId="21" xfId="4537" applyFont="1" applyBorder="1" applyAlignment="1">
      <alignment horizontal="center" vertical="center"/>
    </xf>
    <xf numFmtId="0" fontId="56" fillId="0" borderId="4" xfId="4536" applyFont="1" applyBorder="1" applyAlignment="1">
      <alignment horizontal="center" vertical="center" wrapText="1" shrinkToFit="1"/>
    </xf>
    <xf numFmtId="185" fontId="56" fillId="0" borderId="7" xfId="4537" applyFont="1" applyBorder="1" applyAlignment="1">
      <alignment horizontal="right" vertical="center"/>
    </xf>
    <xf numFmtId="273" fontId="56" fillId="0" borderId="0" xfId="4537" applyNumberFormat="1" applyFont="1" applyBorder="1" applyAlignment="1">
      <alignment horizontal="center" vertical="center"/>
    </xf>
    <xf numFmtId="273" fontId="56" fillId="0" borderId="0" xfId="4538" applyNumberFormat="1" applyFont="1"/>
    <xf numFmtId="0" fontId="56" fillId="0" borderId="0" xfId="4538" applyFont="1" applyAlignment="1">
      <alignment horizontal="center" vertical="center"/>
    </xf>
    <xf numFmtId="272" fontId="56" fillId="0" borderId="38" xfId="4537" applyNumberFormat="1" applyFont="1" applyBorder="1" applyAlignment="1">
      <alignment horizontal="center" vertical="center"/>
    </xf>
    <xf numFmtId="273" fontId="56" fillId="0" borderId="21" xfId="4537" applyNumberFormat="1" applyFont="1" applyBorder="1" applyAlignment="1">
      <alignment horizontal="center" vertical="center"/>
    </xf>
    <xf numFmtId="273" fontId="56" fillId="0" borderId="21" xfId="4537" applyNumberFormat="1" applyFont="1" applyBorder="1" applyAlignment="1">
      <alignment vertical="center"/>
    </xf>
    <xf numFmtId="185" fontId="56" fillId="0" borderId="0" xfId="4537" applyFont="1" applyBorder="1" applyAlignment="1">
      <alignment horizontal="right" vertical="center"/>
    </xf>
    <xf numFmtId="0" fontId="56" fillId="0" borderId="21" xfId="4536" applyFont="1" applyBorder="1" applyAlignment="1">
      <alignment horizontal="left"/>
    </xf>
    <xf numFmtId="0" fontId="56" fillId="0" borderId="0" xfId="3426" applyNumberFormat="1" applyFont="1" applyBorder="1" applyAlignment="1">
      <alignment horizontal="right" vertical="center"/>
    </xf>
    <xf numFmtId="185" fontId="56" fillId="0" borderId="0" xfId="4539" applyNumberFormat="1" applyFont="1" applyAlignment="1">
      <alignment horizontal="center" shrinkToFit="1"/>
    </xf>
    <xf numFmtId="272" fontId="56" fillId="0" borderId="38" xfId="4537" applyNumberFormat="1" applyFont="1" applyBorder="1" applyAlignment="1">
      <alignment horizontal="center" vertical="center" wrapText="1" shrinkToFit="1"/>
    </xf>
    <xf numFmtId="0" fontId="56" fillId="0" borderId="0" xfId="4536" applyFont="1" applyAlignment="1">
      <alignment horizontal="left" vertical="center"/>
    </xf>
    <xf numFmtId="0" fontId="56" fillId="0" borderId="0" xfId="4536" applyFont="1" applyAlignment="1">
      <alignment horizontal="right" vertical="center"/>
    </xf>
    <xf numFmtId="0" fontId="56" fillId="0" borderId="0" xfId="4536" applyFont="1"/>
    <xf numFmtId="185" fontId="56" fillId="0" borderId="38" xfId="4537" applyFont="1" applyBorder="1" applyAlignment="1">
      <alignment horizontal="center" vertical="center"/>
    </xf>
    <xf numFmtId="0" fontId="56" fillId="0" borderId="0" xfId="4536" applyFont="1" applyAlignment="1">
      <alignment horizontal="center"/>
    </xf>
    <xf numFmtId="0" fontId="56" fillId="0" borderId="7" xfId="4538" applyFont="1" applyBorder="1" applyAlignment="1">
      <alignment horizontal="center" vertical="center"/>
    </xf>
    <xf numFmtId="354" fontId="217" fillId="6" borderId="0" xfId="11388" applyNumberFormat="1" applyFont="1" applyFill="1" applyAlignment="1">
      <alignment vertical="center"/>
    </xf>
    <xf numFmtId="354" fontId="217" fillId="6" borderId="0" xfId="0" applyNumberFormat="1" applyFont="1" applyFill="1">
      <alignment vertical="center"/>
    </xf>
    <xf numFmtId="354" fontId="216" fillId="6" borderId="84" xfId="11388" applyNumberFormat="1" applyFont="1" applyFill="1" applyBorder="1" applyAlignment="1">
      <alignment horizontal="center" vertical="center"/>
    </xf>
    <xf numFmtId="354" fontId="217" fillId="6" borderId="21" xfId="11388" applyNumberFormat="1" applyFont="1" applyFill="1" applyBorder="1" applyAlignment="1">
      <alignment vertical="center"/>
    </xf>
    <xf numFmtId="354" fontId="217" fillId="6" borderId="84" xfId="11388" applyNumberFormat="1" applyFont="1" applyFill="1" applyBorder="1" applyAlignment="1">
      <alignment vertical="center"/>
    </xf>
    <xf numFmtId="354" fontId="217" fillId="6" borderId="21" xfId="0" applyNumberFormat="1" applyFont="1" applyFill="1" applyBorder="1">
      <alignment vertical="center"/>
    </xf>
    <xf numFmtId="354" fontId="217" fillId="6" borderId="84" xfId="0" applyNumberFormat="1" applyFont="1" applyFill="1" applyBorder="1">
      <alignment vertical="center"/>
    </xf>
    <xf numFmtId="0" fontId="213" fillId="6" borderId="0" xfId="11388" applyFill="1"/>
    <xf numFmtId="354" fontId="216" fillId="0" borderId="96" xfId="11388" applyNumberFormat="1" applyFont="1" applyBorder="1" applyAlignment="1">
      <alignment horizontal="center" vertical="center"/>
    </xf>
    <xf numFmtId="354" fontId="217" fillId="0" borderId="22" xfId="11388" applyNumberFormat="1" applyFont="1" applyBorder="1" applyAlignment="1">
      <alignment vertical="center"/>
    </xf>
    <xf numFmtId="354" fontId="217" fillId="0" borderId="82" xfId="11388" applyNumberFormat="1" applyFont="1" applyBorder="1" applyAlignment="1">
      <alignment vertical="center"/>
    </xf>
    <xf numFmtId="0" fontId="0" fillId="6" borderId="0" xfId="0" applyFill="1" applyAlignment="1"/>
    <xf numFmtId="0" fontId="0" fillId="0" borderId="21" xfId="0" applyBorder="1" applyAlignment="1"/>
    <xf numFmtId="354" fontId="217" fillId="0" borderId="22" xfId="11388" applyNumberFormat="1" applyFont="1" applyBorder="1" applyAlignment="1">
      <alignment horizontal="right" vertical="center"/>
    </xf>
    <xf numFmtId="3" fontId="217" fillId="0" borderId="22" xfId="11388" applyNumberFormat="1" applyFont="1" applyBorder="1" applyAlignment="1">
      <alignment horizontal="right" vertical="center"/>
    </xf>
    <xf numFmtId="3" fontId="217" fillId="0" borderId="82" xfId="11388" applyNumberFormat="1" applyFont="1" applyBorder="1" applyAlignment="1">
      <alignment horizontal="right" vertical="center"/>
    </xf>
    <xf numFmtId="354" fontId="220" fillId="0" borderId="40" xfId="11388" applyNumberFormat="1" applyFont="1" applyBorder="1" applyAlignment="1">
      <alignment horizontal="center" vertical="center"/>
    </xf>
    <xf numFmtId="0" fontId="213" fillId="0" borderId="9" xfId="11383" applyBorder="1"/>
    <xf numFmtId="354" fontId="217" fillId="0" borderId="84" xfId="0" applyNumberFormat="1" applyFont="1" applyBorder="1" applyAlignment="1"/>
    <xf numFmtId="0" fontId="0" fillId="0" borderId="81" xfId="0" applyBorder="1" applyAlignment="1">
      <alignment horizontal="right" vertical="center"/>
    </xf>
    <xf numFmtId="0" fontId="0" fillId="0" borderId="4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222" fillId="0" borderId="98" xfId="11400" applyFont="1" applyBorder="1" applyAlignment="1">
      <alignment horizontal="center" vertical="center"/>
    </xf>
    <xf numFmtId="0" fontId="222" fillId="0" borderId="78" xfId="11400" applyFont="1" applyBorder="1" applyAlignment="1">
      <alignment horizontal="centerContinuous" vertical="center"/>
    </xf>
    <xf numFmtId="0" fontId="222" fillId="0" borderId="99" xfId="11400" applyFont="1" applyBorder="1" applyAlignment="1">
      <alignment horizontal="centerContinuous" vertical="center"/>
    </xf>
    <xf numFmtId="0" fontId="222" fillId="0" borderId="100" xfId="11400" applyFont="1" applyBorder="1" applyAlignment="1">
      <alignment horizontal="centerContinuous" vertical="center"/>
    </xf>
    <xf numFmtId="0" fontId="94" fillId="0" borderId="0" xfId="11400">
      <alignment vertical="center"/>
    </xf>
    <xf numFmtId="0" fontId="94" fillId="0" borderId="47" xfId="11400" applyBorder="1" applyAlignment="1">
      <alignment horizontal="center" vertical="center"/>
    </xf>
    <xf numFmtId="0" fontId="94" fillId="0" borderId="7" xfId="11400" applyBorder="1">
      <alignment vertical="center"/>
    </xf>
    <xf numFmtId="0" fontId="94" fillId="0" borderId="43" xfId="11400" applyBorder="1">
      <alignment vertical="center"/>
    </xf>
    <xf numFmtId="0" fontId="94" fillId="0" borderId="47" xfId="11400" applyBorder="1">
      <alignment vertical="center"/>
    </xf>
    <xf numFmtId="0" fontId="94" fillId="0" borderId="48" xfId="11400" applyBorder="1">
      <alignment vertical="center"/>
    </xf>
    <xf numFmtId="0" fontId="94" fillId="0" borderId="38" xfId="11400" applyBorder="1">
      <alignment vertical="center"/>
    </xf>
    <xf numFmtId="2" fontId="94" fillId="0" borderId="7" xfId="11400" applyNumberFormat="1" applyBorder="1">
      <alignment vertical="center"/>
    </xf>
    <xf numFmtId="0" fontId="94" fillId="0" borderId="21" xfId="11400" applyBorder="1">
      <alignment vertical="center"/>
    </xf>
    <xf numFmtId="0" fontId="94" fillId="0" borderId="4" xfId="11400" applyBorder="1">
      <alignment vertical="center"/>
    </xf>
    <xf numFmtId="319" fontId="94" fillId="0" borderId="7" xfId="11400" applyNumberFormat="1" applyBorder="1">
      <alignment vertical="center"/>
    </xf>
    <xf numFmtId="319" fontId="94" fillId="0" borderId="0" xfId="11400" applyNumberFormat="1">
      <alignment vertical="center"/>
    </xf>
    <xf numFmtId="354" fontId="216" fillId="0" borderId="83" xfId="11388" applyNumberFormat="1" applyFont="1" applyBorder="1" applyAlignment="1">
      <alignment horizontal="center" vertical="center"/>
    </xf>
    <xf numFmtId="354" fontId="216" fillId="0" borderId="84" xfId="11388" applyNumberFormat="1" applyFont="1" applyBorder="1" applyAlignment="1">
      <alignment horizontal="center" vertical="center"/>
    </xf>
    <xf numFmtId="354" fontId="216" fillId="0" borderId="0" xfId="11388" applyNumberFormat="1" applyFont="1" applyAlignment="1">
      <alignment horizontal="left" vertical="center"/>
    </xf>
    <xf numFmtId="354" fontId="216" fillId="0" borderId="7" xfId="11388" applyNumberFormat="1" applyFont="1" applyBorder="1" applyAlignment="1">
      <alignment horizontal="center" vertical="center"/>
    </xf>
    <xf numFmtId="354" fontId="216" fillId="0" borderId="0" xfId="11388" applyNumberFormat="1" applyFont="1" applyAlignment="1">
      <alignment horizontal="center" vertical="center"/>
    </xf>
    <xf numFmtId="354" fontId="216" fillId="6" borderId="0" xfId="11388" applyNumberFormat="1" applyFont="1" applyFill="1" applyAlignment="1">
      <alignment horizontal="center" vertical="center"/>
    </xf>
    <xf numFmtId="354" fontId="216" fillId="0" borderId="22" xfId="11388" applyNumberFormat="1" applyFont="1" applyBorder="1" applyAlignment="1">
      <alignment horizontal="center" vertical="center"/>
    </xf>
    <xf numFmtId="354" fontId="216" fillId="0" borderId="34" xfId="11388" applyNumberFormat="1" applyFont="1" applyBorder="1" applyAlignment="1">
      <alignment horizontal="center" vertical="center"/>
    </xf>
    <xf numFmtId="354" fontId="216" fillId="0" borderId="40" xfId="11388" applyNumberFormat="1" applyFont="1" applyBorder="1" applyAlignment="1">
      <alignment horizontal="center" vertical="center"/>
    </xf>
    <xf numFmtId="0" fontId="0" fillId="0" borderId="7" xfId="0" applyBorder="1" applyAlignment="1"/>
    <xf numFmtId="354" fontId="216" fillId="0" borderId="0" xfId="0" applyNumberFormat="1" applyFont="1" applyAlignment="1">
      <alignment horizontal="left" vertical="center"/>
    </xf>
    <xf numFmtId="354" fontId="217" fillId="0" borderId="22" xfId="0" applyNumberFormat="1" applyFont="1" applyBorder="1" applyAlignment="1"/>
    <xf numFmtId="354" fontId="216" fillId="0" borderId="38" xfId="11388" applyNumberFormat="1" applyFont="1" applyBorder="1" applyAlignment="1">
      <alignment horizontal="center" vertical="center"/>
    </xf>
    <xf numFmtId="354" fontId="216" fillId="0" borderId="21" xfId="11388" applyNumberFormat="1" applyFont="1" applyBorder="1" applyAlignment="1">
      <alignment horizontal="center" vertical="center"/>
    </xf>
    <xf numFmtId="354" fontId="216" fillId="6" borderId="21" xfId="11388" applyNumberFormat="1" applyFont="1" applyFill="1" applyBorder="1" applyAlignment="1">
      <alignment horizontal="center" vertical="center"/>
    </xf>
    <xf numFmtId="354" fontId="216" fillId="0" borderId="82" xfId="11388" applyNumberFormat="1" applyFont="1" applyBorder="1" applyAlignment="1">
      <alignment horizontal="center" vertical="center"/>
    </xf>
    <xf numFmtId="0" fontId="0" fillId="0" borderId="38" xfId="0" applyBorder="1" applyAlignment="1"/>
    <xf numFmtId="0" fontId="0" fillId="0" borderId="40" xfId="0" applyBorder="1" applyAlignment="1">
      <alignment horizontal="right" vertical="center"/>
    </xf>
    <xf numFmtId="0" fontId="0" fillId="0" borderId="80" xfId="0" applyBorder="1" applyAlignment="1">
      <alignment horizontal="right" vertical="center"/>
    </xf>
    <xf numFmtId="354" fontId="216" fillId="0" borderId="45" xfId="11388" applyNumberFormat="1" applyFont="1" applyBorder="1" applyAlignment="1">
      <alignment horizontal="center" vertical="center"/>
    </xf>
    <xf numFmtId="354" fontId="216" fillId="0" borderId="80" xfId="11388" applyNumberFormat="1" applyFont="1" applyBorder="1" applyAlignment="1">
      <alignment horizontal="center" vertical="center"/>
    </xf>
    <xf numFmtId="0" fontId="0" fillId="0" borderId="83" xfId="0" applyBorder="1" applyAlignment="1"/>
    <xf numFmtId="354" fontId="217" fillId="0" borderId="96" xfId="0" applyNumberFormat="1" applyFont="1" applyBorder="1" applyAlignment="1"/>
    <xf numFmtId="354" fontId="217" fillId="0" borderId="82" xfId="0" applyNumberFormat="1" applyFont="1" applyBorder="1" applyAlignment="1"/>
    <xf numFmtId="0" fontId="0" fillId="0" borderId="79" xfId="0" applyBorder="1" applyAlignment="1">
      <alignment horizontal="right" vertical="center"/>
    </xf>
    <xf numFmtId="354" fontId="217" fillId="0" borderId="22" xfId="0" applyNumberFormat="1" applyFont="1" applyBorder="1">
      <alignment vertical="center"/>
    </xf>
    <xf numFmtId="354" fontId="217" fillId="0" borderId="82" xfId="0" applyNumberFormat="1" applyFont="1" applyBorder="1">
      <alignment vertical="center"/>
    </xf>
    <xf numFmtId="354" fontId="217" fillId="0" borderId="96" xfId="11388" applyNumberFormat="1" applyFont="1" applyBorder="1" applyAlignment="1">
      <alignment vertical="center"/>
    </xf>
    <xf numFmtId="354" fontId="217" fillId="0" borderId="96" xfId="0" applyNumberFormat="1" applyFont="1" applyBorder="1">
      <alignment vertical="center"/>
    </xf>
    <xf numFmtId="0" fontId="56" fillId="0" borderId="0" xfId="4536" applyFont="1" applyAlignment="1">
      <alignment horizontal="center" vertical="center"/>
    </xf>
    <xf numFmtId="0" fontId="56" fillId="0" borderId="83" xfId="4536" applyFont="1" applyBorder="1" applyAlignment="1">
      <alignment horizontal="center" vertical="center"/>
    </xf>
    <xf numFmtId="0" fontId="56" fillId="0" borderId="84" xfId="4536" applyFont="1" applyBorder="1" applyAlignment="1">
      <alignment horizontal="center" vertical="center"/>
    </xf>
    <xf numFmtId="0" fontId="0" fillId="0" borderId="79" xfId="0" applyBorder="1" applyAlignment="1"/>
    <xf numFmtId="0" fontId="58" fillId="0" borderId="101" xfId="4536" applyFont="1" applyBorder="1" applyAlignment="1">
      <alignment vertical="center" shrinkToFit="1"/>
    </xf>
    <xf numFmtId="0" fontId="58" fillId="0" borderId="102" xfId="4536" applyFont="1" applyBorder="1" applyAlignment="1">
      <alignment horizontal="right" vertical="center"/>
    </xf>
    <xf numFmtId="272" fontId="58" fillId="0" borderId="102" xfId="4537" applyNumberFormat="1" applyFont="1" applyBorder="1" applyAlignment="1">
      <alignment horizontal="center" vertical="center" wrapText="1" shrinkToFit="1"/>
    </xf>
    <xf numFmtId="185" fontId="58" fillId="0" borderId="102" xfId="4537" applyFont="1" applyBorder="1" applyAlignment="1">
      <alignment horizontal="centerContinuous" vertical="center"/>
    </xf>
    <xf numFmtId="273" fontId="58" fillId="0" borderId="102" xfId="4537" applyNumberFormat="1" applyFont="1" applyBorder="1" applyAlignment="1">
      <alignment horizontal="center" vertical="center"/>
    </xf>
    <xf numFmtId="185" fontId="58" fillId="0" borderId="102" xfId="4537" applyFont="1" applyBorder="1" applyAlignment="1">
      <alignment horizontal="center" vertical="center"/>
    </xf>
    <xf numFmtId="0" fontId="58" fillId="0" borderId="103" xfId="4536" applyFont="1" applyBorder="1" applyAlignment="1">
      <alignment horizontal="center" vertical="center" wrapText="1" shrinkToFit="1"/>
    </xf>
    <xf numFmtId="0" fontId="228" fillId="0" borderId="0" xfId="12384">
      <alignment vertical="center"/>
    </xf>
    <xf numFmtId="0" fontId="94" fillId="0" borderId="0" xfId="12384" applyFont="1">
      <alignment vertical="center"/>
    </xf>
    <xf numFmtId="1" fontId="131" fillId="0" borderId="104" xfId="12384" applyNumberFormat="1" applyFont="1" applyBorder="1">
      <alignment vertical="center"/>
    </xf>
    <xf numFmtId="0" fontId="131" fillId="0" borderId="105" xfId="12384" applyFont="1" applyBorder="1">
      <alignment vertical="center"/>
    </xf>
    <xf numFmtId="0" fontId="131" fillId="0" borderId="89" xfId="12384" applyFont="1" applyBorder="1">
      <alignment vertical="center"/>
    </xf>
    <xf numFmtId="0" fontId="131" fillId="0" borderId="89" xfId="12384" applyFont="1" applyBorder="1" applyAlignment="1">
      <alignment horizontal="center" vertical="center"/>
    </xf>
    <xf numFmtId="0" fontId="131" fillId="0" borderId="106" xfId="12384" applyFont="1" applyBorder="1">
      <alignment vertical="center"/>
    </xf>
    <xf numFmtId="0" fontId="73" fillId="0" borderId="48" xfId="12384" applyFont="1" applyBorder="1">
      <alignment vertical="center"/>
    </xf>
    <xf numFmtId="0" fontId="73" fillId="0" borderId="51" xfId="12384" applyFont="1" applyBorder="1">
      <alignment vertical="center"/>
    </xf>
    <xf numFmtId="0" fontId="73" fillId="0" borderId="107" xfId="12384" applyFont="1" applyBorder="1">
      <alignment vertical="center"/>
    </xf>
    <xf numFmtId="0" fontId="73" fillId="0" borderId="65" xfId="12384" applyFont="1" applyBorder="1">
      <alignment vertical="center"/>
    </xf>
    <xf numFmtId="0" fontId="73" fillId="0" borderId="65" xfId="12384" applyFont="1" applyBorder="1" applyAlignment="1">
      <alignment horizontal="center" vertical="center"/>
    </xf>
    <xf numFmtId="0" fontId="73" fillId="0" borderId="108" xfId="12384" applyFont="1" applyBorder="1">
      <alignment vertical="center"/>
    </xf>
    <xf numFmtId="0" fontId="73" fillId="0" borderId="47" xfId="12384" applyFont="1" applyBorder="1">
      <alignment vertical="center"/>
    </xf>
    <xf numFmtId="0" fontId="73" fillId="0" borderId="109" xfId="12384" applyFont="1" applyBorder="1">
      <alignment vertical="center"/>
    </xf>
    <xf numFmtId="0" fontId="73" fillId="0" borderId="16" xfId="12384" applyFont="1" applyBorder="1">
      <alignment vertical="center"/>
    </xf>
    <xf numFmtId="0" fontId="73" fillId="0" borderId="20" xfId="12384" applyFont="1" applyBorder="1">
      <alignment vertical="center"/>
    </xf>
    <xf numFmtId="0" fontId="73" fillId="0" borderId="20" xfId="12384" applyFont="1" applyBorder="1" applyAlignment="1">
      <alignment horizontal="center" vertical="center"/>
    </xf>
    <xf numFmtId="176" fontId="73" fillId="0" borderId="20" xfId="12384" applyNumberFormat="1" applyFont="1" applyBorder="1">
      <alignment vertical="center"/>
    </xf>
    <xf numFmtId="0" fontId="73" fillId="0" borderId="15" xfId="12384" applyFont="1" applyBorder="1">
      <alignment vertical="center"/>
    </xf>
    <xf numFmtId="0" fontId="222" fillId="0" borderId="0" xfId="12384" applyFont="1">
      <alignment vertical="center"/>
    </xf>
    <xf numFmtId="0" fontId="131" fillId="0" borderId="48" xfId="12384" applyFont="1" applyBorder="1">
      <alignment vertical="center"/>
    </xf>
    <xf numFmtId="190" fontId="73" fillId="0" borderId="65" xfId="12384" applyNumberFormat="1" applyFont="1" applyBorder="1">
      <alignment vertical="center"/>
    </xf>
    <xf numFmtId="0" fontId="73" fillId="0" borderId="110" xfId="12384" applyFont="1" applyBorder="1">
      <alignment vertical="center"/>
    </xf>
    <xf numFmtId="0" fontId="73" fillId="0" borderId="36" xfId="12384" applyFont="1" applyBorder="1">
      <alignment vertical="center"/>
    </xf>
    <xf numFmtId="0" fontId="73" fillId="0" borderId="36" xfId="12384" applyFont="1" applyBorder="1" applyAlignment="1">
      <alignment horizontal="center" vertical="center"/>
    </xf>
    <xf numFmtId="176" fontId="73" fillId="0" borderId="36" xfId="12384" applyNumberFormat="1" applyFont="1" applyBorder="1">
      <alignment vertical="center"/>
    </xf>
    <xf numFmtId="0" fontId="73" fillId="0" borderId="111" xfId="12384" applyFont="1" applyBorder="1">
      <alignment vertical="center"/>
    </xf>
    <xf numFmtId="0" fontId="73" fillId="0" borderId="71" xfId="12384" applyFont="1" applyBorder="1" applyAlignment="1">
      <alignment horizontal="center" vertical="center"/>
    </xf>
    <xf numFmtId="190" fontId="73" fillId="0" borderId="71" xfId="12384" applyNumberFormat="1" applyFont="1" applyBorder="1" applyAlignment="1">
      <alignment horizontal="center" vertical="center"/>
    </xf>
    <xf numFmtId="0" fontId="90" fillId="0" borderId="71" xfId="12384" applyFont="1" applyBorder="1" applyAlignment="1">
      <alignment horizontal="center" vertical="center"/>
    </xf>
    <xf numFmtId="0" fontId="73" fillId="0" borderId="0" xfId="12384" applyFont="1">
      <alignment vertical="center"/>
    </xf>
    <xf numFmtId="3" fontId="217" fillId="0" borderId="8" xfId="11383" applyNumberFormat="1" applyFont="1" applyBorder="1" applyAlignment="1">
      <alignment horizontal="center" vertical="center"/>
    </xf>
    <xf numFmtId="3" fontId="217" fillId="0" borderId="28" xfId="11383" applyNumberFormat="1" applyFont="1" applyBorder="1" applyAlignment="1">
      <alignment horizontal="center" vertical="center"/>
    </xf>
    <xf numFmtId="14" fontId="213" fillId="0" borderId="25" xfId="11383" applyNumberFormat="1" applyBorder="1" applyAlignment="1">
      <alignment horizontal="center"/>
    </xf>
    <xf numFmtId="14" fontId="213" fillId="0" borderId="27" xfId="11383" applyNumberFormat="1" applyBorder="1" applyAlignment="1">
      <alignment horizontal="center"/>
    </xf>
    <xf numFmtId="274" fontId="141" fillId="6" borderId="21" xfId="4537" applyNumberFormat="1" applyFont="1" applyFill="1" applyBorder="1" applyAlignment="1">
      <alignment vertical="center"/>
    </xf>
    <xf numFmtId="0" fontId="141" fillId="6" borderId="21" xfId="4536" applyFont="1" applyFill="1" applyBorder="1" applyAlignment="1">
      <alignment horizontal="centerContinuous" vertical="center"/>
    </xf>
    <xf numFmtId="0" fontId="141" fillId="0" borderId="21" xfId="4536" applyFont="1" applyBorder="1"/>
    <xf numFmtId="0" fontId="56" fillId="0" borderId="9" xfId="0" applyFont="1" applyBorder="1" applyAlignment="1">
      <alignment horizontal="left" vertical="center" shrinkToFit="1"/>
    </xf>
    <xf numFmtId="0" fontId="56" fillId="0" borderId="8" xfId="0" applyFont="1" applyBorder="1" applyAlignment="1">
      <alignment horizontal="left" vertical="center" shrinkToFit="1"/>
    </xf>
    <xf numFmtId="0" fontId="56" fillId="0" borderId="25" xfId="0" applyFont="1" applyBorder="1" applyAlignment="1">
      <alignment horizontal="center" vertical="center" shrinkToFit="1"/>
    </xf>
    <xf numFmtId="0" fontId="56" fillId="0" borderId="9" xfId="0" applyFont="1" applyBorder="1" applyAlignment="1">
      <alignment horizontal="center" vertical="center"/>
    </xf>
    <xf numFmtId="0" fontId="56" fillId="0" borderId="9" xfId="0" applyFont="1" applyBorder="1" applyAlignment="1">
      <alignment horizontal="left" vertical="center"/>
    </xf>
    <xf numFmtId="0" fontId="56" fillId="0" borderId="9" xfId="0" applyFont="1" applyBorder="1" applyAlignment="1">
      <alignment horizontal="center" vertical="center" shrinkToFit="1"/>
    </xf>
    <xf numFmtId="0" fontId="58" fillId="0" borderId="287" xfId="4536" applyFont="1" applyBorder="1" applyAlignment="1">
      <alignment horizontal="center" vertical="center"/>
    </xf>
    <xf numFmtId="272" fontId="56" fillId="0" borderId="198" xfId="4537" applyNumberFormat="1" applyFont="1" applyBorder="1" applyAlignment="1">
      <alignment horizontal="center" vertical="center" wrapText="1" shrinkToFit="1"/>
    </xf>
    <xf numFmtId="272" fontId="56" fillId="0" borderId="287" xfId="4537" applyNumberFormat="1" applyFont="1" applyBorder="1" applyAlignment="1">
      <alignment horizontal="center" vertical="center" wrapText="1" shrinkToFit="1"/>
    </xf>
    <xf numFmtId="185" fontId="56" fillId="0" borderId="287" xfId="4537" applyFont="1" applyBorder="1" applyAlignment="1">
      <alignment horizontal="center" vertical="center"/>
    </xf>
    <xf numFmtId="273" fontId="56" fillId="0" borderId="287" xfId="4537" applyNumberFormat="1" applyFont="1" applyBorder="1" applyAlignment="1">
      <alignment horizontal="center" vertical="center"/>
    </xf>
    <xf numFmtId="185" fontId="56" fillId="0" borderId="198" xfId="4537" applyFont="1" applyBorder="1" applyAlignment="1">
      <alignment horizontal="right" vertical="center"/>
    </xf>
    <xf numFmtId="0" fontId="56" fillId="0" borderId="207" xfId="4536" applyFont="1" applyBorder="1" applyAlignment="1">
      <alignment horizontal="center" vertical="center" wrapText="1" shrinkToFit="1"/>
    </xf>
    <xf numFmtId="272" fontId="56" fillId="0" borderId="210" xfId="4537" applyNumberFormat="1" applyFont="1" applyBorder="1" applyAlignment="1">
      <alignment horizontal="left" vertical="center"/>
    </xf>
    <xf numFmtId="185" fontId="56" fillId="0" borderId="211" xfId="4537" applyFont="1" applyBorder="1" applyAlignment="1">
      <alignment vertical="center"/>
    </xf>
    <xf numFmtId="272" fontId="56" fillId="0" borderId="211" xfId="4537" applyNumberFormat="1" applyFont="1" applyBorder="1" applyAlignment="1">
      <alignment horizontal="left" vertical="center"/>
    </xf>
    <xf numFmtId="273" fontId="56" fillId="0" borderId="211" xfId="4537" applyNumberFormat="1" applyFont="1" applyBorder="1" applyAlignment="1">
      <alignment horizontal="center" vertical="center"/>
    </xf>
    <xf numFmtId="185" fontId="56" fillId="0" borderId="211" xfId="4537" applyFont="1" applyBorder="1" applyAlignment="1">
      <alignment horizontal="center" vertical="center"/>
    </xf>
    <xf numFmtId="185" fontId="56" fillId="0" borderId="210" xfId="4537" applyFont="1" applyBorder="1" applyAlignment="1">
      <alignment horizontal="center" vertical="center"/>
    </xf>
    <xf numFmtId="0" fontId="56" fillId="0" borderId="209" xfId="4536" applyFont="1" applyBorder="1" applyAlignment="1">
      <alignment horizontal="center" vertical="center" wrapText="1" shrinkToFit="1"/>
    </xf>
    <xf numFmtId="0" fontId="56" fillId="0" borderId="210" xfId="4538" applyFont="1" applyBorder="1" applyAlignment="1">
      <alignment horizontal="center" vertical="center"/>
    </xf>
    <xf numFmtId="0" fontId="56" fillId="0" borderId="211" xfId="4538" applyFont="1" applyBorder="1" applyAlignment="1">
      <alignment horizontal="center" vertical="center"/>
    </xf>
    <xf numFmtId="0" fontId="56" fillId="0" borderId="209" xfId="4538" applyFont="1" applyBorder="1" applyAlignment="1">
      <alignment horizontal="center" vertical="center"/>
    </xf>
    <xf numFmtId="0" fontId="56" fillId="0" borderId="209" xfId="4536" applyFont="1" applyBorder="1" applyAlignment="1">
      <alignment horizontal="center" vertical="center"/>
    </xf>
    <xf numFmtId="273" fontId="56" fillId="0" borderId="211" xfId="4537" applyNumberFormat="1" applyFont="1" applyBorder="1" applyAlignment="1">
      <alignment horizontal="left" vertical="center"/>
    </xf>
    <xf numFmtId="273" fontId="56" fillId="0" borderId="211" xfId="4536" applyNumberFormat="1" applyFont="1" applyBorder="1" applyAlignment="1">
      <alignment vertical="center"/>
    </xf>
    <xf numFmtId="273" fontId="56" fillId="0" borderId="211" xfId="4536" applyNumberFormat="1" applyFont="1" applyBorder="1" applyAlignment="1">
      <alignment horizontal="center" vertical="center"/>
    </xf>
    <xf numFmtId="0" fontId="56" fillId="0" borderId="211" xfId="4536" applyFont="1" applyBorder="1" applyAlignment="1">
      <alignment vertical="center"/>
    </xf>
    <xf numFmtId="0" fontId="56" fillId="0" borderId="210" xfId="4536" applyFont="1" applyBorder="1" applyAlignment="1">
      <alignment vertical="center"/>
    </xf>
    <xf numFmtId="0" fontId="56" fillId="0" borderId="211" xfId="4536" applyFont="1" applyBorder="1" applyAlignment="1">
      <alignment horizontal="left"/>
    </xf>
    <xf numFmtId="0" fontId="56" fillId="0" borderId="211" xfId="4536" applyFont="1" applyBorder="1"/>
    <xf numFmtId="0" fontId="56" fillId="0" borderId="210" xfId="4537" applyNumberFormat="1" applyFont="1" applyBorder="1" applyAlignment="1">
      <alignment horizontal="left" vertical="center"/>
    </xf>
    <xf numFmtId="273" fontId="56" fillId="0" borderId="211" xfId="4536" applyNumberFormat="1" applyFont="1" applyBorder="1"/>
    <xf numFmtId="0" fontId="56" fillId="0" borderId="209" xfId="4536" applyFont="1" applyBorder="1"/>
    <xf numFmtId="272" fontId="56" fillId="0" borderId="210" xfId="4537" applyNumberFormat="1" applyFont="1" applyBorder="1" applyAlignment="1">
      <alignment vertical="center"/>
    </xf>
    <xf numFmtId="272" fontId="56" fillId="0" borderId="211" xfId="4537" applyNumberFormat="1" applyFont="1" applyBorder="1" applyAlignment="1">
      <alignment vertical="center"/>
    </xf>
    <xf numFmtId="185" fontId="56" fillId="0" borderId="211" xfId="4537" applyFont="1" applyBorder="1" applyAlignment="1">
      <alignment horizontal="left" vertical="center"/>
    </xf>
    <xf numFmtId="274" fontId="56" fillId="0" borderId="210" xfId="4536" applyNumberFormat="1" applyFont="1" applyBorder="1" applyAlignment="1">
      <alignment vertical="center"/>
    </xf>
    <xf numFmtId="185" fontId="56" fillId="0" borderId="209" xfId="4537" applyFont="1" applyBorder="1" applyAlignment="1">
      <alignment horizontal="center" vertical="center"/>
    </xf>
    <xf numFmtId="185" fontId="56" fillId="0" borderId="211" xfId="4537" applyFont="1" applyBorder="1" applyAlignment="1">
      <alignment horizontal="centerContinuous" vertical="center"/>
    </xf>
    <xf numFmtId="273" fontId="56" fillId="0" borderId="211" xfId="4536" applyNumberFormat="1" applyFont="1" applyBorder="1" applyAlignment="1">
      <alignment horizontal="centerContinuous" vertical="center"/>
    </xf>
    <xf numFmtId="0" fontId="56" fillId="0" borderId="210" xfId="4538" applyFont="1" applyBorder="1"/>
    <xf numFmtId="0" fontId="56" fillId="0" borderId="209" xfId="4538" applyFont="1" applyBorder="1" applyAlignment="1">
      <alignment horizontal="center"/>
    </xf>
    <xf numFmtId="0" fontId="81" fillId="0" borderId="211" xfId="4536" applyFont="1" applyBorder="1" applyAlignment="1">
      <alignment horizontal="left"/>
    </xf>
    <xf numFmtId="0" fontId="81" fillId="0" borderId="211" xfId="4536" applyFont="1" applyBorder="1"/>
    <xf numFmtId="273" fontId="81" fillId="0" borderId="211" xfId="0" applyNumberFormat="1" applyFont="1" applyBorder="1" applyAlignment="1">
      <alignment horizontal="center" vertical="center"/>
    </xf>
    <xf numFmtId="0" fontId="81" fillId="0" borderId="210" xfId="0" applyFont="1" applyBorder="1" applyAlignment="1">
      <alignment horizontal="center" vertical="center"/>
    </xf>
    <xf numFmtId="0" fontId="81" fillId="0" borderId="209" xfId="4536" applyFont="1" applyBorder="1" applyAlignment="1">
      <alignment horizontal="left" vertical="center" wrapText="1" shrinkToFit="1"/>
    </xf>
    <xf numFmtId="0" fontId="56" fillId="0" borderId="210" xfId="4536" applyFont="1" applyBorder="1" applyAlignment="1">
      <alignment horizontal="left"/>
    </xf>
    <xf numFmtId="272" fontId="56" fillId="0" borderId="211" xfId="4537" applyNumberFormat="1" applyFont="1" applyBorder="1" applyAlignment="1">
      <alignment horizontal="center" vertical="center" wrapText="1" shrinkToFit="1"/>
    </xf>
    <xf numFmtId="185" fontId="56" fillId="0" borderId="43" xfId="4539" applyNumberFormat="1" applyFont="1" applyBorder="1" applyAlignment="1">
      <alignment horizontal="center" shrinkToFit="1"/>
    </xf>
    <xf numFmtId="272" fontId="56" fillId="0" borderId="197" xfId="4537" applyNumberFormat="1" applyFont="1" applyBorder="1" applyAlignment="1">
      <alignment horizontal="center" vertical="center" wrapText="1" shrinkToFit="1"/>
    </xf>
    <xf numFmtId="185" fontId="56" fillId="0" borderId="197" xfId="4537" applyFont="1" applyBorder="1" applyAlignment="1">
      <alignment horizontal="center" vertical="center"/>
    </xf>
    <xf numFmtId="273" fontId="56" fillId="0" borderId="197" xfId="4537" applyNumberFormat="1" applyFont="1" applyBorder="1" applyAlignment="1">
      <alignment horizontal="center" vertical="center"/>
    </xf>
    <xf numFmtId="273" fontId="56" fillId="0" borderId="211" xfId="4537" applyNumberFormat="1" applyFont="1" applyBorder="1" applyAlignment="1">
      <alignment vertical="center"/>
    </xf>
    <xf numFmtId="272" fontId="141" fillId="6" borderId="210" xfId="4537" applyNumberFormat="1" applyFont="1" applyFill="1" applyBorder="1" applyAlignment="1">
      <alignment horizontal="left" vertical="center"/>
    </xf>
    <xf numFmtId="273" fontId="141" fillId="6" borderId="211" xfId="4537" applyNumberFormat="1" applyFont="1" applyFill="1" applyBorder="1" applyAlignment="1">
      <alignment horizontal="left" vertical="center"/>
    </xf>
    <xf numFmtId="273" fontId="141" fillId="6" borderId="211" xfId="4536" applyNumberFormat="1" applyFont="1" applyFill="1" applyBorder="1" applyAlignment="1">
      <alignment vertical="center"/>
    </xf>
    <xf numFmtId="273" fontId="141" fillId="6" borderId="211" xfId="4536" applyNumberFormat="1" applyFont="1" applyFill="1" applyBorder="1" applyAlignment="1">
      <alignment horizontal="center" vertical="center"/>
    </xf>
    <xf numFmtId="0" fontId="141" fillId="6" borderId="211" xfId="4536" applyFont="1" applyFill="1" applyBorder="1" applyAlignment="1">
      <alignment horizontal="left"/>
    </xf>
    <xf numFmtId="0" fontId="141" fillId="6" borderId="211" xfId="4536" applyFont="1" applyFill="1" applyBorder="1"/>
    <xf numFmtId="185" fontId="141" fillId="6" borderId="210" xfId="4537" applyFont="1" applyFill="1" applyBorder="1" applyAlignment="1">
      <alignment horizontal="center" vertical="center"/>
    </xf>
    <xf numFmtId="0" fontId="141" fillId="6" borderId="209" xfId="4536" applyFont="1" applyFill="1" applyBorder="1" applyAlignment="1">
      <alignment horizontal="center" vertical="center"/>
    </xf>
    <xf numFmtId="0" fontId="141" fillId="6" borderId="210" xfId="4537" applyNumberFormat="1" applyFont="1" applyFill="1" applyBorder="1" applyAlignment="1">
      <alignment horizontal="left" vertical="center"/>
    </xf>
    <xf numFmtId="273" fontId="141" fillId="6" borderId="211" xfId="4537" applyNumberFormat="1" applyFont="1" applyFill="1" applyBorder="1" applyAlignment="1">
      <alignment horizontal="center" vertical="center"/>
    </xf>
    <xf numFmtId="273" fontId="141" fillId="6" borderId="211" xfId="4536" applyNumberFormat="1" applyFont="1" applyFill="1" applyBorder="1"/>
    <xf numFmtId="0" fontId="141" fillId="6" borderId="209" xfId="4536" applyFont="1" applyFill="1" applyBorder="1"/>
    <xf numFmtId="272" fontId="141" fillId="6" borderId="210" xfId="4537" applyNumberFormat="1" applyFont="1" applyFill="1" applyBorder="1" applyAlignment="1">
      <alignment vertical="center"/>
    </xf>
    <xf numFmtId="272" fontId="141" fillId="6" borderId="211" xfId="4537" applyNumberFormat="1" applyFont="1" applyFill="1" applyBorder="1" applyAlignment="1">
      <alignment vertical="center"/>
    </xf>
    <xf numFmtId="185" fontId="141" fillId="6" borderId="211" xfId="4537" applyFont="1" applyFill="1" applyBorder="1" applyAlignment="1">
      <alignment horizontal="left" vertical="center"/>
    </xf>
    <xf numFmtId="274" fontId="141" fillId="6" borderId="210" xfId="4536" applyNumberFormat="1" applyFont="1" applyFill="1" applyBorder="1" applyAlignment="1">
      <alignment vertical="center"/>
    </xf>
    <xf numFmtId="185" fontId="141" fillId="6" borderId="209" xfId="4537" applyFont="1" applyFill="1" applyBorder="1" applyAlignment="1">
      <alignment horizontal="center" vertical="center"/>
    </xf>
    <xf numFmtId="185" fontId="141" fillId="6" borderId="211" xfId="4537" applyFont="1" applyFill="1" applyBorder="1" applyAlignment="1">
      <alignment horizontal="centerContinuous" vertical="center"/>
    </xf>
    <xf numFmtId="273" fontId="141" fillId="6" borderId="211" xfId="4536" applyNumberFormat="1" applyFont="1" applyFill="1" applyBorder="1" applyAlignment="1">
      <alignment horizontal="centerContinuous" vertical="center"/>
    </xf>
    <xf numFmtId="185" fontId="141" fillId="6" borderId="211" xfId="4537" applyFont="1" applyFill="1" applyBorder="1" applyAlignment="1">
      <alignment horizontal="center" vertical="center"/>
    </xf>
    <xf numFmtId="0" fontId="141" fillId="6" borderId="210" xfId="4538" applyFont="1" applyFill="1" applyBorder="1"/>
    <xf numFmtId="0" fontId="141" fillId="6" borderId="209" xfId="4538" applyFont="1" applyFill="1" applyBorder="1" applyAlignment="1">
      <alignment horizontal="center"/>
    </xf>
    <xf numFmtId="272" fontId="141" fillId="6" borderId="211" xfId="4537" applyNumberFormat="1" applyFont="1" applyFill="1" applyBorder="1" applyAlignment="1">
      <alignment horizontal="left" vertical="center"/>
    </xf>
    <xf numFmtId="0" fontId="141" fillId="6" borderId="209" xfId="4536" applyFont="1" applyFill="1" applyBorder="1" applyAlignment="1">
      <alignment horizontal="center" vertical="center" wrapText="1" shrinkToFit="1"/>
    </xf>
    <xf numFmtId="273" fontId="141" fillId="6" borderId="211" xfId="0" applyNumberFormat="1" applyFont="1" applyFill="1" applyBorder="1" applyAlignment="1">
      <alignment horizontal="center" vertical="center"/>
    </xf>
    <xf numFmtId="0" fontId="141" fillId="6" borderId="210" xfId="0" applyFont="1" applyFill="1" applyBorder="1" applyAlignment="1">
      <alignment horizontal="center" vertical="center"/>
    </xf>
    <xf numFmtId="0" fontId="141" fillId="6" borderId="209" xfId="4536" applyFont="1" applyFill="1" applyBorder="1" applyAlignment="1">
      <alignment horizontal="left" vertical="center" wrapText="1" shrinkToFit="1"/>
    </xf>
    <xf numFmtId="0" fontId="141" fillId="0" borderId="210" xfId="4536" applyFont="1" applyBorder="1" applyAlignment="1">
      <alignment horizontal="left"/>
    </xf>
    <xf numFmtId="272" fontId="141" fillId="0" borderId="211" xfId="4537" applyNumberFormat="1" applyFont="1" applyBorder="1" applyAlignment="1">
      <alignment horizontal="left" vertical="center"/>
    </xf>
    <xf numFmtId="185" fontId="141" fillId="0" borderId="211" xfId="4537" applyFont="1" applyBorder="1" applyAlignment="1">
      <alignment horizontal="center" vertical="center"/>
    </xf>
    <xf numFmtId="273" fontId="141" fillId="0" borderId="211" xfId="4537" applyNumberFormat="1" applyFont="1" applyBorder="1" applyAlignment="1">
      <alignment horizontal="center" vertical="center"/>
    </xf>
    <xf numFmtId="0" fontId="141" fillId="0" borderId="211" xfId="4536" applyFont="1" applyBorder="1"/>
    <xf numFmtId="185" fontId="141" fillId="0" borderId="210" xfId="4537" applyFont="1" applyBorder="1" applyAlignment="1">
      <alignment horizontal="center" vertical="center"/>
    </xf>
    <xf numFmtId="0" fontId="141" fillId="0" borderId="209" xfId="4536" applyFont="1" applyBorder="1" applyAlignment="1">
      <alignment horizontal="center" vertical="center" wrapText="1" shrinkToFit="1"/>
    </xf>
    <xf numFmtId="0" fontId="141" fillId="6" borderId="211" xfId="4536" applyFont="1" applyFill="1" applyBorder="1" applyAlignment="1">
      <alignment horizontal="centerContinuous" vertical="center"/>
    </xf>
    <xf numFmtId="0" fontId="58" fillId="0" borderId="198" xfId="4536" applyFont="1" applyBorder="1" applyAlignment="1">
      <alignment vertical="center" shrinkToFit="1"/>
    </xf>
    <xf numFmtId="272" fontId="58" fillId="0" borderId="197" xfId="4537" applyNumberFormat="1" applyFont="1" applyBorder="1" applyAlignment="1">
      <alignment horizontal="center" vertical="center" wrapText="1" shrinkToFit="1"/>
    </xf>
    <xf numFmtId="185" fontId="58" fillId="0" borderId="197" xfId="4537" applyFont="1" applyBorder="1" applyAlignment="1">
      <alignment horizontal="centerContinuous" vertical="center"/>
    </xf>
    <xf numFmtId="185" fontId="58" fillId="0" borderId="197" xfId="4537" applyFont="1" applyBorder="1" applyAlignment="1">
      <alignment horizontal="center" vertical="center"/>
    </xf>
    <xf numFmtId="0" fontId="58" fillId="0" borderId="207" xfId="4536" applyFont="1" applyBorder="1" applyAlignment="1">
      <alignment horizontal="center" vertical="center" wrapText="1" shrinkToFit="1"/>
    </xf>
    <xf numFmtId="0" fontId="187" fillId="0" borderId="7" xfId="4536" applyFont="1" applyBorder="1" applyAlignment="1">
      <alignment horizontal="center" vertical="center"/>
    </xf>
    <xf numFmtId="0" fontId="187" fillId="0" borderId="0" xfId="4536" applyFont="1" applyAlignment="1">
      <alignment vertical="center"/>
    </xf>
    <xf numFmtId="0" fontId="187" fillId="0" borderId="0" xfId="4536" applyFont="1" applyAlignment="1">
      <alignment horizontal="center" vertical="center"/>
    </xf>
    <xf numFmtId="185" fontId="187" fillId="0" borderId="43" xfId="4537" applyFont="1" applyFill="1" applyBorder="1" applyAlignment="1">
      <alignment horizontal="center" vertical="center"/>
    </xf>
    <xf numFmtId="272" fontId="187" fillId="0" borderId="21" xfId="4537" applyNumberFormat="1" applyFont="1" applyBorder="1" applyAlignment="1">
      <alignment horizontal="center" vertical="center" wrapText="1" shrinkToFit="1"/>
    </xf>
    <xf numFmtId="185" fontId="187" fillId="0" borderId="21" xfId="4537" applyFont="1" applyBorder="1" applyAlignment="1">
      <alignment horizontal="center" vertical="center"/>
    </xf>
    <xf numFmtId="185" fontId="187" fillId="0" borderId="38" xfId="4537" applyFont="1" applyBorder="1" applyAlignment="1">
      <alignment horizontal="right" vertical="center"/>
    </xf>
    <xf numFmtId="0" fontId="187" fillId="0" borderId="4" xfId="4536" applyFont="1" applyBorder="1" applyAlignment="1">
      <alignment horizontal="center" vertical="center" wrapText="1" shrinkToFit="1"/>
    </xf>
    <xf numFmtId="185" fontId="187" fillId="0" borderId="0" xfId="4537" applyFont="1" applyFill="1" applyBorder="1" applyAlignment="1">
      <alignment horizontal="center" vertical="center"/>
    </xf>
    <xf numFmtId="0" fontId="187" fillId="0" borderId="364" xfId="4536" applyFont="1" applyBorder="1" applyAlignment="1">
      <alignment vertical="center"/>
    </xf>
    <xf numFmtId="0" fontId="187" fillId="0" borderId="365" xfId="4536" applyFont="1" applyBorder="1" applyAlignment="1">
      <alignment horizontal="centerContinuous" vertical="center"/>
    </xf>
    <xf numFmtId="0" fontId="187" fillId="0" borderId="366" xfId="4536" applyFont="1" applyBorder="1" applyAlignment="1">
      <alignment horizontal="centerContinuous" vertical="center"/>
    </xf>
    <xf numFmtId="0" fontId="187" fillId="0" borderId="43" xfId="4536" applyFont="1" applyBorder="1"/>
    <xf numFmtId="0" fontId="187" fillId="0" borderId="364" xfId="4538" applyFont="1" applyBorder="1"/>
    <xf numFmtId="0" fontId="187" fillId="0" borderId="365" xfId="4538" applyFont="1" applyBorder="1"/>
    <xf numFmtId="0" fontId="187" fillId="0" borderId="370" xfId="4538" applyFont="1" applyBorder="1"/>
    <xf numFmtId="0" fontId="187" fillId="0" borderId="371" xfId="4536" applyFont="1" applyBorder="1" applyAlignment="1">
      <alignment horizontal="centerContinuous" vertical="center"/>
    </xf>
    <xf numFmtId="0" fontId="187" fillId="0" borderId="370" xfId="4536" applyFont="1" applyBorder="1" applyAlignment="1">
      <alignment vertical="center"/>
    </xf>
    <xf numFmtId="0" fontId="187" fillId="0" borderId="372" xfId="4536" applyFont="1" applyBorder="1" applyAlignment="1">
      <alignment horizontal="center" vertical="center"/>
    </xf>
    <xf numFmtId="0" fontId="187" fillId="0" borderId="371" xfId="4536" applyFont="1" applyBorder="1" applyAlignment="1">
      <alignment horizontal="center" vertical="center"/>
    </xf>
    <xf numFmtId="0" fontId="187" fillId="0" borderId="373" xfId="4536" applyFont="1" applyBorder="1" applyAlignment="1">
      <alignment horizontal="center" vertical="center"/>
    </xf>
    <xf numFmtId="185" fontId="187" fillId="0" borderId="0" xfId="4537" applyFont="1" applyFill="1" applyBorder="1" applyAlignment="1">
      <alignment horizontal="right" vertical="center"/>
    </xf>
    <xf numFmtId="0" fontId="187" fillId="0" borderId="43" xfId="4538" applyFont="1" applyBorder="1"/>
    <xf numFmtId="0" fontId="187" fillId="0" borderId="66" xfId="4536" applyFont="1" applyBorder="1" applyAlignment="1">
      <alignment horizontal="center" vertical="center"/>
    </xf>
    <xf numFmtId="185" fontId="187" fillId="0" borderId="14" xfId="4537" applyFont="1" applyFill="1" applyBorder="1" applyAlignment="1">
      <alignment horizontal="center" vertical="center"/>
    </xf>
    <xf numFmtId="0" fontId="187" fillId="0" borderId="374" xfId="4536" applyFont="1" applyBorder="1"/>
    <xf numFmtId="0" fontId="187" fillId="34" borderId="375" xfId="4536" applyFont="1" applyFill="1" applyBorder="1" applyAlignment="1">
      <alignment vertical="center"/>
    </xf>
    <xf numFmtId="0" fontId="187" fillId="35" borderId="67" xfId="4536" applyFont="1" applyFill="1" applyBorder="1" applyAlignment="1">
      <alignment horizontal="center" vertical="center"/>
    </xf>
    <xf numFmtId="0" fontId="187" fillId="34" borderId="376" xfId="4536" applyFont="1" applyFill="1" applyBorder="1" applyAlignment="1">
      <alignment horizontal="center" vertical="center"/>
    </xf>
    <xf numFmtId="47" fontId="187" fillId="0" borderId="7" xfId="4536" quotePrefix="1" applyNumberFormat="1" applyFont="1" applyBorder="1" applyAlignment="1">
      <alignment horizontal="center" vertical="center"/>
    </xf>
    <xf numFmtId="0" fontId="187" fillId="35" borderId="375" xfId="4536" applyFont="1" applyFill="1" applyBorder="1" applyAlignment="1">
      <alignment horizontal="center" vertical="center"/>
    </xf>
    <xf numFmtId="0" fontId="187" fillId="34" borderId="378" xfId="4536" applyFont="1" applyFill="1" applyBorder="1" applyAlignment="1">
      <alignment vertical="center"/>
    </xf>
    <xf numFmtId="0" fontId="187" fillId="35" borderId="378" xfId="4536" applyFont="1" applyFill="1" applyBorder="1" applyAlignment="1">
      <alignment horizontal="center" vertical="center"/>
    </xf>
    <xf numFmtId="0" fontId="187" fillId="34" borderId="379" xfId="4536" applyFont="1" applyFill="1" applyBorder="1" applyAlignment="1">
      <alignment horizontal="center" vertical="center"/>
    </xf>
    <xf numFmtId="0" fontId="187" fillId="0" borderId="377" xfId="4536" applyFont="1" applyBorder="1" applyAlignment="1">
      <alignment vertical="center"/>
    </xf>
    <xf numFmtId="0" fontId="187" fillId="0" borderId="381" xfId="4536" applyFont="1" applyBorder="1" applyAlignment="1">
      <alignment horizontal="center" vertical="center"/>
    </xf>
    <xf numFmtId="0" fontId="187" fillId="0" borderId="377" xfId="4536" applyFont="1" applyBorder="1" applyAlignment="1">
      <alignment horizontal="center" vertical="center"/>
    </xf>
    <xf numFmtId="179" fontId="187" fillId="0" borderId="380" xfId="4536" applyNumberFormat="1" applyFont="1" applyBorder="1" applyAlignment="1">
      <alignment vertical="center"/>
    </xf>
    <xf numFmtId="179" fontId="187" fillId="0" borderId="367" xfId="4536" applyNumberFormat="1" applyFont="1" applyBorder="1" applyAlignment="1">
      <alignment horizontal="center" vertical="center"/>
    </xf>
    <xf numFmtId="179" fontId="187" fillId="0" borderId="380" xfId="4536" applyNumberFormat="1" applyFont="1" applyBorder="1" applyAlignment="1">
      <alignment horizontal="center" vertical="center"/>
    </xf>
    <xf numFmtId="0" fontId="187" fillId="0" borderId="0" xfId="4539" applyFont="1"/>
    <xf numFmtId="0" fontId="187" fillId="0" borderId="7" xfId="4536" applyFont="1" applyBorder="1" applyAlignment="1">
      <alignment horizontal="right" vertical="center"/>
    </xf>
    <xf numFmtId="0" fontId="187" fillId="0" borderId="373" xfId="4536" applyFont="1" applyBorder="1" applyAlignment="1">
      <alignment vertical="center"/>
    </xf>
    <xf numFmtId="0" fontId="187" fillId="0" borderId="370" xfId="4536" applyFont="1" applyBorder="1" applyAlignment="1">
      <alignment horizontal="center" vertical="center"/>
    </xf>
    <xf numFmtId="179" fontId="187" fillId="0" borderId="365" xfId="4536" applyNumberFormat="1" applyFont="1" applyBorder="1" applyAlignment="1">
      <alignment horizontal="center" vertical="center"/>
    </xf>
    <xf numFmtId="0" fontId="187" fillId="0" borderId="366" xfId="4538" applyFont="1" applyBorder="1"/>
    <xf numFmtId="179" fontId="187" fillId="0" borderId="364" xfId="4536" applyNumberFormat="1" applyFont="1" applyBorder="1" applyAlignment="1">
      <alignment vertical="center"/>
    </xf>
    <xf numFmtId="179" fontId="187" fillId="0" borderId="366" xfId="4536" applyNumberFormat="1" applyFont="1" applyBorder="1" applyAlignment="1">
      <alignment horizontal="center" vertical="center"/>
    </xf>
    <xf numFmtId="0" fontId="58" fillId="6" borderId="101" xfId="4536" applyFont="1" applyFill="1" applyBorder="1" applyAlignment="1">
      <alignment vertical="center" shrinkToFit="1"/>
    </xf>
    <xf numFmtId="272" fontId="241" fillId="6" borderId="210" xfId="4537" applyNumberFormat="1" applyFont="1" applyFill="1" applyBorder="1" applyAlignment="1">
      <alignment horizontal="left" vertical="center"/>
    </xf>
    <xf numFmtId="273" fontId="241" fillId="6" borderId="211" xfId="4537" applyNumberFormat="1" applyFont="1" applyFill="1" applyBorder="1" applyAlignment="1">
      <alignment horizontal="left" vertical="center"/>
    </xf>
    <xf numFmtId="273" fontId="241" fillId="6" borderId="211" xfId="4536" applyNumberFormat="1" applyFont="1" applyFill="1" applyBorder="1" applyAlignment="1">
      <alignment vertical="center"/>
    </xf>
    <xf numFmtId="273" fontId="241" fillId="6" borderId="211" xfId="4536" applyNumberFormat="1" applyFont="1" applyFill="1" applyBorder="1" applyAlignment="1">
      <alignment horizontal="center" vertical="center"/>
    </xf>
    <xf numFmtId="0" fontId="241" fillId="6" borderId="211" xfId="4536" applyFont="1" applyFill="1" applyBorder="1" applyAlignment="1">
      <alignment horizontal="left"/>
    </xf>
    <xf numFmtId="0" fontId="241" fillId="6" borderId="211" xfId="4536" applyFont="1" applyFill="1" applyBorder="1"/>
    <xf numFmtId="185" fontId="241" fillId="6" borderId="210" xfId="4537" applyFont="1" applyFill="1" applyBorder="1" applyAlignment="1">
      <alignment horizontal="center" vertical="center"/>
    </xf>
    <xf numFmtId="0" fontId="241" fillId="6" borderId="209" xfId="4536" applyFont="1" applyFill="1" applyBorder="1" applyAlignment="1">
      <alignment horizontal="center" vertical="center"/>
    </xf>
    <xf numFmtId="272" fontId="241" fillId="6" borderId="38" xfId="4537" applyNumberFormat="1" applyFont="1" applyFill="1" applyBorder="1" applyAlignment="1">
      <alignment horizontal="center" vertical="center" wrapText="1" shrinkToFit="1"/>
    </xf>
    <xf numFmtId="273" fontId="241" fillId="6" borderId="21" xfId="4537" applyNumberFormat="1" applyFont="1" applyFill="1" applyBorder="1" applyAlignment="1">
      <alignment horizontal="center" vertical="center" wrapText="1" shrinkToFit="1"/>
    </xf>
    <xf numFmtId="273" fontId="241" fillId="6" borderId="21" xfId="4537" applyNumberFormat="1" applyFont="1" applyFill="1" applyBorder="1" applyAlignment="1">
      <alignment horizontal="left" vertical="center" wrapText="1" shrinkToFit="1"/>
    </xf>
    <xf numFmtId="273" fontId="241" fillId="6" borderId="21" xfId="4537" applyNumberFormat="1" applyFont="1" applyFill="1" applyBorder="1" applyAlignment="1">
      <alignment horizontal="center" vertical="center"/>
    </xf>
    <xf numFmtId="185" fontId="241" fillId="6" borderId="21" xfId="4537" applyFont="1" applyFill="1" applyBorder="1" applyAlignment="1">
      <alignment horizontal="center" vertical="center"/>
    </xf>
    <xf numFmtId="273" fontId="241" fillId="6" borderId="38" xfId="4537" applyNumberFormat="1" applyFont="1" applyFill="1" applyBorder="1" applyAlignment="1">
      <alignment horizontal="left" vertical="center"/>
    </xf>
    <xf numFmtId="185" fontId="241" fillId="6" borderId="43" xfId="4537" applyFont="1" applyFill="1" applyBorder="1" applyAlignment="1">
      <alignment horizontal="center" vertical="center"/>
    </xf>
    <xf numFmtId="0" fontId="241" fillId="6" borderId="210" xfId="4537" applyNumberFormat="1" applyFont="1" applyFill="1" applyBorder="1" applyAlignment="1">
      <alignment horizontal="left" vertical="center"/>
    </xf>
    <xf numFmtId="273" fontId="241" fillId="6" borderId="211" xfId="4537" applyNumberFormat="1" applyFont="1" applyFill="1" applyBorder="1" applyAlignment="1">
      <alignment horizontal="center" vertical="center"/>
    </xf>
    <xf numFmtId="273" fontId="241" fillId="6" borderId="211" xfId="4536" applyNumberFormat="1" applyFont="1" applyFill="1" applyBorder="1"/>
    <xf numFmtId="0" fontId="241" fillId="6" borderId="209" xfId="4536" applyFont="1" applyFill="1" applyBorder="1"/>
    <xf numFmtId="41" fontId="241" fillId="6" borderId="38" xfId="3426" applyFont="1" applyFill="1" applyBorder="1" applyAlignment="1">
      <alignment horizontal="right" vertical="center"/>
    </xf>
    <xf numFmtId="272" fontId="241" fillId="6" borderId="0" xfId="4537" applyNumberFormat="1" applyFont="1" applyFill="1" applyBorder="1" applyAlignment="1">
      <alignment horizontal="center" vertical="center"/>
    </xf>
    <xf numFmtId="41" fontId="241" fillId="6" borderId="21" xfId="3426" applyFont="1" applyFill="1" applyBorder="1" applyAlignment="1">
      <alignment horizontal="center" vertical="center"/>
    </xf>
    <xf numFmtId="275" fontId="241" fillId="6" borderId="21" xfId="3426" applyNumberFormat="1" applyFont="1" applyFill="1" applyBorder="1" applyAlignment="1">
      <alignment vertical="center"/>
    </xf>
    <xf numFmtId="41" fontId="241" fillId="6" borderId="21" xfId="3426" applyFont="1" applyFill="1" applyBorder="1" applyAlignment="1">
      <alignment horizontal="left" vertical="center"/>
    </xf>
    <xf numFmtId="0" fontId="241" fillId="6" borderId="0" xfId="4538" applyFont="1" applyFill="1" applyAlignment="1">
      <alignment vertical="center"/>
    </xf>
    <xf numFmtId="273" fontId="241" fillId="6" borderId="21" xfId="4537" applyNumberFormat="1" applyFont="1" applyFill="1" applyBorder="1" applyAlignment="1">
      <alignment horizontal="left" vertical="center"/>
    </xf>
    <xf numFmtId="272" fontId="241" fillId="6" borderId="21" xfId="4537" applyNumberFormat="1" applyFont="1" applyFill="1" applyBorder="1" applyAlignment="1">
      <alignment horizontal="right" vertical="center"/>
    </xf>
    <xf numFmtId="0" fontId="241" fillId="6" borderId="21" xfId="4536" applyFont="1" applyFill="1" applyBorder="1" applyAlignment="1">
      <alignment horizontal="center" vertical="center"/>
    </xf>
    <xf numFmtId="274" fontId="241" fillId="6" borderId="38" xfId="4537" applyNumberFormat="1" applyFont="1" applyFill="1" applyBorder="1" applyAlignment="1">
      <alignment horizontal="center" vertical="center"/>
    </xf>
    <xf numFmtId="185" fontId="241" fillId="6" borderId="4" xfId="4537" applyFont="1" applyFill="1" applyBorder="1" applyAlignment="1">
      <alignment horizontal="center" vertical="center"/>
    </xf>
    <xf numFmtId="272" fontId="241" fillId="6" borderId="210" xfId="4537" applyNumberFormat="1" applyFont="1" applyFill="1" applyBorder="1" applyAlignment="1">
      <alignment vertical="center"/>
    </xf>
    <xf numFmtId="272" fontId="241" fillId="6" borderId="211" xfId="4537" applyNumberFormat="1" applyFont="1" applyFill="1" applyBorder="1" applyAlignment="1">
      <alignment vertical="center"/>
    </xf>
    <xf numFmtId="185" fontId="241" fillId="6" borderId="211" xfId="4537" applyFont="1" applyFill="1" applyBorder="1" applyAlignment="1">
      <alignment horizontal="left" vertical="center"/>
    </xf>
    <xf numFmtId="274" fontId="241" fillId="6" borderId="210" xfId="4536" applyNumberFormat="1" applyFont="1" applyFill="1" applyBorder="1" applyAlignment="1">
      <alignment vertical="center"/>
    </xf>
    <xf numFmtId="185" fontId="241" fillId="6" borderId="209" xfId="4537" applyFont="1" applyFill="1" applyBorder="1" applyAlignment="1">
      <alignment horizontal="center" vertical="center"/>
    </xf>
    <xf numFmtId="272" fontId="241" fillId="6" borderId="38" xfId="4537" applyNumberFormat="1" applyFont="1" applyFill="1" applyBorder="1" applyAlignment="1">
      <alignment horizontal="right" vertical="center"/>
    </xf>
    <xf numFmtId="272" fontId="241" fillId="6" borderId="21" xfId="4537" applyNumberFormat="1" applyFont="1" applyFill="1" applyBorder="1" applyAlignment="1">
      <alignment horizontal="center" vertical="center"/>
    </xf>
    <xf numFmtId="274" fontId="241" fillId="6" borderId="21" xfId="4537" applyNumberFormat="1" applyFont="1" applyFill="1" applyBorder="1" applyAlignment="1">
      <alignment horizontal="right" vertical="center"/>
    </xf>
    <xf numFmtId="0" fontId="241" fillId="6" borderId="0" xfId="4538" applyFont="1" applyFill="1"/>
    <xf numFmtId="274" fontId="241" fillId="6" borderId="21" xfId="4537" applyNumberFormat="1" applyFont="1" applyFill="1" applyBorder="1" applyAlignment="1">
      <alignment vertical="center"/>
    </xf>
    <xf numFmtId="0" fontId="241" fillId="6" borderId="43" xfId="4536" applyFont="1" applyFill="1" applyBorder="1" applyAlignment="1">
      <alignment horizontal="center" vertical="center"/>
    </xf>
    <xf numFmtId="185" fontId="241" fillId="6" borderId="211" xfId="4537" applyFont="1" applyFill="1" applyBorder="1" applyAlignment="1">
      <alignment horizontal="centerContinuous" vertical="center"/>
    </xf>
    <xf numFmtId="0" fontId="241" fillId="6" borderId="211" xfId="4536" applyFont="1" applyFill="1" applyBorder="1" applyAlignment="1">
      <alignment horizontal="centerContinuous" vertical="center"/>
    </xf>
    <xf numFmtId="185" fontId="241" fillId="6" borderId="211" xfId="4537" applyFont="1" applyFill="1" applyBorder="1" applyAlignment="1">
      <alignment horizontal="center" vertical="center"/>
    </xf>
    <xf numFmtId="0" fontId="241" fillId="6" borderId="38" xfId="4536" applyFont="1" applyFill="1" applyBorder="1" applyAlignment="1">
      <alignment horizontal="left"/>
    </xf>
    <xf numFmtId="0" fontId="241" fillId="6" borderId="21" xfId="4536" applyFont="1" applyFill="1" applyBorder="1" applyAlignment="1">
      <alignment horizontal="left"/>
    </xf>
    <xf numFmtId="0" fontId="241" fillId="6" borderId="21" xfId="4536" applyFont="1" applyFill="1" applyBorder="1"/>
    <xf numFmtId="273" fontId="241" fillId="6" borderId="38" xfId="4537" applyNumberFormat="1" applyFont="1" applyFill="1" applyBorder="1" applyAlignment="1">
      <alignment horizontal="center" vertical="center"/>
    </xf>
    <xf numFmtId="0" fontId="241" fillId="6" borderId="4" xfId="4536" applyFont="1" applyFill="1" applyBorder="1" applyAlignment="1">
      <alignment horizontal="center" vertical="center"/>
    </xf>
    <xf numFmtId="272" fontId="241" fillId="6" borderId="0" xfId="4537" applyNumberFormat="1" applyFont="1" applyFill="1" applyBorder="1" applyAlignment="1">
      <alignment horizontal="left" vertical="center"/>
    </xf>
    <xf numFmtId="185" fontId="241" fillId="6" borderId="0" xfId="4537" applyFont="1" applyFill="1" applyBorder="1" applyAlignment="1">
      <alignment horizontal="center" vertical="center"/>
    </xf>
    <xf numFmtId="0" fontId="241" fillId="6" borderId="0" xfId="4536" applyFont="1" applyFill="1"/>
    <xf numFmtId="0" fontId="241" fillId="6" borderId="210" xfId="4538" applyFont="1" applyFill="1" applyBorder="1"/>
    <xf numFmtId="0" fontId="241" fillId="6" borderId="209" xfId="4538" applyFont="1" applyFill="1" applyBorder="1" applyAlignment="1">
      <alignment horizontal="center"/>
    </xf>
    <xf numFmtId="272" fontId="241" fillId="6" borderId="38" xfId="4537" applyNumberFormat="1" applyFont="1" applyFill="1" applyBorder="1" applyAlignment="1">
      <alignment horizontal="left" vertical="center"/>
    </xf>
    <xf numFmtId="272" fontId="241" fillId="6" borderId="21" xfId="4537" applyNumberFormat="1" applyFont="1" applyFill="1" applyBorder="1" applyAlignment="1">
      <alignment horizontal="left" vertical="center"/>
    </xf>
    <xf numFmtId="0" fontId="241" fillId="6" borderId="21" xfId="4536" applyFont="1" applyFill="1" applyBorder="1" applyAlignment="1">
      <alignment horizontal="centerContinuous" vertical="center"/>
    </xf>
    <xf numFmtId="190" fontId="241" fillId="6" borderId="38" xfId="4536" applyNumberFormat="1" applyFont="1" applyFill="1" applyBorder="1" applyAlignment="1">
      <alignment horizontal="right" vertical="center"/>
    </xf>
    <xf numFmtId="272" fontId="241" fillId="6" borderId="211" xfId="4537" applyNumberFormat="1" applyFont="1" applyFill="1" applyBorder="1" applyAlignment="1">
      <alignment horizontal="left" vertical="center"/>
    </xf>
    <xf numFmtId="0" fontId="241" fillId="6" borderId="209" xfId="4536" applyFont="1" applyFill="1" applyBorder="1" applyAlignment="1">
      <alignment horizontal="center" vertical="center" wrapText="1" shrinkToFit="1"/>
    </xf>
    <xf numFmtId="272" fontId="241" fillId="6" borderId="21" xfId="4537" applyNumberFormat="1" applyFont="1" applyFill="1" applyBorder="1" applyAlignment="1">
      <alignment horizontal="center" vertical="center" wrapText="1" shrinkToFit="1"/>
    </xf>
    <xf numFmtId="185" fontId="241" fillId="6" borderId="38" xfId="4537" applyFont="1" applyFill="1" applyBorder="1" applyAlignment="1">
      <alignment horizontal="center" vertical="center"/>
    </xf>
    <xf numFmtId="0" fontId="241" fillId="6" borderId="4" xfId="4536" applyFont="1" applyFill="1" applyBorder="1" applyAlignment="1">
      <alignment horizontal="center" vertical="center" wrapText="1" shrinkToFit="1"/>
    </xf>
    <xf numFmtId="273" fontId="241" fillId="6" borderId="211" xfId="0" applyNumberFormat="1" applyFont="1" applyFill="1" applyBorder="1" applyAlignment="1">
      <alignment horizontal="center" vertical="center"/>
    </xf>
    <xf numFmtId="0" fontId="241" fillId="6" borderId="210" xfId="0" applyFont="1" applyFill="1" applyBorder="1" applyAlignment="1">
      <alignment horizontal="center" vertical="center"/>
    </xf>
    <xf numFmtId="0" fontId="241" fillId="6" borderId="209" xfId="4536" applyFont="1" applyFill="1" applyBorder="1" applyAlignment="1">
      <alignment horizontal="left" vertical="center" wrapText="1" shrinkToFit="1"/>
    </xf>
    <xf numFmtId="0" fontId="241" fillId="6" borderId="38" xfId="0" applyFont="1" applyFill="1" applyBorder="1" applyAlignment="1">
      <alignment horizontal="center" vertical="center" wrapText="1" shrinkToFit="1"/>
    </xf>
    <xf numFmtId="0" fontId="241" fillId="6" borderId="21" xfId="0" applyFont="1" applyFill="1" applyBorder="1" applyAlignment="1">
      <alignment horizontal="center" vertical="center" wrapText="1" shrinkToFit="1"/>
    </xf>
    <xf numFmtId="0" fontId="241" fillId="6" borderId="21" xfId="0" applyFont="1" applyFill="1" applyBorder="1" applyAlignment="1">
      <alignment horizontal="center" vertical="center"/>
    </xf>
    <xf numFmtId="0" fontId="241" fillId="0" borderId="210" xfId="4536" applyFont="1" applyBorder="1" applyAlignment="1">
      <alignment horizontal="left"/>
    </xf>
    <xf numFmtId="272" fontId="241" fillId="0" borderId="211" xfId="4537" applyNumberFormat="1" applyFont="1" applyBorder="1" applyAlignment="1">
      <alignment horizontal="left" vertical="center"/>
    </xf>
    <xf numFmtId="185" fontId="241" fillId="0" borderId="211" xfId="4537" applyFont="1" applyBorder="1" applyAlignment="1">
      <alignment horizontal="center" vertical="center"/>
    </xf>
    <xf numFmtId="0" fontId="241" fillId="0" borderId="211" xfId="4536" applyFont="1" applyBorder="1"/>
    <xf numFmtId="185" fontId="241" fillId="0" borderId="210" xfId="4537" applyFont="1" applyBorder="1" applyAlignment="1">
      <alignment horizontal="center" vertical="center"/>
    </xf>
    <xf numFmtId="0" fontId="241" fillId="0" borderId="209" xfId="4536" applyFont="1" applyBorder="1" applyAlignment="1">
      <alignment horizontal="center" vertical="center" wrapText="1" shrinkToFit="1"/>
    </xf>
    <xf numFmtId="272" fontId="241" fillId="0" borderId="38" xfId="4537" applyNumberFormat="1" applyFont="1" applyBorder="1" applyAlignment="1">
      <alignment horizontal="center" vertical="center" wrapText="1" shrinkToFit="1"/>
    </xf>
    <xf numFmtId="272" fontId="241" fillId="0" borderId="21" xfId="4537" applyNumberFormat="1" applyFont="1" applyBorder="1" applyAlignment="1">
      <alignment horizontal="center" vertical="center" wrapText="1" shrinkToFit="1"/>
    </xf>
    <xf numFmtId="185" fontId="241" fillId="0" borderId="21" xfId="4537" applyFont="1" applyBorder="1" applyAlignment="1">
      <alignment horizontal="center" vertical="center"/>
    </xf>
    <xf numFmtId="0" fontId="241" fillId="0" borderId="21" xfId="4536" applyFont="1" applyBorder="1"/>
    <xf numFmtId="185" fontId="241" fillId="0" borderId="38" xfId="4537" applyFont="1" applyBorder="1" applyAlignment="1">
      <alignment horizontal="center" vertical="center"/>
    </xf>
    <xf numFmtId="0" fontId="241" fillId="0" borderId="4" xfId="4536" applyFont="1" applyBorder="1" applyAlignment="1">
      <alignment horizontal="center" vertical="center" wrapText="1" shrinkToFit="1"/>
    </xf>
    <xf numFmtId="0" fontId="56" fillId="0" borderId="384" xfId="4536" applyFont="1" applyBorder="1" applyAlignment="1">
      <alignment horizontal="center" vertical="center"/>
    </xf>
    <xf numFmtId="0" fontId="56" fillId="0" borderId="385" xfId="4536" applyFont="1" applyBorder="1" applyAlignment="1">
      <alignment horizontal="center" vertical="center"/>
    </xf>
    <xf numFmtId="0" fontId="0" fillId="0" borderId="21" xfId="0" applyBorder="1">
      <alignment vertical="center"/>
    </xf>
    <xf numFmtId="185" fontId="56" fillId="0" borderId="385" xfId="4537" applyFont="1" applyBorder="1" applyAlignment="1">
      <alignment horizontal="center" vertical="center"/>
    </xf>
    <xf numFmtId="0" fontId="73" fillId="6" borderId="47" xfId="12384" applyFont="1" applyFill="1" applyBorder="1">
      <alignment vertical="center"/>
    </xf>
    <xf numFmtId="0" fontId="131" fillId="6" borderId="48" xfId="12384" applyFont="1" applyFill="1" applyBorder="1">
      <alignment vertical="center"/>
    </xf>
    <xf numFmtId="0" fontId="73" fillId="0" borderId="412" xfId="12384" applyFont="1" applyBorder="1" applyAlignment="1">
      <alignment horizontal="center" vertical="center"/>
    </xf>
    <xf numFmtId="0" fontId="73" fillId="0" borderId="425" xfId="12384" applyFont="1" applyBorder="1" applyAlignment="1">
      <alignment horizontal="center" vertical="center"/>
    </xf>
    <xf numFmtId="177" fontId="13" fillId="0" borderId="9" xfId="4525" applyNumberFormat="1" applyFont="1" applyBorder="1" applyAlignment="1">
      <alignment horizontal="center" vertical="center" shrinkToFit="1"/>
    </xf>
    <xf numFmtId="10" fontId="104" fillId="0" borderId="26" xfId="4525" applyNumberFormat="1" applyFont="1" applyBorder="1" applyAlignment="1">
      <alignment horizontal="center" vertical="center" shrinkToFit="1"/>
    </xf>
    <xf numFmtId="0" fontId="56" fillId="0" borderId="26" xfId="0" applyFont="1" applyBorder="1" applyAlignment="1">
      <alignment horizontal="center" vertical="center" shrinkToFit="1"/>
    </xf>
    <xf numFmtId="177" fontId="13" fillId="0" borderId="23" xfId="4525" applyNumberFormat="1" applyFont="1" applyBorder="1" applyAlignment="1">
      <alignment horizontal="center" vertical="center" shrinkToFit="1"/>
    </xf>
    <xf numFmtId="0" fontId="56" fillId="6" borderId="9" xfId="0" applyFont="1" applyFill="1" applyBorder="1" applyAlignment="1">
      <alignment horizontal="left" vertical="center"/>
    </xf>
    <xf numFmtId="0" fontId="56" fillId="0" borderId="28" xfId="0" applyFont="1" applyBorder="1" applyAlignment="1">
      <alignment horizontal="left" vertical="center" shrinkToFit="1"/>
    </xf>
    <xf numFmtId="0" fontId="56" fillId="0" borderId="26" xfId="0" applyFont="1" applyBorder="1" applyAlignment="1">
      <alignment horizontal="left" vertical="center" shrinkToFit="1"/>
    </xf>
    <xf numFmtId="0" fontId="56" fillId="0" borderId="27" xfId="0" applyFont="1" applyBorder="1" applyAlignment="1">
      <alignment horizontal="center" vertical="center" shrinkToFit="1"/>
    </xf>
    <xf numFmtId="43" fontId="75" fillId="0" borderId="26" xfId="4524" applyNumberFormat="1" applyFont="1" applyBorder="1" applyAlignment="1">
      <alignment horizontal="center" vertical="center"/>
    </xf>
    <xf numFmtId="0" fontId="75" fillId="0" borderId="26" xfId="4525" applyFont="1" applyBorder="1" applyAlignment="1">
      <alignment horizontal="center" vertical="center"/>
    </xf>
    <xf numFmtId="177" fontId="75" fillId="0" borderId="26" xfId="4525" applyNumberFormat="1" applyFont="1" applyBorder="1" applyAlignment="1">
      <alignment vertical="center" shrinkToFit="1"/>
    </xf>
    <xf numFmtId="177" fontId="75" fillId="0" borderId="26" xfId="4525" applyNumberFormat="1" applyFont="1" applyBorder="1" applyAlignment="1">
      <alignment horizontal="right" vertical="center" shrinkToFit="1"/>
    </xf>
    <xf numFmtId="198" fontId="75" fillId="0" borderId="27" xfId="4525" applyNumberFormat="1" applyFont="1" applyBorder="1" applyAlignment="1">
      <alignment horizontal="center" vertical="center" shrinkToFit="1"/>
    </xf>
    <xf numFmtId="178" fontId="81" fillId="0" borderId="9" xfId="4525" applyNumberFormat="1" applyFont="1" applyBorder="1" applyAlignment="1">
      <alignment vertical="center" shrinkToFit="1"/>
    </xf>
    <xf numFmtId="177" fontId="74" fillId="0" borderId="9" xfId="4525" applyNumberFormat="1" applyFont="1" applyBorder="1" applyAlignment="1">
      <alignment vertical="center" shrinkToFit="1"/>
    </xf>
    <xf numFmtId="10" fontId="81" fillId="0" borderId="9" xfId="4525" applyNumberFormat="1" applyFont="1" applyBorder="1" applyAlignment="1">
      <alignment horizontal="center" vertical="center" shrinkToFit="1"/>
    </xf>
    <xf numFmtId="0" fontId="58" fillId="0" borderId="8" xfId="0" applyFont="1" applyBorder="1" applyAlignment="1">
      <alignment horizontal="left" vertical="center"/>
    </xf>
    <xf numFmtId="178" fontId="104" fillId="0" borderId="26" xfId="4525" applyNumberFormat="1" applyFont="1" applyBorder="1" applyAlignment="1">
      <alignment horizontal="center" vertical="center" shrinkToFit="1"/>
    </xf>
    <xf numFmtId="177" fontId="104" fillId="0" borderId="26" xfId="4525" applyNumberFormat="1" applyFont="1" applyBorder="1" applyAlignment="1">
      <alignment horizontal="center" vertical="center" shrinkToFit="1"/>
    </xf>
    <xf numFmtId="177" fontId="113" fillId="0" borderId="26" xfId="4525" applyNumberFormat="1" applyFont="1" applyBorder="1" applyAlignment="1">
      <alignment horizontal="center" vertical="center" shrinkToFit="1"/>
    </xf>
    <xf numFmtId="177" fontId="58" fillId="0" borderId="27" xfId="4525" applyNumberFormat="1" applyFont="1" applyBorder="1" applyAlignment="1">
      <alignment horizontal="center" vertical="center" shrinkToFit="1"/>
    </xf>
    <xf numFmtId="0" fontId="0" fillId="0" borderId="65" xfId="0" applyBorder="1" applyAlignment="1">
      <alignment horizontal="center" vertical="center"/>
    </xf>
    <xf numFmtId="0" fontId="0" fillId="0" borderId="65" xfId="0" applyBorder="1">
      <alignment vertical="center"/>
    </xf>
    <xf numFmtId="0" fontId="0" fillId="0" borderId="46" xfId="0" applyBorder="1">
      <alignment vertical="center"/>
    </xf>
    <xf numFmtId="0" fontId="0" fillId="0" borderId="65" xfId="0" quotePrefix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89" xfId="0" applyBorder="1">
      <alignment vertical="center"/>
    </xf>
    <xf numFmtId="0" fontId="0" fillId="0" borderId="97" xfId="0" applyBorder="1">
      <alignment vertical="center"/>
    </xf>
    <xf numFmtId="0" fontId="0" fillId="0" borderId="91" xfId="0" applyBorder="1">
      <alignment vertical="center"/>
    </xf>
    <xf numFmtId="319" fontId="0" fillId="0" borderId="89" xfId="0" applyNumberFormat="1" applyBorder="1">
      <alignment vertical="center"/>
    </xf>
    <xf numFmtId="198" fontId="13" fillId="0" borderId="440" xfId="4525" applyNumberFormat="1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left" vertical="center" shrinkToFit="1"/>
    </xf>
    <xf numFmtId="0" fontId="75" fillId="0" borderId="21" xfId="4525" applyFont="1" applyBorder="1">
      <alignment vertical="center"/>
    </xf>
    <xf numFmtId="263" fontId="13" fillId="0" borderId="438" xfId="0" applyNumberFormat="1" applyFont="1" applyBorder="1" applyAlignment="1">
      <alignment horizontal="center" vertical="center" shrinkToFit="1"/>
    </xf>
    <xf numFmtId="177" fontId="13" fillId="0" borderId="23" xfId="0" applyNumberFormat="1" applyFont="1" applyBorder="1" applyAlignment="1">
      <alignment horizontal="center" vertical="center" shrinkToFit="1"/>
    </xf>
    <xf numFmtId="177" fontId="13" fillId="0" borderId="440" xfId="0" applyNumberFormat="1" applyFont="1" applyBorder="1" applyAlignment="1">
      <alignment horizontal="left" vertical="center" shrinkToFit="1"/>
    </xf>
    <xf numFmtId="177" fontId="13" fillId="0" borderId="8" xfId="0" applyNumberFormat="1" applyFont="1" applyBorder="1" applyAlignment="1">
      <alignment horizontal="center" vertical="center" shrinkToFit="1"/>
    </xf>
    <xf numFmtId="264" fontId="13" fillId="0" borderId="9" xfId="0" applyNumberFormat="1" applyFont="1" applyBorder="1" applyAlignment="1">
      <alignment horizontal="center" vertical="center" shrinkToFit="1"/>
    </xf>
    <xf numFmtId="177" fontId="13" fillId="0" borderId="25" xfId="0" applyNumberFormat="1" applyFont="1" applyBorder="1" applyAlignment="1">
      <alignment horizontal="left" vertical="center" shrinkToFit="1"/>
    </xf>
    <xf numFmtId="197" fontId="13" fillId="0" borderId="8" xfId="4525" applyNumberFormat="1" applyFont="1" applyBorder="1" applyAlignment="1">
      <alignment vertical="center" shrinkToFit="1"/>
    </xf>
    <xf numFmtId="265" fontId="13" fillId="0" borderId="9" xfId="4525" applyNumberFormat="1" applyFont="1" applyBorder="1" applyAlignment="1">
      <alignment horizontal="center" vertical="center" shrinkToFit="1"/>
    </xf>
    <xf numFmtId="178" fontId="13" fillId="0" borderId="9" xfId="0" applyNumberFormat="1" applyFont="1" applyBorder="1" applyAlignment="1">
      <alignment horizontal="center" vertical="center" shrinkToFit="1"/>
    </xf>
    <xf numFmtId="0" fontId="13" fillId="0" borderId="9" xfId="4525" applyFont="1" applyBorder="1" applyAlignment="1">
      <alignment horizontal="center" vertical="center" shrinkToFit="1"/>
    </xf>
    <xf numFmtId="263" fontId="13" fillId="0" borderId="8" xfId="0" applyNumberFormat="1" applyFont="1" applyBorder="1" applyAlignment="1">
      <alignment horizontal="center" vertical="center" shrinkToFit="1"/>
    </xf>
    <xf numFmtId="177" fontId="13" fillId="0" borderId="28" xfId="0" applyNumberFormat="1" applyFont="1" applyBorder="1" applyAlignment="1">
      <alignment horizontal="center" vertical="center" shrinkToFit="1"/>
    </xf>
    <xf numFmtId="177" fontId="13" fillId="0" borderId="26" xfId="0" applyNumberFormat="1" applyFont="1" applyBorder="1" applyAlignment="1">
      <alignment horizontal="center" vertical="center" shrinkToFit="1"/>
    </xf>
    <xf numFmtId="177" fontId="13" fillId="0" borderId="27" xfId="0" applyNumberFormat="1" applyFont="1" applyBorder="1" applyAlignment="1">
      <alignment horizontal="left" vertical="center" shrinkToFit="1"/>
    </xf>
    <xf numFmtId="266" fontId="13" fillId="0" borderId="9" xfId="0" applyNumberFormat="1" applyFont="1" applyBorder="1" applyAlignment="1">
      <alignment horizontal="center" vertical="center" shrinkToFit="1"/>
    </xf>
    <xf numFmtId="264" fontId="13" fillId="0" borderId="23" xfId="0" applyNumberFormat="1" applyFont="1" applyBorder="1" applyAlignment="1">
      <alignment horizontal="center" vertical="center" shrinkToFit="1"/>
    </xf>
    <xf numFmtId="267" fontId="13" fillId="0" borderId="9" xfId="4525" applyNumberFormat="1" applyFont="1" applyBorder="1" applyAlignment="1">
      <alignment horizontal="center" vertical="center" shrinkToFit="1"/>
    </xf>
    <xf numFmtId="177" fontId="13" fillId="0" borderId="23" xfId="0" applyNumberFormat="1" applyFont="1" applyBorder="1" applyAlignment="1">
      <alignment horizontal="center" vertical="center" wrapText="1"/>
    </xf>
    <xf numFmtId="198" fontId="13" fillId="0" borderId="440" xfId="0" applyNumberFormat="1" applyFont="1" applyBorder="1" applyAlignment="1">
      <alignment horizontal="left" vertical="center" shrinkToFit="1"/>
    </xf>
    <xf numFmtId="177" fontId="13" fillId="0" borderId="9" xfId="0" applyNumberFormat="1" applyFont="1" applyBorder="1" applyAlignment="1">
      <alignment horizontal="center" vertical="center" wrapText="1"/>
    </xf>
    <xf numFmtId="198" fontId="13" fillId="0" borderId="25" xfId="0" applyNumberFormat="1" applyFont="1" applyBorder="1" applyAlignment="1">
      <alignment horizontal="left" vertical="center" shrinkToFit="1"/>
    </xf>
    <xf numFmtId="0" fontId="13" fillId="0" borderId="9" xfId="0" applyFont="1" applyBorder="1" applyAlignment="1">
      <alignment horizontal="center" vertical="center" shrinkToFit="1"/>
    </xf>
    <xf numFmtId="177" fontId="13" fillId="0" borderId="26" xfId="0" applyNumberFormat="1" applyFont="1" applyBorder="1" applyAlignment="1">
      <alignment horizontal="center" vertical="center" wrapText="1"/>
    </xf>
    <xf numFmtId="264" fontId="13" fillId="0" borderId="26" xfId="0" applyNumberFormat="1" applyFont="1" applyBorder="1" applyAlignment="1">
      <alignment horizontal="center" vertical="center" shrinkToFit="1"/>
    </xf>
    <xf numFmtId="198" fontId="13" fillId="0" borderId="27" xfId="0" applyNumberFormat="1" applyFont="1" applyBorder="1" applyAlignment="1">
      <alignment horizontal="left" vertical="center" shrinkToFit="1"/>
    </xf>
    <xf numFmtId="268" fontId="13" fillId="0" borderId="9" xfId="4525" applyNumberFormat="1" applyFont="1" applyBorder="1" applyAlignment="1">
      <alignment horizontal="center" vertical="center" shrinkToFit="1"/>
    </xf>
    <xf numFmtId="43" fontId="13" fillId="0" borderId="9" xfId="0" applyNumberFormat="1" applyFont="1" applyBorder="1" applyAlignment="1">
      <alignment horizontal="center" vertical="center"/>
    </xf>
    <xf numFmtId="281" fontId="13" fillId="0" borderId="9" xfId="0" applyNumberFormat="1" applyFont="1" applyBorder="1" applyAlignment="1">
      <alignment horizontal="center" vertical="center" shrinkToFit="1"/>
    </xf>
    <xf numFmtId="269" fontId="74" fillId="0" borderId="9" xfId="0" applyNumberFormat="1" applyFont="1" applyBorder="1" applyAlignment="1">
      <alignment horizontal="center" vertical="center"/>
    </xf>
    <xf numFmtId="269" fontId="74" fillId="0" borderId="26" xfId="0" applyNumberFormat="1" applyFont="1" applyBorder="1" applyAlignment="1">
      <alignment horizontal="center" vertical="center"/>
    </xf>
    <xf numFmtId="0" fontId="13" fillId="0" borderId="9" xfId="4533" applyFont="1" applyBorder="1" applyAlignment="1">
      <alignment horizontal="center" vertical="center"/>
    </xf>
    <xf numFmtId="269" fontId="13" fillId="0" borderId="9" xfId="4525" applyNumberFormat="1" applyFont="1" applyBorder="1" applyAlignment="1">
      <alignment horizontal="right" vertical="center" shrinkToFit="1"/>
    </xf>
    <xf numFmtId="177" fontId="240" fillId="0" borderId="0" xfId="0" applyNumberFormat="1" applyFont="1">
      <alignment vertical="center"/>
    </xf>
    <xf numFmtId="266" fontId="13" fillId="0" borderId="23" xfId="0" applyNumberFormat="1" applyFont="1" applyBorder="1" applyAlignment="1">
      <alignment horizontal="center" vertical="center" shrinkToFit="1"/>
    </xf>
    <xf numFmtId="178" fontId="13" fillId="0" borderId="23" xfId="0" applyNumberFormat="1" applyFont="1" applyBorder="1" applyAlignment="1">
      <alignment horizontal="center" vertical="center" shrinkToFit="1"/>
    </xf>
    <xf numFmtId="197" fontId="13" fillId="0" borderId="23" xfId="4525" applyNumberFormat="1" applyFont="1" applyBorder="1" applyAlignment="1">
      <alignment horizontal="center" vertical="center" shrinkToFit="1"/>
    </xf>
    <xf numFmtId="265" fontId="13" fillId="0" borderId="23" xfId="4525" applyNumberFormat="1" applyFont="1" applyBorder="1" applyAlignment="1">
      <alignment horizontal="center" vertical="center" shrinkToFit="1"/>
    </xf>
    <xf numFmtId="269" fontId="13" fillId="0" borderId="9" xfId="4525" applyNumberFormat="1" applyFont="1" applyBorder="1" applyAlignment="1">
      <alignment horizontal="center" vertical="center"/>
    </xf>
    <xf numFmtId="270" fontId="13" fillId="0" borderId="8" xfId="4533" applyNumberFormat="1" applyFont="1" applyBorder="1" applyAlignment="1">
      <alignment horizontal="center" vertical="center" shrinkToFit="1"/>
    </xf>
    <xf numFmtId="197" fontId="13" fillId="0" borderId="9" xfId="4533" applyNumberFormat="1" applyFont="1" applyBorder="1" applyAlignment="1">
      <alignment horizontal="center" vertical="center"/>
    </xf>
    <xf numFmtId="269" fontId="13" fillId="0" borderId="9" xfId="4533" applyNumberFormat="1" applyFont="1" applyBorder="1" applyAlignment="1">
      <alignment horizontal="center" vertical="center"/>
    </xf>
    <xf numFmtId="269" fontId="13" fillId="0" borderId="9" xfId="0" applyNumberFormat="1" applyFont="1" applyBorder="1" applyAlignment="1">
      <alignment horizontal="center" vertical="center"/>
    </xf>
    <xf numFmtId="269" fontId="13" fillId="0" borderId="9" xfId="4533" applyNumberFormat="1" applyFont="1" applyBorder="1" applyAlignment="1">
      <alignment horizontal="right" vertical="center" shrinkToFit="1"/>
    </xf>
    <xf numFmtId="197" fontId="13" fillId="0" borderId="25" xfId="4533" applyNumberFormat="1" applyFont="1" applyBorder="1" applyAlignment="1">
      <alignment horizontal="left" vertical="center"/>
    </xf>
    <xf numFmtId="177" fontId="13" fillId="0" borderId="9" xfId="0" applyNumberFormat="1" applyFont="1" applyBorder="1" applyAlignment="1">
      <alignment horizontal="center" vertical="center"/>
    </xf>
    <xf numFmtId="263" fontId="13" fillId="0" borderId="28" xfId="0" applyNumberFormat="1" applyFont="1" applyBorder="1" applyAlignment="1">
      <alignment horizontal="center" vertical="center" shrinkToFit="1"/>
    </xf>
    <xf numFmtId="0" fontId="13" fillId="0" borderId="26" xfId="4525" applyFont="1" applyBorder="1" applyAlignment="1">
      <alignment horizontal="center" vertical="center" shrinkToFit="1"/>
    </xf>
    <xf numFmtId="197" fontId="13" fillId="0" borderId="26" xfId="4525" applyNumberFormat="1" applyFont="1" applyBorder="1" applyAlignment="1">
      <alignment horizontal="center" vertical="center" shrinkToFit="1"/>
    </xf>
    <xf numFmtId="263" fontId="13" fillId="0" borderId="29" xfId="0" applyNumberFormat="1" applyFont="1" applyBorder="1" applyAlignment="1">
      <alignment horizontal="center" vertical="center" shrinkToFit="1"/>
    </xf>
    <xf numFmtId="198" fontId="13" fillId="0" borderId="24" xfId="0" applyNumberFormat="1" applyFont="1" applyBorder="1" applyAlignment="1">
      <alignment horizontal="left" vertical="center" shrinkToFit="1"/>
    </xf>
    <xf numFmtId="177" fontId="13" fillId="0" borderId="24" xfId="0" applyNumberFormat="1" applyFont="1" applyBorder="1" applyAlignment="1">
      <alignment horizontal="left" vertical="center" shrinkToFit="1"/>
    </xf>
    <xf numFmtId="270" fontId="13" fillId="0" borderId="28" xfId="4533" applyNumberFormat="1" applyFont="1" applyBorder="1" applyAlignment="1">
      <alignment horizontal="center" vertical="center" shrinkToFit="1"/>
    </xf>
    <xf numFmtId="268" fontId="13" fillId="0" borderId="26" xfId="4525" applyNumberFormat="1" applyFont="1" applyBorder="1" applyAlignment="1">
      <alignment horizontal="center" vertical="center" shrinkToFit="1"/>
    </xf>
    <xf numFmtId="267" fontId="13" fillId="0" borderId="26" xfId="4525" applyNumberFormat="1" applyFont="1" applyBorder="1" applyAlignment="1">
      <alignment horizontal="center" vertical="center" shrinkToFit="1"/>
    </xf>
    <xf numFmtId="197" fontId="13" fillId="0" borderId="26" xfId="4533" applyNumberFormat="1" applyFont="1" applyBorder="1" applyAlignment="1">
      <alignment horizontal="center" vertical="center"/>
    </xf>
    <xf numFmtId="0" fontId="13" fillId="0" borderId="26" xfId="4533" applyFont="1" applyBorder="1" applyAlignment="1">
      <alignment horizontal="center" vertical="center"/>
    </xf>
    <xf numFmtId="269" fontId="13" fillId="0" borderId="26" xfId="4533" applyNumberFormat="1" applyFont="1" applyBorder="1" applyAlignment="1">
      <alignment horizontal="center" vertical="center"/>
    </xf>
    <xf numFmtId="269" fontId="13" fillId="0" borderId="26" xfId="0" applyNumberFormat="1" applyFont="1" applyBorder="1" applyAlignment="1">
      <alignment horizontal="center" vertical="center"/>
    </xf>
    <xf numFmtId="269" fontId="13" fillId="0" borderId="26" xfId="4533" applyNumberFormat="1" applyFont="1" applyBorder="1" applyAlignment="1">
      <alignment horizontal="right" vertical="center" shrinkToFit="1"/>
    </xf>
    <xf numFmtId="197" fontId="13" fillId="0" borderId="27" xfId="4533" applyNumberFormat="1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263" fontId="214" fillId="0" borderId="8" xfId="0" applyNumberFormat="1" applyFont="1" applyBorder="1" applyAlignment="1">
      <alignment horizontal="center" vertical="center" shrinkToFit="1"/>
    </xf>
    <xf numFmtId="177" fontId="77" fillId="0" borderId="0" xfId="0" applyNumberFormat="1" applyFont="1" applyAlignment="1">
      <alignment horizontal="center" vertical="center"/>
    </xf>
    <xf numFmtId="0" fontId="58" fillId="6" borderId="438" xfId="0" applyFont="1" applyFill="1" applyBorder="1" applyAlignment="1">
      <alignment horizontal="left" vertical="center"/>
    </xf>
    <xf numFmtId="0" fontId="56" fillId="6" borderId="23" xfId="0" applyFont="1" applyFill="1" applyBorder="1" applyAlignment="1">
      <alignment horizontal="center" vertical="center"/>
    </xf>
    <xf numFmtId="0" fontId="56" fillId="6" borderId="23" xfId="0" applyFont="1" applyFill="1" applyBorder="1" applyAlignment="1">
      <alignment horizontal="left" vertical="center"/>
    </xf>
    <xf numFmtId="0" fontId="56" fillId="6" borderId="440" xfId="0" applyFont="1" applyFill="1" applyBorder="1" applyAlignment="1">
      <alignment horizontal="center" vertical="center"/>
    </xf>
    <xf numFmtId="0" fontId="58" fillId="6" borderId="8" xfId="0" applyFont="1" applyFill="1" applyBorder="1" applyAlignment="1">
      <alignment vertical="center" wrapText="1"/>
    </xf>
    <xf numFmtId="0" fontId="56" fillId="6" borderId="9" xfId="0" applyFont="1" applyFill="1" applyBorder="1" applyAlignment="1">
      <alignment vertical="center" wrapText="1"/>
    </xf>
    <xf numFmtId="0" fontId="56" fillId="6" borderId="9" xfId="0" applyFont="1" applyFill="1" applyBorder="1" applyAlignment="1">
      <alignment horizontal="center" vertical="center"/>
    </xf>
    <xf numFmtId="0" fontId="56" fillId="6" borderId="8" xfId="0" applyFont="1" applyFill="1" applyBorder="1" applyAlignment="1">
      <alignment horizontal="left" vertical="center"/>
    </xf>
    <xf numFmtId="0" fontId="56" fillId="6" borderId="9" xfId="0" applyFont="1" applyFill="1" applyBorder="1" applyAlignment="1">
      <alignment horizontal="left" vertical="center" shrinkToFit="1"/>
    </xf>
    <xf numFmtId="0" fontId="56" fillId="6" borderId="28" xfId="0" applyFont="1" applyFill="1" applyBorder="1" applyAlignment="1">
      <alignment horizontal="left" vertical="center"/>
    </xf>
    <xf numFmtId="0" fontId="56" fillId="6" borderId="26" xfId="0" applyFont="1" applyFill="1" applyBorder="1" applyAlignment="1">
      <alignment horizontal="left" vertical="center"/>
    </xf>
    <xf numFmtId="0" fontId="56" fillId="6" borderId="26" xfId="0" applyFont="1" applyFill="1" applyBorder="1" applyAlignment="1">
      <alignment horizontal="center" vertical="center"/>
    </xf>
    <xf numFmtId="0" fontId="56" fillId="6" borderId="27" xfId="0" applyFont="1" applyFill="1" applyBorder="1" applyAlignment="1">
      <alignment horizontal="center" vertical="center"/>
    </xf>
    <xf numFmtId="0" fontId="56" fillId="6" borderId="8" xfId="0" applyFont="1" applyFill="1" applyBorder="1" applyAlignment="1">
      <alignment vertical="center" wrapText="1"/>
    </xf>
    <xf numFmtId="0" fontId="56" fillId="6" borderId="28" xfId="0" applyFont="1" applyFill="1" applyBorder="1" applyAlignment="1">
      <alignment vertical="center" wrapText="1"/>
    </xf>
    <xf numFmtId="0" fontId="56" fillId="6" borderId="26" xfId="0" applyFont="1" applyFill="1" applyBorder="1" applyAlignment="1">
      <alignment vertical="center" wrapText="1"/>
    </xf>
    <xf numFmtId="0" fontId="56" fillId="6" borderId="8" xfId="0" applyFont="1" applyFill="1" applyBorder="1" applyAlignment="1">
      <alignment horizontal="left" vertical="center" shrinkToFit="1"/>
    </xf>
    <xf numFmtId="0" fontId="56" fillId="6" borderId="23" xfId="0" applyFont="1" applyFill="1" applyBorder="1" applyAlignment="1">
      <alignment vertical="center" wrapText="1"/>
    </xf>
    <xf numFmtId="0" fontId="248" fillId="0" borderId="425" xfId="11380" applyFont="1" applyBorder="1" applyAlignment="1">
      <alignment horizontal="center" vertical="center"/>
    </xf>
    <xf numFmtId="0" fontId="247" fillId="0" borderId="425" xfId="11380" applyFont="1" applyBorder="1" applyAlignment="1">
      <alignment horizontal="center" vertical="center"/>
    </xf>
    <xf numFmtId="370" fontId="248" fillId="0" borderId="425" xfId="11380" applyNumberFormat="1" applyFont="1" applyBorder="1" applyAlignment="1">
      <alignment horizontal="center" vertical="center"/>
    </xf>
    <xf numFmtId="0" fontId="247" fillId="2" borderId="0" xfId="11380" applyFont="1" applyFill="1" applyAlignment="1">
      <alignment horizontal="left" vertical="center"/>
    </xf>
    <xf numFmtId="0" fontId="94" fillId="0" borderId="0" xfId="11380" applyFont="1" applyAlignment="1">
      <alignment horizontal="center" vertical="center"/>
    </xf>
    <xf numFmtId="0" fontId="73" fillId="36" borderId="425" xfId="11380" applyFont="1" applyFill="1" applyBorder="1" applyAlignment="1">
      <alignment horizontal="center" vertical="center" wrapText="1" shrinkToFit="1"/>
    </xf>
    <xf numFmtId="0" fontId="73" fillId="0" borderId="425" xfId="11380" applyFont="1" applyBorder="1" applyAlignment="1">
      <alignment horizontal="center" vertical="center" shrinkToFit="1"/>
    </xf>
    <xf numFmtId="371" fontId="73" fillId="0" borderId="425" xfId="11380" applyNumberFormat="1" applyFont="1" applyBorder="1" applyAlignment="1">
      <alignment horizontal="center" vertical="center" shrinkToFit="1"/>
    </xf>
    <xf numFmtId="372" fontId="73" fillId="0" borderId="425" xfId="11380" applyNumberFormat="1" applyFont="1" applyBorder="1" applyAlignment="1">
      <alignment horizontal="center" vertical="center" shrinkToFit="1"/>
    </xf>
    <xf numFmtId="373" fontId="73" fillId="0" borderId="425" xfId="11380" applyNumberFormat="1" applyFont="1" applyBorder="1" applyAlignment="1">
      <alignment horizontal="center" vertical="center" shrinkToFit="1"/>
    </xf>
    <xf numFmtId="373" fontId="73" fillId="0" borderId="425" xfId="11380" applyNumberFormat="1" applyFont="1" applyBorder="1" applyAlignment="1">
      <alignment horizontal="right" vertical="center" shrinkToFit="1"/>
    </xf>
    <xf numFmtId="0" fontId="94" fillId="0" borderId="425" xfId="11380" applyFont="1" applyBorder="1" applyAlignment="1">
      <alignment horizontal="center" vertical="center" shrinkToFit="1"/>
    </xf>
    <xf numFmtId="241" fontId="94" fillId="0" borderId="425" xfId="11380" applyNumberFormat="1" applyFont="1" applyBorder="1" applyAlignment="1">
      <alignment horizontal="center" vertical="center" shrinkToFit="1"/>
    </xf>
    <xf numFmtId="0" fontId="131" fillId="0" borderId="425" xfId="11380" applyFont="1" applyBorder="1" applyAlignment="1">
      <alignment horizontal="center" vertical="center" shrinkToFit="1"/>
    </xf>
    <xf numFmtId="0" fontId="58" fillId="0" borderId="23" xfId="4525" applyFont="1" applyBorder="1" applyAlignment="1">
      <alignment horizontal="center" vertical="center" shrinkToFit="1"/>
    </xf>
    <xf numFmtId="0" fontId="58" fillId="0" borderId="26" xfId="4525" applyFont="1" applyBorder="1" applyAlignment="1">
      <alignment horizontal="center" vertical="center" shrinkToFit="1"/>
    </xf>
    <xf numFmtId="197" fontId="58" fillId="0" borderId="23" xfId="4525" applyNumberFormat="1" applyFont="1" applyBorder="1" applyAlignment="1">
      <alignment horizontal="center" vertical="center" shrinkToFit="1"/>
    </xf>
    <xf numFmtId="197" fontId="58" fillId="0" borderId="26" xfId="4525" applyNumberFormat="1" applyFont="1" applyBorder="1" applyAlignment="1">
      <alignment horizontal="center" vertical="center" shrinkToFit="1"/>
    </xf>
    <xf numFmtId="177" fontId="104" fillId="0" borderId="23" xfId="4525" applyNumberFormat="1" applyFont="1" applyBorder="1" applyAlignment="1">
      <alignment horizontal="right" vertical="center" shrinkToFit="1"/>
    </xf>
    <xf numFmtId="178" fontId="104" fillId="0" borderId="23" xfId="4525" applyNumberFormat="1" applyFont="1" applyBorder="1" applyAlignment="1">
      <alignment vertical="center" shrinkToFit="1"/>
    </xf>
    <xf numFmtId="177" fontId="113" fillId="0" borderId="23" xfId="4525" applyNumberFormat="1" applyFont="1" applyBorder="1" applyAlignment="1">
      <alignment vertical="center" shrinkToFit="1"/>
    </xf>
    <xf numFmtId="10" fontId="104" fillId="0" borderId="23" xfId="4525" applyNumberFormat="1" applyFont="1" applyBorder="1" applyAlignment="1">
      <alignment horizontal="center" vertical="center" shrinkToFit="1"/>
    </xf>
    <xf numFmtId="177" fontId="75" fillId="0" borderId="23" xfId="4525" applyNumberFormat="1" applyFont="1" applyBorder="1" applyAlignment="1">
      <alignment vertical="center" shrinkToFit="1"/>
    </xf>
    <xf numFmtId="177" fontId="56" fillId="0" borderId="440" xfId="4525" applyNumberFormat="1" applyFont="1" applyBorder="1" applyAlignment="1">
      <alignment horizontal="center" vertical="center" shrinkToFit="1"/>
    </xf>
    <xf numFmtId="177" fontId="0" fillId="0" borderId="0" xfId="0" applyNumberFormat="1">
      <alignment vertical="center"/>
    </xf>
    <xf numFmtId="3" fontId="217" fillId="0" borderId="9" xfId="11383" applyNumberFormat="1" applyFont="1" applyBorder="1" applyAlignment="1">
      <alignment horizontal="center" vertical="center"/>
    </xf>
    <xf numFmtId="3" fontId="216" fillId="0" borderId="441" xfId="11383" applyNumberFormat="1" applyFont="1" applyBorder="1" applyAlignment="1">
      <alignment horizontal="center" vertical="center"/>
    </xf>
    <xf numFmtId="3" fontId="216" fillId="0" borderId="442" xfId="11383" applyNumberFormat="1" applyFont="1" applyBorder="1" applyAlignment="1">
      <alignment horizontal="center" vertical="center"/>
    </xf>
    <xf numFmtId="3" fontId="216" fillId="0" borderId="437" xfId="11383" applyNumberFormat="1" applyFont="1" applyBorder="1" applyAlignment="1">
      <alignment horizontal="center" vertical="center"/>
    </xf>
    <xf numFmtId="0" fontId="56" fillId="0" borderId="25" xfId="0" applyFont="1" applyBorder="1" applyAlignment="1">
      <alignment horizontal="center" vertical="center"/>
    </xf>
    <xf numFmtId="369" fontId="13" fillId="0" borderId="9" xfId="4525" applyNumberFormat="1" applyFont="1" applyBorder="1" applyAlignment="1">
      <alignment vertical="center" shrinkToFit="1"/>
    </xf>
    <xf numFmtId="369" fontId="13" fillId="0" borderId="9" xfId="4525" applyNumberFormat="1" applyFont="1" applyBorder="1" applyAlignment="1">
      <alignment horizontal="right" vertical="center" shrinkToFit="1"/>
    </xf>
    <xf numFmtId="43" fontId="75" fillId="0" borderId="0" xfId="4524" applyNumberFormat="1" applyFont="1" applyAlignment="1">
      <alignment horizontal="center" vertical="center" shrinkToFit="1"/>
    </xf>
    <xf numFmtId="43" fontId="75" fillId="0" borderId="0" xfId="4524" applyNumberFormat="1" applyFont="1" applyAlignment="1">
      <alignment horizontal="center" vertical="center"/>
    </xf>
    <xf numFmtId="0" fontId="75" fillId="0" borderId="0" xfId="4525" applyFont="1" applyAlignment="1">
      <alignment horizontal="center" vertical="center"/>
    </xf>
    <xf numFmtId="177" fontId="75" fillId="0" borderId="0" xfId="4525" applyNumberFormat="1" applyFont="1" applyAlignment="1">
      <alignment vertical="center" shrinkToFit="1"/>
    </xf>
    <xf numFmtId="177" fontId="75" fillId="0" borderId="0" xfId="4525" applyNumberFormat="1" applyFont="1" applyAlignment="1">
      <alignment horizontal="right" vertical="center" shrinkToFit="1"/>
    </xf>
    <xf numFmtId="198" fontId="75" fillId="0" borderId="0" xfId="4525" applyNumberFormat="1" applyFont="1" applyAlignment="1">
      <alignment horizontal="center" vertical="center" shrinkToFit="1"/>
    </xf>
    <xf numFmtId="354" fontId="217" fillId="0" borderId="0" xfId="0" quotePrefix="1" applyNumberFormat="1" applyFont="1">
      <alignment vertical="center"/>
    </xf>
    <xf numFmtId="374" fontId="213" fillId="0" borderId="0" xfId="11388" applyNumberFormat="1"/>
    <xf numFmtId="0" fontId="56" fillId="6" borderId="438" xfId="0" applyFont="1" applyFill="1" applyBorder="1" applyAlignment="1">
      <alignment vertical="center" wrapText="1"/>
    </xf>
    <xf numFmtId="0" fontId="0" fillId="0" borderId="427" xfId="0" applyBorder="1">
      <alignment vertical="center"/>
    </xf>
    <xf numFmtId="0" fontId="0" fillId="0" borderId="431" xfId="0" applyBorder="1">
      <alignment vertical="center"/>
    </xf>
    <xf numFmtId="177" fontId="13" fillId="0" borderId="438" xfId="0" applyNumberFormat="1" applyFont="1" applyBorder="1" applyAlignment="1">
      <alignment horizontal="center" vertical="center" shrinkToFit="1"/>
    </xf>
    <xf numFmtId="269" fontId="74" fillId="0" borderId="23" xfId="0" applyNumberFormat="1" applyFont="1" applyBorder="1" applyAlignment="1">
      <alignment horizontal="center" vertical="center"/>
    </xf>
    <xf numFmtId="41" fontId="0" fillId="6" borderId="0" xfId="0" applyNumberFormat="1" applyFill="1">
      <alignment vertical="center"/>
    </xf>
    <xf numFmtId="0" fontId="58" fillId="0" borderId="449" xfId="4525" applyFont="1" applyBorder="1">
      <alignment vertical="center"/>
    </xf>
    <xf numFmtId="0" fontId="0" fillId="37" borderId="0" xfId="0" applyFill="1">
      <alignment vertical="center"/>
    </xf>
    <xf numFmtId="0" fontId="58" fillId="6" borderId="449" xfId="4525" applyFont="1" applyFill="1" applyBorder="1">
      <alignment vertical="center"/>
    </xf>
    <xf numFmtId="0" fontId="80" fillId="6" borderId="449" xfId="0" applyFont="1" applyFill="1" applyBorder="1">
      <alignment vertical="center"/>
    </xf>
    <xf numFmtId="0" fontId="58" fillId="6" borderId="441" xfId="0" applyFont="1" applyFill="1" applyBorder="1" applyAlignment="1">
      <alignment horizontal="center" vertical="center"/>
    </xf>
    <xf numFmtId="0" fontId="58" fillId="6" borderId="442" xfId="0" applyFont="1" applyFill="1" applyBorder="1" applyAlignment="1">
      <alignment horizontal="center" vertical="center"/>
    </xf>
    <xf numFmtId="0" fontId="58" fillId="6" borderId="443" xfId="0" applyFont="1" applyFill="1" applyBorder="1" applyAlignment="1">
      <alignment horizontal="center" vertical="center"/>
    </xf>
    <xf numFmtId="41" fontId="55" fillId="0" borderId="449" xfId="3426" applyFont="1" applyFill="1" applyBorder="1" applyAlignment="1">
      <alignment horizontal="center" vertical="center"/>
    </xf>
    <xf numFmtId="197" fontId="55" fillId="0" borderId="449" xfId="4525" applyNumberFormat="1" applyFont="1" applyBorder="1" applyAlignment="1">
      <alignment horizontal="center" vertical="center"/>
    </xf>
    <xf numFmtId="0" fontId="55" fillId="0" borderId="449" xfId="4525" applyFont="1" applyBorder="1" applyAlignment="1">
      <alignment horizontal="center" vertical="center"/>
    </xf>
    <xf numFmtId="197" fontId="55" fillId="0" borderId="449" xfId="4525" applyNumberFormat="1" applyFont="1" applyBorder="1" applyAlignment="1">
      <alignment horizontal="center" vertical="center" shrinkToFit="1"/>
    </xf>
    <xf numFmtId="369" fontId="75" fillId="0" borderId="26" xfId="4525" applyNumberFormat="1" applyFont="1" applyBorder="1" applyAlignment="1">
      <alignment vertical="center" shrinkToFit="1"/>
    </xf>
    <xf numFmtId="43" fontId="75" fillId="0" borderId="431" xfId="4524" applyNumberFormat="1" applyFont="1" applyBorder="1" applyAlignment="1">
      <alignment horizontal="center" vertical="center" shrinkToFit="1"/>
    </xf>
    <xf numFmtId="43" fontId="75" fillId="0" borderId="431" xfId="4524" applyNumberFormat="1" applyFont="1" applyBorder="1" applyAlignment="1">
      <alignment horizontal="center" vertical="center"/>
    </xf>
    <xf numFmtId="0" fontId="75" fillId="0" borderId="431" xfId="4525" applyFont="1" applyBorder="1" applyAlignment="1">
      <alignment horizontal="center" vertical="center"/>
    </xf>
    <xf numFmtId="177" fontId="75" fillId="0" borderId="431" xfId="4525" applyNumberFormat="1" applyFont="1" applyBorder="1" applyAlignment="1">
      <alignment vertical="center" shrinkToFit="1"/>
    </xf>
    <xf numFmtId="177" fontId="75" fillId="0" borderId="431" xfId="4525" applyNumberFormat="1" applyFont="1" applyBorder="1" applyAlignment="1">
      <alignment horizontal="right" vertical="center" shrinkToFit="1"/>
    </xf>
    <xf numFmtId="198" fontId="75" fillId="0" borderId="431" xfId="4525" applyNumberFormat="1" applyFont="1" applyBorder="1" applyAlignment="1">
      <alignment horizontal="center" vertical="center" shrinkToFit="1"/>
    </xf>
    <xf numFmtId="179" fontId="0" fillId="6" borderId="0" xfId="0" applyNumberFormat="1" applyFill="1">
      <alignment vertical="center"/>
    </xf>
    <xf numFmtId="3" fontId="217" fillId="0" borderId="26" xfId="11383" applyNumberFormat="1" applyFont="1" applyBorder="1" applyAlignment="1">
      <alignment horizontal="center" vertical="center"/>
    </xf>
    <xf numFmtId="49" fontId="213" fillId="0" borderId="0" xfId="11383" applyNumberFormat="1"/>
    <xf numFmtId="3" fontId="216" fillId="0" borderId="8" xfId="11383" applyNumberFormat="1" applyFont="1" applyBorder="1" applyAlignment="1">
      <alignment horizontal="left" vertical="center"/>
    </xf>
    <xf numFmtId="3" fontId="217" fillId="0" borderId="64" xfId="11383" applyNumberFormat="1" applyFont="1" applyBorder="1" applyAlignment="1">
      <alignment vertical="center"/>
    </xf>
    <xf numFmtId="3" fontId="217" fillId="0" borderId="65" xfId="11383" applyNumberFormat="1" applyFont="1" applyBorder="1" applyAlignment="1">
      <alignment vertical="center"/>
    </xf>
    <xf numFmtId="3" fontId="217" fillId="0" borderId="46" xfId="11383" applyNumberFormat="1" applyFont="1" applyBorder="1" applyAlignment="1">
      <alignment vertical="center"/>
    </xf>
    <xf numFmtId="3" fontId="217" fillId="0" borderId="9" xfId="11383" applyNumberFormat="1" applyFont="1" applyBorder="1" applyAlignment="1">
      <alignment horizontal="right" vertical="center"/>
    </xf>
    <xf numFmtId="3" fontId="217" fillId="0" borderId="8" xfId="11383" applyNumberFormat="1" applyFont="1" applyBorder="1" applyAlignment="1">
      <alignment horizontal="left" vertical="center"/>
    </xf>
    <xf numFmtId="3" fontId="217" fillId="0" borderId="9" xfId="11383" applyNumberFormat="1" applyFont="1" applyBorder="1" applyAlignment="1">
      <alignment horizontal="left" vertical="center"/>
    </xf>
    <xf numFmtId="3" fontId="217" fillId="0" borderId="65" xfId="11383" applyNumberFormat="1" applyFont="1" applyBorder="1" applyAlignment="1">
      <alignment horizontal="center" vertical="center"/>
    </xf>
    <xf numFmtId="3" fontId="217" fillId="0" borderId="9" xfId="11383" applyNumberFormat="1" applyFont="1" applyBorder="1" applyAlignment="1">
      <alignment vertical="center"/>
    </xf>
    <xf numFmtId="49" fontId="217" fillId="0" borderId="25" xfId="11383" applyNumberFormat="1" applyFont="1" applyBorder="1" applyAlignment="1">
      <alignment horizontal="center" vertical="center"/>
    </xf>
    <xf numFmtId="354" fontId="217" fillId="0" borderId="64" xfId="11383" applyNumberFormat="1" applyFont="1" applyBorder="1" applyAlignment="1">
      <alignment vertical="center"/>
    </xf>
    <xf numFmtId="353" fontId="217" fillId="0" borderId="9" xfId="11383" applyNumberFormat="1" applyFont="1" applyBorder="1" applyAlignment="1">
      <alignment vertical="center"/>
    </xf>
    <xf numFmtId="353" fontId="217" fillId="0" borderId="64" xfId="11383" applyNumberFormat="1" applyFont="1" applyBorder="1" applyAlignment="1">
      <alignment vertical="center"/>
    </xf>
    <xf numFmtId="3" fontId="217" fillId="0" borderId="25" xfId="11383" applyNumberFormat="1" applyFont="1" applyBorder="1" applyAlignment="1">
      <alignment horizontal="center" vertical="center"/>
    </xf>
    <xf numFmtId="3" fontId="216" fillId="0" borderId="9" xfId="11383" applyNumberFormat="1" applyFont="1" applyBorder="1" applyAlignment="1">
      <alignment horizontal="center" vertical="center"/>
    </xf>
    <xf numFmtId="0" fontId="219" fillId="0" borderId="0" xfId="11383" applyFont="1"/>
    <xf numFmtId="3" fontId="217" fillId="0" borderId="20" xfId="0" applyNumberFormat="1" applyFont="1" applyBorder="1">
      <alignment vertical="center"/>
    </xf>
    <xf numFmtId="3" fontId="217" fillId="0" borderId="11" xfId="0" applyNumberFormat="1" applyFont="1" applyBorder="1">
      <alignment vertical="center"/>
    </xf>
    <xf numFmtId="3" fontId="217" fillId="0" borderId="5" xfId="0" applyNumberFormat="1" applyFont="1" applyBorder="1">
      <alignment vertical="center"/>
    </xf>
    <xf numFmtId="3" fontId="217" fillId="0" borderId="9" xfId="0" applyNumberFormat="1" applyFont="1" applyBorder="1">
      <alignment vertical="center"/>
    </xf>
    <xf numFmtId="3" fontId="217" fillId="0" borderId="64" xfId="0" applyNumberFormat="1" applyFont="1" applyBorder="1">
      <alignment vertical="center"/>
    </xf>
    <xf numFmtId="3" fontId="216" fillId="0" borderId="63" xfId="0" applyNumberFormat="1" applyFont="1" applyBorder="1" applyAlignment="1">
      <alignment horizontal="left" vertical="center"/>
    </xf>
    <xf numFmtId="3" fontId="216" fillId="0" borderId="11" xfId="0" applyNumberFormat="1" applyFont="1" applyBorder="1" applyAlignment="1">
      <alignment horizontal="left" vertical="center"/>
    </xf>
    <xf numFmtId="354" fontId="217" fillId="0" borderId="449" xfId="0" applyNumberFormat="1" applyFont="1" applyBorder="1">
      <alignment vertical="center"/>
    </xf>
    <xf numFmtId="354" fontId="217" fillId="0" borderId="449" xfId="0" applyNumberFormat="1" applyFont="1" applyBorder="1" applyAlignment="1"/>
    <xf numFmtId="354" fontId="217" fillId="0" borderId="429" xfId="0" applyNumberFormat="1" applyFont="1" applyBorder="1">
      <alignment vertical="center"/>
    </xf>
    <xf numFmtId="354" fontId="217" fillId="6" borderId="449" xfId="0" applyNumberFormat="1" applyFont="1" applyFill="1" applyBorder="1">
      <alignment vertical="center"/>
    </xf>
    <xf numFmtId="354" fontId="217" fillId="0" borderId="450" xfId="0" applyNumberFormat="1" applyFont="1" applyBorder="1">
      <alignment vertical="center"/>
    </xf>
    <xf numFmtId="354" fontId="217" fillId="0" borderId="427" xfId="0" applyNumberFormat="1" applyFont="1" applyBorder="1">
      <alignment vertical="center"/>
    </xf>
    <xf numFmtId="354" fontId="217" fillId="0" borderId="431" xfId="0" applyNumberFormat="1" applyFont="1" applyBorder="1">
      <alignment vertical="center"/>
    </xf>
    <xf numFmtId="354" fontId="217" fillId="6" borderId="431" xfId="0" applyNumberFormat="1" applyFont="1" applyFill="1" applyBorder="1">
      <alignment vertical="center"/>
    </xf>
    <xf numFmtId="0" fontId="0" fillId="0" borderId="431" xfId="0" applyBorder="1" applyAlignment="1"/>
    <xf numFmtId="354" fontId="217" fillId="0" borderId="433" xfId="0" applyNumberFormat="1" applyFont="1" applyBorder="1">
      <alignment vertical="center"/>
    </xf>
    <xf numFmtId="354" fontId="217" fillId="0" borderId="447" xfId="0" applyNumberFormat="1" applyFont="1" applyBorder="1" applyAlignment="1">
      <alignment horizontal="right" vertical="center"/>
    </xf>
    <xf numFmtId="354" fontId="217" fillId="0" borderId="448" xfId="0" applyNumberFormat="1" applyFont="1" applyBorder="1">
      <alignment vertical="center"/>
    </xf>
    <xf numFmtId="197" fontId="58" fillId="0" borderId="31" xfId="4525" applyNumberFormat="1" applyFont="1" applyBorder="1" applyAlignment="1">
      <alignment horizontal="center" vertical="center"/>
    </xf>
    <xf numFmtId="0" fontId="13" fillId="0" borderId="25" xfId="3426" applyNumberFormat="1" applyFont="1" applyFill="1" applyBorder="1" applyAlignment="1">
      <alignment horizontal="center" vertical="center" shrinkToFit="1"/>
    </xf>
    <xf numFmtId="177" fontId="75" fillId="0" borderId="9" xfId="4525" applyNumberFormat="1" applyFont="1" applyBorder="1" applyAlignment="1">
      <alignment horizontal="right" vertical="center" shrinkToFit="1"/>
    </xf>
    <xf numFmtId="198" fontId="75" fillId="0" borderId="25" xfId="4525" applyNumberFormat="1" applyFont="1" applyBorder="1" applyAlignment="1">
      <alignment horizontal="center" vertical="center" shrinkToFit="1"/>
    </xf>
    <xf numFmtId="41" fontId="140" fillId="6" borderId="425" xfId="3426" applyFont="1" applyFill="1" applyBorder="1" applyAlignment="1">
      <alignment horizontal="left" vertical="center" shrinkToFit="1"/>
    </xf>
    <xf numFmtId="41" fontId="140" fillId="6" borderId="425" xfId="3426" applyFont="1" applyFill="1" applyBorder="1" applyAlignment="1">
      <alignment vertical="center"/>
    </xf>
    <xf numFmtId="0" fontId="240" fillId="6" borderId="0" xfId="0" applyFont="1" applyFill="1">
      <alignment vertical="center"/>
    </xf>
    <xf numFmtId="0" fontId="56" fillId="0" borderId="44" xfId="0" applyFont="1" applyBorder="1" applyAlignment="1">
      <alignment vertical="center" wrapText="1"/>
    </xf>
    <xf numFmtId="0" fontId="56" fillId="0" borderId="45" xfId="0" applyFont="1" applyBorder="1" applyAlignment="1">
      <alignment vertical="center" wrapText="1"/>
    </xf>
    <xf numFmtId="0" fontId="56" fillId="0" borderId="45" xfId="0" applyFont="1" applyBorder="1" applyAlignment="1">
      <alignment horizontal="left" vertical="center"/>
    </xf>
    <xf numFmtId="0" fontId="56" fillId="0" borderId="45" xfId="0" applyFont="1" applyBorder="1" applyAlignment="1">
      <alignment horizontal="center" vertical="center"/>
    </xf>
    <xf numFmtId="0" fontId="56" fillId="0" borderId="80" xfId="0" applyFont="1" applyBorder="1" applyAlignment="1">
      <alignment horizontal="center" vertical="center"/>
    </xf>
    <xf numFmtId="3" fontId="216" fillId="0" borderId="436" xfId="11383" applyNumberFormat="1" applyFont="1" applyBorder="1" applyAlignment="1">
      <alignment horizontal="center" vertical="center"/>
    </xf>
    <xf numFmtId="0" fontId="56" fillId="0" borderId="30" xfId="0" applyFont="1" applyBorder="1" applyAlignment="1">
      <alignment horizontal="left" vertical="center" shrinkToFit="1"/>
    </xf>
    <xf numFmtId="0" fontId="56" fillId="0" borderId="31" xfId="0" applyFont="1" applyBorder="1" applyAlignment="1">
      <alignment horizontal="left" vertical="center" shrinkToFit="1"/>
    </xf>
    <xf numFmtId="0" fontId="56" fillId="0" borderId="31" xfId="0" applyFont="1" applyBorder="1" applyAlignment="1">
      <alignment horizontal="left" vertical="center"/>
    </xf>
    <xf numFmtId="0" fontId="56" fillId="0" borderId="31" xfId="0" applyFont="1" applyBorder="1" applyAlignment="1">
      <alignment horizontal="center" vertical="center"/>
    </xf>
    <xf numFmtId="0" fontId="56" fillId="0" borderId="32" xfId="0" applyFont="1" applyBorder="1" applyAlignment="1">
      <alignment horizontal="center" vertical="center"/>
    </xf>
    <xf numFmtId="3" fontId="216" fillId="0" borderId="438" xfId="11383" applyNumberFormat="1" applyFont="1" applyBorder="1" applyAlignment="1">
      <alignment horizontal="left" vertical="center"/>
    </xf>
    <xf numFmtId="3" fontId="216" fillId="0" borderId="23" xfId="11383" applyNumberFormat="1" applyFont="1" applyBorder="1" applyAlignment="1">
      <alignment horizontal="center" vertical="center"/>
    </xf>
    <xf numFmtId="3" fontId="216" fillId="0" borderId="444" xfId="11383" applyNumberFormat="1" applyFont="1" applyBorder="1" applyAlignment="1">
      <alignment horizontal="center" vertical="center"/>
    </xf>
    <xf numFmtId="3" fontId="216" fillId="0" borderId="445" xfId="11383" applyNumberFormat="1" applyFont="1" applyBorder="1" applyAlignment="1">
      <alignment horizontal="center" vertical="center"/>
    </xf>
    <xf numFmtId="3" fontId="216" fillId="0" borderId="446" xfId="11383" applyNumberFormat="1" applyFont="1" applyBorder="1" applyAlignment="1">
      <alignment horizontal="center" vertical="center"/>
    </xf>
    <xf numFmtId="3" fontId="216" fillId="0" borderId="440" xfId="11383" applyNumberFormat="1" applyFont="1" applyBorder="1" applyAlignment="1">
      <alignment horizontal="center" vertical="center"/>
    </xf>
    <xf numFmtId="3" fontId="216" fillId="0" borderId="9" xfId="11383" applyNumberFormat="1" applyFont="1" applyBorder="1" applyAlignment="1">
      <alignment horizontal="left" vertical="center"/>
    </xf>
    <xf numFmtId="0" fontId="217" fillId="0" borderId="25" xfId="11383" applyFont="1" applyBorder="1" applyAlignment="1">
      <alignment horizontal="center" vertical="center"/>
    </xf>
    <xf numFmtId="3" fontId="216" fillId="0" borderId="64" xfId="11383" applyNumberFormat="1" applyFont="1" applyBorder="1" applyAlignment="1">
      <alignment horizontal="center" vertical="center"/>
    </xf>
    <xf numFmtId="3" fontId="216" fillId="0" borderId="65" xfId="11383" applyNumberFormat="1" applyFont="1" applyBorder="1" applyAlignment="1">
      <alignment horizontal="center" vertical="center"/>
    </xf>
    <xf numFmtId="3" fontId="216" fillId="0" borderId="46" xfId="11383" applyNumberFormat="1" applyFont="1" applyBorder="1" applyAlignment="1">
      <alignment horizontal="center" vertical="center"/>
    </xf>
    <xf numFmtId="3" fontId="216" fillId="0" borderId="25" xfId="11383" applyNumberFormat="1" applyFont="1" applyBorder="1" applyAlignment="1">
      <alignment horizontal="center" vertical="center"/>
    </xf>
    <xf numFmtId="3" fontId="217" fillId="0" borderId="28" xfId="11383" applyNumberFormat="1" applyFont="1" applyBorder="1" applyAlignment="1">
      <alignment horizontal="left" vertical="center"/>
    </xf>
    <xf numFmtId="3" fontId="217" fillId="0" borderId="26" xfId="11383" applyNumberFormat="1" applyFont="1" applyBorder="1" applyAlignment="1">
      <alignment horizontal="left" vertical="center"/>
    </xf>
    <xf numFmtId="353" fontId="217" fillId="0" borderId="91" xfId="11383" applyNumberFormat="1" applyFont="1" applyBorder="1" applyAlignment="1">
      <alignment vertical="center"/>
    </xf>
    <xf numFmtId="3" fontId="217" fillId="0" borderId="89" xfId="11383" applyNumberFormat="1" applyFont="1" applyBorder="1" applyAlignment="1">
      <alignment vertical="center"/>
    </xf>
    <xf numFmtId="3" fontId="217" fillId="0" borderId="89" xfId="11383" applyNumberFormat="1" applyFont="1" applyBorder="1" applyAlignment="1">
      <alignment horizontal="center" vertical="center"/>
    </xf>
    <xf numFmtId="3" fontId="217" fillId="0" borderId="97" xfId="11383" applyNumberFormat="1" applyFont="1" applyBorder="1" applyAlignment="1">
      <alignment vertical="center"/>
    </xf>
    <xf numFmtId="3" fontId="217" fillId="0" borderId="26" xfId="11383" applyNumberFormat="1" applyFont="1" applyBorder="1" applyAlignment="1">
      <alignment vertical="center"/>
    </xf>
    <xf numFmtId="353" fontId="217" fillId="0" borderId="26" xfId="11383" applyNumberFormat="1" applyFont="1" applyBorder="1" applyAlignment="1">
      <alignment vertical="center"/>
    </xf>
    <xf numFmtId="3" fontId="217" fillId="0" borderId="27" xfId="11383" applyNumberFormat="1" applyFont="1" applyBorder="1" applyAlignment="1">
      <alignment horizontal="center" vertical="center"/>
    </xf>
    <xf numFmtId="3" fontId="217" fillId="0" borderId="91" xfId="11383" applyNumberFormat="1" applyFont="1" applyBorder="1" applyAlignment="1">
      <alignment vertical="center"/>
    </xf>
    <xf numFmtId="49" fontId="217" fillId="0" borderId="27" xfId="11383" applyNumberFormat="1" applyFont="1" applyBorder="1" applyAlignment="1">
      <alignment horizontal="center" vertical="center"/>
    </xf>
    <xf numFmtId="0" fontId="56" fillId="6" borderId="25" xfId="0" applyFont="1" applyFill="1" applyBorder="1" applyAlignment="1">
      <alignment horizontal="center" vertical="center"/>
    </xf>
    <xf numFmtId="177" fontId="13" fillId="6" borderId="25" xfId="0" applyNumberFormat="1" applyFont="1" applyFill="1" applyBorder="1" applyAlignment="1">
      <alignment horizontal="left" vertical="center" shrinkToFit="1"/>
    </xf>
    <xf numFmtId="177" fontId="13" fillId="6" borderId="8" xfId="0" applyNumberFormat="1" applyFont="1" applyFill="1" applyBorder="1" applyAlignment="1">
      <alignment horizontal="center" vertical="center" shrinkToFit="1"/>
    </xf>
    <xf numFmtId="264" fontId="13" fillId="6" borderId="9" xfId="0" applyNumberFormat="1" applyFont="1" applyFill="1" applyBorder="1" applyAlignment="1">
      <alignment horizontal="center" vertical="center" shrinkToFit="1"/>
    </xf>
    <xf numFmtId="269" fontId="74" fillId="6" borderId="9" xfId="0" applyNumberFormat="1" applyFont="1" applyFill="1" applyBorder="1" applyAlignment="1">
      <alignment horizontal="center" vertical="center"/>
    </xf>
    <xf numFmtId="242" fontId="94" fillId="0" borderId="0" xfId="11400" applyNumberFormat="1">
      <alignment vertical="center"/>
    </xf>
    <xf numFmtId="177" fontId="74" fillId="6" borderId="9" xfId="0" applyNumberFormat="1" applyFont="1" applyFill="1" applyBorder="1" applyAlignment="1">
      <alignment horizontal="center" vertical="center"/>
    </xf>
    <xf numFmtId="369" fontId="74" fillId="6" borderId="9" xfId="0" applyNumberFormat="1" applyFont="1" applyFill="1" applyBorder="1" applyAlignment="1">
      <alignment horizontal="center" vertical="center"/>
    </xf>
    <xf numFmtId="0" fontId="150" fillId="0" borderId="0" xfId="37539"/>
    <xf numFmtId="376" fontId="150" fillId="0" borderId="425" xfId="37539" applyNumberFormat="1" applyBorder="1" applyAlignment="1">
      <alignment horizontal="center" vertical="center"/>
    </xf>
    <xf numFmtId="376" fontId="150" fillId="0" borderId="47" xfId="37539" applyNumberFormat="1" applyBorder="1"/>
    <xf numFmtId="377" fontId="150" fillId="0" borderId="47" xfId="37539" applyNumberFormat="1" applyBorder="1"/>
    <xf numFmtId="377" fontId="150" fillId="0" borderId="452" xfId="37539" applyNumberFormat="1" applyBorder="1"/>
    <xf numFmtId="376" fontId="150" fillId="0" borderId="453" xfId="37539" applyNumberFormat="1" applyBorder="1"/>
    <xf numFmtId="377" fontId="150" fillId="0" borderId="453" xfId="37539" applyNumberFormat="1" applyBorder="1"/>
    <xf numFmtId="43" fontId="13" fillId="0" borderId="28" xfId="4524" applyNumberFormat="1" applyFont="1" applyBorder="1" applyAlignment="1">
      <alignment horizontal="left" vertical="center" shrinkToFit="1"/>
    </xf>
    <xf numFmtId="43" fontId="13" fillId="0" borderId="26" xfId="4524" applyNumberFormat="1" applyFont="1" applyBorder="1" applyAlignment="1">
      <alignment horizontal="center" vertical="center" shrinkToFit="1"/>
    </xf>
    <xf numFmtId="43" fontId="13" fillId="0" borderId="26" xfId="4524" applyNumberFormat="1" applyFont="1" applyBorder="1" applyAlignment="1">
      <alignment horizontal="center" vertical="center"/>
    </xf>
    <xf numFmtId="177" fontId="13" fillId="0" borderId="26" xfId="4525" applyNumberFormat="1" applyFont="1" applyBorder="1" applyAlignment="1">
      <alignment vertical="center" shrinkToFit="1"/>
    </xf>
    <xf numFmtId="177" fontId="13" fillId="0" borderId="26" xfId="4525" applyNumberFormat="1" applyFont="1" applyBorder="1" applyAlignment="1">
      <alignment horizontal="right" vertical="center" shrinkToFit="1"/>
    </xf>
    <xf numFmtId="198" fontId="13" fillId="0" borderId="27" xfId="4525" applyNumberFormat="1" applyFont="1" applyBorder="1" applyAlignment="1">
      <alignment horizontal="center" vertical="center" shrinkToFit="1"/>
    </xf>
    <xf numFmtId="43" fontId="13" fillId="0" borderId="438" xfId="4524" applyNumberFormat="1" applyFont="1" applyBorder="1" applyAlignment="1">
      <alignment horizontal="left" vertical="center" shrinkToFit="1"/>
    </xf>
    <xf numFmtId="43" fontId="13" fillId="0" borderId="23" xfId="4524" applyNumberFormat="1" applyFont="1" applyBorder="1" applyAlignment="1">
      <alignment horizontal="center" vertical="center" shrinkToFit="1"/>
    </xf>
    <xf numFmtId="177" fontId="13" fillId="6" borderId="9" xfId="0" applyNumberFormat="1" applyFont="1" applyFill="1" applyBorder="1" applyAlignment="1">
      <alignment horizontal="center" vertical="center" shrinkToFit="1"/>
    </xf>
    <xf numFmtId="177" fontId="13" fillId="0" borderId="9" xfId="0" applyNumberFormat="1" applyFont="1" applyBorder="1" applyAlignment="1">
      <alignment horizontal="center" vertical="center" shrinkToFit="1"/>
    </xf>
    <xf numFmtId="197" fontId="13" fillId="0" borderId="9" xfId="4525" applyNumberFormat="1" applyFont="1" applyBorder="1" applyAlignment="1">
      <alignment horizontal="center" vertical="center" shrinkToFit="1"/>
    </xf>
    <xf numFmtId="0" fontId="75" fillId="0" borderId="31" xfId="0" applyFont="1" applyBorder="1" applyAlignment="1">
      <alignment horizontal="center" vertical="center" shrinkToFit="1"/>
    </xf>
    <xf numFmtId="0" fontId="0" fillId="33" borderId="0" xfId="0" applyFill="1">
      <alignment vertical="center"/>
    </xf>
    <xf numFmtId="0" fontId="0" fillId="33" borderId="65" xfId="0" applyFill="1" applyBorder="1" applyAlignment="1">
      <alignment horizontal="center" vertical="center"/>
    </xf>
    <xf numFmtId="319" fontId="0" fillId="0" borderId="0" xfId="0" applyNumberFormat="1" applyAlignment="1">
      <alignment horizontal="center" vertical="center"/>
    </xf>
    <xf numFmtId="0" fontId="56" fillId="6" borderId="9" xfId="0" applyFont="1" applyFill="1" applyBorder="1" applyAlignment="1">
      <alignment horizontal="center" vertical="center" shrinkToFit="1"/>
    </xf>
    <xf numFmtId="0" fontId="56" fillId="6" borderId="25" xfId="0" applyFont="1" applyFill="1" applyBorder="1" applyAlignment="1">
      <alignment horizontal="center" vertical="center" shrinkToFit="1"/>
    </xf>
    <xf numFmtId="0" fontId="58" fillId="0" borderId="9" xfId="0" applyFont="1" applyBorder="1" applyAlignment="1">
      <alignment horizontal="left" vertical="center" shrinkToFit="1"/>
    </xf>
    <xf numFmtId="0" fontId="0" fillId="33" borderId="0" xfId="0" applyFill="1" applyAlignment="1">
      <alignment horizontal="right" vertical="center"/>
    </xf>
    <xf numFmtId="0" fontId="56" fillId="33" borderId="8" xfId="0" applyFont="1" applyFill="1" applyBorder="1" applyAlignment="1">
      <alignment horizontal="left" vertical="center" shrinkToFit="1"/>
    </xf>
    <xf numFmtId="0" fontId="56" fillId="33" borderId="9" xfId="0" applyFont="1" applyFill="1" applyBorder="1" applyAlignment="1">
      <alignment horizontal="left" vertical="center" shrinkToFit="1"/>
    </xf>
    <xf numFmtId="0" fontId="56" fillId="33" borderId="9" xfId="0" applyFont="1" applyFill="1" applyBorder="1" applyAlignment="1">
      <alignment horizontal="center" vertical="center" shrinkToFit="1"/>
    </xf>
    <xf numFmtId="41" fontId="13" fillId="33" borderId="9" xfId="3426" applyFont="1" applyFill="1" applyBorder="1" applyAlignment="1">
      <alignment horizontal="center" vertical="center" shrinkToFit="1"/>
    </xf>
    <xf numFmtId="0" fontId="56" fillId="33" borderId="25" xfId="0" applyFont="1" applyFill="1" applyBorder="1" applyAlignment="1">
      <alignment horizontal="center" vertical="center" shrinkToFit="1"/>
    </xf>
    <xf numFmtId="43" fontId="75" fillId="0" borderId="8" xfId="4524" applyNumberFormat="1" applyFont="1" applyBorder="1" applyAlignment="1">
      <alignment horizontal="center" vertical="center" shrinkToFit="1"/>
    </xf>
    <xf numFmtId="43" fontId="75" fillId="0" borderId="9" xfId="4524" applyNumberFormat="1" applyFont="1" applyBorder="1" applyAlignment="1">
      <alignment horizontal="center" vertical="center" shrinkToFit="1"/>
    </xf>
    <xf numFmtId="376" fontId="150" fillId="0" borderId="426" xfId="37539" applyNumberFormat="1" applyBorder="1"/>
    <xf numFmtId="0" fontId="150" fillId="0" borderId="47" xfId="37539" applyBorder="1"/>
    <xf numFmtId="43" fontId="13" fillId="0" borderId="9" xfId="4524" applyNumberFormat="1" applyFont="1" applyBorder="1" applyAlignment="1">
      <alignment horizontal="center" vertical="center" shrinkToFit="1"/>
    </xf>
    <xf numFmtId="0" fontId="0" fillId="0" borderId="431" xfId="0" applyBorder="1" applyAlignment="1">
      <alignment horizontal="center" vertical="center"/>
    </xf>
    <xf numFmtId="41" fontId="56" fillId="0" borderId="9" xfId="0" applyNumberFormat="1" applyFont="1" applyBorder="1" applyAlignment="1">
      <alignment horizontal="center" vertical="center" shrinkToFit="1"/>
    </xf>
    <xf numFmtId="41" fontId="56" fillId="33" borderId="9" xfId="0" applyNumberFormat="1" applyFont="1" applyFill="1" applyBorder="1" applyAlignment="1">
      <alignment horizontal="center" vertical="center" shrinkToFit="1"/>
    </xf>
    <xf numFmtId="0" fontId="0" fillId="6" borderId="16" xfId="0" applyFill="1" applyBorder="1" applyAlignment="1">
      <alignment horizontal="right" vertical="center"/>
    </xf>
    <xf numFmtId="0" fontId="58" fillId="0" borderId="434" xfId="4536" applyFont="1" applyBorder="1" applyAlignment="1">
      <alignment vertical="center" shrinkToFit="1"/>
    </xf>
    <xf numFmtId="272" fontId="58" fillId="0" borderId="424" xfId="4537" applyNumberFormat="1" applyFont="1" applyBorder="1" applyAlignment="1">
      <alignment horizontal="center" vertical="center" wrapText="1" shrinkToFit="1"/>
    </xf>
    <xf numFmtId="185" fontId="58" fillId="0" borderId="424" xfId="4537" applyFont="1" applyBorder="1" applyAlignment="1">
      <alignment horizontal="centerContinuous" vertical="center"/>
    </xf>
    <xf numFmtId="273" fontId="58" fillId="0" borderId="424" xfId="4537" applyNumberFormat="1" applyFont="1" applyBorder="1" applyAlignment="1">
      <alignment horizontal="center" vertical="center"/>
    </xf>
    <xf numFmtId="185" fontId="58" fillId="0" borderId="424" xfId="4537" applyFont="1" applyBorder="1" applyAlignment="1">
      <alignment horizontal="center" vertical="center"/>
    </xf>
    <xf numFmtId="0" fontId="58" fillId="0" borderId="437" xfId="4536" applyFont="1" applyBorder="1" applyAlignment="1">
      <alignment horizontal="center" vertical="center" wrapText="1" shrinkToFit="1"/>
    </xf>
    <xf numFmtId="0" fontId="56" fillId="0" borderId="427" xfId="4536" applyFont="1" applyBorder="1" applyAlignment="1">
      <alignment horizontal="center" vertical="center"/>
    </xf>
    <xf numFmtId="0" fontId="56" fillId="0" borderId="431" xfId="4536" applyFont="1" applyBorder="1" applyAlignment="1">
      <alignment horizontal="center" vertical="center"/>
    </xf>
    <xf numFmtId="185" fontId="56" fillId="0" borderId="431" xfId="4537" applyFont="1" applyBorder="1" applyAlignment="1">
      <alignment horizontal="center" vertical="center"/>
    </xf>
    <xf numFmtId="185" fontId="56" fillId="0" borderId="428" xfId="4537" applyFont="1" applyBorder="1" applyAlignment="1">
      <alignment horizontal="center" vertical="center"/>
    </xf>
    <xf numFmtId="272" fontId="56" fillId="0" borderId="434" xfId="4537" applyNumberFormat="1" applyFont="1" applyBorder="1" applyAlignment="1">
      <alignment horizontal="center" vertical="center" wrapText="1" shrinkToFit="1"/>
    </xf>
    <xf numFmtId="272" fontId="56" fillId="0" borderId="424" xfId="4537" applyNumberFormat="1" applyFont="1" applyBorder="1" applyAlignment="1">
      <alignment horizontal="center" vertical="center" wrapText="1" shrinkToFit="1"/>
    </xf>
    <xf numFmtId="185" fontId="56" fillId="0" borderId="424" xfId="4537" applyFont="1" applyBorder="1" applyAlignment="1">
      <alignment horizontal="center" vertical="center"/>
    </xf>
    <xf numFmtId="273" fontId="56" fillId="0" borderId="424" xfId="4537" applyNumberFormat="1" applyFont="1" applyBorder="1" applyAlignment="1">
      <alignment horizontal="center" vertical="center"/>
    </xf>
    <xf numFmtId="185" fontId="56" fillId="0" borderId="434" xfId="4537" applyFont="1" applyBorder="1" applyAlignment="1">
      <alignment horizontal="right" vertical="center"/>
    </xf>
    <xf numFmtId="0" fontId="56" fillId="0" borderId="437" xfId="4536" applyFont="1" applyBorder="1" applyAlignment="1">
      <alignment horizontal="center" vertical="center" wrapText="1" shrinkToFit="1"/>
    </xf>
    <xf numFmtId="272" fontId="56" fillId="0" borderId="427" xfId="4537" applyNumberFormat="1" applyFont="1" applyBorder="1" applyAlignment="1">
      <alignment horizontal="left" vertical="center"/>
    </xf>
    <xf numFmtId="185" fontId="56" fillId="0" borderId="431" xfId="4537" applyFont="1" applyBorder="1" applyAlignment="1">
      <alignment vertical="center"/>
    </xf>
    <xf numFmtId="272" fontId="56" fillId="0" borderId="431" xfId="4537" applyNumberFormat="1" applyFont="1" applyBorder="1" applyAlignment="1">
      <alignment horizontal="left" vertical="center"/>
    </xf>
    <xf numFmtId="273" fontId="56" fillId="0" borderId="431" xfId="4537" applyNumberFormat="1" applyFont="1" applyBorder="1" applyAlignment="1">
      <alignment horizontal="center" vertical="center"/>
    </xf>
    <xf numFmtId="185" fontId="56" fillId="0" borderId="427" xfId="4537" applyFont="1" applyBorder="1" applyAlignment="1">
      <alignment horizontal="center" vertical="center"/>
    </xf>
    <xf numFmtId="0" fontId="56" fillId="0" borderId="428" xfId="4536" applyFont="1" applyBorder="1" applyAlignment="1">
      <alignment horizontal="center" vertical="center" wrapText="1" shrinkToFit="1"/>
    </xf>
    <xf numFmtId="274" fontId="56" fillId="0" borderId="429" xfId="4537" applyNumberFormat="1" applyFont="1" applyBorder="1" applyAlignment="1">
      <alignment horizontal="right" vertical="center"/>
    </xf>
    <xf numFmtId="185" fontId="56" fillId="0" borderId="430" xfId="4537" applyFont="1" applyBorder="1" applyAlignment="1">
      <alignment horizontal="center" vertical="center"/>
    </xf>
    <xf numFmtId="0" fontId="56" fillId="0" borderId="427" xfId="4538" applyFont="1" applyBorder="1" applyAlignment="1">
      <alignment horizontal="center" vertical="center"/>
    </xf>
    <xf numFmtId="0" fontId="56" fillId="0" borderId="431" xfId="4538" applyFont="1" applyBorder="1" applyAlignment="1">
      <alignment horizontal="center" vertical="center"/>
    </xf>
    <xf numFmtId="0" fontId="56" fillId="0" borderId="428" xfId="4538" applyFont="1" applyBorder="1" applyAlignment="1">
      <alignment horizontal="center" vertical="center"/>
    </xf>
    <xf numFmtId="0" fontId="56" fillId="0" borderId="428" xfId="4536" applyFont="1" applyBorder="1" applyAlignment="1">
      <alignment horizontal="center" vertical="center"/>
    </xf>
    <xf numFmtId="272" fontId="56" fillId="0" borderId="429" xfId="4537" applyNumberFormat="1" applyFont="1" applyBorder="1" applyAlignment="1">
      <alignment horizontal="center" vertical="center"/>
    </xf>
    <xf numFmtId="273" fontId="56" fillId="0" borderId="449" xfId="4537" applyNumberFormat="1" applyFont="1" applyBorder="1" applyAlignment="1">
      <alignment horizontal="center" vertical="center"/>
    </xf>
    <xf numFmtId="273" fontId="56" fillId="0" borderId="449" xfId="4537" applyNumberFormat="1" applyFont="1" applyBorder="1" applyAlignment="1">
      <alignment vertical="center"/>
    </xf>
    <xf numFmtId="0" fontId="56" fillId="0" borderId="449" xfId="4536" applyFont="1" applyBorder="1" applyAlignment="1">
      <alignment horizontal="left"/>
    </xf>
    <xf numFmtId="0" fontId="56" fillId="0" borderId="430" xfId="4536" applyFont="1" applyBorder="1" applyAlignment="1">
      <alignment horizontal="right"/>
    </xf>
    <xf numFmtId="273" fontId="56" fillId="0" borderId="431" xfId="4537" applyNumberFormat="1" applyFont="1" applyBorder="1" applyAlignment="1">
      <alignment horizontal="left" vertical="center"/>
    </xf>
    <xf numFmtId="273" fontId="56" fillId="0" borderId="431" xfId="4536" applyNumberFormat="1" applyFont="1" applyBorder="1" applyAlignment="1">
      <alignment vertical="center"/>
    </xf>
    <xf numFmtId="273" fontId="56" fillId="0" borderId="431" xfId="4536" applyNumberFormat="1" applyFont="1" applyBorder="1" applyAlignment="1">
      <alignment horizontal="center" vertical="center"/>
    </xf>
    <xf numFmtId="0" fontId="56" fillId="0" borderId="431" xfId="4536" applyFont="1" applyBorder="1" applyAlignment="1">
      <alignment vertical="center"/>
    </xf>
    <xf numFmtId="0" fontId="56" fillId="0" borderId="427" xfId="4536" applyFont="1" applyBorder="1" applyAlignment="1">
      <alignment vertical="center"/>
    </xf>
    <xf numFmtId="0" fontId="56" fillId="0" borderId="429" xfId="4536" applyFont="1" applyBorder="1"/>
    <xf numFmtId="273" fontId="56" fillId="0" borderId="449" xfId="4536" applyNumberFormat="1" applyFont="1" applyBorder="1"/>
    <xf numFmtId="273" fontId="56" fillId="0" borderId="449" xfId="4536" applyNumberFormat="1" applyFont="1" applyBorder="1" applyAlignment="1">
      <alignment horizontal="center" vertical="center"/>
    </xf>
    <xf numFmtId="273" fontId="56" fillId="0" borderId="449" xfId="4537" applyNumberFormat="1" applyFont="1" applyBorder="1" applyAlignment="1">
      <alignment horizontal="left" vertical="center"/>
    </xf>
    <xf numFmtId="0" fontId="56" fillId="0" borderId="449" xfId="4536" applyFont="1" applyBorder="1" applyAlignment="1">
      <alignment horizontal="center"/>
    </xf>
    <xf numFmtId="274" fontId="56" fillId="0" borderId="449" xfId="4537" applyNumberFormat="1" applyFont="1" applyBorder="1" applyAlignment="1">
      <alignment horizontal="center" vertical="center"/>
    </xf>
    <xf numFmtId="273" fontId="56" fillId="0" borderId="429" xfId="4537" applyNumberFormat="1" applyFont="1" applyBorder="1" applyAlignment="1">
      <alignment horizontal="left" vertical="center"/>
    </xf>
    <xf numFmtId="0" fontId="56" fillId="0" borderId="431" xfId="4536" applyFont="1" applyBorder="1" applyAlignment="1">
      <alignment horizontal="left"/>
    </xf>
    <xf numFmtId="0" fontId="56" fillId="0" borderId="431" xfId="4536" applyFont="1" applyBorder="1"/>
    <xf numFmtId="272" fontId="56" fillId="0" borderId="429" xfId="4537" applyNumberFormat="1" applyFont="1" applyBorder="1" applyAlignment="1">
      <alignment horizontal="center" vertical="center" wrapText="1" shrinkToFit="1"/>
    </xf>
    <xf numFmtId="273" fontId="56" fillId="0" borderId="449" xfId="4537" applyNumberFormat="1" applyFont="1" applyBorder="1" applyAlignment="1">
      <alignment horizontal="center" vertical="center" wrapText="1" shrinkToFit="1"/>
    </xf>
    <xf numFmtId="273" fontId="56" fillId="0" borderId="449" xfId="4537" applyNumberFormat="1" applyFont="1" applyBorder="1" applyAlignment="1">
      <alignment horizontal="left" vertical="center" wrapText="1" shrinkToFit="1"/>
    </xf>
    <xf numFmtId="185" fontId="56" fillId="0" borderId="449" xfId="4537" applyFont="1" applyBorder="1" applyAlignment="1">
      <alignment horizontal="center" vertical="center"/>
    </xf>
    <xf numFmtId="0" fontId="56" fillId="0" borderId="427" xfId="4537" applyNumberFormat="1" applyFont="1" applyBorder="1" applyAlignment="1">
      <alignment horizontal="left" vertical="center"/>
    </xf>
    <xf numFmtId="273" fontId="56" fillId="0" borderId="431" xfId="4536" applyNumberFormat="1" applyFont="1" applyBorder="1"/>
    <xf numFmtId="0" fontId="56" fillId="0" borderId="428" xfId="4536" applyFont="1" applyBorder="1"/>
    <xf numFmtId="41" fontId="56" fillId="0" borderId="429" xfId="3426" applyFont="1" applyFill="1" applyBorder="1" applyAlignment="1">
      <alignment horizontal="right" vertical="center"/>
    </xf>
    <xf numFmtId="41" fontId="56" fillId="0" borderId="449" xfId="3426" applyFont="1" applyFill="1" applyBorder="1" applyAlignment="1">
      <alignment horizontal="center" vertical="center"/>
    </xf>
    <xf numFmtId="206" fontId="56" fillId="0" borderId="449" xfId="3426" applyNumberFormat="1" applyFont="1" applyFill="1" applyBorder="1" applyAlignment="1">
      <alignment vertical="center"/>
    </xf>
    <xf numFmtId="41" fontId="56" fillId="0" borderId="449" xfId="3426" applyFont="1" applyFill="1" applyBorder="1" applyAlignment="1">
      <alignment horizontal="left" vertical="center"/>
    </xf>
    <xf numFmtId="273" fontId="56" fillId="0" borderId="449" xfId="4537" applyNumberFormat="1" applyFont="1" applyFill="1" applyBorder="1" applyAlignment="1">
      <alignment horizontal="left" vertical="center"/>
    </xf>
    <xf numFmtId="272" fontId="56" fillId="0" borderId="449" xfId="4537" applyNumberFormat="1" applyFont="1" applyFill="1" applyBorder="1" applyAlignment="1">
      <alignment horizontal="right" vertical="center"/>
    </xf>
    <xf numFmtId="0" fontId="56" fillId="0" borderId="449" xfId="4536" applyFont="1" applyBorder="1" applyAlignment="1">
      <alignment horizontal="center" vertical="center"/>
    </xf>
    <xf numFmtId="274" fontId="56" fillId="0" borderId="429" xfId="4537" applyNumberFormat="1" applyFont="1" applyBorder="1" applyAlignment="1">
      <alignment horizontal="center" vertical="center"/>
    </xf>
    <xf numFmtId="272" fontId="56" fillId="0" borderId="427" xfId="4537" applyNumberFormat="1" applyFont="1" applyBorder="1" applyAlignment="1">
      <alignment vertical="center"/>
    </xf>
    <xf numFmtId="272" fontId="56" fillId="0" borderId="431" xfId="4537" applyNumberFormat="1" applyFont="1" applyBorder="1" applyAlignment="1">
      <alignment vertical="center"/>
    </xf>
    <xf numFmtId="185" fontId="56" fillId="0" borderId="431" xfId="4537" applyFont="1" applyBorder="1" applyAlignment="1">
      <alignment horizontal="left" vertical="center"/>
    </xf>
    <xf numFmtId="274" fontId="56" fillId="0" borderId="427" xfId="4536" applyNumberFormat="1" applyFont="1" applyBorder="1" applyAlignment="1">
      <alignment vertical="center"/>
    </xf>
    <xf numFmtId="272" fontId="56" fillId="0" borderId="429" xfId="4537" applyNumberFormat="1" applyFont="1" applyBorder="1" applyAlignment="1">
      <alignment horizontal="right" vertical="center"/>
    </xf>
    <xf numFmtId="272" fontId="56" fillId="0" borderId="449" xfId="4537" applyNumberFormat="1" applyFont="1" applyBorder="1" applyAlignment="1">
      <alignment horizontal="right" vertical="center"/>
    </xf>
    <xf numFmtId="272" fontId="56" fillId="0" borderId="449" xfId="4537" applyNumberFormat="1" applyFont="1" applyBorder="1" applyAlignment="1">
      <alignment horizontal="center" vertical="center"/>
    </xf>
    <xf numFmtId="274" fontId="56" fillId="0" borderId="449" xfId="4537" applyNumberFormat="1" applyFont="1" applyBorder="1" applyAlignment="1">
      <alignment horizontal="right" vertical="center"/>
    </xf>
    <xf numFmtId="185" fontId="56" fillId="0" borderId="431" xfId="4537" applyFont="1" applyBorder="1" applyAlignment="1">
      <alignment horizontal="centerContinuous" vertical="center"/>
    </xf>
    <xf numFmtId="273" fontId="56" fillId="0" borderId="431" xfId="4536" applyNumberFormat="1" applyFont="1" applyBorder="1" applyAlignment="1">
      <alignment horizontal="centerContinuous" vertical="center"/>
    </xf>
    <xf numFmtId="0" fontId="56" fillId="0" borderId="429" xfId="4536" applyFont="1" applyBorder="1" applyAlignment="1">
      <alignment horizontal="left"/>
    </xf>
    <xf numFmtId="0" fontId="56" fillId="0" borderId="449" xfId="4536" applyFont="1" applyBorder="1"/>
    <xf numFmtId="273" fontId="56" fillId="0" borderId="429" xfId="4537" applyNumberFormat="1" applyFont="1" applyBorder="1" applyAlignment="1">
      <alignment horizontal="center" vertical="center"/>
    </xf>
    <xf numFmtId="0" fontId="56" fillId="0" borderId="430" xfId="4536" applyFont="1" applyBorder="1" applyAlignment="1">
      <alignment horizontal="center" vertical="center"/>
    </xf>
    <xf numFmtId="0" fontId="56" fillId="0" borderId="427" xfId="4538" applyFont="1" applyBorder="1"/>
    <xf numFmtId="0" fontId="56" fillId="0" borderId="428" xfId="4538" applyFont="1" applyBorder="1" applyAlignment="1">
      <alignment horizontal="center"/>
    </xf>
    <xf numFmtId="272" fontId="56" fillId="0" borderId="429" xfId="4537" applyNumberFormat="1" applyFont="1" applyBorder="1" applyAlignment="1">
      <alignment horizontal="left" vertical="center"/>
    </xf>
    <xf numFmtId="272" fontId="56" fillId="0" borderId="449" xfId="4537" applyNumberFormat="1" applyFont="1" applyBorder="1" applyAlignment="1">
      <alignment horizontal="left" vertical="center"/>
    </xf>
    <xf numFmtId="185" fontId="56" fillId="0" borderId="449" xfId="4537" applyFont="1" applyBorder="1" applyAlignment="1">
      <alignment horizontal="centerContinuous" vertical="center"/>
    </xf>
    <xf numFmtId="273" fontId="56" fillId="0" borderId="449" xfId="4536" applyNumberFormat="1" applyFont="1" applyBorder="1" applyAlignment="1">
      <alignment horizontal="centerContinuous" vertical="center"/>
    </xf>
    <xf numFmtId="185" fontId="56" fillId="0" borderId="429" xfId="4537" applyFont="1" applyBorder="1" applyAlignment="1">
      <alignment horizontal="center" vertical="center"/>
    </xf>
    <xf numFmtId="272" fontId="56" fillId="0" borderId="449" xfId="4537" applyNumberFormat="1" applyFont="1" applyBorder="1" applyAlignment="1">
      <alignment horizontal="center" vertical="center" wrapText="1" shrinkToFit="1"/>
    </xf>
    <xf numFmtId="0" fontId="56" fillId="0" borderId="430" xfId="4536" applyFont="1" applyBorder="1" applyAlignment="1">
      <alignment horizontal="center" vertical="center" wrapText="1" shrinkToFit="1"/>
    </xf>
    <xf numFmtId="0" fontId="81" fillId="0" borderId="431" xfId="4536" applyFont="1" applyBorder="1" applyAlignment="1">
      <alignment horizontal="left"/>
    </xf>
    <xf numFmtId="0" fontId="81" fillId="0" borderId="431" xfId="4536" applyFont="1" applyBorder="1"/>
    <xf numFmtId="273" fontId="81" fillId="0" borderId="431" xfId="0" applyNumberFormat="1" applyFont="1" applyBorder="1" applyAlignment="1">
      <alignment horizontal="center" vertical="center"/>
    </xf>
    <xf numFmtId="0" fontId="81" fillId="0" borderId="427" xfId="0" applyFont="1" applyBorder="1" applyAlignment="1">
      <alignment horizontal="center" vertical="center"/>
    </xf>
    <xf numFmtId="0" fontId="81" fillId="0" borderId="428" xfId="4536" applyFont="1" applyBorder="1" applyAlignment="1">
      <alignment horizontal="left" vertical="center" wrapText="1" shrinkToFit="1"/>
    </xf>
    <xf numFmtId="0" fontId="81" fillId="0" borderId="429" xfId="0" applyFont="1" applyBorder="1" applyAlignment="1">
      <alignment horizontal="center" vertical="center" wrapText="1" shrinkToFit="1"/>
    </xf>
    <xf numFmtId="0" fontId="81" fillId="0" borderId="449" xfId="0" applyFont="1" applyBorder="1" applyAlignment="1">
      <alignment horizontal="center" vertical="center" wrapText="1" shrinkToFit="1"/>
    </xf>
    <xf numFmtId="273" fontId="81" fillId="0" borderId="449" xfId="0" applyNumberFormat="1" applyFont="1" applyBorder="1" applyAlignment="1">
      <alignment horizontal="center" vertical="center"/>
    </xf>
    <xf numFmtId="0" fontId="81" fillId="0" borderId="449" xfId="0" applyFont="1" applyBorder="1" applyAlignment="1">
      <alignment horizontal="center" vertical="center"/>
    </xf>
    <xf numFmtId="272" fontId="56" fillId="6" borderId="427" xfId="4537" applyNumberFormat="1" applyFont="1" applyFill="1" applyBorder="1" applyAlignment="1">
      <alignment horizontal="left" vertical="center"/>
    </xf>
    <xf numFmtId="272" fontId="56" fillId="0" borderId="431" xfId="4537" applyNumberFormat="1" applyFont="1" applyBorder="1" applyAlignment="1">
      <alignment horizontal="center" vertical="center" wrapText="1" shrinkToFit="1"/>
    </xf>
    <xf numFmtId="0" fontId="56" fillId="0" borderId="429" xfId="4536" applyFont="1" applyBorder="1" applyAlignment="1">
      <alignment horizontal="center" vertical="center"/>
    </xf>
    <xf numFmtId="0" fontId="0" fillId="0" borderId="449" xfId="0" applyBorder="1">
      <alignment vertical="center"/>
    </xf>
    <xf numFmtId="0" fontId="56" fillId="0" borderId="430" xfId="4539" applyFont="1" applyBorder="1"/>
    <xf numFmtId="41" fontId="75" fillId="0" borderId="8" xfId="3426" applyFont="1" applyFill="1" applyBorder="1" applyAlignment="1">
      <alignment horizontal="center" vertical="center" shrinkToFit="1"/>
    </xf>
    <xf numFmtId="41" fontId="75" fillId="0" borderId="9" xfId="3426" applyFont="1" applyFill="1" applyBorder="1" applyAlignment="1">
      <alignment horizontal="center" vertical="center" shrinkToFit="1"/>
    </xf>
    <xf numFmtId="197" fontId="58" fillId="0" borderId="433" xfId="4525" applyNumberFormat="1" applyFont="1" applyBorder="1">
      <alignment vertical="center"/>
    </xf>
    <xf numFmtId="197" fontId="58" fillId="0" borderId="450" xfId="4525" applyNumberFormat="1" applyFont="1" applyBorder="1">
      <alignment vertical="center"/>
    </xf>
    <xf numFmtId="43" fontId="13" fillId="0" borderId="30" xfId="4524" applyNumberFormat="1" applyFont="1" applyBorder="1" applyAlignment="1">
      <alignment horizontal="left" vertical="center" shrinkToFit="1"/>
    </xf>
    <xf numFmtId="43" fontId="13" fillId="0" borderId="31" xfId="4524" applyNumberFormat="1" applyFont="1" applyBorder="1" applyAlignment="1">
      <alignment horizontal="center" vertical="center" shrinkToFit="1"/>
    </xf>
    <xf numFmtId="43" fontId="13" fillId="0" borderId="31" xfId="4524" applyNumberFormat="1" applyFont="1" applyBorder="1" applyAlignment="1">
      <alignment horizontal="center" vertical="center"/>
    </xf>
    <xf numFmtId="41" fontId="13" fillId="0" borderId="31" xfId="3426" applyFont="1" applyFill="1" applyBorder="1" applyAlignment="1">
      <alignment horizontal="center" vertical="center" shrinkToFit="1"/>
    </xf>
    <xf numFmtId="177" fontId="13" fillId="0" borderId="31" xfId="4525" applyNumberFormat="1" applyFont="1" applyBorder="1" applyAlignment="1">
      <alignment vertical="center" shrinkToFit="1"/>
    </xf>
    <xf numFmtId="177" fontId="13" fillId="0" borderId="31" xfId="4525" applyNumberFormat="1" applyFont="1" applyBorder="1" applyAlignment="1">
      <alignment horizontal="right" vertical="center" shrinkToFit="1"/>
    </xf>
    <xf numFmtId="198" fontId="13" fillId="0" borderId="32" xfId="4525" applyNumberFormat="1" applyFont="1" applyBorder="1" applyAlignment="1">
      <alignment horizontal="center" vertical="center" shrinkToFit="1"/>
    </xf>
    <xf numFmtId="3" fontId="216" fillId="6" borderId="8" xfId="11383" applyNumberFormat="1" applyFont="1" applyFill="1" applyBorder="1" applyAlignment="1">
      <alignment horizontal="left" vertical="center"/>
    </xf>
    <xf numFmtId="3" fontId="216" fillId="6" borderId="9" xfId="11383" applyNumberFormat="1" applyFont="1" applyFill="1" applyBorder="1" applyAlignment="1">
      <alignment horizontal="left" vertical="center"/>
    </xf>
    <xf numFmtId="3" fontId="217" fillId="6" borderId="8" xfId="11383" applyNumberFormat="1" applyFont="1" applyFill="1" applyBorder="1" applyAlignment="1">
      <alignment horizontal="left" vertical="center"/>
    </xf>
    <xf numFmtId="0" fontId="217" fillId="6" borderId="64" xfId="11383" applyFont="1" applyFill="1" applyBorder="1" applyAlignment="1">
      <alignment vertical="center"/>
    </xf>
    <xf numFmtId="3" fontId="217" fillId="6" borderId="65" xfId="11383" applyNumberFormat="1" applyFont="1" applyFill="1" applyBorder="1" applyAlignment="1">
      <alignment vertical="center"/>
    </xf>
    <xf numFmtId="3" fontId="217" fillId="6" borderId="65" xfId="11383" applyNumberFormat="1" applyFont="1" applyFill="1" applyBorder="1" applyAlignment="1">
      <alignment horizontal="center" vertical="center"/>
    </xf>
    <xf numFmtId="3" fontId="217" fillId="6" borderId="46" xfId="11383" applyNumberFormat="1" applyFont="1" applyFill="1" applyBorder="1" applyAlignment="1">
      <alignment vertical="center"/>
    </xf>
    <xf numFmtId="0" fontId="0" fillId="0" borderId="454" xfId="0" applyBorder="1">
      <alignment vertical="center"/>
    </xf>
    <xf numFmtId="0" fontId="0" fillId="0" borderId="50" xfId="0" applyBorder="1">
      <alignment vertical="center"/>
    </xf>
    <xf numFmtId="0" fontId="0" fillId="0" borderId="87" xfId="0" applyBorder="1">
      <alignment vertical="center"/>
    </xf>
    <xf numFmtId="0" fontId="0" fillId="0" borderId="85" xfId="0" applyBorder="1">
      <alignment vertical="center"/>
    </xf>
    <xf numFmtId="0" fontId="0" fillId="0" borderId="50" xfId="0" quotePrefix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455" xfId="0" applyBorder="1">
      <alignment vertical="center"/>
    </xf>
    <xf numFmtId="0" fontId="0" fillId="0" borderId="7" xfId="0" applyBorder="1">
      <alignment vertical="center"/>
    </xf>
    <xf numFmtId="0" fontId="0" fillId="0" borderId="22" xfId="0" applyBorder="1">
      <alignment vertical="center"/>
    </xf>
    <xf numFmtId="0" fontId="0" fillId="0" borderId="86" xfId="0" applyBorder="1">
      <alignment vertical="center"/>
    </xf>
    <xf numFmtId="0" fontId="0" fillId="0" borderId="0" xfId="0" quotePrefix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3" xfId="0" applyBorder="1">
      <alignment vertical="center"/>
    </xf>
    <xf numFmtId="0" fontId="0" fillId="0" borderId="424" xfId="0" applyBorder="1" applyAlignment="1">
      <alignment horizontal="center" vertical="center"/>
    </xf>
    <xf numFmtId="3" fontId="0" fillId="6" borderId="431" xfId="0" applyNumberFormat="1" applyFill="1" applyBorder="1">
      <alignment vertical="center"/>
    </xf>
    <xf numFmtId="0" fontId="0" fillId="6" borderId="431" xfId="0" applyFill="1" applyBorder="1">
      <alignment vertical="center"/>
    </xf>
    <xf numFmtId="0" fontId="0" fillId="0" borderId="428" xfId="0" applyBorder="1">
      <alignment vertical="center"/>
    </xf>
    <xf numFmtId="0" fontId="0" fillId="0" borderId="435" xfId="0" applyBorder="1">
      <alignment vertical="center"/>
    </xf>
    <xf numFmtId="0" fontId="0" fillId="0" borderId="424" xfId="0" applyBorder="1">
      <alignment vertical="center"/>
    </xf>
    <xf numFmtId="0" fontId="0" fillId="0" borderId="424" xfId="0" quotePrefix="1" applyBorder="1" applyAlignment="1">
      <alignment horizontal="center" vertical="center"/>
    </xf>
    <xf numFmtId="0" fontId="0" fillId="0" borderId="436" xfId="0" applyBorder="1">
      <alignment vertical="center"/>
    </xf>
    <xf numFmtId="0" fontId="56" fillId="0" borderId="5" xfId="0" applyFont="1" applyBorder="1" applyAlignment="1">
      <alignment horizontal="left" vertical="center"/>
    </xf>
    <xf numFmtId="198" fontId="13" fillId="0" borderId="24" xfId="4525" applyNumberFormat="1" applyFont="1" applyBorder="1" applyAlignment="1">
      <alignment horizontal="center" vertical="center" shrinkToFit="1"/>
    </xf>
    <xf numFmtId="177" fontId="56" fillId="6" borderId="0" xfId="0" applyNumberFormat="1" applyFont="1" applyFill="1" applyAlignment="1">
      <alignment vertical="center" shrinkToFit="1"/>
    </xf>
    <xf numFmtId="0" fontId="77" fillId="6" borderId="0" xfId="4535" applyFont="1" applyFill="1">
      <alignment vertical="center"/>
    </xf>
    <xf numFmtId="41" fontId="140" fillId="6" borderId="0" xfId="3426" applyFont="1" applyFill="1" applyBorder="1" applyAlignment="1">
      <alignment horizontal="left" vertical="center" shrinkToFit="1"/>
    </xf>
    <xf numFmtId="41" fontId="140" fillId="6" borderId="0" xfId="3426" applyFont="1" applyFill="1" applyBorder="1" applyAlignment="1">
      <alignment vertical="center"/>
    </xf>
    <xf numFmtId="0" fontId="56" fillId="0" borderId="451" xfId="0" applyFont="1" applyBorder="1" applyAlignment="1">
      <alignment horizontal="center" vertical="center"/>
    </xf>
    <xf numFmtId="0" fontId="56" fillId="0" borderId="63" xfId="0" applyFont="1" applyBorder="1" applyAlignment="1">
      <alignment horizontal="left" vertical="center" shrinkToFit="1"/>
    </xf>
    <xf numFmtId="0" fontId="56" fillId="0" borderId="5" xfId="0" applyFont="1" applyBorder="1" applyAlignment="1">
      <alignment horizontal="left" vertical="center" shrinkToFit="1"/>
    </xf>
    <xf numFmtId="0" fontId="56" fillId="0" borderId="5" xfId="0" applyFont="1" applyBorder="1" applyAlignment="1">
      <alignment horizontal="center" vertical="center"/>
    </xf>
    <xf numFmtId="3" fontId="217" fillId="6" borderId="8" xfId="11383" applyNumberFormat="1" applyFont="1" applyFill="1" applyBorder="1" applyAlignment="1">
      <alignment horizontal="center" vertical="center"/>
    </xf>
    <xf numFmtId="3" fontId="217" fillId="6" borderId="9" xfId="11383" applyNumberFormat="1" applyFont="1" applyFill="1" applyBorder="1" applyAlignment="1">
      <alignment horizontal="center" vertical="center"/>
    </xf>
    <xf numFmtId="14" fontId="213" fillId="6" borderId="25" xfId="11383" applyNumberFormat="1" applyFill="1" applyBorder="1" applyAlignment="1">
      <alignment horizontal="center"/>
    </xf>
    <xf numFmtId="0" fontId="0" fillId="0" borderId="26" xfId="0" applyBorder="1">
      <alignment vertical="center"/>
    </xf>
    <xf numFmtId="0" fontId="0" fillId="0" borderId="26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25" xfId="0" applyBorder="1">
      <alignment vertical="center"/>
    </xf>
    <xf numFmtId="0" fontId="0" fillId="0" borderId="9" xfId="0" quotePrefix="1" applyBorder="1" applyAlignment="1">
      <alignment horizontal="center" vertical="center"/>
    </xf>
    <xf numFmtId="0" fontId="0" fillId="0" borderId="26" xfId="0" quotePrefix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250" fillId="0" borderId="0" xfId="37540" applyFont="1"/>
    <xf numFmtId="0" fontId="251" fillId="0" borderId="0" xfId="37540" applyFont="1"/>
    <xf numFmtId="0" fontId="252" fillId="0" borderId="0" xfId="37540" applyFont="1"/>
    <xf numFmtId="0" fontId="253" fillId="0" borderId="0" xfId="37540" applyFont="1"/>
    <xf numFmtId="0" fontId="254" fillId="0" borderId="0" xfId="37540" applyFont="1"/>
    <xf numFmtId="0" fontId="255" fillId="0" borderId="0" xfId="37540" applyFont="1"/>
    <xf numFmtId="0" fontId="256" fillId="0" borderId="0" xfId="37540" applyFont="1"/>
    <xf numFmtId="0" fontId="257" fillId="0" borderId="0" xfId="37540" applyFont="1"/>
    <xf numFmtId="0" fontId="258" fillId="0" borderId="0" xfId="37540" applyFont="1"/>
    <xf numFmtId="0" fontId="187" fillId="0" borderId="0" xfId="37540" applyFont="1"/>
    <xf numFmtId="0" fontId="135" fillId="0" borderId="0" xfId="37540" applyFont="1"/>
    <xf numFmtId="0" fontId="254" fillId="0" borderId="0" xfId="37540" applyFont="1" applyAlignment="1">
      <alignment horizontal="center" vertical="center"/>
    </xf>
    <xf numFmtId="0" fontId="187" fillId="0" borderId="0" xfId="37540" applyFont="1" applyAlignment="1">
      <alignment wrapText="1"/>
    </xf>
    <xf numFmtId="49" fontId="259" fillId="0" borderId="0" xfId="37540" applyNumberFormat="1" applyFont="1" applyAlignment="1">
      <alignment horizontal="left" vertical="center"/>
    </xf>
    <xf numFmtId="49" fontId="253" fillId="0" borderId="0" xfId="37540" applyNumberFormat="1" applyFont="1" applyAlignment="1">
      <alignment horizontal="left" vertical="center"/>
    </xf>
    <xf numFmtId="0" fontId="254" fillId="0" borderId="0" xfId="37540" quotePrefix="1" applyFont="1"/>
    <xf numFmtId="49" fontId="260" fillId="0" borderId="0" xfId="37540" applyNumberFormat="1" applyFont="1" applyAlignment="1">
      <alignment horizontal="left" vertical="center"/>
    </xf>
    <xf numFmtId="49" fontId="257" fillId="0" borderId="0" xfId="37540" applyNumberFormat="1" applyFont="1" applyAlignment="1">
      <alignment horizontal="left" vertical="center"/>
    </xf>
    <xf numFmtId="190" fontId="257" fillId="0" borderId="0" xfId="37540" applyNumberFormat="1" applyFont="1" applyAlignment="1">
      <alignment horizontal="left" vertical="center"/>
    </xf>
    <xf numFmtId="0" fontId="255" fillId="0" borderId="0" xfId="37540" quotePrefix="1" applyFont="1"/>
    <xf numFmtId="2" fontId="257" fillId="0" borderId="0" xfId="37540" applyNumberFormat="1" applyFont="1" applyAlignment="1">
      <alignment horizontal="left" vertical="center"/>
    </xf>
    <xf numFmtId="0" fontId="251" fillId="0" borderId="0" xfId="37540" applyFont="1" applyAlignment="1">
      <alignment vertical="center"/>
    </xf>
    <xf numFmtId="0" fontId="251" fillId="0" borderId="0" xfId="37540" quotePrefix="1" applyFont="1"/>
    <xf numFmtId="0" fontId="94" fillId="0" borderId="0" xfId="37540" applyFont="1" applyAlignment="1">
      <alignment vertical="center"/>
    </xf>
    <xf numFmtId="193" fontId="94" fillId="0" borderId="0" xfId="37540" applyNumberFormat="1" applyFont="1" applyAlignment="1">
      <alignment vertical="center"/>
    </xf>
    <xf numFmtId="0" fontId="252" fillId="0" borderId="0" xfId="37540" quotePrefix="1" applyFont="1"/>
    <xf numFmtId="0" fontId="261" fillId="0" borderId="0" xfId="37540" applyFont="1" applyAlignment="1">
      <alignment horizontal="left"/>
    </xf>
    <xf numFmtId="0" fontId="94" fillId="0" borderId="0" xfId="37540" applyFont="1" applyAlignment="1">
      <alignment vertical="center" wrapText="1"/>
    </xf>
    <xf numFmtId="49" fontId="254" fillId="0" borderId="0" xfId="37540" applyNumberFormat="1" applyFont="1" applyAlignment="1">
      <alignment horizontal="left" vertical="center"/>
    </xf>
    <xf numFmtId="2" fontId="254" fillId="0" borderId="0" xfId="37540" applyNumberFormat="1" applyFont="1" applyAlignment="1">
      <alignment horizontal="left" vertical="center"/>
    </xf>
    <xf numFmtId="190" fontId="254" fillId="0" borderId="0" xfId="37540" applyNumberFormat="1" applyFont="1" applyAlignment="1">
      <alignment horizontal="left" vertical="center"/>
    </xf>
    <xf numFmtId="0" fontId="262" fillId="0" borderId="0" xfId="37540" applyFont="1"/>
    <xf numFmtId="0" fontId="263" fillId="0" borderId="0" xfId="37540" applyFont="1"/>
    <xf numFmtId="0" fontId="259" fillId="0" borderId="0" xfId="37540" applyFont="1"/>
    <xf numFmtId="0" fontId="260" fillId="0" borderId="0" xfId="37540" applyFont="1"/>
    <xf numFmtId="0" fontId="264" fillId="0" borderId="0" xfId="37540" applyFont="1"/>
    <xf numFmtId="3" fontId="265" fillId="0" borderId="0" xfId="37540" applyNumberFormat="1" applyFont="1" applyAlignment="1">
      <alignment horizontal="left" vertical="center"/>
    </xf>
    <xf numFmtId="0" fontId="266" fillId="0" borderId="0" xfId="37540" applyFont="1" applyAlignment="1">
      <alignment horizontal="left" vertical="center"/>
    </xf>
    <xf numFmtId="0" fontId="266" fillId="0" borderId="0" xfId="37540" applyFont="1"/>
    <xf numFmtId="0" fontId="150" fillId="0" borderId="0" xfId="37540"/>
    <xf numFmtId="0" fontId="187" fillId="0" borderId="425" xfId="37540" applyFont="1" applyBorder="1" applyAlignment="1">
      <alignment horizontal="center" vertical="center" wrapText="1"/>
    </xf>
    <xf numFmtId="9" fontId="187" fillId="0" borderId="425" xfId="37540" applyNumberFormat="1" applyFont="1" applyBorder="1" applyAlignment="1">
      <alignment horizontal="center" vertical="center"/>
    </xf>
    <xf numFmtId="9" fontId="187" fillId="38" borderId="434" xfId="37540" applyNumberFormat="1" applyFont="1" applyFill="1" applyBorder="1" applyAlignment="1">
      <alignment horizontal="center" vertical="center"/>
    </xf>
    <xf numFmtId="9" fontId="187" fillId="38" borderId="437" xfId="37540" applyNumberFormat="1" applyFont="1" applyFill="1" applyBorder="1" applyAlignment="1">
      <alignment horizontal="center" vertical="center"/>
    </xf>
    <xf numFmtId="9" fontId="187" fillId="39" borderId="434" xfId="37540" applyNumberFormat="1" applyFont="1" applyFill="1" applyBorder="1" applyAlignment="1">
      <alignment horizontal="center" vertical="center"/>
    </xf>
    <xf numFmtId="9" fontId="187" fillId="39" borderId="437" xfId="37540" applyNumberFormat="1" applyFont="1" applyFill="1" applyBorder="1" applyAlignment="1">
      <alignment horizontal="center" vertical="center"/>
    </xf>
    <xf numFmtId="9" fontId="187" fillId="40" borderId="434" xfId="37540" applyNumberFormat="1" applyFont="1" applyFill="1" applyBorder="1" applyAlignment="1">
      <alignment horizontal="center" vertical="center"/>
    </xf>
    <xf numFmtId="9" fontId="187" fillId="40" borderId="437" xfId="37540" applyNumberFormat="1" applyFont="1" applyFill="1" applyBorder="1" applyAlignment="1">
      <alignment horizontal="center" vertical="center"/>
    </xf>
    <xf numFmtId="0" fontId="187" fillId="0" borderId="425" xfId="37540" applyFont="1" applyBorder="1" applyAlignment="1">
      <alignment horizontal="center" vertical="center"/>
    </xf>
    <xf numFmtId="0" fontId="187" fillId="0" borderId="0" xfId="37540" applyFont="1" applyAlignment="1">
      <alignment horizontal="center" vertical="center"/>
    </xf>
    <xf numFmtId="9" fontId="187" fillId="0" borderId="0" xfId="37540" applyNumberFormat="1" applyFont="1" applyAlignment="1">
      <alignment horizontal="center" vertical="center"/>
    </xf>
    <xf numFmtId="9" fontId="187" fillId="39" borderId="0" xfId="37540" applyNumberFormat="1" applyFont="1" applyFill="1" applyAlignment="1">
      <alignment horizontal="center" vertical="center"/>
    </xf>
    <xf numFmtId="0" fontId="0" fillId="0" borderId="0" xfId="37540" applyFont="1"/>
    <xf numFmtId="197" fontId="58" fillId="0" borderId="22" xfId="4525" applyNumberFormat="1" applyFont="1" applyBorder="1">
      <alignment vertical="center"/>
    </xf>
    <xf numFmtId="177" fontId="13" fillId="0" borderId="25" xfId="3426" applyNumberFormat="1" applyFont="1" applyFill="1" applyBorder="1" applyAlignment="1">
      <alignment horizontal="center" vertical="center" shrinkToFit="1"/>
    </xf>
    <xf numFmtId="43" fontId="13" fillId="0" borderId="29" xfId="4524" applyNumberFormat="1" applyFont="1" applyBorder="1" applyAlignment="1">
      <alignment horizontal="left" vertical="center" shrinkToFit="1"/>
    </xf>
    <xf numFmtId="0" fontId="58" fillId="6" borderId="425" xfId="0" applyFont="1" applyFill="1" applyBorder="1" applyAlignment="1">
      <alignment horizontal="left" vertical="center"/>
    </xf>
    <xf numFmtId="0" fontId="56" fillId="6" borderId="425" xfId="0" applyFont="1" applyFill="1" applyBorder="1" applyAlignment="1">
      <alignment horizontal="center" vertical="center"/>
    </xf>
    <xf numFmtId="0" fontId="56" fillId="6" borderId="425" xfId="0" applyFont="1" applyFill="1" applyBorder="1" applyAlignment="1">
      <alignment horizontal="left" vertical="center"/>
    </xf>
    <xf numFmtId="0" fontId="58" fillId="6" borderId="425" xfId="0" applyFont="1" applyFill="1" applyBorder="1">
      <alignment vertical="center"/>
    </xf>
    <xf numFmtId="378" fontId="56" fillId="6" borderId="425" xfId="0" applyNumberFormat="1" applyFont="1" applyFill="1" applyBorder="1" applyAlignment="1">
      <alignment horizontal="left" vertical="center"/>
    </xf>
    <xf numFmtId="0" fontId="56" fillId="0" borderId="425" xfId="0" applyFont="1" applyBorder="1" applyAlignment="1">
      <alignment horizontal="center" vertical="center"/>
    </xf>
    <xf numFmtId="0" fontId="56" fillId="6" borderId="425" xfId="0" applyFont="1" applyFill="1" applyBorder="1" applyAlignment="1">
      <alignment horizontal="left" vertical="center" shrinkToFit="1"/>
    </xf>
    <xf numFmtId="378" fontId="56" fillId="6" borderId="425" xfId="0" applyNumberFormat="1" applyFont="1" applyFill="1" applyBorder="1" applyAlignment="1">
      <alignment horizontal="center" vertical="center"/>
    </xf>
    <xf numFmtId="0" fontId="56" fillId="6" borderId="425" xfId="0" applyFont="1" applyFill="1" applyBorder="1" applyAlignment="1">
      <alignment horizontal="left" vertical="center" wrapText="1"/>
    </xf>
    <xf numFmtId="0" fontId="0" fillId="6" borderId="425" xfId="0" applyFill="1" applyBorder="1" applyAlignment="1">
      <alignment horizontal="left" vertical="center" wrapText="1"/>
    </xf>
    <xf numFmtId="0" fontId="56" fillId="6" borderId="425" xfId="0" applyFont="1" applyFill="1" applyBorder="1" applyAlignment="1">
      <alignment horizontal="center" vertical="center" shrinkToFit="1"/>
    </xf>
    <xf numFmtId="378" fontId="56" fillId="0" borderId="425" xfId="0" applyNumberFormat="1" applyFont="1" applyBorder="1" applyAlignment="1">
      <alignment horizontal="left" vertical="center"/>
    </xf>
    <xf numFmtId="0" fontId="56" fillId="0" borderId="425" xfId="0" applyFont="1" applyBorder="1" applyAlignment="1">
      <alignment horizontal="left" vertical="center"/>
    </xf>
    <xf numFmtId="177" fontId="13" fillId="0" borderId="46" xfId="4525" applyNumberFormat="1" applyFont="1" applyBorder="1" applyAlignment="1">
      <alignment vertical="center" shrinkToFit="1"/>
    </xf>
    <xf numFmtId="197" fontId="58" fillId="0" borderId="425" xfId="4525" applyNumberFormat="1" applyFont="1" applyBorder="1" applyAlignment="1">
      <alignment horizontal="center" vertical="center" wrapText="1"/>
    </xf>
    <xf numFmtId="43" fontId="13" fillId="0" borderId="425" xfId="4524" applyNumberFormat="1" applyFont="1" applyBorder="1" applyAlignment="1">
      <alignment horizontal="left" vertical="center" shrinkToFit="1"/>
    </xf>
    <xf numFmtId="43" fontId="13" fillId="0" borderId="425" xfId="4524" applyNumberFormat="1" applyFont="1" applyBorder="1" applyAlignment="1">
      <alignment horizontal="center" vertical="center" shrinkToFit="1"/>
    </xf>
    <xf numFmtId="177" fontId="13" fillId="0" borderId="425" xfId="4525" applyNumberFormat="1" applyFont="1" applyBorder="1" applyAlignment="1">
      <alignment horizontal="center" vertical="center" shrinkToFit="1"/>
    </xf>
    <xf numFmtId="0" fontId="56" fillId="0" borderId="425" xfId="0" applyFont="1" applyBorder="1" applyAlignment="1">
      <alignment horizontal="center" vertical="center" shrinkToFit="1"/>
    </xf>
    <xf numFmtId="177" fontId="13" fillId="0" borderId="425" xfId="4525" applyNumberFormat="1" applyFont="1" applyBorder="1" applyAlignment="1">
      <alignment horizontal="right" vertical="center" shrinkToFit="1"/>
    </xf>
    <xf numFmtId="197" fontId="58" fillId="0" borderId="425" xfId="4525" applyNumberFormat="1" applyFont="1" applyBorder="1" applyAlignment="1">
      <alignment horizontal="center" vertical="center"/>
    </xf>
    <xf numFmtId="0" fontId="58" fillId="0" borderId="425" xfId="4525" applyFont="1" applyBorder="1" applyAlignment="1">
      <alignment horizontal="center" vertical="center" wrapText="1" shrinkToFit="1"/>
    </xf>
    <xf numFmtId="177" fontId="75" fillId="0" borderId="425" xfId="4525" applyNumberFormat="1" applyFont="1" applyBorder="1" applyAlignment="1">
      <alignment horizontal="right" vertical="center" shrinkToFit="1"/>
    </xf>
    <xf numFmtId="43" fontId="13" fillId="0" borderId="425" xfId="4524" applyNumberFormat="1" applyFont="1" applyBorder="1" applyAlignment="1">
      <alignment horizontal="center" vertical="center"/>
    </xf>
    <xf numFmtId="0" fontId="13" fillId="0" borderId="425" xfId="4525" applyFont="1" applyBorder="1" applyAlignment="1">
      <alignment horizontal="center" vertical="center"/>
    </xf>
    <xf numFmtId="177" fontId="13" fillId="0" borderId="425" xfId="4525" applyNumberFormat="1" applyFont="1" applyBorder="1" applyAlignment="1">
      <alignment vertical="center" shrinkToFit="1"/>
    </xf>
    <xf numFmtId="198" fontId="13" fillId="0" borderId="425" xfId="4525" applyNumberFormat="1" applyFont="1" applyBorder="1" applyAlignment="1">
      <alignment horizontal="center" vertical="center" shrinkToFit="1"/>
    </xf>
    <xf numFmtId="41" fontId="13" fillId="0" borderId="425" xfId="3426" applyFont="1" applyFill="1" applyBorder="1" applyAlignment="1">
      <alignment horizontal="center" vertical="center" shrinkToFit="1"/>
    </xf>
    <xf numFmtId="369" fontId="13" fillId="0" borderId="425" xfId="4525" applyNumberFormat="1" applyFont="1" applyBorder="1" applyAlignment="1">
      <alignment vertical="center" shrinkToFit="1"/>
    </xf>
    <xf numFmtId="43" fontId="75" fillId="0" borderId="425" xfId="4524" applyNumberFormat="1" applyFont="1" applyBorder="1" applyAlignment="1">
      <alignment horizontal="center" vertical="center"/>
    </xf>
    <xf numFmtId="0" fontId="75" fillId="0" borderId="425" xfId="4525" applyFont="1" applyBorder="1" applyAlignment="1">
      <alignment horizontal="center" vertical="center"/>
    </xf>
    <xf numFmtId="177" fontId="75" fillId="0" borderId="425" xfId="4525" applyNumberFormat="1" applyFont="1" applyBorder="1" applyAlignment="1">
      <alignment vertical="center" shrinkToFit="1"/>
    </xf>
    <xf numFmtId="369" fontId="75" fillId="0" borderId="425" xfId="4525" applyNumberFormat="1" applyFont="1" applyBorder="1" applyAlignment="1">
      <alignment vertical="center" shrinkToFit="1"/>
    </xf>
    <xf numFmtId="198" fontId="75" fillId="0" borderId="425" xfId="4525" applyNumberFormat="1" applyFont="1" applyBorder="1" applyAlignment="1">
      <alignment horizontal="center" vertical="center" shrinkToFit="1"/>
    </xf>
    <xf numFmtId="197" fontId="58" fillId="0" borderId="425" xfId="4525" applyNumberFormat="1" applyFont="1" applyBorder="1" applyAlignment="1">
      <alignment horizontal="center" vertical="center" shrinkToFit="1"/>
    </xf>
    <xf numFmtId="0" fontId="58" fillId="0" borderId="425" xfId="4525" applyFont="1" applyBorder="1" applyAlignment="1">
      <alignment horizontal="center" vertical="center" shrinkToFit="1"/>
    </xf>
    <xf numFmtId="177" fontId="104" fillId="0" borderId="425" xfId="4525" applyNumberFormat="1" applyFont="1" applyBorder="1" applyAlignment="1">
      <alignment horizontal="right" vertical="center" shrinkToFit="1"/>
    </xf>
    <xf numFmtId="178" fontId="104" fillId="0" borderId="425" xfId="4525" applyNumberFormat="1" applyFont="1" applyBorder="1" applyAlignment="1">
      <alignment vertical="center" shrinkToFit="1"/>
    </xf>
    <xf numFmtId="177" fontId="113" fillId="0" borderId="425" xfId="4525" applyNumberFormat="1" applyFont="1" applyBorder="1" applyAlignment="1">
      <alignment vertical="center" shrinkToFit="1"/>
    </xf>
    <xf numFmtId="10" fontId="104" fillId="0" borderId="425" xfId="4525" applyNumberFormat="1" applyFont="1" applyBorder="1" applyAlignment="1">
      <alignment horizontal="center" vertical="center" shrinkToFit="1"/>
    </xf>
    <xf numFmtId="177" fontId="56" fillId="0" borderId="425" xfId="4525" applyNumberFormat="1" applyFont="1" applyBorder="1" applyAlignment="1">
      <alignment horizontal="center" vertical="center" shrinkToFit="1"/>
    </xf>
    <xf numFmtId="177" fontId="58" fillId="0" borderId="425" xfId="4525" applyNumberFormat="1" applyFont="1" applyBorder="1" applyAlignment="1">
      <alignment horizontal="center" vertical="center" shrinkToFit="1"/>
    </xf>
    <xf numFmtId="197" fontId="56" fillId="0" borderId="425" xfId="4525" applyNumberFormat="1" applyFont="1" applyBorder="1" applyAlignment="1">
      <alignment horizontal="center" vertical="center" shrinkToFit="1"/>
    </xf>
    <xf numFmtId="0" fontId="56" fillId="0" borderId="425" xfId="4525" applyFont="1" applyBorder="1" applyAlignment="1">
      <alignment horizontal="center" vertical="center" shrinkToFit="1"/>
    </xf>
    <xf numFmtId="177" fontId="81" fillId="0" borderId="425" xfId="4525" applyNumberFormat="1" applyFont="1" applyBorder="1" applyAlignment="1">
      <alignment horizontal="right" vertical="center" shrinkToFit="1"/>
    </xf>
    <xf numFmtId="41" fontId="55" fillId="6" borderId="425" xfId="3426" applyFont="1" applyFill="1" applyBorder="1" applyAlignment="1">
      <alignment horizontal="center" vertical="center"/>
    </xf>
    <xf numFmtId="41" fontId="56" fillId="6" borderId="425" xfId="3426" applyFont="1" applyFill="1" applyBorder="1" applyAlignment="1">
      <alignment horizontal="center" vertical="center"/>
    </xf>
    <xf numFmtId="41" fontId="56" fillId="6" borderId="425" xfId="3426" applyFont="1" applyFill="1" applyBorder="1" applyAlignment="1">
      <alignment vertical="center"/>
    </xf>
    <xf numFmtId="206" fontId="59" fillId="6" borderId="425" xfId="3426" applyNumberFormat="1" applyFont="1" applyFill="1" applyBorder="1" applyAlignment="1">
      <alignment vertical="center"/>
    </xf>
    <xf numFmtId="206" fontId="79" fillId="6" borderId="425" xfId="3426" applyNumberFormat="1" applyFont="1" applyFill="1" applyBorder="1" applyAlignment="1">
      <alignment vertical="center"/>
    </xf>
    <xf numFmtId="207" fontId="56" fillId="6" borderId="425" xfId="3426" applyNumberFormat="1" applyFont="1" applyFill="1" applyBorder="1" applyAlignment="1">
      <alignment horizontal="center" vertical="center"/>
    </xf>
    <xf numFmtId="208" fontId="56" fillId="6" borderId="425" xfId="3426" applyNumberFormat="1" applyFont="1" applyFill="1" applyBorder="1" applyAlignment="1">
      <alignment horizontal="center" vertical="center"/>
    </xf>
    <xf numFmtId="209" fontId="56" fillId="6" borderId="425" xfId="3426" applyNumberFormat="1" applyFont="1" applyFill="1" applyBorder="1" applyAlignment="1">
      <alignment horizontal="center" vertical="center"/>
    </xf>
    <xf numFmtId="177" fontId="56" fillId="6" borderId="425" xfId="3426" applyNumberFormat="1" applyFont="1" applyFill="1" applyBorder="1" applyAlignment="1">
      <alignment vertical="center"/>
    </xf>
    <xf numFmtId="375" fontId="56" fillId="6" borderId="425" xfId="3426" applyNumberFormat="1" applyFont="1" applyFill="1" applyBorder="1" applyAlignment="1">
      <alignment horizontal="center" vertical="center" shrinkToFit="1"/>
    </xf>
    <xf numFmtId="41" fontId="56" fillId="6" borderId="425" xfId="3426" applyFont="1" applyFill="1" applyBorder="1" applyAlignment="1">
      <alignment horizontal="center" vertical="center" shrinkToFit="1"/>
    </xf>
    <xf numFmtId="210" fontId="56" fillId="6" borderId="425" xfId="3426" applyNumberFormat="1" applyFont="1" applyFill="1" applyBorder="1" applyAlignment="1">
      <alignment horizontal="center" vertical="center"/>
    </xf>
    <xf numFmtId="0" fontId="56" fillId="6" borderId="425" xfId="3426" applyNumberFormat="1" applyFont="1" applyFill="1" applyBorder="1" applyAlignment="1">
      <alignment vertical="center"/>
    </xf>
    <xf numFmtId="211" fontId="56" fillId="6" borderId="425" xfId="3426" applyNumberFormat="1" applyFont="1" applyFill="1" applyBorder="1" applyAlignment="1">
      <alignment horizontal="center" vertical="center"/>
    </xf>
    <xf numFmtId="212" fontId="56" fillId="6" borderId="425" xfId="3426" applyNumberFormat="1" applyFont="1" applyFill="1" applyBorder="1" applyAlignment="1">
      <alignment horizontal="center" vertical="center"/>
    </xf>
    <xf numFmtId="41" fontId="79" fillId="6" borderId="425" xfId="3426" applyFont="1" applyFill="1" applyBorder="1" applyAlignment="1">
      <alignment vertical="center" shrinkToFit="1"/>
    </xf>
    <xf numFmtId="41" fontId="79" fillId="6" borderId="425" xfId="3426" applyFont="1" applyFill="1" applyBorder="1" applyAlignment="1">
      <alignment vertical="center"/>
    </xf>
    <xf numFmtId="0" fontId="56" fillId="6" borderId="425" xfId="3427" applyNumberFormat="1" applyFont="1" applyFill="1" applyBorder="1" applyAlignment="1">
      <alignment vertical="center"/>
    </xf>
    <xf numFmtId="213" fontId="56" fillId="6" borderId="425" xfId="3426" applyNumberFormat="1" applyFont="1" applyFill="1" applyBorder="1" applyAlignment="1">
      <alignment horizontal="center" vertical="center"/>
    </xf>
    <xf numFmtId="0" fontId="58" fillId="6" borderId="425" xfId="3427" applyNumberFormat="1" applyFont="1" applyFill="1" applyBorder="1" applyAlignment="1">
      <alignment vertical="center"/>
    </xf>
    <xf numFmtId="0" fontId="58" fillId="6" borderId="425" xfId="3426" applyNumberFormat="1" applyFont="1" applyFill="1" applyBorder="1" applyAlignment="1">
      <alignment vertical="center"/>
    </xf>
    <xf numFmtId="41" fontId="58" fillId="6" borderId="425" xfId="3426" applyFont="1" applyFill="1" applyBorder="1" applyAlignment="1">
      <alignment vertical="center"/>
    </xf>
    <xf numFmtId="41" fontId="58" fillId="6" borderId="425" xfId="3426" applyFont="1" applyFill="1" applyBorder="1" applyAlignment="1">
      <alignment vertical="center" shrinkToFit="1"/>
    </xf>
    <xf numFmtId="0" fontId="0" fillId="6" borderId="425" xfId="0" applyFill="1" applyBorder="1" applyAlignment="1">
      <alignment horizontal="left" vertical="center" shrinkToFit="1"/>
    </xf>
    <xf numFmtId="378" fontId="56" fillId="6" borderId="425" xfId="0" applyNumberFormat="1" applyFont="1" applyFill="1" applyBorder="1" applyAlignment="1">
      <alignment horizontal="left" vertical="center" shrinkToFit="1"/>
    </xf>
    <xf numFmtId="177" fontId="13" fillId="6" borderId="425" xfId="4525" applyNumberFormat="1" applyFont="1" applyFill="1" applyBorder="1" applyAlignment="1">
      <alignment horizontal="center" vertical="center" shrinkToFit="1"/>
    </xf>
    <xf numFmtId="0" fontId="13" fillId="0" borderId="425" xfId="3426" applyNumberFormat="1" applyFont="1" applyFill="1" applyBorder="1" applyAlignment="1">
      <alignment horizontal="center" vertical="center" shrinkToFit="1"/>
    </xf>
    <xf numFmtId="378" fontId="75" fillId="0" borderId="425" xfId="4525" applyNumberFormat="1" applyFont="1" applyBorder="1" applyAlignment="1">
      <alignment horizontal="center" vertical="center"/>
    </xf>
    <xf numFmtId="3" fontId="216" fillId="0" borderId="443" xfId="11383" applyNumberFormat="1" applyFont="1" applyBorder="1" applyAlignment="1">
      <alignment horizontal="center" vertical="center"/>
    </xf>
    <xf numFmtId="3" fontId="217" fillId="0" borderId="456" xfId="11383" applyNumberFormat="1" applyFont="1" applyBorder="1" applyAlignment="1">
      <alignment horizontal="center" vertical="center"/>
    </xf>
    <xf numFmtId="14" fontId="213" fillId="0" borderId="457" xfId="11383" applyNumberFormat="1" applyBorder="1" applyAlignment="1">
      <alignment horizontal="center"/>
    </xf>
    <xf numFmtId="379" fontId="56" fillId="6" borderId="9" xfId="3426" applyNumberFormat="1" applyFont="1" applyFill="1" applyBorder="1" applyAlignment="1">
      <alignment horizontal="center" vertical="center" shrinkToFit="1"/>
    </xf>
    <xf numFmtId="273" fontId="241" fillId="6" borderId="21" xfId="4537" applyNumberFormat="1" applyFont="1" applyFill="1" applyBorder="1" applyAlignment="1">
      <alignment vertical="center"/>
    </xf>
    <xf numFmtId="273" fontId="241" fillId="6" borderId="211" xfId="4536" applyNumberFormat="1" applyFont="1" applyFill="1" applyBorder="1" applyAlignment="1">
      <alignment horizontal="centerContinuous" vertical="center"/>
    </xf>
    <xf numFmtId="273" fontId="241" fillId="6" borderId="21" xfId="4536" applyNumberFormat="1" applyFont="1" applyFill="1" applyBorder="1"/>
    <xf numFmtId="273" fontId="241" fillId="6" borderId="0" xfId="4536" applyNumberFormat="1" applyFont="1" applyFill="1"/>
    <xf numFmtId="185" fontId="241" fillId="6" borderId="21" xfId="4537" applyFont="1" applyFill="1" applyBorder="1" applyAlignment="1">
      <alignment horizontal="centerContinuous" vertical="center"/>
    </xf>
    <xf numFmtId="273" fontId="241" fillId="6" borderId="21" xfId="4536" applyNumberFormat="1" applyFont="1" applyFill="1" applyBorder="1" applyAlignment="1">
      <alignment horizontal="centerContinuous" vertical="center"/>
    </xf>
    <xf numFmtId="273" fontId="241" fillId="6" borderId="21" xfId="0" applyNumberFormat="1" applyFont="1" applyFill="1" applyBorder="1" applyAlignment="1">
      <alignment horizontal="center" vertical="center"/>
    </xf>
    <xf numFmtId="273" fontId="241" fillId="0" borderId="211" xfId="4537" applyNumberFormat="1" applyFont="1" applyBorder="1" applyAlignment="1">
      <alignment horizontal="center" vertical="center"/>
    </xf>
    <xf numFmtId="273" fontId="241" fillId="0" borderId="21" xfId="4536" applyNumberFormat="1" applyFont="1" applyBorder="1"/>
    <xf numFmtId="272" fontId="241" fillId="0" borderId="210" xfId="4537" applyNumberFormat="1" applyFont="1" applyBorder="1" applyAlignment="1">
      <alignment horizontal="left" vertical="center"/>
    </xf>
    <xf numFmtId="272" fontId="241" fillId="0" borderId="211" xfId="4537" applyNumberFormat="1" applyFont="1" applyBorder="1" applyAlignment="1">
      <alignment horizontal="center" vertical="center" wrapText="1" shrinkToFit="1"/>
    </xf>
    <xf numFmtId="273" fontId="241" fillId="0" borderId="21" xfId="4537" applyNumberFormat="1" applyFont="1" applyBorder="1" applyAlignment="1">
      <alignment horizontal="center" vertical="center"/>
    </xf>
    <xf numFmtId="0" fontId="241" fillId="0" borderId="21" xfId="4539" applyFont="1" applyBorder="1"/>
    <xf numFmtId="272" fontId="268" fillId="0" borderId="210" xfId="4537" applyNumberFormat="1" applyFont="1" applyBorder="1" applyAlignment="1">
      <alignment horizontal="left" vertical="center"/>
    </xf>
    <xf numFmtId="185" fontId="268" fillId="0" borderId="359" xfId="4537" applyFont="1" applyBorder="1" applyAlignment="1">
      <alignment vertical="center"/>
    </xf>
    <xf numFmtId="272" fontId="268" fillId="0" borderId="359" xfId="4537" applyNumberFormat="1" applyFont="1" applyBorder="1" applyAlignment="1">
      <alignment horizontal="left" vertical="center"/>
    </xf>
    <xf numFmtId="0" fontId="268" fillId="0" borderId="0" xfId="4538" applyFont="1"/>
    <xf numFmtId="185" fontId="268" fillId="0" borderId="359" xfId="4537" applyFont="1" applyBorder="1" applyAlignment="1">
      <alignment horizontal="center" vertical="center"/>
    </xf>
    <xf numFmtId="185" fontId="268" fillId="0" borderId="210" xfId="4537" applyFont="1" applyBorder="1" applyAlignment="1">
      <alignment horizontal="center" vertical="center"/>
    </xf>
    <xf numFmtId="0" fontId="268" fillId="0" borderId="209" xfId="4536" applyFont="1" applyBorder="1" applyAlignment="1">
      <alignment horizontal="center" vertical="center" wrapText="1" shrinkToFit="1"/>
    </xf>
    <xf numFmtId="185" fontId="268" fillId="0" borderId="7" xfId="4537" applyFont="1" applyBorder="1" applyAlignment="1">
      <alignment horizontal="right" vertical="center"/>
    </xf>
    <xf numFmtId="273" fontId="268" fillId="0" borderId="0" xfId="4537" applyNumberFormat="1" applyFont="1" applyBorder="1" applyAlignment="1">
      <alignment horizontal="center" vertical="center"/>
    </xf>
    <xf numFmtId="273" fontId="268" fillId="0" borderId="0" xfId="4537" applyNumberFormat="1" applyFont="1" applyBorder="1" applyAlignment="1">
      <alignment horizontal="right" vertical="center"/>
    </xf>
    <xf numFmtId="273" fontId="268" fillId="0" borderId="0" xfId="4537" applyNumberFormat="1" applyFont="1" applyBorder="1" applyAlignment="1">
      <alignment horizontal="left" vertical="center"/>
    </xf>
    <xf numFmtId="273" fontId="268" fillId="0" borderId="0" xfId="4538" applyNumberFormat="1" applyFont="1"/>
    <xf numFmtId="0" fontId="268" fillId="0" borderId="0" xfId="4538" applyFont="1" applyAlignment="1">
      <alignment horizontal="center" vertical="center"/>
    </xf>
    <xf numFmtId="194" fontId="268" fillId="0" borderId="0" xfId="4536" applyNumberFormat="1" applyFont="1" applyAlignment="1">
      <alignment horizontal="right" vertical="center"/>
    </xf>
    <xf numFmtId="0" fontId="268" fillId="0" borderId="7" xfId="4536" applyFont="1" applyBorder="1"/>
    <xf numFmtId="0" fontId="268" fillId="0" borderId="43" xfId="4536" applyFont="1" applyBorder="1" applyAlignment="1">
      <alignment horizontal="center" vertical="center" wrapText="1" shrinkToFit="1"/>
    </xf>
    <xf numFmtId="185" fontId="268" fillId="0" borderId="0" xfId="4537" applyFont="1" applyBorder="1" applyAlignment="1">
      <alignment horizontal="center" vertical="center"/>
    </xf>
    <xf numFmtId="185" fontId="268" fillId="0" borderId="7" xfId="4537" applyFont="1" applyBorder="1" applyAlignment="1">
      <alignment horizontal="center" vertical="center"/>
    </xf>
    <xf numFmtId="272" fontId="268" fillId="0" borderId="38" xfId="4537" applyNumberFormat="1" applyFont="1" applyBorder="1" applyAlignment="1">
      <alignment horizontal="center" vertical="center"/>
    </xf>
    <xf numFmtId="273" fontId="268" fillId="0" borderId="21" xfId="4537" applyNumberFormat="1" applyFont="1" applyBorder="1" applyAlignment="1">
      <alignment horizontal="center" vertical="center"/>
    </xf>
    <xf numFmtId="273" fontId="268" fillId="0" borderId="21" xfId="4537" applyNumberFormat="1" applyFont="1" applyBorder="1" applyAlignment="1">
      <alignment vertical="center"/>
    </xf>
    <xf numFmtId="185" fontId="268" fillId="0" borderId="21" xfId="4537" applyFont="1" applyBorder="1" applyAlignment="1">
      <alignment horizontal="center" vertical="center"/>
    </xf>
    <xf numFmtId="274" fontId="268" fillId="0" borderId="38" xfId="4537" applyNumberFormat="1" applyFont="1" applyBorder="1" applyAlignment="1">
      <alignment horizontal="right" vertical="center"/>
    </xf>
    <xf numFmtId="185" fontId="268" fillId="0" borderId="4" xfId="4537" applyFont="1" applyBorder="1" applyAlignment="1">
      <alignment horizontal="center" vertical="center"/>
    </xf>
    <xf numFmtId="273" fontId="268" fillId="0" borderId="359" xfId="4537" applyNumberFormat="1" applyFont="1" applyBorder="1" applyAlignment="1">
      <alignment vertical="center"/>
    </xf>
    <xf numFmtId="273" fontId="268" fillId="0" borderId="359" xfId="4537" applyNumberFormat="1" applyFont="1" applyBorder="1" applyAlignment="1">
      <alignment horizontal="left" vertical="center"/>
    </xf>
    <xf numFmtId="0" fontId="268" fillId="0" borderId="209" xfId="4536" applyFont="1" applyBorder="1" applyAlignment="1">
      <alignment horizontal="center" vertical="center"/>
    </xf>
    <xf numFmtId="0" fontId="268" fillId="0" borderId="7" xfId="4536" applyFont="1" applyBorder="1" applyAlignment="1">
      <alignment vertical="center"/>
    </xf>
    <xf numFmtId="0" fontId="268" fillId="0" borderId="43" xfId="4536" applyFont="1" applyBorder="1" applyAlignment="1">
      <alignment horizontal="center" vertical="center"/>
    </xf>
    <xf numFmtId="185" fontId="268" fillId="0" borderId="0" xfId="4537" applyFont="1" applyBorder="1" applyAlignment="1">
      <alignment horizontal="right" vertical="center"/>
    </xf>
    <xf numFmtId="0" fontId="268" fillId="0" borderId="21" xfId="4536" applyFont="1" applyBorder="1" applyAlignment="1">
      <alignment horizontal="left"/>
    </xf>
    <xf numFmtId="0" fontId="268" fillId="0" borderId="21" xfId="4536" applyFont="1" applyBorder="1" applyAlignment="1">
      <alignment horizontal="right"/>
    </xf>
    <xf numFmtId="273" fontId="268" fillId="0" borderId="359" xfId="4536" applyNumberFormat="1" applyFont="1" applyBorder="1" applyAlignment="1">
      <alignment vertical="center"/>
    </xf>
    <xf numFmtId="273" fontId="268" fillId="0" borderId="359" xfId="4536" applyNumberFormat="1" applyFont="1" applyBorder="1" applyAlignment="1">
      <alignment horizontal="center" vertical="center"/>
    </xf>
    <xf numFmtId="273" fontId="268" fillId="0" borderId="0" xfId="4538" applyNumberFormat="1" applyFont="1" applyAlignment="1">
      <alignment vertical="center"/>
    </xf>
    <xf numFmtId="0" fontId="268" fillId="0" borderId="359" xfId="4536" applyFont="1" applyBorder="1" applyAlignment="1">
      <alignment vertical="center"/>
    </xf>
    <xf numFmtId="0" fontId="268" fillId="0" borderId="210" xfId="4536" applyFont="1" applyBorder="1" applyAlignment="1">
      <alignment vertical="center"/>
    </xf>
    <xf numFmtId="0" fontId="268" fillId="0" borderId="38" xfId="4536" applyFont="1" applyBorder="1"/>
    <xf numFmtId="273" fontId="268" fillId="0" borderId="21" xfId="4536" applyNumberFormat="1" applyFont="1" applyBorder="1"/>
    <xf numFmtId="273" fontId="268" fillId="0" borderId="21" xfId="4536" applyNumberFormat="1" applyFont="1" applyBorder="1" applyAlignment="1">
      <alignment horizontal="center" vertical="center"/>
    </xf>
    <xf numFmtId="273" fontId="268" fillId="0" borderId="21" xfId="4537" applyNumberFormat="1" applyFont="1" applyBorder="1" applyAlignment="1">
      <alignment horizontal="left" vertical="center"/>
    </xf>
    <xf numFmtId="0" fontId="268" fillId="0" borderId="21" xfId="4536" applyFont="1" applyBorder="1" applyAlignment="1">
      <alignment horizontal="center"/>
    </xf>
    <xf numFmtId="274" fontId="268" fillId="0" borderId="21" xfId="4537" applyNumberFormat="1" applyFont="1" applyBorder="1" applyAlignment="1">
      <alignment horizontal="center" vertical="center"/>
    </xf>
    <xf numFmtId="273" fontId="268" fillId="0" borderId="38" xfId="4537" applyNumberFormat="1" applyFont="1" applyBorder="1" applyAlignment="1">
      <alignment horizontal="left" vertical="center"/>
    </xf>
    <xf numFmtId="0" fontId="268" fillId="0" borderId="359" xfId="4536" applyFont="1" applyBorder="1" applyAlignment="1">
      <alignment horizontal="left"/>
    </xf>
    <xf numFmtId="0" fontId="268" fillId="0" borderId="359" xfId="4536" applyFont="1" applyBorder="1"/>
    <xf numFmtId="272" fontId="268" fillId="0" borderId="38" xfId="4537" applyNumberFormat="1" applyFont="1" applyBorder="1" applyAlignment="1">
      <alignment horizontal="center" vertical="center" wrapText="1" shrinkToFit="1"/>
    </xf>
    <xf numFmtId="273" fontId="268" fillId="0" borderId="21" xfId="4537" applyNumberFormat="1" applyFont="1" applyBorder="1" applyAlignment="1">
      <alignment horizontal="center" vertical="center" wrapText="1" shrinkToFit="1"/>
    </xf>
    <xf numFmtId="273" fontId="268" fillId="0" borderId="21" xfId="4537" applyNumberFormat="1" applyFont="1" applyBorder="1" applyAlignment="1">
      <alignment horizontal="left" vertical="center" wrapText="1" shrinkToFit="1"/>
    </xf>
    <xf numFmtId="185" fontId="268" fillId="0" borderId="43" xfId="4537" applyFont="1" applyBorder="1" applyAlignment="1">
      <alignment horizontal="center" vertical="center"/>
    </xf>
    <xf numFmtId="0" fontId="268" fillId="0" borderId="210" xfId="4537" applyNumberFormat="1" applyFont="1" applyBorder="1" applyAlignment="1">
      <alignment horizontal="left" vertical="center"/>
    </xf>
    <xf numFmtId="273" fontId="268" fillId="0" borderId="359" xfId="4537" applyNumberFormat="1" applyFont="1" applyBorder="1" applyAlignment="1">
      <alignment horizontal="center" vertical="center"/>
    </xf>
    <xf numFmtId="273" fontId="268" fillId="0" borderId="359" xfId="4536" applyNumberFormat="1" applyFont="1" applyBorder="1"/>
    <xf numFmtId="0" fontId="268" fillId="0" borderId="209" xfId="4536" applyFont="1" applyBorder="1"/>
    <xf numFmtId="41" fontId="268" fillId="0" borderId="38" xfId="3426" applyFont="1" applyFill="1" applyBorder="1" applyAlignment="1">
      <alignment horizontal="right" vertical="center"/>
    </xf>
    <xf numFmtId="272" fontId="268" fillId="0" borderId="0" xfId="4537" applyNumberFormat="1" applyFont="1" applyFill="1" applyBorder="1" applyAlignment="1">
      <alignment horizontal="center" vertical="center"/>
    </xf>
    <xf numFmtId="41" fontId="268" fillId="0" borderId="21" xfId="3426" applyFont="1" applyFill="1" applyBorder="1" applyAlignment="1">
      <alignment horizontal="center" vertical="center"/>
    </xf>
    <xf numFmtId="275" fontId="268" fillId="0" borderId="21" xfId="3426" applyNumberFormat="1" applyFont="1" applyFill="1" applyBorder="1" applyAlignment="1">
      <alignment vertical="center"/>
    </xf>
    <xf numFmtId="41" fontId="268" fillId="0" borderId="21" xfId="3426" applyFont="1" applyFill="1" applyBorder="1" applyAlignment="1">
      <alignment horizontal="left" vertical="center"/>
    </xf>
    <xf numFmtId="0" fontId="268" fillId="0" borderId="0" xfId="4538" applyFont="1" applyAlignment="1">
      <alignment vertical="center"/>
    </xf>
    <xf numFmtId="273" fontId="268" fillId="0" borderId="21" xfId="4537" applyNumberFormat="1" applyFont="1" applyFill="1" applyBorder="1" applyAlignment="1">
      <alignment horizontal="left" vertical="center"/>
    </xf>
    <xf numFmtId="272" fontId="268" fillId="0" borderId="21" xfId="4537" applyNumberFormat="1" applyFont="1" applyFill="1" applyBorder="1" applyAlignment="1">
      <alignment horizontal="right" vertical="center"/>
    </xf>
    <xf numFmtId="0" fontId="268" fillId="0" borderId="21" xfId="4536" applyFont="1" applyBorder="1" applyAlignment="1">
      <alignment horizontal="center" vertical="center"/>
    </xf>
    <xf numFmtId="274" fontId="268" fillId="0" borderId="38" xfId="4537" applyNumberFormat="1" applyFont="1" applyBorder="1" applyAlignment="1">
      <alignment horizontal="center" vertical="center"/>
    </xf>
    <xf numFmtId="272" fontId="268" fillId="0" borderId="210" xfId="4537" applyNumberFormat="1" applyFont="1" applyBorder="1" applyAlignment="1">
      <alignment vertical="center"/>
    </xf>
    <xf numFmtId="272" fontId="268" fillId="0" borderId="359" xfId="4537" applyNumberFormat="1" applyFont="1" applyBorder="1" applyAlignment="1">
      <alignment vertical="center"/>
    </xf>
    <xf numFmtId="185" fontId="268" fillId="0" borderId="359" xfId="4537" applyFont="1" applyBorder="1" applyAlignment="1">
      <alignment horizontal="left" vertical="center"/>
    </xf>
    <xf numFmtId="274" fontId="268" fillId="0" borderId="210" xfId="4536" applyNumberFormat="1" applyFont="1" applyBorder="1" applyAlignment="1">
      <alignment vertical="center"/>
    </xf>
    <xf numFmtId="185" fontId="268" fillId="0" borderId="209" xfId="4537" applyFont="1" applyBorder="1" applyAlignment="1">
      <alignment horizontal="center" vertical="center"/>
    </xf>
    <xf numFmtId="272" fontId="268" fillId="0" borderId="38" xfId="4537" applyNumberFormat="1" applyFont="1" applyBorder="1" applyAlignment="1">
      <alignment horizontal="right" vertical="center"/>
    </xf>
    <xf numFmtId="272" fontId="268" fillId="0" borderId="21" xfId="4537" applyNumberFormat="1" applyFont="1" applyBorder="1" applyAlignment="1">
      <alignment horizontal="right" vertical="center"/>
    </xf>
    <xf numFmtId="272" fontId="268" fillId="0" borderId="21" xfId="4537" applyNumberFormat="1" applyFont="1" applyBorder="1" applyAlignment="1">
      <alignment horizontal="center" vertical="center"/>
    </xf>
    <xf numFmtId="274" fontId="268" fillId="0" borderId="21" xfId="4537" applyNumberFormat="1" applyFont="1" applyBorder="1" applyAlignment="1">
      <alignment horizontal="right" vertical="center"/>
    </xf>
    <xf numFmtId="274" fontId="268" fillId="0" borderId="21" xfId="4537" applyNumberFormat="1" applyFont="1" applyBorder="1" applyAlignment="1">
      <alignment vertical="center"/>
    </xf>
    <xf numFmtId="185" fontId="268" fillId="0" borderId="359" xfId="4537" applyFont="1" applyBorder="1" applyAlignment="1">
      <alignment horizontal="centerContinuous" vertical="center"/>
    </xf>
    <xf numFmtId="0" fontId="268" fillId="0" borderId="359" xfId="4536" applyFont="1" applyBorder="1" applyAlignment="1">
      <alignment horizontal="centerContinuous" vertical="center"/>
    </xf>
    <xf numFmtId="0" fontId="268" fillId="0" borderId="38" xfId="4536" applyFont="1" applyBorder="1" applyAlignment="1">
      <alignment horizontal="left"/>
    </xf>
    <xf numFmtId="0" fontId="268" fillId="0" borderId="21" xfId="4536" applyFont="1" applyBorder="1"/>
    <xf numFmtId="273" fontId="268" fillId="0" borderId="38" xfId="4537" applyNumberFormat="1" applyFont="1" applyBorder="1" applyAlignment="1">
      <alignment horizontal="center" vertical="center"/>
    </xf>
    <xf numFmtId="0" fontId="268" fillId="0" borderId="4" xfId="4536" applyFont="1" applyBorder="1" applyAlignment="1">
      <alignment horizontal="center" vertical="center"/>
    </xf>
    <xf numFmtId="272" fontId="268" fillId="0" borderId="0" xfId="4537" applyNumberFormat="1" applyFont="1" applyBorder="1" applyAlignment="1">
      <alignment horizontal="left" vertical="center"/>
    </xf>
    <xf numFmtId="0" fontId="268" fillId="0" borderId="0" xfId="4536" applyFont="1"/>
    <xf numFmtId="0" fontId="268" fillId="0" borderId="210" xfId="4538" applyFont="1" applyBorder="1"/>
    <xf numFmtId="0" fontId="268" fillId="0" borderId="209" xfId="4538" applyFont="1" applyBorder="1" applyAlignment="1">
      <alignment horizontal="center"/>
    </xf>
    <xf numFmtId="272" fontId="268" fillId="0" borderId="38" xfId="4537" applyNumberFormat="1" applyFont="1" applyBorder="1" applyAlignment="1">
      <alignment horizontal="left" vertical="center"/>
    </xf>
    <xf numFmtId="272" fontId="268" fillId="0" borderId="21" xfId="4537" applyNumberFormat="1" applyFont="1" applyBorder="1" applyAlignment="1">
      <alignment horizontal="left" vertical="center"/>
    </xf>
    <xf numFmtId="185" fontId="268" fillId="0" borderId="21" xfId="4537" applyFont="1" applyBorder="1" applyAlignment="1">
      <alignment horizontal="centerContinuous" vertical="center"/>
    </xf>
    <xf numFmtId="0" fontId="268" fillId="0" borderId="21" xfId="4536" applyFont="1" applyBorder="1" applyAlignment="1">
      <alignment horizontal="centerContinuous" vertical="center"/>
    </xf>
    <xf numFmtId="190" fontId="268" fillId="0" borderId="38" xfId="4536" applyNumberFormat="1" applyFont="1" applyBorder="1" applyAlignment="1">
      <alignment horizontal="right" vertical="center"/>
    </xf>
    <xf numFmtId="272" fontId="268" fillId="0" borderId="21" xfId="4537" applyNumberFormat="1" applyFont="1" applyBorder="1" applyAlignment="1">
      <alignment horizontal="center" vertical="center" wrapText="1" shrinkToFit="1"/>
    </xf>
    <xf numFmtId="185" fontId="268" fillId="0" borderId="38" xfId="4537" applyFont="1" applyBorder="1" applyAlignment="1">
      <alignment horizontal="center" vertical="center"/>
    </xf>
    <xf numFmtId="0" fontId="268" fillId="0" borderId="4" xfId="4536" applyFont="1" applyBorder="1" applyAlignment="1">
      <alignment horizontal="center" vertical="center" wrapText="1" shrinkToFit="1"/>
    </xf>
    <xf numFmtId="0" fontId="241" fillId="6" borderId="359" xfId="4536" applyFont="1" applyFill="1" applyBorder="1" applyAlignment="1">
      <alignment horizontal="left"/>
    </xf>
    <xf numFmtId="0" fontId="241" fillId="6" borderId="359" xfId="4536" applyFont="1" applyFill="1" applyBorder="1"/>
    <xf numFmtId="273" fontId="241" fillId="6" borderId="359" xfId="0" applyNumberFormat="1" applyFont="1" applyFill="1" applyBorder="1" applyAlignment="1">
      <alignment horizontal="center" vertical="center"/>
    </xf>
    <xf numFmtId="272" fontId="241" fillId="0" borderId="359" xfId="4537" applyNumberFormat="1" applyFont="1" applyBorder="1" applyAlignment="1">
      <alignment horizontal="left" vertical="center"/>
    </xf>
    <xf numFmtId="185" fontId="241" fillId="0" borderId="359" xfId="4537" applyFont="1" applyBorder="1" applyAlignment="1">
      <alignment horizontal="center" vertical="center"/>
    </xf>
    <xf numFmtId="0" fontId="241" fillId="0" borderId="359" xfId="4536" applyFont="1" applyBorder="1"/>
    <xf numFmtId="272" fontId="241" fillId="0" borderId="359" xfId="4537" applyNumberFormat="1" applyFont="1" applyBorder="1" applyAlignment="1">
      <alignment horizontal="center" vertical="center" wrapText="1" shrinkToFit="1"/>
    </xf>
    <xf numFmtId="369" fontId="13" fillId="0" borderId="425" xfId="4525" applyNumberFormat="1" applyFont="1" applyBorder="1" applyAlignment="1">
      <alignment horizontal="center" vertical="center" shrinkToFit="1"/>
    </xf>
    <xf numFmtId="3" fontId="217" fillId="0" borderId="23" xfId="11383" applyNumberFormat="1" applyFont="1" applyBorder="1" applyAlignment="1">
      <alignment horizontal="center" vertical="center"/>
    </xf>
    <xf numFmtId="3" fontId="249" fillId="0" borderId="9" xfId="11383" applyNumberFormat="1" applyFont="1" applyBorder="1" applyAlignment="1">
      <alignment horizontal="center" vertical="center"/>
    </xf>
    <xf numFmtId="3" fontId="217" fillId="0" borderId="5" xfId="11383" applyNumberFormat="1" applyFont="1" applyBorder="1" applyAlignment="1">
      <alignment horizontal="center" vertical="center"/>
    </xf>
    <xf numFmtId="0" fontId="251" fillId="0" borderId="0" xfId="37544" applyFont="1" applyAlignment="1"/>
    <xf numFmtId="0" fontId="240" fillId="0" borderId="0" xfId="37544" applyAlignment="1"/>
    <xf numFmtId="0" fontId="250" fillId="0" borderId="0" xfId="37544" applyFont="1">
      <alignment vertical="center"/>
    </xf>
    <xf numFmtId="0" fontId="266" fillId="0" borderId="0" xfId="37544" applyFont="1" applyAlignment="1">
      <alignment horizontal="right" vertical="center"/>
    </xf>
    <xf numFmtId="0" fontId="266" fillId="0" borderId="0" xfId="37544" applyFont="1">
      <alignment vertical="center"/>
    </xf>
    <xf numFmtId="0" fontId="240" fillId="0" borderId="0" xfId="37544">
      <alignment vertical="center"/>
    </xf>
    <xf numFmtId="0" fontId="187" fillId="0" borderId="0" xfId="37544" applyFont="1">
      <alignment vertical="center"/>
    </xf>
    <xf numFmtId="0" fontId="270" fillId="0" borderId="0" xfId="37544" applyFont="1">
      <alignment vertical="center"/>
    </xf>
    <xf numFmtId="0" fontId="135" fillId="0" borderId="0" xfId="37544" applyFont="1">
      <alignment vertical="center"/>
    </xf>
    <xf numFmtId="0" fontId="259" fillId="0" borderId="0" xfId="37544" applyFont="1">
      <alignment vertical="center"/>
    </xf>
    <xf numFmtId="0" fontId="271" fillId="0" borderId="0" xfId="37544" applyFont="1">
      <alignment vertical="center"/>
    </xf>
    <xf numFmtId="0" fontId="265" fillId="0" borderId="0" xfId="37544" applyFont="1">
      <alignment vertical="center"/>
    </xf>
    <xf numFmtId="0" fontId="270" fillId="0" borderId="0" xfId="37544" applyFont="1" applyAlignment="1">
      <alignment horizontal="center" vertical="center"/>
    </xf>
    <xf numFmtId="0" fontId="270" fillId="0" borderId="0" xfId="37544" quotePrefix="1" applyFont="1" applyAlignment="1">
      <alignment horizontal="left" vertical="center"/>
    </xf>
    <xf numFmtId="0" fontId="270" fillId="0" borderId="0" xfId="37544" applyFont="1" applyAlignment="1">
      <alignment horizontal="left" vertical="center"/>
    </xf>
    <xf numFmtId="0" fontId="273" fillId="0" borderId="0" xfId="37544" applyFont="1" applyAlignment="1">
      <alignment horizontal="center" vertical="center"/>
    </xf>
    <xf numFmtId="0" fontId="273" fillId="0" borderId="0" xfId="37544" applyFont="1">
      <alignment vertical="center"/>
    </xf>
    <xf numFmtId="0" fontId="274" fillId="0" borderId="0" xfId="37544" applyFont="1">
      <alignment vertical="center"/>
    </xf>
    <xf numFmtId="0" fontId="270" fillId="0" borderId="0" xfId="37544" applyFont="1" applyAlignment="1">
      <alignment horizontal="right" vertical="center"/>
    </xf>
    <xf numFmtId="0" fontId="273" fillId="0" borderId="0" xfId="37544" applyFont="1" applyAlignment="1">
      <alignment horizontal="right" vertical="center"/>
    </xf>
    <xf numFmtId="0" fontId="252" fillId="0" borderId="0" xfId="37544" applyFont="1">
      <alignment vertical="center"/>
    </xf>
    <xf numFmtId="0" fontId="275" fillId="0" borderId="0" xfId="37544" applyFont="1">
      <alignment vertical="center"/>
    </xf>
    <xf numFmtId="0" fontId="240" fillId="0" borderId="0" xfId="37544" applyAlignment="1">
      <alignment horizontal="right"/>
    </xf>
    <xf numFmtId="0" fontId="252" fillId="0" borderId="0" xfId="37544" applyFont="1" applyAlignment="1"/>
    <xf numFmtId="0" fontId="276" fillId="0" borderId="0" xfId="37544" applyFont="1" applyAlignment="1">
      <alignment horizontal="center" vertical="center"/>
    </xf>
    <xf numFmtId="3" fontId="187" fillId="0" borderId="0" xfId="37544" applyNumberFormat="1" applyFont="1" applyAlignment="1">
      <alignment horizontal="left" vertical="center"/>
    </xf>
    <xf numFmtId="0" fontId="266" fillId="0" borderId="14" xfId="37544" applyFont="1" applyBorder="1" applyAlignment="1">
      <alignment horizontal="left" vertical="center"/>
    </xf>
    <xf numFmtId="0" fontId="266" fillId="0" borderId="0" xfId="37544" applyFont="1" applyAlignment="1"/>
    <xf numFmtId="0" fontId="266" fillId="0" borderId="376" xfId="37544" applyFont="1" applyBorder="1" applyAlignment="1">
      <alignment horizontal="center" vertical="center"/>
    </xf>
    <xf numFmtId="0" fontId="266" fillId="0" borderId="468" xfId="37544" applyFont="1" applyBorder="1" applyAlignment="1">
      <alignment horizontal="center" vertical="center"/>
    </xf>
    <xf numFmtId="9" fontId="266" fillId="0" borderId="469" xfId="37544" applyNumberFormat="1" applyFont="1" applyBorder="1" applyAlignment="1">
      <alignment horizontal="center" vertical="center"/>
    </xf>
    <xf numFmtId="9" fontId="266" fillId="41" borderId="470" xfId="37544" applyNumberFormat="1" applyFont="1" applyFill="1" applyBorder="1" applyAlignment="1">
      <alignment horizontal="center" vertical="center"/>
    </xf>
    <xf numFmtId="9" fontId="266" fillId="41" borderId="9" xfId="37544" applyNumberFormat="1" applyFont="1" applyFill="1" applyBorder="1" applyAlignment="1">
      <alignment horizontal="center" vertical="center"/>
    </xf>
    <xf numFmtId="0" fontId="266" fillId="41" borderId="20" xfId="37544" applyFont="1" applyFill="1" applyBorder="1" applyAlignment="1">
      <alignment horizontal="center" vertical="center"/>
    </xf>
    <xf numFmtId="0" fontId="266" fillId="41" borderId="15" xfId="37544" applyFont="1" applyFill="1" applyBorder="1" applyAlignment="1">
      <alignment horizontal="center" vertical="center"/>
    </xf>
    <xf numFmtId="0" fontId="266" fillId="41" borderId="16" xfId="37544" applyFont="1" applyFill="1" applyBorder="1" applyAlignment="1">
      <alignment horizontal="center" vertical="center"/>
    </xf>
    <xf numFmtId="0" fontId="266" fillId="0" borderId="471" xfId="37544" applyFont="1" applyBorder="1" applyAlignment="1">
      <alignment horizontal="center" vertical="center"/>
    </xf>
    <xf numFmtId="9" fontId="266" fillId="0" borderId="472" xfId="37544" applyNumberFormat="1" applyFont="1" applyBorder="1" applyAlignment="1">
      <alignment horizontal="center" vertical="center"/>
    </xf>
    <xf numFmtId="0" fontId="266" fillId="0" borderId="473" xfId="37544" applyFont="1" applyBorder="1" applyAlignment="1">
      <alignment horizontal="center" vertical="center"/>
    </xf>
    <xf numFmtId="0" fontId="266" fillId="0" borderId="474" xfId="37544" applyFont="1" applyBorder="1" applyAlignment="1">
      <alignment horizontal="center" vertical="center"/>
    </xf>
    <xf numFmtId="0" fontId="266" fillId="0" borderId="475" xfId="37544" applyFont="1" applyBorder="1" applyAlignment="1">
      <alignment horizontal="center" vertical="center"/>
    </xf>
    <xf numFmtId="0" fontId="266" fillId="0" borderId="476" xfId="37544" applyFont="1" applyBorder="1" applyAlignment="1">
      <alignment horizontal="center" vertical="center"/>
    </xf>
    <xf numFmtId="9" fontId="266" fillId="0" borderId="474" xfId="37544" applyNumberFormat="1" applyFont="1" applyBorder="1" applyAlignment="1">
      <alignment horizontal="center" vertical="center"/>
    </xf>
    <xf numFmtId="9" fontId="266" fillId="0" borderId="475" xfId="37544" applyNumberFormat="1" applyFont="1" applyBorder="1" applyAlignment="1">
      <alignment horizontal="center" vertical="center"/>
    </xf>
    <xf numFmtId="0" fontId="90" fillId="0" borderId="0" xfId="37544" applyFont="1" applyAlignment="1">
      <alignment horizontal="center" vertical="center"/>
    </xf>
    <xf numFmtId="9" fontId="90" fillId="0" borderId="0" xfId="37544" applyNumberFormat="1" applyFont="1" applyAlignment="1">
      <alignment horizontal="center" vertical="center"/>
    </xf>
    <xf numFmtId="0" fontId="240" fillId="0" borderId="0" xfId="37544" applyAlignment="1">
      <alignment horizontal="center" vertical="center"/>
    </xf>
    <xf numFmtId="179" fontId="133" fillId="0" borderId="0" xfId="37545" applyNumberFormat="1" applyFont="1" applyAlignment="1">
      <alignment horizontal="center" vertical="center"/>
    </xf>
    <xf numFmtId="179" fontId="6" fillId="0" borderId="0" xfId="37545" applyNumberFormat="1" applyAlignment="1">
      <alignment horizontal="center" vertical="center"/>
    </xf>
    <xf numFmtId="179" fontId="11" fillId="0" borderId="0" xfId="37545" applyNumberFormat="1" applyFont="1" applyAlignment="1">
      <alignment horizontal="center" vertical="center"/>
    </xf>
    <xf numFmtId="179" fontId="11" fillId="0" borderId="43" xfId="37545" applyNumberFormat="1" applyFont="1" applyBorder="1" applyAlignment="1">
      <alignment horizontal="center" vertical="center"/>
    </xf>
    <xf numFmtId="179" fontId="277" fillId="0" borderId="427" xfId="37545" applyNumberFormat="1" applyFont="1" applyBorder="1" applyAlignment="1">
      <alignment vertical="center"/>
    </xf>
    <xf numFmtId="179" fontId="277" fillId="0" borderId="431" xfId="37545" applyNumberFormat="1" applyFont="1" applyBorder="1" applyAlignment="1">
      <alignment vertical="center"/>
    </xf>
    <xf numFmtId="179" fontId="277" fillId="0" borderId="428" xfId="37545" applyNumberFormat="1" applyFont="1" applyBorder="1" applyAlignment="1">
      <alignment vertical="center"/>
    </xf>
    <xf numFmtId="179" fontId="277" fillId="0" borderId="485" xfId="37545" applyNumberFormat="1" applyFont="1" applyBorder="1" applyAlignment="1">
      <alignment vertical="center"/>
    </xf>
    <xf numFmtId="179" fontId="277" fillId="0" borderId="0" xfId="37545" applyNumberFormat="1" applyFont="1" applyAlignment="1">
      <alignment horizontal="center" vertical="center"/>
    </xf>
    <xf numFmtId="179" fontId="277" fillId="0" borderId="7" xfId="37545" applyNumberFormat="1" applyFont="1" applyBorder="1" applyAlignment="1">
      <alignment vertical="center"/>
    </xf>
    <xf numFmtId="179" fontId="277" fillId="0" borderId="0" xfId="37545" applyNumberFormat="1" applyFont="1" applyAlignment="1">
      <alignment vertical="center"/>
    </xf>
    <xf numFmtId="179" fontId="277" fillId="0" borderId="43" xfId="37545" applyNumberFormat="1" applyFont="1" applyBorder="1" applyAlignment="1">
      <alignment vertical="center"/>
    </xf>
    <xf numFmtId="179" fontId="277" fillId="0" borderId="463" xfId="37545" applyNumberFormat="1" applyFont="1" applyBorder="1" applyAlignment="1">
      <alignment vertical="center"/>
    </xf>
    <xf numFmtId="179" fontId="11" fillId="0" borderId="449" xfId="37545" applyNumberFormat="1" applyFont="1" applyBorder="1" applyAlignment="1">
      <alignment horizontal="center" vertical="center"/>
    </xf>
    <xf numFmtId="179" fontId="11" fillId="0" borderId="430" xfId="37545" applyNumberFormat="1" applyFont="1" applyBorder="1" applyAlignment="1">
      <alignment horizontal="center" vertical="center"/>
    </xf>
    <xf numFmtId="179" fontId="277" fillId="0" borderId="487" xfId="37545" applyNumberFormat="1" applyFont="1" applyBorder="1" applyAlignment="1">
      <alignment vertical="center"/>
    </xf>
    <xf numFmtId="179" fontId="277" fillId="0" borderId="488" xfId="37545" applyNumberFormat="1" applyFont="1" applyBorder="1" applyAlignment="1">
      <alignment vertical="center"/>
    </xf>
    <xf numFmtId="179" fontId="277" fillId="0" borderId="429" xfId="37545" applyNumberFormat="1" applyFont="1" applyBorder="1" applyAlignment="1">
      <alignment vertical="center"/>
    </xf>
    <xf numFmtId="179" fontId="277" fillId="0" borderId="449" xfId="37545" applyNumberFormat="1" applyFont="1" applyBorder="1" applyAlignment="1">
      <alignment vertical="center"/>
    </xf>
    <xf numFmtId="179" fontId="277" fillId="0" borderId="430" xfId="37545" applyNumberFormat="1" applyFont="1" applyBorder="1" applyAlignment="1">
      <alignment vertical="center"/>
    </xf>
    <xf numFmtId="179" fontId="277" fillId="0" borderId="489" xfId="37545" applyNumberFormat="1" applyFont="1" applyBorder="1" applyAlignment="1">
      <alignment vertical="center"/>
    </xf>
    <xf numFmtId="179" fontId="11" fillId="0" borderId="375" xfId="37545" applyNumberFormat="1" applyFont="1" applyBorder="1" applyAlignment="1">
      <alignment horizontal="center" vertical="center"/>
    </xf>
    <xf numFmtId="179" fontId="11" fillId="0" borderId="463" xfId="37545" applyNumberFormat="1" applyFont="1" applyBorder="1" applyAlignment="1">
      <alignment horizontal="center" vertical="center"/>
    </xf>
    <xf numFmtId="179" fontId="277" fillId="0" borderId="375" xfId="37545" applyNumberFormat="1" applyFont="1" applyBorder="1" applyAlignment="1">
      <alignment vertical="center"/>
    </xf>
    <xf numFmtId="179" fontId="278" fillId="0" borderId="0" xfId="37545" applyNumberFormat="1" applyFont="1" applyAlignment="1">
      <alignment horizontal="left" vertical="center"/>
    </xf>
    <xf numFmtId="0" fontId="11" fillId="0" borderId="0" xfId="37545" applyFont="1" applyAlignment="1">
      <alignment horizontal="left" vertical="center"/>
    </xf>
    <xf numFmtId="179" fontId="11" fillId="0" borderId="0" xfId="37545" applyNumberFormat="1" applyFont="1" applyAlignment="1">
      <alignment horizontal="left" vertical="center"/>
    </xf>
    <xf numFmtId="179" fontId="278" fillId="0" borderId="375" xfId="37545" applyNumberFormat="1" applyFont="1" applyBorder="1" applyAlignment="1">
      <alignment horizontal="left" vertical="center"/>
    </xf>
    <xf numFmtId="179" fontId="279" fillId="0" borderId="375" xfId="37545" applyNumberFormat="1" applyFont="1" applyBorder="1" applyAlignment="1">
      <alignment vertical="center"/>
    </xf>
    <xf numFmtId="179" fontId="279" fillId="0" borderId="463" xfId="37545" applyNumberFormat="1" applyFont="1" applyBorder="1" applyAlignment="1">
      <alignment vertical="center"/>
    </xf>
    <xf numFmtId="179" fontId="282" fillId="0" borderId="375" xfId="37545" applyNumberFormat="1" applyFont="1" applyBorder="1" applyAlignment="1">
      <alignment horizontal="center" vertical="center"/>
    </xf>
    <xf numFmtId="179" fontId="282" fillId="0" borderId="0" xfId="37545" applyNumberFormat="1" applyFont="1" applyAlignment="1">
      <alignment horizontal="center" vertical="center"/>
    </xf>
    <xf numFmtId="179" fontId="282" fillId="0" borderId="463" xfId="37545" applyNumberFormat="1" applyFont="1" applyBorder="1" applyAlignment="1">
      <alignment horizontal="center" vertical="center"/>
    </xf>
    <xf numFmtId="179" fontId="277" fillId="0" borderId="0" xfId="37545" applyNumberFormat="1" applyFont="1" applyAlignment="1">
      <alignment horizontal="distributed" vertical="center"/>
    </xf>
    <xf numFmtId="0" fontId="6" fillId="0" borderId="0" xfId="37546" applyFont="1" applyAlignment="1">
      <alignment horizontal="left" vertical="center"/>
    </xf>
    <xf numFmtId="179" fontId="257" fillId="0" borderId="0" xfId="37545" applyNumberFormat="1" applyFont="1" applyAlignment="1">
      <alignment vertical="center"/>
    </xf>
    <xf numFmtId="179" fontId="257" fillId="0" borderId="0" xfId="37545" applyNumberFormat="1" applyFont="1" applyAlignment="1">
      <alignment horizontal="left" vertical="center"/>
    </xf>
    <xf numFmtId="179" fontId="6" fillId="0" borderId="0" xfId="37545" applyNumberFormat="1" applyAlignment="1">
      <alignment horizontal="left" vertical="center"/>
    </xf>
    <xf numFmtId="179" fontId="277" fillId="0" borderId="0" xfId="37545" applyNumberFormat="1" applyFont="1" applyAlignment="1">
      <alignment horizontal="left" vertical="center"/>
    </xf>
    <xf numFmtId="0" fontId="6" fillId="0" borderId="0" xfId="37546" quotePrefix="1" applyFont="1">
      <alignment vertical="center"/>
    </xf>
    <xf numFmtId="0" fontId="6" fillId="0" borderId="0" xfId="37546" applyFont="1" applyAlignment="1">
      <alignment horizontal="center" vertical="center"/>
    </xf>
    <xf numFmtId="0" fontId="6" fillId="0" borderId="0" xfId="37546" quotePrefix="1" applyFont="1" applyAlignment="1">
      <alignment horizontal="left" vertical="center"/>
    </xf>
    <xf numFmtId="0" fontId="257" fillId="0" borderId="0" xfId="37546" applyFont="1" applyAlignment="1">
      <alignment horizontal="left" vertical="center"/>
    </xf>
    <xf numFmtId="179" fontId="283" fillId="0" borderId="0" xfId="37545" applyNumberFormat="1" applyFont="1" applyAlignment="1">
      <alignment horizontal="center" vertical="center"/>
    </xf>
    <xf numFmtId="0" fontId="257" fillId="0" borderId="0" xfId="37546" quotePrefix="1" applyFont="1" applyAlignment="1">
      <alignment horizontal="left" vertical="center"/>
    </xf>
    <xf numFmtId="179" fontId="135" fillId="0" borderId="0" xfId="37545" applyNumberFormat="1" applyFont="1" applyAlignment="1">
      <alignment horizontal="distributed" vertical="center"/>
    </xf>
    <xf numFmtId="179" fontId="6" fillId="0" borderId="375" xfId="37545" applyNumberFormat="1" applyBorder="1" applyAlignment="1">
      <alignment horizontal="center" vertical="center"/>
    </xf>
    <xf numFmtId="179" fontId="6" fillId="0" borderId="449" xfId="37545" applyNumberFormat="1" applyBorder="1" applyAlignment="1">
      <alignment horizontal="center" vertical="center"/>
    </xf>
    <xf numFmtId="179" fontId="284" fillId="0" borderId="449" xfId="37545" applyNumberFormat="1" applyFont="1" applyBorder="1" applyAlignment="1">
      <alignment horizontal="center" vertical="center"/>
    </xf>
    <xf numFmtId="179" fontId="286" fillId="0" borderId="0" xfId="37545" applyNumberFormat="1" applyFont="1" applyAlignment="1">
      <alignment horizontal="center" vertical="center"/>
    </xf>
    <xf numFmtId="179" fontId="6" fillId="0" borderId="431" xfId="37545" applyNumberFormat="1" applyBorder="1" applyAlignment="1">
      <alignment horizontal="center" vertical="center"/>
    </xf>
    <xf numFmtId="179" fontId="287" fillId="0" borderId="0" xfId="37545" applyNumberFormat="1" applyFont="1" applyAlignment="1">
      <alignment horizontal="center" vertical="center"/>
    </xf>
    <xf numFmtId="370" fontId="287" fillId="0" borderId="0" xfId="11335" applyNumberFormat="1" applyFont="1" applyAlignment="1">
      <alignment horizontal="right" vertical="center"/>
    </xf>
    <xf numFmtId="41" fontId="287" fillId="0" borderId="0" xfId="11335" applyFont="1" applyAlignment="1">
      <alignment horizontal="right" vertical="center"/>
    </xf>
    <xf numFmtId="179" fontId="288" fillId="0" borderId="0" xfId="37545" applyNumberFormat="1" applyFont="1" applyAlignment="1">
      <alignment horizontal="left" vertical="center"/>
    </xf>
    <xf numFmtId="179" fontId="287" fillId="0" borderId="0" xfId="37545" applyNumberFormat="1" applyFont="1" applyAlignment="1">
      <alignment horizontal="left" vertical="center"/>
    </xf>
    <xf numFmtId="179" fontId="287" fillId="0" borderId="0" xfId="37545" applyNumberFormat="1" applyFont="1" applyAlignment="1">
      <alignment horizontal="distributed" vertical="center"/>
    </xf>
    <xf numFmtId="380" fontId="287" fillId="0" borderId="0" xfId="11335" applyNumberFormat="1" applyFont="1" applyAlignment="1">
      <alignment horizontal="right" vertical="center"/>
    </xf>
    <xf numFmtId="381" fontId="288" fillId="0" borderId="0" xfId="37545" applyNumberFormat="1" applyFont="1" applyAlignment="1">
      <alignment horizontal="left" vertical="center"/>
    </xf>
    <xf numFmtId="0" fontId="288" fillId="0" borderId="0" xfId="37545" applyFont="1" applyAlignment="1">
      <alignment horizontal="left" vertical="center"/>
    </xf>
    <xf numFmtId="179" fontId="11" fillId="0" borderId="378" xfId="37545" applyNumberFormat="1" applyFont="1" applyBorder="1" applyAlignment="1">
      <alignment horizontal="center" vertical="center"/>
    </xf>
    <xf numFmtId="179" fontId="11" fillId="0" borderId="14" xfId="37545" applyNumberFormat="1" applyFont="1" applyBorder="1" applyAlignment="1">
      <alignment horizontal="center" vertical="center"/>
    </xf>
    <xf numFmtId="179" fontId="11" fillId="0" borderId="490" xfId="37545" applyNumberFormat="1" applyFont="1" applyBorder="1" applyAlignment="1">
      <alignment horizontal="center" vertical="center"/>
    </xf>
    <xf numFmtId="0" fontId="57" fillId="0" borderId="0" xfId="37545" applyFont="1" applyAlignment="1">
      <alignment vertical="center"/>
    </xf>
    <xf numFmtId="179" fontId="289" fillId="0" borderId="0" xfId="37545" applyNumberFormat="1" applyFont="1" applyAlignment="1">
      <alignment horizontal="center" vertical="center"/>
    </xf>
    <xf numFmtId="0" fontId="128" fillId="0" borderId="0" xfId="37545" applyFont="1" applyAlignment="1">
      <alignment horizontal="left" vertical="center"/>
    </xf>
    <xf numFmtId="0" fontId="133" fillId="0" borderId="0" xfId="37545" applyFont="1" applyAlignment="1">
      <alignment horizontal="center" vertical="center"/>
    </xf>
    <xf numFmtId="179" fontId="6" fillId="0" borderId="0" xfId="37545" applyNumberFormat="1" applyAlignment="1">
      <alignment horizontal="right" vertical="center"/>
    </xf>
    <xf numFmtId="0" fontId="270" fillId="0" borderId="0" xfId="37544" applyFont="1" applyAlignment="1">
      <alignment horizontal="left" vertical="center" wrapText="1"/>
    </xf>
    <xf numFmtId="0" fontId="269" fillId="0" borderId="0" xfId="37544" applyFont="1" applyAlignment="1">
      <alignment horizontal="center" vertical="center"/>
    </xf>
    <xf numFmtId="0" fontId="266" fillId="0" borderId="0" xfId="37544" applyFont="1" applyAlignment="1">
      <alignment horizontal="left" vertical="center" wrapText="1"/>
    </xf>
    <xf numFmtId="0" fontId="272" fillId="0" borderId="458" xfId="37544" applyFont="1" applyBorder="1" applyAlignment="1">
      <alignment horizontal="center" vertical="center"/>
    </xf>
    <xf numFmtId="0" fontId="272" fillId="0" borderId="459" xfId="37544" applyFont="1" applyBorder="1" applyAlignment="1">
      <alignment horizontal="center" vertical="center"/>
    </xf>
    <xf numFmtId="0" fontId="272" fillId="0" borderId="460" xfId="37544" applyFont="1" applyBorder="1" applyAlignment="1">
      <alignment horizontal="center" vertical="center"/>
    </xf>
    <xf numFmtId="0" fontId="270" fillId="0" borderId="458" xfId="37544" applyFont="1" applyBorder="1" applyAlignment="1">
      <alignment horizontal="center" vertical="center"/>
    </xf>
    <xf numFmtId="0" fontId="270" fillId="0" borderId="459" xfId="37544" applyFont="1" applyBorder="1" applyAlignment="1">
      <alignment horizontal="center" vertical="center"/>
    </xf>
    <xf numFmtId="0" fontId="270" fillId="0" borderId="459" xfId="37544" quotePrefix="1" applyFont="1" applyBorder="1" applyAlignment="1">
      <alignment horizontal="left" vertical="center"/>
    </xf>
    <xf numFmtId="0" fontId="270" fillId="0" borderId="459" xfId="37544" applyFont="1" applyBorder="1" applyAlignment="1">
      <alignment horizontal="left" vertical="center"/>
    </xf>
    <xf numFmtId="0" fontId="270" fillId="0" borderId="460" xfId="37544" applyFont="1" applyBorder="1" applyAlignment="1">
      <alignment horizontal="left" vertical="center"/>
    </xf>
    <xf numFmtId="0" fontId="276" fillId="0" borderId="0" xfId="37544" applyFont="1" applyAlignment="1">
      <alignment horizontal="center" vertical="center"/>
    </xf>
    <xf numFmtId="0" fontId="252" fillId="0" borderId="0" xfId="37544" applyFont="1" applyAlignment="1">
      <alignment horizontal="center"/>
    </xf>
    <xf numFmtId="0" fontId="266" fillId="0" borderId="461" xfId="37544" applyFont="1" applyBorder="1" applyAlignment="1">
      <alignment horizontal="center" vertical="center"/>
    </xf>
    <xf numFmtId="0" fontId="266" fillId="0" borderId="376" xfId="37544" applyFont="1" applyBorder="1" applyAlignment="1">
      <alignment horizontal="center" vertical="center"/>
    </xf>
    <xf numFmtId="0" fontId="266" fillId="0" borderId="462" xfId="37544" applyFont="1" applyBorder="1" applyAlignment="1">
      <alignment horizontal="center" vertical="center"/>
    </xf>
    <xf numFmtId="0" fontId="266" fillId="0" borderId="463" xfId="37544" applyFont="1" applyBorder="1" applyAlignment="1">
      <alignment horizontal="center" vertical="center"/>
    </xf>
    <xf numFmtId="0" fontId="266" fillId="0" borderId="19" xfId="37544" applyFont="1" applyBorder="1" applyAlignment="1">
      <alignment horizontal="center" vertical="center"/>
    </xf>
    <xf numFmtId="0" fontId="266" fillId="0" borderId="464" xfId="37544" applyFont="1" applyBorder="1" applyAlignment="1">
      <alignment horizontal="center" vertical="center"/>
    </xf>
    <xf numFmtId="0" fontId="266" fillId="0" borderId="465" xfId="37544" applyFont="1" applyBorder="1" applyAlignment="1">
      <alignment horizontal="center" vertical="center"/>
    </xf>
    <xf numFmtId="0" fontId="266" fillId="0" borderId="466" xfId="37544" applyFont="1" applyBorder="1" applyAlignment="1">
      <alignment horizontal="center" vertical="center"/>
    </xf>
    <xf numFmtId="0" fontId="266" fillId="0" borderId="467" xfId="37544" applyFont="1" applyBorder="1" applyAlignment="1">
      <alignment horizontal="center" vertical="center"/>
    </xf>
    <xf numFmtId="179" fontId="289" fillId="0" borderId="0" xfId="37545" applyNumberFormat="1" applyFont="1" applyAlignment="1">
      <alignment horizontal="right" vertical="center"/>
    </xf>
    <xf numFmtId="179" fontId="287" fillId="0" borderId="0" xfId="37545" applyNumberFormat="1" applyFont="1" applyAlignment="1">
      <alignment horizontal="distributed" vertical="center"/>
    </xf>
    <xf numFmtId="380" fontId="287" fillId="0" borderId="0" xfId="11335" applyNumberFormat="1" applyFont="1" applyAlignment="1">
      <alignment horizontal="right" vertical="center"/>
    </xf>
    <xf numFmtId="381" fontId="288" fillId="0" borderId="0" xfId="37545" applyNumberFormat="1" applyFont="1" applyAlignment="1">
      <alignment horizontal="left" vertical="center"/>
    </xf>
    <xf numFmtId="179" fontId="284" fillId="0" borderId="449" xfId="37545" applyNumberFormat="1" applyFont="1" applyBorder="1" applyAlignment="1">
      <alignment horizontal="distributed" vertical="center"/>
    </xf>
    <xf numFmtId="380" fontId="284" fillId="0" borderId="449" xfId="11335" applyNumberFormat="1" applyFont="1" applyBorder="1" applyAlignment="1">
      <alignment horizontal="right" vertical="center"/>
    </xf>
    <xf numFmtId="381" fontId="285" fillId="0" borderId="0" xfId="37545" applyNumberFormat="1" applyFont="1" applyAlignment="1">
      <alignment horizontal="left" vertical="center"/>
    </xf>
    <xf numFmtId="179" fontId="277" fillId="0" borderId="477" xfId="37545" applyNumberFormat="1" applyFont="1" applyBorder="1" applyAlignment="1">
      <alignment horizontal="center" vertical="center"/>
    </xf>
    <xf numFmtId="179" fontId="277" fillId="0" borderId="478" xfId="37545" applyNumberFormat="1" applyFont="1" applyBorder="1" applyAlignment="1">
      <alignment horizontal="center" vertical="center"/>
    </xf>
    <xf numFmtId="179" fontId="277" fillId="0" borderId="479" xfId="37545" applyNumberFormat="1" applyFont="1" applyBorder="1" applyAlignment="1">
      <alignment horizontal="center" vertical="center"/>
    </xf>
    <xf numFmtId="179" fontId="6" fillId="0" borderId="480" xfId="37545" applyNumberFormat="1" applyBorder="1" applyAlignment="1">
      <alignment horizontal="center" vertical="center"/>
    </xf>
    <xf numFmtId="179" fontId="6" fillId="0" borderId="478" xfId="37545" applyNumberFormat="1" applyBorder="1" applyAlignment="1">
      <alignment horizontal="center" vertical="center"/>
    </xf>
    <xf numFmtId="179" fontId="6" fillId="0" borderId="479" xfId="37545" applyNumberFormat="1" applyBorder="1" applyAlignment="1">
      <alignment horizontal="center" vertical="center"/>
    </xf>
    <xf numFmtId="179" fontId="6" fillId="0" borderId="481" xfId="37545" applyNumberFormat="1" applyBorder="1" applyAlignment="1">
      <alignment horizontal="center" vertical="center"/>
    </xf>
    <xf numFmtId="179" fontId="6" fillId="0" borderId="482" xfId="37545" applyNumberFormat="1" applyBorder="1" applyAlignment="1">
      <alignment horizontal="center" vertical="center"/>
    </xf>
    <xf numFmtId="179" fontId="6" fillId="0" borderId="483" xfId="37545" applyNumberFormat="1" applyBorder="1" applyAlignment="1">
      <alignment horizontal="center" vertical="center"/>
    </xf>
    <xf numFmtId="179" fontId="277" fillId="0" borderId="484" xfId="37545" applyNumberFormat="1" applyFont="1" applyBorder="1" applyAlignment="1">
      <alignment horizontal="center" vertical="center"/>
    </xf>
    <xf numFmtId="179" fontId="277" fillId="0" borderId="431" xfId="37545" applyNumberFormat="1" applyFont="1" applyBorder="1" applyAlignment="1">
      <alignment horizontal="center" vertical="center"/>
    </xf>
    <xf numFmtId="179" fontId="277" fillId="0" borderId="428" xfId="37545" applyNumberFormat="1" applyFont="1" applyBorder="1" applyAlignment="1">
      <alignment horizontal="center" vertical="center"/>
    </xf>
    <xf numFmtId="179" fontId="277" fillId="0" borderId="375" xfId="37545" applyNumberFormat="1" applyFont="1" applyBorder="1" applyAlignment="1">
      <alignment horizontal="center" vertical="center"/>
    </xf>
    <xf numFmtId="179" fontId="277" fillId="0" borderId="0" xfId="37545" applyNumberFormat="1" applyFont="1" applyAlignment="1">
      <alignment horizontal="center" vertical="center"/>
    </xf>
    <xf numFmtId="179" fontId="277" fillId="0" borderId="43" xfId="37545" applyNumberFormat="1" applyFont="1" applyBorder="1" applyAlignment="1">
      <alignment horizontal="center" vertical="center"/>
    </xf>
    <xf numFmtId="179" fontId="277" fillId="0" borderId="486" xfId="37545" applyNumberFormat="1" applyFont="1" applyBorder="1" applyAlignment="1">
      <alignment horizontal="center" vertical="center"/>
    </xf>
    <xf numFmtId="179" fontId="277" fillId="0" borderId="449" xfId="37545" applyNumberFormat="1" applyFont="1" applyBorder="1" applyAlignment="1">
      <alignment horizontal="center" vertical="center"/>
    </xf>
    <xf numFmtId="179" fontId="277" fillId="0" borderId="430" xfId="37545" applyNumberFormat="1" applyFont="1" applyBorder="1" applyAlignment="1">
      <alignment horizontal="center" vertical="center"/>
    </xf>
    <xf numFmtId="179" fontId="280" fillId="0" borderId="0" xfId="37545" applyNumberFormat="1" applyFont="1" applyAlignment="1">
      <alignment horizontal="distributed" vertical="center" wrapText="1" indent="2"/>
    </xf>
    <xf numFmtId="179" fontId="281" fillId="0" borderId="0" xfId="37545" applyNumberFormat="1" applyFont="1" applyAlignment="1">
      <alignment horizontal="distributed" vertical="center" indent="2"/>
    </xf>
    <xf numFmtId="179" fontId="277" fillId="0" borderId="0" xfId="37545" applyNumberFormat="1" applyFont="1" applyAlignment="1">
      <alignment horizontal="distributed" vertical="center"/>
    </xf>
    <xf numFmtId="0" fontId="187" fillId="0" borderId="0" xfId="37540" applyFont="1" applyAlignment="1">
      <alignment horizontal="left" wrapText="1"/>
    </xf>
    <xf numFmtId="0" fontId="256" fillId="0" borderId="0" xfId="37540" applyFont="1" applyAlignment="1">
      <alignment horizontal="left" wrapText="1"/>
    </xf>
    <xf numFmtId="0" fontId="267" fillId="0" borderId="425" xfId="37540" applyFont="1" applyBorder="1" applyAlignment="1">
      <alignment horizontal="center" vertical="center"/>
    </xf>
    <xf numFmtId="0" fontId="267" fillId="0" borderId="425" xfId="37540" applyFont="1" applyBorder="1"/>
    <xf numFmtId="0" fontId="267" fillId="0" borderId="434" xfId="37540" applyFont="1" applyBorder="1" applyAlignment="1">
      <alignment horizontal="center" vertical="center"/>
    </xf>
    <xf numFmtId="0" fontId="267" fillId="0" borderId="424" xfId="37540" applyFont="1" applyBorder="1" applyAlignment="1">
      <alignment horizontal="center" vertical="center"/>
    </xf>
    <xf numFmtId="0" fontId="267" fillId="0" borderId="437" xfId="37540" applyFont="1" applyBorder="1" applyAlignment="1">
      <alignment horizontal="center" vertical="center"/>
    </xf>
    <xf numFmtId="0" fontId="80" fillId="6" borderId="0" xfId="3426" applyNumberFormat="1" applyFont="1" applyFill="1" applyAlignment="1">
      <alignment horizontal="center" vertical="center"/>
    </xf>
    <xf numFmtId="0" fontId="56" fillId="6" borderId="425" xfId="3427" applyNumberFormat="1" applyFont="1" applyFill="1" applyBorder="1" applyAlignment="1">
      <alignment vertical="center"/>
    </xf>
    <xf numFmtId="0" fontId="6" fillId="6" borderId="425" xfId="0" applyFont="1" applyFill="1" applyBorder="1">
      <alignment vertical="center"/>
    </xf>
    <xf numFmtId="0" fontId="0" fillId="6" borderId="431" xfId="0" applyFill="1" applyBorder="1">
      <alignment vertical="center"/>
    </xf>
    <xf numFmtId="41" fontId="56" fillId="6" borderId="425" xfId="3426" applyFont="1" applyFill="1" applyBorder="1" applyAlignment="1">
      <alignment horizontal="center" vertical="center"/>
    </xf>
    <xf numFmtId="41" fontId="55" fillId="6" borderId="425" xfId="3426" applyFont="1" applyFill="1" applyBorder="1" applyAlignment="1">
      <alignment horizontal="center" vertical="center"/>
    </xf>
    <xf numFmtId="41" fontId="56" fillId="6" borderId="425" xfId="3426" applyFont="1" applyFill="1" applyBorder="1" applyAlignment="1">
      <alignment horizontal="center" vertical="center" wrapText="1"/>
    </xf>
    <xf numFmtId="41" fontId="56" fillId="6" borderId="425" xfId="3426" quotePrefix="1" applyFont="1" applyFill="1" applyBorder="1" applyAlignment="1">
      <alignment horizontal="center" vertical="center" wrapText="1"/>
    </xf>
    <xf numFmtId="0" fontId="58" fillId="6" borderId="425" xfId="3427" applyNumberFormat="1" applyFont="1" applyFill="1" applyBorder="1" applyAlignment="1">
      <alignment vertical="center"/>
    </xf>
    <xf numFmtId="0" fontId="11" fillId="6" borderId="425" xfId="0" applyFont="1" applyFill="1" applyBorder="1">
      <alignment vertical="center"/>
    </xf>
    <xf numFmtId="41" fontId="56" fillId="6" borderId="425" xfId="3426" applyFont="1" applyFill="1" applyBorder="1" applyAlignment="1">
      <alignment vertical="center"/>
    </xf>
    <xf numFmtId="197" fontId="56" fillId="0" borderId="8" xfId="4525" applyNumberFormat="1" applyFont="1" applyBorder="1" applyAlignment="1">
      <alignment horizontal="left" vertical="center"/>
    </xf>
    <xf numFmtId="197" fontId="56" fillId="0" borderId="9" xfId="4525" applyNumberFormat="1" applyFont="1" applyBorder="1" applyAlignment="1">
      <alignment horizontal="left" vertical="center"/>
    </xf>
    <xf numFmtId="197" fontId="58" fillId="0" borderId="24" xfId="4525" applyNumberFormat="1" applyFont="1" applyBorder="1" applyAlignment="1">
      <alignment horizontal="center" vertical="center" shrinkToFit="1"/>
    </xf>
    <xf numFmtId="197" fontId="58" fillId="0" borderId="27" xfId="4525" applyNumberFormat="1" applyFont="1" applyBorder="1" applyAlignment="1">
      <alignment horizontal="center" vertical="center" shrinkToFit="1"/>
    </xf>
    <xf numFmtId="197" fontId="58" fillId="0" borderId="23" xfId="4525" applyNumberFormat="1" applyFont="1" applyBorder="1" applyAlignment="1">
      <alignment horizontal="center" vertical="center" shrinkToFit="1"/>
    </xf>
    <xf numFmtId="197" fontId="58" fillId="0" borderId="29" xfId="4525" applyNumberFormat="1" applyFont="1" applyBorder="1" applyAlignment="1">
      <alignment horizontal="center" vertical="center" shrinkToFit="1"/>
    </xf>
    <xf numFmtId="197" fontId="58" fillId="0" borderId="28" xfId="4525" applyNumberFormat="1" applyFont="1" applyBorder="1" applyAlignment="1">
      <alignment horizontal="center" vertical="center" shrinkToFit="1"/>
    </xf>
    <xf numFmtId="41" fontId="58" fillId="0" borderId="23" xfId="3426" applyFont="1" applyFill="1" applyBorder="1" applyAlignment="1">
      <alignment horizontal="center" vertical="center" shrinkToFit="1"/>
    </xf>
    <xf numFmtId="41" fontId="58" fillId="0" borderId="26" xfId="3426" applyFont="1" applyFill="1" applyBorder="1" applyAlignment="1">
      <alignment horizontal="center" vertical="center" shrinkToFit="1"/>
    </xf>
    <xf numFmtId="0" fontId="58" fillId="0" borderId="23" xfId="4525" applyFont="1" applyBorder="1" applyAlignment="1">
      <alignment horizontal="center" vertical="center" shrinkToFit="1"/>
    </xf>
    <xf numFmtId="0" fontId="58" fillId="0" borderId="26" xfId="4525" applyFont="1" applyBorder="1" applyAlignment="1">
      <alignment horizontal="center" vertical="center" shrinkToFit="1"/>
    </xf>
    <xf numFmtId="197" fontId="58" fillId="0" borderId="26" xfId="4525" applyNumberFormat="1" applyFont="1" applyBorder="1" applyAlignment="1">
      <alignment horizontal="center" vertical="center" shrinkToFit="1"/>
    </xf>
    <xf numFmtId="197" fontId="56" fillId="0" borderId="108" xfId="4525" applyNumberFormat="1" applyFont="1" applyBorder="1" applyAlignment="1">
      <alignment horizontal="left" vertical="center" shrinkToFit="1"/>
    </xf>
    <xf numFmtId="197" fontId="56" fillId="0" borderId="46" xfId="4525" applyNumberFormat="1" applyFont="1" applyBorder="1" applyAlignment="1">
      <alignment horizontal="left" vertical="center" shrinkToFit="1"/>
    </xf>
    <xf numFmtId="197" fontId="56" fillId="0" borderId="8" xfId="4525" applyNumberFormat="1" applyFont="1" applyBorder="1" applyAlignment="1">
      <alignment horizontal="left" vertical="center" shrinkToFit="1"/>
    </xf>
    <xf numFmtId="197" fontId="56" fillId="0" borderId="9" xfId="4525" applyNumberFormat="1" applyFont="1" applyBorder="1" applyAlignment="1">
      <alignment horizontal="left" vertical="center" shrinkToFit="1"/>
    </xf>
    <xf numFmtId="197" fontId="58" fillId="0" borderId="438" xfId="4525" applyNumberFormat="1" applyFont="1" applyBorder="1" applyAlignment="1">
      <alignment horizontal="left" vertical="center"/>
    </xf>
    <xf numFmtId="197" fontId="58" fillId="0" borderId="23" xfId="4525" applyNumberFormat="1" applyFont="1" applyBorder="1" applyAlignment="1">
      <alignment horizontal="left" vertical="center"/>
    </xf>
    <xf numFmtId="0" fontId="58" fillId="0" borderId="425" xfId="4525" applyFont="1" applyBorder="1" applyAlignment="1">
      <alignment horizontal="center" vertical="center" shrinkToFit="1"/>
    </xf>
    <xf numFmtId="197" fontId="58" fillId="0" borderId="425" xfId="4525" applyNumberFormat="1" applyFont="1" applyBorder="1" applyAlignment="1">
      <alignment horizontal="center" vertical="center" shrinkToFit="1"/>
    </xf>
    <xf numFmtId="41" fontId="58" fillId="0" borderId="425" xfId="3426" applyFont="1" applyFill="1" applyBorder="1" applyAlignment="1">
      <alignment horizontal="center" vertical="center" shrinkToFit="1"/>
    </xf>
    <xf numFmtId="197" fontId="58" fillId="0" borderId="425" xfId="4525" applyNumberFormat="1" applyFont="1" applyBorder="1" applyAlignment="1">
      <alignment horizontal="left" vertical="center"/>
    </xf>
    <xf numFmtId="197" fontId="58" fillId="0" borderId="425" xfId="4525" applyNumberFormat="1" applyFont="1" applyBorder="1" applyAlignment="1">
      <alignment horizontal="center" vertical="center"/>
    </xf>
    <xf numFmtId="197" fontId="56" fillId="0" borderId="425" xfId="4525" applyNumberFormat="1" applyFont="1" applyBorder="1" applyAlignment="1">
      <alignment horizontal="left" vertical="center"/>
    </xf>
    <xf numFmtId="43" fontId="75" fillId="0" borderId="425" xfId="4524" applyNumberFormat="1" applyFont="1" applyBorder="1" applyAlignment="1">
      <alignment horizontal="left" vertical="center" shrinkToFit="1"/>
    </xf>
    <xf numFmtId="43" fontId="75" fillId="0" borderId="425" xfId="4524" applyNumberFormat="1" applyFont="1" applyBorder="1" applyAlignment="1">
      <alignment horizontal="center" vertical="center" shrinkToFit="1"/>
    </xf>
    <xf numFmtId="0" fontId="75" fillId="0" borderId="425" xfId="4524" applyFont="1" applyBorder="1" applyAlignment="1">
      <alignment horizontal="left" vertical="center" shrinkToFit="1"/>
    </xf>
    <xf numFmtId="41" fontId="58" fillId="0" borderId="425" xfId="3426" applyFont="1" applyFill="1" applyBorder="1" applyAlignment="1">
      <alignment horizontal="center" vertical="center"/>
    </xf>
    <xf numFmtId="0" fontId="58" fillId="0" borderId="425" xfId="4525" applyFont="1" applyBorder="1" applyAlignment="1">
      <alignment horizontal="center" vertical="center"/>
    </xf>
    <xf numFmtId="197" fontId="58" fillId="0" borderId="440" xfId="4525" applyNumberFormat="1" applyFont="1" applyBorder="1" applyAlignment="1">
      <alignment horizontal="center" vertical="center" shrinkToFit="1"/>
    </xf>
    <xf numFmtId="197" fontId="58" fillId="0" borderId="32" xfId="4525" applyNumberFormat="1" applyFont="1" applyBorder="1" applyAlignment="1">
      <alignment horizontal="center" vertical="center" shrinkToFit="1"/>
    </xf>
    <xf numFmtId="43" fontId="13" fillId="0" borderId="8" xfId="4524" applyNumberFormat="1" applyFont="1" applyBorder="1" applyAlignment="1">
      <alignment horizontal="center" vertical="center" shrinkToFit="1"/>
    </xf>
    <xf numFmtId="43" fontId="13" fillId="0" borderId="9" xfId="4524" applyNumberFormat="1" applyFont="1" applyBorder="1" applyAlignment="1">
      <alignment horizontal="center" vertical="center" shrinkToFit="1"/>
    </xf>
    <xf numFmtId="41" fontId="75" fillId="0" borderId="8" xfId="3426" applyFont="1" applyFill="1" applyBorder="1" applyAlignment="1">
      <alignment horizontal="center" vertical="center" shrinkToFit="1"/>
    </xf>
    <xf numFmtId="41" fontId="75" fillId="0" borderId="9" xfId="3426" applyFont="1" applyFill="1" applyBorder="1" applyAlignment="1">
      <alignment horizontal="center" vertical="center" shrinkToFit="1"/>
    </xf>
    <xf numFmtId="43" fontId="75" fillId="0" borderId="28" xfId="4524" applyNumberFormat="1" applyFont="1" applyBorder="1" applyAlignment="1">
      <alignment horizontal="center" vertical="center" shrinkToFit="1"/>
    </xf>
    <xf numFmtId="43" fontId="75" fillId="0" borderId="26" xfId="4524" applyNumberFormat="1" applyFont="1" applyBorder="1" applyAlignment="1">
      <alignment horizontal="center" vertical="center" shrinkToFit="1"/>
    </xf>
    <xf numFmtId="197" fontId="58" fillId="0" borderId="438" xfId="4525" applyNumberFormat="1" applyFont="1" applyBorder="1" applyAlignment="1">
      <alignment horizontal="center" vertical="center"/>
    </xf>
    <xf numFmtId="197" fontId="58" fillId="0" borderId="30" xfId="4525" applyNumberFormat="1" applyFont="1" applyBorder="1" applyAlignment="1">
      <alignment horizontal="center" vertical="center"/>
    </xf>
    <xf numFmtId="41" fontId="58" fillId="0" borderId="23" xfId="3426" applyFont="1" applyFill="1" applyBorder="1" applyAlignment="1">
      <alignment horizontal="center" vertical="center"/>
    </xf>
    <xf numFmtId="41" fontId="58" fillId="0" borderId="31" xfId="3426" applyFont="1" applyFill="1" applyBorder="1" applyAlignment="1">
      <alignment horizontal="center" vertical="center"/>
    </xf>
    <xf numFmtId="197" fontId="58" fillId="0" borderId="444" xfId="4525" applyNumberFormat="1" applyFont="1" applyBorder="1" applyAlignment="1">
      <alignment horizontal="center" vertical="center"/>
    </xf>
    <xf numFmtId="197" fontId="58" fillId="0" borderId="445" xfId="4525" applyNumberFormat="1" applyFont="1" applyBorder="1" applyAlignment="1">
      <alignment horizontal="center" vertical="center"/>
    </xf>
    <xf numFmtId="197" fontId="58" fillId="0" borderId="431" xfId="4525" applyNumberFormat="1" applyFont="1" applyBorder="1" applyAlignment="1">
      <alignment horizontal="center" vertical="center"/>
    </xf>
    <xf numFmtId="197" fontId="58" fillId="0" borderId="449" xfId="4525" applyNumberFormat="1" applyFont="1" applyBorder="1" applyAlignment="1">
      <alignment horizontal="center" vertical="center"/>
    </xf>
    <xf numFmtId="43" fontId="13" fillId="0" borderId="425" xfId="4524" applyNumberFormat="1" applyFont="1" applyBorder="1" applyAlignment="1">
      <alignment horizontal="center" vertical="center" shrinkToFit="1"/>
    </xf>
    <xf numFmtId="197" fontId="58" fillId="0" borderId="23" xfId="4525" applyNumberFormat="1" applyFont="1" applyBorder="1" applyAlignment="1">
      <alignment horizontal="center" vertical="center"/>
    </xf>
    <xf numFmtId="197" fontId="58" fillId="0" borderId="31" xfId="4525" applyNumberFormat="1" applyFont="1" applyBorder="1" applyAlignment="1">
      <alignment horizontal="center" vertical="center"/>
    </xf>
    <xf numFmtId="0" fontId="58" fillId="0" borderId="23" xfId="4525" applyFont="1" applyBorder="1" applyAlignment="1">
      <alignment horizontal="center" vertical="center"/>
    </xf>
    <xf numFmtId="0" fontId="58" fillId="0" borderId="31" xfId="4525" applyFont="1" applyBorder="1" applyAlignment="1">
      <alignment horizontal="center" vertical="center"/>
    </xf>
    <xf numFmtId="0" fontId="75" fillId="0" borderId="23" xfId="0" applyFont="1" applyBorder="1" applyAlignment="1">
      <alignment horizontal="center" vertical="center" shrinkToFit="1"/>
    </xf>
    <xf numFmtId="0" fontId="75" fillId="0" borderId="79" xfId="0" applyFont="1" applyBorder="1" applyAlignment="1">
      <alignment horizontal="center" vertical="center" shrinkToFit="1"/>
    </xf>
    <xf numFmtId="0" fontId="75" fillId="0" borderId="40" xfId="0" applyFont="1" applyBorder="1" applyAlignment="1">
      <alignment horizontal="center" vertical="center" shrinkToFit="1"/>
    </xf>
    <xf numFmtId="0" fontId="75" fillId="0" borderId="29" xfId="0" applyFont="1" applyBorder="1" applyAlignment="1">
      <alignment horizontal="center" vertical="center" shrinkToFit="1"/>
    </xf>
    <xf numFmtId="0" fontId="75" fillId="0" borderId="30" xfId="0" applyFont="1" applyBorder="1" applyAlignment="1">
      <alignment horizontal="center" vertical="center" shrinkToFit="1"/>
    </xf>
    <xf numFmtId="0" fontId="75" fillId="0" borderId="31" xfId="0" applyFont="1" applyBorder="1" applyAlignment="1">
      <alignment horizontal="center" vertical="center" shrinkToFit="1"/>
    </xf>
    <xf numFmtId="0" fontId="75" fillId="0" borderId="33" xfId="0" applyFont="1" applyBorder="1" applyAlignment="1">
      <alignment horizontal="center" vertical="center" shrinkToFit="1"/>
    </xf>
    <xf numFmtId="0" fontId="75" fillId="0" borderId="34" xfId="0" applyFont="1" applyBorder="1" applyAlignment="1">
      <alignment horizontal="center" vertical="center" shrinkToFit="1"/>
    </xf>
    <xf numFmtId="177" fontId="13" fillId="0" borderId="9" xfId="0" applyNumberFormat="1" applyFont="1" applyBorder="1" applyAlignment="1">
      <alignment horizontal="center" vertical="center" shrinkToFit="1"/>
    </xf>
    <xf numFmtId="3" fontId="13" fillId="0" borderId="9" xfId="0" applyNumberFormat="1" applyFont="1" applyBorder="1" applyAlignment="1">
      <alignment horizontal="center" vertical="center" shrinkToFit="1"/>
    </xf>
    <xf numFmtId="0" fontId="76" fillId="0" borderId="29" xfId="0" applyFont="1" applyBorder="1" applyAlignment="1">
      <alignment horizontal="center" vertical="center"/>
    </xf>
    <xf numFmtId="0" fontId="76" fillId="0" borderId="28" xfId="0" applyFont="1" applyBorder="1" applyAlignment="1">
      <alignment horizontal="center" vertical="center"/>
    </xf>
    <xf numFmtId="0" fontId="76" fillId="0" borderId="23" xfId="0" applyFont="1" applyBorder="1" applyAlignment="1">
      <alignment horizontal="center" vertical="center"/>
    </xf>
    <xf numFmtId="0" fontId="76" fillId="0" borderId="26" xfId="0" applyFont="1" applyBorder="1" applyAlignment="1">
      <alignment horizontal="center" vertical="center"/>
    </xf>
    <xf numFmtId="0" fontId="76" fillId="0" borderId="24" xfId="0" applyFont="1" applyBorder="1" applyAlignment="1">
      <alignment horizontal="center" vertical="center"/>
    </xf>
    <xf numFmtId="0" fontId="76" fillId="0" borderId="27" xfId="0" applyFont="1" applyBorder="1" applyAlignment="1">
      <alignment horizontal="center" vertical="center"/>
    </xf>
    <xf numFmtId="0" fontId="76" fillId="0" borderId="35" xfId="0" applyFont="1" applyBorder="1" applyAlignment="1">
      <alignment horizontal="center" vertical="center"/>
    </xf>
    <xf numFmtId="0" fontId="76" fillId="0" borderId="36" xfId="0" applyFont="1" applyBorder="1" applyAlignment="1">
      <alignment horizontal="center" vertical="center"/>
    </xf>
    <xf numFmtId="0" fontId="76" fillId="0" borderId="39" xfId="0" applyFont="1" applyBorder="1" applyAlignment="1">
      <alignment horizontal="center" vertical="center"/>
    </xf>
    <xf numFmtId="197" fontId="58" fillId="0" borderId="40" xfId="4525" applyNumberFormat="1" applyFont="1" applyBorder="1" applyAlignment="1">
      <alignment horizontal="center" vertical="center" shrinkToFit="1"/>
    </xf>
    <xf numFmtId="0" fontId="56" fillId="6" borderId="425" xfId="0" applyFont="1" applyFill="1" applyBorder="1" applyAlignment="1">
      <alignment horizontal="left" vertical="center" shrinkToFit="1"/>
    </xf>
    <xf numFmtId="0" fontId="0" fillId="6" borderId="425" xfId="0" applyFill="1" applyBorder="1" applyAlignment="1">
      <alignment horizontal="left" vertical="center" shrinkToFit="1"/>
    </xf>
    <xf numFmtId="0" fontId="56" fillId="6" borderId="425" xfId="0" applyFont="1" applyFill="1" applyBorder="1" applyAlignment="1">
      <alignment horizontal="left" vertical="center" wrapText="1"/>
    </xf>
    <xf numFmtId="0" fontId="0" fillId="6" borderId="425" xfId="0" applyFill="1" applyBorder="1" applyAlignment="1">
      <alignment horizontal="left" vertical="center" wrapText="1"/>
    </xf>
    <xf numFmtId="0" fontId="56" fillId="6" borderId="25" xfId="0" applyFont="1" applyFill="1" applyBorder="1" applyAlignment="1">
      <alignment horizontal="center" vertical="center"/>
    </xf>
    <xf numFmtId="0" fontId="56" fillId="6" borderId="8" xfId="0" applyFont="1" applyFill="1" applyBorder="1" applyAlignment="1">
      <alignment horizontal="left" vertical="center" wrapText="1"/>
    </xf>
    <xf numFmtId="0" fontId="0" fillId="6" borderId="9" xfId="0" applyFill="1" applyBorder="1" applyAlignment="1">
      <alignment horizontal="left" vertical="center" wrapText="1"/>
    </xf>
    <xf numFmtId="0" fontId="56" fillId="6" borderId="425" xfId="0" applyFont="1" applyFill="1" applyBorder="1" applyAlignment="1">
      <alignment horizontal="left" vertical="center"/>
    </xf>
    <xf numFmtId="0" fontId="56" fillId="6" borderId="425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247" fillId="0" borderId="425" xfId="11380" applyFont="1" applyBorder="1" applyAlignment="1">
      <alignment horizontal="center" vertical="center"/>
    </xf>
    <xf numFmtId="0" fontId="248" fillId="0" borderId="425" xfId="11380" applyFont="1" applyBorder="1" applyAlignment="1">
      <alignment horizontal="center" vertical="center"/>
    </xf>
    <xf numFmtId="0" fontId="248" fillId="0" borderId="425" xfId="11380" applyFont="1" applyBorder="1" applyAlignment="1">
      <alignment horizontal="left" vertical="center" indent="1"/>
    </xf>
    <xf numFmtId="370" fontId="248" fillId="0" borderId="425" xfId="11380" applyNumberFormat="1" applyFont="1" applyBorder="1" applyAlignment="1">
      <alignment horizontal="center" vertical="center"/>
    </xf>
    <xf numFmtId="0" fontId="247" fillId="0" borderId="424" xfId="11380" applyFont="1" applyBorder="1" applyAlignment="1">
      <alignment horizontal="left" vertical="center"/>
    </xf>
    <xf numFmtId="177" fontId="77" fillId="0" borderId="0" xfId="0" applyNumberFormat="1" applyFont="1" applyAlignment="1">
      <alignment horizontal="center" vertical="center" wrapText="1"/>
    </xf>
    <xf numFmtId="177" fontId="77" fillId="0" borderId="0" xfId="0" applyNumberFormat="1" applyFont="1" applyAlignment="1">
      <alignment horizontal="center" vertical="center"/>
    </xf>
    <xf numFmtId="177" fontId="77" fillId="0" borderId="0" xfId="0" applyNumberFormat="1" applyFont="1" applyAlignment="1">
      <alignment horizontal="right" vertical="center"/>
    </xf>
    <xf numFmtId="0" fontId="248" fillId="0" borderId="425" xfId="11380" applyFont="1" applyBorder="1" applyAlignment="1">
      <alignment horizontal="left" vertical="center" wrapText="1" indent="1"/>
    </xf>
    <xf numFmtId="0" fontId="245" fillId="0" borderId="0" xfId="11380" applyFont="1" applyAlignment="1">
      <alignment horizontal="left" vertical="center"/>
    </xf>
    <xf numFmtId="0" fontId="246" fillId="0" borderId="0" xfId="37538" applyFont="1" applyAlignment="1">
      <alignment horizontal="left" vertical="center"/>
    </xf>
    <xf numFmtId="0" fontId="247" fillId="0" borderId="21" xfId="11380" applyFont="1" applyBorder="1" applyAlignment="1">
      <alignment horizontal="left" vertical="center"/>
    </xf>
    <xf numFmtId="0" fontId="245" fillId="0" borderId="21" xfId="11380" applyFont="1" applyBorder="1" applyAlignment="1">
      <alignment horizontal="left" vertical="center"/>
    </xf>
    <xf numFmtId="0" fontId="73" fillId="36" borderId="426" xfId="11380" applyFont="1" applyFill="1" applyBorder="1" applyAlignment="1">
      <alignment horizontal="center" vertical="center" shrinkToFit="1"/>
    </xf>
    <xf numFmtId="0" fontId="73" fillId="36" borderId="47" xfId="11380" applyFont="1" applyFill="1" applyBorder="1" applyAlignment="1">
      <alignment horizontal="center" vertical="center" shrinkToFit="1"/>
    </xf>
    <xf numFmtId="0" fontId="73" fillId="36" borderId="48" xfId="11380" applyFont="1" applyFill="1" applyBorder="1" applyAlignment="1">
      <alignment horizontal="center" vertical="center" shrinkToFit="1"/>
    </xf>
    <xf numFmtId="0" fontId="73" fillId="36" borderId="426" xfId="11380" applyFont="1" applyFill="1" applyBorder="1" applyAlignment="1">
      <alignment horizontal="center" vertical="center" wrapText="1" shrinkToFit="1"/>
    </xf>
    <xf numFmtId="0" fontId="73" fillId="36" borderId="47" xfId="11380" applyFont="1" applyFill="1" applyBorder="1" applyAlignment="1">
      <alignment horizontal="center" vertical="center" wrapText="1" shrinkToFit="1"/>
    </xf>
    <xf numFmtId="0" fontId="73" fillId="36" borderId="48" xfId="11380" applyFont="1" applyFill="1" applyBorder="1" applyAlignment="1">
      <alignment horizontal="center" vertical="center" wrapText="1" shrinkToFit="1"/>
    </xf>
    <xf numFmtId="0" fontId="73" fillId="36" borderId="434" xfId="11380" applyFont="1" applyFill="1" applyBorder="1" applyAlignment="1">
      <alignment horizontal="center" vertical="center" shrinkToFit="1"/>
    </xf>
    <xf numFmtId="0" fontId="73" fillId="36" borderId="424" xfId="11380" applyFont="1" applyFill="1" applyBorder="1" applyAlignment="1">
      <alignment horizontal="center" vertical="center" shrinkToFit="1"/>
    </xf>
    <xf numFmtId="0" fontId="73" fillId="36" borderId="437" xfId="11380" applyFont="1" applyFill="1" applyBorder="1" applyAlignment="1">
      <alignment horizontal="center" vertical="center" shrinkToFit="1"/>
    </xf>
    <xf numFmtId="0" fontId="73" fillId="36" borderId="427" xfId="11380" applyFont="1" applyFill="1" applyBorder="1" applyAlignment="1">
      <alignment horizontal="center" vertical="center" wrapText="1" shrinkToFit="1"/>
    </xf>
    <xf numFmtId="0" fontId="73" fillId="36" borderId="431" xfId="11380" applyFont="1" applyFill="1" applyBorder="1" applyAlignment="1">
      <alignment horizontal="center" vertical="center" wrapText="1" shrinkToFit="1"/>
    </xf>
    <xf numFmtId="0" fontId="73" fillId="36" borderId="428" xfId="11380" applyFont="1" applyFill="1" applyBorder="1" applyAlignment="1">
      <alignment horizontal="center" vertical="center" wrapText="1" shrinkToFit="1"/>
    </xf>
    <xf numFmtId="0" fontId="73" fillId="36" borderId="429" xfId="11380" applyFont="1" applyFill="1" applyBorder="1" applyAlignment="1">
      <alignment horizontal="center" vertical="center" wrapText="1" shrinkToFit="1"/>
    </xf>
    <xf numFmtId="0" fontId="73" fillId="36" borderId="21" xfId="11380" applyFont="1" applyFill="1" applyBorder="1" applyAlignment="1">
      <alignment horizontal="center" vertical="center" wrapText="1" shrinkToFit="1"/>
    </xf>
    <xf numFmtId="0" fontId="73" fillId="36" borderId="430" xfId="11380" applyFont="1" applyFill="1" applyBorder="1" applyAlignment="1">
      <alignment horizontal="center" vertical="center" wrapText="1" shrinkToFit="1"/>
    </xf>
    <xf numFmtId="0" fontId="247" fillId="2" borderId="0" xfId="11380" applyFont="1" applyFill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25" xfId="0" applyBorder="1">
      <alignment vertical="center"/>
    </xf>
    <xf numFmtId="319" fontId="0" fillId="0" borderId="9" xfId="0" applyNumberFormat="1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28" xfId="0" applyBorder="1">
      <alignment vertical="center"/>
    </xf>
    <xf numFmtId="0" fontId="0" fillId="0" borderId="26" xfId="0" applyBorder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>
      <alignment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33" borderId="8" xfId="0" applyFill="1" applyBorder="1">
      <alignment vertical="center"/>
    </xf>
    <xf numFmtId="0" fontId="0" fillId="33" borderId="9" xfId="0" applyFill="1" applyBorder="1">
      <alignment vertical="center"/>
    </xf>
    <xf numFmtId="0" fontId="0" fillId="33" borderId="64" xfId="0" applyFill="1" applyBorder="1" applyAlignment="1">
      <alignment horizontal="center" vertical="center"/>
    </xf>
    <xf numFmtId="0" fontId="0" fillId="33" borderId="65" xfId="0" applyFill="1" applyBorder="1" applyAlignment="1">
      <alignment horizontal="center" vertical="center"/>
    </xf>
    <xf numFmtId="319" fontId="0" fillId="33" borderId="65" xfId="0" applyNumberFormat="1" applyFill="1" applyBorder="1" applyAlignment="1">
      <alignment horizontal="center" vertical="center"/>
    </xf>
    <xf numFmtId="0" fontId="0" fillId="33" borderId="9" xfId="0" applyFill="1" applyBorder="1" applyAlignment="1">
      <alignment horizontal="center" vertical="center"/>
    </xf>
    <xf numFmtId="0" fontId="0" fillId="33" borderId="25" xfId="0" applyFill="1" applyBorder="1">
      <alignment vertical="center"/>
    </xf>
    <xf numFmtId="0" fontId="0" fillId="0" borderId="91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319" fontId="0" fillId="0" borderId="89" xfId="0" applyNumberForma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19" fontId="0" fillId="0" borderId="65" xfId="0" applyNumberFormat="1" applyBorder="1" applyAlignment="1">
      <alignment horizontal="center" vertical="center"/>
    </xf>
    <xf numFmtId="319" fontId="0" fillId="0" borderId="64" xfId="0" applyNumberFormat="1" applyBorder="1" applyAlignment="1">
      <alignment horizontal="center" vertical="center"/>
    </xf>
    <xf numFmtId="319" fontId="0" fillId="0" borderId="435" xfId="0" applyNumberFormat="1" applyBorder="1" applyAlignment="1">
      <alignment horizontal="center" vertical="center"/>
    </xf>
    <xf numFmtId="319" fontId="0" fillId="0" borderId="424" xfId="0" applyNumberFormat="1" applyBorder="1" applyAlignment="1">
      <alignment horizontal="center" vertical="center"/>
    </xf>
    <xf numFmtId="0" fontId="0" fillId="0" borderId="434" xfId="0" applyBorder="1" applyAlignment="1">
      <alignment horizontal="center" vertical="center"/>
    </xf>
    <xf numFmtId="0" fontId="0" fillId="0" borderId="436" xfId="0" applyBorder="1" applyAlignment="1">
      <alignment horizontal="center" vertical="center"/>
    </xf>
    <xf numFmtId="319" fontId="0" fillId="0" borderId="437" xfId="0" applyNumberFormat="1" applyBorder="1" applyAlignment="1">
      <alignment horizontal="center" vertical="center"/>
    </xf>
    <xf numFmtId="0" fontId="0" fillId="0" borderId="438" xfId="0" applyBorder="1" applyAlignment="1">
      <alignment horizontal="center" vertical="center"/>
    </xf>
    <xf numFmtId="0" fontId="0" fillId="0" borderId="439" xfId="0" applyBorder="1" applyAlignment="1">
      <alignment horizontal="center" vertical="center"/>
    </xf>
    <xf numFmtId="0" fontId="0" fillId="0" borderId="440" xfId="0" applyBorder="1" applyAlignment="1">
      <alignment horizontal="center" vertical="center"/>
    </xf>
    <xf numFmtId="0" fontId="0" fillId="0" borderId="424" xfId="0" applyBorder="1" applyAlignment="1">
      <alignment horizontal="center" vertical="center"/>
    </xf>
    <xf numFmtId="0" fontId="0" fillId="0" borderId="437" xfId="0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0" fillId="0" borderId="427" xfId="0" quotePrefix="1" applyBorder="1" applyAlignment="1">
      <alignment horizontal="center" vertical="center"/>
    </xf>
    <xf numFmtId="0" fontId="0" fillId="0" borderId="431" xfId="0" quotePrefix="1" applyBorder="1" applyAlignment="1">
      <alignment horizontal="center" vertical="center"/>
    </xf>
    <xf numFmtId="0" fontId="0" fillId="0" borderId="432" xfId="0" applyBorder="1" applyAlignment="1">
      <alignment horizontal="center" vertical="center"/>
    </xf>
    <xf numFmtId="0" fontId="0" fillId="0" borderId="431" xfId="0" applyBorder="1" applyAlignment="1">
      <alignment horizontal="center" vertical="center"/>
    </xf>
    <xf numFmtId="0" fontId="0" fillId="0" borderId="427" xfId="0" applyBorder="1" applyAlignment="1">
      <alignment horizontal="center" vertical="center"/>
    </xf>
    <xf numFmtId="0" fontId="0" fillId="0" borderId="433" xfId="0" applyBorder="1" applyAlignment="1">
      <alignment horizontal="center" vertical="center"/>
    </xf>
    <xf numFmtId="319" fontId="0" fillId="0" borderId="431" xfId="0" applyNumberFormat="1" applyBorder="1" applyAlignment="1">
      <alignment horizontal="center" vertical="center"/>
    </xf>
    <xf numFmtId="319" fontId="0" fillId="0" borderId="428" xfId="0" applyNumberFormat="1" applyBorder="1" applyAlignment="1">
      <alignment horizontal="center" vertical="center"/>
    </xf>
    <xf numFmtId="319" fontId="0" fillId="0" borderId="432" xfId="0" applyNumberFormat="1" applyBorder="1" applyAlignment="1">
      <alignment horizontal="center" vertical="center"/>
    </xf>
    <xf numFmtId="0" fontId="0" fillId="0" borderId="435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9" fontId="0" fillId="0" borderId="9" xfId="0" applyNumberFormat="1" applyBorder="1">
      <alignment vertical="center"/>
    </xf>
    <xf numFmtId="190" fontId="0" fillId="0" borderId="9" xfId="0" applyNumberFormat="1" applyBorder="1">
      <alignment vertical="center"/>
    </xf>
    <xf numFmtId="9" fontId="0" fillId="0" borderId="9" xfId="0" applyNumberFormat="1" applyBorder="1" applyAlignment="1">
      <alignment horizontal="center" vertical="center"/>
    </xf>
    <xf numFmtId="0" fontId="0" fillId="0" borderId="106" xfId="0" applyBorder="1">
      <alignment vertical="center"/>
    </xf>
    <xf numFmtId="0" fontId="0" fillId="0" borderId="89" xfId="0" applyBorder="1">
      <alignment vertical="center"/>
    </xf>
    <xf numFmtId="0" fontId="0" fillId="0" borderId="97" xfId="0" applyBorder="1">
      <alignment vertical="center"/>
    </xf>
    <xf numFmtId="0" fontId="0" fillId="0" borderId="91" xfId="0" applyBorder="1">
      <alignment vertical="center"/>
    </xf>
    <xf numFmtId="0" fontId="0" fillId="0" borderId="97" xfId="0" applyBorder="1" applyAlignment="1">
      <alignment horizontal="center" vertical="center"/>
    </xf>
    <xf numFmtId="0" fontId="0" fillId="0" borderId="105" xfId="0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46" xfId="0" applyBorder="1">
      <alignment vertical="center"/>
    </xf>
    <xf numFmtId="0" fontId="0" fillId="0" borderId="107" xfId="0" applyBorder="1">
      <alignment vertical="center"/>
    </xf>
    <xf numFmtId="0" fontId="0" fillId="0" borderId="108" xfId="0" applyBorder="1">
      <alignment vertical="center"/>
    </xf>
    <xf numFmtId="0" fontId="0" fillId="0" borderId="46" xfId="0" applyBorder="1" applyAlignment="1">
      <alignment horizontal="center" vertical="center"/>
    </xf>
    <xf numFmtId="0" fontId="0" fillId="0" borderId="434" xfId="0" applyBorder="1">
      <alignment vertical="center"/>
    </xf>
    <xf numFmtId="0" fontId="0" fillId="0" borderId="424" xfId="0" applyBorder="1">
      <alignment vertical="center"/>
    </xf>
    <xf numFmtId="0" fontId="0" fillId="0" borderId="436" xfId="0" applyBorder="1">
      <alignment vertical="center"/>
    </xf>
    <xf numFmtId="0" fontId="0" fillId="0" borderId="435" xfId="0" applyBorder="1">
      <alignment vertical="center"/>
    </xf>
    <xf numFmtId="0" fontId="0" fillId="0" borderId="437" xfId="0" applyBorder="1">
      <alignment vertical="center"/>
    </xf>
    <xf numFmtId="179" fontId="187" fillId="0" borderId="43" xfId="4539" applyNumberFormat="1" applyFont="1" applyBorder="1" applyAlignment="1">
      <alignment horizontal="left" vertical="center" shrinkToFit="1"/>
    </xf>
    <xf numFmtId="0" fontId="187" fillId="0" borderId="0" xfId="0" applyFont="1">
      <alignment vertical="center"/>
    </xf>
    <xf numFmtId="0" fontId="58" fillId="0" borderId="102" xfId="4536" applyFont="1" applyBorder="1" applyAlignment="1">
      <alignment horizontal="center" vertical="center"/>
    </xf>
    <xf numFmtId="0" fontId="58" fillId="0" borderId="102" xfId="4536" applyFont="1" applyBorder="1" applyAlignment="1">
      <alignment horizontal="left" vertical="center"/>
    </xf>
    <xf numFmtId="0" fontId="58" fillId="0" borderId="287" xfId="4536" applyFont="1" applyBorder="1" applyAlignment="1">
      <alignment horizontal="left" vertical="center"/>
    </xf>
    <xf numFmtId="0" fontId="56" fillId="0" borderId="0" xfId="4536" applyFont="1" applyAlignment="1">
      <alignment horizontal="center"/>
    </xf>
    <xf numFmtId="179" fontId="187" fillId="0" borderId="370" xfId="4536" applyNumberFormat="1" applyFont="1" applyBorder="1" applyAlignment="1">
      <alignment horizontal="center" vertical="center"/>
    </xf>
    <xf numFmtId="179" fontId="187" fillId="0" borderId="0" xfId="4536" applyNumberFormat="1" applyFont="1" applyAlignment="1">
      <alignment horizontal="center" vertical="center"/>
    </xf>
    <xf numFmtId="179" fontId="187" fillId="0" borderId="371" xfId="4536" applyNumberFormat="1" applyFont="1" applyBorder="1" applyAlignment="1">
      <alignment horizontal="center" vertical="center"/>
    </xf>
    <xf numFmtId="179" fontId="187" fillId="0" borderId="367" xfId="4536" applyNumberFormat="1" applyFont="1" applyBorder="1" applyAlignment="1">
      <alignment horizontal="center" vertical="center"/>
    </xf>
    <xf numFmtId="179" fontId="187" fillId="0" borderId="368" xfId="4536" applyNumberFormat="1" applyFont="1" applyBorder="1" applyAlignment="1">
      <alignment horizontal="center" vertical="center"/>
    </xf>
    <xf numFmtId="179" fontId="187" fillId="0" borderId="369" xfId="4536" applyNumberFormat="1" applyFont="1" applyBorder="1" applyAlignment="1">
      <alignment horizontal="center" vertical="center"/>
    </xf>
    <xf numFmtId="0" fontId="58" fillId="0" borderId="13" xfId="4536" applyFont="1" applyBorder="1" applyAlignment="1">
      <alignment horizontal="right" vertical="center"/>
    </xf>
    <xf numFmtId="0" fontId="58" fillId="0" borderId="287" xfId="4536" applyFont="1" applyBorder="1" applyAlignment="1">
      <alignment horizontal="right" vertical="center"/>
    </xf>
    <xf numFmtId="0" fontId="58" fillId="0" borderId="13" xfId="4536" applyFont="1" applyBorder="1" applyAlignment="1">
      <alignment horizontal="center" vertical="center"/>
    </xf>
    <xf numFmtId="0" fontId="56" fillId="0" borderId="0" xfId="4536" applyFont="1" applyAlignment="1">
      <alignment horizontal="center" vertical="center"/>
    </xf>
    <xf numFmtId="0" fontId="58" fillId="0" borderId="197" xfId="4536" applyFont="1" applyBorder="1" applyAlignment="1">
      <alignment horizontal="center" vertical="center"/>
    </xf>
    <xf numFmtId="0" fontId="58" fillId="0" borderId="197" xfId="4536" applyFont="1" applyBorder="1" applyAlignment="1">
      <alignment horizontal="left" vertical="center"/>
    </xf>
    <xf numFmtId="0" fontId="187" fillId="0" borderId="0" xfId="4536" applyFont="1" applyAlignment="1">
      <alignment horizontal="center"/>
    </xf>
    <xf numFmtId="179" fontId="187" fillId="0" borderId="377" xfId="4539" applyNumberFormat="1" applyFont="1" applyBorder="1" applyAlignment="1">
      <alignment horizontal="left" vertical="center" shrinkToFit="1"/>
    </xf>
    <xf numFmtId="0" fontId="187" fillId="0" borderId="373" xfId="0" applyFont="1" applyBorder="1">
      <alignment vertical="center"/>
    </xf>
    <xf numFmtId="0" fontId="187" fillId="0" borderId="380" xfId="0" applyFont="1" applyBorder="1">
      <alignment vertical="center"/>
    </xf>
    <xf numFmtId="0" fontId="58" fillId="0" borderId="424" xfId="4536" applyFont="1" applyBorder="1" applyAlignment="1">
      <alignment horizontal="center" vertical="center"/>
    </xf>
    <xf numFmtId="0" fontId="58" fillId="0" borderId="424" xfId="4536" applyFont="1" applyBorder="1" applyAlignment="1">
      <alignment horizontal="right" vertical="center"/>
    </xf>
    <xf numFmtId="179" fontId="56" fillId="0" borderId="0" xfId="4536" applyNumberFormat="1" applyFont="1" applyAlignment="1">
      <alignment horizontal="center" vertical="center"/>
    </xf>
    <xf numFmtId="269" fontId="56" fillId="0" borderId="0" xfId="4536" applyNumberFormat="1" applyFont="1" applyAlignment="1">
      <alignment horizontal="center" vertical="center"/>
    </xf>
    <xf numFmtId="0" fontId="75" fillId="0" borderId="438" xfId="4524" applyFont="1" applyBorder="1" applyAlignment="1">
      <alignment horizontal="left" vertical="center" shrinkToFit="1"/>
    </xf>
    <xf numFmtId="0" fontId="75" fillId="0" borderId="23" xfId="4524" applyFont="1" applyBorder="1" applyAlignment="1">
      <alignment horizontal="left" vertical="center" shrinkToFit="1"/>
    </xf>
    <xf numFmtId="43" fontId="75" fillId="0" borderId="8" xfId="4524" applyNumberFormat="1" applyFont="1" applyBorder="1" applyAlignment="1">
      <alignment horizontal="left" vertical="center" shrinkToFit="1"/>
    </xf>
    <xf numFmtId="43" fontId="75" fillId="0" borderId="9" xfId="4524" applyNumberFormat="1" applyFont="1" applyBorder="1" applyAlignment="1">
      <alignment horizontal="left" vertical="center" shrinkToFit="1"/>
    </xf>
    <xf numFmtId="43" fontId="75" fillId="0" borderId="438" xfId="4524" applyNumberFormat="1" applyFont="1" applyBorder="1" applyAlignment="1">
      <alignment horizontal="left" vertical="center" shrinkToFit="1"/>
    </xf>
    <xf numFmtId="43" fontId="75" fillId="0" borderId="23" xfId="4524" applyNumberFormat="1" applyFont="1" applyBorder="1" applyAlignment="1">
      <alignment horizontal="left" vertical="center" shrinkToFit="1"/>
    </xf>
    <xf numFmtId="0" fontId="76" fillId="0" borderId="440" xfId="0" applyFont="1" applyBorder="1" applyAlignment="1">
      <alignment horizontal="center" vertical="center"/>
    </xf>
    <xf numFmtId="0" fontId="76" fillId="0" borderId="25" xfId="0" applyFont="1" applyBorder="1" applyAlignment="1">
      <alignment horizontal="center" vertical="center"/>
    </xf>
    <xf numFmtId="0" fontId="58" fillId="0" borderId="31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76" fillId="0" borderId="438" xfId="0" applyFont="1" applyBorder="1" applyAlignment="1">
      <alignment horizontal="center" vertical="center"/>
    </xf>
    <xf numFmtId="0" fontId="76" fillId="0" borderId="8" xfId="0" applyFont="1" applyBorder="1" applyAlignment="1">
      <alignment horizontal="center" vertical="center"/>
    </xf>
    <xf numFmtId="0" fontId="76" fillId="0" borderId="9" xfId="0" applyFont="1" applyBorder="1" applyAlignment="1">
      <alignment horizontal="center" vertical="center"/>
    </xf>
    <xf numFmtId="0" fontId="76" fillId="0" borderId="444" xfId="0" applyFont="1" applyBorder="1" applyAlignment="1">
      <alignment horizontal="center" vertical="center"/>
    </xf>
    <xf numFmtId="0" fontId="76" fillId="0" borderId="445" xfId="0" applyFont="1" applyBorder="1" applyAlignment="1">
      <alignment horizontal="center" vertical="center"/>
    </xf>
    <xf numFmtId="0" fontId="76" fillId="0" borderId="446" xfId="0" applyFont="1" applyBorder="1" applyAlignment="1">
      <alignment horizontal="center" vertical="center"/>
    </xf>
    <xf numFmtId="0" fontId="237" fillId="0" borderId="0" xfId="12384" applyFont="1" applyAlignment="1">
      <alignment horizontal="center" vertical="center"/>
    </xf>
    <xf numFmtId="0" fontId="73" fillId="0" borderId="101" xfId="12384" applyFont="1" applyBorder="1" applyAlignment="1">
      <alignment horizontal="center" vertical="center"/>
    </xf>
    <xf numFmtId="0" fontId="73" fillId="0" borderId="103" xfId="12384" applyFont="1" applyBorder="1" applyAlignment="1">
      <alignment horizontal="center" vertical="center"/>
    </xf>
    <xf numFmtId="0" fontId="73" fillId="0" borderId="71" xfId="12384" applyFont="1" applyBorder="1" applyAlignment="1">
      <alignment horizontal="center" vertical="center"/>
    </xf>
    <xf numFmtId="0" fontId="73" fillId="0" borderId="424" xfId="12384" applyFont="1" applyBorder="1" applyAlignment="1">
      <alignment horizontal="center" vertical="center"/>
    </xf>
    <xf numFmtId="190" fontId="73" fillId="0" borderId="71" xfId="12384" applyNumberFormat="1" applyFont="1" applyBorder="1" applyAlignment="1">
      <alignment horizontal="center" vertical="center"/>
    </xf>
    <xf numFmtId="0" fontId="221" fillId="0" borderId="0" xfId="11388" applyFont="1" applyAlignment="1">
      <alignment horizontal="center" vertical="center"/>
    </xf>
    <xf numFmtId="0" fontId="215" fillId="0" borderId="0" xfId="11388" applyFont="1" applyAlignment="1">
      <alignment horizontal="center" vertical="center"/>
    </xf>
    <xf numFmtId="354" fontId="217" fillId="0" borderId="0" xfId="11388" applyNumberFormat="1" applyFont="1" applyAlignment="1">
      <alignment horizontal="center" vertical="center"/>
    </xf>
    <xf numFmtId="354" fontId="217" fillId="0" borderId="0" xfId="11388" applyNumberFormat="1" applyFont="1" applyAlignment="1">
      <alignment horizontal="left" vertical="center"/>
    </xf>
    <xf numFmtId="354" fontId="217" fillId="0" borderId="0" xfId="0" applyNumberFormat="1" applyFont="1" applyAlignment="1">
      <alignment horizontal="center" vertical="center"/>
    </xf>
    <xf numFmtId="354" fontId="216" fillId="0" borderId="83" xfId="11388" applyNumberFormat="1" applyFont="1" applyBorder="1" applyAlignment="1">
      <alignment horizontal="center" vertical="center"/>
    </xf>
    <xf numFmtId="354" fontId="216" fillId="0" borderId="84" xfId="11388" applyNumberFormat="1" applyFont="1" applyBorder="1" applyAlignment="1">
      <alignment horizontal="center" vertical="center"/>
    </xf>
    <xf numFmtId="0" fontId="215" fillId="0" borderId="21" xfId="11388" applyFont="1" applyBorder="1" applyAlignment="1">
      <alignment horizontal="center" vertical="center"/>
    </xf>
    <xf numFmtId="354" fontId="217" fillId="0" borderId="0" xfId="0" applyNumberFormat="1" applyFont="1" applyAlignment="1">
      <alignment horizontal="left" vertical="center"/>
    </xf>
    <xf numFmtId="354" fontId="216" fillId="0" borderId="0" xfId="0" applyNumberFormat="1" applyFont="1" applyAlignment="1">
      <alignment horizontal="center" vertical="center"/>
    </xf>
    <xf numFmtId="354" fontId="216" fillId="0" borderId="7" xfId="0" applyNumberFormat="1" applyFont="1" applyBorder="1" applyAlignment="1">
      <alignment horizontal="center" vertical="center"/>
    </xf>
    <xf numFmtId="0" fontId="215" fillId="0" borderId="0" xfId="11383" applyFont="1" applyAlignment="1">
      <alignment horizontal="center" vertical="center"/>
    </xf>
    <xf numFmtId="0" fontId="213" fillId="0" borderId="0" xfId="11383"/>
    <xf numFmtId="3" fontId="216" fillId="0" borderId="424" xfId="11383" applyNumberFormat="1" applyFont="1" applyBorder="1" applyAlignment="1">
      <alignment horizontal="center" vertical="center"/>
    </xf>
    <xf numFmtId="0" fontId="213" fillId="0" borderId="86" xfId="11383" applyBorder="1" applyAlignment="1">
      <alignment horizontal="center" vertical="center"/>
    </xf>
    <xf numFmtId="0" fontId="213" fillId="0" borderId="0" xfId="11383" applyAlignment="1">
      <alignment horizontal="center" vertical="center"/>
    </xf>
    <xf numFmtId="0" fontId="213" fillId="0" borderId="22" xfId="11383" applyBorder="1" applyAlignment="1">
      <alignment horizontal="center" vertical="center"/>
    </xf>
    <xf numFmtId="0" fontId="218" fillId="0" borderId="0" xfId="11383" applyFont="1" applyAlignment="1">
      <alignment vertical="center"/>
    </xf>
  </cellXfs>
  <cellStyles count="37547">
    <cellStyle name="_x0001_" xfId="37535"/>
    <cellStyle name="_x0014_" xfId="6615"/>
    <cellStyle name=" " xfId="11401"/>
    <cellStyle name="          _x000d__x000a_386grabber=vga.3gr_x000d__x000a_" xfId="1"/>
    <cellStyle name=" [0]_영업분석" xfId="6616"/>
    <cellStyle name="&quot;" xfId="2"/>
    <cellStyle name="&quot; 2" xfId="6617"/>
    <cellStyle name="&quot; 2 2" xfId="10943"/>
    <cellStyle name="&quot; 3" xfId="6618"/>
    <cellStyle name="&quot; 3 2" xfId="10944"/>
    <cellStyle name="&quot; 4" xfId="6619"/>
    <cellStyle name="&quot; 4 2" xfId="10945"/>
    <cellStyle name="&quot; 5" xfId="6620"/>
    <cellStyle name="&quot; 5 2" xfId="10946"/>
    <cellStyle name="&quot; 6" xfId="6621"/>
    <cellStyle name="&quot; 6 2" xfId="10947"/>
    <cellStyle name="&quot; 7" xfId="6622"/>
    <cellStyle name="&quot; 7 2" xfId="10948"/>
    <cellStyle name="&quot; 8" xfId="10911"/>
    <cellStyle name="&quot;큰제목&quot;" xfId="3"/>
    <cellStyle name="#" xfId="4"/>
    <cellStyle name="# 2" xfId="5154"/>
    <cellStyle name="# 2 2" xfId="10950"/>
    <cellStyle name="# 2 2 10" xfId="12406"/>
    <cellStyle name="# 2 2 10 2" xfId="25286"/>
    <cellStyle name="# 2 2 11" xfId="22670"/>
    <cellStyle name="# 2 2 11 2" xfId="35104"/>
    <cellStyle name="# 2 2 12" xfId="21495"/>
    <cellStyle name="# 2 2 12 2" xfId="33932"/>
    <cellStyle name="# 2 2 13" xfId="20487"/>
    <cellStyle name="# 2 2 13 2" xfId="32932"/>
    <cellStyle name="# 2 2 14" xfId="20328"/>
    <cellStyle name="# 2 2 14 2" xfId="32773"/>
    <cellStyle name="# 2 2 15" xfId="19525"/>
    <cellStyle name="# 2 2 15 2" xfId="31980"/>
    <cellStyle name="# 2 2 16" xfId="18843"/>
    <cellStyle name="# 2 2 16 2" xfId="31548"/>
    <cellStyle name="# 2 2 17" xfId="21087"/>
    <cellStyle name="# 2 2 17 2" xfId="33524"/>
    <cellStyle name="# 2 2 18" xfId="20814"/>
    <cellStyle name="# 2 2 18 2" xfId="33251"/>
    <cellStyle name="# 2 2 19" xfId="20686"/>
    <cellStyle name="# 2 2 19 2" xfId="33130"/>
    <cellStyle name="# 2 2 2" xfId="16209"/>
    <cellStyle name="# 2 2 2 2" xfId="28985"/>
    <cellStyle name="# 2 2 20" xfId="24619"/>
    <cellStyle name="# 2 2 20 2" xfId="37050"/>
    <cellStyle name="# 2 2 21" xfId="21937"/>
    <cellStyle name="# 2 2 21 2" xfId="34374"/>
    <cellStyle name="# 2 2 3" xfId="14455"/>
    <cellStyle name="# 2 2 3 2" xfId="27287"/>
    <cellStyle name="# 2 2 4" xfId="14372"/>
    <cellStyle name="# 2 2 4 2" xfId="27205"/>
    <cellStyle name="# 2 2 5" xfId="13234"/>
    <cellStyle name="# 2 2 5 2" xfId="26102"/>
    <cellStyle name="# 2 2 6" xfId="17547"/>
    <cellStyle name="# 2 2 6 2" xfId="30268"/>
    <cellStyle name="# 2 2 7" xfId="13661"/>
    <cellStyle name="# 2 2 7 2" xfId="26529"/>
    <cellStyle name="# 2 2 8" xfId="15707"/>
    <cellStyle name="# 2 2 8 2" xfId="28507"/>
    <cellStyle name="# 2 2 9" xfId="12564"/>
    <cellStyle name="# 2 2 9 2" xfId="25444"/>
    <cellStyle name="# 2 3" xfId="14395"/>
    <cellStyle name="# 2 3 2" xfId="27228"/>
    <cellStyle name="# 3" xfId="6623"/>
    <cellStyle name="# 3 2" xfId="10951"/>
    <cellStyle name="# 3 2 10" xfId="17808"/>
    <cellStyle name="# 3 2 10 2" xfId="30524"/>
    <cellStyle name="# 3 2 11" xfId="22671"/>
    <cellStyle name="# 3 2 11 2" xfId="35105"/>
    <cellStyle name="# 3 2 12" xfId="21494"/>
    <cellStyle name="# 3 2 12 2" xfId="33931"/>
    <cellStyle name="# 3 2 13" xfId="20234"/>
    <cellStyle name="# 3 2 13 2" xfId="32680"/>
    <cellStyle name="# 3 2 14" xfId="20080"/>
    <cellStyle name="# 3 2 14 2" xfId="32526"/>
    <cellStyle name="# 3 2 15" xfId="20661"/>
    <cellStyle name="# 3 2 15 2" xfId="33105"/>
    <cellStyle name="# 3 2 16" xfId="22162"/>
    <cellStyle name="# 3 2 16 2" xfId="34598"/>
    <cellStyle name="# 3 2 17" xfId="20628"/>
    <cellStyle name="# 3 2 17 2" xfId="33072"/>
    <cellStyle name="# 3 2 18" xfId="23775"/>
    <cellStyle name="# 3 2 18 2" xfId="36206"/>
    <cellStyle name="# 3 2 19" xfId="23251"/>
    <cellStyle name="# 3 2 19 2" xfId="35683"/>
    <cellStyle name="# 3 2 2" xfId="16210"/>
    <cellStyle name="# 3 2 2 2" xfId="28986"/>
    <cellStyle name="# 3 2 20" xfId="22300"/>
    <cellStyle name="# 3 2 20 2" xfId="34734"/>
    <cellStyle name="# 3 2 21" xfId="19986"/>
    <cellStyle name="# 3 2 21 2" xfId="32434"/>
    <cellStyle name="# 3 2 3" xfId="14456"/>
    <cellStyle name="# 3 2 3 2" xfId="27288"/>
    <cellStyle name="# 3 2 4" xfId="14174"/>
    <cellStyle name="# 3 2 4 2" xfId="27022"/>
    <cellStyle name="# 3 2 5" xfId="15973"/>
    <cellStyle name="# 3 2 5 2" xfId="28771"/>
    <cellStyle name="# 3 2 6" xfId="17546"/>
    <cellStyle name="# 3 2 6 2" xfId="30267"/>
    <cellStyle name="# 3 2 7" xfId="13660"/>
    <cellStyle name="# 3 2 7 2" xfId="26528"/>
    <cellStyle name="# 3 2 8" xfId="15383"/>
    <cellStyle name="# 3 2 8 2" xfId="28198"/>
    <cellStyle name="# 3 2 9" xfId="13916"/>
    <cellStyle name="# 3 2 9 2" xfId="26775"/>
    <cellStyle name="# 3 3" xfId="14896"/>
    <cellStyle name="# 3 3 2" xfId="27717"/>
    <cellStyle name="# 4" xfId="6624"/>
    <cellStyle name="# 4 2" xfId="10952"/>
    <cellStyle name="# 4 2 10" xfId="12910"/>
    <cellStyle name="# 4 2 10 2" xfId="25786"/>
    <cellStyle name="# 4 2 11" xfId="22672"/>
    <cellStyle name="# 4 2 11 2" xfId="35106"/>
    <cellStyle name="# 4 2 12" xfId="21493"/>
    <cellStyle name="# 4 2 12 2" xfId="33930"/>
    <cellStyle name="# 4 2 13" xfId="20486"/>
    <cellStyle name="# 4 2 13 2" xfId="32931"/>
    <cellStyle name="# 4 2 14" xfId="20327"/>
    <cellStyle name="# 4 2 14 2" xfId="32772"/>
    <cellStyle name="# 4 2 15" xfId="19526"/>
    <cellStyle name="# 4 2 15 2" xfId="31981"/>
    <cellStyle name="# 4 2 16" xfId="18844"/>
    <cellStyle name="# 4 2 16 2" xfId="31549"/>
    <cellStyle name="# 4 2 17" xfId="18650"/>
    <cellStyle name="# 4 2 17 2" xfId="31355"/>
    <cellStyle name="# 4 2 18" xfId="20350"/>
    <cellStyle name="# 4 2 18 2" xfId="32795"/>
    <cellStyle name="# 4 2 19" xfId="22437"/>
    <cellStyle name="# 4 2 19 2" xfId="34871"/>
    <cellStyle name="# 4 2 2" xfId="16211"/>
    <cellStyle name="# 4 2 2 2" xfId="28987"/>
    <cellStyle name="# 4 2 20" xfId="20386"/>
    <cellStyle name="# 4 2 20 2" xfId="32831"/>
    <cellStyle name="# 4 2 21" xfId="24557"/>
    <cellStyle name="# 4 2 21 2" xfId="36988"/>
    <cellStyle name="# 4 2 3" xfId="14457"/>
    <cellStyle name="# 4 2 3 2" xfId="27289"/>
    <cellStyle name="# 4 2 4" xfId="17072"/>
    <cellStyle name="# 4 2 4 2" xfId="29808"/>
    <cellStyle name="# 4 2 5" xfId="13235"/>
    <cellStyle name="# 4 2 5 2" xfId="26103"/>
    <cellStyle name="# 4 2 6" xfId="12545"/>
    <cellStyle name="# 4 2 6 2" xfId="25425"/>
    <cellStyle name="# 4 2 7" xfId="14867"/>
    <cellStyle name="# 4 2 7 2" xfId="27689"/>
    <cellStyle name="# 4 2 8" xfId="15206"/>
    <cellStyle name="# 4 2 8 2" xfId="28024"/>
    <cellStyle name="# 4 2 9" xfId="15226"/>
    <cellStyle name="# 4 2 9 2" xfId="28044"/>
    <cellStyle name="# 4 3" xfId="14897"/>
    <cellStyle name="# 4 3 2" xfId="27718"/>
    <cellStyle name="# 5" xfId="6625"/>
    <cellStyle name="# 5 2" xfId="10953"/>
    <cellStyle name="# 5 2 10" xfId="17809"/>
    <cellStyle name="# 5 2 10 2" xfId="30525"/>
    <cellStyle name="# 5 2 11" xfId="22673"/>
    <cellStyle name="# 5 2 11 2" xfId="35107"/>
    <cellStyle name="# 5 2 12" xfId="21492"/>
    <cellStyle name="# 5 2 12 2" xfId="33929"/>
    <cellStyle name="# 5 2 13" xfId="20233"/>
    <cellStyle name="# 5 2 13 2" xfId="32679"/>
    <cellStyle name="# 5 2 14" xfId="20079"/>
    <cellStyle name="# 5 2 14 2" xfId="32525"/>
    <cellStyle name="# 5 2 15" xfId="20638"/>
    <cellStyle name="# 5 2 15 2" xfId="33082"/>
    <cellStyle name="# 5 2 16" xfId="22163"/>
    <cellStyle name="# 5 2 16 2" xfId="34599"/>
    <cellStyle name="# 5 2 17" xfId="18375"/>
    <cellStyle name="# 5 2 17 2" xfId="31081"/>
    <cellStyle name="# 5 2 18" xfId="20493"/>
    <cellStyle name="# 5 2 18 2" xfId="32938"/>
    <cellStyle name="# 5 2 19" xfId="20826"/>
    <cellStyle name="# 5 2 19 2" xfId="33263"/>
    <cellStyle name="# 5 2 2" xfId="16212"/>
    <cellStyle name="# 5 2 2 2" xfId="28988"/>
    <cellStyle name="# 5 2 20" xfId="22413"/>
    <cellStyle name="# 5 2 20 2" xfId="34847"/>
    <cellStyle name="# 5 2 21" xfId="23485"/>
    <cellStyle name="# 5 2 21 2" xfId="35916"/>
    <cellStyle name="# 5 2 3" xfId="14458"/>
    <cellStyle name="# 5 2 3 2" xfId="27290"/>
    <cellStyle name="# 5 2 4" xfId="14371"/>
    <cellStyle name="# 5 2 4 2" xfId="27204"/>
    <cellStyle name="# 5 2 5" xfId="15974"/>
    <cellStyle name="# 5 2 5 2" xfId="28772"/>
    <cellStyle name="# 5 2 6" xfId="15804"/>
    <cellStyle name="# 5 2 6 2" xfId="28603"/>
    <cellStyle name="# 5 2 7" xfId="14000"/>
    <cellStyle name="# 5 2 7 2" xfId="26856"/>
    <cellStyle name="# 5 2 8" xfId="17008"/>
    <cellStyle name="# 5 2 8 2" xfId="29783"/>
    <cellStyle name="# 5 2 9" xfId="12995"/>
    <cellStyle name="# 5 2 9 2" xfId="25870"/>
    <cellStyle name="# 5 3" xfId="14898"/>
    <cellStyle name="# 5 3 2" xfId="27719"/>
    <cellStyle name="# 6" xfId="6626"/>
    <cellStyle name="# 6 2" xfId="10954"/>
    <cellStyle name="# 6 2 10" xfId="15499"/>
    <cellStyle name="# 6 2 10 2" xfId="28308"/>
    <cellStyle name="# 6 2 11" xfId="22674"/>
    <cellStyle name="# 6 2 11 2" xfId="35108"/>
    <cellStyle name="# 6 2 12" xfId="21491"/>
    <cellStyle name="# 6 2 12 2" xfId="33928"/>
    <cellStyle name="# 6 2 13" xfId="20485"/>
    <cellStyle name="# 6 2 13 2" xfId="32930"/>
    <cellStyle name="# 6 2 14" xfId="20326"/>
    <cellStyle name="# 6 2 14 2" xfId="32771"/>
    <cellStyle name="# 6 2 15" xfId="20662"/>
    <cellStyle name="# 6 2 15 2" xfId="33106"/>
    <cellStyle name="# 6 2 16" xfId="18845"/>
    <cellStyle name="# 6 2 16 2" xfId="31550"/>
    <cellStyle name="# 6 2 17" xfId="18651"/>
    <cellStyle name="# 6 2 17 2" xfId="31356"/>
    <cellStyle name="# 6 2 18" xfId="18821"/>
    <cellStyle name="# 6 2 18 2" xfId="31526"/>
    <cellStyle name="# 6 2 19" xfId="20115"/>
    <cellStyle name="# 6 2 19 2" xfId="32561"/>
    <cellStyle name="# 6 2 2" xfId="16213"/>
    <cellStyle name="# 6 2 2 2" xfId="28989"/>
    <cellStyle name="# 6 2 20" xfId="24139"/>
    <cellStyle name="# 6 2 20 2" xfId="36570"/>
    <cellStyle name="# 6 2 21" xfId="22871"/>
    <cellStyle name="# 6 2 21 2" xfId="35305"/>
    <cellStyle name="# 6 2 3" xfId="14459"/>
    <cellStyle name="# 6 2 3 2" xfId="27291"/>
    <cellStyle name="# 6 2 4" xfId="16699"/>
    <cellStyle name="# 6 2 4 2" xfId="29475"/>
    <cellStyle name="# 6 2 5" xfId="13236"/>
    <cellStyle name="# 6 2 5 2" xfId="26104"/>
    <cellStyle name="# 6 2 6" xfId="15802"/>
    <cellStyle name="# 6 2 6 2" xfId="28601"/>
    <cellStyle name="# 6 2 7" xfId="15596"/>
    <cellStyle name="# 6 2 7 2" xfId="28405"/>
    <cellStyle name="# 6 2 8" xfId="15384"/>
    <cellStyle name="# 6 2 8 2" xfId="28199"/>
    <cellStyle name="# 6 2 9" xfId="15409"/>
    <cellStyle name="# 6 2 9 2" xfId="28223"/>
    <cellStyle name="# 6 3" xfId="14899"/>
    <cellStyle name="# 6 3 2" xfId="27720"/>
    <cellStyle name="# 7" xfId="10949"/>
    <cellStyle name="# 7 10" xfId="16936"/>
    <cellStyle name="# 7 10 2" xfId="29711"/>
    <cellStyle name="# 7 11" xfId="22669"/>
    <cellStyle name="# 7 11 2" xfId="35103"/>
    <cellStyle name="# 7 12" xfId="21496"/>
    <cellStyle name="# 7 12 2" xfId="33933"/>
    <cellStyle name="# 7 13" xfId="20235"/>
    <cellStyle name="# 7 13 2" xfId="32681"/>
    <cellStyle name="# 7 14" xfId="20081"/>
    <cellStyle name="# 7 14 2" xfId="32527"/>
    <cellStyle name="# 7 15" xfId="20660"/>
    <cellStyle name="# 7 15 2" xfId="33104"/>
    <cellStyle name="# 7 16" xfId="22161"/>
    <cellStyle name="# 7 16 2" xfId="34597"/>
    <cellStyle name="# 7 17" xfId="21297"/>
    <cellStyle name="# 7 17 2" xfId="33734"/>
    <cellStyle name="# 7 18" xfId="20098"/>
    <cellStyle name="# 7 18 2" xfId="32544"/>
    <cellStyle name="# 7 19" xfId="24022"/>
    <cellStyle name="# 7 19 2" xfId="36453"/>
    <cellStyle name="# 7 2" xfId="16208"/>
    <cellStyle name="# 7 2 2" xfId="28984"/>
    <cellStyle name="# 7 20" xfId="23221"/>
    <cellStyle name="# 7 20 2" xfId="35654"/>
    <cellStyle name="# 7 21" xfId="23031"/>
    <cellStyle name="# 7 21 2" xfId="35464"/>
    <cellStyle name="# 7 3" xfId="14454"/>
    <cellStyle name="# 7 3 2" xfId="27286"/>
    <cellStyle name="# 7 4" xfId="14175"/>
    <cellStyle name="# 7 4 2" xfId="27023"/>
    <cellStyle name="# 7 5" xfId="13458"/>
    <cellStyle name="# 7 5 2" xfId="26326"/>
    <cellStyle name="# 7 6" xfId="17533"/>
    <cellStyle name="# 7 6 2" xfId="30255"/>
    <cellStyle name="# 7 7" xfId="13664"/>
    <cellStyle name="# 7 7 2" xfId="26532"/>
    <cellStyle name="# 7 8" xfId="18022"/>
    <cellStyle name="# 7 8 2" xfId="30734"/>
    <cellStyle name="# 7 9" xfId="14666"/>
    <cellStyle name="# 7 9 2" xfId="27492"/>
    <cellStyle name="# 8" xfId="11389"/>
    <cellStyle name="# 8 10" xfId="18042"/>
    <cellStyle name="# 8 10 2" xfId="30753"/>
    <cellStyle name="# 8 11" xfId="23011"/>
    <cellStyle name="# 8 11 2" xfId="35444"/>
    <cellStyle name="# 8 12" xfId="21131"/>
    <cellStyle name="# 8 12 2" xfId="33568"/>
    <cellStyle name="# 8 13" xfId="20383"/>
    <cellStyle name="# 8 13 2" xfId="32828"/>
    <cellStyle name="# 8 14" xfId="20315"/>
    <cellStyle name="# 8 14 2" xfId="32760"/>
    <cellStyle name="# 8 15" xfId="20777"/>
    <cellStyle name="# 8 15 2" xfId="33216"/>
    <cellStyle name="# 8 16" xfId="18796"/>
    <cellStyle name="# 8 16 2" xfId="31501"/>
    <cellStyle name="# 8 17" xfId="22375"/>
    <cellStyle name="# 8 17 2" xfId="34809"/>
    <cellStyle name="# 8 18" xfId="19981"/>
    <cellStyle name="# 8 18 2" xfId="32429"/>
    <cellStyle name="# 8 19" xfId="18676"/>
    <cellStyle name="# 8 19 2" xfId="31381"/>
    <cellStyle name="# 8 2" xfId="16545"/>
    <cellStyle name="# 8 2 2" xfId="29321"/>
    <cellStyle name="# 8 20" xfId="23089"/>
    <cellStyle name="# 8 20 2" xfId="35522"/>
    <cellStyle name="# 8 21" xfId="22308"/>
    <cellStyle name="# 8 21 2" xfId="34742"/>
    <cellStyle name="# 8 3" xfId="12630"/>
    <cellStyle name="# 8 3 2" xfId="25509"/>
    <cellStyle name="# 8 4" xfId="14111"/>
    <cellStyle name="# 8 4 2" xfId="26959"/>
    <cellStyle name="# 8 5" xfId="12845"/>
    <cellStyle name="# 8 5 2" xfId="25721"/>
    <cellStyle name="# 8 6" xfId="12865"/>
    <cellStyle name="# 8 6 2" xfId="25741"/>
    <cellStyle name="# 8 7" xfId="14038"/>
    <cellStyle name="# 8 7 2" xfId="26887"/>
    <cellStyle name="# 8 8" xfId="15569"/>
    <cellStyle name="# 8 8 2" xfId="28378"/>
    <cellStyle name="# 8 9" xfId="15363"/>
    <cellStyle name="# 8 9 2" xfId="28180"/>
    <cellStyle name="# 9" xfId="12385"/>
    <cellStyle name="# 9 2" xfId="25265"/>
    <cellStyle name="#,##0" xfId="5"/>
    <cellStyle name="#,##0 2" xfId="5155"/>
    <cellStyle name="#,##0 2 2" xfId="10955"/>
    <cellStyle name="#,##0 2 2 10" xfId="17870"/>
    <cellStyle name="#,##0 2 2 11" xfId="14527"/>
    <cellStyle name="#,##0 2 2 11 2" xfId="27355"/>
    <cellStyle name="#,##0 2 2 12" xfId="22675"/>
    <cellStyle name="#,##0 2 2 12 2" xfId="35109"/>
    <cellStyle name="#,##0 2 2 13" xfId="21490"/>
    <cellStyle name="#,##0 2 2 13 2" xfId="33927"/>
    <cellStyle name="#,##0 2 2 14" xfId="18366"/>
    <cellStyle name="#,##0 2 2 14 2" xfId="31072"/>
    <cellStyle name="#,##0 2 2 15" xfId="22844"/>
    <cellStyle name="#,##0 2 2 15 2" xfId="35278"/>
    <cellStyle name="#,##0 2 2 16" xfId="23457"/>
    <cellStyle name="#,##0 2 2 16 2" xfId="35888"/>
    <cellStyle name="#,##0 2 2 17" xfId="18865"/>
    <cellStyle name="#,##0 2 2 17 2" xfId="31570"/>
    <cellStyle name="#,##0 2 2 18" xfId="19012"/>
    <cellStyle name="#,##0 2 2 18 2" xfId="31717"/>
    <cellStyle name="#,##0 2 2 19" xfId="23406"/>
    <cellStyle name="#,##0 2 2 19 2" xfId="35837"/>
    <cellStyle name="#,##0 2 2 2" xfId="16214"/>
    <cellStyle name="#,##0 2 2 2 2" xfId="28990"/>
    <cellStyle name="#,##0 2 2 20" xfId="23796"/>
    <cellStyle name="#,##0 2 2 20 2" xfId="36227"/>
    <cellStyle name="#,##0 2 2 21" xfId="19224"/>
    <cellStyle name="#,##0 2 2 21 2" xfId="31879"/>
    <cellStyle name="#,##0 2 2 22" xfId="22223"/>
    <cellStyle name="#,##0 2 2 22 2" xfId="34658"/>
    <cellStyle name="#,##0 2 2 23" xfId="21052"/>
    <cellStyle name="#,##0 2 2 23 2" xfId="33489"/>
    <cellStyle name="#,##0 2 2 24" xfId="25118"/>
    <cellStyle name="#,##0 2 2 3" xfId="15250"/>
    <cellStyle name="#,##0 2 2 3 2" xfId="28068"/>
    <cellStyle name="#,##0 2 2 4" xfId="16698"/>
    <cellStyle name="#,##0 2 2 4 2" xfId="29474"/>
    <cellStyle name="#,##0 2 2 5" xfId="15975"/>
    <cellStyle name="#,##0 2 2 5 2" xfId="28773"/>
    <cellStyle name="#,##0 2 2 6" xfId="14450"/>
    <cellStyle name="#,##0 2 2 6 2" xfId="27282"/>
    <cellStyle name="#,##0 2 2 7" xfId="15648"/>
    <cellStyle name="#,##0 2 2 7 2" xfId="28455"/>
    <cellStyle name="#,##0 2 2 8" xfId="16024"/>
    <cellStyle name="#,##0 2 2 8 2" xfId="28822"/>
    <cellStyle name="#,##0 2 2 9" xfId="18033"/>
    <cellStyle name="#,##0 2 2 9 2" xfId="30744"/>
    <cellStyle name="#,##0 3" xfId="6627"/>
    <cellStyle name="#,##0 3 2" xfId="10956"/>
    <cellStyle name="#,##0 3 2 10" xfId="17273"/>
    <cellStyle name="#,##0 3 2 11" xfId="12909"/>
    <cellStyle name="#,##0 3 2 11 2" xfId="25785"/>
    <cellStyle name="#,##0 3 2 12" xfId="22676"/>
    <cellStyle name="#,##0 3 2 12 2" xfId="35110"/>
    <cellStyle name="#,##0 3 2 13" xfId="21489"/>
    <cellStyle name="#,##0 3 2 13 2" xfId="33926"/>
    <cellStyle name="#,##0 3 2 14" xfId="18367"/>
    <cellStyle name="#,##0 3 2 14 2" xfId="31073"/>
    <cellStyle name="#,##0 3 2 15" xfId="19879"/>
    <cellStyle name="#,##0 3 2 15 2" xfId="32329"/>
    <cellStyle name="#,##0 3 2 16" xfId="23456"/>
    <cellStyle name="#,##0 3 2 16 2" xfId="35887"/>
    <cellStyle name="#,##0 3 2 17" xfId="21100"/>
    <cellStyle name="#,##0 3 2 17 2" xfId="33537"/>
    <cellStyle name="#,##0 3 2 18" xfId="19011"/>
    <cellStyle name="#,##0 3 2 18 2" xfId="31716"/>
    <cellStyle name="#,##0 3 2 19" xfId="21330"/>
    <cellStyle name="#,##0 3 2 19 2" xfId="33767"/>
    <cellStyle name="#,##0 3 2 2" xfId="16215"/>
    <cellStyle name="#,##0 3 2 2 2" xfId="28991"/>
    <cellStyle name="#,##0 3 2 20" xfId="23533"/>
    <cellStyle name="#,##0 3 2 20 2" xfId="35964"/>
    <cellStyle name="#,##0 3 2 21" xfId="20842"/>
    <cellStyle name="#,##0 3 2 21 2" xfId="33279"/>
    <cellStyle name="#,##0 3 2 22" xfId="18824"/>
    <cellStyle name="#,##0 3 2 22 2" xfId="31529"/>
    <cellStyle name="#,##0 3 2 23" xfId="21550"/>
    <cellStyle name="#,##0 3 2 23 2" xfId="33987"/>
    <cellStyle name="#,##0 3 2 24" xfId="25119"/>
    <cellStyle name="#,##0 3 2 3" xfId="15249"/>
    <cellStyle name="#,##0 3 2 3 2" xfId="28067"/>
    <cellStyle name="#,##0 3 2 4" xfId="13162"/>
    <cellStyle name="#,##0 3 2 4 2" xfId="26031"/>
    <cellStyle name="#,##0 3 2 5" xfId="13237"/>
    <cellStyle name="#,##0 3 2 5 2" xfId="26105"/>
    <cellStyle name="#,##0 3 2 6" xfId="12548"/>
    <cellStyle name="#,##0 3 2 6 2" xfId="25428"/>
    <cellStyle name="#,##0 3 2 7" xfId="15140"/>
    <cellStyle name="#,##0 3 2 7 2" xfId="27959"/>
    <cellStyle name="#,##0 3 2 8" xfId="14853"/>
    <cellStyle name="#,##0 3 2 8 2" xfId="27676"/>
    <cellStyle name="#,##0 3 2 9" xfId="15453"/>
    <cellStyle name="#,##0 3 2 9 2" xfId="28262"/>
    <cellStyle name="#,##0 4" xfId="6628"/>
    <cellStyle name="#,##0 4 2" xfId="10957"/>
    <cellStyle name="#,##0 4 2 10" xfId="14005"/>
    <cellStyle name="#,##0 4 2 11" xfId="15635"/>
    <cellStyle name="#,##0 4 2 11 2" xfId="28444"/>
    <cellStyle name="#,##0 4 2 12" xfId="22677"/>
    <cellStyle name="#,##0 4 2 12 2" xfId="35111"/>
    <cellStyle name="#,##0 4 2 13" xfId="21488"/>
    <cellStyle name="#,##0 4 2 13 2" xfId="33925"/>
    <cellStyle name="#,##0 4 2 14" xfId="18368"/>
    <cellStyle name="#,##0 4 2 14 2" xfId="31074"/>
    <cellStyle name="#,##0 4 2 15" xfId="19880"/>
    <cellStyle name="#,##0 4 2 15 2" xfId="32330"/>
    <cellStyle name="#,##0 4 2 16" xfId="23455"/>
    <cellStyle name="#,##0 4 2 16 2" xfId="35886"/>
    <cellStyle name="#,##0 4 2 17" xfId="18864"/>
    <cellStyle name="#,##0 4 2 17 2" xfId="31569"/>
    <cellStyle name="#,##0 4 2 18" xfId="23639"/>
    <cellStyle name="#,##0 4 2 18 2" xfId="36070"/>
    <cellStyle name="#,##0 4 2 19" xfId="21219"/>
    <cellStyle name="#,##0 4 2 19 2" xfId="33656"/>
    <cellStyle name="#,##0 4 2 2" xfId="16216"/>
    <cellStyle name="#,##0 4 2 2 2" xfId="28992"/>
    <cellStyle name="#,##0 4 2 20" xfId="18820"/>
    <cellStyle name="#,##0 4 2 20 2" xfId="31525"/>
    <cellStyle name="#,##0 4 2 21" xfId="21699"/>
    <cellStyle name="#,##0 4 2 21 2" xfId="34136"/>
    <cellStyle name="#,##0 4 2 22" xfId="19753"/>
    <cellStyle name="#,##0 4 2 22 2" xfId="32206"/>
    <cellStyle name="#,##0 4 2 23" xfId="19066"/>
    <cellStyle name="#,##0 4 2 23 2" xfId="31771"/>
    <cellStyle name="#,##0 4 2 24" xfId="25120"/>
    <cellStyle name="#,##0 4 2 3" xfId="15248"/>
    <cellStyle name="#,##0 4 2 3 2" xfId="28066"/>
    <cellStyle name="#,##0 4 2 4" xfId="13161"/>
    <cellStyle name="#,##0 4 2 4 2" xfId="26030"/>
    <cellStyle name="#,##0 4 2 5" xfId="15976"/>
    <cellStyle name="#,##0 4 2 5 2" xfId="28774"/>
    <cellStyle name="#,##0 4 2 6" xfId="13079"/>
    <cellStyle name="#,##0 4 2 6 2" xfId="25948"/>
    <cellStyle name="#,##0 4 2 7" xfId="15647"/>
    <cellStyle name="#,##0 4 2 7 2" xfId="28454"/>
    <cellStyle name="#,##0 4 2 8" xfId="16798"/>
    <cellStyle name="#,##0 4 2 8 2" xfId="29573"/>
    <cellStyle name="#,##0 4 2 9" xfId="17107"/>
    <cellStyle name="#,##0 4 2 9 2" xfId="29842"/>
    <cellStyle name="#,##0 5" xfId="6629"/>
    <cellStyle name="#,##0 5 2" xfId="10958"/>
    <cellStyle name="#,##0 5 2 10" xfId="15740"/>
    <cellStyle name="#,##0 5 2 11" xfId="15498"/>
    <cellStyle name="#,##0 5 2 11 2" xfId="28307"/>
    <cellStyle name="#,##0 5 2 12" xfId="22678"/>
    <cellStyle name="#,##0 5 2 12 2" xfId="35112"/>
    <cellStyle name="#,##0 5 2 13" xfId="21487"/>
    <cellStyle name="#,##0 5 2 13 2" xfId="33924"/>
    <cellStyle name="#,##0 5 2 14" xfId="18369"/>
    <cellStyle name="#,##0 5 2 14 2" xfId="31075"/>
    <cellStyle name="#,##0 5 2 15" xfId="19881"/>
    <cellStyle name="#,##0 5 2 15 2" xfId="32331"/>
    <cellStyle name="#,##0 5 2 16" xfId="23454"/>
    <cellStyle name="#,##0 5 2 16 2" xfId="35885"/>
    <cellStyle name="#,##0 5 2 17" xfId="23801"/>
    <cellStyle name="#,##0 5 2 17 2" xfId="36232"/>
    <cellStyle name="#,##0 5 2 18" xfId="19010"/>
    <cellStyle name="#,##0 5 2 18 2" xfId="31715"/>
    <cellStyle name="#,##0 5 2 19" xfId="24576"/>
    <cellStyle name="#,##0 5 2 19 2" xfId="37007"/>
    <cellStyle name="#,##0 5 2 2" xfId="16217"/>
    <cellStyle name="#,##0 5 2 2 2" xfId="28993"/>
    <cellStyle name="#,##0 5 2 20" xfId="23899"/>
    <cellStyle name="#,##0 5 2 20 2" xfId="36330"/>
    <cellStyle name="#,##0 5 2 21" xfId="22410"/>
    <cellStyle name="#,##0 5 2 21 2" xfId="34844"/>
    <cellStyle name="#,##0 5 2 22" xfId="22467"/>
    <cellStyle name="#,##0 5 2 22 2" xfId="34901"/>
    <cellStyle name="#,##0 5 2 23" xfId="22641"/>
    <cellStyle name="#,##0 5 2 23 2" xfId="35075"/>
    <cellStyle name="#,##0 5 2 24" xfId="25121"/>
    <cellStyle name="#,##0 5 2 3" xfId="15247"/>
    <cellStyle name="#,##0 5 2 3 2" xfId="28065"/>
    <cellStyle name="#,##0 5 2 4" xfId="13160"/>
    <cellStyle name="#,##0 5 2 4 2" xfId="26029"/>
    <cellStyle name="#,##0 5 2 5" xfId="13238"/>
    <cellStyle name="#,##0 5 2 5 2" xfId="26106"/>
    <cellStyle name="#,##0 5 2 6" xfId="15771"/>
    <cellStyle name="#,##0 5 2 6 2" xfId="28570"/>
    <cellStyle name="#,##0 5 2 7" xfId="13019"/>
    <cellStyle name="#,##0 5 2 7 2" xfId="25894"/>
    <cellStyle name="#,##0 5 2 8" xfId="12926"/>
    <cellStyle name="#,##0 5 2 8 2" xfId="25802"/>
    <cellStyle name="#,##0 5 2 9" xfId="17083"/>
    <cellStyle name="#,##0 5 2 9 2" xfId="29819"/>
    <cellStyle name="#,##0 6" xfId="6630"/>
    <cellStyle name="#,##0 6 2" xfId="10959"/>
    <cellStyle name="#,##0 6 2 10" xfId="17416"/>
    <cellStyle name="#,##0 6 2 11" xfId="15634"/>
    <cellStyle name="#,##0 6 2 11 2" xfId="28443"/>
    <cellStyle name="#,##0 6 2 12" xfId="22679"/>
    <cellStyle name="#,##0 6 2 12 2" xfId="35113"/>
    <cellStyle name="#,##0 6 2 13" xfId="21486"/>
    <cellStyle name="#,##0 6 2 13 2" xfId="33923"/>
    <cellStyle name="#,##0 6 2 14" xfId="18370"/>
    <cellStyle name="#,##0 6 2 14 2" xfId="31076"/>
    <cellStyle name="#,##0 6 2 15" xfId="21072"/>
    <cellStyle name="#,##0 6 2 15 2" xfId="33509"/>
    <cellStyle name="#,##0 6 2 16" xfId="23453"/>
    <cellStyle name="#,##0 6 2 16 2" xfId="35884"/>
    <cellStyle name="#,##0 6 2 17" xfId="18335"/>
    <cellStyle name="#,##0 6 2 17 2" xfId="31041"/>
    <cellStyle name="#,##0 6 2 18" xfId="18744"/>
    <cellStyle name="#,##0 6 2 18 2" xfId="31449"/>
    <cellStyle name="#,##0 6 2 19" xfId="24575"/>
    <cellStyle name="#,##0 6 2 19 2" xfId="37006"/>
    <cellStyle name="#,##0 6 2 2" xfId="16218"/>
    <cellStyle name="#,##0 6 2 2 2" xfId="28994"/>
    <cellStyle name="#,##0 6 2 20" xfId="23203"/>
    <cellStyle name="#,##0 6 2 20 2" xfId="35636"/>
    <cellStyle name="#,##0 6 2 21" xfId="20289"/>
    <cellStyle name="#,##0 6 2 21 2" xfId="32734"/>
    <cellStyle name="#,##0 6 2 22" xfId="18819"/>
    <cellStyle name="#,##0 6 2 22 2" xfId="31524"/>
    <cellStyle name="#,##0 6 2 23" xfId="19558"/>
    <cellStyle name="#,##0 6 2 23 2" xfId="32013"/>
    <cellStyle name="#,##0 6 2 24" xfId="25122"/>
    <cellStyle name="#,##0 6 2 3" xfId="15246"/>
    <cellStyle name="#,##0 6 2 3 2" xfId="28064"/>
    <cellStyle name="#,##0 6 2 4" xfId="13159"/>
    <cellStyle name="#,##0 6 2 4 2" xfId="26028"/>
    <cellStyle name="#,##0 6 2 5" xfId="15977"/>
    <cellStyle name="#,##0 6 2 5 2" xfId="28775"/>
    <cellStyle name="#,##0 6 2 6" xfId="12717"/>
    <cellStyle name="#,##0 6 2 6 2" xfId="25594"/>
    <cellStyle name="#,##0 6 2 7" xfId="15646"/>
    <cellStyle name="#,##0 6 2 7 2" xfId="28453"/>
    <cellStyle name="#,##0 6 2 8" xfId="14203"/>
    <cellStyle name="#,##0 6 2 8 2" xfId="27051"/>
    <cellStyle name="#,##0 6 2 9" xfId="13088"/>
    <cellStyle name="#,##0 6 2 9 2" xfId="25957"/>
    <cellStyle name="#,##0 7" xfId="6631"/>
    <cellStyle name="#,##0 7 2" xfId="10960"/>
    <cellStyle name="#,##0 7 2 10" xfId="17433"/>
    <cellStyle name="#,##0 7 2 11" xfId="12908"/>
    <cellStyle name="#,##0 7 2 11 2" xfId="25784"/>
    <cellStyle name="#,##0 7 2 12" xfId="22680"/>
    <cellStyle name="#,##0 7 2 12 2" xfId="35114"/>
    <cellStyle name="#,##0 7 2 13" xfId="21485"/>
    <cellStyle name="#,##0 7 2 13 2" xfId="33922"/>
    <cellStyle name="#,##0 7 2 14" xfId="18371"/>
    <cellStyle name="#,##0 7 2 14 2" xfId="31077"/>
    <cellStyle name="#,##0 7 2 15" xfId="23086"/>
    <cellStyle name="#,##0 7 2 15 2" xfId="35519"/>
    <cellStyle name="#,##0 7 2 16" xfId="23452"/>
    <cellStyle name="#,##0 7 2 16 2" xfId="35883"/>
    <cellStyle name="#,##0 7 2 17" xfId="19592"/>
    <cellStyle name="#,##0 7 2 17 2" xfId="32047"/>
    <cellStyle name="#,##0 7 2 18" xfId="24388"/>
    <cellStyle name="#,##0 7 2 18 2" xfId="36819"/>
    <cellStyle name="#,##0 7 2 19" xfId="18376"/>
    <cellStyle name="#,##0 7 2 19 2" xfId="31082"/>
    <cellStyle name="#,##0 7 2 2" xfId="16219"/>
    <cellStyle name="#,##0 7 2 2 2" xfId="28995"/>
    <cellStyle name="#,##0 7 2 20" xfId="20559"/>
    <cellStyle name="#,##0 7 2 20 2" xfId="33004"/>
    <cellStyle name="#,##0 7 2 21" xfId="20099"/>
    <cellStyle name="#,##0 7 2 21 2" xfId="32545"/>
    <cellStyle name="#,##0 7 2 22" xfId="20877"/>
    <cellStyle name="#,##0 7 2 22 2" xfId="33314"/>
    <cellStyle name="#,##0 7 2 23" xfId="22026"/>
    <cellStyle name="#,##0 7 2 23 2" xfId="34463"/>
    <cellStyle name="#,##0 7 2 24" xfId="25123"/>
    <cellStyle name="#,##0 7 2 3" xfId="15245"/>
    <cellStyle name="#,##0 7 2 3 2" xfId="28063"/>
    <cellStyle name="#,##0 7 2 4" xfId="14525"/>
    <cellStyle name="#,##0 7 2 4 2" xfId="27353"/>
    <cellStyle name="#,##0 7 2 5" xfId="13239"/>
    <cellStyle name="#,##0 7 2 5 2" xfId="26107"/>
    <cellStyle name="#,##0 7 2 6" xfId="14103"/>
    <cellStyle name="#,##0 7 2 6 2" xfId="26951"/>
    <cellStyle name="#,##0 7 2 7" xfId="17329"/>
    <cellStyle name="#,##0 7 2 7 2" xfId="30058"/>
    <cellStyle name="#,##0 7 2 8" xfId="12547"/>
    <cellStyle name="#,##0 7 2 8 2" xfId="25427"/>
    <cellStyle name="#,##0 7 2 9" xfId="14176"/>
    <cellStyle name="#,##0 7 2 9 2" xfId="27024"/>
    <cellStyle name="#,##0 8" xfId="10912"/>
    <cellStyle name="#,##0 8 10" xfId="17274"/>
    <cellStyle name="#,##0 8 11" xfId="15275"/>
    <cellStyle name="#,##0 8 11 2" xfId="28092"/>
    <cellStyle name="#,##0 8 12" xfId="22644"/>
    <cellStyle name="#,##0 8 12 2" xfId="35078"/>
    <cellStyle name="#,##0 8 13" xfId="21522"/>
    <cellStyle name="#,##0 8 13 2" xfId="33959"/>
    <cellStyle name="#,##0 8 14" xfId="18346"/>
    <cellStyle name="#,##0 8 14 2" xfId="31052"/>
    <cellStyle name="#,##0 8 15" xfId="18773"/>
    <cellStyle name="#,##0 8 15 2" xfId="31478"/>
    <cellStyle name="#,##0 8 16" xfId="19521"/>
    <cellStyle name="#,##0 8 16 2" xfId="31976"/>
    <cellStyle name="#,##0 8 17" xfId="20054"/>
    <cellStyle name="#,##0 8 17 2" xfId="32500"/>
    <cellStyle name="#,##0 8 18" xfId="22416"/>
    <cellStyle name="#,##0 8 18 2" xfId="34850"/>
    <cellStyle name="#,##0 8 19" xfId="21967"/>
    <cellStyle name="#,##0 8 19 2" xfId="34404"/>
    <cellStyle name="#,##0 8 2" xfId="16182"/>
    <cellStyle name="#,##0 8 2 2" xfId="28958"/>
    <cellStyle name="#,##0 8 20" xfId="23189"/>
    <cellStyle name="#,##0 8 20 2" xfId="35622"/>
    <cellStyle name="#,##0 8 21" xfId="23631"/>
    <cellStyle name="#,##0 8 21 2" xfId="36062"/>
    <cellStyle name="#,##0 8 22" xfId="24846"/>
    <cellStyle name="#,##0 8 22 2" xfId="37277"/>
    <cellStyle name="#,##0 8 23" xfId="24893"/>
    <cellStyle name="#,##0 8 23 2" xfId="37324"/>
    <cellStyle name="#,##0 8 24" xfId="25105"/>
    <cellStyle name="#,##0 8 3" xfId="15273"/>
    <cellStyle name="#,##0 8 3 2" xfId="28090"/>
    <cellStyle name="#,##0 8 4" xfId="14376"/>
    <cellStyle name="#,##0 8 4 2" xfId="27209"/>
    <cellStyle name="#,##0 8 5" xfId="12797"/>
    <cellStyle name="#,##0 8 5 2" xfId="25673"/>
    <cellStyle name="#,##0 8 6" xfId="14705"/>
    <cellStyle name="#,##0 8 6 2" xfId="27531"/>
    <cellStyle name="#,##0 8 7" xfId="15657"/>
    <cellStyle name="#,##0 8 7 2" xfId="28464"/>
    <cellStyle name="#,##0 8 8" xfId="12596"/>
    <cellStyle name="#,##0 8 8 2" xfId="25475"/>
    <cellStyle name="#,##0 8 9" xfId="14756"/>
    <cellStyle name="#,##0 8 9 2" xfId="27581"/>
    <cellStyle name="#,##0.0" xfId="6"/>
    <cellStyle name="#,##0.0 2" xfId="5156"/>
    <cellStyle name="#,##0.00" xfId="7"/>
    <cellStyle name="#,##0.000" xfId="8"/>
    <cellStyle name="#,##0_2007년(100%)2" xfId="6632"/>
    <cellStyle name="#_2차1회계약내역(1회기성)" xfId="6633"/>
    <cellStyle name="#_2차1회계약내역(1회기성) 2" xfId="6634"/>
    <cellStyle name="#_2차1회계약내역(1회기성) 2 2" xfId="10962"/>
    <cellStyle name="#_2차1회계약내역(1회기성) 2 2 10" xfId="15497"/>
    <cellStyle name="#_2차1회계약내역(1회기성) 2 2 10 2" xfId="28306"/>
    <cellStyle name="#_2차1회계약내역(1회기성) 2 2 11" xfId="22682"/>
    <cellStyle name="#_2차1회계약내역(1회기성) 2 2 11 2" xfId="35116"/>
    <cellStyle name="#_2차1회계약내역(1회기성) 2 2 12" xfId="21483"/>
    <cellStyle name="#_2차1회계약내역(1회기성) 2 2 12 2" xfId="33920"/>
    <cellStyle name="#_2차1회계약내역(1회기성) 2 2 13" xfId="20483"/>
    <cellStyle name="#_2차1회계약내역(1회기성) 2 2 13 2" xfId="32928"/>
    <cellStyle name="#_2차1회계약내역(1회기성) 2 2 14" xfId="20324"/>
    <cellStyle name="#_2차1회계약내역(1회기성) 2 2 14 2" xfId="32769"/>
    <cellStyle name="#_2차1회계약내역(1회기성) 2 2 15" xfId="23450"/>
    <cellStyle name="#_2차1회계약내역(1회기성) 2 2 15 2" xfId="35881"/>
    <cellStyle name="#_2차1회계약내역(1회기성) 2 2 16" xfId="18847"/>
    <cellStyle name="#_2차1회계약내역(1회기성) 2 2 16 2" xfId="31552"/>
    <cellStyle name="#_2차1회계약내역(1회기성) 2 2 17" xfId="18372"/>
    <cellStyle name="#_2차1회계약내역(1회기성) 2 2 17 2" xfId="31078"/>
    <cellStyle name="#_2차1회계약내역(1회기성) 2 2 18" xfId="20571"/>
    <cellStyle name="#_2차1회계약내역(1회기성) 2 2 18 2" xfId="33016"/>
    <cellStyle name="#_2차1회계약내역(1회기성) 2 2 19" xfId="22228"/>
    <cellStyle name="#_2차1회계약내역(1회기성) 2 2 19 2" xfId="34663"/>
    <cellStyle name="#_2차1회계약내역(1회기성) 2 2 2" xfId="16221"/>
    <cellStyle name="#_2차1회계약내역(1회기성) 2 2 2 2" xfId="28997"/>
    <cellStyle name="#_2차1회계약내역(1회기성) 2 2 20" xfId="23183"/>
    <cellStyle name="#_2차1회계약내역(1회기성) 2 2 20 2" xfId="35616"/>
    <cellStyle name="#_2차1회계약내역(1회기성) 2 2 21" xfId="18598"/>
    <cellStyle name="#_2차1회계약내역(1회기성) 2 2 21 2" xfId="31303"/>
    <cellStyle name="#_2차1회계약내역(1회기성) 2 2 3" xfId="15890"/>
    <cellStyle name="#_2차1회계약내역(1회기성) 2 2 3 2" xfId="28688"/>
    <cellStyle name="#_2차1회계약내역(1회기성) 2 2 4" xfId="13157"/>
    <cellStyle name="#_2차1회계약내역(1회기성) 2 2 4 2" xfId="26026"/>
    <cellStyle name="#_2차1회계약내역(1회기성) 2 2 5" xfId="13240"/>
    <cellStyle name="#_2차1회계약내역(1회기성) 2 2 5 2" xfId="26108"/>
    <cellStyle name="#_2차1회계약내역(1회기성) 2 2 6" xfId="15480"/>
    <cellStyle name="#_2차1회계약내역(1회기성) 2 2 6 2" xfId="28289"/>
    <cellStyle name="#_2차1회계약내역(1회기성) 2 2 7" xfId="13659"/>
    <cellStyle name="#_2차1회계약내역(1회기성) 2 2 7 2" xfId="26527"/>
    <cellStyle name="#_2차1회계약내역(1회기성) 2 2 8" xfId="14842"/>
    <cellStyle name="#_2차1회계약내역(1회기성) 2 2 8 2" xfId="27665"/>
    <cellStyle name="#_2차1회계약내역(1회기성) 2 2 9" xfId="15461"/>
    <cellStyle name="#_2차1회계약내역(1회기성) 2 2 9 2" xfId="28270"/>
    <cellStyle name="#_2차1회계약내역(1회기성) 2 3" xfId="14903"/>
    <cellStyle name="#_2차1회계약내역(1회기성) 2 3 2" xfId="27724"/>
    <cellStyle name="#_2차1회계약내역(1회기성) 3" xfId="6635"/>
    <cellStyle name="#_2차1회계약내역(1회기성) 3 2" xfId="10963"/>
    <cellStyle name="#_2차1회계약내역(1회기성) 3 2 10" xfId="14895"/>
    <cellStyle name="#_2차1회계약내역(1회기성) 3 2 10 2" xfId="27716"/>
    <cellStyle name="#_2차1회계약내역(1회기성) 3 2 11" xfId="22683"/>
    <cellStyle name="#_2차1회계약내역(1회기성) 3 2 11 2" xfId="35117"/>
    <cellStyle name="#_2차1회계약내역(1회기성) 3 2 12" xfId="21482"/>
    <cellStyle name="#_2차1회계약내역(1회기성) 3 2 12 2" xfId="33919"/>
    <cellStyle name="#_2차1회계약내역(1회기성) 3 2 13" xfId="20230"/>
    <cellStyle name="#_2차1회계약내역(1회기성) 3 2 13 2" xfId="32676"/>
    <cellStyle name="#_2차1회계약내역(1회기성) 3 2 14" xfId="20077"/>
    <cellStyle name="#_2차1회계약내역(1회기성) 3 2 14 2" xfId="32523"/>
    <cellStyle name="#_2차1회계약내역(1회기성) 3 2 15" xfId="23449"/>
    <cellStyle name="#_2차1회계약내역(1회기성) 3 2 15 2" xfId="35880"/>
    <cellStyle name="#_2차1회계약내역(1회기성) 3 2 16" xfId="19713"/>
    <cellStyle name="#_2차1회계약내역(1회기성) 3 2 16 2" xfId="32166"/>
    <cellStyle name="#_2차1회계약내역(1회기성) 3 2 17" xfId="18892"/>
    <cellStyle name="#_2차1회계약내역(1회기성) 3 2 17 2" xfId="31597"/>
    <cellStyle name="#_2차1회계약내역(1회기성) 3 2 18" xfId="21850"/>
    <cellStyle name="#_2차1회계약내역(1회기성) 3 2 18 2" xfId="34287"/>
    <cellStyle name="#_2차1회계약내역(1회기성) 3 2 19" xfId="19055"/>
    <cellStyle name="#_2차1회계약내역(1회기성) 3 2 19 2" xfId="31760"/>
    <cellStyle name="#_2차1회계약내역(1회기성) 3 2 2" xfId="16222"/>
    <cellStyle name="#_2차1회계약내역(1회기성) 3 2 2 2" xfId="28998"/>
    <cellStyle name="#_2차1회계약내역(1회기성) 3 2 20" xfId="22222"/>
    <cellStyle name="#_2차1회계약내역(1회기성) 3 2 20 2" xfId="34657"/>
    <cellStyle name="#_2차1회계약내역(1회기성) 3 2 21" xfId="23754"/>
    <cellStyle name="#_2차1회계약내역(1회기성) 3 2 21 2" xfId="36185"/>
    <cellStyle name="#_2차1회계약내역(1회기성) 3 2 3" xfId="15891"/>
    <cellStyle name="#_2차1회계약내역(1회기성) 3 2 3 2" xfId="28689"/>
    <cellStyle name="#_2차1회계약내역(1회기성) 3 2 4" xfId="13156"/>
    <cellStyle name="#_2차1회계약내역(1회기성) 3 2 4 2" xfId="26025"/>
    <cellStyle name="#_2차1회계약내역(1회기성) 3 2 5" xfId="14631"/>
    <cellStyle name="#_2차1회계약내역(1회기성) 3 2 5 2" xfId="27457"/>
    <cellStyle name="#_2차1회계약내역(1회기성) 3 2 6" xfId="13776"/>
    <cellStyle name="#_2차1회계약내역(1회기성) 3 2 6 2" xfId="26637"/>
    <cellStyle name="#_2차1회계약내역(1회기성) 3 2 7" xfId="12646"/>
    <cellStyle name="#_2차1회계약내역(1회기성) 3 2 7 2" xfId="25525"/>
    <cellStyle name="#_2차1회계약내역(1회기성) 3 2 8" xfId="15385"/>
    <cellStyle name="#_2차1회계약내역(1회기성) 3 2 8 2" xfId="28200"/>
    <cellStyle name="#_2차1회계약내역(1회기성) 3 2 9" xfId="13840"/>
    <cellStyle name="#_2차1회계약내역(1회기성) 3 2 9 2" xfId="26699"/>
    <cellStyle name="#_2차1회계약내역(1회기성) 3 3" xfId="14904"/>
    <cellStyle name="#_2차1회계약내역(1회기성) 3 3 2" xfId="27725"/>
    <cellStyle name="#_2차1회계약내역(1회기성) 4" xfId="6636"/>
    <cellStyle name="#_2차1회계약내역(1회기성) 4 2" xfId="10964"/>
    <cellStyle name="#_2차1회계약내역(1회기성) 4 2 10" xfId="12907"/>
    <cellStyle name="#_2차1회계약내역(1회기성) 4 2 10 2" xfId="25783"/>
    <cellStyle name="#_2차1회계약내역(1회기성) 4 2 11" xfId="22684"/>
    <cellStyle name="#_2차1회계약내역(1회기성) 4 2 11 2" xfId="35118"/>
    <cellStyle name="#_2차1회계약내역(1회기성) 4 2 12" xfId="21481"/>
    <cellStyle name="#_2차1회계약내역(1회기성) 4 2 12 2" xfId="33918"/>
    <cellStyle name="#_2차1회계약내역(1회기성) 4 2 13" xfId="20482"/>
    <cellStyle name="#_2차1회계약내역(1회기성) 4 2 13 2" xfId="32927"/>
    <cellStyle name="#_2차1회계약내역(1회기성) 4 2 14" xfId="20323"/>
    <cellStyle name="#_2차1회계약내역(1회기성) 4 2 14 2" xfId="32768"/>
    <cellStyle name="#_2차1회계약내역(1회기성) 4 2 15" xfId="23448"/>
    <cellStyle name="#_2차1회계약내역(1회기성) 4 2 15 2" xfId="35879"/>
    <cellStyle name="#_2차1회계약내역(1회기성) 4 2 16" xfId="18848"/>
    <cellStyle name="#_2차1회계약내역(1회기성) 4 2 16 2" xfId="31553"/>
    <cellStyle name="#_2차1회계약내역(1회기성) 4 2 17" xfId="19829"/>
    <cellStyle name="#_2차1회계약내역(1회기성) 4 2 17 2" xfId="32279"/>
    <cellStyle name="#_2차1회계약내역(1회기성) 4 2 18" xfId="20570"/>
    <cellStyle name="#_2차1회계약내역(1회기성) 4 2 18 2" xfId="33015"/>
    <cellStyle name="#_2차1회계약내역(1회기성) 4 2 19" xfId="20687"/>
    <cellStyle name="#_2차1회계약내역(1회기성) 4 2 19 2" xfId="33131"/>
    <cellStyle name="#_2차1회계약내역(1회기성) 4 2 2" xfId="16223"/>
    <cellStyle name="#_2차1회계약내역(1회기성) 4 2 2 2" xfId="28999"/>
    <cellStyle name="#_2차1회계약내역(1회기성) 4 2 20" xfId="20257"/>
    <cellStyle name="#_2차1회계약내역(1회기성) 4 2 20 2" xfId="32702"/>
    <cellStyle name="#_2차1회계약내역(1회기성) 4 2 21" xfId="23857"/>
    <cellStyle name="#_2차1회계약내역(1회기성) 4 2 21 2" xfId="36288"/>
    <cellStyle name="#_2차1회계약내역(1회기성) 4 2 3" xfId="15892"/>
    <cellStyle name="#_2차1회계약내역(1회기성) 4 2 3 2" xfId="28690"/>
    <cellStyle name="#_2차1회계약내역(1회기성) 4 2 4" xfId="13155"/>
    <cellStyle name="#_2차1회계약내역(1회기성) 4 2 4 2" xfId="26024"/>
    <cellStyle name="#_2차1회계약내역(1회기성) 4 2 5" xfId="13241"/>
    <cellStyle name="#_2차1회계약내역(1회기성) 4 2 5 2" xfId="26109"/>
    <cellStyle name="#_2차1회계약내역(1회기성) 4 2 6" xfId="14714"/>
    <cellStyle name="#_2차1회계약내역(1회기성) 4 2 6 2" xfId="27540"/>
    <cellStyle name="#_2차1회계약내역(1회기성) 4 2 7" xfId="13658"/>
    <cellStyle name="#_2차1회계약내역(1회기성) 4 2 7 2" xfId="26526"/>
    <cellStyle name="#_2차1회계약내역(1회기성) 4 2 8" xfId="12396"/>
    <cellStyle name="#_2차1회계약내역(1회기성) 4 2 8 2" xfId="25276"/>
    <cellStyle name="#_2차1회계약내역(1회기성) 4 2 9" xfId="13832"/>
    <cellStyle name="#_2차1회계약내역(1회기성) 4 2 9 2" xfId="26691"/>
    <cellStyle name="#_2차1회계약내역(1회기성) 4 3" xfId="14905"/>
    <cellStyle name="#_2차1회계약내역(1회기성) 4 3 2" xfId="27726"/>
    <cellStyle name="#_2차1회계약내역(1회기성) 5" xfId="6637"/>
    <cellStyle name="#_2차1회계약내역(1회기성) 5 2" xfId="10965"/>
    <cellStyle name="#_2차1회계약내역(1회기성) 5 2 10" xfId="15361"/>
    <cellStyle name="#_2차1회계약내역(1회기성) 5 2 10 2" xfId="28178"/>
    <cellStyle name="#_2차1회계약내역(1회기성) 5 2 11" xfId="22685"/>
    <cellStyle name="#_2차1회계약내역(1회기성) 5 2 11 2" xfId="35119"/>
    <cellStyle name="#_2차1회계약내역(1회기성) 5 2 12" xfId="21480"/>
    <cellStyle name="#_2차1회계약내역(1회기성) 5 2 12 2" xfId="33917"/>
    <cellStyle name="#_2차1회계약내역(1회기성) 5 2 13" xfId="20229"/>
    <cellStyle name="#_2차1회계약내역(1회기성) 5 2 13 2" xfId="32675"/>
    <cellStyle name="#_2차1회계약내역(1회기성) 5 2 14" xfId="20076"/>
    <cellStyle name="#_2차1회계약내역(1회기성) 5 2 14 2" xfId="32522"/>
    <cellStyle name="#_2차1회계약내역(1회기성) 5 2 15" xfId="23447"/>
    <cellStyle name="#_2차1회계약내역(1회기성) 5 2 15 2" xfId="35878"/>
    <cellStyle name="#_2차1회계약내역(1회기성) 5 2 16" xfId="22164"/>
    <cellStyle name="#_2차1회계약내역(1회기성) 5 2 16 2" xfId="34600"/>
    <cellStyle name="#_2차1회계약내역(1회기성) 5 2 17" xfId="19536"/>
    <cellStyle name="#_2차1회계약내역(1회기성) 5 2 17 2" xfId="31991"/>
    <cellStyle name="#_2차1회계약내역(1회기성) 5 2 18" xfId="22358"/>
    <cellStyle name="#_2차1회계약내역(1회기성) 5 2 18 2" xfId="34792"/>
    <cellStyle name="#_2차1회계약내역(1회기성) 5 2 19" xfId="23502"/>
    <cellStyle name="#_2차1회계약내역(1회기성) 5 2 19 2" xfId="35933"/>
    <cellStyle name="#_2차1회계약내역(1회기성) 5 2 2" xfId="16224"/>
    <cellStyle name="#_2차1회계약내역(1회기성) 5 2 2 2" xfId="29000"/>
    <cellStyle name="#_2차1회계약내역(1회기성) 5 2 20" xfId="18596"/>
    <cellStyle name="#_2차1회계약내역(1회기성) 5 2 20 2" xfId="31301"/>
    <cellStyle name="#_2차1회계약내역(1회기성) 5 2 21" xfId="24310"/>
    <cellStyle name="#_2차1회계약내역(1회기성) 5 2 21 2" xfId="36741"/>
    <cellStyle name="#_2차1회계약내역(1회기성) 5 2 3" xfId="15893"/>
    <cellStyle name="#_2차1회계약내역(1회기성) 5 2 3 2" xfId="28691"/>
    <cellStyle name="#_2차1회계약내역(1회기성) 5 2 4" xfId="15943"/>
    <cellStyle name="#_2차1회계약내역(1회기성) 5 2 4 2" xfId="28741"/>
    <cellStyle name="#_2차1회계약내역(1회기성) 5 2 5" xfId="16456"/>
    <cellStyle name="#_2차1회계약내역(1회기성) 5 2 5 2" xfId="29232"/>
    <cellStyle name="#_2차1회계약내역(1회기성) 5 2 6" xfId="15616"/>
    <cellStyle name="#_2차1회계약내역(1회기성) 5 2 6 2" xfId="28425"/>
    <cellStyle name="#_2차1회계약내역(1회기성) 5 2 7" xfId="12645"/>
    <cellStyle name="#_2차1회계약내역(1회기성) 5 2 7 2" xfId="25524"/>
    <cellStyle name="#_2차1회계약내역(1회기성) 5 2 8" xfId="15386"/>
    <cellStyle name="#_2차1회계약내역(1회기성) 5 2 8 2" xfId="28201"/>
    <cellStyle name="#_2차1회계약내역(1회기성) 5 2 9" xfId="15695"/>
    <cellStyle name="#_2차1회계약내역(1회기성) 5 2 9 2" xfId="28495"/>
    <cellStyle name="#_2차1회계약내역(1회기성) 5 3" xfId="14906"/>
    <cellStyle name="#_2차1회계약내역(1회기성) 5 3 2" xfId="27727"/>
    <cellStyle name="#_2차1회계약내역(1회기성) 6" xfId="6638"/>
    <cellStyle name="#_2차1회계약내역(1회기성) 6 2" xfId="10966"/>
    <cellStyle name="#_2차1회계약내역(1회기성) 6 2 10" xfId="12405"/>
    <cellStyle name="#_2차1회계약내역(1회기성) 6 2 10 2" xfId="25285"/>
    <cellStyle name="#_2차1회계약내역(1회기성) 6 2 11" xfId="22686"/>
    <cellStyle name="#_2차1회계약내역(1회기성) 6 2 11 2" xfId="35120"/>
    <cellStyle name="#_2차1회계약내역(1회기성) 6 2 12" xfId="21479"/>
    <cellStyle name="#_2차1회계약내역(1회기성) 6 2 12 2" xfId="33916"/>
    <cellStyle name="#_2차1회계약내역(1회기성) 6 2 13" xfId="20481"/>
    <cellStyle name="#_2차1회계약내역(1회기성) 6 2 13 2" xfId="32926"/>
    <cellStyle name="#_2차1회계약내역(1회기성) 6 2 14" xfId="20322"/>
    <cellStyle name="#_2차1회계약내역(1회기성) 6 2 14 2" xfId="32767"/>
    <cellStyle name="#_2차1회계약내역(1회기성) 6 2 15" xfId="22319"/>
    <cellStyle name="#_2차1회계약내역(1회기성) 6 2 15 2" xfId="34753"/>
    <cellStyle name="#_2차1회계약내역(1회기성) 6 2 16" xfId="18849"/>
    <cellStyle name="#_2차1회계약내역(1회기성) 6 2 16 2" xfId="31554"/>
    <cellStyle name="#_2차1회계약내역(1회기성) 6 2 17" xfId="23190"/>
    <cellStyle name="#_2차1회계약내역(1회기성) 6 2 17 2" xfId="35623"/>
    <cellStyle name="#_2차1회계약내역(1회기성) 6 2 18" xfId="19515"/>
    <cellStyle name="#_2차1회계약내역(1회기성) 6 2 18 2" xfId="31970"/>
    <cellStyle name="#_2차1회계약내역(1회기성) 6 2 19" xfId="18569"/>
    <cellStyle name="#_2차1회계약내역(1회기성) 6 2 19 2" xfId="31274"/>
    <cellStyle name="#_2차1회계약내역(1회기성) 6 2 2" xfId="16225"/>
    <cellStyle name="#_2차1회계약내역(1회기성) 6 2 2 2" xfId="29001"/>
    <cellStyle name="#_2차1회계약내역(1회기성) 6 2 20" xfId="20509"/>
    <cellStyle name="#_2차1회계약내역(1회기성) 6 2 20 2" xfId="32954"/>
    <cellStyle name="#_2차1회계약내역(1회기성) 6 2 21" xfId="18330"/>
    <cellStyle name="#_2차1회계약내역(1회기성) 6 2 21 2" xfId="31036"/>
    <cellStyle name="#_2차1회계약내역(1회기성) 6 2 3" xfId="12448"/>
    <cellStyle name="#_2차1회계약내역(1회기성) 6 2 3 2" xfId="25328"/>
    <cellStyle name="#_2차1회계약내역(1회기성) 6 2 4" xfId="15471"/>
    <cellStyle name="#_2차1회계약내역(1회기성) 6 2 4 2" xfId="28280"/>
    <cellStyle name="#_2차1회계약내역(1회기성) 6 2 5" xfId="13242"/>
    <cellStyle name="#_2차1회계약내역(1회기성) 6 2 5 2" xfId="26110"/>
    <cellStyle name="#_2차1회계약내역(1회기성) 6 2 6" xfId="13777"/>
    <cellStyle name="#_2차1회계약내역(1회기성) 6 2 6 2" xfId="26638"/>
    <cellStyle name="#_2차1회계약내역(1회기성) 6 2 7" xfId="13657"/>
    <cellStyle name="#_2차1회계약내역(1회기성) 6 2 7 2" xfId="26525"/>
    <cellStyle name="#_2차1회계약내역(1회기성) 6 2 8" xfId="15387"/>
    <cellStyle name="#_2차1회계약내역(1회기성) 6 2 8 2" xfId="28202"/>
    <cellStyle name="#_2차1회계약내역(1회기성) 6 2 9" xfId="13768"/>
    <cellStyle name="#_2차1회계약내역(1회기성) 6 2 9 2" xfId="26629"/>
    <cellStyle name="#_2차1회계약내역(1회기성) 6 3" xfId="14907"/>
    <cellStyle name="#_2차1회계약내역(1회기성) 6 3 2" xfId="27728"/>
    <cellStyle name="#_2차1회계약내역(1회기성) 7" xfId="10961"/>
    <cellStyle name="#_2차1회계약내역(1회기성) 7 10" xfId="16207"/>
    <cellStyle name="#_2차1회계약내역(1회기성) 7 10 2" xfId="28983"/>
    <cellStyle name="#_2차1회계약내역(1회기성) 7 11" xfId="22681"/>
    <cellStyle name="#_2차1회계약내역(1회기성) 7 11 2" xfId="35115"/>
    <cellStyle name="#_2차1회계약내역(1회기성) 7 12" xfId="21484"/>
    <cellStyle name="#_2차1회계약내역(1회기성) 7 12 2" xfId="33921"/>
    <cellStyle name="#_2차1회계약내역(1회기성) 7 13" xfId="20231"/>
    <cellStyle name="#_2차1회계약내역(1회기성) 7 13 2" xfId="32677"/>
    <cellStyle name="#_2차1회계약내역(1회기성) 7 14" xfId="20078"/>
    <cellStyle name="#_2차1회계약내역(1회기성) 7 14 2" xfId="32524"/>
    <cellStyle name="#_2차1회계약내역(1회기성) 7 15" xfId="23451"/>
    <cellStyle name="#_2차1회계약내역(1회기성) 7 15 2" xfId="35882"/>
    <cellStyle name="#_2차1회계약내역(1회기성) 7 16" xfId="19281"/>
    <cellStyle name="#_2차1회계약내역(1회기성) 7 16 2" xfId="31934"/>
    <cellStyle name="#_2차1회계약내역(1회기성) 7 17" xfId="18436"/>
    <cellStyle name="#_2차1회계약내역(1회기성) 7 17 2" xfId="31141"/>
    <cellStyle name="#_2차1회계약내역(1회기성) 7 18" xfId="22940"/>
    <cellStyle name="#_2차1회계약내역(1회기성) 7 18 2" xfId="35374"/>
    <cellStyle name="#_2차1회계약내역(1회기성) 7 19" xfId="20827"/>
    <cellStyle name="#_2차1회계약내역(1회기성) 7 19 2" xfId="33264"/>
    <cellStyle name="#_2차1회계약내역(1회기성) 7 2" xfId="16220"/>
    <cellStyle name="#_2차1회계약내역(1회기성) 7 2 2" xfId="28996"/>
    <cellStyle name="#_2차1회계약내역(1회기성) 7 20" xfId="22434"/>
    <cellStyle name="#_2차1회계약내역(1회기성) 7 20 2" xfId="34868"/>
    <cellStyle name="#_2차1회계약내역(1회기성) 7 21" xfId="18444"/>
    <cellStyle name="#_2차1회계약내역(1회기성) 7 21 2" xfId="31149"/>
    <cellStyle name="#_2차1회계약내역(1회기성) 7 3" xfId="15889"/>
    <cellStyle name="#_2차1회계약내역(1회기성) 7 3 2" xfId="28687"/>
    <cellStyle name="#_2차1회계약내역(1회기성) 7 4" xfId="13158"/>
    <cellStyle name="#_2차1회계약내역(1회기성) 7 4 2" xfId="26027"/>
    <cellStyle name="#_2차1회계약내역(1회기성) 7 5" xfId="13459"/>
    <cellStyle name="#_2차1회계약내역(1회기성) 7 5 2" xfId="26327"/>
    <cellStyle name="#_2차1회계약내역(1회기성) 7 6" xfId="14713"/>
    <cellStyle name="#_2차1회계약내역(1회기성) 7 6 2" xfId="27539"/>
    <cellStyle name="#_2차1회계약내역(1회기성) 7 7" xfId="17373"/>
    <cellStyle name="#_2차1회계약내역(1회기성) 7 7 2" xfId="30102"/>
    <cellStyle name="#_2차1회계약내역(1회기성) 7 8" xfId="12716"/>
    <cellStyle name="#_2차1회계약내역(1회기성) 7 8 2" xfId="25593"/>
    <cellStyle name="#_2차1회계약내역(1회기성) 7 9" xfId="15696"/>
    <cellStyle name="#_2차1회계약내역(1회기성) 7 9 2" xfId="28496"/>
    <cellStyle name="#_2차1회계약내역(1회기성) 8" xfId="14902"/>
    <cellStyle name="#_2차1회계약내역(1회기성) 8 2" xfId="27723"/>
    <cellStyle name="#_CCTV계통" xfId="6639"/>
    <cellStyle name="#_CCTV계통 2" xfId="6640"/>
    <cellStyle name="#_CCTV계통 2 2" xfId="10968"/>
    <cellStyle name="#_CCTV계통 2 2 10" xfId="12906"/>
    <cellStyle name="#_CCTV계통 2 2 10 2" xfId="25782"/>
    <cellStyle name="#_CCTV계통 2 2 11" xfId="22688"/>
    <cellStyle name="#_CCTV계통 2 2 11 2" xfId="35122"/>
    <cellStyle name="#_CCTV계통 2 2 12" xfId="21477"/>
    <cellStyle name="#_CCTV계통 2 2 12 2" xfId="33914"/>
    <cellStyle name="#_CCTV계통 2 2 13" xfId="20480"/>
    <cellStyle name="#_CCTV계통 2 2 13 2" xfId="32925"/>
    <cellStyle name="#_CCTV계통 2 2 14" xfId="23906"/>
    <cellStyle name="#_CCTV계통 2 2 14 2" xfId="36337"/>
    <cellStyle name="#_CCTV계통 2 2 15" xfId="18432"/>
    <cellStyle name="#_CCTV계통 2 2 15 2" xfId="31137"/>
    <cellStyle name="#_CCTV계통 2 2 16" xfId="18850"/>
    <cellStyle name="#_CCTV계통 2 2 16 2" xfId="31555"/>
    <cellStyle name="#_CCTV계통 2 2 17" xfId="19081"/>
    <cellStyle name="#_CCTV계통 2 2 17 2" xfId="31786"/>
    <cellStyle name="#_CCTV계통 2 2 18" xfId="23761"/>
    <cellStyle name="#_CCTV계통 2 2 18 2" xfId="36192"/>
    <cellStyle name="#_CCTV계통 2 2 19" xfId="24500"/>
    <cellStyle name="#_CCTV계통 2 2 19 2" xfId="36931"/>
    <cellStyle name="#_CCTV계통 2 2 2" xfId="16227"/>
    <cellStyle name="#_CCTV계통 2 2 2 2" xfId="29003"/>
    <cellStyle name="#_CCTV계통 2 2 20" xfId="20876"/>
    <cellStyle name="#_CCTV계통 2 2 20 2" xfId="33313"/>
    <cellStyle name="#_CCTV계통 2 2 21" xfId="21551"/>
    <cellStyle name="#_CCTV계통 2 2 21 2" xfId="33988"/>
    <cellStyle name="#_CCTV계통 2 2 3" xfId="16400"/>
    <cellStyle name="#_CCTV계통 2 2 3 2" xfId="29176"/>
    <cellStyle name="#_CCTV계통 2 2 4" xfId="13153"/>
    <cellStyle name="#_CCTV계통 2 2 4 2" xfId="26022"/>
    <cellStyle name="#_CCTV계통 2 2 5" xfId="13243"/>
    <cellStyle name="#_CCTV계통 2 2 5 2" xfId="26111"/>
    <cellStyle name="#_CCTV계통 2 2 6" xfId="17545"/>
    <cellStyle name="#_CCTV계통 2 2 6 2" xfId="30266"/>
    <cellStyle name="#_CCTV계통 2 2 7" xfId="13656"/>
    <cellStyle name="#_CCTV계통 2 2 7 2" xfId="26524"/>
    <cellStyle name="#_CCTV계통 2 2 8" xfId="17076"/>
    <cellStyle name="#_CCTV계통 2 2 8 2" xfId="29812"/>
    <cellStyle name="#_CCTV계통 2 2 9" xfId="14893"/>
    <cellStyle name="#_CCTV계통 2 2 9 2" xfId="27714"/>
    <cellStyle name="#_CCTV계통 2 3" xfId="14909"/>
    <cellStyle name="#_CCTV계통 2 3 2" xfId="27730"/>
    <cellStyle name="#_CCTV계통 3" xfId="6641"/>
    <cellStyle name="#_CCTV계통 3 2" xfId="10969"/>
    <cellStyle name="#_CCTV계통 3 2 10" xfId="16206"/>
    <cellStyle name="#_CCTV계통 3 2 10 2" xfId="28982"/>
    <cellStyle name="#_CCTV계통 3 2 11" xfId="22689"/>
    <cellStyle name="#_CCTV계통 3 2 11 2" xfId="35123"/>
    <cellStyle name="#_CCTV계통 3 2 12" xfId="21476"/>
    <cellStyle name="#_CCTV계통 3 2 12 2" xfId="33913"/>
    <cellStyle name="#_CCTV계통 3 2 13" xfId="20227"/>
    <cellStyle name="#_CCTV계통 3 2 13 2" xfId="32673"/>
    <cellStyle name="#_CCTV계통 3 2 14" xfId="22835"/>
    <cellStyle name="#_CCTV계통 3 2 14 2" xfId="35269"/>
    <cellStyle name="#_CCTV계통 3 2 15" xfId="23446"/>
    <cellStyle name="#_CCTV계통 3 2 15 2" xfId="35877"/>
    <cellStyle name="#_CCTV계통 3 2 16" xfId="22166"/>
    <cellStyle name="#_CCTV계통 3 2 16 2" xfId="34602"/>
    <cellStyle name="#_CCTV계통 3 2 17" xfId="23162"/>
    <cellStyle name="#_CCTV계통 3 2 17 2" xfId="35595"/>
    <cellStyle name="#_CCTV계통 3 2 18" xfId="23760"/>
    <cellStyle name="#_CCTV계통 3 2 18 2" xfId="36191"/>
    <cellStyle name="#_CCTV계통 3 2 19" xfId="20828"/>
    <cellStyle name="#_CCTV계통 3 2 19 2" xfId="33265"/>
    <cellStyle name="#_CCTV계통 3 2 2" xfId="16228"/>
    <cellStyle name="#_CCTV계통 3 2 2 2" xfId="29004"/>
    <cellStyle name="#_CCTV계통 3 2 20" xfId="20847"/>
    <cellStyle name="#_CCTV계통 3 2 20 2" xfId="33284"/>
    <cellStyle name="#_CCTV계통 3 2 21" xfId="21306"/>
    <cellStyle name="#_CCTV계통 3 2 21 2" xfId="33743"/>
    <cellStyle name="#_CCTV계통 3 2 3" xfId="12449"/>
    <cellStyle name="#_CCTV계통 3 2 3 2" xfId="25329"/>
    <cellStyle name="#_CCTV계통 3 2 4" xfId="14524"/>
    <cellStyle name="#_CCTV계통 3 2 4 2" xfId="27352"/>
    <cellStyle name="#_CCTV계통 3 2 5" xfId="13461"/>
    <cellStyle name="#_CCTV계통 3 2 5 2" xfId="26329"/>
    <cellStyle name="#_CCTV계통 3 2 6" xfId="17544"/>
    <cellStyle name="#_CCTV계통 3 2 6 2" xfId="30265"/>
    <cellStyle name="#_CCTV계통 3 2 7" xfId="17005"/>
    <cellStyle name="#_CCTV계통 3 2 7 2" xfId="29780"/>
    <cellStyle name="#_CCTV계통 3 2 8" xfId="14659"/>
    <cellStyle name="#_CCTV계통 3 2 8 2" xfId="27485"/>
    <cellStyle name="#_CCTV계통 3 2 9" xfId="15340"/>
    <cellStyle name="#_CCTV계통 3 2 9 2" xfId="28157"/>
    <cellStyle name="#_CCTV계통 3 3" xfId="14910"/>
    <cellStyle name="#_CCTV계통 3 3 2" xfId="27731"/>
    <cellStyle name="#_CCTV계통 4" xfId="6642"/>
    <cellStyle name="#_CCTV계통 4 2" xfId="10970"/>
    <cellStyle name="#_CCTV계통 4 2 10" xfId="12404"/>
    <cellStyle name="#_CCTV계통 4 2 10 2" xfId="25284"/>
    <cellStyle name="#_CCTV계통 4 2 11" xfId="22690"/>
    <cellStyle name="#_CCTV계통 4 2 11 2" xfId="35124"/>
    <cellStyle name="#_CCTV계통 4 2 12" xfId="21475"/>
    <cellStyle name="#_CCTV계통 4 2 12 2" xfId="33912"/>
    <cellStyle name="#_CCTV계통 4 2 13" xfId="20479"/>
    <cellStyle name="#_CCTV계통 4 2 13 2" xfId="32924"/>
    <cellStyle name="#_CCTV계통 4 2 14" xfId="20075"/>
    <cellStyle name="#_CCTV계통 4 2 14 2" xfId="32521"/>
    <cellStyle name="#_CCTV계통 4 2 15" xfId="24118"/>
    <cellStyle name="#_CCTV계통 4 2 15 2" xfId="36549"/>
    <cellStyle name="#_CCTV계통 4 2 16" xfId="18851"/>
    <cellStyle name="#_CCTV계통 4 2 16 2" xfId="31556"/>
    <cellStyle name="#_CCTV계통 4 2 17" xfId="20964"/>
    <cellStyle name="#_CCTV계통 4 2 17 2" xfId="33401"/>
    <cellStyle name="#_CCTV계통 4 2 18" xfId="20038"/>
    <cellStyle name="#_CCTV계통 4 2 18 2" xfId="32484"/>
    <cellStyle name="#_CCTV계통 4 2 19" xfId="22217"/>
    <cellStyle name="#_CCTV계통 4 2 19 2" xfId="34652"/>
    <cellStyle name="#_CCTV계통 4 2 2" xfId="16229"/>
    <cellStyle name="#_CCTV계통 4 2 2 2" xfId="29005"/>
    <cellStyle name="#_CCTV계통 4 2 20" xfId="20875"/>
    <cellStyle name="#_CCTV계통 4 2 20 2" xfId="33312"/>
    <cellStyle name="#_CCTV계통 4 2 21" xfId="20572"/>
    <cellStyle name="#_CCTV계통 4 2 21 2" xfId="33017"/>
    <cellStyle name="#_CCTV계통 4 2 3" xfId="15894"/>
    <cellStyle name="#_CCTV계통 4 2 3 2" xfId="28692"/>
    <cellStyle name="#_CCTV계통 4 2 4" xfId="13152"/>
    <cellStyle name="#_CCTV계통 4 2 4 2" xfId="26021"/>
    <cellStyle name="#_CCTV계통 4 2 5" xfId="13244"/>
    <cellStyle name="#_CCTV계통 4 2 5 2" xfId="26112"/>
    <cellStyle name="#_CCTV계통 4 2 6" xfId="14679"/>
    <cellStyle name="#_CCTV계통 4 2 6 2" xfId="27505"/>
    <cellStyle name="#_CCTV계통 4 2 7" xfId="13655"/>
    <cellStyle name="#_CCTV계통 4 2 7 2" xfId="26523"/>
    <cellStyle name="#_CCTV계통 4 2 8" xfId="17117"/>
    <cellStyle name="#_CCTV계통 4 2 8 2" xfId="29851"/>
    <cellStyle name="#_CCTV계통 4 2 9" xfId="13955"/>
    <cellStyle name="#_CCTV계통 4 2 9 2" xfId="26813"/>
    <cellStyle name="#_CCTV계통 4 3" xfId="14911"/>
    <cellStyle name="#_CCTV계통 4 3 2" xfId="27732"/>
    <cellStyle name="#_CCTV계통 5" xfId="6643"/>
    <cellStyle name="#_CCTV계통 5 2" xfId="10971"/>
    <cellStyle name="#_CCTV계통 5 2 10" xfId="16923"/>
    <cellStyle name="#_CCTV계통 5 2 10 2" xfId="29698"/>
    <cellStyle name="#_CCTV계통 5 2 11" xfId="22691"/>
    <cellStyle name="#_CCTV계통 5 2 11 2" xfId="35125"/>
    <cellStyle name="#_CCTV계통 5 2 12" xfId="21474"/>
    <cellStyle name="#_CCTV계통 5 2 12 2" xfId="33911"/>
    <cellStyle name="#_CCTV계통 5 2 13" xfId="20226"/>
    <cellStyle name="#_CCTV계통 5 2 13 2" xfId="32672"/>
    <cellStyle name="#_CCTV계통 5 2 14" xfId="20321"/>
    <cellStyle name="#_CCTV계통 5 2 14 2" xfId="32766"/>
    <cellStyle name="#_CCTV계통 5 2 15" xfId="24117"/>
    <cellStyle name="#_CCTV계통 5 2 15 2" xfId="36548"/>
    <cellStyle name="#_CCTV계통 5 2 16" xfId="22167"/>
    <cellStyle name="#_CCTV계통 5 2 16 2" xfId="34603"/>
    <cellStyle name="#_CCTV계통 5 2 17" xfId="20738"/>
    <cellStyle name="#_CCTV계통 5 2 17 2" xfId="33178"/>
    <cellStyle name="#_CCTV계통 5 2 18" xfId="18568"/>
    <cellStyle name="#_CCTV계통 5 2 18 2" xfId="31273"/>
    <cellStyle name="#_CCTV계통 5 2 19" xfId="20045"/>
    <cellStyle name="#_CCTV계통 5 2 19 2" xfId="32491"/>
    <cellStyle name="#_CCTV계통 5 2 2" xfId="16230"/>
    <cellStyle name="#_CCTV계통 5 2 2 2" xfId="29006"/>
    <cellStyle name="#_CCTV계통 5 2 20" xfId="23219"/>
    <cellStyle name="#_CCTV계통 5 2 20 2" xfId="35652"/>
    <cellStyle name="#_CCTV계통 5 2 21" xfId="18278"/>
    <cellStyle name="#_CCTV계통 5 2 21 2" xfId="30984"/>
    <cellStyle name="#_CCTV계통 5 2 3" xfId="15895"/>
    <cellStyle name="#_CCTV계통 5 2 3 2" xfId="28693"/>
    <cellStyle name="#_CCTV계통 5 2 4" xfId="13151"/>
    <cellStyle name="#_CCTV계통 5 2 4 2" xfId="26020"/>
    <cellStyle name="#_CCTV계통 5 2 5" xfId="13462"/>
    <cellStyle name="#_CCTV계통 5 2 5 2" xfId="26330"/>
    <cellStyle name="#_CCTV계통 5 2 6" xfId="15322"/>
    <cellStyle name="#_CCTV계통 5 2 6 2" xfId="28139"/>
    <cellStyle name="#_CCTV계통 5 2 7" xfId="13654"/>
    <cellStyle name="#_CCTV계통 5 2 7 2" xfId="26522"/>
    <cellStyle name="#_CCTV계통 5 2 8" xfId="16920"/>
    <cellStyle name="#_CCTV계통 5 2 8 2" xfId="29695"/>
    <cellStyle name="#_CCTV계통 5 2 9" xfId="17153"/>
    <cellStyle name="#_CCTV계통 5 2 9 2" xfId="29887"/>
    <cellStyle name="#_CCTV계통 5 3" xfId="14912"/>
    <cellStyle name="#_CCTV계통 5 3 2" xfId="27733"/>
    <cellStyle name="#_CCTV계통 6" xfId="6644"/>
    <cellStyle name="#_CCTV계통 6 2" xfId="10972"/>
    <cellStyle name="#_CCTV계통 6 2 10" xfId="12905"/>
    <cellStyle name="#_CCTV계통 6 2 10 2" xfId="25781"/>
    <cellStyle name="#_CCTV계통 6 2 11" xfId="22692"/>
    <cellStyle name="#_CCTV계통 6 2 11 2" xfId="35126"/>
    <cellStyle name="#_CCTV계통 6 2 12" xfId="21473"/>
    <cellStyle name="#_CCTV계통 6 2 12 2" xfId="33910"/>
    <cellStyle name="#_CCTV계통 6 2 13" xfId="20478"/>
    <cellStyle name="#_CCTV계통 6 2 13 2" xfId="32923"/>
    <cellStyle name="#_CCTV계통 6 2 14" xfId="20074"/>
    <cellStyle name="#_CCTV계통 6 2 14 2" xfId="32520"/>
    <cellStyle name="#_CCTV계통 6 2 15" xfId="23395"/>
    <cellStyle name="#_CCTV계통 6 2 15 2" xfId="35827"/>
    <cellStyle name="#_CCTV계통 6 2 16" xfId="18852"/>
    <cellStyle name="#_CCTV계통 6 2 16 2" xfId="31557"/>
    <cellStyle name="#_CCTV계통 6 2 17" xfId="23191"/>
    <cellStyle name="#_CCTV계통 6 2 17 2" xfId="35624"/>
    <cellStyle name="#_CCTV계통 6 2 18" xfId="22411"/>
    <cellStyle name="#_CCTV계통 6 2 18 2" xfId="34845"/>
    <cellStyle name="#_CCTV계통 6 2 19" xfId="23630"/>
    <cellStyle name="#_CCTV계통 6 2 19 2" xfId="36061"/>
    <cellStyle name="#_CCTV계통 6 2 2" xfId="16231"/>
    <cellStyle name="#_CCTV계통 6 2 2 2" xfId="29007"/>
    <cellStyle name="#_CCTV계통 6 2 20" xfId="20874"/>
    <cellStyle name="#_CCTV계통 6 2 20 2" xfId="33311"/>
    <cellStyle name="#_CCTV계통 6 2 21" xfId="19533"/>
    <cellStyle name="#_CCTV계통 6 2 21 2" xfId="31988"/>
    <cellStyle name="#_CCTV계통 6 2 3" xfId="15896"/>
    <cellStyle name="#_CCTV계통 6 2 3 2" xfId="28694"/>
    <cellStyle name="#_CCTV계통 6 2 4" xfId="13150"/>
    <cellStyle name="#_CCTV계통 6 2 4 2" xfId="26019"/>
    <cellStyle name="#_CCTV계통 6 2 5" xfId="13245"/>
    <cellStyle name="#_CCTV계통 6 2 5 2" xfId="26113"/>
    <cellStyle name="#_CCTV계통 6 2 6" xfId="13778"/>
    <cellStyle name="#_CCTV계통 6 2 6 2" xfId="26639"/>
    <cellStyle name="#_CCTV계통 6 2 7" xfId="13653"/>
    <cellStyle name="#_CCTV계통 6 2 7 2" xfId="26521"/>
    <cellStyle name="#_CCTV계통 6 2 8" xfId="15196"/>
    <cellStyle name="#_CCTV계통 6 2 8 2" xfId="28015"/>
    <cellStyle name="#_CCTV계통 6 2 9" xfId="17093"/>
    <cellStyle name="#_CCTV계통 6 2 9 2" xfId="29829"/>
    <cellStyle name="#_CCTV계통 6 3" xfId="14913"/>
    <cellStyle name="#_CCTV계통 6 3 2" xfId="27734"/>
    <cellStyle name="#_CCTV계통 7" xfId="10967"/>
    <cellStyle name="#_CCTV계통 7 10" xfId="15800"/>
    <cellStyle name="#_CCTV계통 7 10 2" xfId="28599"/>
    <cellStyle name="#_CCTV계통 7 11" xfId="22687"/>
    <cellStyle name="#_CCTV계통 7 11 2" xfId="35121"/>
    <cellStyle name="#_CCTV계통 7 12" xfId="21478"/>
    <cellStyle name="#_CCTV계통 7 12 2" xfId="33915"/>
    <cellStyle name="#_CCTV계통 7 13" xfId="20228"/>
    <cellStyle name="#_CCTV계통 7 13 2" xfId="32674"/>
    <cellStyle name="#_CCTV계통 7 14" xfId="23907"/>
    <cellStyle name="#_CCTV계통 7 14 2" xfId="36338"/>
    <cellStyle name="#_CCTV계통 7 15" xfId="18268"/>
    <cellStyle name="#_CCTV계통 7 15 2" xfId="30974"/>
    <cellStyle name="#_CCTV계통 7 16" xfId="22165"/>
    <cellStyle name="#_CCTV계통 7 16 2" xfId="34601"/>
    <cellStyle name="#_CCTV계통 7 17" xfId="20669"/>
    <cellStyle name="#_CCTV계통 7 17 2" xfId="33113"/>
    <cellStyle name="#_CCTV계통 7 18" xfId="22295"/>
    <cellStyle name="#_CCTV계통 7 18 2" xfId="34729"/>
    <cellStyle name="#_CCTV계통 7 19" xfId="19294"/>
    <cellStyle name="#_CCTV계통 7 19 2" xfId="31947"/>
    <cellStyle name="#_CCTV계통 7 2" xfId="16226"/>
    <cellStyle name="#_CCTV계통 7 2 2" xfId="29002"/>
    <cellStyle name="#_CCTV계통 7 20" xfId="23220"/>
    <cellStyle name="#_CCTV계통 7 20 2" xfId="35653"/>
    <cellStyle name="#_CCTV계통 7 21" xfId="19890"/>
    <cellStyle name="#_CCTV계통 7 21 2" xfId="32340"/>
    <cellStyle name="#_CCTV계통 7 3" xfId="14460"/>
    <cellStyle name="#_CCTV계통 7 3 2" xfId="27292"/>
    <cellStyle name="#_CCTV계통 7 4" xfId="13154"/>
    <cellStyle name="#_CCTV계통 7 4 2" xfId="26023"/>
    <cellStyle name="#_CCTV계통 7 5" xfId="13460"/>
    <cellStyle name="#_CCTV계통 7 5 2" xfId="26328"/>
    <cellStyle name="#_CCTV계통 7 6" xfId="15617"/>
    <cellStyle name="#_CCTV계통 7 6 2" xfId="28426"/>
    <cellStyle name="#_CCTV계통 7 7" xfId="17006"/>
    <cellStyle name="#_CCTV계통 7 7 2" xfId="29781"/>
    <cellStyle name="#_CCTV계통 7 8" xfId="15388"/>
    <cellStyle name="#_CCTV계통 7 8 2" xfId="28203"/>
    <cellStyle name="#_CCTV계통 7 9" xfId="12687"/>
    <cellStyle name="#_CCTV계통 7 9 2" xfId="25566"/>
    <cellStyle name="#_CCTV계통 8" xfId="14908"/>
    <cellStyle name="#_CCTV계통 8 2" xfId="27729"/>
    <cellStyle name="#_cost9702 (2)_계통도 (2)_계통도 " xfId="6645"/>
    <cellStyle name="#_cost9702 (2)_계통도 (2)_계통도  2" xfId="6646"/>
    <cellStyle name="#_cost9702 (2)_계통도 (2)_계통도  2 2" xfId="10974"/>
    <cellStyle name="#_cost9702 (2)_계통도 (2)_계통도  2 2 10" xfId="12403"/>
    <cellStyle name="#_cost9702 (2)_계통도 (2)_계통도  2 2 10 2" xfId="25283"/>
    <cellStyle name="#_cost9702 (2)_계통도 (2)_계통도  2 2 11" xfId="22694"/>
    <cellStyle name="#_cost9702 (2)_계통도 (2)_계통도  2 2 11 2" xfId="35128"/>
    <cellStyle name="#_cost9702 (2)_계통도 (2)_계통도  2 2 12" xfId="21471"/>
    <cellStyle name="#_cost9702 (2)_계통도 (2)_계통도  2 2 12 2" xfId="33908"/>
    <cellStyle name="#_cost9702 (2)_계통도 (2)_계통도  2 2 13" xfId="20477"/>
    <cellStyle name="#_cost9702 (2)_계통도 (2)_계통도  2 2 13 2" xfId="32922"/>
    <cellStyle name="#_cost9702 (2)_계통도 (2)_계통도  2 2 14" xfId="20073"/>
    <cellStyle name="#_cost9702 (2)_계통도 (2)_계통도  2 2 14 2" xfId="32519"/>
    <cellStyle name="#_cost9702 (2)_계통도 (2)_계통도  2 2 15" xfId="23458"/>
    <cellStyle name="#_cost9702 (2)_계통도 (2)_계통도  2 2 15 2" xfId="35889"/>
    <cellStyle name="#_cost9702 (2)_계통도 (2)_계통도  2 2 16" xfId="18853"/>
    <cellStyle name="#_cost9702 (2)_계통도 (2)_계통도  2 2 16 2" xfId="31558"/>
    <cellStyle name="#_cost9702 (2)_계통도 (2)_계통도  2 2 17" xfId="18684"/>
    <cellStyle name="#_cost9702 (2)_계통도 (2)_계통도  2 2 17 2" xfId="31389"/>
    <cellStyle name="#_cost9702 (2)_계통도 (2)_계통도  2 2 18" xfId="18567"/>
    <cellStyle name="#_cost9702 (2)_계통도 (2)_계통도  2 2 18 2" xfId="31272"/>
    <cellStyle name="#_cost9702 (2)_계통도 (2)_계통도  2 2 19" xfId="21718"/>
    <cellStyle name="#_cost9702 (2)_계통도 (2)_계통도  2 2 19 2" xfId="34155"/>
    <cellStyle name="#_cost9702 (2)_계통도 (2)_계통도  2 2 2" xfId="16233"/>
    <cellStyle name="#_cost9702 (2)_계통도 (2)_계통도  2 2 2 2" xfId="29009"/>
    <cellStyle name="#_cost9702 (2)_계통도 (2)_계통도  2 2 20" xfId="20873"/>
    <cellStyle name="#_cost9702 (2)_계통도 (2)_계통도  2 2 20 2" xfId="33310"/>
    <cellStyle name="#_cost9702 (2)_계통도 (2)_계통도  2 2 21" xfId="18597"/>
    <cellStyle name="#_cost9702 (2)_계통도 (2)_계통도  2 2 21 2" xfId="31302"/>
    <cellStyle name="#_cost9702 (2)_계통도 (2)_계통도  2 2 3" xfId="15898"/>
    <cellStyle name="#_cost9702 (2)_계통도 (2)_계통도  2 2 3 2" xfId="28696"/>
    <cellStyle name="#_cost9702 (2)_계통도 (2)_계통도  2 2 4" xfId="13149"/>
    <cellStyle name="#_cost9702 (2)_계통도 (2)_계통도  2 2 4 2" xfId="26018"/>
    <cellStyle name="#_cost9702 (2)_계통도 (2)_계통도  2 2 5" xfId="13246"/>
    <cellStyle name="#_cost9702 (2)_계통도 (2)_계통도  2 2 5 2" xfId="26114"/>
    <cellStyle name="#_cost9702 (2)_계통도 (2)_계통도  2 2 6" xfId="14294"/>
    <cellStyle name="#_cost9702 (2)_계통도 (2)_계통도  2 2 6 2" xfId="27127"/>
    <cellStyle name="#_cost9702 (2)_계통도 (2)_계통도  2 2 7" xfId="13651"/>
    <cellStyle name="#_cost9702 (2)_계통도 (2)_계통도  2 2 7 2" xfId="26519"/>
    <cellStyle name="#_cost9702 (2)_계통도 (2)_계통도  2 2 8" xfId="17938"/>
    <cellStyle name="#_cost9702 (2)_계통도 (2)_계통도  2 2 8 2" xfId="30650"/>
    <cellStyle name="#_cost9702 (2)_계통도 (2)_계통도  2 2 9" xfId="12686"/>
    <cellStyle name="#_cost9702 (2)_계통도 (2)_계통도  2 2 9 2" xfId="25565"/>
    <cellStyle name="#_cost9702 (2)_계통도 (2)_계통도  2 3" xfId="14915"/>
    <cellStyle name="#_cost9702 (2)_계통도 (2)_계통도  2 3 2" xfId="27736"/>
    <cellStyle name="#_cost9702 (2)_계통도 (2)_계통도  3" xfId="6647"/>
    <cellStyle name="#_cost9702 (2)_계통도 (2)_계통도  3 2" xfId="10975"/>
    <cellStyle name="#_cost9702 (2)_계통도 (2)_계통도  3 2 10" xfId="14884"/>
    <cellStyle name="#_cost9702 (2)_계통도 (2)_계통도  3 2 10 2" xfId="27705"/>
    <cellStyle name="#_cost9702 (2)_계통도 (2)_계통도  3 2 11" xfId="22695"/>
    <cellStyle name="#_cost9702 (2)_계통도 (2)_계통도  3 2 11 2" xfId="35129"/>
    <cellStyle name="#_cost9702 (2)_계통도 (2)_계통도  3 2 12" xfId="21470"/>
    <cellStyle name="#_cost9702 (2)_계통도 (2)_계통도  3 2 12 2" xfId="33907"/>
    <cellStyle name="#_cost9702 (2)_계통도 (2)_계통도  3 2 13" xfId="20224"/>
    <cellStyle name="#_cost9702 (2)_계통도 (2)_계통도  3 2 13 2" xfId="32670"/>
    <cellStyle name="#_cost9702 (2)_계통도 (2)_계통도  3 2 14" xfId="20319"/>
    <cellStyle name="#_cost9702 (2)_계통도 (2)_계통도  3 2 14 2" xfId="32764"/>
    <cellStyle name="#_cost9702 (2)_계통도 (2)_계통도  3 2 15" xfId="20968"/>
    <cellStyle name="#_cost9702 (2)_계통도 (2)_계통도  3 2 15 2" xfId="33405"/>
    <cellStyle name="#_cost9702 (2)_계통도 (2)_계통도  3 2 16" xfId="21870"/>
    <cellStyle name="#_cost9702 (2)_계통도 (2)_계통도  3 2 16 2" xfId="34307"/>
    <cellStyle name="#_cost9702 (2)_계통도 (2)_계통도  3 2 17" xfId="18286"/>
    <cellStyle name="#_cost9702 (2)_계통도 (2)_계통도  3 2 17 2" xfId="30992"/>
    <cellStyle name="#_cost9702 (2)_계통도 (2)_계통도  3 2 18" xfId="20889"/>
    <cellStyle name="#_cost9702 (2)_계통도 (2)_계통도  3 2 18 2" xfId="33326"/>
    <cellStyle name="#_cost9702 (2)_계통도 (2)_계통도  3 2 19" xfId="18837"/>
    <cellStyle name="#_cost9702 (2)_계통도 (2)_계통도  3 2 19 2" xfId="31542"/>
    <cellStyle name="#_cost9702 (2)_계통도 (2)_계통도  3 2 2" xfId="16234"/>
    <cellStyle name="#_cost9702 (2)_계통도 (2)_계통도  3 2 2 2" xfId="29010"/>
    <cellStyle name="#_cost9702 (2)_계통도 (2)_계통도  3 2 20" xfId="20846"/>
    <cellStyle name="#_cost9702 (2)_계통도 (2)_계통도  3 2 20 2" xfId="33283"/>
    <cellStyle name="#_cost9702 (2)_계통도 (2)_계통도  3 2 21" xfId="18998"/>
    <cellStyle name="#_cost9702 (2)_계통도 (2)_계통도  3 2 21 2" xfId="31703"/>
    <cellStyle name="#_cost9702 (2)_계통도 (2)_계통도  3 2 3" xfId="15899"/>
    <cellStyle name="#_cost9702 (2)_계통도 (2)_계통도  3 2 3 2" xfId="28697"/>
    <cellStyle name="#_cost9702 (2)_계통도 (2)_계통도  3 2 4" xfId="15170"/>
    <cellStyle name="#_cost9702 (2)_계통도 (2)_계통도  3 2 4 2" xfId="27989"/>
    <cellStyle name="#_cost9702 (2)_계통도 (2)_계통도  3 2 5" xfId="13464"/>
    <cellStyle name="#_cost9702 (2)_계통도 (2)_계통도  3 2 5 2" xfId="26332"/>
    <cellStyle name="#_cost9702 (2)_계통도 (2)_계통도  3 2 6" xfId="17543"/>
    <cellStyle name="#_cost9702 (2)_계통도 (2)_계통도  3 2 6 2" xfId="30264"/>
    <cellStyle name="#_cost9702 (2)_계통도 (2)_계통도  3 2 7" xfId="13650"/>
    <cellStyle name="#_cost9702 (2)_계통도 (2)_계통도  3 2 7 2" xfId="26518"/>
    <cellStyle name="#_cost9702 (2)_계통도 (2)_계통도  3 2 8" xfId="16610"/>
    <cellStyle name="#_cost9702 (2)_계통도 (2)_계통도  3 2 8 2" xfId="29386"/>
    <cellStyle name="#_cost9702 (2)_계통도 (2)_계통도  3 2 9" xfId="14146"/>
    <cellStyle name="#_cost9702 (2)_계통도 (2)_계통도  3 2 9 2" xfId="26994"/>
    <cellStyle name="#_cost9702 (2)_계통도 (2)_계통도  3 3" xfId="14916"/>
    <cellStyle name="#_cost9702 (2)_계통도 (2)_계통도  3 3 2" xfId="27737"/>
    <cellStyle name="#_cost9702 (2)_계통도 (2)_계통도  4" xfId="6648"/>
    <cellStyle name="#_cost9702 (2)_계통도 (2)_계통도  4 2" xfId="10976"/>
    <cellStyle name="#_cost9702 (2)_계통도 (2)_계통도  4 2 10" xfId="12904"/>
    <cellStyle name="#_cost9702 (2)_계통도 (2)_계통도  4 2 10 2" xfId="25780"/>
    <cellStyle name="#_cost9702 (2)_계통도 (2)_계통도  4 2 11" xfId="22696"/>
    <cellStyle name="#_cost9702 (2)_계통도 (2)_계통도  4 2 11 2" xfId="35130"/>
    <cellStyle name="#_cost9702 (2)_계통도 (2)_계통도  4 2 12" xfId="21469"/>
    <cellStyle name="#_cost9702 (2)_계통도 (2)_계통도  4 2 12 2" xfId="33906"/>
    <cellStyle name="#_cost9702 (2)_계통도 (2)_계통도  4 2 13" xfId="20476"/>
    <cellStyle name="#_cost9702 (2)_계통도 (2)_계통도  4 2 13 2" xfId="32921"/>
    <cellStyle name="#_cost9702 (2)_계통도 (2)_계통도  4 2 14" xfId="20072"/>
    <cellStyle name="#_cost9702 (2)_계통도 (2)_계통도  4 2 14 2" xfId="32518"/>
    <cellStyle name="#_cost9702 (2)_계통도 (2)_계통도  4 2 15" xfId="23708"/>
    <cellStyle name="#_cost9702 (2)_계통도 (2)_계통도  4 2 15 2" xfId="36139"/>
    <cellStyle name="#_cost9702 (2)_계통도 (2)_계통도  4 2 16" xfId="18854"/>
    <cellStyle name="#_cost9702 (2)_계통도 (2)_계통도  4 2 16 2" xfId="31559"/>
    <cellStyle name="#_cost9702 (2)_계통도 (2)_계통도  4 2 17" xfId="23192"/>
    <cellStyle name="#_cost9702 (2)_계통도 (2)_계통도  4 2 17 2" xfId="35625"/>
    <cellStyle name="#_cost9702 (2)_계통도 (2)_계통도  4 2 18" xfId="23217"/>
    <cellStyle name="#_cost9702 (2)_계통도 (2)_계통도  4 2 18 2" xfId="35650"/>
    <cellStyle name="#_cost9702 (2)_계통도 (2)_계통도  4 2 19" xfId="20967"/>
    <cellStyle name="#_cost9702 (2)_계통도 (2)_계통도  4 2 19 2" xfId="33404"/>
    <cellStyle name="#_cost9702 (2)_계통도 (2)_계통도  4 2 2" xfId="16235"/>
    <cellStyle name="#_cost9702 (2)_계통도 (2)_계통도  4 2 2 2" xfId="29011"/>
    <cellStyle name="#_cost9702 (2)_계통도 (2)_계통도  4 2 20" xfId="20872"/>
    <cellStyle name="#_cost9702 (2)_계통도 (2)_계통도  4 2 20 2" xfId="33309"/>
    <cellStyle name="#_cost9702 (2)_계통도 (2)_계통도  4 2 21" xfId="24556"/>
    <cellStyle name="#_cost9702 (2)_계통도 (2)_계통도  4 2 21 2" xfId="36987"/>
    <cellStyle name="#_cost9702 (2)_계통도 (2)_계통도  4 2 3" xfId="12450"/>
    <cellStyle name="#_cost9702 (2)_계통도 (2)_계통도  4 2 3 2" xfId="25330"/>
    <cellStyle name="#_cost9702 (2)_계통도 (2)_계통도  4 2 4" xfId="15169"/>
    <cellStyle name="#_cost9702 (2)_계통도 (2)_계통도  4 2 4 2" xfId="27988"/>
    <cellStyle name="#_cost9702 (2)_계통도 (2)_계통도  4 2 5" xfId="13247"/>
    <cellStyle name="#_cost9702 (2)_계통도 (2)_계통도  4 2 5 2" xfId="26115"/>
    <cellStyle name="#_cost9702 (2)_계통도 (2)_계통도  4 2 6" xfId="17542"/>
    <cellStyle name="#_cost9702 (2)_계통도 (2)_계통도  4 2 6 2" xfId="30263"/>
    <cellStyle name="#_cost9702 (2)_계통도 (2)_계통도  4 2 7" xfId="15143"/>
    <cellStyle name="#_cost9702 (2)_계통도 (2)_계통도  4 2 7 2" xfId="27962"/>
    <cellStyle name="#_cost9702 (2)_계통도 (2)_계통도  4 2 8" xfId="17252"/>
    <cellStyle name="#_cost9702 (2)_계통도 (2)_계통도  4 2 8 2" xfId="29985"/>
    <cellStyle name="#_cost9702 (2)_계통도 (2)_계통도  4 2 9" xfId="17094"/>
    <cellStyle name="#_cost9702 (2)_계통도 (2)_계통도  4 2 9 2" xfId="29830"/>
    <cellStyle name="#_cost9702 (2)_계통도 (2)_계통도  4 3" xfId="14917"/>
    <cellStyle name="#_cost9702 (2)_계통도 (2)_계통도  4 3 2" xfId="27738"/>
    <cellStyle name="#_cost9702 (2)_계통도 (2)_계통도  5" xfId="6649"/>
    <cellStyle name="#_cost9702 (2)_계통도 (2)_계통도  5 2" xfId="10977"/>
    <cellStyle name="#_cost9702 (2)_계통도 (2)_계통도  5 2 10" xfId="14700"/>
    <cellStyle name="#_cost9702 (2)_계통도 (2)_계통도  5 2 10 2" xfId="27526"/>
    <cellStyle name="#_cost9702 (2)_계통도 (2)_계통도  5 2 11" xfId="22697"/>
    <cellStyle name="#_cost9702 (2)_계통도 (2)_계통도  5 2 11 2" xfId="35131"/>
    <cellStyle name="#_cost9702 (2)_계통도 (2)_계통도  5 2 12" xfId="21468"/>
    <cellStyle name="#_cost9702 (2)_계통도 (2)_계통도  5 2 12 2" xfId="33905"/>
    <cellStyle name="#_cost9702 (2)_계통도 (2)_계통도  5 2 13" xfId="20223"/>
    <cellStyle name="#_cost9702 (2)_계통도 (2)_계통도  5 2 13 2" xfId="32669"/>
    <cellStyle name="#_cost9702 (2)_계통도 (2)_계통도  5 2 14" xfId="20318"/>
    <cellStyle name="#_cost9702 (2)_계통도 (2)_계통도  5 2 14 2" xfId="32763"/>
    <cellStyle name="#_cost9702 (2)_계통도 (2)_계통도  5 2 15" xfId="23902"/>
    <cellStyle name="#_cost9702 (2)_계통도 (2)_계통도  5 2 15 2" xfId="36333"/>
    <cellStyle name="#_cost9702 (2)_계통도 (2)_계통도  5 2 16" xfId="19187"/>
    <cellStyle name="#_cost9702 (2)_계통도 (2)_계통도  5 2 16 2" xfId="31842"/>
    <cellStyle name="#_cost9702 (2)_계통도 (2)_계통도  5 2 17" xfId="19668"/>
    <cellStyle name="#_cost9702 (2)_계통도 (2)_계통도  5 2 17 2" xfId="32122"/>
    <cellStyle name="#_cost9702 (2)_계통도 (2)_계통도  5 2 18" xfId="24194"/>
    <cellStyle name="#_cost9702 (2)_계통도 (2)_계통도  5 2 18 2" xfId="36625"/>
    <cellStyle name="#_cost9702 (2)_계통도 (2)_계통도  5 2 19" xfId="20829"/>
    <cellStyle name="#_cost9702 (2)_계통도 (2)_계통도  5 2 19 2" xfId="33266"/>
    <cellStyle name="#_cost9702 (2)_계통도 (2)_계통도  5 2 2" xfId="16236"/>
    <cellStyle name="#_cost9702 (2)_계통도 (2)_계통도  5 2 2 2" xfId="29012"/>
    <cellStyle name="#_cost9702 (2)_계통도 (2)_계통도  5 2 20" xfId="23218"/>
    <cellStyle name="#_cost9702 (2)_계통도 (2)_계통도  5 2 20 2" xfId="35651"/>
    <cellStyle name="#_cost9702 (2)_계통도 (2)_계통도  5 2 21" xfId="23273"/>
    <cellStyle name="#_cost9702 (2)_계통도 (2)_계통도  5 2 21 2" xfId="35705"/>
    <cellStyle name="#_cost9702 (2)_계통도 (2)_계통도  5 2 3" xfId="14461"/>
    <cellStyle name="#_cost9702 (2)_계통도 (2)_계통도  5 2 3 2" xfId="27293"/>
    <cellStyle name="#_cost9702 (2)_계통도 (2)_계통도  5 2 4" xfId="15189"/>
    <cellStyle name="#_cost9702 (2)_계통도 (2)_계통도  5 2 4 2" xfId="28008"/>
    <cellStyle name="#_cost9702 (2)_계통도 (2)_계통도  5 2 5" xfId="13465"/>
    <cellStyle name="#_cost9702 (2)_계통도 (2)_계통도  5 2 5 2" xfId="26333"/>
    <cellStyle name="#_cost9702 (2)_계통도 (2)_계통도  5 2 6" xfId="13031"/>
    <cellStyle name="#_cost9702 (2)_계통도 (2)_계통도  5 2 6 2" xfId="25906"/>
    <cellStyle name="#_cost9702 (2)_계통도 (2)_계통도  5 2 7" xfId="13649"/>
    <cellStyle name="#_cost9702 (2)_계통도 (2)_계통도  5 2 7 2" xfId="26517"/>
    <cellStyle name="#_cost9702 (2)_계통도 (2)_계통도  5 2 8" xfId="13717"/>
    <cellStyle name="#_cost9702 (2)_계통도 (2)_계통도  5 2 8 2" xfId="26578"/>
    <cellStyle name="#_cost9702 (2)_계통도 (2)_계통도  5 2 9" xfId="12415"/>
    <cellStyle name="#_cost9702 (2)_계통도 (2)_계통도  5 2 9 2" xfId="25295"/>
    <cellStyle name="#_cost9702 (2)_계통도 (2)_계통도  5 3" xfId="14918"/>
    <cellStyle name="#_cost9702 (2)_계통도 (2)_계통도  5 3 2" xfId="27739"/>
    <cellStyle name="#_cost9702 (2)_계통도 (2)_계통도  6" xfId="6650"/>
    <cellStyle name="#_cost9702 (2)_계통도 (2)_계통도  6 2" xfId="10978"/>
    <cellStyle name="#_cost9702 (2)_계통도 (2)_계통도  6 2 10" xfId="12402"/>
    <cellStyle name="#_cost9702 (2)_계통도 (2)_계통도  6 2 10 2" xfId="25282"/>
    <cellStyle name="#_cost9702 (2)_계통도 (2)_계통도  6 2 11" xfId="22698"/>
    <cellStyle name="#_cost9702 (2)_계통도 (2)_계통도  6 2 11 2" xfId="35132"/>
    <cellStyle name="#_cost9702 (2)_계통도 (2)_계통도  6 2 12" xfId="21467"/>
    <cellStyle name="#_cost9702 (2)_계통도 (2)_계통도  6 2 12 2" xfId="33904"/>
    <cellStyle name="#_cost9702 (2)_계통도 (2)_계통도  6 2 13" xfId="20475"/>
    <cellStyle name="#_cost9702 (2)_계통도 (2)_계통도  6 2 13 2" xfId="32920"/>
    <cellStyle name="#_cost9702 (2)_계통도 (2)_계통도  6 2 14" xfId="20071"/>
    <cellStyle name="#_cost9702 (2)_계통도 (2)_계통도  6 2 14 2" xfId="32517"/>
    <cellStyle name="#_cost9702 (2)_계통도 (2)_계통도  6 2 15" xfId="22248"/>
    <cellStyle name="#_cost9702 (2)_계통도 (2)_계통도  6 2 15 2" xfId="34683"/>
    <cellStyle name="#_cost9702 (2)_계통도 (2)_계통도  6 2 16" xfId="18855"/>
    <cellStyle name="#_cost9702 (2)_계통도 (2)_계통도  6 2 16 2" xfId="31560"/>
    <cellStyle name="#_cost9702 (2)_계통도 (2)_계통도  6 2 17" xfId="18685"/>
    <cellStyle name="#_cost9702 (2)_계통도 (2)_계통도  6 2 17 2" xfId="31390"/>
    <cellStyle name="#_cost9702 (2)_계통도 (2)_계통도  6 2 18" xfId="22001"/>
    <cellStyle name="#_cost9702 (2)_계통도 (2)_계통도  6 2 18 2" xfId="34438"/>
    <cellStyle name="#_cost9702 (2)_계통도 (2)_계통도  6 2 19" xfId="24739"/>
    <cellStyle name="#_cost9702 (2)_계통도 (2)_계통도  6 2 19 2" xfId="37170"/>
    <cellStyle name="#_cost9702 (2)_계통도 (2)_계통도  6 2 2" xfId="16237"/>
    <cellStyle name="#_cost9702 (2)_계통도 (2)_계통도  6 2 2 2" xfId="29013"/>
    <cellStyle name="#_cost9702 (2)_계통도 (2)_계통도  6 2 20" xfId="20091"/>
    <cellStyle name="#_cost9702 (2)_계통도 (2)_계통도  6 2 20 2" xfId="32537"/>
    <cellStyle name="#_cost9702 (2)_계통도 (2)_계통도  6 2 21" xfId="18724"/>
    <cellStyle name="#_cost9702 (2)_계통도 (2)_계통도  6 2 21 2" xfId="31429"/>
    <cellStyle name="#_cost9702 (2)_계통도 (2)_계통도  6 2 3" xfId="12451"/>
    <cellStyle name="#_cost9702 (2)_계통도 (2)_계통도  6 2 3 2" xfId="25331"/>
    <cellStyle name="#_cost9702 (2)_계통도 (2)_계통도  6 2 4" xfId="15271"/>
    <cellStyle name="#_cost9702 (2)_계통도 (2)_계통도  6 2 4 2" xfId="28088"/>
    <cellStyle name="#_cost9702 (2)_계통도 (2)_계통도  6 2 5" xfId="13248"/>
    <cellStyle name="#_cost9702 (2)_계통도 (2)_계통도  6 2 5 2" xfId="26116"/>
    <cellStyle name="#_cost9702 (2)_계통도 (2)_계통도  6 2 6" xfId="14742"/>
    <cellStyle name="#_cost9702 (2)_계통도 (2)_계통도  6 2 6 2" xfId="27567"/>
    <cellStyle name="#_cost9702 (2)_계통도 (2)_계통도  6 2 7" xfId="13648"/>
    <cellStyle name="#_cost9702 (2)_계통도 (2)_계통도  6 2 7 2" xfId="26516"/>
    <cellStyle name="#_cost9702 (2)_계통도 (2)_계통도  6 2 8" xfId="17197"/>
    <cellStyle name="#_cost9702 (2)_계통도 (2)_계통도  6 2 8 2" xfId="29931"/>
    <cellStyle name="#_cost9702 (2)_계통도 (2)_계통도  6 2 9" xfId="13091"/>
    <cellStyle name="#_cost9702 (2)_계통도 (2)_계통도  6 2 9 2" xfId="25960"/>
    <cellStyle name="#_cost9702 (2)_계통도 (2)_계통도  6 3" xfId="14919"/>
    <cellStyle name="#_cost9702 (2)_계통도 (2)_계통도  6 3 2" xfId="27740"/>
    <cellStyle name="#_cost9702 (2)_계통도 (2)_계통도  7" xfId="10973"/>
    <cellStyle name="#_cost9702 (2)_계통도 (2)_계통도  7 10" xfId="12387"/>
    <cellStyle name="#_cost9702 (2)_계통도 (2)_계통도  7 10 2" xfId="25267"/>
    <cellStyle name="#_cost9702 (2)_계통도 (2)_계통도  7 11" xfId="22693"/>
    <cellStyle name="#_cost9702 (2)_계통도 (2)_계통도  7 11 2" xfId="35127"/>
    <cellStyle name="#_cost9702 (2)_계통도 (2)_계통도  7 12" xfId="21472"/>
    <cellStyle name="#_cost9702 (2)_계통도 (2)_계통도  7 12 2" xfId="33909"/>
    <cellStyle name="#_cost9702 (2)_계통도 (2)_계통도  7 13" xfId="20225"/>
    <cellStyle name="#_cost9702 (2)_계통도 (2)_계통도  7 13 2" xfId="32671"/>
    <cellStyle name="#_cost9702 (2)_계통도 (2)_계통도  7 14" xfId="20320"/>
    <cellStyle name="#_cost9702 (2)_계통도 (2)_계통도  7 14 2" xfId="32765"/>
    <cellStyle name="#_cost9702 (2)_계통도 (2)_계통도  7 15" xfId="23391"/>
    <cellStyle name="#_cost9702 (2)_계통도 (2)_계통도  7 15 2" xfId="35823"/>
    <cellStyle name="#_cost9702 (2)_계통도 (2)_계통도  7 16" xfId="22168"/>
    <cellStyle name="#_cost9702 (2)_계통도 (2)_계통도  7 16 2" xfId="34604"/>
    <cellStyle name="#_cost9702 (2)_계통도 (2)_계통도  7 17" xfId="23442"/>
    <cellStyle name="#_cost9702 (2)_계통도 (2)_계통도  7 17 2" xfId="35873"/>
    <cellStyle name="#_cost9702 (2)_계통도 (2)_계통도  7 18" xfId="19751"/>
    <cellStyle name="#_cost9702 (2)_계통도 (2)_계통도  7 18 2" xfId="32204"/>
    <cellStyle name="#_cost9702 (2)_계통도 (2)_계통도  7 19" xfId="23501"/>
    <cellStyle name="#_cost9702 (2)_계통도 (2)_계통도  7 19 2" xfId="35932"/>
    <cellStyle name="#_cost9702 (2)_계통도 (2)_계통도  7 2" xfId="16232"/>
    <cellStyle name="#_cost9702 (2)_계통도 (2)_계통도  7 2 2" xfId="29008"/>
    <cellStyle name="#_cost9702 (2)_계통도 (2)_계통도  7 20" xfId="18571"/>
    <cellStyle name="#_cost9702 (2)_계통도 (2)_계통도  7 20 2" xfId="31276"/>
    <cellStyle name="#_cost9702 (2)_계통도 (2)_계통도  7 21" xfId="18997"/>
    <cellStyle name="#_cost9702 (2)_계통도 (2)_계통도  7 21 2" xfId="31702"/>
    <cellStyle name="#_cost9702 (2)_계통도 (2)_계통도  7 3" xfId="15897"/>
    <cellStyle name="#_cost9702 (2)_계통도 (2)_계통도  7 3 2" xfId="28695"/>
    <cellStyle name="#_cost9702 (2)_계통도 (2)_계통도  7 4" xfId="16700"/>
    <cellStyle name="#_cost9702 (2)_계통도 (2)_계통도  7 4 2" xfId="29476"/>
    <cellStyle name="#_cost9702 (2)_계통도 (2)_계통도  7 5" xfId="13463"/>
    <cellStyle name="#_cost9702 (2)_계통도 (2)_계통도  7 5 2" xfId="26331"/>
    <cellStyle name="#_cost9702 (2)_계통도 (2)_계통도  7 6" xfId="12923"/>
    <cellStyle name="#_cost9702 (2)_계통도 (2)_계통도  7 6 2" xfId="25799"/>
    <cellStyle name="#_cost9702 (2)_계통도 (2)_계통도  7 7" xfId="13652"/>
    <cellStyle name="#_cost9702 (2)_계통도 (2)_계통도  7 7 2" xfId="26520"/>
    <cellStyle name="#_cost9702 (2)_계통도 (2)_계통도  7 8" xfId="17436"/>
    <cellStyle name="#_cost9702 (2)_계통도 (2)_계통도  7 8 2" xfId="30158"/>
    <cellStyle name="#_cost9702 (2)_계통도 (2)_계통도  7 9" xfId="14394"/>
    <cellStyle name="#_cost9702 (2)_계통도 (2)_계통도  7 9 2" xfId="27227"/>
    <cellStyle name="#_cost9702 (2)_계통도 (2)_계통도  8" xfId="14914"/>
    <cellStyle name="#_cost9702 (2)_계통도 (2)_계통도  8 2" xfId="27735"/>
    <cellStyle name="#_cost9702 (2)_공사비예산서 (2)_계통도 " xfId="6651"/>
    <cellStyle name="#_cost9702 (2)_공사비예산서 (2)_계통도  2" xfId="6652"/>
    <cellStyle name="#_cost9702 (2)_공사비예산서 (2)_계통도  2 2" xfId="10980"/>
    <cellStyle name="#_cost9702 (2)_공사비예산서 (2)_계통도  2 2 10" xfId="12903"/>
    <cellStyle name="#_cost9702 (2)_공사비예산서 (2)_계통도  2 2 10 2" xfId="25779"/>
    <cellStyle name="#_cost9702 (2)_공사비예산서 (2)_계통도  2 2 11" xfId="22700"/>
    <cellStyle name="#_cost9702 (2)_공사비예산서 (2)_계통도  2 2 11 2" xfId="35134"/>
    <cellStyle name="#_cost9702 (2)_공사비예산서 (2)_계통도  2 2 12" xfId="21465"/>
    <cellStyle name="#_cost9702 (2)_공사비예산서 (2)_계통도  2 2 12 2" xfId="33902"/>
    <cellStyle name="#_cost9702 (2)_공사비예산서 (2)_계통도  2 2 13" xfId="20474"/>
    <cellStyle name="#_cost9702 (2)_공사비예산서 (2)_계통도  2 2 13 2" xfId="32919"/>
    <cellStyle name="#_cost9702 (2)_공사비예산서 (2)_계통도  2 2 14" xfId="21831"/>
    <cellStyle name="#_cost9702 (2)_공사비예산서 (2)_계통도  2 2 14 2" xfId="34268"/>
    <cellStyle name="#_cost9702 (2)_공사비예산서 (2)_계통도  2 2 15" xfId="22253"/>
    <cellStyle name="#_cost9702 (2)_공사비예산서 (2)_계통도  2 2 15 2" xfId="34688"/>
    <cellStyle name="#_cost9702 (2)_공사비예산서 (2)_계통도  2 2 16" xfId="18856"/>
    <cellStyle name="#_cost9702 (2)_공사비예산서 (2)_계통도  2 2 16 2" xfId="31561"/>
    <cellStyle name="#_cost9702 (2)_공사비예산서 (2)_계통도  2 2 17" xfId="23193"/>
    <cellStyle name="#_cost9702 (2)_공사비예산서 (2)_계통도  2 2 17 2" xfId="35626"/>
    <cellStyle name="#_cost9702 (2)_공사비예산서 (2)_계통도  2 2 18" xfId="21999"/>
    <cellStyle name="#_cost9702 (2)_공사비예산서 (2)_계통도  2 2 18 2" xfId="34436"/>
    <cellStyle name="#_cost9702 (2)_공사비예산서 (2)_계통도  2 2 19" xfId="23871"/>
    <cellStyle name="#_cost9702 (2)_공사비예산서 (2)_계통도  2 2 19 2" xfId="36302"/>
    <cellStyle name="#_cost9702 (2)_공사비예산서 (2)_계통도  2 2 2" xfId="16239"/>
    <cellStyle name="#_cost9702 (2)_공사비예산서 (2)_계통도  2 2 2 2" xfId="29015"/>
    <cellStyle name="#_cost9702 (2)_공사비예산서 (2)_계통도  2 2 20" xfId="20871"/>
    <cellStyle name="#_cost9702 (2)_공사비예산서 (2)_계통도  2 2 20 2" xfId="33308"/>
    <cellStyle name="#_cost9702 (2)_공사비예산서 (2)_계통도  2 2 21" xfId="24555"/>
    <cellStyle name="#_cost9702 (2)_공사비예산서 (2)_계통도  2 2 21 2" xfId="36986"/>
    <cellStyle name="#_cost9702 (2)_공사비예산서 (2)_계통도  2 2 3" xfId="15901"/>
    <cellStyle name="#_cost9702 (2)_공사비예산서 (2)_계통도  2 2 3 2" xfId="28699"/>
    <cellStyle name="#_cost9702 (2)_공사비예산서 (2)_계통도  2 2 4" xfId="16697"/>
    <cellStyle name="#_cost9702 (2)_공사비예산서 (2)_계통도  2 2 4 2" xfId="29473"/>
    <cellStyle name="#_cost9702 (2)_공사비예산서 (2)_계통도  2 2 5" xfId="13249"/>
    <cellStyle name="#_cost9702 (2)_공사비예산서 (2)_계통도  2 2 5 2" xfId="26117"/>
    <cellStyle name="#_cost9702 (2)_공사비예산서 (2)_계통도  2 2 6" xfId="14089"/>
    <cellStyle name="#_cost9702 (2)_공사비예산서 (2)_계통도  2 2 6 2" xfId="26937"/>
    <cellStyle name="#_cost9702 (2)_공사비예산서 (2)_계통도  2 2 7" xfId="13646"/>
    <cellStyle name="#_cost9702 (2)_공사비예산서 (2)_계통도  2 2 7 2" xfId="26514"/>
    <cellStyle name="#_cost9702 (2)_공사비예산서 (2)_계통도  2 2 8" xfId="13233"/>
    <cellStyle name="#_cost9702 (2)_공사비예산서 (2)_계통도  2 2 8 2" xfId="26101"/>
    <cellStyle name="#_cost9702 (2)_공사비예산서 (2)_계통도  2 2 9" xfId="18107"/>
    <cellStyle name="#_cost9702 (2)_공사비예산서 (2)_계통도  2 2 9 2" xfId="30818"/>
    <cellStyle name="#_cost9702 (2)_공사비예산서 (2)_계통도  2 3" xfId="14921"/>
    <cellStyle name="#_cost9702 (2)_공사비예산서 (2)_계통도  2 3 2" xfId="27742"/>
    <cellStyle name="#_cost9702 (2)_공사비예산서 (2)_계통도  3" xfId="6653"/>
    <cellStyle name="#_cost9702 (2)_공사비예산서 (2)_계통도  3 2" xfId="10981"/>
    <cellStyle name="#_cost9702 (2)_공사비예산서 (2)_계통도  3 2 10" xfId="14583"/>
    <cellStyle name="#_cost9702 (2)_공사비예산서 (2)_계통도  3 2 10 2" xfId="27409"/>
    <cellStyle name="#_cost9702 (2)_공사비예산서 (2)_계통도  3 2 11" xfId="22701"/>
    <cellStyle name="#_cost9702 (2)_공사비예산서 (2)_계통도  3 2 11 2" xfId="35135"/>
    <cellStyle name="#_cost9702 (2)_공사비예산서 (2)_계통도  3 2 12" xfId="21464"/>
    <cellStyle name="#_cost9702 (2)_공사비예산서 (2)_계통도  3 2 12 2" xfId="33901"/>
    <cellStyle name="#_cost9702 (2)_공사비예산서 (2)_계통도  3 2 13" xfId="20221"/>
    <cellStyle name="#_cost9702 (2)_공사비예산서 (2)_계통도  3 2 13 2" xfId="32667"/>
    <cellStyle name="#_cost9702 (2)_공사비예산서 (2)_계통도  3 2 14" xfId="22532"/>
    <cellStyle name="#_cost9702 (2)_공사비예산서 (2)_계통도  3 2 14 2" xfId="34966"/>
    <cellStyle name="#_cost9702 (2)_공사비예산서 (2)_계통도  3 2 15" xfId="20102"/>
    <cellStyle name="#_cost9702 (2)_공사비예산서 (2)_계통도  3 2 15 2" xfId="32548"/>
    <cellStyle name="#_cost9702 (2)_공사비예산서 (2)_계통도  3 2 16" xfId="19188"/>
    <cellStyle name="#_cost9702 (2)_공사비예산서 (2)_계통도  3 2 16 2" xfId="31843"/>
    <cellStyle name="#_cost9702 (2)_공사비예산서 (2)_계통도  3 2 17" xfId="18991"/>
    <cellStyle name="#_cost9702 (2)_공사비예산서 (2)_계통도  3 2 17 2" xfId="31696"/>
    <cellStyle name="#_cost9702 (2)_공사비예산서 (2)_계통도  3 2 18" xfId="21998"/>
    <cellStyle name="#_cost9702 (2)_공사비예산서 (2)_계통도  3 2 18 2" xfId="34435"/>
    <cellStyle name="#_cost9702 (2)_공사비예산서 (2)_계통도  3 2 19" xfId="20355"/>
    <cellStyle name="#_cost9702 (2)_공사비예산서 (2)_계통도  3 2 19 2" xfId="32800"/>
    <cellStyle name="#_cost9702 (2)_공사비예산서 (2)_계통도  3 2 2" xfId="16240"/>
    <cellStyle name="#_cost9702 (2)_공사비예산서 (2)_계통도  3 2 2 2" xfId="29016"/>
    <cellStyle name="#_cost9702 (2)_공사비예산서 (2)_계통도  3 2 20" xfId="20121"/>
    <cellStyle name="#_cost9702 (2)_공사비예산서 (2)_계통도  3 2 20 2" xfId="32567"/>
    <cellStyle name="#_cost9702 (2)_공사비예산서 (2)_계통도  3 2 21" xfId="19663"/>
    <cellStyle name="#_cost9702 (2)_공사비예산서 (2)_계통도  3 2 21 2" xfId="32117"/>
    <cellStyle name="#_cost9702 (2)_공사비예산서 (2)_계통도  3 2 3" xfId="15902"/>
    <cellStyle name="#_cost9702 (2)_공사비예산서 (2)_계통도  3 2 3 2" xfId="28700"/>
    <cellStyle name="#_cost9702 (2)_공사비예산서 (2)_계통도  3 2 4" xfId="15188"/>
    <cellStyle name="#_cost9702 (2)_공사비예산서 (2)_계통도  3 2 4 2" xfId="28007"/>
    <cellStyle name="#_cost9702 (2)_공사비예산서 (2)_계통도  3 2 5" xfId="13467"/>
    <cellStyle name="#_cost9702 (2)_공사비예산서 (2)_계통도  3 2 5 2" xfId="26335"/>
    <cellStyle name="#_cost9702 (2)_공사비예산서 (2)_계통도  3 2 6" xfId="17541"/>
    <cellStyle name="#_cost9702 (2)_공사비예산서 (2)_계통도  3 2 6 2" xfId="30262"/>
    <cellStyle name="#_cost9702 (2)_공사비예산서 (2)_계통도  3 2 7" xfId="13645"/>
    <cellStyle name="#_cost9702 (2)_공사비예산서 (2)_계통도  3 2 7 2" xfId="26513"/>
    <cellStyle name="#_cost9702 (2)_공사비예산서 (2)_계통도  3 2 8" xfId="17009"/>
    <cellStyle name="#_cost9702 (2)_공사비예산서 (2)_계통도  3 2 8 2" xfId="29784"/>
    <cellStyle name="#_cost9702 (2)_공사비예산서 (2)_계통도  3 2 9" xfId="14849"/>
    <cellStyle name="#_cost9702 (2)_공사비예산서 (2)_계통도  3 2 9 2" xfId="27672"/>
    <cellStyle name="#_cost9702 (2)_공사비예산서 (2)_계통도  3 3" xfId="14922"/>
    <cellStyle name="#_cost9702 (2)_공사비예산서 (2)_계통도  3 3 2" xfId="27743"/>
    <cellStyle name="#_cost9702 (2)_공사비예산서 (2)_계통도  4" xfId="6654"/>
    <cellStyle name="#_cost9702 (2)_공사비예산서 (2)_계통도  4 2" xfId="10982"/>
    <cellStyle name="#_cost9702 (2)_공사비예산서 (2)_계통도  4 2 10" xfId="12401"/>
    <cellStyle name="#_cost9702 (2)_공사비예산서 (2)_계통도  4 2 10 2" xfId="25281"/>
    <cellStyle name="#_cost9702 (2)_공사비예산서 (2)_계통도  4 2 11" xfId="22702"/>
    <cellStyle name="#_cost9702 (2)_공사비예산서 (2)_계통도  4 2 11 2" xfId="35136"/>
    <cellStyle name="#_cost9702 (2)_공사비예산서 (2)_계통도  4 2 12" xfId="21463"/>
    <cellStyle name="#_cost9702 (2)_공사비예산서 (2)_계통도  4 2 12 2" xfId="33900"/>
    <cellStyle name="#_cost9702 (2)_공사비예산서 (2)_계통도  4 2 13" xfId="20473"/>
    <cellStyle name="#_cost9702 (2)_공사비예산서 (2)_계통도  4 2 13 2" xfId="32918"/>
    <cellStyle name="#_cost9702 (2)_공사비예산서 (2)_계통도  4 2 14" xfId="21066"/>
    <cellStyle name="#_cost9702 (2)_공사비예산서 (2)_계통도  4 2 14 2" xfId="33503"/>
    <cellStyle name="#_cost9702 (2)_공사비예산서 (2)_계통도  4 2 15" xfId="22249"/>
    <cellStyle name="#_cost9702 (2)_공사비예산서 (2)_계통도  4 2 15 2" xfId="34684"/>
    <cellStyle name="#_cost9702 (2)_공사비예산서 (2)_계통도  4 2 16" xfId="18857"/>
    <cellStyle name="#_cost9702 (2)_공사비예산서 (2)_계통도  4 2 16 2" xfId="31562"/>
    <cellStyle name="#_cost9702 (2)_공사비예산서 (2)_계통도  4 2 17" xfId="22472"/>
    <cellStyle name="#_cost9702 (2)_공사비예산서 (2)_계통도  4 2 17 2" xfId="34906"/>
    <cellStyle name="#_cost9702 (2)_공사비예산서 (2)_계통도  4 2 18" xfId="20245"/>
    <cellStyle name="#_cost9702 (2)_공사비예산서 (2)_계통도  4 2 18 2" xfId="32690"/>
    <cellStyle name="#_cost9702 (2)_공사비예산서 (2)_계통도  4 2 19" xfId="20633"/>
    <cellStyle name="#_cost9702 (2)_공사비예산서 (2)_계통도  4 2 19 2" xfId="33077"/>
    <cellStyle name="#_cost9702 (2)_공사비예산서 (2)_계통도  4 2 2" xfId="16241"/>
    <cellStyle name="#_cost9702 (2)_공사비예산서 (2)_계통도  4 2 2 2" xfId="29017"/>
    <cellStyle name="#_cost9702 (2)_공사비예산서 (2)_계통도  4 2 20" xfId="20870"/>
    <cellStyle name="#_cost9702 (2)_공사비예산서 (2)_계통도  4 2 20 2" xfId="33307"/>
    <cellStyle name="#_cost9702 (2)_공사비예산서 (2)_계통도  4 2 21" xfId="19868"/>
    <cellStyle name="#_cost9702 (2)_공사비예산서 (2)_계통도  4 2 21 2" xfId="32318"/>
    <cellStyle name="#_cost9702 (2)_공사비예산서 (2)_계통도  4 2 3" xfId="15903"/>
    <cellStyle name="#_cost9702 (2)_공사비예산서 (2)_계통도  4 2 3 2" xfId="28701"/>
    <cellStyle name="#_cost9702 (2)_공사비예산서 (2)_계통도  4 2 4" xfId="15168"/>
    <cellStyle name="#_cost9702 (2)_공사비예산서 (2)_계통도  4 2 4 2" xfId="27987"/>
    <cellStyle name="#_cost9702 (2)_공사비예산서 (2)_계통도  4 2 5" xfId="13250"/>
    <cellStyle name="#_cost9702 (2)_공사비예산서 (2)_계통도  4 2 5 2" xfId="26118"/>
    <cellStyle name="#_cost9702 (2)_공사비예산서 (2)_계통도  4 2 6" xfId="17540"/>
    <cellStyle name="#_cost9702 (2)_공사비예산서 (2)_계통도  4 2 6 2" xfId="30261"/>
    <cellStyle name="#_cost9702 (2)_공사비예산서 (2)_계통도  4 2 7" xfId="13644"/>
    <cellStyle name="#_cost9702 (2)_공사비예산서 (2)_계통도  4 2 7 2" xfId="26512"/>
    <cellStyle name="#_cost9702 (2)_공사비예산서 (2)_계통도  4 2 8" xfId="18029"/>
    <cellStyle name="#_cost9702 (2)_공사비예산서 (2)_계통도  4 2 8 2" xfId="30740"/>
    <cellStyle name="#_cost9702 (2)_공사비예산서 (2)_계통도  4 2 9" xfId="17615"/>
    <cellStyle name="#_cost9702 (2)_공사비예산서 (2)_계통도  4 2 9 2" xfId="30332"/>
    <cellStyle name="#_cost9702 (2)_공사비예산서 (2)_계통도  4 3" xfId="14923"/>
    <cellStyle name="#_cost9702 (2)_공사비예산서 (2)_계통도  4 3 2" xfId="27744"/>
    <cellStyle name="#_cost9702 (2)_공사비예산서 (2)_계통도  5" xfId="6655"/>
    <cellStyle name="#_cost9702 (2)_공사비예산서 (2)_계통도  5 2" xfId="10983"/>
    <cellStyle name="#_cost9702 (2)_공사비예산서 (2)_계통도  5 2 10" xfId="17119"/>
    <cellStyle name="#_cost9702 (2)_공사비예산서 (2)_계통도  5 2 10 2" xfId="29853"/>
    <cellStyle name="#_cost9702 (2)_공사비예산서 (2)_계통도  5 2 11" xfId="22703"/>
    <cellStyle name="#_cost9702 (2)_공사비예산서 (2)_계통도  5 2 11 2" xfId="35137"/>
    <cellStyle name="#_cost9702 (2)_공사비예산서 (2)_계통도  5 2 12" xfId="21462"/>
    <cellStyle name="#_cost9702 (2)_공사비예산서 (2)_계통도  5 2 12 2" xfId="33899"/>
    <cellStyle name="#_cost9702 (2)_공사비예산서 (2)_계통도  5 2 13" xfId="20220"/>
    <cellStyle name="#_cost9702 (2)_공사비예산서 (2)_계통도  5 2 13 2" xfId="32666"/>
    <cellStyle name="#_cost9702 (2)_공사비예산서 (2)_계통도  5 2 14" xfId="21039"/>
    <cellStyle name="#_cost9702 (2)_공사비예산서 (2)_계통도  5 2 14 2" xfId="33476"/>
    <cellStyle name="#_cost9702 (2)_공사비예산서 (2)_계통도  5 2 15" xfId="23903"/>
    <cellStyle name="#_cost9702 (2)_공사비예산서 (2)_계통도  5 2 15 2" xfId="36334"/>
    <cellStyle name="#_cost9702 (2)_공사비예산서 (2)_계통도  5 2 16" xfId="19285"/>
    <cellStyle name="#_cost9702 (2)_공사비예산서 (2)_계통도  5 2 16 2" xfId="31938"/>
    <cellStyle name="#_cost9702 (2)_공사비예산서 (2)_계통도  5 2 17" xfId="24389"/>
    <cellStyle name="#_cost9702 (2)_공사비예산서 (2)_계통도  5 2 17 2" xfId="36820"/>
    <cellStyle name="#_cost9702 (2)_공사비예산서 (2)_계통도  5 2 18" xfId="21102"/>
    <cellStyle name="#_cost9702 (2)_공사비예산서 (2)_계통도  5 2 18 2" xfId="33539"/>
    <cellStyle name="#_cost9702 (2)_공사비예산서 (2)_계통도  5 2 19" xfId="20104"/>
    <cellStyle name="#_cost9702 (2)_공사비예산서 (2)_계통도  5 2 19 2" xfId="32550"/>
    <cellStyle name="#_cost9702 (2)_공사비예산서 (2)_계통도  5 2 2" xfId="16242"/>
    <cellStyle name="#_cost9702 (2)_공사비예산서 (2)_계통도  5 2 2 2" xfId="29018"/>
    <cellStyle name="#_cost9702 (2)_공사비예산서 (2)_계통도  5 2 20" xfId="20367"/>
    <cellStyle name="#_cost9702 (2)_공사비예산서 (2)_계통도  5 2 20 2" xfId="32812"/>
    <cellStyle name="#_cost9702 (2)_공사비예산서 (2)_계통도  5 2 21" xfId="24849"/>
    <cellStyle name="#_cost9702 (2)_공사비예산서 (2)_계통도  5 2 21 2" xfId="37280"/>
    <cellStyle name="#_cost9702 (2)_공사비예산서 (2)_계통도  5 2 3" xfId="15904"/>
    <cellStyle name="#_cost9702 (2)_공사비예산서 (2)_계통도  5 2 3 2" xfId="28702"/>
    <cellStyle name="#_cost9702 (2)_공사비예산서 (2)_계통도  5 2 4" xfId="15270"/>
    <cellStyle name="#_cost9702 (2)_공사비예산서 (2)_계통도  5 2 4 2" xfId="28087"/>
    <cellStyle name="#_cost9702 (2)_공사비예산서 (2)_계통도  5 2 5" xfId="13468"/>
    <cellStyle name="#_cost9702 (2)_공사비예산서 (2)_계통도  5 2 5 2" xfId="26336"/>
    <cellStyle name="#_cost9702 (2)_공사비예산서 (2)_계통도  5 2 6" xfId="12579"/>
    <cellStyle name="#_cost9702 (2)_공사비예산서 (2)_계통도  5 2 6 2" xfId="25458"/>
    <cellStyle name="#_cost9702 (2)_공사비예산서 (2)_계통도  5 2 7" xfId="13643"/>
    <cellStyle name="#_cost9702 (2)_공사비예산서 (2)_계통도  5 2 7 2" xfId="26511"/>
    <cellStyle name="#_cost9702 (2)_공사비예산서 (2)_계통도  5 2 8" xfId="18028"/>
    <cellStyle name="#_cost9702 (2)_공사비예산서 (2)_계통도  5 2 8 2" xfId="30739"/>
    <cellStyle name="#_cost9702 (2)_공사비예산서 (2)_계통도  5 2 9" xfId="12747"/>
    <cellStyle name="#_cost9702 (2)_공사비예산서 (2)_계통도  5 2 9 2" xfId="25624"/>
    <cellStyle name="#_cost9702 (2)_공사비예산서 (2)_계통도  5 3" xfId="14924"/>
    <cellStyle name="#_cost9702 (2)_공사비예산서 (2)_계통도  5 3 2" xfId="27745"/>
    <cellStyle name="#_cost9702 (2)_공사비예산서 (2)_계통도  6" xfId="6656"/>
    <cellStyle name="#_cost9702 (2)_공사비예산서 (2)_계통도  6 2" xfId="10984"/>
    <cellStyle name="#_cost9702 (2)_공사비예산서 (2)_계통도  6 2 10" xfId="12902"/>
    <cellStyle name="#_cost9702 (2)_공사비예산서 (2)_계통도  6 2 10 2" xfId="25778"/>
    <cellStyle name="#_cost9702 (2)_공사비예산서 (2)_계통도  6 2 11" xfId="22704"/>
    <cellStyle name="#_cost9702 (2)_공사비예산서 (2)_계통도  6 2 11 2" xfId="35138"/>
    <cellStyle name="#_cost9702 (2)_공사비예산서 (2)_계통도  6 2 12" xfId="21461"/>
    <cellStyle name="#_cost9702 (2)_공사비예산서 (2)_계통도  6 2 12 2" xfId="33898"/>
    <cellStyle name="#_cost9702 (2)_공사비예산서 (2)_계통도  6 2 13" xfId="20472"/>
    <cellStyle name="#_cost9702 (2)_공사비예산서 (2)_계통도  6 2 13 2" xfId="32917"/>
    <cellStyle name="#_cost9702 (2)_공사비예산서 (2)_계통도  6 2 14" xfId="21065"/>
    <cellStyle name="#_cost9702 (2)_공사비예산서 (2)_계통도  6 2 14 2" xfId="33502"/>
    <cellStyle name="#_cost9702 (2)_공사비예산서 (2)_계통도  6 2 15" xfId="18617"/>
    <cellStyle name="#_cost9702 (2)_공사비예산서 (2)_계통도  6 2 15 2" xfId="31322"/>
    <cellStyle name="#_cost9702 (2)_공사비예산서 (2)_계통도  6 2 16" xfId="18858"/>
    <cellStyle name="#_cost9702 (2)_공사비예산서 (2)_계통도  6 2 16 2" xfId="31563"/>
    <cellStyle name="#_cost9702 (2)_공사비예산서 (2)_계통도  6 2 17" xfId="18686"/>
    <cellStyle name="#_cost9702 (2)_공사비예산서 (2)_계통도  6 2 17 2" xfId="31391"/>
    <cellStyle name="#_cost9702 (2)_공사비예산서 (2)_계통도  6 2 18" xfId="21101"/>
    <cellStyle name="#_cost9702 (2)_공사비예산서 (2)_계통도  6 2 18 2" xfId="33538"/>
    <cellStyle name="#_cost9702 (2)_공사비예산서 (2)_계통도  6 2 19" xfId="21310"/>
    <cellStyle name="#_cost9702 (2)_공사비예산서 (2)_계통도  6 2 19 2" xfId="33747"/>
    <cellStyle name="#_cost9702 (2)_공사비예산서 (2)_계통도  6 2 2" xfId="16243"/>
    <cellStyle name="#_cost9702 (2)_공사비예산서 (2)_계통도  6 2 2 2" xfId="29019"/>
    <cellStyle name="#_cost9702 (2)_공사비예산서 (2)_계통도  6 2 20" xfId="21093"/>
    <cellStyle name="#_cost9702 (2)_공사비예산서 (2)_계통도  6 2 20 2" xfId="33530"/>
    <cellStyle name="#_cost9702 (2)_공사비예산서 (2)_계통도  6 2 21" xfId="24554"/>
    <cellStyle name="#_cost9702 (2)_공사비예산서 (2)_계통도  6 2 21 2" xfId="36985"/>
    <cellStyle name="#_cost9702 (2)_공사비예산서 (2)_계통도  6 2 3" xfId="15905"/>
    <cellStyle name="#_cost9702 (2)_공사비예산서 (2)_계통도  6 2 3 2" xfId="28703"/>
    <cellStyle name="#_cost9702 (2)_공사비예산서 (2)_계통도  6 2 4" xfId="15178"/>
    <cellStyle name="#_cost9702 (2)_공사비예산서 (2)_계통도  6 2 4 2" xfId="27997"/>
    <cellStyle name="#_cost9702 (2)_공사비예산서 (2)_계통도  6 2 5" xfId="13251"/>
    <cellStyle name="#_cost9702 (2)_공사비예산서 (2)_계통도  6 2 5 2" xfId="26119"/>
    <cellStyle name="#_cost9702 (2)_공사비예산서 (2)_계통도  6 2 6" xfId="15323"/>
    <cellStyle name="#_cost9702 (2)_공사비예산서 (2)_계통도  6 2 6 2" xfId="28140"/>
    <cellStyle name="#_cost9702 (2)_공사비예산서 (2)_계통도  6 2 7" xfId="13642"/>
    <cellStyle name="#_cost9702 (2)_공사비예산서 (2)_계통도  6 2 7 2" xfId="26510"/>
    <cellStyle name="#_cost9702 (2)_공사비예산서 (2)_계통도  6 2 8" xfId="14244"/>
    <cellStyle name="#_cost9702 (2)_공사비예산서 (2)_계통도  6 2 8 2" xfId="27084"/>
    <cellStyle name="#_cost9702 (2)_공사비예산서 (2)_계통도  6 2 9" xfId="15944"/>
    <cellStyle name="#_cost9702 (2)_공사비예산서 (2)_계통도  6 2 9 2" xfId="28742"/>
    <cellStyle name="#_cost9702 (2)_공사비예산서 (2)_계통도  6 3" xfId="14925"/>
    <cellStyle name="#_cost9702 (2)_공사비예산서 (2)_계통도  6 3 2" xfId="27746"/>
    <cellStyle name="#_cost9702 (2)_공사비예산서 (2)_계통도  7" xfId="10979"/>
    <cellStyle name="#_cost9702 (2)_공사비예산서 (2)_계통도  7 10" xfId="13669"/>
    <cellStyle name="#_cost9702 (2)_공사비예산서 (2)_계통도  7 10 2" xfId="26535"/>
    <cellStyle name="#_cost9702 (2)_공사비예산서 (2)_계통도  7 11" xfId="22699"/>
    <cellStyle name="#_cost9702 (2)_공사비예산서 (2)_계통도  7 11 2" xfId="35133"/>
    <cellStyle name="#_cost9702 (2)_공사비예산서 (2)_계통도  7 12" xfId="21466"/>
    <cellStyle name="#_cost9702 (2)_공사비예산서 (2)_계통도  7 12 2" xfId="33903"/>
    <cellStyle name="#_cost9702 (2)_공사비예산서 (2)_계통도  7 13" xfId="20222"/>
    <cellStyle name="#_cost9702 (2)_공사비예산서 (2)_계통도  7 13 2" xfId="32668"/>
    <cellStyle name="#_cost9702 (2)_공사비예산서 (2)_계통도  7 14" xfId="20317"/>
    <cellStyle name="#_cost9702 (2)_공사비예산서 (2)_계통도  7 14 2" xfId="32762"/>
    <cellStyle name="#_cost9702 (2)_공사비예산서 (2)_계통도  7 15" xfId="21071"/>
    <cellStyle name="#_cost9702 (2)_공사비예산서 (2)_계통도  7 15 2" xfId="33508"/>
    <cellStyle name="#_cost9702 (2)_공사비예산서 (2)_계통도  7 16" xfId="22378"/>
    <cellStyle name="#_cost9702 (2)_공사비예산서 (2)_계통도  7 16 2" xfId="34812"/>
    <cellStyle name="#_cost9702 (2)_공사비예산서 (2)_계통도  7 17" xfId="19667"/>
    <cellStyle name="#_cost9702 (2)_공사비예산서 (2)_계통도  7 17 2" xfId="32121"/>
    <cellStyle name="#_cost9702 (2)_공사비예산서 (2)_계통도  7 18" xfId="22000"/>
    <cellStyle name="#_cost9702 (2)_공사비예산서 (2)_계통도  7 18 2" xfId="34437"/>
    <cellStyle name="#_cost9702 (2)_공사비예산서 (2)_계통도  7 19" xfId="24738"/>
    <cellStyle name="#_cost9702 (2)_공사비예산서 (2)_계통도  7 19 2" xfId="37169"/>
    <cellStyle name="#_cost9702 (2)_공사비예산서 (2)_계통도  7 2" xfId="16238"/>
    <cellStyle name="#_cost9702 (2)_공사비예산서 (2)_계통도  7 2 2" xfId="29014"/>
    <cellStyle name="#_cost9702 (2)_공사비예산서 (2)_계통도  7 20" xfId="20368"/>
    <cellStyle name="#_cost9702 (2)_공사비예산서 (2)_계통도  7 20 2" xfId="32813"/>
    <cellStyle name="#_cost9702 (2)_공사비예산서 (2)_계통도  7 21" xfId="20154"/>
    <cellStyle name="#_cost9702 (2)_공사비예산서 (2)_계통도  7 21 2" xfId="32600"/>
    <cellStyle name="#_cost9702 (2)_공사비예산서 (2)_계통도  7 3" xfId="15900"/>
    <cellStyle name="#_cost9702 (2)_공사비예산서 (2)_계통도  7 3 2" xfId="28698"/>
    <cellStyle name="#_cost9702 (2)_공사비예산서 (2)_계통도  7 4" xfId="15177"/>
    <cellStyle name="#_cost9702 (2)_공사비예산서 (2)_계통도  7 4 2" xfId="27996"/>
    <cellStyle name="#_cost9702 (2)_공사비예산서 (2)_계통도  7 5" xfId="13466"/>
    <cellStyle name="#_cost9702 (2)_공사비예산서 (2)_계통도  7 5 2" xfId="26334"/>
    <cellStyle name="#_cost9702 (2)_공사비예산서 (2)_계통도  7 6" xfId="13779"/>
    <cellStyle name="#_cost9702 (2)_공사비예산서 (2)_계통도  7 6 2" xfId="26640"/>
    <cellStyle name="#_cost9702 (2)_공사비예산서 (2)_계통도  7 7" xfId="13647"/>
    <cellStyle name="#_cost9702 (2)_공사비예산서 (2)_계통도  7 7 2" xfId="26515"/>
    <cellStyle name="#_cost9702 (2)_공사비예산서 (2)_계통도  7 8" xfId="14345"/>
    <cellStyle name="#_cost9702 (2)_공사비예산서 (2)_계통도  7 8 2" xfId="27178"/>
    <cellStyle name="#_cost9702 (2)_공사비예산서 (2)_계통도  7 9" xfId="18108"/>
    <cellStyle name="#_cost9702 (2)_공사비예산서 (2)_계통도  7 9 2" xfId="30819"/>
    <cellStyle name="#_cost9702 (2)_공사비예산서 (2)_계통도  8" xfId="14920"/>
    <cellStyle name="#_cost9702 (2)_공사비예산서 (2)_계통도  8 2" xfId="27741"/>
    <cellStyle name="#_cost9702 (2)_공사비예산서_계통도 " xfId="6657"/>
    <cellStyle name="#_cost9702 (2)_공사비예산서_계통도  2" xfId="6658"/>
    <cellStyle name="#_cost9702 (2)_공사비예산서_계통도  2 2" xfId="10986"/>
    <cellStyle name="#_cost9702 (2)_공사비예산서_계통도  2 2 10" xfId="15486"/>
    <cellStyle name="#_cost9702 (2)_공사비예산서_계통도  2 2 10 2" xfId="28295"/>
    <cellStyle name="#_cost9702 (2)_공사비예산서_계통도  2 2 11" xfId="22706"/>
    <cellStyle name="#_cost9702 (2)_공사비예산서_계통도  2 2 11 2" xfId="35140"/>
    <cellStyle name="#_cost9702 (2)_공사비예산서_계통도  2 2 12" xfId="21459"/>
    <cellStyle name="#_cost9702 (2)_공사비예산서_계통도  2 2 12 2" xfId="33896"/>
    <cellStyle name="#_cost9702 (2)_공사비예산서_계통도  2 2 13" xfId="20471"/>
    <cellStyle name="#_cost9702 (2)_공사비예산서_계통도  2 2 13 2" xfId="32916"/>
    <cellStyle name="#_cost9702 (2)_공사비예산서_계통도  2 2 14" xfId="19808"/>
    <cellStyle name="#_cost9702 (2)_공사비예산서_계통도  2 2 14 2" xfId="32258"/>
    <cellStyle name="#_cost9702 (2)_공사비예산서_계통도  2 2 15" xfId="21950"/>
    <cellStyle name="#_cost9702 (2)_공사비예산서_계통도  2 2 15 2" xfId="34387"/>
    <cellStyle name="#_cost9702 (2)_공사비예산서_계통도  2 2 16" xfId="18859"/>
    <cellStyle name="#_cost9702 (2)_공사비예산서_계통도  2 2 16 2" xfId="31564"/>
    <cellStyle name="#_cost9702 (2)_공사비예산서_계통도  2 2 17" xfId="23194"/>
    <cellStyle name="#_cost9702 (2)_공사비예산서_계통도  2 2 17 2" xfId="35627"/>
    <cellStyle name="#_cost9702 (2)_공사비예산서_계통도  2 2 18" xfId="20501"/>
    <cellStyle name="#_cost9702 (2)_공사비예산서_계통도  2 2 18 2" xfId="32946"/>
    <cellStyle name="#_cost9702 (2)_공사비예산서_계통도  2 2 19" xfId="20048"/>
    <cellStyle name="#_cost9702 (2)_공사비예산서_계통도  2 2 19 2" xfId="32494"/>
    <cellStyle name="#_cost9702 (2)_공사비예산서_계통도  2 2 2" xfId="16245"/>
    <cellStyle name="#_cost9702 (2)_공사비예산서_계통도  2 2 2 2" xfId="29021"/>
    <cellStyle name="#_cost9702 (2)_공사비예산서_계통도  2 2 20" xfId="21499"/>
    <cellStyle name="#_cost9702 (2)_공사비예산서_계통도  2 2 20 2" xfId="33936"/>
    <cellStyle name="#_cost9702 (2)_공사비예산서_계통도  2 2 21" xfId="18655"/>
    <cellStyle name="#_cost9702 (2)_공사비예산서_계통도  2 2 21 2" xfId="31360"/>
    <cellStyle name="#_cost9702 (2)_공사비예산서_계통도  2 2 3" xfId="12453"/>
    <cellStyle name="#_cost9702 (2)_공사비예산서_계통도  2 2 3 2" xfId="25333"/>
    <cellStyle name="#_cost9702 (2)_공사비예산서_계통도  2 2 4" xfId="15272"/>
    <cellStyle name="#_cost9702 (2)_공사비예산서_계통도  2 2 4 2" xfId="28089"/>
    <cellStyle name="#_cost9702 (2)_공사비예산서_계통도  2 2 5" xfId="13252"/>
    <cellStyle name="#_cost9702 (2)_공사비예산서_계통도  2 2 5 2" xfId="26120"/>
    <cellStyle name="#_cost9702 (2)_공사비예산서_계통도  2 2 6" xfId="15187"/>
    <cellStyle name="#_cost9702 (2)_공사비예산서_계통도  2 2 6 2" xfId="28006"/>
    <cellStyle name="#_cost9702 (2)_공사비예산서_계통도  2 2 7" xfId="13640"/>
    <cellStyle name="#_cost9702 (2)_공사비예산서_계통도  2 2 7 2" xfId="26508"/>
    <cellStyle name="#_cost9702 (2)_공사비예산서_계통도  2 2 8" xfId="15738"/>
    <cellStyle name="#_cost9702 (2)_공사비예산서_계통도  2 2 8 2" xfId="28538"/>
    <cellStyle name="#_cost9702 (2)_공사비예산서_계통도  2 2 9" xfId="14540"/>
    <cellStyle name="#_cost9702 (2)_공사비예산서_계통도  2 2 9 2" xfId="27368"/>
    <cellStyle name="#_cost9702 (2)_공사비예산서_계통도  2 3" xfId="14927"/>
    <cellStyle name="#_cost9702 (2)_공사비예산서_계통도  2 3 2" xfId="27748"/>
    <cellStyle name="#_cost9702 (2)_공사비예산서_계통도  3" xfId="6659"/>
    <cellStyle name="#_cost9702 (2)_공사비예산서_계통도  3 2" xfId="10987"/>
    <cellStyle name="#_cost9702 (2)_공사비예산서_계통도  3 2 10" xfId="14650"/>
    <cellStyle name="#_cost9702 (2)_공사비예산서_계통도  3 2 10 2" xfId="27476"/>
    <cellStyle name="#_cost9702 (2)_공사비예산서_계통도  3 2 11" xfId="22707"/>
    <cellStyle name="#_cost9702 (2)_공사비예산서_계통도  3 2 11 2" xfId="35141"/>
    <cellStyle name="#_cost9702 (2)_공사비예산서_계통도  3 2 12" xfId="21458"/>
    <cellStyle name="#_cost9702 (2)_공사비예산서_계통도  3 2 12 2" xfId="33895"/>
    <cellStyle name="#_cost9702 (2)_공사비예산서_계통도  3 2 13" xfId="20218"/>
    <cellStyle name="#_cost9702 (2)_공사비예산서_계통도  3 2 13 2" xfId="32664"/>
    <cellStyle name="#_cost9702 (2)_공사비예산서_계통도  3 2 14" xfId="21038"/>
    <cellStyle name="#_cost9702 (2)_공사비예산서_계통도  3 2 14 2" xfId="33475"/>
    <cellStyle name="#_cost9702 (2)_공사비예산서_계통도  3 2 15" xfId="22229"/>
    <cellStyle name="#_cost9702 (2)_공사비예산서_계통도  3 2 15 2" xfId="34664"/>
    <cellStyle name="#_cost9702 (2)_공사비예산서_계통도  3 2 16" xfId="21871"/>
    <cellStyle name="#_cost9702 (2)_공사비예산서_계통도  3 2 16 2" xfId="34308"/>
    <cellStyle name="#_cost9702 (2)_공사비예산서_계통도  3 2 17" xfId="23125"/>
    <cellStyle name="#_cost9702 (2)_공사비예산서_계통도  3 2 17 2" xfId="35558"/>
    <cellStyle name="#_cost9702 (2)_공사비예산서_계통도  3 2 18" xfId="20957"/>
    <cellStyle name="#_cost9702 (2)_공사비예산서_계통도  3 2 18 2" xfId="33394"/>
    <cellStyle name="#_cost9702 (2)_공사비예산서_계통도  3 2 19" xfId="20293"/>
    <cellStyle name="#_cost9702 (2)_공사비예산서_계통도  3 2 19 2" xfId="32738"/>
    <cellStyle name="#_cost9702 (2)_공사비예산서_계통도  3 2 2" xfId="16246"/>
    <cellStyle name="#_cost9702 (2)_공사비예산서_계통도  3 2 2 2" xfId="29022"/>
    <cellStyle name="#_cost9702 (2)_공사비예산서_계통도  3 2 20" xfId="20366"/>
    <cellStyle name="#_cost9702 (2)_공사비예산서_계통도  3 2 20 2" xfId="32811"/>
    <cellStyle name="#_cost9702 (2)_공사비예산서_계통도  3 2 21" xfId="24851"/>
    <cellStyle name="#_cost9702 (2)_공사비예산서_계통도  3 2 21 2" xfId="37282"/>
    <cellStyle name="#_cost9702 (2)_공사비예산서_계통도  3 2 3" xfId="14462"/>
    <cellStyle name="#_cost9702 (2)_공사비예산서_계통도  3 2 3 2" xfId="27294"/>
    <cellStyle name="#_cost9702 (2)_공사비예산서_계통도  3 2 4" xfId="13147"/>
    <cellStyle name="#_cost9702 (2)_공사비예산서_계통도  3 2 4 2" xfId="26016"/>
    <cellStyle name="#_cost9702 (2)_공사비예산서_계통도  3 2 5" xfId="13470"/>
    <cellStyle name="#_cost9702 (2)_공사비예산서_계통도  3 2 5 2" xfId="26338"/>
    <cellStyle name="#_cost9702 (2)_공사비예산서_계통도  3 2 6" xfId="14307"/>
    <cellStyle name="#_cost9702 (2)_공사비예산서_계통도  3 2 6 2" xfId="27140"/>
    <cellStyle name="#_cost9702 (2)_공사비예산서_계통도  3 2 7" xfId="13639"/>
    <cellStyle name="#_cost9702 (2)_공사비예산서_계통도  3 2 7 2" xfId="26507"/>
    <cellStyle name="#_cost9702 (2)_공사비예산서_계통도  3 2 8" xfId="16043"/>
    <cellStyle name="#_cost9702 (2)_공사비예산서_계통도  3 2 8 2" xfId="28827"/>
    <cellStyle name="#_cost9702 (2)_공사비예산서_계통도  3 2 9" xfId="15289"/>
    <cellStyle name="#_cost9702 (2)_공사비예산서_계통도  3 2 9 2" xfId="28106"/>
    <cellStyle name="#_cost9702 (2)_공사비예산서_계통도  3 3" xfId="14928"/>
    <cellStyle name="#_cost9702 (2)_공사비예산서_계통도  3 3 2" xfId="27749"/>
    <cellStyle name="#_cost9702 (2)_공사비예산서_계통도  4" xfId="6660"/>
    <cellStyle name="#_cost9702 (2)_공사비예산서_계통도  4 2" xfId="10988"/>
    <cellStyle name="#_cost9702 (2)_공사비예산서_계통도  4 2 10" xfId="12901"/>
    <cellStyle name="#_cost9702 (2)_공사비예산서_계통도  4 2 10 2" xfId="25777"/>
    <cellStyle name="#_cost9702 (2)_공사비예산서_계통도  4 2 11" xfId="22708"/>
    <cellStyle name="#_cost9702 (2)_공사비예산서_계통도  4 2 11 2" xfId="35142"/>
    <cellStyle name="#_cost9702 (2)_공사비예산서_계통도  4 2 12" xfId="21457"/>
    <cellStyle name="#_cost9702 (2)_공사비예산서_계통도  4 2 12 2" xfId="33894"/>
    <cellStyle name="#_cost9702 (2)_공사비예산서_계통도  4 2 13" xfId="20470"/>
    <cellStyle name="#_cost9702 (2)_공사비예산서_계통도  4 2 13 2" xfId="32915"/>
    <cellStyle name="#_cost9702 (2)_공사비예산서_계통도  4 2 14" xfId="20592"/>
    <cellStyle name="#_cost9702 (2)_공사비예산서_계통도  4 2 14 2" xfId="33036"/>
    <cellStyle name="#_cost9702 (2)_공사비예산서_계통도  4 2 15" xfId="18433"/>
    <cellStyle name="#_cost9702 (2)_공사비예산서_계통도  4 2 15 2" xfId="31138"/>
    <cellStyle name="#_cost9702 (2)_공사비예산서_계통도  4 2 16" xfId="19993"/>
    <cellStyle name="#_cost9702 (2)_공사비예산서_계통도  4 2 16 2" xfId="32439"/>
    <cellStyle name="#_cost9702 (2)_공사비예산서_계통도  4 2 17" xfId="18687"/>
    <cellStyle name="#_cost9702 (2)_공사비예산서_계통도  4 2 17 2" xfId="31392"/>
    <cellStyle name="#_cost9702 (2)_공사비예산서_계통도  4 2 18" xfId="18425"/>
    <cellStyle name="#_cost9702 (2)_공사비예산서_계통도  4 2 18 2" xfId="31130"/>
    <cellStyle name="#_cost9702 (2)_공사비예산서_계통도  4 2 19" xfId="20049"/>
    <cellStyle name="#_cost9702 (2)_공사비예산서_계통도  4 2 19 2" xfId="32495"/>
    <cellStyle name="#_cost9702 (2)_공사비예산서_계통도  4 2 2" xfId="16247"/>
    <cellStyle name="#_cost9702 (2)_공사비예산서_계통도  4 2 2 2" xfId="29023"/>
    <cellStyle name="#_cost9702 (2)_공사비예산서_계통도  4 2 20" xfId="21092"/>
    <cellStyle name="#_cost9702 (2)_공사비예산서_계통도  4 2 20 2" xfId="33529"/>
    <cellStyle name="#_cost9702 (2)_공사비예산서_계통도  4 2 21" xfId="24553"/>
    <cellStyle name="#_cost9702 (2)_공사비예산서_계통도  4 2 21 2" xfId="36984"/>
    <cellStyle name="#_cost9702 (2)_공사비예산서_계통도  4 2 3" xfId="12454"/>
    <cellStyle name="#_cost9702 (2)_공사비예산서_계통도  4 2 3 2" xfId="25334"/>
    <cellStyle name="#_cost9702 (2)_공사비예산서_계통도  4 2 4" xfId="15176"/>
    <cellStyle name="#_cost9702 (2)_공사비예산서_계통도  4 2 4 2" xfId="27995"/>
    <cellStyle name="#_cost9702 (2)_공사비예산서_계통도  4 2 5" xfId="13253"/>
    <cellStyle name="#_cost9702 (2)_공사비예산서_계통도  4 2 5 2" xfId="26121"/>
    <cellStyle name="#_cost9702 (2)_공사비예산서_계통도  4 2 6" xfId="13324"/>
    <cellStyle name="#_cost9702 (2)_공사비예산서_계통도  4 2 6 2" xfId="26192"/>
    <cellStyle name="#_cost9702 (2)_공사비예산서_계통도  4 2 7" xfId="13638"/>
    <cellStyle name="#_cost9702 (2)_공사비예산서_계통도  4 2 7 2" xfId="26506"/>
    <cellStyle name="#_cost9702 (2)_공사비예산서_계통도  4 2 8" xfId="13052"/>
    <cellStyle name="#_cost9702 (2)_공사비예산서_계통도  4 2 8 2" xfId="25921"/>
    <cellStyle name="#_cost9702 (2)_공사비예산서_계통도  4 2 9" xfId="14208"/>
    <cellStyle name="#_cost9702 (2)_공사비예산서_계통도  4 2 9 2" xfId="27056"/>
    <cellStyle name="#_cost9702 (2)_공사비예산서_계통도  4 3" xfId="14929"/>
    <cellStyle name="#_cost9702 (2)_공사비예산서_계통도  4 3 2" xfId="27750"/>
    <cellStyle name="#_cost9702 (2)_공사비예산서_계통도  5" xfId="6661"/>
    <cellStyle name="#_cost9702 (2)_공사비예산서_계통도  5 2" xfId="10989"/>
    <cellStyle name="#_cost9702 (2)_공사비예산서_계통도  5 2 10" xfId="13810"/>
    <cellStyle name="#_cost9702 (2)_공사비예산서_계통도  5 2 10 2" xfId="26669"/>
    <cellStyle name="#_cost9702 (2)_공사비예산서_계통도  5 2 11" xfId="22709"/>
    <cellStyle name="#_cost9702 (2)_공사비예산서_계통도  5 2 11 2" xfId="35143"/>
    <cellStyle name="#_cost9702 (2)_공사비예산서_계통도  5 2 12" xfId="21456"/>
    <cellStyle name="#_cost9702 (2)_공사비예산서_계통도  5 2 12 2" xfId="33893"/>
    <cellStyle name="#_cost9702 (2)_공사비예산서_계통도  5 2 13" xfId="20217"/>
    <cellStyle name="#_cost9702 (2)_공사비예산서_계통도  5 2 13 2" xfId="32663"/>
    <cellStyle name="#_cost9702 (2)_공사비예산서_계통도  5 2 14" xfId="21037"/>
    <cellStyle name="#_cost9702 (2)_공사비예산서_계통도  5 2 14 2" xfId="33474"/>
    <cellStyle name="#_cost9702 (2)_공사비예산서_계통도  5 2 15" xfId="22254"/>
    <cellStyle name="#_cost9702 (2)_공사비예산서_계통도  5 2 15 2" xfId="34689"/>
    <cellStyle name="#_cost9702 (2)_공사비예산서_계통도  5 2 16" xfId="22379"/>
    <cellStyle name="#_cost9702 (2)_공사비예산서_계통도  5 2 16 2" xfId="34813"/>
    <cellStyle name="#_cost9702 (2)_공사비예산서_계통도  5 2 17" xfId="18924"/>
    <cellStyle name="#_cost9702 (2)_공사비예산서_계통도  5 2 17 2" xfId="31629"/>
    <cellStyle name="#_cost9702 (2)_공사비예산서_계통도  5 2 18" xfId="24193"/>
    <cellStyle name="#_cost9702 (2)_공사비예산서_계통도  5 2 18 2" xfId="36624"/>
    <cellStyle name="#_cost9702 (2)_공사비예산서_계통도  5 2 19" xfId="21520"/>
    <cellStyle name="#_cost9702 (2)_공사비예산서_계통도  5 2 19 2" xfId="33957"/>
    <cellStyle name="#_cost9702 (2)_공사비예산서_계통도  5 2 2" xfId="16248"/>
    <cellStyle name="#_cost9702 (2)_공사비예산서_계통도  5 2 2 2" xfId="29024"/>
    <cellStyle name="#_cost9702 (2)_공사비예산서_계통도  5 2 20" xfId="20119"/>
    <cellStyle name="#_cost9702 (2)_공사비예산서_계통도  5 2 20 2" xfId="32565"/>
    <cellStyle name="#_cost9702 (2)_공사비예산서_계통도  5 2 21" xfId="24852"/>
    <cellStyle name="#_cost9702 (2)_공사비예산서_계통도  5 2 21 2" xfId="37283"/>
    <cellStyle name="#_cost9702 (2)_공사비예산서_계통도  5 2 3" xfId="14463"/>
    <cellStyle name="#_cost9702 (2)_공사비예산서_계통도  5 2 3 2" xfId="27295"/>
    <cellStyle name="#_cost9702 (2)_공사비예산서_계통도  5 2 4" xfId="13097"/>
    <cellStyle name="#_cost9702 (2)_공사비예산서_계통도  5 2 4 2" xfId="25966"/>
    <cellStyle name="#_cost9702 (2)_공사비예산서_계통도  5 2 5" xfId="13471"/>
    <cellStyle name="#_cost9702 (2)_공사비예산서_계통도  5 2 5 2" xfId="26339"/>
    <cellStyle name="#_cost9702 (2)_공사비예산서_계통도  5 2 6" xfId="14104"/>
    <cellStyle name="#_cost9702 (2)_공사비예산서_계통도  5 2 6 2" xfId="26952"/>
    <cellStyle name="#_cost9702 (2)_공사비예산서_계통도  5 2 7" xfId="13637"/>
    <cellStyle name="#_cost9702 (2)_공사비예산서_계통도  5 2 7 2" xfId="26505"/>
    <cellStyle name="#_cost9702 (2)_공사비예산서_계통도  5 2 8" xfId="15372"/>
    <cellStyle name="#_cost9702 (2)_공사비예산서_계통도  5 2 8 2" xfId="28189"/>
    <cellStyle name="#_cost9702 (2)_공사비예산서_계통도  5 2 9" xfId="14037"/>
    <cellStyle name="#_cost9702 (2)_공사비예산서_계통도  5 2 9 2" xfId="26886"/>
    <cellStyle name="#_cost9702 (2)_공사비예산서_계통도  5 3" xfId="14930"/>
    <cellStyle name="#_cost9702 (2)_공사비예산서_계통도  5 3 2" xfId="27751"/>
    <cellStyle name="#_cost9702 (2)_공사비예산서_계통도  6" xfId="6662"/>
    <cellStyle name="#_cost9702 (2)_공사비예산서_계통도  6 2" xfId="10990"/>
    <cellStyle name="#_cost9702 (2)_공사비예산서_계통도  6 2 10" xfId="18079"/>
    <cellStyle name="#_cost9702 (2)_공사비예산서_계통도  6 2 10 2" xfId="30790"/>
    <cellStyle name="#_cost9702 (2)_공사비예산서_계통도  6 2 11" xfId="22710"/>
    <cellStyle name="#_cost9702 (2)_공사비예산서_계통도  6 2 11 2" xfId="35144"/>
    <cellStyle name="#_cost9702 (2)_공사비예산서_계통도  6 2 12" xfId="21455"/>
    <cellStyle name="#_cost9702 (2)_공사비예산서_계통도  6 2 12 2" xfId="33892"/>
    <cellStyle name="#_cost9702 (2)_공사비예산서_계통도  6 2 13" xfId="20469"/>
    <cellStyle name="#_cost9702 (2)_공사비예산서_계통도  6 2 13 2" xfId="32914"/>
    <cellStyle name="#_cost9702 (2)_공사비예산서_계통도  6 2 14" xfId="19807"/>
    <cellStyle name="#_cost9702 (2)_공사비예산서_계통도  6 2 14 2" xfId="32257"/>
    <cellStyle name="#_cost9702 (2)_공사비예산서_계통도  6 2 15" xfId="18626"/>
    <cellStyle name="#_cost9702 (2)_공사비예산서_계통도  6 2 15 2" xfId="31331"/>
    <cellStyle name="#_cost9702 (2)_공사비예산서_계통도  6 2 16" xfId="19994"/>
    <cellStyle name="#_cost9702 (2)_공사비예산서_계통도  6 2 16 2" xfId="32440"/>
    <cellStyle name="#_cost9702 (2)_공사비예산서_계통도  6 2 17" xfId="23195"/>
    <cellStyle name="#_cost9702 (2)_공사비예산서_계통도  6 2 17 2" xfId="35628"/>
    <cellStyle name="#_cost9702 (2)_공사비예산서_계통도  6 2 18" xfId="24192"/>
    <cellStyle name="#_cost9702 (2)_공사비예산서_계통도  6 2 18 2" xfId="36623"/>
    <cellStyle name="#_cost9702 (2)_공사비예산서_계통도  6 2 19" xfId="20356"/>
    <cellStyle name="#_cost9702 (2)_공사비예산서_계통도  6 2 19 2" xfId="32801"/>
    <cellStyle name="#_cost9702 (2)_공사비예산서_계통도  6 2 2" xfId="16249"/>
    <cellStyle name="#_cost9702 (2)_공사비예산서_계통도  6 2 2 2" xfId="29025"/>
    <cellStyle name="#_cost9702 (2)_공사비예산서_계통도  6 2 20" xfId="23505"/>
    <cellStyle name="#_cost9702 (2)_공사비예산서_계통도  6 2 20 2" xfId="35936"/>
    <cellStyle name="#_cost9702 (2)_공사비예산서_계통도  6 2 21" xfId="18599"/>
    <cellStyle name="#_cost9702 (2)_공사비예산서_계통도  6 2 21 2" xfId="31304"/>
    <cellStyle name="#_cost9702 (2)_공사비예산서_계통도  6 2 3" xfId="15906"/>
    <cellStyle name="#_cost9702 (2)_공사비예산서_계통도  6 2 3 2" xfId="28704"/>
    <cellStyle name="#_cost9702 (2)_공사비예산서_계통도  6 2 4" xfId="16696"/>
    <cellStyle name="#_cost9702 (2)_공사비예산서_계통도  6 2 4 2" xfId="29472"/>
    <cellStyle name="#_cost9702 (2)_공사비예산서_계통도  6 2 5" xfId="13254"/>
    <cellStyle name="#_cost9702 (2)_공사비예산서_계통도  6 2 5 2" xfId="26122"/>
    <cellStyle name="#_cost9702 (2)_공사비예산서_계통도  6 2 6" xfId="14308"/>
    <cellStyle name="#_cost9702 (2)_공사비예산서_계통도  6 2 6 2" xfId="27141"/>
    <cellStyle name="#_cost9702 (2)_공사비예산서_계통도  6 2 7" xfId="13636"/>
    <cellStyle name="#_cost9702 (2)_공사비예산서_계통도  6 2 7 2" xfId="26504"/>
    <cellStyle name="#_cost9702 (2)_공사비예산서_계통도  6 2 8" xfId="16044"/>
    <cellStyle name="#_cost9702 (2)_공사비예산서_계통도  6 2 8 2" xfId="28828"/>
    <cellStyle name="#_cost9702 (2)_공사비예산서_계통도  6 2 9" xfId="14539"/>
    <cellStyle name="#_cost9702 (2)_공사비예산서_계통도  6 2 9 2" xfId="27367"/>
    <cellStyle name="#_cost9702 (2)_공사비예산서_계통도  6 3" xfId="14931"/>
    <cellStyle name="#_cost9702 (2)_공사비예산서_계통도  6 3 2" xfId="27752"/>
    <cellStyle name="#_cost9702 (2)_공사비예산서_계통도  7" xfId="10985"/>
    <cellStyle name="#_cost9702 (2)_공사비예산서_계통도  7 10" xfId="15068"/>
    <cellStyle name="#_cost9702 (2)_공사비예산서_계통도  7 10 2" xfId="27887"/>
    <cellStyle name="#_cost9702 (2)_공사비예산서_계통도  7 11" xfId="22705"/>
    <cellStyle name="#_cost9702 (2)_공사비예산서_계통도  7 11 2" xfId="35139"/>
    <cellStyle name="#_cost9702 (2)_공사비예산서_계통도  7 12" xfId="21460"/>
    <cellStyle name="#_cost9702 (2)_공사비예산서_계통도  7 12 2" xfId="33897"/>
    <cellStyle name="#_cost9702 (2)_공사비예산서_계통도  7 13" xfId="20219"/>
    <cellStyle name="#_cost9702 (2)_공사비예산서_계통도  7 13 2" xfId="32665"/>
    <cellStyle name="#_cost9702 (2)_공사비예산서_계통도  7 14" xfId="19024"/>
    <cellStyle name="#_cost9702 (2)_공사비예산서_계통도  7 14 2" xfId="31729"/>
    <cellStyle name="#_cost9702 (2)_공사비예산서_계통도  7 15" xfId="22252"/>
    <cellStyle name="#_cost9702 (2)_공사비예산서_계통도  7 15 2" xfId="34687"/>
    <cellStyle name="#_cost9702 (2)_공사비예산서_계통도  7 16" xfId="19189"/>
    <cellStyle name="#_cost9702 (2)_공사비예산서_계통도  7 16 2" xfId="31844"/>
    <cellStyle name="#_cost9702 (2)_공사비예산서_계통도  7 17" xfId="23163"/>
    <cellStyle name="#_cost9702 (2)_공사비예산서_계통도  7 17 2" xfId="35596"/>
    <cellStyle name="#_cost9702 (2)_공사비예산서_계통도  7 18" xfId="23034"/>
    <cellStyle name="#_cost9702 (2)_공사비예산서_계통도  7 18 2" xfId="35467"/>
    <cellStyle name="#_cost9702 (2)_공사비예산서_계통도  7 19" xfId="18604"/>
    <cellStyle name="#_cost9702 (2)_공사비예산서_계통도  7 19 2" xfId="31309"/>
    <cellStyle name="#_cost9702 (2)_공사비예산서_계통도  7 2" xfId="16244"/>
    <cellStyle name="#_cost9702 (2)_공사비예산서_계통도  7 2 2" xfId="29020"/>
    <cellStyle name="#_cost9702 (2)_공사비예산서_계통도  7 20" xfId="20120"/>
    <cellStyle name="#_cost9702 (2)_공사비예산서_계통도  7 20 2" xfId="32566"/>
    <cellStyle name="#_cost9702 (2)_공사비예산서_계통도  7 21" xfId="24850"/>
    <cellStyle name="#_cost9702 (2)_공사비예산서_계통도  7 21 2" xfId="37281"/>
    <cellStyle name="#_cost9702 (2)_공사비예산서_계통도  7 3" xfId="12452"/>
    <cellStyle name="#_cost9702 (2)_공사비예산서_계통도  7 3 2" xfId="25332"/>
    <cellStyle name="#_cost9702 (2)_공사비예산서_계통도  7 4" xfId="13148"/>
    <cellStyle name="#_cost9702 (2)_공사비예산서_계통도  7 4 2" xfId="26017"/>
    <cellStyle name="#_cost9702 (2)_공사비예산서_계통도  7 5" xfId="13469"/>
    <cellStyle name="#_cost9702 (2)_공사비예산서_계통도  7 5 2" xfId="26337"/>
    <cellStyle name="#_cost9702 (2)_공사비예산서_계통도  7 6" xfId="14715"/>
    <cellStyle name="#_cost9702 (2)_공사비예산서_계통도  7 6 2" xfId="27541"/>
    <cellStyle name="#_cost9702 (2)_공사비예산서_계통도  7 7" xfId="13641"/>
    <cellStyle name="#_cost9702 (2)_공사비예산서_계통도  7 7 2" xfId="26509"/>
    <cellStyle name="#_cost9702 (2)_공사비예산서_계통도  7 8" xfId="15737"/>
    <cellStyle name="#_cost9702 (2)_공사비예산서_계통도  7 8 2" xfId="28537"/>
    <cellStyle name="#_cost9702 (2)_공사비예산서_계통도  7 9" xfId="15290"/>
    <cellStyle name="#_cost9702 (2)_공사비예산서_계통도  7 9 2" xfId="28107"/>
    <cellStyle name="#_cost9702 (2)_공사비예산서_계통도  8" xfId="14926"/>
    <cellStyle name="#_cost9702 (2)_공사비예산서_계통도  8 2" xfId="27747"/>
    <cellStyle name="#_cost9702 (2)_예정공정표 (2)_계통도 " xfId="6663"/>
    <cellStyle name="#_cost9702 (2)_예정공정표 (2)_계통도  2" xfId="6664"/>
    <cellStyle name="#_cost9702 (2)_예정공정표 (2)_계통도  2 2" xfId="10992"/>
    <cellStyle name="#_cost9702 (2)_예정공정표 (2)_계통도  2 2 10" xfId="15142"/>
    <cellStyle name="#_cost9702 (2)_예정공정표 (2)_계통도  2 2 10 2" xfId="27961"/>
    <cellStyle name="#_cost9702 (2)_예정공정표 (2)_계통도  2 2 11" xfId="22712"/>
    <cellStyle name="#_cost9702 (2)_예정공정표 (2)_계통도  2 2 11 2" xfId="35146"/>
    <cellStyle name="#_cost9702 (2)_예정공정표 (2)_계통도  2 2 12" xfId="21453"/>
    <cellStyle name="#_cost9702 (2)_예정공정표 (2)_계통도  2 2 12 2" xfId="33890"/>
    <cellStyle name="#_cost9702 (2)_예정공정표 (2)_계통도  2 2 13" xfId="20468"/>
    <cellStyle name="#_cost9702 (2)_예정공정표 (2)_계통도  2 2 13 2" xfId="32913"/>
    <cellStyle name="#_cost9702 (2)_예정공정표 (2)_계통도  2 2 14" xfId="22661"/>
    <cellStyle name="#_cost9702 (2)_예정공정표 (2)_계통도  2 2 14 2" xfId="35095"/>
    <cellStyle name="#_cost9702 (2)_예정공정표 (2)_계통도  2 2 15" xfId="23425"/>
    <cellStyle name="#_cost9702 (2)_예정공정표 (2)_계통도  2 2 15 2" xfId="35856"/>
    <cellStyle name="#_cost9702 (2)_예정공정표 (2)_계통도  2 2 16" xfId="19995"/>
    <cellStyle name="#_cost9702 (2)_예정공정표 (2)_계통도  2 2 16 2" xfId="32441"/>
    <cellStyle name="#_cost9702 (2)_예정공정표 (2)_계통도  2 2 17" xfId="18688"/>
    <cellStyle name="#_cost9702 (2)_예정공정표 (2)_계통도  2 2 17 2" xfId="31393"/>
    <cellStyle name="#_cost9702 (2)_예정공정표 (2)_계통도  2 2 18" xfId="20284"/>
    <cellStyle name="#_cost9702 (2)_예정공정표 (2)_계통도  2 2 18 2" xfId="32729"/>
    <cellStyle name="#_cost9702 (2)_예정공정표 (2)_계통도  2 2 19" xfId="22420"/>
    <cellStyle name="#_cost9702 (2)_예정공정표 (2)_계통도  2 2 19 2" xfId="34854"/>
    <cellStyle name="#_cost9702 (2)_예정공정표 (2)_계통도  2 2 2" xfId="16251"/>
    <cellStyle name="#_cost9702 (2)_예정공정표 (2)_계통도  2 2 2 2" xfId="29027"/>
    <cellStyle name="#_cost9702 (2)_예정공정표 (2)_계통도  2 2 20" xfId="22435"/>
    <cellStyle name="#_cost9702 (2)_예정공정표 (2)_계통도  2 2 20 2" xfId="34869"/>
    <cellStyle name="#_cost9702 (2)_예정공정표 (2)_계통도  2 2 21" xfId="24552"/>
    <cellStyle name="#_cost9702 (2)_예정공정표 (2)_계통도  2 2 21 2" xfId="36983"/>
    <cellStyle name="#_cost9702 (2)_예정공정표 (2)_계통도  2 2 3" xfId="12456"/>
    <cellStyle name="#_cost9702 (2)_예정공정표 (2)_계통도  2 2 3 2" xfId="25336"/>
    <cellStyle name="#_cost9702 (2)_예정공정표 (2)_계통도  2 2 4" xfId="14523"/>
    <cellStyle name="#_cost9702 (2)_예정공정표 (2)_계통도  2 2 4 2" xfId="27351"/>
    <cellStyle name="#_cost9702 (2)_예정공정표 (2)_계통도  2 2 5" xfId="13255"/>
    <cellStyle name="#_cost9702 (2)_예정공정표 (2)_계통도  2 2 5 2" xfId="26123"/>
    <cellStyle name="#_cost9702 (2)_예정공정표 (2)_계통도  2 2 6" xfId="15207"/>
    <cellStyle name="#_cost9702 (2)_예정공정표 (2)_계통도  2 2 6 2" xfId="28025"/>
    <cellStyle name="#_cost9702 (2)_예정공정표 (2)_계통도  2 2 7" xfId="13634"/>
    <cellStyle name="#_cost9702 (2)_예정공정표 (2)_계통도  2 2 7 2" xfId="26502"/>
    <cellStyle name="#_cost9702 (2)_예정공정표 (2)_계통도  2 2 8" xfId="13707"/>
    <cellStyle name="#_cost9702 (2)_예정공정표 (2)_계통도  2 2 8 2" xfId="26568"/>
    <cellStyle name="#_cost9702 (2)_예정공정표 (2)_계통도  2 2 9" xfId="15482"/>
    <cellStyle name="#_cost9702 (2)_예정공정표 (2)_계통도  2 2 9 2" xfId="28291"/>
    <cellStyle name="#_cost9702 (2)_예정공정표 (2)_계통도  2 3" xfId="14933"/>
    <cellStyle name="#_cost9702 (2)_예정공정표 (2)_계통도  2 3 2" xfId="27754"/>
    <cellStyle name="#_cost9702 (2)_예정공정표 (2)_계통도  3" xfId="6665"/>
    <cellStyle name="#_cost9702 (2)_예정공정표 (2)_계통도  3 2" xfId="10993"/>
    <cellStyle name="#_cost9702 (2)_예정공정표 (2)_계통도  3 2 10" xfId="13668"/>
    <cellStyle name="#_cost9702 (2)_예정공정표 (2)_계통도  3 2 10 2" xfId="26534"/>
    <cellStyle name="#_cost9702 (2)_예정공정표 (2)_계통도  3 2 11" xfId="22713"/>
    <cellStyle name="#_cost9702 (2)_예정공정표 (2)_계통도  3 2 11 2" xfId="35147"/>
    <cellStyle name="#_cost9702 (2)_예정공정표 (2)_계통도  3 2 12" xfId="21452"/>
    <cellStyle name="#_cost9702 (2)_예정공정표 (2)_계통도  3 2 12 2" xfId="33889"/>
    <cellStyle name="#_cost9702 (2)_예정공정표 (2)_계통도  3 2 13" xfId="20215"/>
    <cellStyle name="#_cost9702 (2)_예정공정표 (2)_계통도  3 2 13 2" xfId="32661"/>
    <cellStyle name="#_cost9702 (2)_예정공정표 (2)_계통도  3 2 14" xfId="21035"/>
    <cellStyle name="#_cost9702 (2)_예정공정표 (2)_계통도  3 2 14 2" xfId="33472"/>
    <cellStyle name="#_cost9702 (2)_예정공정표 (2)_계통도  3 2 15" xfId="21951"/>
    <cellStyle name="#_cost9702 (2)_예정공정표 (2)_계통도  3 2 15 2" xfId="34388"/>
    <cellStyle name="#_cost9702 (2)_예정공정표 (2)_계통도  3 2 16" xfId="22170"/>
    <cellStyle name="#_cost9702 (2)_예정공정표 (2)_계통도  3 2 16 2" xfId="34606"/>
    <cellStyle name="#_cost9702 (2)_예정공정표 (2)_계통도  3 2 17" xfId="20505"/>
    <cellStyle name="#_cost9702 (2)_예정공정표 (2)_계통도  3 2 17 2" xfId="32950"/>
    <cellStyle name="#_cost9702 (2)_예정공정표 (2)_계통도  3 2 18" xfId="24191"/>
    <cellStyle name="#_cost9702 (2)_예정공정표 (2)_계통도  3 2 18 2" xfId="36622"/>
    <cellStyle name="#_cost9702 (2)_예정공정표 (2)_계통도  3 2 19" xfId="21317"/>
    <cellStyle name="#_cost9702 (2)_예정공정표 (2)_계통도  3 2 19 2" xfId="33754"/>
    <cellStyle name="#_cost9702 (2)_예정공정표 (2)_계통도  3 2 2" xfId="16252"/>
    <cellStyle name="#_cost9702 (2)_예정공정표 (2)_계통도  3 2 2 2" xfId="29028"/>
    <cellStyle name="#_cost9702 (2)_예정공정표 (2)_계통도  3 2 20" xfId="20365"/>
    <cellStyle name="#_cost9702 (2)_예정공정표 (2)_계통도  3 2 20 2" xfId="32810"/>
    <cellStyle name="#_cost9702 (2)_예정공정표 (2)_계통도  3 2 21" xfId="24854"/>
    <cellStyle name="#_cost9702 (2)_예정공정표 (2)_계통도  3 2 21 2" xfId="37285"/>
    <cellStyle name="#_cost9702 (2)_예정공정표 (2)_계통도  3 2 3" xfId="16600"/>
    <cellStyle name="#_cost9702 (2)_예정공정표 (2)_계통도  3 2 3 2" xfId="29376"/>
    <cellStyle name="#_cost9702 (2)_예정공정표 (2)_계통도  3 2 4" xfId="15470"/>
    <cellStyle name="#_cost9702 (2)_예정공정표 (2)_계통도  3 2 4 2" xfId="28279"/>
    <cellStyle name="#_cost9702 (2)_예정공정표 (2)_계통도  3 2 5" xfId="15978"/>
    <cellStyle name="#_cost9702 (2)_예정공정표 (2)_계통도  3 2 5 2" xfId="28776"/>
    <cellStyle name="#_cost9702 (2)_예정공정표 (2)_계통도  3 2 6" xfId="17532"/>
    <cellStyle name="#_cost9702 (2)_예정공정표 (2)_계통도  3 2 6 2" xfId="30254"/>
    <cellStyle name="#_cost9702 (2)_예정공정표 (2)_계통도  3 2 7" xfId="13633"/>
    <cellStyle name="#_cost9702 (2)_예정공정표 (2)_계통도  3 2 7 2" xfId="26501"/>
    <cellStyle name="#_cost9702 (2)_예정공정표 (2)_계통도  3 2 8" xfId="18021"/>
    <cellStyle name="#_cost9702 (2)_예정공정표 (2)_계통도  3 2 8 2" xfId="30733"/>
    <cellStyle name="#_cost9702 (2)_예정공정표 (2)_계통도  3 2 9" xfId="16393"/>
    <cellStyle name="#_cost9702 (2)_예정공정표 (2)_계통도  3 2 9 2" xfId="29169"/>
    <cellStyle name="#_cost9702 (2)_예정공정표 (2)_계통도  3 3" xfId="14934"/>
    <cellStyle name="#_cost9702 (2)_예정공정표 (2)_계통도  3 3 2" xfId="27755"/>
    <cellStyle name="#_cost9702 (2)_예정공정표 (2)_계통도  4" xfId="6666"/>
    <cellStyle name="#_cost9702 (2)_예정공정표 (2)_계통도  4 2" xfId="10994"/>
    <cellStyle name="#_cost9702 (2)_예정공정표 (2)_계통도  4 2 10" xfId="12900"/>
    <cellStyle name="#_cost9702 (2)_예정공정표 (2)_계통도  4 2 10 2" xfId="25776"/>
    <cellStyle name="#_cost9702 (2)_예정공정표 (2)_계통도  4 2 11" xfId="22714"/>
    <cellStyle name="#_cost9702 (2)_예정공정표 (2)_계통도  4 2 11 2" xfId="35148"/>
    <cellStyle name="#_cost9702 (2)_예정공정표 (2)_계통도  4 2 12" xfId="21451"/>
    <cellStyle name="#_cost9702 (2)_예정공정표 (2)_계통도  4 2 12 2" xfId="33888"/>
    <cellStyle name="#_cost9702 (2)_예정공정표 (2)_계통도  4 2 13" xfId="20467"/>
    <cellStyle name="#_cost9702 (2)_예정공정표 (2)_계통도  4 2 13 2" xfId="32912"/>
    <cellStyle name="#_cost9702 (2)_예정공정표 (2)_계통도  4 2 14" xfId="20590"/>
    <cellStyle name="#_cost9702 (2)_예정공정표 (2)_계통도  4 2 14 2" xfId="33034"/>
    <cellStyle name="#_cost9702 (2)_예정공정표 (2)_계통도  4 2 15" xfId="18269"/>
    <cellStyle name="#_cost9702 (2)_예정공정표 (2)_계통도  4 2 15 2" xfId="30975"/>
    <cellStyle name="#_cost9702 (2)_예정공정표 (2)_계통도  4 2 16" xfId="19996"/>
    <cellStyle name="#_cost9702 (2)_예정공정표 (2)_계통도  4 2 16 2" xfId="32442"/>
    <cellStyle name="#_cost9702 (2)_예정공정표 (2)_계통도  4 2 17" xfId="23196"/>
    <cellStyle name="#_cost9702 (2)_예정공정표 (2)_계통도  4 2 17 2" xfId="35629"/>
    <cellStyle name="#_cost9702 (2)_예정공정표 (2)_계통도  4 2 18" xfId="20891"/>
    <cellStyle name="#_cost9702 (2)_예정공정표 (2)_계통도  4 2 18 2" xfId="33328"/>
    <cellStyle name="#_cost9702 (2)_예정공정표 (2)_계통도  4 2 19" xfId="23230"/>
    <cellStyle name="#_cost9702 (2)_예정공정표 (2)_계통도  4 2 19 2" xfId="35662"/>
    <cellStyle name="#_cost9702 (2)_예정공정표 (2)_계통도  4 2 2" xfId="16253"/>
    <cellStyle name="#_cost9702 (2)_예정공정표 (2)_계통도  4 2 2 2" xfId="29029"/>
    <cellStyle name="#_cost9702 (2)_예정공정표 (2)_계통도  4 2 20" xfId="23098"/>
    <cellStyle name="#_cost9702 (2)_예정공정표 (2)_계통도  4 2 20 2" xfId="35531"/>
    <cellStyle name="#_cost9702 (2)_예정공정표 (2)_계통도  4 2 21" xfId="23430"/>
    <cellStyle name="#_cost9702 (2)_예정공정표 (2)_계통도  4 2 21 2" xfId="35861"/>
    <cellStyle name="#_cost9702 (2)_예정공정표 (2)_계통도  4 2 3" xfId="12457"/>
    <cellStyle name="#_cost9702 (2)_예정공정표 (2)_계통도  4 2 3 2" xfId="25337"/>
    <cellStyle name="#_cost9702 (2)_예정공정표 (2)_계통도  4 2 4" xfId="17073"/>
    <cellStyle name="#_cost9702 (2)_예정공정표 (2)_계통도  4 2 4 2" xfId="29809"/>
    <cellStyle name="#_cost9702 (2)_예정공정표 (2)_계통도  4 2 5" xfId="13256"/>
    <cellStyle name="#_cost9702 (2)_예정공정표 (2)_계통도  4 2 5 2" xfId="26124"/>
    <cellStyle name="#_cost9702 (2)_예정공정표 (2)_계통도  4 2 6" xfId="14295"/>
    <cellStyle name="#_cost9702 (2)_예정공정표 (2)_계통도  4 2 6 2" xfId="27128"/>
    <cellStyle name="#_cost9702 (2)_예정공정표 (2)_계통도  4 2 7" xfId="13632"/>
    <cellStyle name="#_cost9702 (2)_예정공정표 (2)_계통도  4 2 7 2" xfId="26500"/>
    <cellStyle name="#_cost9702 (2)_예정공정표 (2)_계통도  4 2 8" xfId="13074"/>
    <cellStyle name="#_cost9702 (2)_예정공정표 (2)_계통도  4 2 8 2" xfId="25943"/>
    <cellStyle name="#_cost9702 (2)_예정공정표 (2)_계통도  4 2 9" xfId="13629"/>
    <cellStyle name="#_cost9702 (2)_예정공정표 (2)_계통도  4 2 9 2" xfId="26497"/>
    <cellStyle name="#_cost9702 (2)_예정공정표 (2)_계통도  4 3" xfId="14935"/>
    <cellStyle name="#_cost9702 (2)_예정공정표 (2)_계통도  4 3 2" xfId="27756"/>
    <cellStyle name="#_cost9702 (2)_예정공정표 (2)_계통도  5" xfId="6667"/>
    <cellStyle name="#_cost9702 (2)_예정공정표 (2)_계통도  5 2" xfId="10995"/>
    <cellStyle name="#_cost9702 (2)_예정공정표 (2)_계통도  5 2 10" xfId="14582"/>
    <cellStyle name="#_cost9702 (2)_예정공정표 (2)_계통도  5 2 10 2" xfId="27408"/>
    <cellStyle name="#_cost9702 (2)_예정공정표 (2)_계통도  5 2 11" xfId="22715"/>
    <cellStyle name="#_cost9702 (2)_예정공정표 (2)_계통도  5 2 11 2" xfId="35149"/>
    <cellStyle name="#_cost9702 (2)_예정공정표 (2)_계통도  5 2 12" xfId="21450"/>
    <cellStyle name="#_cost9702 (2)_예정공정표 (2)_계통도  5 2 12 2" xfId="33887"/>
    <cellStyle name="#_cost9702 (2)_예정공정표 (2)_계통도  5 2 13" xfId="20214"/>
    <cellStyle name="#_cost9702 (2)_예정공정표 (2)_계통도  5 2 13 2" xfId="32660"/>
    <cellStyle name="#_cost9702 (2)_예정공정표 (2)_계통도  5 2 14" xfId="21034"/>
    <cellStyle name="#_cost9702 (2)_예정공정표 (2)_계통도  5 2 14 2" xfId="33471"/>
    <cellStyle name="#_cost9702 (2)_예정공정표 (2)_계통도  5 2 15" xfId="23143"/>
    <cellStyle name="#_cost9702 (2)_예정공정표 (2)_계통도  5 2 15 2" xfId="35576"/>
    <cellStyle name="#_cost9702 (2)_예정공정표 (2)_계통도  5 2 16" xfId="22171"/>
    <cellStyle name="#_cost9702 (2)_예정공정표 (2)_계통도  5 2 16 2" xfId="34607"/>
    <cellStyle name="#_cost9702 (2)_예정공정표 (2)_계통도  5 2 17" xfId="18996"/>
    <cellStyle name="#_cost9702 (2)_예정공정표 (2)_계통도  5 2 17 2" xfId="31701"/>
    <cellStyle name="#_cost9702 (2)_예정공정표 (2)_계통도  5 2 18" xfId="23215"/>
    <cellStyle name="#_cost9702 (2)_예정공정표 (2)_계통도  5 2 18 2" xfId="35648"/>
    <cellStyle name="#_cost9702 (2)_예정공정표 (2)_계통도  5 2 19" xfId="19148"/>
    <cellStyle name="#_cost9702 (2)_예정공정표 (2)_계통도  5 2 19 2" xfId="31804"/>
    <cellStyle name="#_cost9702 (2)_예정공정표 (2)_계통도  5 2 2" xfId="16254"/>
    <cellStyle name="#_cost9702 (2)_예정공정표 (2)_계통도  5 2 2 2" xfId="29030"/>
    <cellStyle name="#_cost9702 (2)_예정공정표 (2)_계통도  5 2 20" xfId="20118"/>
    <cellStyle name="#_cost9702 (2)_예정공정표 (2)_계통도  5 2 20 2" xfId="32564"/>
    <cellStyle name="#_cost9702 (2)_예정공정표 (2)_계통도  5 2 21" xfId="24309"/>
    <cellStyle name="#_cost9702 (2)_예정공정표 (2)_계통도  5 2 21 2" xfId="36740"/>
    <cellStyle name="#_cost9702 (2)_예정공정표 (2)_계통도  5 2 3" xfId="14464"/>
    <cellStyle name="#_cost9702 (2)_예정공정표 (2)_계통도  5 2 3 2" xfId="27296"/>
    <cellStyle name="#_cost9702 (2)_예정공정표 (2)_계통도  5 2 4" xfId="14173"/>
    <cellStyle name="#_cost9702 (2)_예정공정표 (2)_계통도  5 2 4 2" xfId="27021"/>
    <cellStyle name="#_cost9702 (2)_예정공정표 (2)_계통도  5 2 5" xfId="15979"/>
    <cellStyle name="#_cost9702 (2)_예정공정표 (2)_계통도  5 2 5 2" xfId="28777"/>
    <cellStyle name="#_cost9702 (2)_예정공정표 (2)_계통도  5 2 6" xfId="17531"/>
    <cellStyle name="#_cost9702 (2)_예정공정표 (2)_계통도  5 2 6 2" xfId="30253"/>
    <cellStyle name="#_cost9702 (2)_예정공정표 (2)_계통도  5 2 7" xfId="13631"/>
    <cellStyle name="#_cost9702 (2)_예정공정표 (2)_계통도  5 2 7 2" xfId="26499"/>
    <cellStyle name="#_cost9702 (2)_예정공정표 (2)_계통도  5 2 8" xfId="18020"/>
    <cellStyle name="#_cost9702 (2)_예정공정표 (2)_계통도  5 2 8 2" xfId="30732"/>
    <cellStyle name="#_cost9702 (2)_예정공정표 (2)_계통도  5 2 9" xfId="12417"/>
    <cellStyle name="#_cost9702 (2)_예정공정표 (2)_계통도  5 2 9 2" xfId="25297"/>
    <cellStyle name="#_cost9702 (2)_예정공정표 (2)_계통도  5 3" xfId="14936"/>
    <cellStyle name="#_cost9702 (2)_예정공정표 (2)_계통도  5 3 2" xfId="27757"/>
    <cellStyle name="#_cost9702 (2)_예정공정표 (2)_계통도  6" xfId="6668"/>
    <cellStyle name="#_cost9702 (2)_예정공정표 (2)_계통도  6 2" xfId="10996"/>
    <cellStyle name="#_cost9702 (2)_예정공정표 (2)_계통도  6 2 10" xfId="18078"/>
    <cellStyle name="#_cost9702 (2)_예정공정표 (2)_계통도  6 2 10 2" xfId="30789"/>
    <cellStyle name="#_cost9702 (2)_예정공정표 (2)_계통도  6 2 11" xfId="22716"/>
    <cellStyle name="#_cost9702 (2)_예정공정표 (2)_계통도  6 2 11 2" xfId="35150"/>
    <cellStyle name="#_cost9702 (2)_예정공정표 (2)_계통도  6 2 12" xfId="21449"/>
    <cellStyle name="#_cost9702 (2)_예정공정표 (2)_계통도  6 2 12 2" xfId="33886"/>
    <cellStyle name="#_cost9702 (2)_예정공정표 (2)_계통도  6 2 13" xfId="20466"/>
    <cellStyle name="#_cost9702 (2)_예정공정표 (2)_계통도  6 2 13 2" xfId="32911"/>
    <cellStyle name="#_cost9702 (2)_예정공정표 (2)_계통도  6 2 14" xfId="20591"/>
    <cellStyle name="#_cost9702 (2)_예정공정표 (2)_계통도  6 2 14 2" xfId="33035"/>
    <cellStyle name="#_cost9702 (2)_예정공정표 (2)_계통도  6 2 15" xfId="19527"/>
    <cellStyle name="#_cost9702 (2)_예정공정표 (2)_계통도  6 2 15 2" xfId="31982"/>
    <cellStyle name="#_cost9702 (2)_예정공정표 (2)_계통도  6 2 16" xfId="19997"/>
    <cellStyle name="#_cost9702 (2)_예정공정표 (2)_계통도  6 2 16 2" xfId="32443"/>
    <cellStyle name="#_cost9702 (2)_예정공정표 (2)_계통도  6 2 17" xfId="19082"/>
    <cellStyle name="#_cost9702 (2)_예정공정표 (2)_계통도  6 2 17 2" xfId="31787"/>
    <cellStyle name="#_cost9702 (2)_예정공정표 (2)_계통도  6 2 18" xfId="18565"/>
    <cellStyle name="#_cost9702 (2)_예정공정표 (2)_계통도  6 2 18 2" xfId="31270"/>
    <cellStyle name="#_cost9702 (2)_예정공정표 (2)_계통도  6 2 19" xfId="23231"/>
    <cellStyle name="#_cost9702 (2)_예정공정표 (2)_계통도  6 2 19 2" xfId="35663"/>
    <cellStyle name="#_cost9702 (2)_예정공정표 (2)_계통도  6 2 2" xfId="16255"/>
    <cellStyle name="#_cost9702 (2)_예정공정표 (2)_계통도  6 2 2 2" xfId="29031"/>
    <cellStyle name="#_cost9702 (2)_예정공정표 (2)_계통도  6 2 20" xfId="22042"/>
    <cellStyle name="#_cost9702 (2)_예정공정표 (2)_계통도  6 2 20 2" xfId="34479"/>
    <cellStyle name="#_cost9702 (2)_예정공정표 (2)_계통도  6 2 21" xfId="24551"/>
    <cellStyle name="#_cost9702 (2)_예정공정표 (2)_계통도  6 2 21 2" xfId="36982"/>
    <cellStyle name="#_cost9702 (2)_예정공정표 (2)_계통도  6 2 3" xfId="14465"/>
    <cellStyle name="#_cost9702 (2)_예정공정표 (2)_계통도  6 2 3 2" xfId="27297"/>
    <cellStyle name="#_cost9702 (2)_예정공정표 (2)_계통도  6 2 4" xfId="14522"/>
    <cellStyle name="#_cost9702 (2)_예정공정표 (2)_계통도  6 2 4 2" xfId="27350"/>
    <cellStyle name="#_cost9702 (2)_예정공정표 (2)_계통도  6 2 5" xfId="13257"/>
    <cellStyle name="#_cost9702 (2)_예정공정표 (2)_계통도  6 2 5 2" xfId="26125"/>
    <cellStyle name="#_cost9702 (2)_예정공정표 (2)_계통도  6 2 6" xfId="17530"/>
    <cellStyle name="#_cost9702 (2)_예정공정표 (2)_계통도  6 2 6 2" xfId="30252"/>
    <cellStyle name="#_cost9702 (2)_예정공정표 (2)_계통도  6 2 7" xfId="15710"/>
    <cellStyle name="#_cost9702 (2)_예정공정표 (2)_계통도  6 2 7 2" xfId="28510"/>
    <cellStyle name="#_cost9702 (2)_예정공정표 (2)_계통도  6 2 8" xfId="18019"/>
    <cellStyle name="#_cost9702 (2)_예정공정표 (2)_계통도  6 2 8 2" xfId="30731"/>
    <cellStyle name="#_cost9702 (2)_예정공정표 (2)_계통도  6 2 9" xfId="17123"/>
    <cellStyle name="#_cost9702 (2)_예정공정표 (2)_계통도  6 2 9 2" xfId="29857"/>
    <cellStyle name="#_cost9702 (2)_예정공정표 (2)_계통도  6 3" xfId="14937"/>
    <cellStyle name="#_cost9702 (2)_예정공정표 (2)_계통도  6 3 2" xfId="27758"/>
    <cellStyle name="#_cost9702 (2)_예정공정표 (2)_계통도  7" xfId="10991"/>
    <cellStyle name="#_cost9702 (2)_예정공정표 (2)_계통도  7 10" xfId="16812"/>
    <cellStyle name="#_cost9702 (2)_예정공정표 (2)_계통도  7 10 2" xfId="29587"/>
    <cellStyle name="#_cost9702 (2)_예정공정표 (2)_계통도  7 11" xfId="22711"/>
    <cellStyle name="#_cost9702 (2)_예정공정표 (2)_계통도  7 11 2" xfId="35145"/>
    <cellStyle name="#_cost9702 (2)_예정공정표 (2)_계통도  7 12" xfId="21454"/>
    <cellStyle name="#_cost9702 (2)_예정공정표 (2)_계통도  7 12 2" xfId="33891"/>
    <cellStyle name="#_cost9702 (2)_예정공정표 (2)_계통도  7 13" xfId="20216"/>
    <cellStyle name="#_cost9702 (2)_예정공정표 (2)_계통도  7 13 2" xfId="32662"/>
    <cellStyle name="#_cost9702 (2)_예정공정표 (2)_계통도  7 14" xfId="21036"/>
    <cellStyle name="#_cost9702 (2)_예정공정표 (2)_계통도  7 14 2" xfId="33473"/>
    <cellStyle name="#_cost9702 (2)_예정공정표 (2)_계통도  7 15" xfId="20353"/>
    <cellStyle name="#_cost9702 (2)_예정공정표 (2)_계통도  7 15 2" xfId="32798"/>
    <cellStyle name="#_cost9702 (2)_예정공정표 (2)_계통도  7 16" xfId="22169"/>
    <cellStyle name="#_cost9702 (2)_예정공정표 (2)_계통도  7 16 2" xfId="34605"/>
    <cellStyle name="#_cost9702 (2)_예정공정표 (2)_계통도  7 17" xfId="18343"/>
    <cellStyle name="#_cost9702 (2)_예정공정표 (2)_계통도  7 17 2" xfId="31049"/>
    <cellStyle name="#_cost9702 (2)_예정공정표 (2)_계통도  7 18" xfId="23216"/>
    <cellStyle name="#_cost9702 (2)_예정공정표 (2)_계통도  7 18 2" xfId="35649"/>
    <cellStyle name="#_cost9702 (2)_예정공정표 (2)_계통도  7 19" xfId="21298"/>
    <cellStyle name="#_cost9702 (2)_예정공정표 (2)_계통도  7 19 2" xfId="33735"/>
    <cellStyle name="#_cost9702 (2)_예정공정표 (2)_계통도  7 2" xfId="16250"/>
    <cellStyle name="#_cost9702 (2)_예정공정표 (2)_계통도  7 2 2" xfId="29026"/>
    <cellStyle name="#_cost9702 (2)_예정공정표 (2)_계통도  7 20" xfId="18657"/>
    <cellStyle name="#_cost9702 (2)_예정공정표 (2)_계통도  7 20 2" xfId="31362"/>
    <cellStyle name="#_cost9702 (2)_예정공정표 (2)_계통도  7 21" xfId="24853"/>
    <cellStyle name="#_cost9702 (2)_예정공정표 (2)_계통도  7 21 2" xfId="37284"/>
    <cellStyle name="#_cost9702 (2)_예정공정표 (2)_계통도  7 3" xfId="12455"/>
    <cellStyle name="#_cost9702 (2)_예정공정표 (2)_계통도  7 3 2" xfId="25335"/>
    <cellStyle name="#_cost9702 (2)_예정공정표 (2)_계통도  7 4" xfId="13096"/>
    <cellStyle name="#_cost9702 (2)_예정공정표 (2)_계통도  7 4 2" xfId="25965"/>
    <cellStyle name="#_cost9702 (2)_예정공정표 (2)_계통도  7 5" xfId="13472"/>
    <cellStyle name="#_cost9702 (2)_예정공정표 (2)_계통도  7 5 2" xfId="26340"/>
    <cellStyle name="#_cost9702 (2)_예정공정표 (2)_계통도  7 6" xfId="15772"/>
    <cellStyle name="#_cost9702 (2)_예정공정표 (2)_계통도  7 6 2" xfId="28571"/>
    <cellStyle name="#_cost9702 (2)_예정공정표 (2)_계통도  7 7" xfId="13635"/>
    <cellStyle name="#_cost9702 (2)_예정공정표 (2)_계통도  7 7 2" xfId="26503"/>
    <cellStyle name="#_cost9702 (2)_예정공정표 (2)_계통도  7 8" xfId="17195"/>
    <cellStyle name="#_cost9702 (2)_예정공정표 (2)_계통도  7 8 2" xfId="29929"/>
    <cellStyle name="#_cost9702 (2)_예정공정표 (2)_계통도  7 9" xfId="14249"/>
    <cellStyle name="#_cost9702 (2)_예정공정표 (2)_계통도  7 9 2" xfId="27086"/>
    <cellStyle name="#_cost9702 (2)_예정공정표 (2)_계통도  8" xfId="14932"/>
    <cellStyle name="#_cost9702 (2)_예정공정표 (2)_계통도  8 2" xfId="27753"/>
    <cellStyle name="#_cost9702 (2)_주요자재_계통도 " xfId="6669"/>
    <cellStyle name="#_cost9702 (2)_주요자재_계통도  2" xfId="6670"/>
    <cellStyle name="#_cost9702 (2)_주요자재_계통도  2 2" xfId="10998"/>
    <cellStyle name="#_cost9702 (2)_주요자재_계통도  2 2 10" xfId="18077"/>
    <cellStyle name="#_cost9702 (2)_주요자재_계통도  2 2 10 2" xfId="30788"/>
    <cellStyle name="#_cost9702 (2)_주요자재_계통도  2 2 11" xfId="22718"/>
    <cellStyle name="#_cost9702 (2)_주요자재_계통도  2 2 11 2" xfId="35152"/>
    <cellStyle name="#_cost9702 (2)_주요자재_계통도  2 2 12" xfId="21447"/>
    <cellStyle name="#_cost9702 (2)_주요자재_계통도  2 2 12 2" xfId="33884"/>
    <cellStyle name="#_cost9702 (2)_주요자재_계통도  2 2 13" xfId="20465"/>
    <cellStyle name="#_cost9702 (2)_주요자재_계통도  2 2 13 2" xfId="32910"/>
    <cellStyle name="#_cost9702 (2)_주요자재_계통도  2 2 14" xfId="21271"/>
    <cellStyle name="#_cost9702 (2)_주요자재_계통도  2 2 14 2" xfId="33708"/>
    <cellStyle name="#_cost9702 (2)_주요자재_계통도  2 2 15" xfId="18247"/>
    <cellStyle name="#_cost9702 (2)_주요자재_계통도  2 2 15 2" xfId="30954"/>
    <cellStyle name="#_cost9702 (2)_주요자재_계통도  2 2 16" xfId="19998"/>
    <cellStyle name="#_cost9702 (2)_주요자재_계통도  2 2 16 2" xfId="32444"/>
    <cellStyle name="#_cost9702 (2)_주요자재_계통도  2 2 17" xfId="18689"/>
    <cellStyle name="#_cost9702 (2)_주요자재_계통도  2 2 17 2" xfId="31394"/>
    <cellStyle name="#_cost9702 (2)_주요자재_계통도  2 2 18" xfId="18566"/>
    <cellStyle name="#_cost9702 (2)_주요자재_계통도  2 2 18 2" xfId="31271"/>
    <cellStyle name="#_cost9702 (2)_주요자재_계통도  2 2 19" xfId="23232"/>
    <cellStyle name="#_cost9702 (2)_주요자재_계통도  2 2 19 2" xfId="35664"/>
    <cellStyle name="#_cost9702 (2)_주요자재_계통도  2 2 2" xfId="16257"/>
    <cellStyle name="#_cost9702 (2)_주요자재_계통도  2 2 2 2" xfId="29033"/>
    <cellStyle name="#_cost9702 (2)_주요자재_계통도  2 2 20" xfId="21738"/>
    <cellStyle name="#_cost9702 (2)_주요자재_계통도  2 2 20 2" xfId="34175"/>
    <cellStyle name="#_cost9702 (2)_주요자재_계통도  2 2 21" xfId="20752"/>
    <cellStyle name="#_cost9702 (2)_주요자재_계통도  2 2 21 2" xfId="33191"/>
    <cellStyle name="#_cost9702 (2)_주요자재_계통도  2 2 3" xfId="14466"/>
    <cellStyle name="#_cost9702 (2)_주요자재_계통도  2 2 3 2" xfId="27298"/>
    <cellStyle name="#_cost9702 (2)_주요자재_계통도  2 2 4" xfId="16695"/>
    <cellStyle name="#_cost9702 (2)_주요자재_계통도  2 2 4 2" xfId="29471"/>
    <cellStyle name="#_cost9702 (2)_주요자재_계통도  2 2 5" xfId="13258"/>
    <cellStyle name="#_cost9702 (2)_주요자재_계통도  2 2 5 2" xfId="26126"/>
    <cellStyle name="#_cost9702 (2)_주요자재_계통도  2 2 6" xfId="17528"/>
    <cellStyle name="#_cost9702 (2)_주요자재_계통도  2 2 6 2" xfId="30250"/>
    <cellStyle name="#_cost9702 (2)_주요자재_계통도  2 2 7" xfId="15057"/>
    <cellStyle name="#_cost9702 (2)_주요자재_계통도  2 2 7 2" xfId="27878"/>
    <cellStyle name="#_cost9702 (2)_주요자재_계통도  2 2 8" xfId="18017"/>
    <cellStyle name="#_cost9702 (2)_주요자재_계통도  2 2 8 2" xfId="30729"/>
    <cellStyle name="#_cost9702 (2)_주요자재_계통도  2 2 9" xfId="17917"/>
    <cellStyle name="#_cost9702 (2)_주요자재_계통도  2 2 9 2" xfId="30629"/>
    <cellStyle name="#_cost9702 (2)_주요자재_계통도  2 3" xfId="14939"/>
    <cellStyle name="#_cost9702 (2)_주요자재_계통도  2 3 2" xfId="27760"/>
    <cellStyle name="#_cost9702 (2)_주요자재_계통도  3" xfId="6671"/>
    <cellStyle name="#_cost9702 (2)_주요자재_계통도  3 2" xfId="10999"/>
    <cellStyle name="#_cost9702 (2)_주요자재_계통도  3 2 10" xfId="13667"/>
    <cellStyle name="#_cost9702 (2)_주요자재_계통도  3 2 10 2" xfId="26533"/>
    <cellStyle name="#_cost9702 (2)_주요자재_계통도  3 2 11" xfId="22719"/>
    <cellStyle name="#_cost9702 (2)_주요자재_계통도  3 2 11 2" xfId="35153"/>
    <cellStyle name="#_cost9702 (2)_주요자재_계통도  3 2 12" xfId="21446"/>
    <cellStyle name="#_cost9702 (2)_주요자재_계통도  3 2 12 2" xfId="33883"/>
    <cellStyle name="#_cost9702 (2)_주요자재_계통도  3 2 13" xfId="20212"/>
    <cellStyle name="#_cost9702 (2)_주요자재_계통도  3 2 13 2" xfId="32658"/>
    <cellStyle name="#_cost9702 (2)_주요자재_계통도  3 2 14" xfId="19023"/>
    <cellStyle name="#_cost9702 (2)_주요자재_계통도  3 2 14 2" xfId="31728"/>
    <cellStyle name="#_cost9702 (2)_주요자재_계통도  3 2 15" xfId="24116"/>
    <cellStyle name="#_cost9702 (2)_주요자재_계통도  3 2 15 2" xfId="36547"/>
    <cellStyle name="#_cost9702 (2)_주요자재_계통도  3 2 16" xfId="21872"/>
    <cellStyle name="#_cost9702 (2)_주요자재_계통도  3 2 16 2" xfId="34309"/>
    <cellStyle name="#_cost9702 (2)_주요자재_계통도  3 2 17" xfId="19537"/>
    <cellStyle name="#_cost9702 (2)_주요자재_계통도  3 2 17 2" xfId="31992"/>
    <cellStyle name="#_cost9702 (2)_주요자재_계통도  3 2 18" xfId="22318"/>
    <cellStyle name="#_cost9702 (2)_주요자재_계통도  3 2 18 2" xfId="34752"/>
    <cellStyle name="#_cost9702 (2)_주요자재_계통도  3 2 19" xfId="19149"/>
    <cellStyle name="#_cost9702 (2)_주요자재_계통도  3 2 19 2" xfId="31805"/>
    <cellStyle name="#_cost9702 (2)_주요자재_계통도  3 2 2" xfId="16258"/>
    <cellStyle name="#_cost9702 (2)_주요자재_계통도  3 2 2 2" xfId="29034"/>
    <cellStyle name="#_cost9702 (2)_주요자재_계통도  3 2 20" xfId="21978"/>
    <cellStyle name="#_cost9702 (2)_주요자재_계통도  3 2 20 2" xfId="34415"/>
    <cellStyle name="#_cost9702 (2)_주요자재_계통도  3 2 21" xfId="19039"/>
    <cellStyle name="#_cost9702 (2)_주요자재_계통도  3 2 21 2" xfId="31744"/>
    <cellStyle name="#_cost9702 (2)_주요자재_계통도  3 2 3" xfId="14467"/>
    <cellStyle name="#_cost9702 (2)_주요자재_계통도  3 2 3 2" xfId="27299"/>
    <cellStyle name="#_cost9702 (2)_주요자재_계통도  3 2 4" xfId="16694"/>
    <cellStyle name="#_cost9702 (2)_주요자재_계통도  3 2 4 2" xfId="29470"/>
    <cellStyle name="#_cost9702 (2)_주요자재_계통도  3 2 5" xfId="13473"/>
    <cellStyle name="#_cost9702 (2)_주요자재_계통도  3 2 5 2" xfId="26341"/>
    <cellStyle name="#_cost9702 (2)_주요자재_계통도  3 2 6" xfId="17527"/>
    <cellStyle name="#_cost9702 (2)_주요자재_계통도  3 2 6 2" xfId="30249"/>
    <cellStyle name="#_cost9702 (2)_주요자재_계통도  3 2 7" xfId="17755"/>
    <cellStyle name="#_cost9702 (2)_주요자재_계통도  3 2 7 2" xfId="30472"/>
    <cellStyle name="#_cost9702 (2)_주요자재_계통도  3 2 8" xfId="18016"/>
    <cellStyle name="#_cost9702 (2)_주요자재_계통도  3 2 8 2" xfId="30728"/>
    <cellStyle name="#_cost9702 (2)_주요자재_계통도  3 2 9" xfId="17916"/>
    <cellStyle name="#_cost9702 (2)_주요자재_계통도  3 2 9 2" xfId="30628"/>
    <cellStyle name="#_cost9702 (2)_주요자재_계통도  3 3" xfId="14940"/>
    <cellStyle name="#_cost9702 (2)_주요자재_계통도  3 3 2" xfId="27761"/>
    <cellStyle name="#_cost9702 (2)_주요자재_계통도  4" xfId="6672"/>
    <cellStyle name="#_cost9702 (2)_주요자재_계통도  4 2" xfId="11000"/>
    <cellStyle name="#_cost9702 (2)_주요자재_계통도  4 2 10" xfId="18076"/>
    <cellStyle name="#_cost9702 (2)_주요자재_계통도  4 2 10 2" xfId="30787"/>
    <cellStyle name="#_cost9702 (2)_주요자재_계통도  4 2 11" xfId="22720"/>
    <cellStyle name="#_cost9702 (2)_주요자재_계통도  4 2 11 2" xfId="35154"/>
    <cellStyle name="#_cost9702 (2)_주요자재_계통도  4 2 12" xfId="21445"/>
    <cellStyle name="#_cost9702 (2)_주요자재_계통도  4 2 12 2" xfId="33882"/>
    <cellStyle name="#_cost9702 (2)_주요자재_계통도  4 2 13" xfId="20464"/>
    <cellStyle name="#_cost9702 (2)_주요자재_계통도  4 2 13 2" xfId="32909"/>
    <cellStyle name="#_cost9702 (2)_주요자재_계통도  4 2 14" xfId="23735"/>
    <cellStyle name="#_cost9702 (2)_주요자재_계통도  4 2 14 2" xfId="36166"/>
    <cellStyle name="#_cost9702 (2)_주요자재_계통도  4 2 15" xfId="20398"/>
    <cellStyle name="#_cost9702 (2)_주요자재_계통도  4 2 15 2" xfId="32843"/>
    <cellStyle name="#_cost9702 (2)_주요자재_계통도  4 2 16" xfId="19999"/>
    <cellStyle name="#_cost9702 (2)_주요자재_계통도  4 2 16 2" xfId="32445"/>
    <cellStyle name="#_cost9702 (2)_주요자재_계통도  4 2 17" xfId="23197"/>
    <cellStyle name="#_cost9702 (2)_주요자재_계통도  4 2 17 2" xfId="35630"/>
    <cellStyle name="#_cost9702 (2)_주요자재_계통도  4 2 18" xfId="20553"/>
    <cellStyle name="#_cost9702 (2)_주요자재_계통도  4 2 18 2" xfId="32998"/>
    <cellStyle name="#_cost9702 (2)_주요자재_계통도  4 2 19" xfId="21990"/>
    <cellStyle name="#_cost9702 (2)_주요자재_계통도  4 2 19 2" xfId="34427"/>
    <cellStyle name="#_cost9702 (2)_주요자재_계통도  4 2 2" xfId="16259"/>
    <cellStyle name="#_cost9702 (2)_주요자재_계통도  4 2 2 2" xfId="29035"/>
    <cellStyle name="#_cost9702 (2)_주요자재_계통도  4 2 20" xfId="23389"/>
    <cellStyle name="#_cost9702 (2)_주요자재_계통도  4 2 20 2" xfId="35821"/>
    <cellStyle name="#_cost9702 (2)_주요자재_계통도  4 2 21" xfId="23915"/>
    <cellStyle name="#_cost9702 (2)_주요자재_계통도  4 2 21 2" xfId="36346"/>
    <cellStyle name="#_cost9702 (2)_주요자재_계통도  4 2 3" xfId="15908"/>
    <cellStyle name="#_cost9702 (2)_주요자재_계통도  4 2 3 2" xfId="28706"/>
    <cellStyle name="#_cost9702 (2)_주요자재_계통도  4 2 4" xfId="16693"/>
    <cellStyle name="#_cost9702 (2)_주요자재_계통도  4 2 4 2" xfId="29469"/>
    <cellStyle name="#_cost9702 (2)_주요자재_계통도  4 2 5" xfId="13259"/>
    <cellStyle name="#_cost9702 (2)_주요자재_계통도  4 2 5 2" xfId="26127"/>
    <cellStyle name="#_cost9702 (2)_주요자재_계통도  4 2 6" xfId="17526"/>
    <cellStyle name="#_cost9702 (2)_주요자재_계통도  4 2 6 2" xfId="30248"/>
    <cellStyle name="#_cost9702 (2)_주요자재_계통도  4 2 7" xfId="17754"/>
    <cellStyle name="#_cost9702 (2)_주요자재_계통도  4 2 7 2" xfId="30471"/>
    <cellStyle name="#_cost9702 (2)_주요자재_계통도  4 2 8" xfId="18015"/>
    <cellStyle name="#_cost9702 (2)_주요자재_계통도  4 2 8 2" xfId="30727"/>
    <cellStyle name="#_cost9702 (2)_주요자재_계통도  4 2 9" xfId="13670"/>
    <cellStyle name="#_cost9702 (2)_주요자재_계통도  4 2 9 2" xfId="26536"/>
    <cellStyle name="#_cost9702 (2)_주요자재_계통도  4 3" xfId="14941"/>
    <cellStyle name="#_cost9702 (2)_주요자재_계통도  4 3 2" xfId="27762"/>
    <cellStyle name="#_cost9702 (2)_주요자재_계통도  5" xfId="6673"/>
    <cellStyle name="#_cost9702 (2)_주요자재_계통도  5 2" xfId="11001"/>
    <cellStyle name="#_cost9702 (2)_주요자재_계통도  5 2 10" xfId="13628"/>
    <cellStyle name="#_cost9702 (2)_주요자재_계통도  5 2 10 2" xfId="26496"/>
    <cellStyle name="#_cost9702 (2)_주요자재_계통도  5 2 11" xfId="22721"/>
    <cellStyle name="#_cost9702 (2)_주요자재_계통도  5 2 11 2" xfId="35155"/>
    <cellStyle name="#_cost9702 (2)_주요자재_계통도  5 2 12" xfId="21444"/>
    <cellStyle name="#_cost9702 (2)_주요자재_계통도  5 2 12 2" xfId="33881"/>
    <cellStyle name="#_cost9702 (2)_주요자재_계통도  5 2 13" xfId="20211"/>
    <cellStyle name="#_cost9702 (2)_주요자재_계통도  5 2 13 2" xfId="32657"/>
    <cellStyle name="#_cost9702 (2)_주요자재_계통도  5 2 14" xfId="21032"/>
    <cellStyle name="#_cost9702 (2)_주요자재_계통도  5 2 14 2" xfId="33469"/>
    <cellStyle name="#_cost9702 (2)_주요자재_계통도  5 2 15" xfId="18628"/>
    <cellStyle name="#_cost9702 (2)_주요자재_계통도  5 2 15 2" xfId="31333"/>
    <cellStyle name="#_cost9702 (2)_주요자재_계통도  5 2 16" xfId="20357"/>
    <cellStyle name="#_cost9702 (2)_주요자재_계통도  5 2 16 2" xfId="32802"/>
    <cellStyle name="#_cost9702 (2)_주요자재_계통도  5 2 17" xfId="18262"/>
    <cellStyle name="#_cost9702 (2)_주요자재_계통도  5 2 17 2" xfId="30968"/>
    <cellStyle name="#_cost9702 (2)_주요자재_계통도  5 2 18" xfId="20890"/>
    <cellStyle name="#_cost9702 (2)_주요자재_계통도  5 2 18 2" xfId="33327"/>
    <cellStyle name="#_cost9702 (2)_주요자재_계통도  5 2 19" xfId="21187"/>
    <cellStyle name="#_cost9702 (2)_주요자재_계통도  5 2 19 2" xfId="33624"/>
    <cellStyle name="#_cost9702 (2)_주요자재_계통도  5 2 2" xfId="16260"/>
    <cellStyle name="#_cost9702 (2)_주요자재_계통도  5 2 2 2" xfId="29036"/>
    <cellStyle name="#_cost9702 (2)_주요자재_계통도  5 2 20" xfId="20252"/>
    <cellStyle name="#_cost9702 (2)_주요자재_계통도  5 2 20 2" xfId="32697"/>
    <cellStyle name="#_cost9702 (2)_주요자재_계통도  5 2 21" xfId="22027"/>
    <cellStyle name="#_cost9702 (2)_주요자재_계통도  5 2 21 2" xfId="34464"/>
    <cellStyle name="#_cost9702 (2)_주요자재_계통도  5 2 3" xfId="15909"/>
    <cellStyle name="#_cost9702 (2)_주요자재_계통도  5 2 3 2" xfId="28707"/>
    <cellStyle name="#_cost9702 (2)_주요자재_계통도  5 2 4" xfId="16692"/>
    <cellStyle name="#_cost9702 (2)_주요자재_계통도  5 2 4 2" xfId="29468"/>
    <cellStyle name="#_cost9702 (2)_주요자재_계통도  5 2 5" xfId="13474"/>
    <cellStyle name="#_cost9702 (2)_주요자재_계통도  5 2 5 2" xfId="26342"/>
    <cellStyle name="#_cost9702 (2)_주요자재_계통도  5 2 6" xfId="17525"/>
    <cellStyle name="#_cost9702 (2)_주요자재_계통도  5 2 6 2" xfId="30247"/>
    <cellStyle name="#_cost9702 (2)_주요자재_계통도  5 2 7" xfId="14661"/>
    <cellStyle name="#_cost9702 (2)_주요자재_계통도  5 2 7 2" xfId="27487"/>
    <cellStyle name="#_cost9702 (2)_주요자재_계통도  5 2 8" xfId="18014"/>
    <cellStyle name="#_cost9702 (2)_주요자재_계통도  5 2 8 2" xfId="30726"/>
    <cellStyle name="#_cost9702 (2)_주요자재_계통도  5 2 9" xfId="12792"/>
    <cellStyle name="#_cost9702 (2)_주요자재_계통도  5 2 9 2" xfId="25668"/>
    <cellStyle name="#_cost9702 (2)_주요자재_계통도  5 3" xfId="14942"/>
    <cellStyle name="#_cost9702 (2)_주요자재_계통도  5 3 2" xfId="27763"/>
    <cellStyle name="#_cost9702 (2)_주요자재_계통도  6" xfId="6674"/>
    <cellStyle name="#_cost9702 (2)_주요자재_계통도  6 2" xfId="11002"/>
    <cellStyle name="#_cost9702 (2)_주요자재_계통도  6 2 10" xfId="18075"/>
    <cellStyle name="#_cost9702 (2)_주요자재_계통도  6 2 10 2" xfId="30786"/>
    <cellStyle name="#_cost9702 (2)_주요자재_계통도  6 2 11" xfId="22722"/>
    <cellStyle name="#_cost9702 (2)_주요자재_계통도  6 2 11 2" xfId="35156"/>
    <cellStyle name="#_cost9702 (2)_주요자재_계통도  6 2 12" xfId="21443"/>
    <cellStyle name="#_cost9702 (2)_주요자재_계통도  6 2 12 2" xfId="33880"/>
    <cellStyle name="#_cost9702 (2)_주요자재_계통도  6 2 13" xfId="20463"/>
    <cellStyle name="#_cost9702 (2)_주요자재_계통도  6 2 13 2" xfId="32908"/>
    <cellStyle name="#_cost9702 (2)_주요자재_계통도  6 2 14" xfId="19806"/>
    <cellStyle name="#_cost9702 (2)_주요자재_계통도  6 2 14 2" xfId="32256"/>
    <cellStyle name="#_cost9702 (2)_주요자재_계통도  6 2 15" xfId="18627"/>
    <cellStyle name="#_cost9702 (2)_주요자재_계통도  6 2 15 2" xfId="31332"/>
    <cellStyle name="#_cost9702 (2)_주요자재_계통도  6 2 16" xfId="20000"/>
    <cellStyle name="#_cost9702 (2)_주요자재_계통도  6 2 16 2" xfId="32446"/>
    <cellStyle name="#_cost9702 (2)_주요자재_계통도  6 2 17" xfId="19982"/>
    <cellStyle name="#_cost9702 (2)_주요자재_계통도  6 2 17 2" xfId="32430"/>
    <cellStyle name="#_cost9702 (2)_주요자재_계통도  6 2 18" xfId="22357"/>
    <cellStyle name="#_cost9702 (2)_주요자재_계통도  6 2 18 2" xfId="34791"/>
    <cellStyle name="#_cost9702 (2)_주요자재_계통도  6 2 19" xfId="22889"/>
    <cellStyle name="#_cost9702 (2)_주요자재_계통도  6 2 19 2" xfId="35323"/>
    <cellStyle name="#_cost9702 (2)_주요자재_계통도  6 2 2" xfId="16261"/>
    <cellStyle name="#_cost9702 (2)_주요자재_계통도  6 2 2 2" xfId="29037"/>
    <cellStyle name="#_cost9702 (2)_주요자재_계통도  6 2 20" xfId="20117"/>
    <cellStyle name="#_cost9702 (2)_주요자재_계통도  6 2 20 2" xfId="32563"/>
    <cellStyle name="#_cost9702 (2)_주요자재_계통도  6 2 21" xfId="21706"/>
    <cellStyle name="#_cost9702 (2)_주요자재_계통도  6 2 21 2" xfId="34143"/>
    <cellStyle name="#_cost9702 (2)_주요자재_계통도  6 2 3" xfId="15910"/>
    <cellStyle name="#_cost9702 (2)_주요자재_계통도  6 2 3 2" xfId="28708"/>
    <cellStyle name="#_cost9702 (2)_주요자재_계통도  6 2 4" xfId="16691"/>
    <cellStyle name="#_cost9702 (2)_주요자재_계통도  6 2 4 2" xfId="29467"/>
    <cellStyle name="#_cost9702 (2)_주요자재_계통도  6 2 5" xfId="13260"/>
    <cellStyle name="#_cost9702 (2)_주요자재_계통도  6 2 5 2" xfId="26128"/>
    <cellStyle name="#_cost9702 (2)_주요자재_계통도  6 2 6" xfId="17524"/>
    <cellStyle name="#_cost9702 (2)_주요자재_계통도  6 2 6 2" xfId="30246"/>
    <cellStyle name="#_cost9702 (2)_주요자재_계통도  6 2 7" xfId="17753"/>
    <cellStyle name="#_cost9702 (2)_주요자재_계통도  6 2 7 2" xfId="30470"/>
    <cellStyle name="#_cost9702 (2)_주요자재_계통도  6 2 8" xfId="18013"/>
    <cellStyle name="#_cost9702 (2)_주요자재_계통도  6 2 8 2" xfId="30725"/>
    <cellStyle name="#_cost9702 (2)_주요자재_계통도  6 2 9" xfId="13073"/>
    <cellStyle name="#_cost9702 (2)_주요자재_계통도  6 2 9 2" xfId="25942"/>
    <cellStyle name="#_cost9702 (2)_주요자재_계통도  6 3" xfId="14943"/>
    <cellStyle name="#_cost9702 (2)_주요자재_계통도  6 3 2" xfId="27764"/>
    <cellStyle name="#_cost9702 (2)_주요자재_계통도  7" xfId="10997"/>
    <cellStyle name="#_cost9702 (2)_주요자재_계통도  7 10" xfId="17120"/>
    <cellStyle name="#_cost9702 (2)_주요자재_계통도  7 10 2" xfId="29854"/>
    <cellStyle name="#_cost9702 (2)_주요자재_계통도  7 11" xfId="22717"/>
    <cellStyle name="#_cost9702 (2)_주요자재_계통도  7 11 2" xfId="35151"/>
    <cellStyle name="#_cost9702 (2)_주요자재_계통도  7 12" xfId="21448"/>
    <cellStyle name="#_cost9702 (2)_주요자재_계통도  7 12 2" xfId="33885"/>
    <cellStyle name="#_cost9702 (2)_주요자재_계통도  7 13" xfId="20213"/>
    <cellStyle name="#_cost9702 (2)_주요자재_계통도  7 13 2" xfId="32659"/>
    <cellStyle name="#_cost9702 (2)_주요자재_계통도  7 14" xfId="21033"/>
    <cellStyle name="#_cost9702 (2)_주요자재_계통도  7 14 2" xfId="33470"/>
    <cellStyle name="#_cost9702 (2)_주요자재_계통도  7 15" xfId="23022"/>
    <cellStyle name="#_cost9702 (2)_주요자재_계통도  7 15 2" xfId="35455"/>
    <cellStyle name="#_cost9702 (2)_주요자재_계통도  7 16" xfId="22172"/>
    <cellStyle name="#_cost9702 (2)_주요자재_계통도  7 16 2" xfId="34608"/>
    <cellStyle name="#_cost9702 (2)_주요자재_계통도  7 17" xfId="22936"/>
    <cellStyle name="#_cost9702 (2)_주요자재_계통도  7 17 2" xfId="35370"/>
    <cellStyle name="#_cost9702 (2)_주요자재_계통도  7 18" xfId="20039"/>
    <cellStyle name="#_cost9702 (2)_주요자재_계통도  7 18 2" xfId="32485"/>
    <cellStyle name="#_cost9702 (2)_주요자재_계통도  7 19" xfId="18380"/>
    <cellStyle name="#_cost9702 (2)_주요자재_계통도  7 19 2" xfId="31086"/>
    <cellStyle name="#_cost9702 (2)_주요자재_계통도  7 2" xfId="16256"/>
    <cellStyle name="#_cost9702 (2)_주요자재_계통도  7 2 2" xfId="29032"/>
    <cellStyle name="#_cost9702 (2)_주요자재_계통도  7 20" xfId="20364"/>
    <cellStyle name="#_cost9702 (2)_주요자재_계통도  7 20 2" xfId="32809"/>
    <cellStyle name="#_cost9702 (2)_주요자재_계통도  7 21" xfId="20838"/>
    <cellStyle name="#_cost9702 (2)_주요자재_계통도  7 21 2" xfId="33275"/>
    <cellStyle name="#_cost9702 (2)_주요자재_계통도  7 3" xfId="15907"/>
    <cellStyle name="#_cost9702 (2)_주요자재_계통도  7 3 2" xfId="28705"/>
    <cellStyle name="#_cost9702 (2)_주요자재_계통도  7 4" xfId="15916"/>
    <cellStyle name="#_cost9702 (2)_주요자재_계통도  7 4 2" xfId="28714"/>
    <cellStyle name="#_cost9702 (2)_주요자재_계통도  7 5" xfId="14632"/>
    <cellStyle name="#_cost9702 (2)_주요자재_계통도  7 5 2" xfId="27458"/>
    <cellStyle name="#_cost9702 (2)_주요자재_계통도  7 6" xfId="17529"/>
    <cellStyle name="#_cost9702 (2)_주요자재_계통도  7 6 2" xfId="30251"/>
    <cellStyle name="#_cost9702 (2)_주요자재_계통도  7 7" xfId="15709"/>
    <cellStyle name="#_cost9702 (2)_주요자재_계통도  7 7 2" xfId="28509"/>
    <cellStyle name="#_cost9702 (2)_주요자재_계통도  7 8" xfId="18018"/>
    <cellStyle name="#_cost9702 (2)_주요자재_계통도  7 8 2" xfId="30730"/>
    <cellStyle name="#_cost9702 (2)_주요자재_계통도  7 9" xfId="17918"/>
    <cellStyle name="#_cost9702 (2)_주요자재_계통도  7 9 2" xfId="30630"/>
    <cellStyle name="#_cost9702 (2)_주요자재_계통도  8" xfId="14938"/>
    <cellStyle name="#_cost9702 (2)_주요자재_계통도  8 2" xfId="27759"/>
    <cellStyle name="#_cost9702 (2)_품셈 " xfId="6675"/>
    <cellStyle name="#_cost9702 (2)_품셈  2" xfId="6676"/>
    <cellStyle name="#_cost9702 (2)_품셈  2 2" xfId="11004"/>
    <cellStyle name="#_cost9702 (2)_품셈  2 2 10" xfId="18074"/>
    <cellStyle name="#_cost9702 (2)_품셈  2 2 10 2" xfId="30785"/>
    <cellStyle name="#_cost9702 (2)_품셈  2 2 11" xfId="22724"/>
    <cellStyle name="#_cost9702 (2)_품셈  2 2 11 2" xfId="35158"/>
    <cellStyle name="#_cost9702 (2)_품셈  2 2 12" xfId="21441"/>
    <cellStyle name="#_cost9702 (2)_품셈  2 2 12 2" xfId="33878"/>
    <cellStyle name="#_cost9702 (2)_품셈  2 2 13" xfId="20462"/>
    <cellStyle name="#_cost9702 (2)_품셈  2 2 13 2" xfId="32907"/>
    <cellStyle name="#_cost9702 (2)_품셈  2 2 14" xfId="19805"/>
    <cellStyle name="#_cost9702 (2)_품셈  2 2 14 2" xfId="32255"/>
    <cellStyle name="#_cost9702 (2)_품셈  2 2 15" xfId="20969"/>
    <cellStyle name="#_cost9702 (2)_품셈  2 2 15 2" xfId="33406"/>
    <cellStyle name="#_cost9702 (2)_품셈  2 2 16" xfId="20001"/>
    <cellStyle name="#_cost9702 (2)_품셈  2 2 16 2" xfId="32447"/>
    <cellStyle name="#_cost9702 (2)_품셈  2 2 17" xfId="23198"/>
    <cellStyle name="#_cost9702 (2)_품셈  2 2 17 2" xfId="35631"/>
    <cellStyle name="#_cost9702 (2)_품셈  2 2 18" xfId="24190"/>
    <cellStyle name="#_cost9702 (2)_품셈  2 2 18 2" xfId="36621"/>
    <cellStyle name="#_cost9702 (2)_품셈  2 2 19" xfId="18381"/>
    <cellStyle name="#_cost9702 (2)_품셈  2 2 19 2" xfId="31087"/>
    <cellStyle name="#_cost9702 (2)_품셈  2 2 2" xfId="16263"/>
    <cellStyle name="#_cost9702 (2)_품셈  2 2 2 2" xfId="29039"/>
    <cellStyle name="#_cost9702 (2)_품셈  2 2 20" xfId="20363"/>
    <cellStyle name="#_cost9702 (2)_품셈  2 2 20 2" xfId="32808"/>
    <cellStyle name="#_cost9702 (2)_품셈  2 2 21" xfId="19675"/>
    <cellStyle name="#_cost9702 (2)_품셈  2 2 21 2" xfId="32129"/>
    <cellStyle name="#_cost9702 (2)_품셈  2 2 3" xfId="12459"/>
    <cellStyle name="#_cost9702 (2)_품셈  2 2 3 2" xfId="25339"/>
    <cellStyle name="#_cost9702 (2)_품셈  2 2 4" xfId="14521"/>
    <cellStyle name="#_cost9702 (2)_품셈  2 2 4 2" xfId="27349"/>
    <cellStyle name="#_cost9702 (2)_품셈  2 2 5" xfId="13261"/>
    <cellStyle name="#_cost9702 (2)_품셈  2 2 5 2" xfId="26129"/>
    <cellStyle name="#_cost9702 (2)_품셈  2 2 6" xfId="17522"/>
    <cellStyle name="#_cost9702 (2)_품셈  2 2 6 2" xfId="30244"/>
    <cellStyle name="#_cost9702 (2)_품셈  2 2 7" xfId="15056"/>
    <cellStyle name="#_cost9702 (2)_품셈  2 2 7 2" xfId="27877"/>
    <cellStyle name="#_cost9702 (2)_품셈  2 2 8" xfId="18011"/>
    <cellStyle name="#_cost9702 (2)_품셈  2 2 8 2" xfId="30723"/>
    <cellStyle name="#_cost9702 (2)_품셈  2 2 9" xfId="15483"/>
    <cellStyle name="#_cost9702 (2)_품셈  2 2 9 2" xfId="28292"/>
    <cellStyle name="#_cost9702 (2)_품셈  2 3" xfId="14945"/>
    <cellStyle name="#_cost9702 (2)_품셈  2 3 2" xfId="27766"/>
    <cellStyle name="#_cost9702 (2)_품셈  3" xfId="6677"/>
    <cellStyle name="#_cost9702 (2)_품셈  3 2" xfId="11005"/>
    <cellStyle name="#_cost9702 (2)_품셈  3 2 10" xfId="16558"/>
    <cellStyle name="#_cost9702 (2)_품셈  3 2 10 2" xfId="29334"/>
    <cellStyle name="#_cost9702 (2)_품셈  3 2 11" xfId="22725"/>
    <cellStyle name="#_cost9702 (2)_품셈  3 2 11 2" xfId="35159"/>
    <cellStyle name="#_cost9702 (2)_품셈  3 2 12" xfId="21440"/>
    <cellStyle name="#_cost9702 (2)_품셈  3 2 12 2" xfId="33877"/>
    <cellStyle name="#_cost9702 (2)_품셈  3 2 13" xfId="20209"/>
    <cellStyle name="#_cost9702 (2)_품셈  3 2 13 2" xfId="32655"/>
    <cellStyle name="#_cost9702 (2)_품셈  3 2 14" xfId="21030"/>
    <cellStyle name="#_cost9702 (2)_품셈  3 2 14 2" xfId="33467"/>
    <cellStyle name="#_cost9702 (2)_품셈  3 2 15" xfId="18629"/>
    <cellStyle name="#_cost9702 (2)_품셈  3 2 15 2" xfId="31334"/>
    <cellStyle name="#_cost9702 (2)_품셈  3 2 16" xfId="21873"/>
    <cellStyle name="#_cost9702 (2)_품셈  3 2 16 2" xfId="34310"/>
    <cellStyle name="#_cost9702 (2)_품셈  3 2 17" xfId="20726"/>
    <cellStyle name="#_cost9702 (2)_품셈  3 2 17 2" xfId="33166"/>
    <cellStyle name="#_cost9702 (2)_품셈  3 2 18" xfId="24189"/>
    <cellStyle name="#_cost9702 (2)_품셈  3 2 18 2" xfId="36620"/>
    <cellStyle name="#_cost9702 (2)_품셈  3 2 19" xfId="22261"/>
    <cellStyle name="#_cost9702 (2)_품셈  3 2 19 2" xfId="34696"/>
    <cellStyle name="#_cost9702 (2)_품셈  3 2 2" xfId="16264"/>
    <cellStyle name="#_cost9702 (2)_품셈  3 2 2 2" xfId="29040"/>
    <cellStyle name="#_cost9702 (2)_품셈  3 2 20" xfId="21103"/>
    <cellStyle name="#_cost9702 (2)_품셈  3 2 20 2" xfId="33540"/>
    <cellStyle name="#_cost9702 (2)_품셈  3 2 21" xfId="19726"/>
    <cellStyle name="#_cost9702 (2)_품셈  3 2 21 2" xfId="32179"/>
    <cellStyle name="#_cost9702 (2)_품셈  3 2 3" xfId="16601"/>
    <cellStyle name="#_cost9702 (2)_품셈  3 2 3 2" xfId="29377"/>
    <cellStyle name="#_cost9702 (2)_품셈  3 2 4" xfId="16689"/>
    <cellStyle name="#_cost9702 (2)_품셈  3 2 4 2" xfId="29465"/>
    <cellStyle name="#_cost9702 (2)_품셈  3 2 5" xfId="13476"/>
    <cellStyle name="#_cost9702 (2)_품셈  3 2 5 2" xfId="26344"/>
    <cellStyle name="#_cost9702 (2)_품셈  3 2 6" xfId="17521"/>
    <cellStyle name="#_cost9702 (2)_품셈  3 2 6 2" xfId="30243"/>
    <cellStyle name="#_cost9702 (2)_품셈  3 2 7" xfId="14901"/>
    <cellStyle name="#_cost9702 (2)_품셈  3 2 7 2" xfId="27722"/>
    <cellStyle name="#_cost9702 (2)_품셈  3 2 8" xfId="18010"/>
    <cellStyle name="#_cost9702 (2)_품셈  3 2 8 2" xfId="30722"/>
    <cellStyle name="#_cost9702 (2)_품셈  3 2 9" xfId="17423"/>
    <cellStyle name="#_cost9702 (2)_품셈  3 2 9 2" xfId="30146"/>
    <cellStyle name="#_cost9702 (2)_품셈  3 3" xfId="14946"/>
    <cellStyle name="#_cost9702 (2)_품셈  3 3 2" xfId="27767"/>
    <cellStyle name="#_cost9702 (2)_품셈  4" xfId="6678"/>
    <cellStyle name="#_cost9702 (2)_품셈  4 2" xfId="11006"/>
    <cellStyle name="#_cost9702 (2)_품셈  4 2 10" xfId="13968"/>
    <cellStyle name="#_cost9702 (2)_품셈  4 2 10 2" xfId="26825"/>
    <cellStyle name="#_cost9702 (2)_품셈  4 2 11" xfId="22726"/>
    <cellStyle name="#_cost9702 (2)_품셈  4 2 11 2" xfId="35160"/>
    <cellStyle name="#_cost9702 (2)_품셈  4 2 12" xfId="21439"/>
    <cellStyle name="#_cost9702 (2)_품셈  4 2 12 2" xfId="33876"/>
    <cellStyle name="#_cost9702 (2)_품셈  4 2 13" xfId="20461"/>
    <cellStyle name="#_cost9702 (2)_품셈  4 2 13 2" xfId="32906"/>
    <cellStyle name="#_cost9702 (2)_품셈  4 2 14" xfId="21830"/>
    <cellStyle name="#_cost9702 (2)_품셈  4 2 14 2" xfId="34267"/>
    <cellStyle name="#_cost9702 (2)_품셈  4 2 15" xfId="18248"/>
    <cellStyle name="#_cost9702 (2)_품셈  4 2 15 2" xfId="30955"/>
    <cellStyle name="#_cost9702 (2)_품셈  4 2 16" xfId="20002"/>
    <cellStyle name="#_cost9702 (2)_품셈  4 2 16 2" xfId="32448"/>
    <cellStyle name="#_cost9702 (2)_품셈  4 2 17" xfId="18690"/>
    <cellStyle name="#_cost9702 (2)_품셈  4 2 17 2" xfId="31395"/>
    <cellStyle name="#_cost9702 (2)_품셈  4 2 18" xfId="21824"/>
    <cellStyle name="#_cost9702 (2)_품셈  4 2 18 2" xfId="34261"/>
    <cellStyle name="#_cost9702 (2)_품셈  4 2 19" xfId="23413"/>
    <cellStyle name="#_cost9702 (2)_품셈  4 2 19 2" xfId="35844"/>
    <cellStyle name="#_cost9702 (2)_품셈  4 2 2" xfId="16265"/>
    <cellStyle name="#_cost9702 (2)_품셈  4 2 2 2" xfId="29041"/>
    <cellStyle name="#_cost9702 (2)_품셈  4 2 20" xfId="20116"/>
    <cellStyle name="#_cost9702 (2)_품셈  4 2 20 2" xfId="32562"/>
    <cellStyle name="#_cost9702 (2)_품셈  4 2 21" xfId="21707"/>
    <cellStyle name="#_cost9702 (2)_품셈  4 2 21 2" xfId="34144"/>
    <cellStyle name="#_cost9702 (2)_품셈  4 2 3" xfId="15911"/>
    <cellStyle name="#_cost9702 (2)_품셈  4 2 3 2" xfId="28709"/>
    <cellStyle name="#_cost9702 (2)_품셈  4 2 4" xfId="16688"/>
    <cellStyle name="#_cost9702 (2)_품셈  4 2 4 2" xfId="29464"/>
    <cellStyle name="#_cost9702 (2)_품셈  4 2 5" xfId="13262"/>
    <cellStyle name="#_cost9702 (2)_품셈  4 2 5 2" xfId="26130"/>
    <cellStyle name="#_cost9702 (2)_품셈  4 2 6" xfId="17520"/>
    <cellStyle name="#_cost9702 (2)_품셈  4 2 6 2" xfId="30242"/>
    <cellStyle name="#_cost9702 (2)_품셈  4 2 7" xfId="16415"/>
    <cellStyle name="#_cost9702 (2)_품셈  4 2 7 2" xfId="29191"/>
    <cellStyle name="#_cost9702 (2)_품셈  4 2 8" xfId="18009"/>
    <cellStyle name="#_cost9702 (2)_품셈  4 2 8 2" xfId="30721"/>
    <cellStyle name="#_cost9702 (2)_품셈  4 2 9" xfId="16815"/>
    <cellStyle name="#_cost9702 (2)_품셈  4 2 9 2" xfId="29590"/>
    <cellStyle name="#_cost9702 (2)_품셈  4 3" xfId="14947"/>
    <cellStyle name="#_cost9702 (2)_품셈  4 3 2" xfId="27768"/>
    <cellStyle name="#_cost9702 (2)_품셈  5" xfId="6679"/>
    <cellStyle name="#_cost9702 (2)_품셈  5 2" xfId="11007"/>
    <cellStyle name="#_cost9702 (2)_품셈  5 2 10" xfId="14581"/>
    <cellStyle name="#_cost9702 (2)_품셈  5 2 10 2" xfId="27407"/>
    <cellStyle name="#_cost9702 (2)_품셈  5 2 11" xfId="22727"/>
    <cellStyle name="#_cost9702 (2)_품셈  5 2 11 2" xfId="35161"/>
    <cellStyle name="#_cost9702 (2)_품셈  5 2 12" xfId="21438"/>
    <cellStyle name="#_cost9702 (2)_품셈  5 2 12 2" xfId="33875"/>
    <cellStyle name="#_cost9702 (2)_품셈  5 2 13" xfId="20208"/>
    <cellStyle name="#_cost9702 (2)_품셈  5 2 13 2" xfId="32654"/>
    <cellStyle name="#_cost9702 (2)_품셈  5 2 14" xfId="21029"/>
    <cellStyle name="#_cost9702 (2)_품셈  5 2 14 2" xfId="33466"/>
    <cellStyle name="#_cost9702 (2)_품셈  5 2 15" xfId="18434"/>
    <cellStyle name="#_cost9702 (2)_품셈  5 2 15 2" xfId="31139"/>
    <cellStyle name="#_cost9702 (2)_품셈  5 2 16" xfId="21874"/>
    <cellStyle name="#_cost9702 (2)_품셈  5 2 16 2" xfId="34311"/>
    <cellStyle name="#_cost9702 (2)_품셈  5 2 17" xfId="20515"/>
    <cellStyle name="#_cost9702 (2)_품셈  5 2 17 2" xfId="32960"/>
    <cellStyle name="#_cost9702 (2)_품셈  5 2 18" xfId="23272"/>
    <cellStyle name="#_cost9702 (2)_품셈  5 2 18 2" xfId="35704"/>
    <cellStyle name="#_cost9702 (2)_품셈  5 2 19" xfId="21764"/>
    <cellStyle name="#_cost9702 (2)_품셈  5 2 19 2" xfId="34201"/>
    <cellStyle name="#_cost9702 (2)_품셈  5 2 2" xfId="16266"/>
    <cellStyle name="#_cost9702 (2)_품셈  5 2 2 2" xfId="29042"/>
    <cellStyle name="#_cost9702 (2)_품셈  5 2 20" xfId="21526"/>
    <cellStyle name="#_cost9702 (2)_품셈  5 2 20 2" xfId="33963"/>
    <cellStyle name="#_cost9702 (2)_품셈  5 2 21" xfId="22076"/>
    <cellStyle name="#_cost9702 (2)_품셈  5 2 21 2" xfId="34512"/>
    <cellStyle name="#_cost9702 (2)_품셈  5 2 3" xfId="12460"/>
    <cellStyle name="#_cost9702 (2)_품셈  5 2 3 2" xfId="25340"/>
    <cellStyle name="#_cost9702 (2)_품셈  5 2 4" xfId="16687"/>
    <cellStyle name="#_cost9702 (2)_품셈  5 2 4 2" xfId="29463"/>
    <cellStyle name="#_cost9702 (2)_품셈  5 2 5" xfId="14633"/>
    <cellStyle name="#_cost9702 (2)_품셈  5 2 5 2" xfId="27459"/>
    <cellStyle name="#_cost9702 (2)_품셈  5 2 6" xfId="15773"/>
    <cellStyle name="#_cost9702 (2)_품셈  5 2 6 2" xfId="28572"/>
    <cellStyle name="#_cost9702 (2)_품셈  5 2 7" xfId="14900"/>
    <cellStyle name="#_cost9702 (2)_품셈  5 2 7 2" xfId="27721"/>
    <cellStyle name="#_cost9702 (2)_품셈  5 2 8" xfId="17537"/>
    <cellStyle name="#_cost9702 (2)_품셈  5 2 8 2" xfId="30259"/>
    <cellStyle name="#_cost9702 (2)_품셈  5 2 9" xfId="17427"/>
    <cellStyle name="#_cost9702 (2)_품셈  5 2 9 2" xfId="30150"/>
    <cellStyle name="#_cost9702 (2)_품셈  5 3" xfId="14948"/>
    <cellStyle name="#_cost9702 (2)_품셈  5 3 2" xfId="27769"/>
    <cellStyle name="#_cost9702 (2)_품셈  6" xfId="6680"/>
    <cellStyle name="#_cost9702 (2)_품셈  6 2" xfId="11008"/>
    <cellStyle name="#_cost9702 (2)_품셈  6 2 10" xfId="15197"/>
    <cellStyle name="#_cost9702 (2)_품셈  6 2 10 2" xfId="28016"/>
    <cellStyle name="#_cost9702 (2)_품셈  6 2 11" xfId="22728"/>
    <cellStyle name="#_cost9702 (2)_품셈  6 2 11 2" xfId="35162"/>
    <cellStyle name="#_cost9702 (2)_품셈  6 2 12" xfId="21437"/>
    <cellStyle name="#_cost9702 (2)_품셈  6 2 12 2" xfId="33874"/>
    <cellStyle name="#_cost9702 (2)_품셈  6 2 13" xfId="20460"/>
    <cellStyle name="#_cost9702 (2)_품셈  6 2 13 2" xfId="32905"/>
    <cellStyle name="#_cost9702 (2)_품셈  6 2 14" xfId="21829"/>
    <cellStyle name="#_cost9702 (2)_품셈  6 2 14 2" xfId="34266"/>
    <cellStyle name="#_cost9702 (2)_품셈  6 2 15" xfId="20103"/>
    <cellStyle name="#_cost9702 (2)_품셈  6 2 15 2" xfId="32549"/>
    <cellStyle name="#_cost9702 (2)_품셈  6 2 16" xfId="20003"/>
    <cellStyle name="#_cost9702 (2)_품셈  6 2 16 2" xfId="32449"/>
    <cellStyle name="#_cost9702 (2)_품셈  6 2 17" xfId="20565"/>
    <cellStyle name="#_cost9702 (2)_품셈  6 2 17 2" xfId="33010"/>
    <cellStyle name="#_cost9702 (2)_품셈  6 2 18" xfId="24188"/>
    <cellStyle name="#_cost9702 (2)_품셈  6 2 18 2" xfId="36619"/>
    <cellStyle name="#_cost9702 (2)_품셈  6 2 19" xfId="18382"/>
    <cellStyle name="#_cost9702 (2)_품셈  6 2 19 2" xfId="31088"/>
    <cellStyle name="#_cost9702 (2)_품셈  6 2 2" xfId="16267"/>
    <cellStyle name="#_cost9702 (2)_품셈  6 2 2 2" xfId="29043"/>
    <cellStyle name="#_cost9702 (2)_품셈  6 2 20" xfId="21919"/>
    <cellStyle name="#_cost9702 (2)_품셈  6 2 20 2" xfId="34356"/>
    <cellStyle name="#_cost9702 (2)_품셈  6 2 21" xfId="20839"/>
    <cellStyle name="#_cost9702 (2)_품셈  6 2 21 2" xfId="33276"/>
    <cellStyle name="#_cost9702 (2)_품셈  6 2 3" xfId="14468"/>
    <cellStyle name="#_cost9702 (2)_품셈  6 2 3 2" xfId="27300"/>
    <cellStyle name="#_cost9702 (2)_품셈  6 2 4" xfId="16686"/>
    <cellStyle name="#_cost9702 (2)_품셈  6 2 4 2" xfId="29462"/>
    <cellStyle name="#_cost9702 (2)_품셈  6 2 5" xfId="13263"/>
    <cellStyle name="#_cost9702 (2)_품셈  6 2 5 2" xfId="26131"/>
    <cellStyle name="#_cost9702 (2)_품셈  6 2 6" xfId="12718"/>
    <cellStyle name="#_cost9702 (2)_품셈  6 2 6 2" xfId="25595"/>
    <cellStyle name="#_cost9702 (2)_품셈  6 2 7" xfId="13842"/>
    <cellStyle name="#_cost9702 (2)_품셈  6 2 7 2" xfId="26701"/>
    <cellStyle name="#_cost9702 (2)_품셈  6 2 8" xfId="13708"/>
    <cellStyle name="#_cost9702 (2)_품셈  6 2 8 2" xfId="26569"/>
    <cellStyle name="#_cost9702 (2)_품셈  6 2 9" xfId="14879"/>
    <cellStyle name="#_cost9702 (2)_품셈  6 2 9 2" xfId="27700"/>
    <cellStyle name="#_cost9702 (2)_품셈  6 3" xfId="14949"/>
    <cellStyle name="#_cost9702 (2)_품셈  6 3 2" xfId="27770"/>
    <cellStyle name="#_cost9702 (2)_품셈  7" xfId="6681"/>
    <cellStyle name="#_cost9702 (2)_품셈  7 2" xfId="11009"/>
    <cellStyle name="#_cost9702 (2)_품셈  7 2 10" xfId="17121"/>
    <cellStyle name="#_cost9702 (2)_품셈  7 2 10 2" xfId="29855"/>
    <cellStyle name="#_cost9702 (2)_품셈  7 2 11" xfId="22729"/>
    <cellStyle name="#_cost9702 (2)_품셈  7 2 11 2" xfId="35163"/>
    <cellStyle name="#_cost9702 (2)_품셈  7 2 12" xfId="21436"/>
    <cellStyle name="#_cost9702 (2)_품셈  7 2 12 2" xfId="33873"/>
    <cellStyle name="#_cost9702 (2)_품셈  7 2 13" xfId="20207"/>
    <cellStyle name="#_cost9702 (2)_품셈  7 2 13 2" xfId="32653"/>
    <cellStyle name="#_cost9702 (2)_품셈  7 2 14" xfId="21028"/>
    <cellStyle name="#_cost9702 (2)_품셈  7 2 14 2" xfId="33465"/>
    <cellStyle name="#_cost9702 (2)_품셈  7 2 15" xfId="21952"/>
    <cellStyle name="#_cost9702 (2)_품셈  7 2 15 2" xfId="34389"/>
    <cellStyle name="#_cost9702 (2)_품셈  7 2 16" xfId="21875"/>
    <cellStyle name="#_cost9702 (2)_품셈  7 2 16 2" xfId="34312"/>
    <cellStyle name="#_cost9702 (2)_품셈  7 2 17" xfId="24016"/>
    <cellStyle name="#_cost9702 (2)_품셈  7 2 17 2" xfId="36447"/>
    <cellStyle name="#_cost9702 (2)_품셈  7 2 18" xfId="24187"/>
    <cellStyle name="#_cost9702 (2)_품셈  7 2 18 2" xfId="36618"/>
    <cellStyle name="#_cost9702 (2)_품셈  7 2 19" xfId="21188"/>
    <cellStyle name="#_cost9702 (2)_품셈  7 2 19 2" xfId="33625"/>
    <cellStyle name="#_cost9702 (2)_품셈  7 2 2" xfId="16268"/>
    <cellStyle name="#_cost9702 (2)_품셈  7 2 2 2" xfId="29044"/>
    <cellStyle name="#_cost9702 (2)_품셈  7 2 20" xfId="21525"/>
    <cellStyle name="#_cost9702 (2)_품셈  7 2 20 2" xfId="33962"/>
    <cellStyle name="#_cost9702 (2)_품셈  7 2 21" xfId="22077"/>
    <cellStyle name="#_cost9702 (2)_품셈  7 2 21 2" xfId="34513"/>
    <cellStyle name="#_cost9702 (2)_품셈  7 2 3" xfId="15912"/>
    <cellStyle name="#_cost9702 (2)_품셈  7 2 3 2" xfId="28710"/>
    <cellStyle name="#_cost9702 (2)_품셈  7 2 4" xfId="15167"/>
    <cellStyle name="#_cost9702 (2)_품셈  7 2 4 2" xfId="27986"/>
    <cellStyle name="#_cost9702 (2)_품셈  7 2 5" xfId="14634"/>
    <cellStyle name="#_cost9702 (2)_품셈  7 2 5 2" xfId="27460"/>
    <cellStyle name="#_cost9702 (2)_품셈  7 2 6" xfId="17519"/>
    <cellStyle name="#_cost9702 (2)_품셈  7 2 6 2" xfId="30241"/>
    <cellStyle name="#_cost9702 (2)_품셈  7 2 7" xfId="14396"/>
    <cellStyle name="#_cost9702 (2)_품셈  7 2 7 2" xfId="27229"/>
    <cellStyle name="#_cost9702 (2)_품셈  7 2 8" xfId="18008"/>
    <cellStyle name="#_cost9702 (2)_품셈  7 2 8 2" xfId="30720"/>
    <cellStyle name="#_cost9702 (2)_품셈  7 2 9" xfId="17911"/>
    <cellStyle name="#_cost9702 (2)_품셈  7 2 9 2" xfId="30625"/>
    <cellStyle name="#_cost9702 (2)_품셈  7 3" xfId="14950"/>
    <cellStyle name="#_cost9702 (2)_품셈  7 3 2" xfId="27771"/>
    <cellStyle name="#_cost9702 (2)_품셈  8" xfId="11003"/>
    <cellStyle name="#_cost9702 (2)_품셈  8 10" xfId="16173"/>
    <cellStyle name="#_cost9702 (2)_품셈  8 10 2" xfId="28950"/>
    <cellStyle name="#_cost9702 (2)_품셈  8 11" xfId="22723"/>
    <cellStyle name="#_cost9702 (2)_품셈  8 11 2" xfId="35157"/>
    <cellStyle name="#_cost9702 (2)_품셈  8 12" xfId="21442"/>
    <cellStyle name="#_cost9702 (2)_품셈  8 12 2" xfId="33879"/>
    <cellStyle name="#_cost9702 (2)_품셈  8 13" xfId="20210"/>
    <cellStyle name="#_cost9702 (2)_품셈  8 13 2" xfId="32656"/>
    <cellStyle name="#_cost9702 (2)_품셈  8 14" xfId="21031"/>
    <cellStyle name="#_cost9702 (2)_품셈  8 14 2" xfId="33468"/>
    <cellStyle name="#_cost9702 (2)_품셈  8 15" xfId="18487"/>
    <cellStyle name="#_cost9702 (2)_품셈  8 15 2" xfId="31192"/>
    <cellStyle name="#_cost9702 (2)_품셈  8 16" xfId="23140"/>
    <cellStyle name="#_cost9702 (2)_품셈  8 16 2" xfId="35573"/>
    <cellStyle name="#_cost9702 (2)_품셈  8 17" xfId="20670"/>
    <cellStyle name="#_cost9702 (2)_품셈  8 17 2" xfId="33114"/>
    <cellStyle name="#_cost9702 (2)_품셈  8 18" xfId="19514"/>
    <cellStyle name="#_cost9702 (2)_품셈  8 18 2" xfId="31969"/>
    <cellStyle name="#_cost9702 (2)_품셈  8 19" xfId="18652"/>
    <cellStyle name="#_cost9702 (2)_품셈  8 19 2" xfId="31357"/>
    <cellStyle name="#_cost9702 (2)_품셈  8 2" xfId="16262"/>
    <cellStyle name="#_cost9702 (2)_품셈  8 2 2" xfId="29038"/>
    <cellStyle name="#_cost9702 (2)_품셈  8 20" xfId="22041"/>
    <cellStyle name="#_cost9702 (2)_품셈  8 20 2" xfId="34478"/>
    <cellStyle name="#_cost9702 (2)_품셈  8 21" xfId="21985"/>
    <cellStyle name="#_cost9702 (2)_품셈  8 21 2" xfId="34422"/>
    <cellStyle name="#_cost9702 (2)_품셈  8 3" xfId="12458"/>
    <cellStyle name="#_cost9702 (2)_품셈  8 3 2" xfId="25338"/>
    <cellStyle name="#_cost9702 (2)_품셈  8 4" xfId="16690"/>
    <cellStyle name="#_cost9702 (2)_품셈  8 4 2" xfId="29466"/>
    <cellStyle name="#_cost9702 (2)_품셈  8 5" xfId="13475"/>
    <cellStyle name="#_cost9702 (2)_품셈  8 5 2" xfId="26343"/>
    <cellStyle name="#_cost9702 (2)_품셈  8 6" xfId="17523"/>
    <cellStyle name="#_cost9702 (2)_품셈  8 6 2" xfId="30245"/>
    <cellStyle name="#_cost9702 (2)_품셈  8 7" xfId="17752"/>
    <cellStyle name="#_cost9702 (2)_품셈  8 7 2" xfId="30469"/>
    <cellStyle name="#_cost9702 (2)_품셈  8 8" xfId="18012"/>
    <cellStyle name="#_cost9702 (2)_품셈  8 8 2" xfId="30724"/>
    <cellStyle name="#_cost9702 (2)_품셈  8 9" xfId="15236"/>
    <cellStyle name="#_cost9702 (2)_품셈  8 9 2" xfId="28054"/>
    <cellStyle name="#_cost9702 (2)_품셈  9" xfId="14944"/>
    <cellStyle name="#_cost9702 (2)_품셈  9 2" xfId="27765"/>
    <cellStyle name="#_cost9702 (2)_품셈 _2010 가로등 단가설계" xfId="6682"/>
    <cellStyle name="#_cost9702 (2)_품셈 _2010 가로등 단가설계 2" xfId="6683"/>
    <cellStyle name="#_cost9702 (2)_품셈 _2010 가로등 단가설계 2 2" xfId="11011"/>
    <cellStyle name="#_cost9702 (2)_품셈 _2010 가로등 단가설계 2 2 10" xfId="16704"/>
    <cellStyle name="#_cost9702 (2)_품셈 _2010 가로등 단가설계 2 2 10 2" xfId="29480"/>
    <cellStyle name="#_cost9702 (2)_품셈 _2010 가로등 단가설계 2 2 11" xfId="22731"/>
    <cellStyle name="#_cost9702 (2)_품셈 _2010 가로등 단가설계 2 2 11 2" xfId="35165"/>
    <cellStyle name="#_cost9702 (2)_품셈 _2010 가로등 단가설계 2 2 12" xfId="21434"/>
    <cellStyle name="#_cost9702 (2)_품셈 _2010 가로등 단가설계 2 2 12 2" xfId="33871"/>
    <cellStyle name="#_cost9702 (2)_품셈 _2010 가로등 단가설계 2 2 13" xfId="20206"/>
    <cellStyle name="#_cost9702 (2)_품셈 _2010 가로등 단가설계 2 2 13 2" xfId="32652"/>
    <cellStyle name="#_cost9702 (2)_품셈 _2010 가로등 단가설계 2 2 14" xfId="21027"/>
    <cellStyle name="#_cost9702 (2)_품셈 _2010 가로등 단가설계 2 2 14 2" xfId="33464"/>
    <cellStyle name="#_cost9702 (2)_품셈 _2010 가로등 단가설계 2 2 15" xfId="22247"/>
    <cellStyle name="#_cost9702 (2)_품셈 _2010 가로등 단가설계 2 2 15 2" xfId="34682"/>
    <cellStyle name="#_cost9702 (2)_품셈 _2010 가로등 단가설계 2 2 16" xfId="20605"/>
    <cellStyle name="#_cost9702 (2)_품셈 _2010 가로등 단가설계 2 2 16 2" xfId="33049"/>
    <cellStyle name="#_cost9702 (2)_품셈 _2010 가로등 단가설계 2 2 17" xfId="24390"/>
    <cellStyle name="#_cost9702 (2)_품셈 _2010 가로등 단가설계 2 2 17 2" xfId="36821"/>
    <cellStyle name="#_cost9702 (2)_품셈 _2010 가로등 단가설계 2 2 18" xfId="18279"/>
    <cellStyle name="#_cost9702 (2)_품셈 _2010 가로등 단가설계 2 2 18 2" xfId="30985"/>
    <cellStyle name="#_cost9702 (2)_품셈 _2010 가로등 단가설계 2 2 19" xfId="21765"/>
    <cellStyle name="#_cost9702 (2)_품셈 _2010 가로등 단가설계 2 2 19 2" xfId="34202"/>
    <cellStyle name="#_cost9702 (2)_품셈 _2010 가로등 단가설계 2 2 2" xfId="16270"/>
    <cellStyle name="#_cost9702 (2)_품셈 _2010 가로등 단가설계 2 2 2 2" xfId="29046"/>
    <cellStyle name="#_cost9702 (2)_품셈 _2010 가로등 단가설계 2 2 20" xfId="23036"/>
    <cellStyle name="#_cost9702 (2)_품셈 _2010 가로등 단가설계 2 2 20 2" xfId="35469"/>
    <cellStyle name="#_cost9702 (2)_품셈 _2010 가로등 단가설계 2 2 21" xfId="22078"/>
    <cellStyle name="#_cost9702 (2)_품셈 _2010 가로등 단가설계 2 2 21 2" xfId="34514"/>
    <cellStyle name="#_cost9702 (2)_품셈 _2010 가로등 단가설계 2 2 3" xfId="14470"/>
    <cellStyle name="#_cost9702 (2)_품셈 _2010 가로등 단가설계 2 2 3 2" xfId="27302"/>
    <cellStyle name="#_cost9702 (2)_품셈 _2010 가로등 단가설계 2 2 4" xfId="15269"/>
    <cellStyle name="#_cost9702 (2)_품셈 _2010 가로등 단가설계 2 2 4 2" xfId="28086"/>
    <cellStyle name="#_cost9702 (2)_품셈 _2010 가로등 단가설계 2 2 5" xfId="16716"/>
    <cellStyle name="#_cost9702 (2)_품셈 _2010 가로등 단가설계 2 2 5 2" xfId="29492"/>
    <cellStyle name="#_cost9702 (2)_품셈 _2010 가로등 단가설계 2 2 6" xfId="17517"/>
    <cellStyle name="#_cost9702 (2)_품셈 _2010 가로등 단가설계 2 2 6 2" xfId="30239"/>
    <cellStyle name="#_cost9702 (2)_품셈 _2010 가로등 단가설계 2 2 7" xfId="14256"/>
    <cellStyle name="#_cost9702 (2)_품셈 _2010 가로등 단가설계 2 2 7 2" xfId="27092"/>
    <cellStyle name="#_cost9702 (2)_품셈 _2010 가로등 단가설계 2 2 8" xfId="18006"/>
    <cellStyle name="#_cost9702 (2)_품셈 _2010 가로등 단가설계 2 2 8 2" xfId="30718"/>
    <cellStyle name="#_cost9702 (2)_품셈 _2010 가로등 단가설계 2 2 9" xfId="17912"/>
    <cellStyle name="#_cost9702 (2)_품셈 _2010 가로등 단가설계 2 2 9 2" xfId="30626"/>
    <cellStyle name="#_cost9702 (2)_품셈 _2010 가로등 단가설계 2 3" xfId="14952"/>
    <cellStyle name="#_cost9702 (2)_품셈 _2010 가로등 단가설계 2 3 2" xfId="27773"/>
    <cellStyle name="#_cost9702 (2)_품셈 _2010 가로등 단가설계 3" xfId="6684"/>
    <cellStyle name="#_cost9702 (2)_품셈 _2010 가로등 단가설계 3 2" xfId="11012"/>
    <cellStyle name="#_cost9702 (2)_품셈 _2010 가로등 단가설계 3 2 10" xfId="15198"/>
    <cellStyle name="#_cost9702 (2)_품셈 _2010 가로등 단가설계 3 2 10 2" xfId="28017"/>
    <cellStyle name="#_cost9702 (2)_품셈 _2010 가로등 단가설계 3 2 11" xfId="22732"/>
    <cellStyle name="#_cost9702 (2)_품셈 _2010 가로등 단가설계 3 2 11 2" xfId="35166"/>
    <cellStyle name="#_cost9702 (2)_품셈 _2010 가로등 단가설계 3 2 12" xfId="21433"/>
    <cellStyle name="#_cost9702 (2)_품셈 _2010 가로등 단가설계 3 2 12 2" xfId="33870"/>
    <cellStyle name="#_cost9702 (2)_품셈 _2010 가로등 단가설계 3 2 13" xfId="20458"/>
    <cellStyle name="#_cost9702 (2)_품셈 _2010 가로등 단가설계 3 2 13 2" xfId="32903"/>
    <cellStyle name="#_cost9702 (2)_품셈 _2010 가로등 단가설계 3 2 14" xfId="21064"/>
    <cellStyle name="#_cost9702 (2)_품셈 _2010 가로등 단가설계 3 2 14 2" xfId="33501"/>
    <cellStyle name="#_cost9702 (2)_품셈 _2010 가로등 단가설계 3 2 15" xfId="18618"/>
    <cellStyle name="#_cost9702 (2)_품셈 _2010 가로등 단가설계 3 2 15 2" xfId="31323"/>
    <cellStyle name="#_cost9702 (2)_품셈 _2010 가로등 단가설계 3 2 16" xfId="20005"/>
    <cellStyle name="#_cost9702 (2)_품셈 _2010 가로등 단가설계 3 2 16 2" xfId="32451"/>
    <cellStyle name="#_cost9702 (2)_품셈 _2010 가로등 단가설계 3 2 17" xfId="18691"/>
    <cellStyle name="#_cost9702 (2)_품셈 _2010 가로등 단가설계 3 2 17 2" xfId="31396"/>
    <cellStyle name="#_cost9702 (2)_품셈 _2010 가로등 단가설계 3 2 18" xfId="20244"/>
    <cellStyle name="#_cost9702 (2)_품셈 _2010 가로등 단가설계 3 2 18 2" xfId="32689"/>
    <cellStyle name="#_cost9702 (2)_품셈 _2010 가로등 단가설계 3 2 19" xfId="18383"/>
    <cellStyle name="#_cost9702 (2)_품셈 _2010 가로등 단가설계 3 2 19 2" xfId="31089"/>
    <cellStyle name="#_cost9702 (2)_품셈 _2010 가로등 단가설계 3 2 2" xfId="16271"/>
    <cellStyle name="#_cost9702 (2)_품셈 _2010 가로등 단가설계 3 2 2 2" xfId="29047"/>
    <cellStyle name="#_cost9702 (2)_품셈 _2010 가로등 단가설계 3 2 20" xfId="21917"/>
    <cellStyle name="#_cost9702 (2)_품셈 _2010 가로등 단가설계 3 2 20 2" xfId="34354"/>
    <cellStyle name="#_cost9702 (2)_품셈 _2010 가로등 단가설계 3 2 21" xfId="18482"/>
    <cellStyle name="#_cost9702 (2)_품셈 _2010 가로등 단가설계 3 2 21 2" xfId="31187"/>
    <cellStyle name="#_cost9702 (2)_품셈 _2010 가로등 단가설계 3 2 3" xfId="14471"/>
    <cellStyle name="#_cost9702 (2)_품셈 _2010 가로등 단가설계 3 2 3 2" xfId="27303"/>
    <cellStyle name="#_cost9702 (2)_품셈 _2010 가로등 단가설계 3 2 4" xfId="15179"/>
    <cellStyle name="#_cost9702 (2)_품셈 _2010 가로등 단가설계 3 2 4 2" xfId="27998"/>
    <cellStyle name="#_cost9702 (2)_품셈 _2010 가로등 단가설계 3 2 5" xfId="13265"/>
    <cellStyle name="#_cost9702 (2)_품셈 _2010 가로등 단가설계 3 2 5 2" xfId="26133"/>
    <cellStyle name="#_cost9702 (2)_품셈 _2010 가로등 단가설계 3 2 6" xfId="17516"/>
    <cellStyle name="#_cost9702 (2)_품셈 _2010 가로등 단가설계 3 2 6 2" xfId="30238"/>
    <cellStyle name="#_cost9702 (2)_품셈 _2010 가로등 단가설계 3 2 7" xfId="14195"/>
    <cellStyle name="#_cost9702 (2)_품셈 _2010 가로등 단가설계 3 2 7 2" xfId="27043"/>
    <cellStyle name="#_cost9702 (2)_품셈 _2010 가로등 단가설계 3 2 8" xfId="18005"/>
    <cellStyle name="#_cost9702 (2)_품셈 _2010 가로등 단가설계 3 2 8 2" xfId="30717"/>
    <cellStyle name="#_cost9702 (2)_품셈 _2010 가로등 단가설계 3 2 9" xfId="14615"/>
    <cellStyle name="#_cost9702 (2)_품셈 _2010 가로등 단가설계 3 2 9 2" xfId="27441"/>
    <cellStyle name="#_cost9702 (2)_품셈 _2010 가로등 단가설계 3 3" xfId="14953"/>
    <cellStyle name="#_cost9702 (2)_품셈 _2010 가로등 단가설계 3 3 2" xfId="27774"/>
    <cellStyle name="#_cost9702 (2)_품셈 _2010 가로등 단가설계 4" xfId="6685"/>
    <cellStyle name="#_cost9702 (2)_품셈 _2010 가로등 단가설계 4 2" xfId="11013"/>
    <cellStyle name="#_cost9702 (2)_품셈 _2010 가로등 단가설계 4 2 10" xfId="15585"/>
    <cellStyle name="#_cost9702 (2)_품셈 _2010 가로등 단가설계 4 2 10 2" xfId="28394"/>
    <cellStyle name="#_cost9702 (2)_품셈 _2010 가로등 단가설계 4 2 11" xfId="22733"/>
    <cellStyle name="#_cost9702 (2)_품셈 _2010 가로등 단가설계 4 2 11 2" xfId="35167"/>
    <cellStyle name="#_cost9702 (2)_품셈 _2010 가로등 단가설계 4 2 12" xfId="21432"/>
    <cellStyle name="#_cost9702 (2)_품셈 _2010 가로등 단가설계 4 2 12 2" xfId="33869"/>
    <cellStyle name="#_cost9702 (2)_품셈 _2010 가로등 단가설계 4 2 13" xfId="20205"/>
    <cellStyle name="#_cost9702 (2)_품셈 _2010 가로등 단가설계 4 2 13 2" xfId="32651"/>
    <cellStyle name="#_cost9702 (2)_품셈 _2010 가로등 단가설계 4 2 14" xfId="19022"/>
    <cellStyle name="#_cost9702 (2)_품셈 _2010 가로등 단가설계 4 2 14 2" xfId="31727"/>
    <cellStyle name="#_cost9702 (2)_품셈 _2010 가로등 단가설계 4 2 15" xfId="22251"/>
    <cellStyle name="#_cost9702 (2)_품셈 _2010 가로등 단가설계 4 2 15 2" xfId="34686"/>
    <cellStyle name="#_cost9702 (2)_품셈 _2010 가로등 단가설계 4 2 16" xfId="20606"/>
    <cellStyle name="#_cost9702 (2)_품셈 _2010 가로등 단가설계 4 2 16 2" xfId="33050"/>
    <cellStyle name="#_cost9702 (2)_품셈 _2010 가로등 단가설계 4 2 17" xfId="24391"/>
    <cellStyle name="#_cost9702 (2)_품셈 _2010 가로등 단가설계 4 2 17 2" xfId="36822"/>
    <cellStyle name="#_cost9702 (2)_품셈 _2010 가로등 단가설계 4 2 18" xfId="24185"/>
    <cellStyle name="#_cost9702 (2)_품셈 _2010 가로등 단가설계 4 2 18 2" xfId="36616"/>
    <cellStyle name="#_cost9702 (2)_품셈 _2010 가로등 단가설계 4 2 19" xfId="23233"/>
    <cellStyle name="#_cost9702 (2)_품셈 _2010 가로등 단가설계 4 2 19 2" xfId="35665"/>
    <cellStyle name="#_cost9702 (2)_품셈 _2010 가로등 단가설계 4 2 2" xfId="16272"/>
    <cellStyle name="#_cost9702 (2)_품셈 _2010 가로등 단가설계 4 2 2 2" xfId="29048"/>
    <cellStyle name="#_cost9702 (2)_품셈 _2010 가로등 단가설계 4 2 20" xfId="21524"/>
    <cellStyle name="#_cost9702 (2)_품셈 _2010 가로등 단가설계 4 2 20 2" xfId="33961"/>
    <cellStyle name="#_cost9702 (2)_품셈 _2010 가로등 단가설계 4 2 21" xfId="22079"/>
    <cellStyle name="#_cost9702 (2)_품셈 _2010 가로등 단가설계 4 2 21 2" xfId="34515"/>
    <cellStyle name="#_cost9702 (2)_품셈 _2010 가로등 단가설계 4 2 3" xfId="14472"/>
    <cellStyle name="#_cost9702 (2)_품셈 _2010 가로등 단가설계 4 2 3 2" xfId="27304"/>
    <cellStyle name="#_cost9702 (2)_품셈 _2010 가로등 단가설계 4 2 4" xfId="16685"/>
    <cellStyle name="#_cost9702 (2)_품셈 _2010 가로등 단가설계 4 2 4 2" xfId="29461"/>
    <cellStyle name="#_cost9702 (2)_품셈 _2010 가로등 단가설계 4 2 5" xfId="16717"/>
    <cellStyle name="#_cost9702 (2)_품셈 _2010 가로등 단가설계 4 2 5 2" xfId="29493"/>
    <cellStyle name="#_cost9702 (2)_품셈 _2010 가로등 단가설계 4 2 6" xfId="17515"/>
    <cellStyle name="#_cost9702 (2)_품셈 _2010 가로등 단가설계 4 2 6 2" xfId="30237"/>
    <cellStyle name="#_cost9702 (2)_품셈 _2010 가로등 단가설계 4 2 7" xfId="14771"/>
    <cellStyle name="#_cost9702 (2)_품셈 _2010 가로등 단가설계 4 2 7 2" xfId="27596"/>
    <cellStyle name="#_cost9702 (2)_품셈 _2010 가로등 단가설계 4 2 8" xfId="18004"/>
    <cellStyle name="#_cost9702 (2)_품셈 _2010 가로등 단가설계 4 2 8 2" xfId="30716"/>
    <cellStyle name="#_cost9702 (2)_품셈 _2010 가로등 단가설계 4 2 9" xfId="12603"/>
    <cellStyle name="#_cost9702 (2)_품셈 _2010 가로등 단가설계 4 2 9 2" xfId="25482"/>
    <cellStyle name="#_cost9702 (2)_품셈 _2010 가로등 단가설계 4 3" xfId="14954"/>
    <cellStyle name="#_cost9702 (2)_품셈 _2010 가로등 단가설계 4 3 2" xfId="27775"/>
    <cellStyle name="#_cost9702 (2)_품셈 _2010 가로등 단가설계 5" xfId="6686"/>
    <cellStyle name="#_cost9702 (2)_품셈 _2010 가로등 단가설계 5 2" xfId="11014"/>
    <cellStyle name="#_cost9702 (2)_품셈 _2010 가로등 단가설계 5 2 10" xfId="12899"/>
    <cellStyle name="#_cost9702 (2)_품셈 _2010 가로등 단가설계 5 2 10 2" xfId="25775"/>
    <cellStyle name="#_cost9702 (2)_품셈 _2010 가로등 단가설계 5 2 11" xfId="22734"/>
    <cellStyle name="#_cost9702 (2)_품셈 _2010 가로등 단가설계 5 2 11 2" xfId="35168"/>
    <cellStyle name="#_cost9702 (2)_품셈 _2010 가로등 단가설계 5 2 12" xfId="21431"/>
    <cellStyle name="#_cost9702 (2)_품셈 _2010 가로등 단가설계 5 2 12 2" xfId="33868"/>
    <cellStyle name="#_cost9702 (2)_품셈 _2010 가로등 단가설계 5 2 13" xfId="20457"/>
    <cellStyle name="#_cost9702 (2)_품셈 _2010 가로등 단가설계 5 2 13 2" xfId="32902"/>
    <cellStyle name="#_cost9702 (2)_품셈 _2010 가로등 단가설계 5 2 14" xfId="20589"/>
    <cellStyle name="#_cost9702 (2)_품셈 _2010 가로등 단가설계 5 2 14 2" xfId="33033"/>
    <cellStyle name="#_cost9702 (2)_품셈 _2010 가로등 단가설계 5 2 15" xfId="23427"/>
    <cellStyle name="#_cost9702 (2)_품셈 _2010 가로등 단가설계 5 2 15 2" xfId="35858"/>
    <cellStyle name="#_cost9702 (2)_품셈 _2010 가로등 단가설계 5 2 16" xfId="20006"/>
    <cellStyle name="#_cost9702 (2)_품셈 _2010 가로등 단가설계 5 2 16 2" xfId="32452"/>
    <cellStyle name="#_cost9702 (2)_품셈 _2010 가로등 단가설계 5 2 17" xfId="18671"/>
    <cellStyle name="#_cost9702 (2)_품셈 _2010 가로등 단가설계 5 2 17 2" xfId="31376"/>
    <cellStyle name="#_cost9702 (2)_품셈 _2010 가로등 단가설계 5 2 18" xfId="21089"/>
    <cellStyle name="#_cost9702 (2)_품셈 _2010 가로등 단가설계 5 2 18 2" xfId="33526"/>
    <cellStyle name="#_cost9702 (2)_품셈 _2010 가로등 단가설계 5 2 19" xfId="20336"/>
    <cellStyle name="#_cost9702 (2)_품셈 _2010 가로등 단가설계 5 2 19 2" xfId="32781"/>
    <cellStyle name="#_cost9702 (2)_품셈 _2010 가로등 단가설계 5 2 2" xfId="16273"/>
    <cellStyle name="#_cost9702 (2)_품셈 _2010 가로등 단가설계 5 2 2 2" xfId="29049"/>
    <cellStyle name="#_cost9702 (2)_품셈 _2010 가로등 단가설계 5 2 20" xfId="21916"/>
    <cellStyle name="#_cost9702 (2)_품셈 _2010 가로등 단가설계 5 2 20 2" xfId="34353"/>
    <cellStyle name="#_cost9702 (2)_품셈 _2010 가로등 단가설계 5 2 21" xfId="21709"/>
    <cellStyle name="#_cost9702 (2)_품셈 _2010 가로등 단가설계 5 2 21 2" xfId="34146"/>
    <cellStyle name="#_cost9702 (2)_품셈 _2010 가로등 단가설계 5 2 3" xfId="14473"/>
    <cellStyle name="#_cost9702 (2)_품셈 _2010 가로등 단가설계 5 2 3 2" xfId="27305"/>
    <cellStyle name="#_cost9702 (2)_품셈 _2010 가로등 단가설계 5 2 4" xfId="16684"/>
    <cellStyle name="#_cost9702 (2)_품셈 _2010 가로등 단가설계 5 2 4 2" xfId="29460"/>
    <cellStyle name="#_cost9702 (2)_품셈 _2010 가로등 단가설계 5 2 5" xfId="13266"/>
    <cellStyle name="#_cost9702 (2)_품셈 _2010 가로등 단가설계 5 2 5 2" xfId="26134"/>
    <cellStyle name="#_cost9702 (2)_품셈 _2010 가로등 단가설계 5 2 6" xfId="17514"/>
    <cellStyle name="#_cost9702 (2)_품셈 _2010 가로등 단가설계 5 2 6 2" xfId="30236"/>
    <cellStyle name="#_cost9702 (2)_품셈 _2010 가로등 단가설계 5 2 7" xfId="15318"/>
    <cellStyle name="#_cost9702 (2)_품셈 _2010 가로등 단가설계 5 2 7 2" xfId="28135"/>
    <cellStyle name="#_cost9702 (2)_품셈 _2010 가로등 단가설계 5 2 8" xfId="18003"/>
    <cellStyle name="#_cost9702 (2)_품셈 _2010 가로등 단가설계 5 2 8 2" xfId="30715"/>
    <cellStyle name="#_cost9702 (2)_품셈 _2010 가로등 단가설계 5 2 9" xfId="16707"/>
    <cellStyle name="#_cost9702 (2)_품셈 _2010 가로등 단가설계 5 2 9 2" xfId="29483"/>
    <cellStyle name="#_cost9702 (2)_품셈 _2010 가로등 단가설계 5 3" xfId="14955"/>
    <cellStyle name="#_cost9702 (2)_품셈 _2010 가로등 단가설계 5 3 2" xfId="27776"/>
    <cellStyle name="#_cost9702 (2)_품셈 _2010 가로등 단가설계 6" xfId="6687"/>
    <cellStyle name="#_cost9702 (2)_품셈 _2010 가로등 단가설계 6 2" xfId="11015"/>
    <cellStyle name="#_cost9702 (2)_품셈 _2010 가로등 단가설계 6 2 10" xfId="14871"/>
    <cellStyle name="#_cost9702 (2)_품셈 _2010 가로등 단가설계 6 2 10 2" xfId="27693"/>
    <cellStyle name="#_cost9702 (2)_품셈 _2010 가로등 단가설계 6 2 11" xfId="22735"/>
    <cellStyle name="#_cost9702 (2)_품셈 _2010 가로등 단가설계 6 2 11 2" xfId="35169"/>
    <cellStyle name="#_cost9702 (2)_품셈 _2010 가로등 단가설계 6 2 12" xfId="21430"/>
    <cellStyle name="#_cost9702 (2)_품셈 _2010 가로등 단가설계 6 2 12 2" xfId="33867"/>
    <cellStyle name="#_cost9702 (2)_품셈 _2010 가로등 단가설계 6 2 13" xfId="20204"/>
    <cellStyle name="#_cost9702 (2)_품셈 _2010 가로등 단가설계 6 2 13 2" xfId="32650"/>
    <cellStyle name="#_cost9702 (2)_품셈 _2010 가로등 단가설계 6 2 14" xfId="21026"/>
    <cellStyle name="#_cost9702 (2)_품셈 _2010 가로등 단가설계 6 2 14 2" xfId="33463"/>
    <cellStyle name="#_cost9702 (2)_품셈 _2010 가로등 단가설계 6 2 15" xfId="23033"/>
    <cellStyle name="#_cost9702 (2)_품셈 _2010 가로등 단가설계 6 2 15 2" xfId="35466"/>
    <cellStyle name="#_cost9702 (2)_품셈 _2010 가로등 단가설계 6 2 16" xfId="20607"/>
    <cellStyle name="#_cost9702 (2)_품셈 _2010 가로등 단가설계 6 2 16 2" xfId="33051"/>
    <cellStyle name="#_cost9702 (2)_품셈 _2010 가로등 단가설계 6 2 17" xfId="22351"/>
    <cellStyle name="#_cost9702 (2)_품셈 _2010 가로등 단가설계 6 2 17 2" xfId="34785"/>
    <cellStyle name="#_cost9702 (2)_품셈 _2010 가로등 단가설계 6 2 18" xfId="22356"/>
    <cellStyle name="#_cost9702 (2)_품셈 _2010 가로등 단가설계 6 2 18 2" xfId="34790"/>
    <cellStyle name="#_cost9702 (2)_품셈 _2010 가로등 단가설계 6 2 19" xfId="23234"/>
    <cellStyle name="#_cost9702 (2)_품셈 _2010 가로등 단가설계 6 2 19 2" xfId="35666"/>
    <cellStyle name="#_cost9702 (2)_품셈 _2010 가로등 단가설계 6 2 2" xfId="16274"/>
    <cellStyle name="#_cost9702 (2)_품셈 _2010 가로등 단가설계 6 2 2 2" xfId="29050"/>
    <cellStyle name="#_cost9702 (2)_품셈 _2010 가로등 단가설계 6 2 20" xfId="21836"/>
    <cellStyle name="#_cost9702 (2)_품셈 _2010 가로등 단가설계 6 2 20 2" xfId="34273"/>
    <cellStyle name="#_cost9702 (2)_품셈 _2010 가로등 단가설계 6 2 21" xfId="19590"/>
    <cellStyle name="#_cost9702 (2)_품셈 _2010 가로등 단가설계 6 2 21 2" xfId="32045"/>
    <cellStyle name="#_cost9702 (2)_품셈 _2010 가로등 단가설계 6 2 3" xfId="14474"/>
    <cellStyle name="#_cost9702 (2)_품셈 _2010 가로등 단가설계 6 2 3 2" xfId="27306"/>
    <cellStyle name="#_cost9702 (2)_품셈 _2010 가로등 단가설계 6 2 4" xfId="14520"/>
    <cellStyle name="#_cost9702 (2)_품셈 _2010 가로등 단가설계 6 2 4 2" xfId="27348"/>
    <cellStyle name="#_cost9702 (2)_품셈 _2010 가로등 단가설계 6 2 5" xfId="16718"/>
    <cellStyle name="#_cost9702 (2)_품셈 _2010 가로등 단가설계 6 2 5 2" xfId="29494"/>
    <cellStyle name="#_cost9702 (2)_품셈 _2010 가로등 단가설계 6 2 6" xfId="17513"/>
    <cellStyle name="#_cost9702 (2)_품셈 _2010 가로등 단가설계 6 2 6 2" xfId="30235"/>
    <cellStyle name="#_cost9702 (2)_품셈 _2010 가로등 단가설계 6 2 7" xfId="14770"/>
    <cellStyle name="#_cost9702 (2)_품셈 _2010 가로등 단가설계 6 2 7 2" xfId="27595"/>
    <cellStyle name="#_cost9702 (2)_품셈 _2010 가로등 단가설계 6 2 8" xfId="18002"/>
    <cellStyle name="#_cost9702 (2)_품셈 _2010 가로등 단가설계 6 2 8 2" xfId="30714"/>
    <cellStyle name="#_cost9702 (2)_품셈 _2010 가로등 단가설계 6 2 9" xfId="13729"/>
    <cellStyle name="#_cost9702 (2)_품셈 _2010 가로등 단가설계 6 2 9 2" xfId="26590"/>
    <cellStyle name="#_cost9702 (2)_품셈 _2010 가로등 단가설계 6 3" xfId="14956"/>
    <cellStyle name="#_cost9702 (2)_품셈 _2010 가로등 단가설계 6 3 2" xfId="27777"/>
    <cellStyle name="#_cost9702 (2)_품셈 _2010 가로등 단가설계 7" xfId="6688"/>
    <cellStyle name="#_cost9702 (2)_품셈 _2010 가로등 단가설계 7 2" xfId="11016"/>
    <cellStyle name="#_cost9702 (2)_품셈 _2010 가로등 단가설계 7 2 10" xfId="18073"/>
    <cellStyle name="#_cost9702 (2)_품셈 _2010 가로등 단가설계 7 2 10 2" xfId="30784"/>
    <cellStyle name="#_cost9702 (2)_품셈 _2010 가로등 단가설계 7 2 11" xfId="22736"/>
    <cellStyle name="#_cost9702 (2)_품셈 _2010 가로등 단가설계 7 2 11 2" xfId="35170"/>
    <cellStyle name="#_cost9702 (2)_품셈 _2010 가로등 단가설계 7 2 12" xfId="21429"/>
    <cellStyle name="#_cost9702 (2)_품셈 _2010 가로등 단가설계 7 2 12 2" xfId="33866"/>
    <cellStyle name="#_cost9702 (2)_품셈 _2010 가로등 단가설계 7 2 13" xfId="20456"/>
    <cellStyle name="#_cost9702 (2)_품셈 _2010 가로등 단가설계 7 2 13 2" xfId="32901"/>
    <cellStyle name="#_cost9702 (2)_품셈 _2010 가로등 단가설계 7 2 14" xfId="21063"/>
    <cellStyle name="#_cost9702 (2)_품셈 _2010 가로등 단가설계 7 2 14 2" xfId="33500"/>
    <cellStyle name="#_cost9702 (2)_품셈 _2010 가로등 단가설계 7 2 15" xfId="21079"/>
    <cellStyle name="#_cost9702 (2)_품셈 _2010 가로등 단가설계 7 2 15 2" xfId="33516"/>
    <cellStyle name="#_cost9702 (2)_품셈 _2010 가로등 단가설계 7 2 16" xfId="20007"/>
    <cellStyle name="#_cost9702 (2)_품셈 _2010 가로등 단가설계 7 2 16 2" xfId="32453"/>
    <cellStyle name="#_cost9702 (2)_품셈 _2010 가로등 단가설계 7 2 17" xfId="18692"/>
    <cellStyle name="#_cost9702 (2)_품셈 _2010 가로등 단가설계 7 2 17 2" xfId="31397"/>
    <cellStyle name="#_cost9702 (2)_품셈 _2010 가로등 단가설계 7 2 18" xfId="20334"/>
    <cellStyle name="#_cost9702 (2)_품셈 _2010 가로등 단가설계 7 2 18 2" xfId="32779"/>
    <cellStyle name="#_cost9702 (2)_품셈 _2010 가로등 단가설계 7 2 19" xfId="18384"/>
    <cellStyle name="#_cost9702 (2)_품셈 _2010 가로등 단가설계 7 2 19 2" xfId="31090"/>
    <cellStyle name="#_cost9702 (2)_품셈 _2010 가로등 단가설계 7 2 2" xfId="16275"/>
    <cellStyle name="#_cost9702 (2)_품셈 _2010 가로등 단가설계 7 2 2 2" xfId="29051"/>
    <cellStyle name="#_cost9702 (2)_품셈 _2010 가로등 단가설계 7 2 20" xfId="21915"/>
    <cellStyle name="#_cost9702 (2)_품셈 _2010 가로등 단가설계 7 2 20 2" xfId="34352"/>
    <cellStyle name="#_cost9702 (2)_품셈 _2010 가로등 단가설계 7 2 21" xfId="19676"/>
    <cellStyle name="#_cost9702 (2)_품셈 _2010 가로등 단가설계 7 2 21 2" xfId="32130"/>
    <cellStyle name="#_cost9702 (2)_품셈 _2010 가로등 단가설계 7 2 3" xfId="14475"/>
    <cellStyle name="#_cost9702 (2)_품셈 _2010 가로등 단가설계 7 2 3 2" xfId="27307"/>
    <cellStyle name="#_cost9702 (2)_품셈 _2010 가로등 단가설계 7 2 4" xfId="16683"/>
    <cellStyle name="#_cost9702 (2)_품셈 _2010 가로등 단가설계 7 2 4 2" xfId="29459"/>
    <cellStyle name="#_cost9702 (2)_품셈 _2010 가로등 단가설계 7 2 5" xfId="13267"/>
    <cellStyle name="#_cost9702 (2)_품셈 _2010 가로등 단가설계 7 2 5 2" xfId="26135"/>
    <cellStyle name="#_cost9702 (2)_품셈 _2010 가로등 단가설계 7 2 6" xfId="17512"/>
    <cellStyle name="#_cost9702 (2)_품셈 _2010 가로등 단가설계 7 2 6 2" xfId="30234"/>
    <cellStyle name="#_cost9702 (2)_품셈 _2010 가로등 단가설계 7 2 7" xfId="15317"/>
    <cellStyle name="#_cost9702 (2)_품셈 _2010 가로등 단가설계 7 2 7 2" xfId="28134"/>
    <cellStyle name="#_cost9702 (2)_품셈 _2010 가로등 단가설계 7 2 8" xfId="18001"/>
    <cellStyle name="#_cost9702 (2)_품셈 _2010 가로등 단가설계 7 2 8 2" xfId="30713"/>
    <cellStyle name="#_cost9702 (2)_품셈 _2010 가로등 단가설계 7 2 9" xfId="17614"/>
    <cellStyle name="#_cost9702 (2)_품셈 _2010 가로등 단가설계 7 2 9 2" xfId="30331"/>
    <cellStyle name="#_cost9702 (2)_품셈 _2010 가로등 단가설계 7 3" xfId="14957"/>
    <cellStyle name="#_cost9702 (2)_품셈 _2010 가로등 단가설계 7 3 2" xfId="27778"/>
    <cellStyle name="#_cost9702 (2)_품셈 _2010 가로등 단가설계 8" xfId="11010"/>
    <cellStyle name="#_cost9702 (2)_품셈 _2010 가로등 단가설계 8 10" xfId="14496"/>
    <cellStyle name="#_cost9702 (2)_품셈 _2010 가로등 단가설계 8 10 2" xfId="27327"/>
    <cellStyle name="#_cost9702 (2)_품셈 _2010 가로등 단가설계 8 11" xfId="22730"/>
    <cellStyle name="#_cost9702 (2)_품셈 _2010 가로등 단가설계 8 11 2" xfId="35164"/>
    <cellStyle name="#_cost9702 (2)_품셈 _2010 가로등 단가설계 8 12" xfId="21435"/>
    <cellStyle name="#_cost9702 (2)_품셈 _2010 가로등 단가설계 8 12 2" xfId="33872"/>
    <cellStyle name="#_cost9702 (2)_품셈 _2010 가로등 단가설계 8 13" xfId="20459"/>
    <cellStyle name="#_cost9702 (2)_품셈 _2010 가로등 단가설계 8 13 2" xfId="32904"/>
    <cellStyle name="#_cost9702 (2)_품셈 _2010 가로등 단가설계 8 14" xfId="21828"/>
    <cellStyle name="#_cost9702 (2)_품셈 _2010 가로등 단가설계 8 14 2" xfId="34265"/>
    <cellStyle name="#_cost9702 (2)_품셈 _2010 가로등 단가설계 8 15" xfId="23904"/>
    <cellStyle name="#_cost9702 (2)_품셈 _2010 가로등 단가설계 8 15 2" xfId="36335"/>
    <cellStyle name="#_cost9702 (2)_품셈 _2010 가로등 단가설계 8 16" xfId="20004"/>
    <cellStyle name="#_cost9702 (2)_품셈 _2010 가로등 단가설계 8 16 2" xfId="32450"/>
    <cellStyle name="#_cost9702 (2)_품셈 _2010 가로등 단가설계 8 17" xfId="22473"/>
    <cellStyle name="#_cost9702 (2)_품셈 _2010 가로등 단가설계 8 17 2" xfId="34907"/>
    <cellStyle name="#_cost9702 (2)_품셈 _2010 가로등 단가설계 8 18" xfId="24186"/>
    <cellStyle name="#_cost9702 (2)_품셈 _2010 가로등 단가설계 8 18 2" xfId="36617"/>
    <cellStyle name="#_cost9702 (2)_품셈 _2010 가로등 단가설계 8 19" xfId="20084"/>
    <cellStyle name="#_cost9702 (2)_품셈 _2010 가로등 단가설계 8 19 2" xfId="32530"/>
    <cellStyle name="#_cost9702 (2)_품셈 _2010 가로등 단가설계 8 2" xfId="16269"/>
    <cellStyle name="#_cost9702 (2)_품셈 _2010 가로등 단가설계 8 2 2" xfId="29045"/>
    <cellStyle name="#_cost9702 (2)_품셈 _2010 가로등 단가설계 8 20" xfId="21918"/>
    <cellStyle name="#_cost9702 (2)_품셈 _2010 가로등 단가설계 8 20 2" xfId="34355"/>
    <cellStyle name="#_cost9702 (2)_품셈 _2010 가로등 단가설계 8 21" xfId="21708"/>
    <cellStyle name="#_cost9702 (2)_품셈 _2010 가로등 단가설계 8 21 2" xfId="34145"/>
    <cellStyle name="#_cost9702 (2)_품셈 _2010 가로등 단가설계 8 3" xfId="14469"/>
    <cellStyle name="#_cost9702 (2)_품셈 _2010 가로등 단가설계 8 3 2" xfId="27301"/>
    <cellStyle name="#_cost9702 (2)_품셈 _2010 가로등 단가설계 8 4" xfId="15190"/>
    <cellStyle name="#_cost9702 (2)_품셈 _2010 가로등 단가설계 8 4 2" xfId="28009"/>
    <cellStyle name="#_cost9702 (2)_품셈 _2010 가로등 단가설계 8 5" xfId="13264"/>
    <cellStyle name="#_cost9702 (2)_품셈 _2010 가로등 단가설계 8 5 2" xfId="26132"/>
    <cellStyle name="#_cost9702 (2)_품셈 _2010 가로등 단가설계 8 6" xfId="17518"/>
    <cellStyle name="#_cost9702 (2)_품셈 _2010 가로등 단가설계 8 6 2" xfId="30240"/>
    <cellStyle name="#_cost9702 (2)_품셈 _2010 가로등 단가설계 8 7" xfId="15885"/>
    <cellStyle name="#_cost9702 (2)_품셈 _2010 가로등 단가설계 8 7 2" xfId="28683"/>
    <cellStyle name="#_cost9702 (2)_품셈 _2010 가로등 단가설계 8 8" xfId="18007"/>
    <cellStyle name="#_cost9702 (2)_품셈 _2010 가로등 단가설계 8 8 2" xfId="30719"/>
    <cellStyle name="#_cost9702 (2)_품셈 _2010 가로등 단가설계 8 9" xfId="14878"/>
    <cellStyle name="#_cost9702 (2)_품셈 _2010 가로등 단가설계 8 9 2" xfId="27699"/>
    <cellStyle name="#_cost9702 (2)_품셈 _2010 가로등 단가설계 9" xfId="14951"/>
    <cellStyle name="#_cost9702 (2)_품셈 _2010 가로등 단가설계 9 2" xfId="27772"/>
    <cellStyle name="#_cost9702 (2)_품셈 _2010 가로등 단가설계(작업중)" xfId="6689"/>
    <cellStyle name="#_cost9702 (2)_품셈 _2010 가로등 단가설계(작업중) 2" xfId="6690"/>
    <cellStyle name="#_cost9702 (2)_품셈 _2010 가로등 단가설계(작업중) 2 2" xfId="11018"/>
    <cellStyle name="#_cost9702 (2)_품셈 _2010 가로등 단가설계(작업중) 2 2 10" xfId="15174"/>
    <cellStyle name="#_cost9702 (2)_품셈 _2010 가로등 단가설계(작업중) 2 2 10 2" xfId="27993"/>
    <cellStyle name="#_cost9702 (2)_품셈 _2010 가로등 단가설계(작업중) 2 2 11" xfId="22738"/>
    <cellStyle name="#_cost9702 (2)_품셈 _2010 가로등 단가설계(작업중) 2 2 11 2" xfId="35172"/>
    <cellStyle name="#_cost9702 (2)_품셈 _2010 가로등 단가설계(작업중) 2 2 12" xfId="21427"/>
    <cellStyle name="#_cost9702 (2)_품셈 _2010 가로등 단가설계(작업중) 2 2 12 2" xfId="33864"/>
    <cellStyle name="#_cost9702 (2)_품셈 _2010 가로등 단가설계(작업중) 2 2 13" xfId="20455"/>
    <cellStyle name="#_cost9702 (2)_품셈 _2010 가로등 단가설계(작업중) 2 2 13 2" xfId="32900"/>
    <cellStyle name="#_cost9702 (2)_품셈 _2010 가로등 단가설계(작업중) 2 2 14" xfId="21827"/>
    <cellStyle name="#_cost9702 (2)_품셈 _2010 가로등 단가설계(작업중) 2 2 14 2" xfId="34264"/>
    <cellStyle name="#_cost9702 (2)_품셈 _2010 가로등 단가설계(작업중) 2 2 15" xfId="21954"/>
    <cellStyle name="#_cost9702 (2)_품셈 _2010 가로등 단가설계(작업중) 2 2 15 2" xfId="34391"/>
    <cellStyle name="#_cost9702 (2)_품셈 _2010 가로등 단가설계(작업중) 2 2 16" xfId="20008"/>
    <cellStyle name="#_cost9702 (2)_품셈 _2010 가로등 단가설계(작업중) 2 2 16 2" xfId="32454"/>
    <cellStyle name="#_cost9702 (2)_품셈 _2010 가로등 단가설계(작업중) 2 2 17" xfId="18672"/>
    <cellStyle name="#_cost9702 (2)_품셈 _2010 가로등 단가설계(작업중) 2 2 17 2" xfId="31377"/>
    <cellStyle name="#_cost9702 (2)_품셈 _2010 가로등 단가설계(작업중) 2 2 18" xfId="24184"/>
    <cellStyle name="#_cost9702 (2)_품셈 _2010 가로등 단가설계(작업중) 2 2 18 2" xfId="36615"/>
    <cellStyle name="#_cost9702 (2)_품셈 _2010 가로등 단가설계(작업중) 2 2 19" xfId="18379"/>
    <cellStyle name="#_cost9702 (2)_품셈 _2010 가로등 단가설계(작업중) 2 2 19 2" xfId="31085"/>
    <cellStyle name="#_cost9702 (2)_품셈 _2010 가로등 단가설계(작업중) 2 2 2" xfId="16277"/>
    <cellStyle name="#_cost9702 (2)_품셈 _2010 가로등 단가설계(작업중) 2 2 2 2" xfId="29053"/>
    <cellStyle name="#_cost9702 (2)_품셈 _2010 가로등 단가설계(작업중) 2 2 20" xfId="21914"/>
    <cellStyle name="#_cost9702 (2)_품셈 _2010 가로등 단가설계(작업중) 2 2 20 2" xfId="34351"/>
    <cellStyle name="#_cost9702 (2)_품셈 _2010 가로등 단가설계(작업중) 2 2 21" xfId="21710"/>
    <cellStyle name="#_cost9702 (2)_품셈 _2010 가로등 단가설계(작업중) 2 2 21 2" xfId="34147"/>
    <cellStyle name="#_cost9702 (2)_품셈 _2010 가로등 단가설계(작업중) 2 2 3" xfId="14477"/>
    <cellStyle name="#_cost9702 (2)_품셈 _2010 가로등 단가설계(작업중) 2 2 3 2" xfId="27309"/>
    <cellStyle name="#_cost9702 (2)_품셈 _2010 가로등 단가설계(작업중) 2 2 4" xfId="15917"/>
    <cellStyle name="#_cost9702 (2)_품셈 _2010 가로등 단가설계(작업중) 2 2 4 2" xfId="28715"/>
    <cellStyle name="#_cost9702 (2)_품셈 _2010 가로등 단가설계(작업중) 2 2 5" xfId="13268"/>
    <cellStyle name="#_cost9702 (2)_품셈 _2010 가로등 단가설계(작업중) 2 2 5 2" xfId="26136"/>
    <cellStyle name="#_cost9702 (2)_품셈 _2010 가로등 단가설계(작업중) 2 2 6" xfId="15774"/>
    <cellStyle name="#_cost9702 (2)_품셈 _2010 가로등 단가설계(작업중) 2 2 6 2" xfId="28573"/>
    <cellStyle name="#_cost9702 (2)_품셈 _2010 가로등 단가설계(작업중) 2 2 7" xfId="15316"/>
    <cellStyle name="#_cost9702 (2)_품셈 _2010 가로등 단가설계(작업중) 2 2 7 2" xfId="28133"/>
    <cellStyle name="#_cost9702 (2)_품셈 _2010 가로등 단가설계(작업중) 2 2 8" xfId="13315"/>
    <cellStyle name="#_cost9702 (2)_품셈 _2010 가로등 단가설계(작업중) 2 2 8 2" xfId="26183"/>
    <cellStyle name="#_cost9702 (2)_품셈 _2010 가로등 단가설계(작업중) 2 2 9" xfId="17613"/>
    <cellStyle name="#_cost9702 (2)_품셈 _2010 가로등 단가설계(작업중) 2 2 9 2" xfId="30330"/>
    <cellStyle name="#_cost9702 (2)_품셈 _2010 가로등 단가설계(작업중) 2 3" xfId="14959"/>
    <cellStyle name="#_cost9702 (2)_품셈 _2010 가로등 단가설계(작업중) 2 3 2" xfId="27780"/>
    <cellStyle name="#_cost9702 (2)_품셈 _2010 가로등 단가설계(작업중) 3" xfId="6691"/>
    <cellStyle name="#_cost9702 (2)_품셈 _2010 가로등 단가설계(작업중) 3 2" xfId="11019"/>
    <cellStyle name="#_cost9702 (2)_품셈 _2010 가로등 단가설계(작업중) 3 2 10" xfId="14693"/>
    <cellStyle name="#_cost9702 (2)_품셈 _2010 가로등 단가설계(작업중) 3 2 10 2" xfId="27519"/>
    <cellStyle name="#_cost9702 (2)_품셈 _2010 가로등 단가설계(작업중) 3 2 11" xfId="22739"/>
    <cellStyle name="#_cost9702 (2)_품셈 _2010 가로등 단가설계(작업중) 3 2 11 2" xfId="35173"/>
    <cellStyle name="#_cost9702 (2)_품셈 _2010 가로등 단가설계(작업중) 3 2 12" xfId="21426"/>
    <cellStyle name="#_cost9702 (2)_품셈 _2010 가로등 단가설계(작업중) 3 2 12 2" xfId="33863"/>
    <cellStyle name="#_cost9702 (2)_품셈 _2010 가로등 단가설계(작업중) 3 2 13" xfId="20202"/>
    <cellStyle name="#_cost9702 (2)_품셈 _2010 가로등 단가설계(작업중) 3 2 13 2" xfId="32648"/>
    <cellStyle name="#_cost9702 (2)_품셈 _2010 가로등 단가설계(작업중) 3 2 14" xfId="21024"/>
    <cellStyle name="#_cost9702 (2)_품셈 _2010 가로등 단가설계(작업중) 3 2 14 2" xfId="33461"/>
    <cellStyle name="#_cost9702 (2)_품셈 _2010 가로등 단가설계(작업중) 3 2 15" xfId="23426"/>
    <cellStyle name="#_cost9702 (2)_품셈 _2010 가로등 단가설계(작업중) 3 2 15 2" xfId="35857"/>
    <cellStyle name="#_cost9702 (2)_품셈 _2010 가로등 단가설계(작업중) 3 2 16" xfId="20609"/>
    <cellStyle name="#_cost9702 (2)_품셈 _2010 가로등 단가설계(작업중) 3 2 16 2" xfId="33053"/>
    <cellStyle name="#_cost9702 (2)_품셈 _2010 가로등 단가설계(작업중) 3 2 17" xfId="19506"/>
    <cellStyle name="#_cost9702 (2)_품셈 _2010 가로등 단가설계(작업중) 3 2 17 2" xfId="31961"/>
    <cellStyle name="#_cost9702 (2)_품셈 _2010 가로등 단가설계(작업중) 3 2 18" xfId="24183"/>
    <cellStyle name="#_cost9702 (2)_품셈 _2010 가로등 단가설계(작업중) 3 2 18 2" xfId="36614"/>
    <cellStyle name="#_cost9702 (2)_품셈 _2010 가로등 단가설계(작업중) 3 2 19" xfId="22155"/>
    <cellStyle name="#_cost9702 (2)_품셈 _2010 가로등 단가설계(작업중) 3 2 19 2" xfId="34591"/>
    <cellStyle name="#_cost9702 (2)_품셈 _2010 가로등 단가설계(작업중) 3 2 2" xfId="16278"/>
    <cellStyle name="#_cost9702 (2)_품셈 _2010 가로등 단가설계(작업중) 3 2 2 2" xfId="29054"/>
    <cellStyle name="#_cost9702 (2)_품셈 _2010 가로등 단가설계(작업중) 3 2 20" xfId="20343"/>
    <cellStyle name="#_cost9702 (2)_품셈 _2010 가로등 단가설계(작업중) 3 2 20 2" xfId="32788"/>
    <cellStyle name="#_cost9702 (2)_품셈 _2010 가로등 단가설계(작업중) 3 2 21" xfId="22885"/>
    <cellStyle name="#_cost9702 (2)_품셈 _2010 가로등 단가설계(작업중) 3 2 21 2" xfId="35319"/>
    <cellStyle name="#_cost9702 (2)_품셈 _2010 가로등 단가설계(작업중) 3 2 3" xfId="14478"/>
    <cellStyle name="#_cost9702 (2)_품셈 _2010 가로등 단가설계(작업중) 3 2 3 2" xfId="27310"/>
    <cellStyle name="#_cost9702 (2)_품셈 _2010 가로등 단가설계(작업중) 3 2 4" xfId="16681"/>
    <cellStyle name="#_cost9702 (2)_품셈 _2010 가로등 단가설계(작업중) 3 2 4 2" xfId="29457"/>
    <cellStyle name="#_cost9702 (2)_품셈 _2010 가로등 단가설계(작업중) 3 2 5" xfId="16720"/>
    <cellStyle name="#_cost9702 (2)_품셈 _2010 가로등 단가설계(작업중) 3 2 5 2" xfId="29496"/>
    <cellStyle name="#_cost9702 (2)_품셈 _2010 가로등 단가설계(작업중) 3 2 6" xfId="15208"/>
    <cellStyle name="#_cost9702 (2)_품셈 _2010 가로등 단가설계(작업중) 3 2 6 2" xfId="28026"/>
    <cellStyle name="#_cost9702 (2)_품셈 _2010 가로등 단가설계(작업중) 3 2 7" xfId="14768"/>
    <cellStyle name="#_cost9702 (2)_품셈 _2010 가로등 단가설계(작업중) 3 2 7 2" xfId="27593"/>
    <cellStyle name="#_cost9702 (2)_품셈 _2010 가로등 단가설계(작업중) 3 2 8" xfId="13709"/>
    <cellStyle name="#_cost9702 (2)_품셈 _2010 가로등 단가설계(작업중) 3 2 8 2" xfId="26570"/>
    <cellStyle name="#_cost9702 (2)_품셈 _2010 가로등 단가설계(작업중) 3 2 9" xfId="12626"/>
    <cellStyle name="#_cost9702 (2)_품셈 _2010 가로등 단가설계(작업중) 3 2 9 2" xfId="25505"/>
    <cellStyle name="#_cost9702 (2)_품셈 _2010 가로등 단가설계(작업중) 3 3" xfId="14960"/>
    <cellStyle name="#_cost9702 (2)_품셈 _2010 가로등 단가설계(작업중) 3 3 2" xfId="27781"/>
    <cellStyle name="#_cost9702 (2)_품셈 _2010 가로등 단가설계(작업중) 4" xfId="6692"/>
    <cellStyle name="#_cost9702 (2)_품셈 _2010 가로등 단가설계(작업중) 4 2" xfId="11020"/>
    <cellStyle name="#_cost9702 (2)_품셈 _2010 가로등 단가설계(작업중) 4 2 10" xfId="13016"/>
    <cellStyle name="#_cost9702 (2)_품셈 _2010 가로등 단가설계(작업중) 4 2 10 2" xfId="25891"/>
    <cellStyle name="#_cost9702 (2)_품셈 _2010 가로등 단가설계(작업중) 4 2 11" xfId="22740"/>
    <cellStyle name="#_cost9702 (2)_품셈 _2010 가로등 단가설계(작업중) 4 2 11 2" xfId="35174"/>
    <cellStyle name="#_cost9702 (2)_품셈 _2010 가로등 단가설계(작업중) 4 2 12" xfId="21425"/>
    <cellStyle name="#_cost9702 (2)_품셈 _2010 가로등 단가설계(작업중) 4 2 12 2" xfId="33862"/>
    <cellStyle name="#_cost9702 (2)_품셈 _2010 가로등 단가설계(작업중) 4 2 13" xfId="20454"/>
    <cellStyle name="#_cost9702 (2)_품셈 _2010 가로등 단가설계(작업중) 4 2 13 2" xfId="32899"/>
    <cellStyle name="#_cost9702 (2)_품셈 _2010 가로등 단가설계(작업중) 4 2 14" xfId="21062"/>
    <cellStyle name="#_cost9702 (2)_품셈 _2010 가로등 단가설계(작업중) 4 2 14 2" xfId="33499"/>
    <cellStyle name="#_cost9702 (2)_품셈 _2010 가로등 단가설계(작업중) 4 2 15" xfId="18630"/>
    <cellStyle name="#_cost9702 (2)_품셈 _2010 가로등 단가설계(작업중) 4 2 15 2" xfId="31335"/>
    <cellStyle name="#_cost9702 (2)_품셈 _2010 가로등 단가설계(작업중) 4 2 16" xfId="20009"/>
    <cellStyle name="#_cost9702 (2)_품셈 _2010 가로등 단가설계(작업중) 4 2 16 2" xfId="32455"/>
    <cellStyle name="#_cost9702 (2)_품셈 _2010 가로등 단가설계(작업중) 4 2 17" xfId="18693"/>
    <cellStyle name="#_cost9702 (2)_품셈 _2010 가로등 단가설계(작업중) 4 2 17 2" xfId="31398"/>
    <cellStyle name="#_cost9702 (2)_품셈 _2010 가로등 단가설계(작업중) 4 2 18" xfId="24182"/>
    <cellStyle name="#_cost9702 (2)_품셈 _2010 가로등 단가설계(작업중) 4 2 18 2" xfId="36613"/>
    <cellStyle name="#_cost9702 (2)_품셈 _2010 가로등 단가설계(작업중) 4 2 19" xfId="21309"/>
    <cellStyle name="#_cost9702 (2)_품셈 _2010 가로등 단가설계(작업중) 4 2 19 2" xfId="33746"/>
    <cellStyle name="#_cost9702 (2)_품셈 _2010 가로등 단가설계(작업중) 4 2 2" xfId="16279"/>
    <cellStyle name="#_cost9702 (2)_품셈 _2010 가로등 단가설계(작업중) 4 2 2 2" xfId="29055"/>
    <cellStyle name="#_cost9702 (2)_품셈 _2010 가로등 단가설계(작업중) 4 2 20" xfId="21913"/>
    <cellStyle name="#_cost9702 (2)_품셈 _2010 가로등 단가설계(작업중) 4 2 20 2" xfId="34350"/>
    <cellStyle name="#_cost9702 (2)_품셈 _2010 가로등 단가설계(작업중) 4 2 21" xfId="19677"/>
    <cellStyle name="#_cost9702 (2)_품셈 _2010 가로등 단가설계(작업중) 4 2 21 2" xfId="32131"/>
    <cellStyle name="#_cost9702 (2)_품셈 _2010 가로등 단가설계(작업중) 4 2 3" xfId="14479"/>
    <cellStyle name="#_cost9702 (2)_품셈 _2010 가로등 단가설계(작업중) 4 2 3 2" xfId="27311"/>
    <cellStyle name="#_cost9702 (2)_품셈 _2010 가로등 단가설계(작업중) 4 2 4" xfId="16680"/>
    <cellStyle name="#_cost9702 (2)_품셈 _2010 가로등 단가설계(작업중) 4 2 4 2" xfId="29456"/>
    <cellStyle name="#_cost9702 (2)_품셈 _2010 가로등 단가설계(작업중) 4 2 5" xfId="13269"/>
    <cellStyle name="#_cost9702 (2)_품셈 _2010 가로등 단가설계(작업중) 4 2 5 2" xfId="26137"/>
    <cellStyle name="#_cost9702 (2)_품셈 _2010 가로등 단가설계(작업중) 4 2 6" xfId="15775"/>
    <cellStyle name="#_cost9702 (2)_품셈 _2010 가로등 단가설계(작업중) 4 2 6 2" xfId="28574"/>
    <cellStyle name="#_cost9702 (2)_품셈 _2010 가로등 단가설계(작업중) 4 2 7" xfId="15315"/>
    <cellStyle name="#_cost9702 (2)_품셈 _2010 가로등 단가설계(작업중) 4 2 7 2" xfId="28132"/>
    <cellStyle name="#_cost9702 (2)_품셈 _2010 가로등 단가설계(작업중) 4 2 8" xfId="15403"/>
    <cellStyle name="#_cost9702 (2)_품셈 _2010 가로등 단가설계(작업중) 4 2 8 2" xfId="28217"/>
    <cellStyle name="#_cost9702 (2)_품셈 _2010 가로등 단가설계(작업중) 4 2 9" xfId="17612"/>
    <cellStyle name="#_cost9702 (2)_품셈 _2010 가로등 단가설계(작업중) 4 2 9 2" xfId="30329"/>
    <cellStyle name="#_cost9702 (2)_품셈 _2010 가로등 단가설계(작업중) 4 3" xfId="14961"/>
    <cellStyle name="#_cost9702 (2)_품셈 _2010 가로등 단가설계(작업중) 4 3 2" xfId="27782"/>
    <cellStyle name="#_cost9702 (2)_품셈 _2010 가로등 단가설계(작업중) 5" xfId="6693"/>
    <cellStyle name="#_cost9702 (2)_품셈 _2010 가로등 단가설계(작업중) 5 2" xfId="11021"/>
    <cellStyle name="#_cost9702 (2)_품셈 _2010 가로등 단가설계(작업중) 5 2 10" xfId="17132"/>
    <cellStyle name="#_cost9702 (2)_품셈 _2010 가로등 단가설계(작업중) 5 2 10 2" xfId="29866"/>
    <cellStyle name="#_cost9702 (2)_품셈 _2010 가로등 단가설계(작업중) 5 2 11" xfId="22741"/>
    <cellStyle name="#_cost9702 (2)_품셈 _2010 가로등 단가설계(작업중) 5 2 11 2" xfId="35175"/>
    <cellStyle name="#_cost9702 (2)_품셈 _2010 가로등 단가설계(작업중) 5 2 12" xfId="21424"/>
    <cellStyle name="#_cost9702 (2)_품셈 _2010 가로등 단가설계(작업중) 5 2 12 2" xfId="33861"/>
    <cellStyle name="#_cost9702 (2)_품셈 _2010 가로등 단가설계(작업중) 5 2 13" xfId="20201"/>
    <cellStyle name="#_cost9702 (2)_품셈 _2010 가로등 단가설계(작업중) 5 2 13 2" xfId="32647"/>
    <cellStyle name="#_cost9702 (2)_품셈 _2010 가로등 단가설계(작업중) 5 2 14" xfId="21023"/>
    <cellStyle name="#_cost9702 (2)_품셈 _2010 가로등 단가설계(작업중) 5 2 14 2" xfId="33460"/>
    <cellStyle name="#_cost9702 (2)_품셈 _2010 가로등 단가설계(작업중) 5 2 15" xfId="18631"/>
    <cellStyle name="#_cost9702 (2)_품셈 _2010 가로등 단가설계(작업중) 5 2 15 2" xfId="31336"/>
    <cellStyle name="#_cost9702 (2)_품셈 _2010 가로등 단가설계(작업중) 5 2 16" xfId="19157"/>
    <cellStyle name="#_cost9702 (2)_품셈 _2010 가로등 단가설계(작업중) 5 2 16 2" xfId="31812"/>
    <cellStyle name="#_cost9702 (2)_품셈 _2010 가로등 단가설계(작업중) 5 2 17" xfId="23126"/>
    <cellStyle name="#_cost9702 (2)_품셈 _2010 가로등 단가설계(작업중) 5 2 17 2" xfId="35559"/>
    <cellStyle name="#_cost9702 (2)_품셈 _2010 가로등 단가설계(작업중) 5 2 18" xfId="24181"/>
    <cellStyle name="#_cost9702 (2)_품셈 _2010 가로등 단가설계(작업중) 5 2 18 2" xfId="36612"/>
    <cellStyle name="#_cost9702 (2)_품셈 _2010 가로등 단가설계(작업중) 5 2 19" xfId="18798"/>
    <cellStyle name="#_cost9702 (2)_품셈 _2010 가로등 단가설계(작업중) 5 2 19 2" xfId="31503"/>
    <cellStyle name="#_cost9702 (2)_품셈 _2010 가로등 단가설계(작업중) 5 2 2" xfId="16280"/>
    <cellStyle name="#_cost9702 (2)_품셈 _2010 가로등 단가설계(작업중) 5 2 2 2" xfId="29056"/>
    <cellStyle name="#_cost9702 (2)_품셈 _2010 가로등 단가설계(작업중) 5 2 20" xfId="18399"/>
    <cellStyle name="#_cost9702 (2)_품셈 _2010 가로등 단가설계(작업중) 5 2 20 2" xfId="31104"/>
    <cellStyle name="#_cost9702 (2)_품셈 _2010 가로등 단가설계(작업중) 5 2 21" xfId="18822"/>
    <cellStyle name="#_cost9702 (2)_품셈 _2010 가로등 단가설계(작업중) 5 2 21 2" xfId="31527"/>
    <cellStyle name="#_cost9702 (2)_품셈 _2010 가로등 단가설계(작업중) 5 2 3" xfId="14480"/>
    <cellStyle name="#_cost9702 (2)_품셈 _2010 가로등 단가설계(작업중) 5 2 3 2" xfId="27312"/>
    <cellStyle name="#_cost9702 (2)_품셈 _2010 가로등 단가설계(작업중) 5 2 4" xfId="15166"/>
    <cellStyle name="#_cost9702 (2)_품셈 _2010 가로등 단가설계(작업중) 5 2 4 2" xfId="27985"/>
    <cellStyle name="#_cost9702 (2)_품셈 _2010 가로등 단가설계(작업중) 5 2 5" xfId="16721"/>
    <cellStyle name="#_cost9702 (2)_품셈 _2010 가로등 단가설계(작업중) 5 2 5 2" xfId="29497"/>
    <cellStyle name="#_cost9702 (2)_품셈 _2010 가로등 단가설계(작업중) 5 2 6" xfId="14744"/>
    <cellStyle name="#_cost9702 (2)_품셈 _2010 가로등 단가설계(작업중) 5 2 6 2" xfId="27569"/>
    <cellStyle name="#_cost9702 (2)_품셈 _2010 가로등 단가설계(작업중) 5 2 7" xfId="14767"/>
    <cellStyle name="#_cost9702 (2)_품셈 _2010 가로등 단가설계(작업중) 5 2 7 2" xfId="27592"/>
    <cellStyle name="#_cost9702 (2)_품셈 _2010 가로등 단가설계(작업중) 5 2 8" xfId="16801"/>
    <cellStyle name="#_cost9702 (2)_품셈 _2010 가로등 단가설계(작업중) 5 2 8 2" xfId="29576"/>
    <cellStyle name="#_cost9702 (2)_품셈 _2010 가로등 단가설계(작업중) 5 2 9" xfId="12888"/>
    <cellStyle name="#_cost9702 (2)_품셈 _2010 가로등 단가설계(작업중) 5 2 9 2" xfId="25764"/>
    <cellStyle name="#_cost9702 (2)_품셈 _2010 가로등 단가설계(작업중) 5 3" xfId="14962"/>
    <cellStyle name="#_cost9702 (2)_품셈 _2010 가로등 단가설계(작업중) 5 3 2" xfId="27783"/>
    <cellStyle name="#_cost9702 (2)_품셈 _2010 가로등 단가설계(작업중) 6" xfId="6694"/>
    <cellStyle name="#_cost9702 (2)_품셈 _2010 가로등 단가설계(작업중) 6 2" xfId="11022"/>
    <cellStyle name="#_cost9702 (2)_품셈 _2010 가로등 단가설계(작업중) 6 2 10" xfId="15884"/>
    <cellStyle name="#_cost9702 (2)_품셈 _2010 가로등 단가설계(작업중) 6 2 10 2" xfId="28682"/>
    <cellStyle name="#_cost9702 (2)_품셈 _2010 가로등 단가설계(작업중) 6 2 11" xfId="22742"/>
    <cellStyle name="#_cost9702 (2)_품셈 _2010 가로등 단가설계(작업중) 6 2 11 2" xfId="35176"/>
    <cellStyle name="#_cost9702 (2)_품셈 _2010 가로등 단가설계(작업중) 6 2 12" xfId="21423"/>
    <cellStyle name="#_cost9702 (2)_품셈 _2010 가로등 단가설계(작업중) 6 2 12 2" xfId="33860"/>
    <cellStyle name="#_cost9702 (2)_품셈 _2010 가로등 단가설계(작업중) 6 2 13" xfId="20453"/>
    <cellStyle name="#_cost9702 (2)_품셈 _2010 가로등 단가설계(작업중) 6 2 13 2" xfId="32898"/>
    <cellStyle name="#_cost9702 (2)_품셈 _2010 가로등 단가설계(작업중) 6 2 14" xfId="19804"/>
    <cellStyle name="#_cost9702 (2)_품셈 _2010 가로등 단가설계(작업중) 6 2 14 2" xfId="32254"/>
    <cellStyle name="#_cost9702 (2)_품셈 _2010 가로등 단가설계(작업중) 6 2 15" xfId="21113"/>
    <cellStyle name="#_cost9702 (2)_품셈 _2010 가로등 단가설계(작업중) 6 2 15 2" xfId="33550"/>
    <cellStyle name="#_cost9702 (2)_품셈 _2010 가로등 단가설계(작업중) 6 2 16" xfId="20010"/>
    <cellStyle name="#_cost9702 (2)_품셈 _2010 가로등 단가설계(작업중) 6 2 16 2" xfId="32456"/>
    <cellStyle name="#_cost9702 (2)_품셈 _2010 가로등 단가설계(작업중) 6 2 17" xfId="23199"/>
    <cellStyle name="#_cost9702 (2)_품셈 _2010 가로등 단가설계(작업중) 6 2 17 2" xfId="35632"/>
    <cellStyle name="#_cost9702 (2)_품셈 _2010 가로등 단가설계(작업중) 6 2 18" xfId="24180"/>
    <cellStyle name="#_cost9702 (2)_품셈 _2010 가로등 단가설계(작업중) 6 2 18 2" xfId="36611"/>
    <cellStyle name="#_cost9702 (2)_품셈 _2010 가로등 단가설계(작업중) 6 2 19" xfId="21521"/>
    <cellStyle name="#_cost9702 (2)_품셈 _2010 가로등 단가설계(작업중) 6 2 19 2" xfId="33958"/>
    <cellStyle name="#_cost9702 (2)_품셈 _2010 가로등 단가설계(작업중) 6 2 2" xfId="16281"/>
    <cellStyle name="#_cost9702 (2)_품셈 _2010 가로등 단가설계(작업중) 6 2 2 2" xfId="29057"/>
    <cellStyle name="#_cost9702 (2)_품셈 _2010 가로등 단가설계(작업중) 6 2 20" xfId="21912"/>
    <cellStyle name="#_cost9702 (2)_품셈 _2010 가로등 단가설계(작업중) 6 2 20 2" xfId="34349"/>
    <cellStyle name="#_cost9702 (2)_품셈 _2010 가로등 단가설계(작업중) 6 2 21" xfId="21711"/>
    <cellStyle name="#_cost9702 (2)_품셈 _2010 가로등 단가설계(작업중) 6 2 21 2" xfId="34148"/>
    <cellStyle name="#_cost9702 (2)_품셈 _2010 가로등 단가설계(작업중) 6 2 3" xfId="14481"/>
    <cellStyle name="#_cost9702 (2)_품셈 _2010 가로등 단가설계(작업중) 6 2 3 2" xfId="27313"/>
    <cellStyle name="#_cost9702 (2)_품셈 _2010 가로등 단가설계(작업중) 6 2 4" xfId="15191"/>
    <cellStyle name="#_cost9702 (2)_품셈 _2010 가로등 단가설계(작업중) 6 2 4 2" xfId="28010"/>
    <cellStyle name="#_cost9702 (2)_품셈 _2010 가로등 단가설계(작업중) 6 2 5" xfId="13270"/>
    <cellStyle name="#_cost9702 (2)_품셈 _2010 가로등 단가설계(작업중) 6 2 5 2" xfId="26138"/>
    <cellStyle name="#_cost9702 (2)_품셈 _2010 가로등 단가설계(작업중) 6 2 6" xfId="15776"/>
    <cellStyle name="#_cost9702 (2)_품셈 _2010 가로등 단가설계(작업중) 6 2 6 2" xfId="28575"/>
    <cellStyle name="#_cost9702 (2)_품셈 _2010 가로등 단가설계(작업중) 6 2 7" xfId="15314"/>
    <cellStyle name="#_cost9702 (2)_품셈 _2010 가로등 단가설계(작업중) 6 2 7 2" xfId="28131"/>
    <cellStyle name="#_cost9702 (2)_품셈 _2010 가로등 단가설계(작업중) 6 2 8" xfId="13060"/>
    <cellStyle name="#_cost9702 (2)_품셈 _2010 가로등 단가설계(작업중) 6 2 8 2" xfId="25929"/>
    <cellStyle name="#_cost9702 (2)_품셈 _2010 가로등 단가설계(작업중) 6 2 9" xfId="14877"/>
    <cellStyle name="#_cost9702 (2)_품셈 _2010 가로등 단가설계(작업중) 6 2 9 2" xfId="27698"/>
    <cellStyle name="#_cost9702 (2)_품셈 _2010 가로등 단가설계(작업중) 6 3" xfId="14963"/>
    <cellStyle name="#_cost9702 (2)_품셈 _2010 가로등 단가설계(작업중) 6 3 2" xfId="27784"/>
    <cellStyle name="#_cost9702 (2)_품셈 _2010 가로등 단가설계(작업중) 7" xfId="6695"/>
    <cellStyle name="#_cost9702 (2)_품셈 _2010 가로등 단가설계(작업중) 7 2" xfId="11023"/>
    <cellStyle name="#_cost9702 (2)_품셈 _2010 가로등 단가설계(작업중) 7 2 10" xfId="12898"/>
    <cellStyle name="#_cost9702 (2)_품셈 _2010 가로등 단가설계(작업중) 7 2 10 2" xfId="25774"/>
    <cellStyle name="#_cost9702 (2)_품셈 _2010 가로등 단가설계(작업중) 7 2 11" xfId="22743"/>
    <cellStyle name="#_cost9702 (2)_품셈 _2010 가로등 단가설계(작업중) 7 2 11 2" xfId="35177"/>
    <cellStyle name="#_cost9702 (2)_품셈 _2010 가로등 단가설계(작업중) 7 2 12" xfId="21422"/>
    <cellStyle name="#_cost9702 (2)_품셈 _2010 가로등 단가설계(작업중) 7 2 12 2" xfId="33859"/>
    <cellStyle name="#_cost9702 (2)_품셈 _2010 가로등 단가설계(작업중) 7 2 13" xfId="20200"/>
    <cellStyle name="#_cost9702 (2)_품셈 _2010 가로등 단가설계(작업중) 7 2 13 2" xfId="32646"/>
    <cellStyle name="#_cost9702 (2)_품셈 _2010 가로등 단가설계(작업중) 7 2 14" xfId="21022"/>
    <cellStyle name="#_cost9702 (2)_품셈 _2010 가로등 단가설계(작업중) 7 2 14 2" xfId="33459"/>
    <cellStyle name="#_cost9702 (2)_품셈 _2010 가로등 단가설계(작업중) 7 2 15" xfId="22246"/>
    <cellStyle name="#_cost9702 (2)_품셈 _2010 가로등 단가설계(작업중) 7 2 15 2" xfId="34681"/>
    <cellStyle name="#_cost9702 (2)_품셈 _2010 가로등 단가설계(작업중) 7 2 16" xfId="18411"/>
    <cellStyle name="#_cost9702 (2)_품셈 _2010 가로등 단가설계(작업중) 7 2 16 2" xfId="31116"/>
    <cellStyle name="#_cost9702 (2)_품셈 _2010 가로등 단가설계(작업중) 7 2 17" xfId="22404"/>
    <cellStyle name="#_cost9702 (2)_품셈 _2010 가로등 단가설계(작업중) 7 2 17 2" xfId="34838"/>
    <cellStyle name="#_cost9702 (2)_품셈 _2010 가로등 단가설계(작업중) 7 2 18" xfId="24179"/>
    <cellStyle name="#_cost9702 (2)_품셈 _2010 가로등 단가설계(작업중) 7 2 18 2" xfId="36610"/>
    <cellStyle name="#_cost9702 (2)_품셈 _2010 가로등 단가설계(작업중) 7 2 19" xfId="21189"/>
    <cellStyle name="#_cost9702 (2)_품셈 _2010 가로등 단가설계(작업중) 7 2 19 2" xfId="33626"/>
    <cellStyle name="#_cost9702 (2)_품셈 _2010 가로등 단가설계(작업중) 7 2 2" xfId="16282"/>
    <cellStyle name="#_cost9702 (2)_품셈 _2010 가로등 단가설계(작업중) 7 2 2 2" xfId="29058"/>
    <cellStyle name="#_cost9702 (2)_품셈 _2010 가로등 단가설계(작업중) 7 2 20" xfId="18405"/>
    <cellStyle name="#_cost9702 (2)_품셈 _2010 가로등 단가설계(작업중) 7 2 20 2" xfId="31110"/>
    <cellStyle name="#_cost9702 (2)_품셈 _2010 가로등 단가설계(작업중) 7 2 21" xfId="21545"/>
    <cellStyle name="#_cost9702 (2)_품셈 _2010 가로등 단가설계(작업중) 7 2 21 2" xfId="33982"/>
    <cellStyle name="#_cost9702 (2)_품셈 _2010 가로등 단가설계(작업중) 7 2 3" xfId="14482"/>
    <cellStyle name="#_cost9702 (2)_품셈 _2010 가로등 단가설계(작업중) 7 2 3 2" xfId="27314"/>
    <cellStyle name="#_cost9702 (2)_품셈 _2010 가로등 단가설계(작업중) 7 2 4" xfId="15268"/>
    <cellStyle name="#_cost9702 (2)_품셈 _2010 가로등 단가설계(작업중) 7 2 4 2" xfId="28085"/>
    <cellStyle name="#_cost9702 (2)_품셈 _2010 가로등 단가설계(작업중) 7 2 5" xfId="16722"/>
    <cellStyle name="#_cost9702 (2)_품셈 _2010 가로등 단가설계(작업중) 7 2 5 2" xfId="29498"/>
    <cellStyle name="#_cost9702 (2)_품셈 _2010 가로등 단가설계(작업중) 7 2 6" xfId="12719"/>
    <cellStyle name="#_cost9702 (2)_품셈 _2010 가로등 단가설계(작업중) 7 2 6 2" xfId="25596"/>
    <cellStyle name="#_cost9702 (2)_품셈 _2010 가로등 단가설계(작업중) 7 2 7" xfId="14536"/>
    <cellStyle name="#_cost9702 (2)_품셈 _2010 가로등 단가설계(작업중) 7 2 7 2" xfId="27364"/>
    <cellStyle name="#_cost9702 (2)_품셈 _2010 가로등 단가설계(작업중) 7 2 8" xfId="13939"/>
    <cellStyle name="#_cost9702 (2)_품셈 _2010 가로등 단가설계(작업중) 7 2 8 2" xfId="26797"/>
    <cellStyle name="#_cost9702 (2)_품셈 _2010 가로등 단가설계(작업중) 7 2 9" xfId="13727"/>
    <cellStyle name="#_cost9702 (2)_품셈 _2010 가로등 단가설계(작업중) 7 2 9 2" xfId="26588"/>
    <cellStyle name="#_cost9702 (2)_품셈 _2010 가로등 단가설계(작업중) 7 3" xfId="14964"/>
    <cellStyle name="#_cost9702 (2)_품셈 _2010 가로등 단가설계(작업중) 7 3 2" xfId="27785"/>
    <cellStyle name="#_cost9702 (2)_품셈 _2010 가로등 단가설계(작업중) 8" xfId="11017"/>
    <cellStyle name="#_cost9702 (2)_품셈 _2010 가로등 단가설계(작업중) 8 10" xfId="14862"/>
    <cellStyle name="#_cost9702 (2)_품셈 _2010 가로등 단가설계(작업중) 8 10 2" xfId="27684"/>
    <cellStyle name="#_cost9702 (2)_품셈 _2010 가로등 단가설계(작업중) 8 11" xfId="22737"/>
    <cellStyle name="#_cost9702 (2)_품셈 _2010 가로등 단가설계(작업중) 8 11 2" xfId="35171"/>
    <cellStyle name="#_cost9702 (2)_품셈 _2010 가로등 단가설계(작업중) 8 12" xfId="21428"/>
    <cellStyle name="#_cost9702 (2)_품셈 _2010 가로등 단가설계(작업중) 8 12 2" xfId="33865"/>
    <cellStyle name="#_cost9702 (2)_품셈 _2010 가로등 단가설계(작업중) 8 13" xfId="20203"/>
    <cellStyle name="#_cost9702 (2)_품셈 _2010 가로등 단가설계(작업중) 8 13 2" xfId="32649"/>
    <cellStyle name="#_cost9702 (2)_품셈 _2010 가로등 단가설계(작업중) 8 14" xfId="21025"/>
    <cellStyle name="#_cost9702 (2)_품셈 _2010 가로등 단가설계(작업중) 8 14 2" xfId="33462"/>
    <cellStyle name="#_cost9702 (2)_품셈 _2010 가로등 단가설계(작업중) 8 15" xfId="21953"/>
    <cellStyle name="#_cost9702 (2)_품셈 _2010 가로등 단가설계(작업중) 8 15 2" xfId="34390"/>
    <cellStyle name="#_cost9702 (2)_품셈 _2010 가로등 단가설계(작업중) 8 16" xfId="20608"/>
    <cellStyle name="#_cost9702 (2)_품셈 _2010 가로등 단가설계(작업중) 8 16 2" xfId="33052"/>
    <cellStyle name="#_cost9702 (2)_품셈 _2010 가로등 단가설계(작업중) 8 17" xfId="19538"/>
    <cellStyle name="#_cost9702 (2)_품셈 _2010 가로등 단가설계(작업중) 8 17 2" xfId="31993"/>
    <cellStyle name="#_cost9702 (2)_품셈 _2010 가로등 단가설계(작업중) 8 18" xfId="20127"/>
    <cellStyle name="#_cost9702 (2)_품셈 _2010 가로등 단가설계(작업중) 8 18 2" xfId="32573"/>
    <cellStyle name="#_cost9702 (2)_품셈 _2010 가로등 단가설계(작업중) 8 19" xfId="22154"/>
    <cellStyle name="#_cost9702 (2)_품셈 _2010 가로등 단가설계(작업중) 8 19 2" xfId="34590"/>
    <cellStyle name="#_cost9702 (2)_품셈 _2010 가로등 단가설계(작업중) 8 2" xfId="16276"/>
    <cellStyle name="#_cost9702 (2)_품셈 _2010 가로등 단가설계(작업중) 8 2 2" xfId="29052"/>
    <cellStyle name="#_cost9702 (2)_품셈 _2010 가로등 단가설계(작업중) 8 20" xfId="22040"/>
    <cellStyle name="#_cost9702 (2)_품셈 _2010 가로등 단가설계(작업중) 8 20 2" xfId="34477"/>
    <cellStyle name="#_cost9702 (2)_품셈 _2010 가로등 단가설계(작업중) 8 21" xfId="21634"/>
    <cellStyle name="#_cost9702 (2)_품셈 _2010 가로등 단가설계(작업중) 8 21 2" xfId="34071"/>
    <cellStyle name="#_cost9702 (2)_품셈 _2010 가로등 단가설계(작업중) 8 3" xfId="14476"/>
    <cellStyle name="#_cost9702 (2)_품셈 _2010 가로등 단가설계(작업중) 8 3 2" xfId="27308"/>
    <cellStyle name="#_cost9702 (2)_품셈 _2010 가로등 단가설계(작업중) 8 4" xfId="16682"/>
    <cellStyle name="#_cost9702 (2)_품셈 _2010 가로등 단가설계(작업중) 8 4 2" xfId="29458"/>
    <cellStyle name="#_cost9702 (2)_품셈 _2010 가로등 단가설계(작업중) 8 5" xfId="16719"/>
    <cellStyle name="#_cost9702 (2)_품셈 _2010 가로등 단가설계(작업중) 8 5 2" xfId="29495"/>
    <cellStyle name="#_cost9702 (2)_품셈 _2010 가로등 단가설계(작업중) 8 6" xfId="17511"/>
    <cellStyle name="#_cost9702 (2)_품셈 _2010 가로등 단가설계(작업중) 8 6 2" xfId="30233"/>
    <cellStyle name="#_cost9702 (2)_품셈 _2010 가로등 단가설계(작업중) 8 7" xfId="14769"/>
    <cellStyle name="#_cost9702 (2)_품셈 _2010 가로등 단가설계(작업중) 8 7 2" xfId="27594"/>
    <cellStyle name="#_cost9702 (2)_품셈 _2010 가로등 단가설계(작업중) 8 8" xfId="18000"/>
    <cellStyle name="#_cost9702 (2)_품셈 _2010 가로등 단가설계(작업중) 8 8 2" xfId="30712"/>
    <cellStyle name="#_cost9702 (2)_품셈 _2010 가로등 단가설계(작업중) 8 9" xfId="13728"/>
    <cellStyle name="#_cost9702 (2)_품셈 _2010 가로등 단가설계(작업중) 8 9 2" xfId="26589"/>
    <cellStyle name="#_cost9702 (2)_품셈 _2010 가로등 단가설계(작업중) 9" xfId="14958"/>
    <cellStyle name="#_cost9702 (2)_품셈 _2010 가로등 단가설계(작업중) 9 2" xfId="27779"/>
    <cellStyle name="#_cost9702 (2)_품셈 _2010 가로등 단가설계(작업중)_2010 가로등 단가설계" xfId="6696"/>
    <cellStyle name="#_cost9702 (2)_품셈 _2010 가로등 단가설계(작업중)_2010 가로등 단가설계 2" xfId="6697"/>
    <cellStyle name="#_cost9702 (2)_품셈 _2010 가로등 단가설계(작업중)_2010 가로등 단가설계 2 2" xfId="11025"/>
    <cellStyle name="#_cost9702 (2)_품셈 _2010 가로등 단가설계(작업중)_2010 가로등 단가설계 2 2 10" xfId="17430"/>
    <cellStyle name="#_cost9702 (2)_품셈 _2010 가로등 단가설계(작업중)_2010 가로등 단가설계 2 2 10 2" xfId="30153"/>
    <cellStyle name="#_cost9702 (2)_품셈 _2010 가로등 단가설계(작업중)_2010 가로등 단가설계 2 2 11" xfId="22745"/>
    <cellStyle name="#_cost9702 (2)_품셈 _2010 가로등 단가설계(작업중)_2010 가로등 단가설계 2 2 11 2" xfId="35179"/>
    <cellStyle name="#_cost9702 (2)_품셈 _2010 가로등 단가설계(작업중)_2010 가로등 단가설계 2 2 12" xfId="21420"/>
    <cellStyle name="#_cost9702 (2)_품셈 _2010 가로등 단가설계(작업중)_2010 가로등 단가설계 2 2 12 2" xfId="33857"/>
    <cellStyle name="#_cost9702 (2)_품셈 _2010 가로등 단가설계(작업중)_2010 가로등 단가설계 2 2 13" xfId="20199"/>
    <cellStyle name="#_cost9702 (2)_품셈 _2010 가로등 단가설계(작업중)_2010 가로등 단가설계 2 2 13 2" xfId="32645"/>
    <cellStyle name="#_cost9702 (2)_품셈 _2010 가로등 단가설계(작업중)_2010 가로등 단가설계 2 2 14" xfId="21021"/>
    <cellStyle name="#_cost9702 (2)_품셈 _2010 가로등 단가설계(작업중)_2010 가로등 단가설계 2 2 14 2" xfId="33458"/>
    <cellStyle name="#_cost9702 (2)_품셈 _2010 가로등 단가설계(작업중)_2010 가로등 단가설계 2 2 15" xfId="22250"/>
    <cellStyle name="#_cost9702 (2)_품셈 _2010 가로등 단가설계(작업중)_2010 가로등 단가설계 2 2 15 2" xfId="34685"/>
    <cellStyle name="#_cost9702 (2)_품셈 _2010 가로등 단가설계(작업중)_2010 가로등 단가설계 2 2 16" xfId="20093"/>
    <cellStyle name="#_cost9702 (2)_품셈 _2010 가로등 단가설계(작업중)_2010 가로등 단가설계 2 2 16 2" xfId="32539"/>
    <cellStyle name="#_cost9702 (2)_품셈 _2010 가로등 단가설계(작업중)_2010 가로등 단가설계 2 2 17" xfId="20644"/>
    <cellStyle name="#_cost9702 (2)_품셈 _2010 가로등 단가설계(작업중)_2010 가로등 단가설계 2 2 17 2" xfId="33088"/>
    <cellStyle name="#_cost9702 (2)_품셈 _2010 가로등 단가설계(작업중)_2010 가로등 단가설계 2 2 18" xfId="23214"/>
    <cellStyle name="#_cost9702 (2)_품셈 _2010 가로등 단가설계(작업중)_2010 가로등 단가설계 2 2 18 2" xfId="35647"/>
    <cellStyle name="#_cost9702 (2)_품셈 _2010 가로등 단가설계(작업중)_2010 가로등 단가설계 2 2 19" xfId="23235"/>
    <cellStyle name="#_cost9702 (2)_품셈 _2010 가로등 단가설계(작업중)_2010 가로등 단가설계 2 2 19 2" xfId="35667"/>
    <cellStyle name="#_cost9702 (2)_품셈 _2010 가로등 단가설계(작업중)_2010 가로등 단가설계 2 2 2" xfId="16284"/>
    <cellStyle name="#_cost9702 (2)_품셈 _2010 가로등 단가설계(작업중)_2010 가로등 단가설계 2 2 2 2" xfId="29060"/>
    <cellStyle name="#_cost9702 (2)_품셈 _2010 가로등 단가설계(작업중)_2010 가로등 단가설계 2 2 20" xfId="21750"/>
    <cellStyle name="#_cost9702 (2)_품셈 _2010 가로등 단가설계(작업중)_2010 가로등 단가설계 2 2 20 2" xfId="34187"/>
    <cellStyle name="#_cost9702 (2)_품셈 _2010 가로등 단가설계(작업중)_2010 가로등 단가설계 2 2 21" xfId="22028"/>
    <cellStyle name="#_cost9702 (2)_품셈 _2010 가로등 단가설계(작업중)_2010 가로등 단가설계 2 2 21 2" xfId="34465"/>
    <cellStyle name="#_cost9702 (2)_품셈 _2010 가로등 단가설계(작업중)_2010 가로등 단가설계 2 2 3" xfId="14484"/>
    <cellStyle name="#_cost9702 (2)_품셈 _2010 가로등 단가설계(작업중)_2010 가로등 단가설계 2 2 3 2" xfId="27316"/>
    <cellStyle name="#_cost9702 (2)_품셈 _2010 가로등 단가설계(작업중)_2010 가로등 단가설계 2 2 4" xfId="16679"/>
    <cellStyle name="#_cost9702 (2)_품셈 _2010 가로등 단가설계(작업중)_2010 가로등 단가설계 2 2 4 2" xfId="29455"/>
    <cellStyle name="#_cost9702 (2)_품셈 _2010 가로등 단가설계(작업중)_2010 가로등 단가설계 2 2 5" xfId="13477"/>
    <cellStyle name="#_cost9702 (2)_품셈 _2010 가로등 단가설계(작업중)_2010 가로등 단가설계 2 2 5 2" xfId="26345"/>
    <cellStyle name="#_cost9702 (2)_품셈 _2010 가로등 단가설계(작업중)_2010 가로등 단가설계 2 2 6" xfId="12720"/>
    <cellStyle name="#_cost9702 (2)_품셈 _2010 가로등 단가설계(작업중)_2010 가로등 단가설계 2 2 6 2" xfId="25597"/>
    <cellStyle name="#_cost9702 (2)_품셈 _2010 가로등 단가설계(작업중)_2010 가로등 단가설계 2 2 7" xfId="14213"/>
    <cellStyle name="#_cost9702 (2)_품셈 _2010 가로등 단가설계(작업중)_2010 가로등 단가설계 2 2 7 2" xfId="27059"/>
    <cellStyle name="#_cost9702 (2)_품셈 _2010 가로등 단가설계(작업중)_2010 가로등 단가설계 2 2 8" xfId="15744"/>
    <cellStyle name="#_cost9702 (2)_품셈 _2010 가로등 단가설계(작업중)_2010 가로등 단가설계 2 2 8 2" xfId="28543"/>
    <cellStyle name="#_cost9702 (2)_품셈 _2010 가로등 단가설계(작업중)_2010 가로등 단가설계 2 2 9" xfId="15065"/>
    <cellStyle name="#_cost9702 (2)_품셈 _2010 가로등 단가설계(작업중)_2010 가로등 단가설계 2 2 9 2" xfId="27885"/>
    <cellStyle name="#_cost9702 (2)_품셈 _2010 가로등 단가설계(작업중)_2010 가로등 단가설계 2 3" xfId="14966"/>
    <cellStyle name="#_cost9702 (2)_품셈 _2010 가로등 단가설계(작업중)_2010 가로등 단가설계 2 3 2" xfId="27787"/>
    <cellStyle name="#_cost9702 (2)_품셈 _2010 가로등 단가설계(작업중)_2010 가로등 단가설계 3" xfId="6698"/>
    <cellStyle name="#_cost9702 (2)_품셈 _2010 가로등 단가설계(작업중)_2010 가로등 단가설계 3 2" xfId="11026"/>
    <cellStyle name="#_cost9702 (2)_품셈 _2010 가로등 단가설계(작업중)_2010 가로등 단가설계 3 2 10" xfId="14699"/>
    <cellStyle name="#_cost9702 (2)_품셈 _2010 가로등 단가설계(작업중)_2010 가로등 단가설계 3 2 10 2" xfId="27525"/>
    <cellStyle name="#_cost9702 (2)_품셈 _2010 가로등 단가설계(작업중)_2010 가로등 단가설계 3 2 11" xfId="22746"/>
    <cellStyle name="#_cost9702 (2)_품셈 _2010 가로등 단가설계(작업중)_2010 가로등 단가설계 3 2 11 2" xfId="35180"/>
    <cellStyle name="#_cost9702 (2)_품셈 _2010 가로등 단가설계(작업중)_2010 가로등 단가설계 3 2 12" xfId="21419"/>
    <cellStyle name="#_cost9702 (2)_품셈 _2010 가로등 단가설계(작업중)_2010 가로등 단가설계 3 2 12 2" xfId="33856"/>
    <cellStyle name="#_cost9702 (2)_품셈 _2010 가로등 단가설계(작업중)_2010 가로등 단가설계 3 2 13" xfId="20451"/>
    <cellStyle name="#_cost9702 (2)_품셈 _2010 가로등 단가설계(작업중)_2010 가로등 단가설계 3 2 13 2" xfId="32896"/>
    <cellStyle name="#_cost9702 (2)_품셈 _2010 가로등 단가설계(작업중)_2010 가로등 단가설계 3 2 14" xfId="20708"/>
    <cellStyle name="#_cost9702 (2)_품셈 _2010 가로등 단가설계(작업중)_2010 가로등 단가설계 3 2 14 2" xfId="33151"/>
    <cellStyle name="#_cost9702 (2)_품셈 _2010 가로등 단가설계(작업중)_2010 가로등 단가설계 3 2 15" xfId="18632"/>
    <cellStyle name="#_cost9702 (2)_품셈 _2010 가로등 단가설계(작업중)_2010 가로등 단가설계 3 2 15 2" xfId="31337"/>
    <cellStyle name="#_cost9702 (2)_품셈 _2010 가로등 단가설계(작업중)_2010 가로등 단가설계 3 2 16" xfId="23117"/>
    <cellStyle name="#_cost9702 (2)_품셈 _2010 가로등 단가설계(작업중)_2010 가로등 단가설계 3 2 16 2" xfId="35550"/>
    <cellStyle name="#_cost9702 (2)_품셈 _2010 가로등 단가설계(작업중)_2010 가로등 단가설계 3 2 17" xfId="18694"/>
    <cellStyle name="#_cost9702 (2)_품셈 _2010 가로등 단가설계(작업중)_2010 가로등 단가설계 3 2 17 2" xfId="31399"/>
    <cellStyle name="#_cost9702 (2)_품셈 _2010 가로등 단가설계(작업중)_2010 가로등 단가설계 3 2 18" xfId="20377"/>
    <cellStyle name="#_cost9702 (2)_품셈 _2010 가로등 단가설계(작업중)_2010 가로등 단가설계 3 2 18 2" xfId="32822"/>
    <cellStyle name="#_cost9702 (2)_품셈 _2010 가로등 단가설계(작업중)_2010 가로등 단가설계 3 2 19" xfId="21299"/>
    <cellStyle name="#_cost9702 (2)_품셈 _2010 가로등 단가설계(작업중)_2010 가로등 단가설계 3 2 19 2" xfId="33736"/>
    <cellStyle name="#_cost9702 (2)_품셈 _2010 가로등 단가설계(작업중)_2010 가로등 단가설계 3 2 2" xfId="16285"/>
    <cellStyle name="#_cost9702 (2)_품셈 _2010 가로등 단가설계(작업중)_2010 가로등 단가설계 3 2 2 2" xfId="29061"/>
    <cellStyle name="#_cost9702 (2)_품셈 _2010 가로등 단가설계(작업중)_2010 가로등 단가설계 3 2 20" xfId="21910"/>
    <cellStyle name="#_cost9702 (2)_품셈 _2010 가로등 단가설계(작업중)_2010 가로등 단가설계 3 2 20 2" xfId="34347"/>
    <cellStyle name="#_cost9702 (2)_품셈 _2010 가로등 단가설계(작업중)_2010 가로등 단가설계 3 2 21" xfId="21712"/>
    <cellStyle name="#_cost9702 (2)_품셈 _2010 가로등 단가설계(작업중)_2010 가로등 단가설계 3 2 21 2" xfId="34149"/>
    <cellStyle name="#_cost9702 (2)_품셈 _2010 가로등 단가설계(작업중)_2010 가로등 단가설계 3 2 3" xfId="14485"/>
    <cellStyle name="#_cost9702 (2)_품셈 _2010 가로등 단가설계(작업중)_2010 가로등 단가설계 3 2 3 2" xfId="27317"/>
    <cellStyle name="#_cost9702 (2)_품셈 _2010 가로등 단가설계(작업중)_2010 가로등 단가설계 3 2 4" xfId="12777"/>
    <cellStyle name="#_cost9702 (2)_품셈 _2010 가로등 단가설계(작업중)_2010 가로등 단가설계 3 2 4 2" xfId="25653"/>
    <cellStyle name="#_cost9702 (2)_품셈 _2010 가로등 단가설계(작업중)_2010 가로등 단가설계 3 2 5" xfId="13272"/>
    <cellStyle name="#_cost9702 (2)_품셈 _2010 가로등 단가설계(작업중)_2010 가로등 단가설계 3 2 5 2" xfId="26140"/>
    <cellStyle name="#_cost9702 (2)_품셈 _2010 가로등 단가설계(작업중)_2010 가로등 단가설계 3 2 6" xfId="15778"/>
    <cellStyle name="#_cost9702 (2)_품셈 _2010 가로등 단가설계(작업중)_2010 가로등 단가설계 3 2 6 2" xfId="28577"/>
    <cellStyle name="#_cost9702 (2)_품셈 _2010 가로등 단가설계(작업중)_2010 가로등 단가설계 3 2 7" xfId="15598"/>
    <cellStyle name="#_cost9702 (2)_품셈 _2010 가로등 단가설계(작업중)_2010 가로등 단가설계 3 2 7 2" xfId="28407"/>
    <cellStyle name="#_cost9702 (2)_품셈 _2010 가로등 단가설계(작업중)_2010 가로등 단가설계 3 2 8" xfId="17552"/>
    <cellStyle name="#_cost9702 (2)_품셈 _2010 가로등 단가설계(작업중)_2010 가로등 단가설계 3 2 8 2" xfId="30272"/>
    <cellStyle name="#_cost9702 (2)_품셈 _2010 가로등 단가설계(작업중)_2010 가로등 단가설계 3 2 9" xfId="13830"/>
    <cellStyle name="#_cost9702 (2)_품셈 _2010 가로등 단가설계(작업중)_2010 가로등 단가설계 3 2 9 2" xfId="26689"/>
    <cellStyle name="#_cost9702 (2)_품셈 _2010 가로등 단가설계(작업중)_2010 가로등 단가설계 3 3" xfId="14967"/>
    <cellStyle name="#_cost9702 (2)_품셈 _2010 가로등 단가설계(작업중)_2010 가로등 단가설계 3 3 2" xfId="27788"/>
    <cellStyle name="#_cost9702 (2)_품셈 _2010 가로등 단가설계(작업중)_2010 가로등 단가설계 4" xfId="6699"/>
    <cellStyle name="#_cost9702 (2)_품셈 _2010 가로등 단가설계(작업중)_2010 가로등 단가설계 4 2" xfId="11027"/>
    <cellStyle name="#_cost9702 (2)_품셈 _2010 가로등 단가설계(작업중)_2010 가로등 단가설계 4 2 10" xfId="18072"/>
    <cellStyle name="#_cost9702 (2)_품셈 _2010 가로등 단가설계(작업중)_2010 가로등 단가설계 4 2 10 2" xfId="30783"/>
    <cellStyle name="#_cost9702 (2)_품셈 _2010 가로등 단가설계(작업중)_2010 가로등 단가설계 4 2 11" xfId="22747"/>
    <cellStyle name="#_cost9702 (2)_품셈 _2010 가로등 단가설계(작업중)_2010 가로등 단가설계 4 2 11 2" xfId="35181"/>
    <cellStyle name="#_cost9702 (2)_품셈 _2010 가로등 단가설계(작업중)_2010 가로등 단가설계 4 2 12" xfId="21418"/>
    <cellStyle name="#_cost9702 (2)_품셈 _2010 가로등 단가설계(작업중)_2010 가로등 단가설계 4 2 12 2" xfId="33855"/>
    <cellStyle name="#_cost9702 (2)_품셈 _2010 가로등 단가설계(작업중)_2010 가로등 단가설계 4 2 13" xfId="20198"/>
    <cellStyle name="#_cost9702 (2)_품셈 _2010 가로등 단가설계(작업중)_2010 가로등 단가설계 4 2 13 2" xfId="32644"/>
    <cellStyle name="#_cost9702 (2)_품셈 _2010 가로등 단가설계(작업중)_2010 가로등 단가설계 4 2 14" xfId="19021"/>
    <cellStyle name="#_cost9702 (2)_품셈 _2010 가로등 단가설계(작업중)_2010 가로등 단가설계 4 2 14 2" xfId="31726"/>
    <cellStyle name="#_cost9702 (2)_품셈 _2010 가로등 단가설계(작업중)_2010 가로등 단가설계 4 2 15" xfId="22456"/>
    <cellStyle name="#_cost9702 (2)_품셈 _2010 가로등 단가설계(작업중)_2010 가로등 단가설계 4 2 15 2" xfId="34890"/>
    <cellStyle name="#_cost9702 (2)_품셈 _2010 가로등 단가설계(작업중)_2010 가로등 단가설계 4 2 16" xfId="20011"/>
    <cellStyle name="#_cost9702 (2)_품셈 _2010 가로등 단가설계(작업중)_2010 가로등 단가설계 4 2 16 2" xfId="32457"/>
    <cellStyle name="#_cost9702 (2)_품셈 _2010 가로등 단가설계(작업중)_2010 가로등 단가설계 4 2 17" xfId="23170"/>
    <cellStyle name="#_cost9702 (2)_품셈 _2010 가로등 단가설계(작업중)_2010 가로등 단가설계 4 2 17 2" xfId="35603"/>
    <cellStyle name="#_cost9702 (2)_품셈 _2010 가로등 단가설계(작업중)_2010 가로등 단가설계 4 2 18" xfId="24178"/>
    <cellStyle name="#_cost9702 (2)_품셈 _2010 가로등 단가설계(작업중)_2010 가로등 단가설계 4 2 18 2" xfId="36609"/>
    <cellStyle name="#_cost9702 (2)_품셈 _2010 가로등 단가설계(작업중)_2010 가로등 단가설계 4 2 19" xfId="21766"/>
    <cellStyle name="#_cost9702 (2)_품셈 _2010 가로등 단가설계(작업중)_2010 가로등 단가설계 4 2 19 2" xfId="34203"/>
    <cellStyle name="#_cost9702 (2)_품셈 _2010 가로등 단가설계(작업중)_2010 가로등 단가설계 4 2 2" xfId="16286"/>
    <cellStyle name="#_cost9702 (2)_품셈 _2010 가로등 단가설계(작업중)_2010 가로등 단가설계 4 2 2 2" xfId="29062"/>
    <cellStyle name="#_cost9702 (2)_품셈 _2010 가로등 단가설계(작업중)_2010 가로등 단가설계 4 2 20" xfId="19147"/>
    <cellStyle name="#_cost9702 (2)_품셈 _2010 가로등 단가설계(작업중)_2010 가로등 단가설계 4 2 20 2" xfId="31803"/>
    <cellStyle name="#_cost9702 (2)_품셈 _2010 가로등 단가설계(작업중)_2010 가로등 단가설계 4 2 21" xfId="18751"/>
    <cellStyle name="#_cost9702 (2)_품셈 _2010 가로등 단가설계(작업중)_2010 가로등 단가설계 4 2 21 2" xfId="31456"/>
    <cellStyle name="#_cost9702 (2)_품셈 _2010 가로등 단가설계(작업중)_2010 가로등 단가설계 4 2 3" xfId="14486"/>
    <cellStyle name="#_cost9702 (2)_품셈 _2010 가로등 단가설계(작업중)_2010 가로등 단가설계 4 2 3 2" xfId="27318"/>
    <cellStyle name="#_cost9702 (2)_품셈 _2010 가로등 단가설계(작업중)_2010 가로등 단가설계 4 2 4" xfId="15165"/>
    <cellStyle name="#_cost9702 (2)_품셈 _2010 가로등 단가설계(작업중)_2010 가로등 단가설계 4 2 4 2" xfId="27984"/>
    <cellStyle name="#_cost9702 (2)_품셈 _2010 가로등 단가설계(작업중)_2010 가로등 단가설계 4 2 5" xfId="13478"/>
    <cellStyle name="#_cost9702 (2)_품셈 _2010 가로등 단가설계(작업중)_2010 가로등 단가설계 4 2 5 2" xfId="26346"/>
    <cellStyle name="#_cost9702 (2)_품셈 _2010 가로등 단가설계(작업중)_2010 가로등 단가설계 4 2 6" xfId="15214"/>
    <cellStyle name="#_cost9702 (2)_품셈 _2010 가로등 단가설계(작업중)_2010 가로등 단가설계 4 2 6 2" xfId="28032"/>
    <cellStyle name="#_cost9702 (2)_품셈 _2010 가로등 단가설계(작업중)_2010 가로등 단가설계 4 2 7" xfId="17751"/>
    <cellStyle name="#_cost9702 (2)_품셈 _2010 가로등 단가설계(작업중)_2010 가로등 단가설계 4 2 7 2" xfId="30468"/>
    <cellStyle name="#_cost9702 (2)_품셈 _2010 가로등 단가설계(작업중)_2010 가로등 단가설계 4 2 8" xfId="15745"/>
    <cellStyle name="#_cost9702 (2)_품셈 _2010 가로등 단가설계(작업중)_2010 가로등 단가설계 4 2 8 2" xfId="28544"/>
    <cellStyle name="#_cost9702 (2)_품셈 _2010 가로등 단가설계(작업중)_2010 가로등 단가설계 4 2 9" xfId="17112"/>
    <cellStyle name="#_cost9702 (2)_품셈 _2010 가로등 단가설계(작업중)_2010 가로등 단가설계 4 2 9 2" xfId="29847"/>
    <cellStyle name="#_cost9702 (2)_품셈 _2010 가로등 단가설계(작업중)_2010 가로등 단가설계 4 3" xfId="14968"/>
    <cellStyle name="#_cost9702 (2)_품셈 _2010 가로등 단가설계(작업중)_2010 가로등 단가설계 4 3 2" xfId="27789"/>
    <cellStyle name="#_cost9702 (2)_품셈 _2010 가로등 단가설계(작업중)_2010 가로등 단가설계 5" xfId="6700"/>
    <cellStyle name="#_cost9702 (2)_품셈 _2010 가로등 단가설계(작업중)_2010 가로등 단가설계 5 2" xfId="11028"/>
    <cellStyle name="#_cost9702 (2)_품셈 _2010 가로등 단가설계(작업중)_2010 가로등 단가설계 5 2 10" xfId="16949"/>
    <cellStyle name="#_cost9702 (2)_품셈 _2010 가로등 단가설계(작업중)_2010 가로등 단가설계 5 2 10 2" xfId="29724"/>
    <cellStyle name="#_cost9702 (2)_품셈 _2010 가로등 단가설계(작업중)_2010 가로등 단가설계 5 2 11" xfId="22748"/>
    <cellStyle name="#_cost9702 (2)_품셈 _2010 가로등 단가설계(작업중)_2010 가로등 단가설계 5 2 11 2" xfId="35182"/>
    <cellStyle name="#_cost9702 (2)_품셈 _2010 가로등 단가설계(작업중)_2010 가로등 단가설계 5 2 12" xfId="21417"/>
    <cellStyle name="#_cost9702 (2)_품셈 _2010 가로등 단가설계(작업중)_2010 가로등 단가설계 5 2 12 2" xfId="33854"/>
    <cellStyle name="#_cost9702 (2)_품셈 _2010 가로등 단가설계(작업중)_2010 가로등 단가설계 5 2 13" xfId="20450"/>
    <cellStyle name="#_cost9702 (2)_품셈 _2010 가로등 단가설계(작업중)_2010 가로등 단가설계 5 2 13 2" xfId="32895"/>
    <cellStyle name="#_cost9702 (2)_품셈 _2010 가로등 단가설계(작업중)_2010 가로등 단가설계 5 2 14" xfId="23736"/>
    <cellStyle name="#_cost9702 (2)_품셈 _2010 가로등 단가설계(작업중)_2010 가로등 단가설계 5 2 14 2" xfId="36167"/>
    <cellStyle name="#_cost9702 (2)_품셈 _2010 가로등 단가설계(작업중)_2010 가로등 단가설계 5 2 15" xfId="23707"/>
    <cellStyle name="#_cost9702 (2)_품셈 _2010 가로등 단가설계(작업중)_2010 가로등 단가설계 5 2 15 2" xfId="36138"/>
    <cellStyle name="#_cost9702 (2)_품셈 _2010 가로등 단가설계(작업중)_2010 가로등 단가설계 5 2 16" xfId="20610"/>
    <cellStyle name="#_cost9702 (2)_품셈 _2010 가로등 단가설계(작업중)_2010 가로등 단가설계 5 2 16 2" xfId="33054"/>
    <cellStyle name="#_cost9702 (2)_품셈 _2010 가로등 단가설계(작업중)_2010 가로등 단가설계 5 2 17" xfId="18673"/>
    <cellStyle name="#_cost9702 (2)_품셈 _2010 가로등 단가설계(작업중)_2010 가로등 단가설계 5 2 17 2" xfId="31378"/>
    <cellStyle name="#_cost9702 (2)_품셈 _2010 가로등 단가설계(작업중)_2010 가로등 단가설계 5 2 18" xfId="24177"/>
    <cellStyle name="#_cost9702 (2)_품셈 _2010 가로등 단가설계(작업중)_2010 가로등 단가설계 5 2 18 2" xfId="36608"/>
    <cellStyle name="#_cost9702 (2)_품셈 _2010 가로등 단가설계(작업중)_2010 가로등 단가설계 5 2 19" xfId="21300"/>
    <cellStyle name="#_cost9702 (2)_품셈 _2010 가로등 단가설계(작업중)_2010 가로등 단가설계 5 2 19 2" xfId="33737"/>
    <cellStyle name="#_cost9702 (2)_품셈 _2010 가로등 단가설계(작업중)_2010 가로등 단가설계 5 2 2" xfId="16287"/>
    <cellStyle name="#_cost9702 (2)_품셈 _2010 가로등 단가설계(작업중)_2010 가로등 단가설계 5 2 2 2" xfId="29063"/>
    <cellStyle name="#_cost9702 (2)_품셈 _2010 가로등 단가설계(작업중)_2010 가로등 단가설계 5 2 20" xfId="21909"/>
    <cellStyle name="#_cost9702 (2)_품셈 _2010 가로등 단가설계(작업중)_2010 가로등 단가설계 5 2 20 2" xfId="34346"/>
    <cellStyle name="#_cost9702 (2)_품셈 _2010 가로등 단가설계(작업중)_2010 가로등 단가설계 5 2 21" xfId="20840"/>
    <cellStyle name="#_cost9702 (2)_품셈 _2010 가로등 단가설계(작업중)_2010 가로등 단가설계 5 2 21 2" xfId="33277"/>
    <cellStyle name="#_cost9702 (2)_품셈 _2010 가로등 단가설계(작업중)_2010 가로등 단가설계 5 2 3" xfId="14487"/>
    <cellStyle name="#_cost9702 (2)_품셈 _2010 가로등 단가설계(작업중)_2010 가로등 단가설계 5 2 3 2" xfId="27319"/>
    <cellStyle name="#_cost9702 (2)_품셈 _2010 가로등 단가설계(작업중)_2010 가로등 단가설계 5 2 4" xfId="15192"/>
    <cellStyle name="#_cost9702 (2)_품셈 _2010 가로등 단가설계(작업중)_2010 가로등 단가설계 5 2 4 2" xfId="28011"/>
    <cellStyle name="#_cost9702 (2)_품셈 _2010 가로등 단가설계(작업중)_2010 가로등 단가설계 5 2 5" xfId="13273"/>
    <cellStyle name="#_cost9702 (2)_품셈 _2010 가로등 단가설계(작업중)_2010 가로등 단가설계 5 2 5 2" xfId="26141"/>
    <cellStyle name="#_cost9702 (2)_품셈 _2010 가로등 단가설계(작업중)_2010 가로등 단가설계 5 2 6" xfId="15779"/>
    <cellStyle name="#_cost9702 (2)_품셈 _2010 가로등 단가설계(작업중)_2010 가로등 단가설계 5 2 6 2" xfId="28578"/>
    <cellStyle name="#_cost9702 (2)_품셈 _2010 가로등 단가설계(작업중)_2010 가로등 단가설계 5 2 7" xfId="17750"/>
    <cellStyle name="#_cost9702 (2)_품셈 _2010 가로등 단가설계(작업중)_2010 가로등 단가설계 5 2 7 2" xfId="30467"/>
    <cellStyle name="#_cost9702 (2)_품셈 _2010 가로등 단가설계(작업중)_2010 가로등 단가설계 5 2 8" xfId="17553"/>
    <cellStyle name="#_cost9702 (2)_품셈 _2010 가로등 단가설계(작업중)_2010 가로등 단가설계 5 2 8 2" xfId="30273"/>
    <cellStyle name="#_cost9702 (2)_품셈 _2010 가로등 단가설계(작업중)_2010 가로등 단가설계 5 2 9" xfId="17610"/>
    <cellStyle name="#_cost9702 (2)_품셈 _2010 가로등 단가설계(작업중)_2010 가로등 단가설계 5 2 9 2" xfId="30327"/>
    <cellStyle name="#_cost9702 (2)_품셈 _2010 가로등 단가설계(작업중)_2010 가로등 단가설계 5 3" xfId="14969"/>
    <cellStyle name="#_cost9702 (2)_품셈 _2010 가로등 단가설계(작업중)_2010 가로등 단가설계 5 3 2" xfId="27790"/>
    <cellStyle name="#_cost9702 (2)_품셈 _2010 가로등 단가설계(작업중)_2010 가로등 단가설계 6" xfId="6701"/>
    <cellStyle name="#_cost9702 (2)_품셈 _2010 가로등 단가설계(작업중)_2010 가로등 단가설계 6 2" xfId="11029"/>
    <cellStyle name="#_cost9702 (2)_품셈 _2010 가로등 단가설계(작업중)_2010 가로등 단가설계 6 2 10" xfId="18071"/>
    <cellStyle name="#_cost9702 (2)_품셈 _2010 가로등 단가설계(작업중)_2010 가로등 단가설계 6 2 10 2" xfId="30782"/>
    <cellStyle name="#_cost9702 (2)_품셈 _2010 가로등 단가설계(작업중)_2010 가로등 단가설계 6 2 11" xfId="22749"/>
    <cellStyle name="#_cost9702 (2)_품셈 _2010 가로등 단가설계(작업중)_2010 가로등 단가설계 6 2 11 2" xfId="35183"/>
    <cellStyle name="#_cost9702 (2)_품셈 _2010 가로등 단가설계(작업중)_2010 가로등 단가설계 6 2 12" xfId="21416"/>
    <cellStyle name="#_cost9702 (2)_품셈 _2010 가로등 단가설계(작업중)_2010 가로등 단가설계 6 2 12 2" xfId="33853"/>
    <cellStyle name="#_cost9702 (2)_품셈 _2010 가로등 단가설계(작업중)_2010 가로등 단가설계 6 2 13" xfId="20197"/>
    <cellStyle name="#_cost9702 (2)_품셈 _2010 가로등 단가설계(작업중)_2010 가로등 단가설계 6 2 13 2" xfId="32643"/>
    <cellStyle name="#_cost9702 (2)_품셈 _2010 가로등 단가설계(작업중)_2010 가로등 단가설계 6 2 14" xfId="21020"/>
    <cellStyle name="#_cost9702 (2)_품셈 _2010 가로등 단가설계(작업중)_2010 가로등 단가설계 6 2 14 2" xfId="33457"/>
    <cellStyle name="#_cost9702 (2)_품셈 _2010 가로등 단가설계(작업중)_2010 가로등 단가설계 6 2 15" xfId="22245"/>
    <cellStyle name="#_cost9702 (2)_품셈 _2010 가로등 단가설계(작업중)_2010 가로등 단가설계 6 2 15 2" xfId="34680"/>
    <cellStyle name="#_cost9702 (2)_품셈 _2010 가로등 단가설계(작업중)_2010 가로등 단가설계 6 2 16" xfId="20012"/>
    <cellStyle name="#_cost9702 (2)_품셈 _2010 가로등 단가설계(작업중)_2010 가로등 단가설계 6 2 16 2" xfId="32458"/>
    <cellStyle name="#_cost9702 (2)_품셈 _2010 가로등 단가설계(작업중)_2010 가로등 단가설계 6 2 17" xfId="20645"/>
    <cellStyle name="#_cost9702 (2)_품셈 _2010 가로등 단가설계(작업중)_2010 가로등 단가설계 6 2 17 2" xfId="33089"/>
    <cellStyle name="#_cost9702 (2)_품셈 _2010 가로등 단가설계(작업중)_2010 가로등 단가설계 6 2 18" xfId="24176"/>
    <cellStyle name="#_cost9702 (2)_품셈 _2010 가로등 단가설계(작업중)_2010 가로등 단가설계 6 2 18 2" xfId="36607"/>
    <cellStyle name="#_cost9702 (2)_품셈 _2010 가로등 단가설계(작업중)_2010 가로등 단가설계 6 2 19" xfId="24751"/>
    <cellStyle name="#_cost9702 (2)_품셈 _2010 가로등 단가설계(작업중)_2010 가로등 단가설계 6 2 19 2" xfId="37182"/>
    <cellStyle name="#_cost9702 (2)_품셈 _2010 가로등 단가설계(작업중)_2010 가로등 단가설계 6 2 2" xfId="16288"/>
    <cellStyle name="#_cost9702 (2)_품셈 _2010 가로등 단가설계(작업중)_2010 가로등 단가설계 6 2 2 2" xfId="29064"/>
    <cellStyle name="#_cost9702 (2)_품셈 _2010 가로등 단가설계(작업중)_2010 가로등 단가설계 6 2 20" xfId="23918"/>
    <cellStyle name="#_cost9702 (2)_품셈 _2010 가로등 단가설계(작업중)_2010 가로등 단가설계 6 2 20 2" xfId="36349"/>
    <cellStyle name="#_cost9702 (2)_품셈 _2010 가로등 단가설계(작업중)_2010 가로등 단가설계 6 2 21" xfId="23794"/>
    <cellStyle name="#_cost9702 (2)_품셈 _2010 가로등 단가설계(작업중)_2010 가로등 단가설계 6 2 21 2" xfId="36225"/>
    <cellStyle name="#_cost9702 (2)_품셈 _2010 가로등 단가설계(작업중)_2010 가로등 단가설계 6 2 3" xfId="14488"/>
    <cellStyle name="#_cost9702 (2)_품셈 _2010 가로등 단가설계(작업중)_2010 가로등 단가설계 6 2 3 2" xfId="27320"/>
    <cellStyle name="#_cost9702 (2)_품셈 _2010 가로등 단가설계(작업중)_2010 가로등 단가설계 6 2 4" xfId="15267"/>
    <cellStyle name="#_cost9702 (2)_품셈 _2010 가로등 단가설계(작업중)_2010 가로등 단가설계 6 2 4 2" xfId="28084"/>
    <cellStyle name="#_cost9702 (2)_품셈 _2010 가로등 단가설계(작업중)_2010 가로등 단가설계 6 2 5" xfId="13479"/>
    <cellStyle name="#_cost9702 (2)_품셈 _2010 가로등 단가설계(작업중)_2010 가로등 단가설계 6 2 5 2" xfId="26347"/>
    <cellStyle name="#_cost9702 (2)_품셈 _2010 가로등 단가설계(작업중)_2010 가로등 단가설계 6 2 6" xfId="15209"/>
    <cellStyle name="#_cost9702 (2)_품셈 _2010 가로등 단가설계(작업중)_2010 가로등 단가설계 6 2 6 2" xfId="28027"/>
    <cellStyle name="#_cost9702 (2)_품셈 _2010 가로등 단가설계(작업중)_2010 가로등 단가설계 6 2 7" xfId="17749"/>
    <cellStyle name="#_cost9702 (2)_품셈 _2010 가로등 단가설계(작업중)_2010 가로등 단가설계 6 2 7 2" xfId="30466"/>
    <cellStyle name="#_cost9702 (2)_품셈 _2010 가로등 단가설계(작업중)_2010 가로등 단가설계 6 2 8" xfId="15622"/>
    <cellStyle name="#_cost9702 (2)_품셈 _2010 가로등 단가설계(작업중)_2010 가로등 단가설계 6 2 8 2" xfId="28431"/>
    <cellStyle name="#_cost9702 (2)_품셈 _2010 가로등 단가설계(작업중)_2010 가로등 단가설계 6 2 9" xfId="14097"/>
    <cellStyle name="#_cost9702 (2)_품셈 _2010 가로등 단가설계(작업중)_2010 가로등 단가설계 6 2 9 2" xfId="26945"/>
    <cellStyle name="#_cost9702 (2)_품셈 _2010 가로등 단가설계(작업중)_2010 가로등 단가설계 6 3" xfId="14970"/>
    <cellStyle name="#_cost9702 (2)_품셈 _2010 가로등 단가설계(작업중)_2010 가로등 단가설계 6 3 2" xfId="27791"/>
    <cellStyle name="#_cost9702 (2)_품셈 _2010 가로등 단가설계(작업중)_2010 가로등 단가설계 7" xfId="6702"/>
    <cellStyle name="#_cost9702 (2)_품셈 _2010 가로등 단가설계(작업중)_2010 가로등 단가설계 7 2" xfId="11030"/>
    <cellStyle name="#_cost9702 (2)_품셈 _2010 가로등 단가설계(작업중)_2010 가로등 단가설계 7 2 10" xfId="12795"/>
    <cellStyle name="#_cost9702 (2)_품셈 _2010 가로등 단가설계(작업중)_2010 가로등 단가설계 7 2 10 2" xfId="25671"/>
    <cellStyle name="#_cost9702 (2)_품셈 _2010 가로등 단가설계(작업중)_2010 가로등 단가설계 7 2 11" xfId="22750"/>
    <cellStyle name="#_cost9702 (2)_품셈 _2010 가로등 단가설계(작업중)_2010 가로등 단가설계 7 2 11 2" xfId="35184"/>
    <cellStyle name="#_cost9702 (2)_품셈 _2010 가로등 단가설계(작업중)_2010 가로등 단가설계 7 2 12" xfId="21415"/>
    <cellStyle name="#_cost9702 (2)_품셈 _2010 가로등 단가설계(작업중)_2010 가로등 단가설계 7 2 12 2" xfId="33852"/>
    <cellStyle name="#_cost9702 (2)_품셈 _2010 가로등 단가설계(작업중)_2010 가로등 단가설계 7 2 13" xfId="22884"/>
    <cellStyle name="#_cost9702 (2)_품셈 _2010 가로등 단가설계(작업중)_2010 가로등 단가설계 7 2 13 2" xfId="35318"/>
    <cellStyle name="#_cost9702 (2)_품셈 _2010 가로등 단가설계(작업중)_2010 가로등 단가설계 7 2 14" xfId="23737"/>
    <cellStyle name="#_cost9702 (2)_품셈 _2010 가로등 단가설계(작업중)_2010 가로등 단가설계 7 2 14 2" xfId="36168"/>
    <cellStyle name="#_cost9702 (2)_품셈 _2010 가로등 단가설계(작업중)_2010 가로등 단가설계 7 2 15" xfId="21112"/>
    <cellStyle name="#_cost9702 (2)_품셈 _2010 가로등 단가설계(작업중)_2010 가로등 단가설계 7 2 15 2" xfId="33549"/>
    <cellStyle name="#_cost9702 (2)_품셈 _2010 가로등 단가설계(작업중)_2010 가로등 단가설계 7 2 16" xfId="20611"/>
    <cellStyle name="#_cost9702 (2)_품셈 _2010 가로등 단가설계(작업중)_2010 가로등 단가설계 7 2 16 2" xfId="33055"/>
    <cellStyle name="#_cost9702 (2)_품셈 _2010 가로등 단가설계(작업중)_2010 가로등 단가설계 7 2 17" xfId="20569"/>
    <cellStyle name="#_cost9702 (2)_품셈 _2010 가로등 단가설계(작업중)_2010 가로등 단가설계 7 2 17 2" xfId="33014"/>
    <cellStyle name="#_cost9702 (2)_품셈 _2010 가로등 단가설계(작업중)_2010 가로등 단가설계 7 2 18" xfId="24175"/>
    <cellStyle name="#_cost9702 (2)_품셈 _2010 가로등 단가설계(작업중)_2010 가로등 단가설계 7 2 18 2" xfId="36606"/>
    <cellStyle name="#_cost9702 (2)_품셈 _2010 가로등 단가설계(작업중)_2010 가로등 단가설계 7 2 19" xfId="20552"/>
    <cellStyle name="#_cost9702 (2)_품셈 _2010 가로등 단가설계(작업중)_2010 가로등 단가설계 7 2 19 2" xfId="32997"/>
    <cellStyle name="#_cost9702 (2)_품셈 _2010 가로등 단가설계(작업중)_2010 가로등 단가설계 7 2 2" xfId="16289"/>
    <cellStyle name="#_cost9702 (2)_품셈 _2010 가로등 단가설계(작업중)_2010 가로등 단가설계 7 2 2 2" xfId="29065"/>
    <cellStyle name="#_cost9702 (2)_품셈 _2010 가로등 단가설계(작업중)_2010 가로등 단가설계 7 2 20" xfId="21908"/>
    <cellStyle name="#_cost9702 (2)_품셈 _2010 가로등 단가설계(작업중)_2010 가로등 단가설계 7 2 20 2" xfId="34345"/>
    <cellStyle name="#_cost9702 (2)_품셈 _2010 가로등 단가설계(작업중)_2010 가로등 단가설계 7 2 21" xfId="24107"/>
    <cellStyle name="#_cost9702 (2)_품셈 _2010 가로등 단가설계(작업중)_2010 가로등 단가설계 7 2 21 2" xfId="36538"/>
    <cellStyle name="#_cost9702 (2)_품셈 _2010 가로등 단가설계(작업중)_2010 가로등 단가설계 7 2 3" xfId="15913"/>
    <cellStyle name="#_cost9702 (2)_품셈 _2010 가로등 단가설계(작업중)_2010 가로등 단가설계 7 2 3 2" xfId="28711"/>
    <cellStyle name="#_cost9702 (2)_품셈 _2010 가로등 단가설계(작업중)_2010 가로등 단가설계 7 2 4" xfId="15181"/>
    <cellStyle name="#_cost9702 (2)_품셈 _2010 가로등 단가설계(작업중)_2010 가로등 단가설계 7 2 4 2" xfId="28000"/>
    <cellStyle name="#_cost9702 (2)_품셈 _2010 가로등 단가설계(작업중)_2010 가로등 단가설계 7 2 5" xfId="13274"/>
    <cellStyle name="#_cost9702 (2)_품셈 _2010 가로등 단가설계(작업중)_2010 가로등 단가설계 7 2 5 2" xfId="26142"/>
    <cellStyle name="#_cost9702 (2)_품셈 _2010 가로등 단가설계(작업중)_2010 가로등 단가설계 7 2 6" xfId="15780"/>
    <cellStyle name="#_cost9702 (2)_품셈 _2010 가로등 단가설계(작업중)_2010 가로등 단가설계 7 2 6 2" xfId="28579"/>
    <cellStyle name="#_cost9702 (2)_품셈 _2010 가로등 단가설계(작업중)_2010 가로등 단가설계 7 2 7" xfId="17748"/>
    <cellStyle name="#_cost9702 (2)_품셈 _2010 가로등 단가설계(작업중)_2010 가로등 단가설계 7 2 7 2" xfId="30465"/>
    <cellStyle name="#_cost9702 (2)_품셈 _2010 가로등 단가설계(작업중)_2010 가로등 단가설계 7 2 8" xfId="17554"/>
    <cellStyle name="#_cost9702 (2)_품셈 _2010 가로등 단가설계(작업중)_2010 가로등 단가설계 7 2 8 2" xfId="30274"/>
    <cellStyle name="#_cost9702 (2)_품셈 _2010 가로등 단가설계(작업중)_2010 가로등 단가설계 7 2 9" xfId="12791"/>
    <cellStyle name="#_cost9702 (2)_품셈 _2010 가로등 단가설계(작업중)_2010 가로등 단가설계 7 2 9 2" xfId="25667"/>
    <cellStyle name="#_cost9702 (2)_품셈 _2010 가로등 단가설계(작업중)_2010 가로등 단가설계 7 3" xfId="14971"/>
    <cellStyle name="#_cost9702 (2)_품셈 _2010 가로등 단가설계(작업중)_2010 가로등 단가설계 7 3 2" xfId="27792"/>
    <cellStyle name="#_cost9702 (2)_품셈 _2010 가로등 단가설계(작업중)_2010 가로등 단가설계 8" xfId="11024"/>
    <cellStyle name="#_cost9702 (2)_품셈 _2010 가로등 단가설계(작업중)_2010 가로등 단가설계 8 10" xfId="15171"/>
    <cellStyle name="#_cost9702 (2)_품셈 _2010 가로등 단가설계(작업중)_2010 가로등 단가설계 8 10 2" xfId="27990"/>
    <cellStyle name="#_cost9702 (2)_품셈 _2010 가로등 단가설계(작업중)_2010 가로등 단가설계 8 11" xfId="22744"/>
    <cellStyle name="#_cost9702 (2)_품셈 _2010 가로등 단가설계(작업중)_2010 가로등 단가설계 8 11 2" xfId="35178"/>
    <cellStyle name="#_cost9702 (2)_품셈 _2010 가로등 단가설계(작업중)_2010 가로등 단가설계 8 12" xfId="21421"/>
    <cellStyle name="#_cost9702 (2)_품셈 _2010 가로등 단가설계(작업중)_2010 가로등 단가설계 8 12 2" xfId="33858"/>
    <cellStyle name="#_cost9702 (2)_품셈 _2010 가로등 단가설계(작업중)_2010 가로등 단가설계 8 13" xfId="20452"/>
    <cellStyle name="#_cost9702 (2)_품셈 _2010 가로등 단가설계(작업중)_2010 가로등 단가설계 8 13 2" xfId="32897"/>
    <cellStyle name="#_cost9702 (2)_품셈 _2010 가로등 단가설계(작업중)_2010 가로등 단가설계 8 14" xfId="22860"/>
    <cellStyle name="#_cost9702 (2)_품셈 _2010 가로등 단가설계(작업중)_2010 가로등 단가설계 8 14 2" xfId="35294"/>
    <cellStyle name="#_cost9702 (2)_품셈 _2010 가로등 단가설계(작업중)_2010 가로등 단가설계 8 15" xfId="21111"/>
    <cellStyle name="#_cost9702 (2)_품셈 _2010 가로등 단가설계(작업중)_2010 가로등 단가설계 8 15 2" xfId="33548"/>
    <cellStyle name="#_cost9702 (2)_품셈 _2010 가로등 단가설계(작업중)_2010 가로등 단가설계 8 16" xfId="18410"/>
    <cellStyle name="#_cost9702 (2)_품셈 _2010 가로등 단가설계(작업중)_2010 가로등 단가설계 8 16 2" xfId="31115"/>
    <cellStyle name="#_cost9702 (2)_품셈 _2010 가로등 단가설계(작업중)_2010 가로등 단가설계 8 17" xfId="18787"/>
    <cellStyle name="#_cost9702 (2)_품셈 _2010 가로등 단가설계(작업중)_2010 가로등 단가설계 8 17 2" xfId="31492"/>
    <cellStyle name="#_cost9702 (2)_품셈 _2010 가로등 단가설계(작업중)_2010 가로등 단가설계 8 18" xfId="23276"/>
    <cellStyle name="#_cost9702 (2)_품셈 _2010 가로등 단가설계(작업중)_2010 가로등 단가설계 8 18 2" xfId="35708"/>
    <cellStyle name="#_cost9702 (2)_품셈 _2010 가로등 단가설계(작업중)_2010 가로등 단가설계 8 19" xfId="21318"/>
    <cellStyle name="#_cost9702 (2)_품셈 _2010 가로등 단가설계(작업중)_2010 가로등 단가설계 8 19 2" xfId="33755"/>
    <cellStyle name="#_cost9702 (2)_품셈 _2010 가로등 단가설계(작업중)_2010 가로등 단가설계 8 2" xfId="16283"/>
    <cellStyle name="#_cost9702 (2)_품셈 _2010 가로등 단가설계(작업중)_2010 가로등 단가설계 8 2 2" xfId="29059"/>
    <cellStyle name="#_cost9702 (2)_품셈 _2010 가로등 단가설계(작업중)_2010 가로등 단가설계 8 20" xfId="21911"/>
    <cellStyle name="#_cost9702 (2)_품셈 _2010 가로등 단가설계(작업중)_2010 가로등 단가설계 8 20 2" xfId="34348"/>
    <cellStyle name="#_cost9702 (2)_품셈 _2010 가로등 단가설계(작업중)_2010 가로등 단가설계 8 21" xfId="19678"/>
    <cellStyle name="#_cost9702 (2)_품셈 _2010 가로등 단가설계(작업중)_2010 가로등 단가설계 8 21 2" xfId="32132"/>
    <cellStyle name="#_cost9702 (2)_품셈 _2010 가로등 단가설계(작업중)_2010 가로등 단가설계 8 3" xfId="14483"/>
    <cellStyle name="#_cost9702 (2)_품셈 _2010 가로등 단가설계(작업중)_2010 가로등 단가설계 8 3 2" xfId="27315"/>
    <cellStyle name="#_cost9702 (2)_품셈 _2010 가로등 단가설계(작업중)_2010 가로등 단가설계 8 4" xfId="15180"/>
    <cellStyle name="#_cost9702 (2)_품셈 _2010 가로등 단가설계(작업중)_2010 가로등 단가설계 8 4 2" xfId="27999"/>
    <cellStyle name="#_cost9702 (2)_품셈 _2010 가로등 단가설계(작업중)_2010 가로등 단가설계 8 5" xfId="13271"/>
    <cellStyle name="#_cost9702 (2)_품셈 _2010 가로등 단가설계(작업중)_2010 가로등 단가설계 8 5 2" xfId="26139"/>
    <cellStyle name="#_cost9702 (2)_품셈 _2010 가로등 단가설계(작업중)_2010 가로등 단가설계 8 6" xfId="15777"/>
    <cellStyle name="#_cost9702 (2)_품셈 _2010 가로등 단가설계(작업중)_2010 가로등 단가설계 8 6 2" xfId="28576"/>
    <cellStyle name="#_cost9702 (2)_품셈 _2010 가로등 단가설계(작업중)_2010 가로등 단가설계 8 7" xfId="14602"/>
    <cellStyle name="#_cost9702 (2)_품셈 _2010 가로등 단가설계(작업중)_2010 가로등 단가설계 8 7 2" xfId="27428"/>
    <cellStyle name="#_cost9702 (2)_품셈 _2010 가로등 단가설계(작업중)_2010 가로등 단가설계 8 8" xfId="14646"/>
    <cellStyle name="#_cost9702 (2)_품셈 _2010 가로등 단가설계(작업중)_2010 가로등 단가설계 8 8 2" xfId="27472"/>
    <cellStyle name="#_cost9702 (2)_품셈 _2010 가로등 단가설계(작업중)_2010 가로등 단가설계 8 9" xfId="17611"/>
    <cellStyle name="#_cost9702 (2)_품셈 _2010 가로등 단가설계(작업중)_2010 가로등 단가설계 8 9 2" xfId="30328"/>
    <cellStyle name="#_cost9702 (2)_품셈 _2010 가로등 단가설계(작업중)_2010 가로등 단가설계 9" xfId="14965"/>
    <cellStyle name="#_cost9702 (2)_품셈 _2010 가로등 단가설계(작업중)_2010 가로등 단가설계 9 2" xfId="27786"/>
    <cellStyle name="#_cost9702 (2)_품셈 _2010 가로등 단가설계(작업중)_2010 가로등 단가설계_설계내역서" xfId="6703"/>
    <cellStyle name="#_cost9702 (2)_품셈 _2010 가로등 단가설계(작업중)_2010 가로등 단가설계_설계내역서 2" xfId="11031"/>
    <cellStyle name="#_cost9702 (2)_품셈 _2010 가로등 단가설계(작업중)_2010 가로등 단가설계_설계내역서 2 10" xfId="18070"/>
    <cellStyle name="#_cost9702 (2)_품셈 _2010 가로등 단가설계(작업중)_2010 가로등 단가설계_설계내역서 2 10 2" xfId="30781"/>
    <cellStyle name="#_cost9702 (2)_품셈 _2010 가로등 단가설계(작업중)_2010 가로등 단가설계_설계내역서 2 11" xfId="22751"/>
    <cellStyle name="#_cost9702 (2)_품셈 _2010 가로등 단가설계(작업중)_2010 가로등 단가설계_설계내역서 2 11 2" xfId="35185"/>
    <cellStyle name="#_cost9702 (2)_품셈 _2010 가로등 단가설계(작업중)_2010 가로등 단가설계_설계내역서 2 12" xfId="21414"/>
    <cellStyle name="#_cost9702 (2)_품셈 _2010 가로등 단가설계(작업중)_2010 가로등 단가설계_설계내역서 2 12 2" xfId="33851"/>
    <cellStyle name="#_cost9702 (2)_품셈 _2010 가로등 단가설계(작업중)_2010 가로등 단가설계_설계내역서 2 13" xfId="19151"/>
    <cellStyle name="#_cost9702 (2)_품셈 _2010 가로등 단가설계(작업중)_2010 가로등 단가설계_설계내역서 2 13 2" xfId="31807"/>
    <cellStyle name="#_cost9702 (2)_품셈 _2010 가로등 단가설계(작업중)_2010 가로등 단가설계_설계내역서 2 14" xfId="21019"/>
    <cellStyle name="#_cost9702 (2)_품셈 _2010 가로등 단가설계(작업중)_2010 가로등 단가설계_설계내역서 2 14 2" xfId="33456"/>
    <cellStyle name="#_cost9702 (2)_품셈 _2010 가로등 단가설계(작업중)_2010 가로등 단가설계_설계내역서 2 15" xfId="18780"/>
    <cellStyle name="#_cost9702 (2)_품셈 _2010 가로등 단가설계(작업중)_2010 가로등 단가설계_설계내역서 2 15 2" xfId="31485"/>
    <cellStyle name="#_cost9702 (2)_품셈 _2010 가로등 단가설계(작업중)_2010 가로등 단가설계_설계내역서 2 16" xfId="20013"/>
    <cellStyle name="#_cost9702 (2)_품셈 _2010 가로등 단가설계(작업중)_2010 가로등 단가설계_설계내역서 2 16 2" xfId="32459"/>
    <cellStyle name="#_cost9702 (2)_품셈 _2010 가로등 단가설계(작업중)_2010 가로등 단가설계_설계내역서 2 17" xfId="23171"/>
    <cellStyle name="#_cost9702 (2)_품셈 _2010 가로등 단가설계(작업중)_2010 가로등 단가설계_설계내역서 2 17 2" xfId="35604"/>
    <cellStyle name="#_cost9702 (2)_품셈 _2010 가로등 단가설계(작업중)_2010 가로등 단가설계_설계내역서 2 18" xfId="24174"/>
    <cellStyle name="#_cost9702 (2)_품셈 _2010 가로등 단가설계(작업중)_2010 가로등 단가설계_설계내역서 2 18 2" xfId="36605"/>
    <cellStyle name="#_cost9702 (2)_품셈 _2010 가로등 단가설계(작업중)_2010 가로등 단가설계_설계내역서 2 19" xfId="22890"/>
    <cellStyle name="#_cost9702 (2)_품셈 _2010 가로등 단가설계(작업중)_2010 가로등 단가설계_설계내역서 2 19 2" xfId="35324"/>
    <cellStyle name="#_cost9702 (2)_품셈 _2010 가로등 단가설계(작업중)_2010 가로등 단가설계_설계내역서 2 2" xfId="16290"/>
    <cellStyle name="#_cost9702 (2)_품셈 _2010 가로등 단가설계(작업중)_2010 가로등 단가설계_설계내역서 2 2 2" xfId="29066"/>
    <cellStyle name="#_cost9702 (2)_품셈 _2010 가로등 단가설계(작업중)_2010 가로등 단가설계_설계내역서 2 20" xfId="20090"/>
    <cellStyle name="#_cost9702 (2)_품셈 _2010 가로등 단가설계(작업중)_2010 가로등 단가설계_설계내역서 2 20 2" xfId="32536"/>
    <cellStyle name="#_cost9702 (2)_품셈 _2010 가로등 단가설계(작업중)_2010 가로등 단가설계_설계내역서 2 21" xfId="22321"/>
    <cellStyle name="#_cost9702 (2)_품셈 _2010 가로등 단가설계(작업중)_2010 가로등 단가설계_설계내역서 2 21 2" xfId="34755"/>
    <cellStyle name="#_cost9702 (2)_품셈 _2010 가로등 단가설계(작업중)_2010 가로등 단가설계_설계내역서 2 3" xfId="15914"/>
    <cellStyle name="#_cost9702 (2)_품셈 _2010 가로등 단가설계(작업중)_2010 가로등 단가설계_설계내역서 2 3 2" xfId="28712"/>
    <cellStyle name="#_cost9702 (2)_품셈 _2010 가로등 단가설계(작업중)_2010 가로등 단가설계_설계내역서 2 4" xfId="16678"/>
    <cellStyle name="#_cost9702 (2)_품셈 _2010 가로등 단가설계(작업중)_2010 가로등 단가설계_설계내역서 2 4 2" xfId="29454"/>
    <cellStyle name="#_cost9702 (2)_품셈 _2010 가로등 단가설계(작업중)_2010 가로등 단가설계_설계내역서 2 5" xfId="13480"/>
    <cellStyle name="#_cost9702 (2)_품셈 _2010 가로등 단가설계(작업중)_2010 가로등 단가설계_설계내역서 2 5 2" xfId="26348"/>
    <cellStyle name="#_cost9702 (2)_품셈 _2010 가로등 단가설계(작업중)_2010 가로등 단가설계_설계내역서 2 6" xfId="12721"/>
    <cellStyle name="#_cost9702 (2)_품셈 _2010 가로등 단가설계(작업중)_2010 가로등 단가설계_설계내역서 2 6 2" xfId="25598"/>
    <cellStyle name="#_cost9702 (2)_품셈 _2010 가로등 단가설계(작업중)_2010 가로등 단가설계_설계내역서 2 7" xfId="17747"/>
    <cellStyle name="#_cost9702 (2)_품셈 _2010 가로등 단가설계(작업중)_2010 가로등 단가설계_설계내역서 2 7 2" xfId="30464"/>
    <cellStyle name="#_cost9702 (2)_품셈 _2010 가로등 단가설계(작업중)_2010 가로등 단가설계_설계내역서 2 8" xfId="13230"/>
    <cellStyle name="#_cost9702 (2)_품셈 _2010 가로등 단가설계(작업중)_2010 가로등 단가설계_설계내역서 2 8 2" xfId="26098"/>
    <cellStyle name="#_cost9702 (2)_품셈 _2010 가로등 단가설계(작업중)_2010 가로등 단가설계_설계내역서 2 9" xfId="14532"/>
    <cellStyle name="#_cost9702 (2)_품셈 _2010 가로등 단가설계(작업중)_2010 가로등 단가설계_설계내역서 2 9 2" xfId="27360"/>
    <cellStyle name="#_cost9702 (2)_품셈 _2010 가로등 단가설계(작업중)_2010 가로등 단가설계_설계내역서 3" xfId="14972"/>
    <cellStyle name="#_cost9702 (2)_품셈 _2010 가로등 단가설계(작업중)_2010 가로등 단가설계_설계내역서 3 2" xfId="27793"/>
    <cellStyle name="#_cost9702 (2)_품셈 _설계내역서" xfId="6704"/>
    <cellStyle name="#_cost9702 (2)_품셈 _설계내역서 2" xfId="11032"/>
    <cellStyle name="#_cost9702 (2)_품셈 _설계내역서 2 10" xfId="14105"/>
    <cellStyle name="#_cost9702 (2)_품셈 _설계내역서 2 10 2" xfId="26953"/>
    <cellStyle name="#_cost9702 (2)_품셈 _설계내역서 2 11" xfId="22752"/>
    <cellStyle name="#_cost9702 (2)_품셈 _설계내역서 2 11 2" xfId="35186"/>
    <cellStyle name="#_cost9702 (2)_품셈 _설계내역서 2 12" xfId="21413"/>
    <cellStyle name="#_cost9702 (2)_품셈 _설계내역서 2 12 2" xfId="33850"/>
    <cellStyle name="#_cost9702 (2)_품셈 _설계내역서 2 13" xfId="23112"/>
    <cellStyle name="#_cost9702 (2)_품셈 _설계내역서 2 13 2" xfId="35545"/>
    <cellStyle name="#_cost9702 (2)_품셈 _설계내역서 2 14" xfId="19803"/>
    <cellStyle name="#_cost9702 (2)_품셈 _설계내역서 2 14 2" xfId="32253"/>
    <cellStyle name="#_cost9702 (2)_품셈 _설계내역서 2 15" xfId="18633"/>
    <cellStyle name="#_cost9702 (2)_품셈 _설계내역서 2 15 2" xfId="31338"/>
    <cellStyle name="#_cost9702 (2)_품셈 _설계내역서 2 16" xfId="20612"/>
    <cellStyle name="#_cost9702 (2)_품셈 _설계내역서 2 16 2" xfId="33056"/>
    <cellStyle name="#_cost9702 (2)_품셈 _설계내역서 2 17" xfId="20566"/>
    <cellStyle name="#_cost9702 (2)_품셈 _설계내역서 2 17 2" xfId="33011"/>
    <cellStyle name="#_cost9702 (2)_품셈 _설계내역서 2 18" xfId="24173"/>
    <cellStyle name="#_cost9702 (2)_품셈 _설계내역서 2 18 2" xfId="36604"/>
    <cellStyle name="#_cost9702 (2)_품셈 _설계내역서 2 19" xfId="22317"/>
    <cellStyle name="#_cost9702 (2)_품셈 _설계내역서 2 19 2" xfId="34751"/>
    <cellStyle name="#_cost9702 (2)_품셈 _설계내역서 2 2" xfId="16291"/>
    <cellStyle name="#_cost9702 (2)_품셈 _설계내역서 2 2 2" xfId="29067"/>
    <cellStyle name="#_cost9702 (2)_품셈 _설계내역서 2 20" xfId="21907"/>
    <cellStyle name="#_cost9702 (2)_품셈 _설계내역서 2 20 2" xfId="34344"/>
    <cellStyle name="#_cost9702 (2)_품셈 _설계내역서 2 21" xfId="24411"/>
    <cellStyle name="#_cost9702 (2)_품셈 _설계내역서 2 21 2" xfId="36842"/>
    <cellStyle name="#_cost9702 (2)_품셈 _설계내역서 2 3" xfId="16602"/>
    <cellStyle name="#_cost9702 (2)_품셈 _설계내역서 2 3 2" xfId="29378"/>
    <cellStyle name="#_cost9702 (2)_품셈 _설계내역서 2 4" xfId="12768"/>
    <cellStyle name="#_cost9702 (2)_품셈 _설계내역서 2 4 2" xfId="25645"/>
    <cellStyle name="#_cost9702 (2)_품셈 _설계내역서 2 5" xfId="13275"/>
    <cellStyle name="#_cost9702 (2)_품셈 _설계내역서 2 5 2" xfId="26143"/>
    <cellStyle name="#_cost9702 (2)_품셈 _설계내역서 2 6" xfId="15781"/>
    <cellStyle name="#_cost9702 (2)_품셈 _설계내역서 2 6 2" xfId="28580"/>
    <cellStyle name="#_cost9702 (2)_품셈 _설계내역서 2 7" xfId="14041"/>
    <cellStyle name="#_cost9702 (2)_품셈 _설계내역서 2 7 2" xfId="26890"/>
    <cellStyle name="#_cost9702 (2)_품셈 _설계내역서 2 8" xfId="12778"/>
    <cellStyle name="#_cost9702 (2)_품셈 _설계내역서 2 8 2" xfId="25654"/>
    <cellStyle name="#_cost9702 (2)_품셈 _설계내역서 2 9" xfId="15432"/>
    <cellStyle name="#_cost9702 (2)_품셈 _설계내역서 2 9 2" xfId="28241"/>
    <cellStyle name="#_cost9702 (2)_품셈 _설계내역서 3" xfId="14973"/>
    <cellStyle name="#_cost9702 (2)_품셈 _설계내역서 3 2" xfId="27794"/>
    <cellStyle name="#_cost9702 (2)_품셈 _일위1" xfId="6705"/>
    <cellStyle name="#_cost9702 (2)_품셈 _일위1 2" xfId="6706"/>
    <cellStyle name="#_cost9702 (2)_품셈 _일위1 2 2" xfId="11034"/>
    <cellStyle name="#_cost9702 (2)_품셈 _일위1 2 2 10" xfId="18114"/>
    <cellStyle name="#_cost9702 (2)_품셈 _일위1 2 2 10 2" xfId="30821"/>
    <cellStyle name="#_cost9702 (2)_품셈 _일위1 2 2 11" xfId="22754"/>
    <cellStyle name="#_cost9702 (2)_품셈 _일위1 2 2 11 2" xfId="35188"/>
    <cellStyle name="#_cost9702 (2)_품셈 _일위1 2 2 12" xfId="21411"/>
    <cellStyle name="#_cost9702 (2)_품셈 _일위1 2 2 12 2" xfId="33848"/>
    <cellStyle name="#_cost9702 (2)_품셈 _일위1 2 2 13" xfId="20196"/>
    <cellStyle name="#_cost9702 (2)_품셈 _일위1 2 2 13 2" xfId="32642"/>
    <cellStyle name="#_cost9702 (2)_품셈 _일위1 2 2 14" xfId="21061"/>
    <cellStyle name="#_cost9702 (2)_품셈 _일위1 2 2 14 2" xfId="33498"/>
    <cellStyle name="#_cost9702 (2)_품셈 _일위1 2 2 15" xfId="20970"/>
    <cellStyle name="#_cost9702 (2)_품셈 _일위1 2 2 15 2" xfId="33407"/>
    <cellStyle name="#_cost9702 (2)_품셈 _일위1 2 2 16" xfId="22173"/>
    <cellStyle name="#_cost9702 (2)_품셈 _일위1 2 2 16 2" xfId="34609"/>
    <cellStyle name="#_cost9702 (2)_품셈 _일위1 2 2 17" xfId="19983"/>
    <cellStyle name="#_cost9702 (2)_품셈 _일위1 2 2 17 2" xfId="32431"/>
    <cellStyle name="#_cost9702 (2)_품셈 _일위1 2 2 18" xfId="23898"/>
    <cellStyle name="#_cost9702 (2)_품셈 _일위1 2 2 18 2" xfId="36329"/>
    <cellStyle name="#_cost9702 (2)_품셈 _일위1 2 2 19" xfId="24217"/>
    <cellStyle name="#_cost9702 (2)_품셈 _일위1 2 2 19 2" xfId="36648"/>
    <cellStyle name="#_cost9702 (2)_품셈 _일위1 2 2 2" xfId="16293"/>
    <cellStyle name="#_cost9702 (2)_품셈 _일위1 2 2 2 2" xfId="29069"/>
    <cellStyle name="#_cost9702 (2)_품셈 _일위1 2 2 20" xfId="21906"/>
    <cellStyle name="#_cost9702 (2)_품셈 _일위1 2 2 20 2" xfId="34343"/>
    <cellStyle name="#_cost9702 (2)_품셈 _일위1 2 2 21" xfId="24410"/>
    <cellStyle name="#_cost9702 (2)_품셈 _일위1 2 2 21 2" xfId="36841"/>
    <cellStyle name="#_cost9702 (2)_품셈 _일위1 2 2 3" xfId="16604"/>
    <cellStyle name="#_cost9702 (2)_품셈 _일위1 2 2 3 2" xfId="29380"/>
    <cellStyle name="#_cost9702 (2)_품셈 _일위1 2 2 4" xfId="12766"/>
    <cellStyle name="#_cost9702 (2)_품셈 _일위1 2 2 4 2" xfId="25643"/>
    <cellStyle name="#_cost9702 (2)_품셈 _일위1 2 2 5" xfId="13276"/>
    <cellStyle name="#_cost9702 (2)_품셈 _일위1 2 2 5 2" xfId="26144"/>
    <cellStyle name="#_cost9702 (2)_품셈 _일위1 2 2 6" xfId="15782"/>
    <cellStyle name="#_cost9702 (2)_품셈 _일위1 2 2 6 2" xfId="28581"/>
    <cellStyle name="#_cost9702 (2)_품셈 _일위1 2 2 7" xfId="14766"/>
    <cellStyle name="#_cost9702 (2)_품셈 _일위1 2 2 7 2" xfId="27591"/>
    <cellStyle name="#_cost9702 (2)_품셈 _일위1 2 2 8" xfId="15404"/>
    <cellStyle name="#_cost9702 (2)_품셈 _일위1 2 2 8 2" xfId="28218"/>
    <cellStyle name="#_cost9702 (2)_품셈 _일위1 2 2 9" xfId="12746"/>
    <cellStyle name="#_cost9702 (2)_품셈 _일위1 2 2 9 2" xfId="25623"/>
    <cellStyle name="#_cost9702 (2)_품셈 _일위1 2 3" xfId="14975"/>
    <cellStyle name="#_cost9702 (2)_품셈 _일위1 2 3 2" xfId="27796"/>
    <cellStyle name="#_cost9702 (2)_품셈 _일위1 3" xfId="6707"/>
    <cellStyle name="#_cost9702 (2)_품셈 _일위1 3 2" xfId="11035"/>
    <cellStyle name="#_cost9702 (2)_품셈 _일위1 3 2 10" xfId="14808"/>
    <cellStyle name="#_cost9702 (2)_품셈 _일위1 3 2 10 2" xfId="27631"/>
    <cellStyle name="#_cost9702 (2)_품셈 _일위1 3 2 11" xfId="22755"/>
    <cellStyle name="#_cost9702 (2)_품셈 _일위1 3 2 11 2" xfId="35189"/>
    <cellStyle name="#_cost9702 (2)_품셈 _일위1 3 2 12" xfId="21410"/>
    <cellStyle name="#_cost9702 (2)_품셈 _일위1 3 2 12 2" xfId="33847"/>
    <cellStyle name="#_cost9702 (2)_품셈 _일위1 3 2 13" xfId="20448"/>
    <cellStyle name="#_cost9702 (2)_품셈 _일위1 3 2 13 2" xfId="32893"/>
    <cellStyle name="#_cost9702 (2)_품셈 _일위1 3 2 14" xfId="21017"/>
    <cellStyle name="#_cost9702 (2)_품셈 _일위1 3 2 14 2" xfId="33454"/>
    <cellStyle name="#_cost9702 (2)_품셈 _일위1 3 2 15" xfId="23252"/>
    <cellStyle name="#_cost9702 (2)_품셈 _일위1 3 2 15 2" xfId="35684"/>
    <cellStyle name="#_cost9702 (2)_품셈 _일위1 3 2 16" xfId="20015"/>
    <cellStyle name="#_cost9702 (2)_품셈 _일위1 3 2 16 2" xfId="32461"/>
    <cellStyle name="#_cost9702 (2)_품셈 _일위1 3 2 17" xfId="23172"/>
    <cellStyle name="#_cost9702 (2)_품셈 _일위1 3 2 17 2" xfId="35605"/>
    <cellStyle name="#_cost9702 (2)_품셈 _일위1 3 2 18" xfId="23213"/>
    <cellStyle name="#_cost9702 (2)_품셈 _일위1 3 2 18 2" xfId="35646"/>
    <cellStyle name="#_cost9702 (2)_품셈 _일위1 3 2 19" xfId="23415"/>
    <cellStyle name="#_cost9702 (2)_품셈 _일위1 3 2 19 2" xfId="35846"/>
    <cellStyle name="#_cost9702 (2)_품셈 _일위1 3 2 2" xfId="16294"/>
    <cellStyle name="#_cost9702 (2)_품셈 _일위1 3 2 2 2" xfId="29070"/>
    <cellStyle name="#_cost9702 (2)_품셈 _일위1 3 2 20" xfId="20342"/>
    <cellStyle name="#_cost9702 (2)_품셈 _일위1 3 2 20 2" xfId="32787"/>
    <cellStyle name="#_cost9702 (2)_품셈 _일위1 3 2 21" xfId="21811"/>
    <cellStyle name="#_cost9702 (2)_품셈 _일위1 3 2 21 2" xfId="34248"/>
    <cellStyle name="#_cost9702 (2)_품셈 _일위1 3 2 3" xfId="16605"/>
    <cellStyle name="#_cost9702 (2)_품셈 _일위1 3 2 3 2" xfId="29381"/>
    <cellStyle name="#_cost9702 (2)_품셈 _일위1 3 2 4" xfId="16677"/>
    <cellStyle name="#_cost9702 (2)_품셈 _일위1 3 2 4 2" xfId="29453"/>
    <cellStyle name="#_cost9702 (2)_품셈 _일위1 3 2 5" xfId="13482"/>
    <cellStyle name="#_cost9702 (2)_품셈 _일위1 3 2 5 2" xfId="26350"/>
    <cellStyle name="#_cost9702 (2)_품셈 _일위1 3 2 6" xfId="14745"/>
    <cellStyle name="#_cost9702 (2)_품셈 _일위1 3 2 6 2" xfId="27570"/>
    <cellStyle name="#_cost9702 (2)_품셈 _일위1 3 2 7" xfId="15594"/>
    <cellStyle name="#_cost9702 (2)_품셈 _일위1 3 2 7 2" xfId="28403"/>
    <cellStyle name="#_cost9702 (2)_품셈 _일위1 3 2 8" xfId="13711"/>
    <cellStyle name="#_cost9702 (2)_품셈 _일위1 3 2 8 2" xfId="26572"/>
    <cellStyle name="#_cost9702 (2)_품셈 _일위1 3 2 9" xfId="14531"/>
    <cellStyle name="#_cost9702 (2)_품셈 _일위1 3 2 9 2" xfId="27359"/>
    <cellStyle name="#_cost9702 (2)_품셈 _일위1 3 3" xfId="14976"/>
    <cellStyle name="#_cost9702 (2)_품셈 _일위1 3 3 2" xfId="27797"/>
    <cellStyle name="#_cost9702 (2)_품셈 _일위1 4" xfId="6708"/>
    <cellStyle name="#_cost9702 (2)_품셈 _일위1 4 2" xfId="11036"/>
    <cellStyle name="#_cost9702 (2)_품셈 _일위1 4 2 10" xfId="18115"/>
    <cellStyle name="#_cost9702 (2)_품셈 _일위1 4 2 10 2" xfId="30822"/>
    <cellStyle name="#_cost9702 (2)_품셈 _일위1 4 2 11" xfId="22756"/>
    <cellStyle name="#_cost9702 (2)_품셈 _일위1 4 2 11 2" xfId="35190"/>
    <cellStyle name="#_cost9702 (2)_품셈 _일위1 4 2 12" xfId="21409"/>
    <cellStyle name="#_cost9702 (2)_품셈 _일위1 4 2 12 2" xfId="33846"/>
    <cellStyle name="#_cost9702 (2)_품셈 _일위1 4 2 13" xfId="20195"/>
    <cellStyle name="#_cost9702 (2)_품셈 _일위1 4 2 13 2" xfId="32641"/>
    <cellStyle name="#_cost9702 (2)_품셈 _일위1 4 2 14" xfId="19802"/>
    <cellStyle name="#_cost9702 (2)_품셈 _일위1 4 2 14 2" xfId="32252"/>
    <cellStyle name="#_cost9702 (2)_품셈 _일위1 4 2 15" xfId="22664"/>
    <cellStyle name="#_cost9702 (2)_품셈 _일위1 4 2 15 2" xfId="35098"/>
    <cellStyle name="#_cost9702 (2)_품셈 _일위1 4 2 16" xfId="22174"/>
    <cellStyle name="#_cost9702 (2)_품셈 _일위1 4 2 16 2" xfId="34610"/>
    <cellStyle name="#_cost9702 (2)_품셈 _일위1 4 2 17" xfId="23200"/>
    <cellStyle name="#_cost9702 (2)_품셈 _일위1 4 2 17 2" xfId="35633"/>
    <cellStyle name="#_cost9702 (2)_품셈 _일위1 4 2 18" xfId="21825"/>
    <cellStyle name="#_cost9702 (2)_품셈 _일위1 4 2 18 2" xfId="34262"/>
    <cellStyle name="#_cost9702 (2)_품셈 _일위1 4 2 19" xfId="24218"/>
    <cellStyle name="#_cost9702 (2)_품셈 _일위1 4 2 19 2" xfId="36649"/>
    <cellStyle name="#_cost9702 (2)_품셈 _일위1 4 2 2" xfId="16295"/>
    <cellStyle name="#_cost9702 (2)_품셈 _일위1 4 2 2 2" xfId="29071"/>
    <cellStyle name="#_cost9702 (2)_품셈 _일위1 4 2 20" xfId="21905"/>
    <cellStyle name="#_cost9702 (2)_품셈 _일위1 4 2 20 2" xfId="34342"/>
    <cellStyle name="#_cost9702 (2)_품셈 _일위1 4 2 21" xfId="21713"/>
    <cellStyle name="#_cost9702 (2)_품셈 _일위1 4 2 21 2" xfId="34150"/>
    <cellStyle name="#_cost9702 (2)_품셈 _일위1 4 2 3" xfId="12461"/>
    <cellStyle name="#_cost9702 (2)_품셈 _일위1 4 2 3 2" xfId="25341"/>
    <cellStyle name="#_cost9702 (2)_품셈 _일위1 4 2 4" xfId="12762"/>
    <cellStyle name="#_cost9702 (2)_품셈 _일위1 4 2 4 2" xfId="25639"/>
    <cellStyle name="#_cost9702 (2)_품셈 _일위1 4 2 5" xfId="13277"/>
    <cellStyle name="#_cost9702 (2)_품셈 _일위1 4 2 5 2" xfId="26145"/>
    <cellStyle name="#_cost9702 (2)_품셈 _일위1 4 2 6" xfId="15783"/>
    <cellStyle name="#_cost9702 (2)_품셈 _일위1 4 2 6 2" xfId="28582"/>
    <cellStyle name="#_cost9702 (2)_품셈 _일위1 4 2 7" xfId="13680"/>
    <cellStyle name="#_cost9702 (2)_품셈 _일위1 4 2 7 2" xfId="26545"/>
    <cellStyle name="#_cost9702 (2)_품셈 _일위1 4 2 8" xfId="13061"/>
    <cellStyle name="#_cost9702 (2)_품셈 _일위1 4 2 8 2" xfId="25930"/>
    <cellStyle name="#_cost9702 (2)_품셈 _일위1 4 2 9" xfId="14036"/>
    <cellStyle name="#_cost9702 (2)_품셈 _일위1 4 2 9 2" xfId="26885"/>
    <cellStyle name="#_cost9702 (2)_품셈 _일위1 4 3" xfId="14977"/>
    <cellStyle name="#_cost9702 (2)_품셈 _일위1 4 3 2" xfId="27798"/>
    <cellStyle name="#_cost9702 (2)_품셈 _일위1 5" xfId="6709"/>
    <cellStyle name="#_cost9702 (2)_품셈 _일위1 5 2" xfId="11037"/>
    <cellStyle name="#_cost9702 (2)_품셈 _일위1 5 2 10" xfId="18069"/>
    <cellStyle name="#_cost9702 (2)_품셈 _일위1 5 2 10 2" xfId="30780"/>
    <cellStyle name="#_cost9702 (2)_품셈 _일위1 5 2 11" xfId="22757"/>
    <cellStyle name="#_cost9702 (2)_품셈 _일위1 5 2 11 2" xfId="35191"/>
    <cellStyle name="#_cost9702 (2)_품셈 _일위1 5 2 12" xfId="21408"/>
    <cellStyle name="#_cost9702 (2)_품셈 _일위1 5 2 12 2" xfId="33845"/>
    <cellStyle name="#_cost9702 (2)_품셈 _일위1 5 2 13" xfId="20447"/>
    <cellStyle name="#_cost9702 (2)_품셈 _일위1 5 2 13 2" xfId="32892"/>
    <cellStyle name="#_cost9702 (2)_품셈 _일위1 5 2 14" xfId="21016"/>
    <cellStyle name="#_cost9702 (2)_품셈 _일위1 5 2 14 2" xfId="33453"/>
    <cellStyle name="#_cost9702 (2)_품셈 _일위1 5 2 15" xfId="23254"/>
    <cellStyle name="#_cost9702 (2)_품셈 _일위1 5 2 15 2" xfId="35686"/>
    <cellStyle name="#_cost9702 (2)_품셈 _일위1 5 2 16" xfId="20016"/>
    <cellStyle name="#_cost9702 (2)_품셈 _일위1 5 2 16 2" xfId="32462"/>
    <cellStyle name="#_cost9702 (2)_품셈 _일위1 5 2 17" xfId="19267"/>
    <cellStyle name="#_cost9702 (2)_품셈 _일위1 5 2 17 2" xfId="31922"/>
    <cellStyle name="#_cost9702 (2)_품셈 _일위1 5 2 18" xfId="23759"/>
    <cellStyle name="#_cost9702 (2)_품셈 _일위1 5 2 18 2" xfId="36190"/>
    <cellStyle name="#_cost9702 (2)_품셈 _일위1 5 2 19" xfId="18385"/>
    <cellStyle name="#_cost9702 (2)_품셈 _일위1 5 2 19 2" xfId="31091"/>
    <cellStyle name="#_cost9702 (2)_품셈 _일위1 5 2 2" xfId="16296"/>
    <cellStyle name="#_cost9702 (2)_품셈 _일위1 5 2 2 2" xfId="29072"/>
    <cellStyle name="#_cost9702 (2)_품셈 _일위1 5 2 20" xfId="18403"/>
    <cellStyle name="#_cost9702 (2)_품셈 _일위1 5 2 20 2" xfId="31108"/>
    <cellStyle name="#_cost9702 (2)_품셈 _일위1 5 2 21" xfId="20053"/>
    <cellStyle name="#_cost9702 (2)_품셈 _일위1 5 2 21 2" xfId="32499"/>
    <cellStyle name="#_cost9702 (2)_품셈 _일위1 5 2 3" xfId="12462"/>
    <cellStyle name="#_cost9702 (2)_품셈 _일위1 5 2 3 2" xfId="25342"/>
    <cellStyle name="#_cost9702 (2)_품셈 _일위1 5 2 4" xfId="16676"/>
    <cellStyle name="#_cost9702 (2)_품셈 _일위1 5 2 4 2" xfId="29452"/>
    <cellStyle name="#_cost9702 (2)_품셈 _일위1 5 2 5" xfId="13483"/>
    <cellStyle name="#_cost9702 (2)_품셈 _일위1 5 2 5 2" xfId="26351"/>
    <cellStyle name="#_cost9702 (2)_품셈 _일위1 5 2 6" xfId="12722"/>
    <cellStyle name="#_cost9702 (2)_품셈 _일위1 5 2 6 2" xfId="25599"/>
    <cellStyle name="#_cost9702 (2)_품셈 _일위1 5 2 7" xfId="14304"/>
    <cellStyle name="#_cost9702 (2)_품셈 _일위1 5 2 7 2" xfId="27137"/>
    <cellStyle name="#_cost9702 (2)_품셈 _일위1 5 2 8" xfId="15623"/>
    <cellStyle name="#_cost9702 (2)_품셈 _일위1 5 2 8 2" xfId="28432"/>
    <cellStyle name="#_cost9702 (2)_품셈 _일위1 5 2 9" xfId="14026"/>
    <cellStyle name="#_cost9702 (2)_품셈 _일위1 5 2 9 2" xfId="26877"/>
    <cellStyle name="#_cost9702 (2)_품셈 _일위1 5 3" xfId="14978"/>
    <cellStyle name="#_cost9702 (2)_품셈 _일위1 5 3 2" xfId="27799"/>
    <cellStyle name="#_cost9702 (2)_품셈 _일위1 6" xfId="6710"/>
    <cellStyle name="#_cost9702 (2)_품셈 _일위1 6 2" xfId="11038"/>
    <cellStyle name="#_cost9702 (2)_품셈 _일위1 6 2 10" xfId="18116"/>
    <cellStyle name="#_cost9702 (2)_품셈 _일위1 6 2 10 2" xfId="30823"/>
    <cellStyle name="#_cost9702 (2)_품셈 _일위1 6 2 11" xfId="22758"/>
    <cellStyle name="#_cost9702 (2)_품셈 _일위1 6 2 11 2" xfId="35192"/>
    <cellStyle name="#_cost9702 (2)_품셈 _일위1 6 2 12" xfId="21407"/>
    <cellStyle name="#_cost9702 (2)_품셈 _일위1 6 2 12 2" xfId="33844"/>
    <cellStyle name="#_cost9702 (2)_품셈 _일위1 6 2 13" xfId="20194"/>
    <cellStyle name="#_cost9702 (2)_품셈 _일위1 6 2 13 2" xfId="32640"/>
    <cellStyle name="#_cost9702 (2)_품셈 _일위1 6 2 14" xfId="19801"/>
    <cellStyle name="#_cost9702 (2)_품셈 _일위1 6 2 14 2" xfId="32251"/>
    <cellStyle name="#_cost9702 (2)_품셈 _일위1 6 2 15" xfId="21955"/>
    <cellStyle name="#_cost9702 (2)_품셈 _일위1 6 2 15 2" xfId="34392"/>
    <cellStyle name="#_cost9702 (2)_품셈 _일위1 6 2 16" xfId="20107"/>
    <cellStyle name="#_cost9702 (2)_품셈 _일위1 6 2 16 2" xfId="32553"/>
    <cellStyle name="#_cost9702 (2)_품셈 _일위1 6 2 17" xfId="19083"/>
    <cellStyle name="#_cost9702 (2)_품셈 _일위1 6 2 17 2" xfId="31788"/>
    <cellStyle name="#_cost9702 (2)_품셈 _일위1 6 2 18" xfId="24172"/>
    <cellStyle name="#_cost9702 (2)_품셈 _일위1 6 2 18 2" xfId="36603"/>
    <cellStyle name="#_cost9702 (2)_품셈 _일위1 6 2 19" xfId="21190"/>
    <cellStyle name="#_cost9702 (2)_품셈 _일위1 6 2 19 2" xfId="33627"/>
    <cellStyle name="#_cost9702 (2)_품셈 _일위1 6 2 2" xfId="16297"/>
    <cellStyle name="#_cost9702 (2)_품셈 _일위1 6 2 2 2" xfId="29073"/>
    <cellStyle name="#_cost9702 (2)_품셈 _일위1 6 2 20" xfId="21904"/>
    <cellStyle name="#_cost9702 (2)_품셈 _일위1 6 2 20 2" xfId="34341"/>
    <cellStyle name="#_cost9702 (2)_품셈 _일위1 6 2 21" xfId="20841"/>
    <cellStyle name="#_cost9702 (2)_품셈 _일위1 6 2 21 2" xfId="33278"/>
    <cellStyle name="#_cost9702 (2)_품셈 _일위1 6 2 3" xfId="12463"/>
    <cellStyle name="#_cost9702 (2)_품셈 _일위1 6 2 3 2" xfId="25343"/>
    <cellStyle name="#_cost9702 (2)_품셈 _일위1 6 2 4" xfId="12764"/>
    <cellStyle name="#_cost9702 (2)_품셈 _일위1 6 2 4 2" xfId="25641"/>
    <cellStyle name="#_cost9702 (2)_품셈 _일위1 6 2 5" xfId="13278"/>
    <cellStyle name="#_cost9702 (2)_품셈 _일위1 6 2 5 2" xfId="26146"/>
    <cellStyle name="#_cost9702 (2)_품셈 _일위1 6 2 6" xfId="15784"/>
    <cellStyle name="#_cost9702 (2)_품셈 _일위1 6 2 6 2" xfId="28583"/>
    <cellStyle name="#_cost9702 (2)_품셈 _일위1 6 2 7" xfId="17746"/>
    <cellStyle name="#_cost9702 (2)_품셈 _일위1 6 2 7 2" xfId="30463"/>
    <cellStyle name="#_cost9702 (2)_품셈 _일위1 6 2 8" xfId="13015"/>
    <cellStyle name="#_cost9702 (2)_품셈 _일위1 6 2 8 2" xfId="25890"/>
    <cellStyle name="#_cost9702 (2)_품셈 _일위1 6 2 9" xfId="15235"/>
    <cellStyle name="#_cost9702 (2)_품셈 _일위1 6 2 9 2" xfId="28053"/>
    <cellStyle name="#_cost9702 (2)_품셈 _일위1 6 3" xfId="14979"/>
    <cellStyle name="#_cost9702 (2)_품셈 _일위1 6 3 2" xfId="27800"/>
    <cellStyle name="#_cost9702 (2)_품셈 _일위1 7" xfId="6711"/>
    <cellStyle name="#_cost9702 (2)_품셈 _일위1 7 2" xfId="11039"/>
    <cellStyle name="#_cost9702 (2)_품셈 _일위1 7 2 10" xfId="18068"/>
    <cellStyle name="#_cost9702 (2)_품셈 _일위1 7 2 10 2" xfId="30779"/>
    <cellStyle name="#_cost9702 (2)_품셈 _일위1 7 2 11" xfId="22759"/>
    <cellStyle name="#_cost9702 (2)_품셈 _일위1 7 2 11 2" xfId="35193"/>
    <cellStyle name="#_cost9702 (2)_품셈 _일위1 7 2 12" xfId="21406"/>
    <cellStyle name="#_cost9702 (2)_품셈 _일위1 7 2 12 2" xfId="33843"/>
    <cellStyle name="#_cost9702 (2)_품셈 _일위1 7 2 13" xfId="20446"/>
    <cellStyle name="#_cost9702 (2)_품셈 _일위1 7 2 13 2" xfId="32891"/>
    <cellStyle name="#_cost9702 (2)_품셈 _일위1 7 2 14" xfId="21015"/>
    <cellStyle name="#_cost9702 (2)_품셈 _일위1 7 2 14 2" xfId="33452"/>
    <cellStyle name="#_cost9702 (2)_품셈 _일위1 7 2 15" xfId="23253"/>
    <cellStyle name="#_cost9702 (2)_품셈 _일위1 7 2 15 2" xfId="35685"/>
    <cellStyle name="#_cost9702 (2)_품셈 _일위1 7 2 16" xfId="20017"/>
    <cellStyle name="#_cost9702 (2)_품셈 _일위1 7 2 16 2" xfId="32463"/>
    <cellStyle name="#_cost9702 (2)_품셈 _일위1 7 2 17" xfId="23173"/>
    <cellStyle name="#_cost9702 (2)_품셈 _일위1 7 2 17 2" xfId="35606"/>
    <cellStyle name="#_cost9702 (2)_품셈 _일위1 7 2 18" xfId="24722"/>
    <cellStyle name="#_cost9702 (2)_품셈 _일위1 7 2 18 2" xfId="37153"/>
    <cellStyle name="#_cost9702 (2)_품셈 _일위1 7 2 19" xfId="23416"/>
    <cellStyle name="#_cost9702 (2)_품셈 _일위1 7 2 19 2" xfId="35847"/>
    <cellStyle name="#_cost9702 (2)_품셈 _일위1 7 2 2" xfId="16298"/>
    <cellStyle name="#_cost9702 (2)_품셈 _일위1 7 2 2 2" xfId="29074"/>
    <cellStyle name="#_cost9702 (2)_품셈 _일위1 7 2 20" xfId="20977"/>
    <cellStyle name="#_cost9702 (2)_품셈 _일위1 7 2 20 2" xfId="33414"/>
    <cellStyle name="#_cost9702 (2)_품셈 _일위1 7 2 21" xfId="19405"/>
    <cellStyle name="#_cost9702 (2)_품셈 _일위1 7 2 21 2" xfId="31960"/>
    <cellStyle name="#_cost9702 (2)_품셈 _일위1 7 2 3" xfId="14489"/>
    <cellStyle name="#_cost9702 (2)_품셈 _일위1 7 2 3 2" xfId="27321"/>
    <cellStyle name="#_cost9702 (2)_품셈 _일위1 7 2 4" xfId="16675"/>
    <cellStyle name="#_cost9702 (2)_품셈 _일위1 7 2 4 2" xfId="29451"/>
    <cellStyle name="#_cost9702 (2)_품셈 _일위1 7 2 5" xfId="13484"/>
    <cellStyle name="#_cost9702 (2)_품셈 _일위1 7 2 5 2" xfId="26352"/>
    <cellStyle name="#_cost9702 (2)_품셈 _일위1 7 2 6" xfId="15211"/>
    <cellStyle name="#_cost9702 (2)_품셈 _일위1 7 2 6 2" xfId="28029"/>
    <cellStyle name="#_cost9702 (2)_품셈 _일위1 7 2 7" xfId="17745"/>
    <cellStyle name="#_cost9702 (2)_품셈 _일위1 7 2 7 2" xfId="30462"/>
    <cellStyle name="#_cost9702 (2)_품셈 _일위1 7 2 8" xfId="15746"/>
    <cellStyle name="#_cost9702 (2)_품셈 _일위1 7 2 8 2" xfId="28545"/>
    <cellStyle name="#_cost9702 (2)_품셈 _일위1 7 2 9" xfId="14530"/>
    <cellStyle name="#_cost9702 (2)_품셈 _일위1 7 2 9 2" xfId="27358"/>
    <cellStyle name="#_cost9702 (2)_품셈 _일위1 7 3" xfId="14980"/>
    <cellStyle name="#_cost9702 (2)_품셈 _일위1 7 3 2" xfId="27801"/>
    <cellStyle name="#_cost9702 (2)_품셈 _일위1 8" xfId="11033"/>
    <cellStyle name="#_cost9702 (2)_품셈 _일위1 8 10" xfId="12897"/>
    <cellStyle name="#_cost9702 (2)_품셈 _일위1 8 10 2" xfId="25773"/>
    <cellStyle name="#_cost9702 (2)_품셈 _일위1 8 11" xfId="22753"/>
    <cellStyle name="#_cost9702 (2)_품셈 _일위1 8 11 2" xfId="35187"/>
    <cellStyle name="#_cost9702 (2)_품셈 _일위1 8 12" xfId="21412"/>
    <cellStyle name="#_cost9702 (2)_품셈 _일위1 8 12 2" xfId="33849"/>
    <cellStyle name="#_cost9702 (2)_품셈 _일위1 8 13" xfId="20449"/>
    <cellStyle name="#_cost9702 (2)_품셈 _일위1 8 13 2" xfId="32894"/>
    <cellStyle name="#_cost9702 (2)_품셈 _일위1 8 14" xfId="21018"/>
    <cellStyle name="#_cost9702 (2)_품셈 _일위1 8 14 2" xfId="33455"/>
    <cellStyle name="#_cost9702 (2)_품셈 _일위1 8 15" xfId="22459"/>
    <cellStyle name="#_cost9702 (2)_품셈 _일위1 8 15 2" xfId="34893"/>
    <cellStyle name="#_cost9702 (2)_품셈 _일위1 8 16" xfId="20014"/>
    <cellStyle name="#_cost9702 (2)_품셈 _일위1 8 16 2" xfId="32460"/>
    <cellStyle name="#_cost9702 (2)_품셈 _일위1 8 17" xfId="20646"/>
    <cellStyle name="#_cost9702 (2)_품셈 _일위1 8 17 2" xfId="33090"/>
    <cellStyle name="#_cost9702 (2)_품셈 _일위1 8 18" xfId="19664"/>
    <cellStyle name="#_cost9702 (2)_품셈 _일위1 8 18 2" xfId="32118"/>
    <cellStyle name="#_cost9702 (2)_품셈 _일위1 8 19" xfId="23414"/>
    <cellStyle name="#_cost9702 (2)_품셈 _일위1 8 19 2" xfId="35845"/>
    <cellStyle name="#_cost9702 (2)_품셈 _일위1 8 2" xfId="16292"/>
    <cellStyle name="#_cost9702 (2)_품셈 _일위1 8 2 2" xfId="29068"/>
    <cellStyle name="#_cost9702 (2)_품셈 _일위1 8 20" xfId="18404"/>
    <cellStyle name="#_cost9702 (2)_품셈 _일위1 8 20 2" xfId="31109"/>
    <cellStyle name="#_cost9702 (2)_품셈 _일위1 8 21" xfId="22080"/>
    <cellStyle name="#_cost9702 (2)_품셈 _일위1 8 21 2" xfId="34516"/>
    <cellStyle name="#_cost9702 (2)_품셈 _일위1 8 3" xfId="16603"/>
    <cellStyle name="#_cost9702 (2)_품셈 _일위1 8 3 2" xfId="29379"/>
    <cellStyle name="#_cost9702 (2)_품셈 _일위1 8 4" xfId="14519"/>
    <cellStyle name="#_cost9702 (2)_품셈 _일위1 8 4 2" xfId="27347"/>
    <cellStyle name="#_cost9702 (2)_품셈 _일위1 8 5" xfId="13481"/>
    <cellStyle name="#_cost9702 (2)_품셈 _일위1 8 5 2" xfId="26349"/>
    <cellStyle name="#_cost9702 (2)_품셈 _일위1 8 6" xfId="15210"/>
    <cellStyle name="#_cost9702 (2)_품셈 _일위1 8 6 2" xfId="28028"/>
    <cellStyle name="#_cost9702 (2)_품셈 _일위1 8 7" xfId="15244"/>
    <cellStyle name="#_cost9702 (2)_품셈 _일위1 8 7 2" xfId="28062"/>
    <cellStyle name="#_cost9702 (2)_품셈 _일위1 8 8" xfId="17206"/>
    <cellStyle name="#_cost9702 (2)_품셈 _일위1 8 8 2" xfId="29940"/>
    <cellStyle name="#_cost9702 (2)_품셈 _일위1 8 9" xfId="14242"/>
    <cellStyle name="#_cost9702 (2)_품셈 _일위1 8 9 2" xfId="27082"/>
    <cellStyle name="#_cost9702 (2)_품셈 _일위1 9" xfId="14974"/>
    <cellStyle name="#_cost9702 (2)_품셈 _일위1 9 2" xfId="27795"/>
    <cellStyle name="#_cost9702 (2)_품셈 _일위1_설계내역서" xfId="6712"/>
    <cellStyle name="#_cost9702 (2)_품셈 _일위1_설계내역서 2" xfId="11040"/>
    <cellStyle name="#_cost9702 (2)_품셈 _일위1_설계내역서 2 10" xfId="14147"/>
    <cellStyle name="#_cost9702 (2)_품셈 _일위1_설계내역서 2 10 2" xfId="26995"/>
    <cellStyle name="#_cost9702 (2)_품셈 _일위1_설계내역서 2 11" xfId="22760"/>
    <cellStyle name="#_cost9702 (2)_품셈 _일위1_설계내역서 2 11 2" xfId="35194"/>
    <cellStyle name="#_cost9702 (2)_품셈 _일위1_설계내역서 2 12" xfId="21405"/>
    <cellStyle name="#_cost9702 (2)_품셈 _일위1_설계내역서 2 12 2" xfId="33842"/>
    <cellStyle name="#_cost9702 (2)_품셈 _일위1_설계내역서 2 13" xfId="20193"/>
    <cellStyle name="#_cost9702 (2)_품셈 _일위1_설계내역서 2 13 2" xfId="32639"/>
    <cellStyle name="#_cost9702 (2)_품셈 _일위1_설계내역서 2 14" xfId="19800"/>
    <cellStyle name="#_cost9702 (2)_품셈 _일위1_설계내역서 2 14 2" xfId="32250"/>
    <cellStyle name="#_cost9702 (2)_품셈 _일위1_설계내역서 2 15" xfId="21956"/>
    <cellStyle name="#_cost9702 (2)_품셈 _일위1_설계내역서 2 15 2" xfId="34393"/>
    <cellStyle name="#_cost9702 (2)_품셈 _일위1_설계내역서 2 16" xfId="21876"/>
    <cellStyle name="#_cost9702 (2)_품셈 _일위1_설계내역서 2 16 2" xfId="34313"/>
    <cellStyle name="#_cost9702 (2)_품셈 _일위1_설계내역서 2 17" xfId="18695"/>
    <cellStyle name="#_cost9702 (2)_품셈 _일위1_설계내역서 2 17 2" xfId="31400"/>
    <cellStyle name="#_cost9702 (2)_품셈 _일위1_설계내역서 2 18" xfId="24721"/>
    <cellStyle name="#_cost9702 (2)_품셈 _일위1_설계내역서 2 18 2" xfId="37152"/>
    <cellStyle name="#_cost9702 (2)_품셈 _일위1_설계내역서 2 19" xfId="21767"/>
    <cellStyle name="#_cost9702 (2)_품셈 _일위1_설계내역서 2 19 2" xfId="34204"/>
    <cellStyle name="#_cost9702 (2)_품셈 _일위1_설계내역서 2 2" xfId="16299"/>
    <cellStyle name="#_cost9702 (2)_품셈 _일위1_설계내역서 2 2 2" xfId="29075"/>
    <cellStyle name="#_cost9702 (2)_품셈 _일위1_설계내역서 2 20" xfId="21903"/>
    <cellStyle name="#_cost9702 (2)_품셈 _일위1_설계내역서 2 20 2" xfId="34340"/>
    <cellStyle name="#_cost9702 (2)_품셈 _일위1_설계내역서 2 21" xfId="21714"/>
    <cellStyle name="#_cost9702 (2)_품셈 _일위1_설계내역서 2 21 2" xfId="34151"/>
    <cellStyle name="#_cost9702 (2)_품셈 _일위1_설계내역서 2 3" xfId="12464"/>
    <cellStyle name="#_cost9702 (2)_품셈 _일위1_설계내역서 2 3 2" xfId="25344"/>
    <cellStyle name="#_cost9702 (2)_품셈 _일위1_설계내역서 2 4" xfId="16674"/>
    <cellStyle name="#_cost9702 (2)_품셈 _일위1_설계내역서 2 4 2" xfId="29450"/>
    <cellStyle name="#_cost9702 (2)_품셈 _일위1_설계내역서 2 5" xfId="13279"/>
    <cellStyle name="#_cost9702 (2)_품셈 _일위1_설계내역서 2 5 2" xfId="26147"/>
    <cellStyle name="#_cost9702 (2)_품셈 _일위1_설계내역서 2 6" xfId="15785"/>
    <cellStyle name="#_cost9702 (2)_품셈 _일위1_설계내역서 2 6 2" xfId="28584"/>
    <cellStyle name="#_cost9702 (2)_품셈 _일위1_설계내역서 2 7" xfId="17744"/>
    <cellStyle name="#_cost9702 (2)_품셈 _일위1_설계내역서 2 7 2" xfId="30461"/>
    <cellStyle name="#_cost9702 (2)_품셈 _일위1_설계내역서 2 8" xfId="13062"/>
    <cellStyle name="#_cost9702 (2)_품셈 _일위1_설계내역서 2 8 2" xfId="25931"/>
    <cellStyle name="#_cost9702 (2)_품셈 _일위1_설계내역서 2 9" xfId="16049"/>
    <cellStyle name="#_cost9702 (2)_품셈 _일위1_설계내역서 2 9 2" xfId="28832"/>
    <cellStyle name="#_cost9702 (2)_품셈 _일위1_설계내역서 3" xfId="14981"/>
    <cellStyle name="#_cost9702 (2)_품셈 _일위1_설계내역서 3 2" xfId="27802"/>
    <cellStyle name="#_cost9702 (2)_품셈 _자재단가" xfId="6713"/>
    <cellStyle name="#_cost9702 (2)_품셈 _자재단가 2" xfId="6714"/>
    <cellStyle name="#_cost9702 (2)_품셈 _자재단가 2 2" xfId="11042"/>
    <cellStyle name="#_cost9702 (2)_품셈 _자재단가 2 2 10" xfId="15060"/>
    <cellStyle name="#_cost9702 (2)_품셈 _자재단가 2 2 10 2" xfId="27881"/>
    <cellStyle name="#_cost9702 (2)_품셈 _자재단가 2 2 11" xfId="22762"/>
    <cellStyle name="#_cost9702 (2)_품셈 _자재단가 2 2 11 2" xfId="35196"/>
    <cellStyle name="#_cost9702 (2)_품셈 _자재단가 2 2 12" xfId="21403"/>
    <cellStyle name="#_cost9702 (2)_품셈 _자재단가 2 2 12 2" xfId="33840"/>
    <cellStyle name="#_cost9702 (2)_품셈 _자재단가 2 2 13" xfId="20192"/>
    <cellStyle name="#_cost9702 (2)_품셈 _자재단가 2 2 13 2" xfId="32638"/>
    <cellStyle name="#_cost9702 (2)_품셈 _자재단가 2 2 14" xfId="19799"/>
    <cellStyle name="#_cost9702 (2)_품셈 _자재단가 2 2 14 2" xfId="32249"/>
    <cellStyle name="#_cost9702 (2)_품셈 _자재단가 2 2 15" xfId="20663"/>
    <cellStyle name="#_cost9702 (2)_품셈 _자재단가 2 2 15 2" xfId="33107"/>
    <cellStyle name="#_cost9702 (2)_품셈 _자재단가 2 2 16" xfId="20613"/>
    <cellStyle name="#_cost9702 (2)_품셈 _자재단가 2 2 16 2" xfId="33057"/>
    <cellStyle name="#_cost9702 (2)_품셈 _자재단가 2 2 17" xfId="21303"/>
    <cellStyle name="#_cost9702 (2)_품셈 _자재단가 2 2 17 2" xfId="33740"/>
    <cellStyle name="#_cost9702 (2)_품셈 _자재단가 2 2 18" xfId="24745"/>
    <cellStyle name="#_cost9702 (2)_품셈 _자재단가 2 2 18 2" xfId="37176"/>
    <cellStyle name="#_cost9702 (2)_품셈 _자재단가 2 2 19" xfId="21191"/>
    <cellStyle name="#_cost9702 (2)_품셈 _자재단가 2 2 19 2" xfId="33628"/>
    <cellStyle name="#_cost9702 (2)_품셈 _자재단가 2 2 2" xfId="16301"/>
    <cellStyle name="#_cost9702 (2)_품셈 _자재단가 2 2 2 2" xfId="29077"/>
    <cellStyle name="#_cost9702 (2)_품셈 _자재단가 2 2 20" xfId="21902"/>
    <cellStyle name="#_cost9702 (2)_품셈 _자재단가 2 2 20 2" xfId="34339"/>
    <cellStyle name="#_cost9702 (2)_품셈 _자재단가 2 2 21" xfId="18311"/>
    <cellStyle name="#_cost9702 (2)_품셈 _자재단가 2 2 21 2" xfId="31017"/>
    <cellStyle name="#_cost9702 (2)_품셈 _자재단가 2 2 3" xfId="12466"/>
    <cellStyle name="#_cost9702 (2)_품셈 _자재단가 2 2 3 2" xfId="25346"/>
    <cellStyle name="#_cost9702 (2)_품셈 _자재단가 2 2 4" xfId="16672"/>
    <cellStyle name="#_cost9702 (2)_품셈 _자재단가 2 2 4 2" xfId="29448"/>
    <cellStyle name="#_cost9702 (2)_품셈 _자재단가 2 2 5" xfId="13280"/>
    <cellStyle name="#_cost9702 (2)_품셈 _자재단가 2 2 5 2" xfId="26148"/>
    <cellStyle name="#_cost9702 (2)_품셈 _자재단가 2 2 6" xfId="15445"/>
    <cellStyle name="#_cost9702 (2)_품셈 _자재단가 2 2 6 2" xfId="28254"/>
    <cellStyle name="#_cost9702 (2)_품셈 _자재단가 2 2 7" xfId="12386"/>
    <cellStyle name="#_cost9702 (2)_품셈 _자재단가 2 2 7 2" xfId="25266"/>
    <cellStyle name="#_cost9702 (2)_품셈 _자재단가 2 2 8" xfId="12857"/>
    <cellStyle name="#_cost9702 (2)_품셈 _자재단가 2 2 8 2" xfId="25733"/>
    <cellStyle name="#_cost9702 (2)_품셈 _자재단가 2 2 9" xfId="13726"/>
    <cellStyle name="#_cost9702 (2)_품셈 _자재단가 2 2 9 2" xfId="26587"/>
    <cellStyle name="#_cost9702 (2)_품셈 _자재단가 2 3" xfId="14983"/>
    <cellStyle name="#_cost9702 (2)_품셈 _자재단가 2 3 2" xfId="27804"/>
    <cellStyle name="#_cost9702 (2)_품셈 _자재단가 3" xfId="6715"/>
    <cellStyle name="#_cost9702 (2)_품셈 _자재단가 3 2" xfId="11043"/>
    <cellStyle name="#_cost9702 (2)_품셈 _자재단가 3 2 10" xfId="18066"/>
    <cellStyle name="#_cost9702 (2)_품셈 _자재단가 3 2 10 2" xfId="30777"/>
    <cellStyle name="#_cost9702 (2)_품셈 _자재단가 3 2 11" xfId="22763"/>
    <cellStyle name="#_cost9702 (2)_품셈 _자재단가 3 2 11 2" xfId="35197"/>
    <cellStyle name="#_cost9702 (2)_품셈 _자재단가 3 2 12" xfId="21402"/>
    <cellStyle name="#_cost9702 (2)_품셈 _자재단가 3 2 12 2" xfId="33839"/>
    <cellStyle name="#_cost9702 (2)_품셈 _자재단가 3 2 13" xfId="20444"/>
    <cellStyle name="#_cost9702 (2)_품셈 _자재단가 3 2 13 2" xfId="32889"/>
    <cellStyle name="#_cost9702 (2)_품셈 _자재단가 3 2 14" xfId="21014"/>
    <cellStyle name="#_cost9702 (2)_품셈 _자재단가 3 2 14 2" xfId="33451"/>
    <cellStyle name="#_cost9702 (2)_품셈 _자재단가 3 2 15" xfId="20971"/>
    <cellStyle name="#_cost9702 (2)_품셈 _자재단가 3 2 15 2" xfId="33408"/>
    <cellStyle name="#_cost9702 (2)_품셈 _자재단가 3 2 16" xfId="20019"/>
    <cellStyle name="#_cost9702 (2)_품셈 _자재단가 3 2 16 2" xfId="32465"/>
    <cellStyle name="#_cost9702 (2)_품셈 _자재단가 3 2 17" xfId="23174"/>
    <cellStyle name="#_cost9702 (2)_품셈 _자재단가 3 2 17 2" xfId="35607"/>
    <cellStyle name="#_cost9702 (2)_품셈 _자재단가 3 2 18" xfId="24746"/>
    <cellStyle name="#_cost9702 (2)_품셈 _자재단가 3 2 18 2" xfId="37177"/>
    <cellStyle name="#_cost9702 (2)_품셈 _자재단가 3 2 19" xfId="19174"/>
    <cellStyle name="#_cost9702 (2)_품셈 _자재단가 3 2 19 2" xfId="31829"/>
    <cellStyle name="#_cost9702 (2)_품셈 _자재단가 3 2 2" xfId="16302"/>
    <cellStyle name="#_cost9702 (2)_품셈 _자재단가 3 2 2 2" xfId="29078"/>
    <cellStyle name="#_cost9702 (2)_품셈 _자재단가 3 2 20" xfId="21933"/>
    <cellStyle name="#_cost9702 (2)_품셈 _자재단가 3 2 20 2" xfId="34370"/>
    <cellStyle name="#_cost9702 (2)_품셈 _자재단가 3 2 21" xfId="20155"/>
    <cellStyle name="#_cost9702 (2)_품셈 _자재단가 3 2 21 2" xfId="32601"/>
    <cellStyle name="#_cost9702 (2)_품셈 _자재단가 3 2 3" xfId="12467"/>
    <cellStyle name="#_cost9702 (2)_품셈 _자재단가 3 2 3 2" xfId="25347"/>
    <cellStyle name="#_cost9702 (2)_품셈 _자재단가 3 2 4" xfId="14518"/>
    <cellStyle name="#_cost9702 (2)_품셈 _자재단가 3 2 4 2" xfId="27346"/>
    <cellStyle name="#_cost9702 (2)_품셈 _자재단가 3 2 5" xfId="16374"/>
    <cellStyle name="#_cost9702 (2)_품셈 _자재단가 3 2 5 2" xfId="29150"/>
    <cellStyle name="#_cost9702 (2)_품셈 _자재단가 3 2 6" xfId="15212"/>
    <cellStyle name="#_cost9702 (2)_품셈 _자재단가 3 2 6 2" xfId="28030"/>
    <cellStyle name="#_cost9702 (2)_품셈 _자재단가 3 2 7" xfId="12757"/>
    <cellStyle name="#_cost9702 (2)_품셈 _자재단가 3 2 7 2" xfId="25634"/>
    <cellStyle name="#_cost9702 (2)_품셈 _자재단가 3 2 8" xfId="15748"/>
    <cellStyle name="#_cost9702 (2)_품셈 _자재단가 3 2 8 2" xfId="28547"/>
    <cellStyle name="#_cost9702 (2)_품셈 _자재단가 3 2 9" xfId="14876"/>
    <cellStyle name="#_cost9702 (2)_품셈 _자재단가 3 2 9 2" xfId="27697"/>
    <cellStyle name="#_cost9702 (2)_품셈 _자재단가 3 3" xfId="14984"/>
    <cellStyle name="#_cost9702 (2)_품셈 _자재단가 3 3 2" xfId="27805"/>
    <cellStyle name="#_cost9702 (2)_품셈 _자재단가 4" xfId="6716"/>
    <cellStyle name="#_cost9702 (2)_품셈 _자재단가 4 2" xfId="11044"/>
    <cellStyle name="#_cost9702 (2)_품셈 _자재단가 4 2 10" xfId="14861"/>
    <cellStyle name="#_cost9702 (2)_품셈 _자재단가 4 2 10 2" xfId="27683"/>
    <cellStyle name="#_cost9702 (2)_품셈 _자재단가 4 2 11" xfId="22764"/>
    <cellStyle name="#_cost9702 (2)_품셈 _자재단가 4 2 11 2" xfId="35198"/>
    <cellStyle name="#_cost9702 (2)_품셈 _자재단가 4 2 12" xfId="21401"/>
    <cellStyle name="#_cost9702 (2)_품셈 _자재단가 4 2 12 2" xfId="33838"/>
    <cellStyle name="#_cost9702 (2)_품셈 _자재단가 4 2 13" xfId="20191"/>
    <cellStyle name="#_cost9702 (2)_품셈 _자재단가 4 2 13 2" xfId="32637"/>
    <cellStyle name="#_cost9702 (2)_품셈 _자재단가 4 2 14" xfId="19798"/>
    <cellStyle name="#_cost9702 (2)_품셈 _자재단가 4 2 14 2" xfId="32248"/>
    <cellStyle name="#_cost9702 (2)_품셈 _자재단가 4 2 15" xfId="22665"/>
    <cellStyle name="#_cost9702 (2)_품셈 _자재단가 4 2 15 2" xfId="35099"/>
    <cellStyle name="#_cost9702 (2)_품셈 _자재단가 4 2 16" xfId="19158"/>
    <cellStyle name="#_cost9702 (2)_품셈 _자재단가 4 2 16 2" xfId="31813"/>
    <cellStyle name="#_cost9702 (2)_품셈 _자재단가 4 2 17" xfId="18696"/>
    <cellStyle name="#_cost9702 (2)_품셈 _자재단가 4 2 17 2" xfId="31401"/>
    <cellStyle name="#_cost9702 (2)_품셈 _자재단가 4 2 18" xfId="22406"/>
    <cellStyle name="#_cost9702 (2)_품셈 _자재단가 4 2 18 2" xfId="34840"/>
    <cellStyle name="#_cost9702 (2)_품셈 _자재단가 4 2 19" xfId="18799"/>
    <cellStyle name="#_cost9702 (2)_품셈 _자재단가 4 2 19 2" xfId="31504"/>
    <cellStyle name="#_cost9702 (2)_품셈 _자재단가 4 2 2" xfId="16303"/>
    <cellStyle name="#_cost9702 (2)_품셈 _자재단가 4 2 2 2" xfId="29079"/>
    <cellStyle name="#_cost9702 (2)_품셈 _자재단가 4 2 20" xfId="21901"/>
    <cellStyle name="#_cost9702 (2)_품셈 _자재단가 4 2 20 2" xfId="34338"/>
    <cellStyle name="#_cost9702 (2)_품셈 _자재단가 4 2 21" xfId="21991"/>
    <cellStyle name="#_cost9702 (2)_품셈 _자재단가 4 2 21 2" xfId="34428"/>
    <cellStyle name="#_cost9702 (2)_품셈 _자재단가 4 2 3" xfId="12468"/>
    <cellStyle name="#_cost9702 (2)_품셈 _자재단가 4 2 3 2" xfId="25348"/>
    <cellStyle name="#_cost9702 (2)_품셈 _자재단가 4 2 4" xfId="16671"/>
    <cellStyle name="#_cost9702 (2)_품셈 _자재단가 4 2 4 2" xfId="29447"/>
    <cellStyle name="#_cost9702 (2)_품셈 _자재단가 4 2 5" xfId="13281"/>
    <cellStyle name="#_cost9702 (2)_품셈 _자재단가 4 2 5 2" xfId="26149"/>
    <cellStyle name="#_cost9702 (2)_품셈 _자재단가 4 2 6" xfId="17080"/>
    <cellStyle name="#_cost9702 (2)_품셈 _자재단가 4 2 6 2" xfId="29816"/>
    <cellStyle name="#_cost9702 (2)_품셈 _자재단가 4 2 7" xfId="15313"/>
    <cellStyle name="#_cost9702 (2)_품셈 _자재단가 4 2 7 2" xfId="28130"/>
    <cellStyle name="#_cost9702 (2)_품셈 _자재단가 4 2 8" xfId="16813"/>
    <cellStyle name="#_cost9702 (2)_품셈 _자재단가 4 2 8 2" xfId="29588"/>
    <cellStyle name="#_cost9702 (2)_품셈 _자재단가 4 2 9" xfId="14302"/>
    <cellStyle name="#_cost9702 (2)_품셈 _자재단가 4 2 9 2" xfId="27135"/>
    <cellStyle name="#_cost9702 (2)_품셈 _자재단가 4 3" xfId="14985"/>
    <cellStyle name="#_cost9702 (2)_품셈 _자재단가 4 3 2" xfId="27806"/>
    <cellStyle name="#_cost9702 (2)_품셈 _자재단가 5" xfId="6717"/>
    <cellStyle name="#_cost9702 (2)_품셈 _자재단가 5 2" xfId="11045"/>
    <cellStyle name="#_cost9702 (2)_품셈 _자재단가 5 2 10" xfId="18065"/>
    <cellStyle name="#_cost9702 (2)_품셈 _자재단가 5 2 10 2" xfId="30776"/>
    <cellStyle name="#_cost9702 (2)_품셈 _자재단가 5 2 11" xfId="22765"/>
    <cellStyle name="#_cost9702 (2)_품셈 _자재단가 5 2 11 2" xfId="35199"/>
    <cellStyle name="#_cost9702 (2)_품셈 _자재단가 5 2 12" xfId="21400"/>
    <cellStyle name="#_cost9702 (2)_품셈 _자재단가 5 2 12 2" xfId="33837"/>
    <cellStyle name="#_cost9702 (2)_품셈 _자재단가 5 2 13" xfId="20443"/>
    <cellStyle name="#_cost9702 (2)_품셈 _자재단가 5 2 13 2" xfId="32888"/>
    <cellStyle name="#_cost9702 (2)_품셈 _자재단가 5 2 14" xfId="21013"/>
    <cellStyle name="#_cost9702 (2)_품셈 _자재단가 5 2 14 2" xfId="33450"/>
    <cellStyle name="#_cost9702 (2)_품셈 _자재단가 5 2 15" xfId="18634"/>
    <cellStyle name="#_cost9702 (2)_품셈 _자재단가 5 2 15 2" xfId="31339"/>
    <cellStyle name="#_cost9702 (2)_품셈 _자재단가 5 2 16" xfId="20020"/>
    <cellStyle name="#_cost9702 (2)_품셈 _자재단가 5 2 16 2" xfId="32466"/>
    <cellStyle name="#_cost9702 (2)_품셈 _자재단가 5 2 17" xfId="20671"/>
    <cellStyle name="#_cost9702 (2)_품셈 _자재단가 5 2 17 2" xfId="33115"/>
    <cellStyle name="#_cost9702 (2)_품셈 _자재단가 5 2 18" xfId="18340"/>
    <cellStyle name="#_cost9702 (2)_품셈 _자재단가 5 2 18 2" xfId="31046"/>
    <cellStyle name="#_cost9702 (2)_품셈 _자재단가 5 2 19" xfId="22837"/>
    <cellStyle name="#_cost9702 (2)_품셈 _자재단가 5 2 19 2" xfId="35271"/>
    <cellStyle name="#_cost9702 (2)_품셈 _자재단가 5 2 2" xfId="16304"/>
    <cellStyle name="#_cost9702 (2)_품셈 _자재단가 5 2 2 2" xfId="29080"/>
    <cellStyle name="#_cost9702 (2)_품셈 _자재단가 5 2 20" xfId="20664"/>
    <cellStyle name="#_cost9702 (2)_품셈 _자재단가 5 2 20 2" xfId="33108"/>
    <cellStyle name="#_cost9702 (2)_품셈 _자재단가 5 2 21" xfId="23790"/>
    <cellStyle name="#_cost9702 (2)_품셈 _자재단가 5 2 21 2" xfId="36221"/>
    <cellStyle name="#_cost9702 (2)_품셈 _자재단가 5 2 3" xfId="12469"/>
    <cellStyle name="#_cost9702 (2)_품셈 _자재단가 5 2 3 2" xfId="25349"/>
    <cellStyle name="#_cost9702 (2)_품셈 _자재단가 5 2 4" xfId="16670"/>
    <cellStyle name="#_cost9702 (2)_품셈 _자재단가 5 2 4 2" xfId="29446"/>
    <cellStyle name="#_cost9702 (2)_품셈 _자재단가 5 2 5" xfId="16387"/>
    <cellStyle name="#_cost9702 (2)_품셈 _자재단가 5 2 5 2" xfId="29163"/>
    <cellStyle name="#_cost9702 (2)_품셈 _자재단가 5 2 6" xfId="12724"/>
    <cellStyle name="#_cost9702 (2)_품셈 _자재단가 5 2 6 2" xfId="25601"/>
    <cellStyle name="#_cost9702 (2)_품셈 _자재단가 5 2 7" xfId="14082"/>
    <cellStyle name="#_cost9702 (2)_품셈 _자재단가 5 2 7 2" xfId="26930"/>
    <cellStyle name="#_cost9702 (2)_품셈 _자재단가 5 2 8" xfId="16164"/>
    <cellStyle name="#_cost9702 (2)_품셈 _자재단가 5 2 8 2" xfId="28947"/>
    <cellStyle name="#_cost9702 (2)_품셈 _자재단가 5 2 9" xfId="14025"/>
    <cellStyle name="#_cost9702 (2)_품셈 _자재단가 5 2 9 2" xfId="26876"/>
    <cellStyle name="#_cost9702 (2)_품셈 _자재단가 5 3" xfId="14986"/>
    <cellStyle name="#_cost9702 (2)_품셈 _자재단가 5 3 2" xfId="27807"/>
    <cellStyle name="#_cost9702 (2)_품셈 _자재단가 6" xfId="6718"/>
    <cellStyle name="#_cost9702 (2)_품셈 _자재단가 6 2" xfId="11046"/>
    <cellStyle name="#_cost9702 (2)_품셈 _자재단가 6 2 10" xfId="13852"/>
    <cellStyle name="#_cost9702 (2)_품셈 _자재단가 6 2 10 2" xfId="26711"/>
    <cellStyle name="#_cost9702 (2)_품셈 _자재단가 6 2 11" xfId="22766"/>
    <cellStyle name="#_cost9702 (2)_품셈 _자재단가 6 2 11 2" xfId="35200"/>
    <cellStyle name="#_cost9702 (2)_품셈 _자재단가 6 2 12" xfId="21399"/>
    <cellStyle name="#_cost9702 (2)_품셈 _자재단가 6 2 12 2" xfId="33836"/>
    <cellStyle name="#_cost9702 (2)_품셈 _자재단가 6 2 13" xfId="20190"/>
    <cellStyle name="#_cost9702 (2)_품셈 _자재단가 6 2 13 2" xfId="32636"/>
    <cellStyle name="#_cost9702 (2)_품셈 _자재단가 6 2 14" xfId="19797"/>
    <cellStyle name="#_cost9702 (2)_품셈 _자재단가 6 2 14 2" xfId="32247"/>
    <cellStyle name="#_cost9702 (2)_품셈 _자재단가 6 2 15" xfId="18635"/>
    <cellStyle name="#_cost9702 (2)_품셈 _자재단가 6 2 15 2" xfId="31340"/>
    <cellStyle name="#_cost9702 (2)_품셈 _자재단가 6 2 16" xfId="21877"/>
    <cellStyle name="#_cost9702 (2)_품셈 _자재단가 6 2 16 2" xfId="34314"/>
    <cellStyle name="#_cost9702 (2)_품셈 _자재단가 6 2 17" xfId="19040"/>
    <cellStyle name="#_cost9702 (2)_품셈 _자재단가 6 2 17 2" xfId="31745"/>
    <cellStyle name="#_cost9702 (2)_품셈 _자재단가 6 2 18" xfId="20718"/>
    <cellStyle name="#_cost9702 (2)_품셈 _자재단가 6 2 18 2" xfId="33159"/>
    <cellStyle name="#_cost9702 (2)_품셈 _자재단가 6 2 19" xfId="23236"/>
    <cellStyle name="#_cost9702 (2)_품셈 _자재단가 6 2 19 2" xfId="35668"/>
    <cellStyle name="#_cost9702 (2)_품셈 _자재단가 6 2 2" xfId="16305"/>
    <cellStyle name="#_cost9702 (2)_품셈 _자재단가 6 2 2 2" xfId="29081"/>
    <cellStyle name="#_cost9702 (2)_품셈 _자재단가 6 2 20" xfId="21900"/>
    <cellStyle name="#_cost9702 (2)_품셈 _자재단가 6 2 20 2" xfId="34337"/>
    <cellStyle name="#_cost9702 (2)_품셈 _자재단가 6 2 21" xfId="21992"/>
    <cellStyle name="#_cost9702 (2)_품셈 _자재단가 6 2 21 2" xfId="34429"/>
    <cellStyle name="#_cost9702 (2)_품셈 _자재단가 6 2 3" xfId="12470"/>
    <cellStyle name="#_cost9702 (2)_품셈 _자재단가 6 2 3 2" xfId="25350"/>
    <cellStyle name="#_cost9702 (2)_품셈 _자재단가 6 2 4" xfId="16669"/>
    <cellStyle name="#_cost9702 (2)_품셈 _자재단가 6 2 4 2" xfId="29445"/>
    <cellStyle name="#_cost9702 (2)_품셈 _자재단가 6 2 5" xfId="13282"/>
    <cellStyle name="#_cost9702 (2)_품셈 _자재단가 6 2 5 2" xfId="26150"/>
    <cellStyle name="#_cost9702 (2)_품셈 _자재단가 6 2 6" xfId="17079"/>
    <cellStyle name="#_cost9702 (2)_품셈 _자재단가 6 2 6 2" xfId="29815"/>
    <cellStyle name="#_cost9702 (2)_품셈 _자재단가 6 2 7" xfId="17743"/>
    <cellStyle name="#_cost9702 (2)_품셈 _자재단가 6 2 7 2" xfId="30460"/>
    <cellStyle name="#_cost9702 (2)_품셈 _자재단가 6 2 8" xfId="14560"/>
    <cellStyle name="#_cost9702 (2)_품셈 _자재단가 6 2 8 2" xfId="27388"/>
    <cellStyle name="#_cost9702 (2)_품셈 _자재단가 6 2 9" xfId="13231"/>
    <cellStyle name="#_cost9702 (2)_품셈 _자재단가 6 2 9 2" xfId="26099"/>
    <cellStyle name="#_cost9702 (2)_품셈 _자재단가 6 3" xfId="14987"/>
    <cellStyle name="#_cost9702 (2)_품셈 _자재단가 6 3 2" xfId="27808"/>
    <cellStyle name="#_cost9702 (2)_품셈 _자재단가 7" xfId="6719"/>
    <cellStyle name="#_cost9702 (2)_품셈 _자재단가 7 2" xfId="11047"/>
    <cellStyle name="#_cost9702 (2)_품셈 _자재단가 7 2 10" xfId="18064"/>
    <cellStyle name="#_cost9702 (2)_품셈 _자재단가 7 2 10 2" xfId="30775"/>
    <cellStyle name="#_cost9702 (2)_품셈 _자재단가 7 2 11" xfId="22767"/>
    <cellStyle name="#_cost9702 (2)_품셈 _자재단가 7 2 11 2" xfId="35201"/>
    <cellStyle name="#_cost9702 (2)_품셈 _자재단가 7 2 12" xfId="21398"/>
    <cellStyle name="#_cost9702 (2)_품셈 _자재단가 7 2 12 2" xfId="33835"/>
    <cellStyle name="#_cost9702 (2)_품셈 _자재단가 7 2 13" xfId="20442"/>
    <cellStyle name="#_cost9702 (2)_품셈 _자재단가 7 2 13 2" xfId="32887"/>
    <cellStyle name="#_cost9702 (2)_품셈 _자재단가 7 2 14" xfId="21012"/>
    <cellStyle name="#_cost9702 (2)_품셈 _자재단가 7 2 14 2" xfId="33449"/>
    <cellStyle name="#_cost9702 (2)_품셈 _자재단가 7 2 15" xfId="23096"/>
    <cellStyle name="#_cost9702 (2)_품셈 _자재단가 7 2 15 2" xfId="35529"/>
    <cellStyle name="#_cost9702 (2)_품셈 _자재단가 7 2 16" xfId="20021"/>
    <cellStyle name="#_cost9702 (2)_품셈 _자재단가 7 2 16 2" xfId="32467"/>
    <cellStyle name="#_cost9702 (2)_품셈 _자재단가 7 2 17" xfId="19539"/>
    <cellStyle name="#_cost9702 (2)_품셈 _자재단가 7 2 17 2" xfId="31994"/>
    <cellStyle name="#_cost9702 (2)_품셈 _자재단가 7 2 18" xfId="19239"/>
    <cellStyle name="#_cost9702 (2)_품셈 _자재단가 7 2 18 2" xfId="31894"/>
    <cellStyle name="#_cost9702 (2)_품셈 _자재단가 7 2 19" xfId="22836"/>
    <cellStyle name="#_cost9702 (2)_품셈 _자재단가 7 2 19 2" xfId="35270"/>
    <cellStyle name="#_cost9702 (2)_품셈 _자재단가 7 2 2" xfId="16306"/>
    <cellStyle name="#_cost9702 (2)_품셈 _자재단가 7 2 2 2" xfId="29082"/>
    <cellStyle name="#_cost9702 (2)_품셈 _자재단가 7 2 20" xfId="19532"/>
    <cellStyle name="#_cost9702 (2)_품셈 _자재단가 7 2 20 2" xfId="31987"/>
    <cellStyle name="#_cost9702 (2)_품셈 _자재단가 7 2 21" xfId="23858"/>
    <cellStyle name="#_cost9702 (2)_품셈 _자재단가 7 2 21 2" xfId="36289"/>
    <cellStyle name="#_cost9702 (2)_품셈 _자재단가 7 2 3" xfId="12471"/>
    <cellStyle name="#_cost9702 (2)_품셈 _자재단가 7 2 3 2" xfId="25351"/>
    <cellStyle name="#_cost9702 (2)_품셈 _자재단가 7 2 4" xfId="16668"/>
    <cellStyle name="#_cost9702 (2)_품셈 _자재단가 7 2 4 2" xfId="29444"/>
    <cellStyle name="#_cost9702 (2)_품셈 _자재단가 7 2 5" xfId="16202"/>
    <cellStyle name="#_cost9702 (2)_품셈 _자재단가 7 2 5 2" xfId="28978"/>
    <cellStyle name="#_cost9702 (2)_품셈 _자재단가 7 2 6" xfId="15213"/>
    <cellStyle name="#_cost9702 (2)_품셈 _자재단가 7 2 6 2" xfId="28031"/>
    <cellStyle name="#_cost9702 (2)_품셈 _자재단가 7 2 7" xfId="17742"/>
    <cellStyle name="#_cost9702 (2)_품셈 _자재단가 7 2 7 2" xfId="30459"/>
    <cellStyle name="#_cost9702 (2)_품셈 _자재단가 7 2 8" xfId="15624"/>
    <cellStyle name="#_cost9702 (2)_품셈 _자재단가 7 2 8 2" xfId="28433"/>
    <cellStyle name="#_cost9702 (2)_품셈 _자재단가 7 2 9" xfId="15920"/>
    <cellStyle name="#_cost9702 (2)_품셈 _자재단가 7 2 9 2" xfId="28718"/>
    <cellStyle name="#_cost9702 (2)_품셈 _자재단가 7 3" xfId="14988"/>
    <cellStyle name="#_cost9702 (2)_품셈 _자재단가 7 3 2" xfId="27809"/>
    <cellStyle name="#_cost9702 (2)_품셈 _자재단가 8" xfId="11041"/>
    <cellStyle name="#_cost9702 (2)_품셈 _자재단가 8 10" xfId="18067"/>
    <cellStyle name="#_cost9702 (2)_품셈 _자재단가 8 10 2" xfId="30778"/>
    <cellStyle name="#_cost9702 (2)_품셈 _자재단가 8 11" xfId="22761"/>
    <cellStyle name="#_cost9702 (2)_품셈 _자재단가 8 11 2" xfId="35195"/>
    <cellStyle name="#_cost9702 (2)_품셈 _자재단가 8 12" xfId="21404"/>
    <cellStyle name="#_cost9702 (2)_품셈 _자재단가 8 12 2" xfId="33841"/>
    <cellStyle name="#_cost9702 (2)_품셈 _자재단가 8 13" xfId="20445"/>
    <cellStyle name="#_cost9702 (2)_품셈 _자재단가 8 13 2" xfId="32890"/>
    <cellStyle name="#_cost9702 (2)_품셈 _자재단가 8 14" xfId="19020"/>
    <cellStyle name="#_cost9702 (2)_품셈 _자재단가 8 14 2" xfId="31725"/>
    <cellStyle name="#_cost9702 (2)_품셈 _자재단가 8 15" xfId="21957"/>
    <cellStyle name="#_cost9702 (2)_품셈 _자재단가 8 15 2" xfId="34394"/>
    <cellStyle name="#_cost9702 (2)_품셈 _자재단가 8 16" xfId="20018"/>
    <cellStyle name="#_cost9702 (2)_품셈 _자재단가 8 16 2" xfId="32464"/>
    <cellStyle name="#_cost9702 (2)_품셈 _자재단가 8 17" xfId="23127"/>
    <cellStyle name="#_cost9702 (2)_품셈 _자재단가 8 17 2" xfId="35560"/>
    <cellStyle name="#_cost9702 (2)_품셈 _자재단가 8 18" xfId="24744"/>
    <cellStyle name="#_cost9702 (2)_품셈 _자재단가 8 18 2" xfId="37175"/>
    <cellStyle name="#_cost9702 (2)_품셈 _자재단가 8 19" xfId="18386"/>
    <cellStyle name="#_cost9702 (2)_품셈 _자재단가 8 19 2" xfId="31092"/>
    <cellStyle name="#_cost9702 (2)_품셈 _자재단가 8 2" xfId="16300"/>
    <cellStyle name="#_cost9702 (2)_품셈 _자재단가 8 2 2" xfId="29076"/>
    <cellStyle name="#_cost9702 (2)_품셈 _자재단가 8 20" xfId="23826"/>
    <cellStyle name="#_cost9702 (2)_품셈 _자재단가 8 20 2" xfId="36257"/>
    <cellStyle name="#_cost9702 (2)_품셈 _자재단가 8 21" xfId="19864"/>
    <cellStyle name="#_cost9702 (2)_품셈 _자재단가 8 21 2" xfId="32314"/>
    <cellStyle name="#_cost9702 (2)_품셈 _자재단가 8 3" xfId="12465"/>
    <cellStyle name="#_cost9702 (2)_품셈 _자재단가 8 3 2" xfId="25345"/>
    <cellStyle name="#_cost9702 (2)_품셈 _자재단가 8 4" xfId="14370"/>
    <cellStyle name="#_cost9702 (2)_품셈 _자재단가 8 4 2" xfId="27203"/>
    <cellStyle name="#_cost9702 (2)_품셈 _자재단가 8 5" xfId="16457"/>
    <cellStyle name="#_cost9702 (2)_품셈 _자재단가 8 5 2" xfId="29233"/>
    <cellStyle name="#_cost9702 (2)_품셈 _자재단가 8 6" xfId="12723"/>
    <cellStyle name="#_cost9702 (2)_품셈 _자재단가 8 6 2" xfId="25600"/>
    <cellStyle name="#_cost9702 (2)_품셈 _자재단가 8 7" xfId="16177"/>
    <cellStyle name="#_cost9702 (2)_품셈 _자재단가 8 7 2" xfId="28954"/>
    <cellStyle name="#_cost9702 (2)_품셈 _자재단가 8 8" xfId="15747"/>
    <cellStyle name="#_cost9702 (2)_품셈 _자재단가 8 8 2" xfId="28546"/>
    <cellStyle name="#_cost9702 (2)_품셈 _자재단가 8 9" xfId="14241"/>
    <cellStyle name="#_cost9702 (2)_품셈 _자재단가 8 9 2" xfId="27081"/>
    <cellStyle name="#_cost9702 (2)_품셈 _자재단가 9" xfId="14982"/>
    <cellStyle name="#_cost9702 (2)_품셈 _자재단가 9 2" xfId="27803"/>
    <cellStyle name="#_cost9702 (2)_품셈 _자재단가_설계내역서" xfId="6720"/>
    <cellStyle name="#_cost9702 (2)_품셈 _자재단가_설계내역서 2" xfId="11048"/>
    <cellStyle name="#_cost9702 (2)_품셈 _자재단가_설계내역서 2 10" xfId="15766"/>
    <cellStyle name="#_cost9702 (2)_품셈 _자재단가_설계내역서 2 10 2" xfId="28565"/>
    <cellStyle name="#_cost9702 (2)_품셈 _자재단가_설계내역서 2 11" xfId="22768"/>
    <cellStyle name="#_cost9702 (2)_품셈 _자재단가_설계내역서 2 11 2" xfId="35202"/>
    <cellStyle name="#_cost9702 (2)_품셈 _자재단가_설계내역서 2 12" xfId="21397"/>
    <cellStyle name="#_cost9702 (2)_품셈 _자재단가_설계내역서 2 12 2" xfId="33834"/>
    <cellStyle name="#_cost9702 (2)_품셈 _자재단가_설계내역서 2 13" xfId="20189"/>
    <cellStyle name="#_cost9702 (2)_품셈 _자재단가_설계내역서 2 13 2" xfId="32635"/>
    <cellStyle name="#_cost9702 (2)_품셈 _자재단가_설계내역서 2 14" xfId="19796"/>
    <cellStyle name="#_cost9702 (2)_품셈 _자재단가_설계내역서 2 14 2" xfId="32246"/>
    <cellStyle name="#_cost9702 (2)_품셈 _자재단가_설계내역서 2 15" xfId="18636"/>
    <cellStyle name="#_cost9702 (2)_품셈 _자재단가_설계내역서 2 15 2" xfId="31341"/>
    <cellStyle name="#_cost9702 (2)_품셈 _자재단가_설계내역서 2 16" xfId="20358"/>
    <cellStyle name="#_cost9702 (2)_품셈 _자재단가_설계내역서 2 16 2" xfId="32803"/>
    <cellStyle name="#_cost9702 (2)_품셈 _자재단가_설계내역서 2 17" xfId="18697"/>
    <cellStyle name="#_cost9702 (2)_품셈 _자재단가_설계내역서 2 17 2" xfId="31402"/>
    <cellStyle name="#_cost9702 (2)_품셈 _자재단가_설계내역서 2 18" xfId="24171"/>
    <cellStyle name="#_cost9702 (2)_품셈 _자재단가_설계내역서 2 18 2" xfId="36602"/>
    <cellStyle name="#_cost9702 (2)_품셈 _자재단가_설계내역서 2 19" xfId="21768"/>
    <cellStyle name="#_cost9702 (2)_품셈 _자재단가_설계내역서 2 19 2" xfId="34205"/>
    <cellStyle name="#_cost9702 (2)_품셈 _자재단가_설계내역서 2 2" xfId="16307"/>
    <cellStyle name="#_cost9702 (2)_품셈 _자재단가_설계내역서 2 2 2" xfId="29083"/>
    <cellStyle name="#_cost9702 (2)_품셈 _자재단가_설계내역서 2 20" xfId="18389"/>
    <cellStyle name="#_cost9702 (2)_품셈 _자재단가_설계내역서 2 20 2" xfId="31095"/>
    <cellStyle name="#_cost9702 (2)_품셈 _자재단가_설계내역서 2 21" xfId="20684"/>
    <cellStyle name="#_cost9702 (2)_품셈 _자재단가_설계내역서 2 21 2" xfId="33128"/>
    <cellStyle name="#_cost9702 (2)_품셈 _자재단가_설계내역서 2 3" xfId="12472"/>
    <cellStyle name="#_cost9702 (2)_품셈 _자재단가_설계내역서 2 3 2" xfId="25352"/>
    <cellStyle name="#_cost9702 (2)_품셈 _자재단가_설계내역서 2 4" xfId="16667"/>
    <cellStyle name="#_cost9702 (2)_품셈 _자재단가_설계내역서 2 4 2" xfId="29443"/>
    <cellStyle name="#_cost9702 (2)_품셈 _자재단가_설계내역서 2 5" xfId="13283"/>
    <cellStyle name="#_cost9702 (2)_품셈 _자재단가_설계내역서 2 5 2" xfId="26151"/>
    <cellStyle name="#_cost9702 (2)_품셈 _자재단가_설계내역서 2 6" xfId="15915"/>
    <cellStyle name="#_cost9702 (2)_품셈 _자재단가_설계내역서 2 6 2" xfId="28713"/>
    <cellStyle name="#_cost9702 (2)_품셈 _자재단가_설계내역서 2 7" xfId="17741"/>
    <cellStyle name="#_cost9702 (2)_품셈 _자재단가_설계내역서 2 7 2" xfId="30458"/>
    <cellStyle name="#_cost9702 (2)_품셈 _자재단가_설계내역서 2 8" xfId="17555"/>
    <cellStyle name="#_cost9702 (2)_품셈 _자재단가_설계내역서 2 8 2" xfId="30275"/>
    <cellStyle name="#_cost9702 (2)_품셈 _자재단가_설계내역서 2 9" xfId="12745"/>
    <cellStyle name="#_cost9702 (2)_품셈 _자재단가_설계내역서 2 9 2" xfId="25622"/>
    <cellStyle name="#_cost9702 (2)_품셈 _자재단가_설계내역서 3" xfId="14989"/>
    <cellStyle name="#_cost9702 (2)_품셈 _자재단가_설계내역서 3 2" xfId="27810"/>
    <cellStyle name="#_Module1" xfId="6721"/>
    <cellStyle name="#_Module2" xfId="6722"/>
    <cellStyle name="#_Module2 2" xfId="6723"/>
    <cellStyle name="#_Module2 2 2" xfId="11050"/>
    <cellStyle name="#_Module2 2 2 10" xfId="17250"/>
    <cellStyle name="#_Module2 2 2 10 2" xfId="29983"/>
    <cellStyle name="#_Module2 2 2 11" xfId="22770"/>
    <cellStyle name="#_Module2 2 2 11 2" xfId="35204"/>
    <cellStyle name="#_Module2 2 2 12" xfId="21395"/>
    <cellStyle name="#_Module2 2 2 12 2" xfId="33832"/>
    <cellStyle name="#_Module2 2 2 13" xfId="20188"/>
    <cellStyle name="#_Module2 2 2 13 2" xfId="32634"/>
    <cellStyle name="#_Module2 2 2 14" xfId="19795"/>
    <cellStyle name="#_Module2 2 2 14 2" xfId="32245"/>
    <cellStyle name="#_Module2 2 2 15" xfId="18638"/>
    <cellStyle name="#_Module2 2 2 15 2" xfId="31343"/>
    <cellStyle name="#_Module2 2 2 16" xfId="18654"/>
    <cellStyle name="#_Module2 2 2 16 2" xfId="31359"/>
    <cellStyle name="#_Module2 2 2 17" xfId="23911"/>
    <cellStyle name="#_Module2 2 2 17 2" xfId="36342"/>
    <cellStyle name="#_Module2 2 2 18" xfId="22396"/>
    <cellStyle name="#_Module2 2 2 18 2" xfId="34830"/>
    <cellStyle name="#_Module2 2 2 19" xfId="19208"/>
    <cellStyle name="#_Module2 2 2 19 2" xfId="31863"/>
    <cellStyle name="#_Module2 2 2 2" xfId="16309"/>
    <cellStyle name="#_Module2 2 2 2 2" xfId="29085"/>
    <cellStyle name="#_Module2 2 2 20" xfId="22426"/>
    <cellStyle name="#_Module2 2 2 20 2" xfId="34860"/>
    <cellStyle name="#_Module2 2 2 21" xfId="21316"/>
    <cellStyle name="#_Module2 2 2 21 2" xfId="33753"/>
    <cellStyle name="#_Module2 2 2 3" xfId="12474"/>
    <cellStyle name="#_Module2 2 2 3 2" xfId="25354"/>
    <cellStyle name="#_Module2 2 2 4" xfId="14517"/>
    <cellStyle name="#_Module2 2 2 4 2" xfId="27345"/>
    <cellStyle name="#_Module2 2 2 5" xfId="13284"/>
    <cellStyle name="#_Module2 2 2 5 2" xfId="26152"/>
    <cellStyle name="#_Module2 2 2 6" xfId="17078"/>
    <cellStyle name="#_Module2 2 2 6 2" xfId="29814"/>
    <cellStyle name="#_Module2 2 2 7" xfId="17739"/>
    <cellStyle name="#_Module2 2 2 7 2" xfId="30456"/>
    <cellStyle name="#_Module2 2 2 8" xfId="13063"/>
    <cellStyle name="#_Module2 2 2 8 2" xfId="25932"/>
    <cellStyle name="#_Module2 2 2 9" xfId="17084"/>
    <cellStyle name="#_Module2 2 2 9 2" xfId="29820"/>
    <cellStyle name="#_Module2 2 3" xfId="14991"/>
    <cellStyle name="#_Module2 2 3 2" xfId="27812"/>
    <cellStyle name="#_Module2 3" xfId="6724"/>
    <cellStyle name="#_Module2 3 2" xfId="11051"/>
    <cellStyle name="#_Module2 3 2 10" xfId="18062"/>
    <cellStyle name="#_Module2 3 2 10 2" xfId="30773"/>
    <cellStyle name="#_Module2 3 2 11" xfId="22771"/>
    <cellStyle name="#_Module2 3 2 11 2" xfId="35205"/>
    <cellStyle name="#_Module2 3 2 12" xfId="21394"/>
    <cellStyle name="#_Module2 3 2 12 2" xfId="33831"/>
    <cellStyle name="#_Module2 3 2 13" xfId="20440"/>
    <cellStyle name="#_Module2 3 2 13 2" xfId="32885"/>
    <cellStyle name="#_Module2 3 2 14" xfId="21010"/>
    <cellStyle name="#_Module2 3 2 14 2" xfId="33447"/>
    <cellStyle name="#_Module2 3 2 15" xfId="21959"/>
    <cellStyle name="#_Module2 3 2 15 2" xfId="34396"/>
    <cellStyle name="#_Module2 3 2 16" xfId="20268"/>
    <cellStyle name="#_Module2 3 2 16 2" xfId="32713"/>
    <cellStyle name="#_Module2 3 2 17" xfId="20647"/>
    <cellStyle name="#_Module2 3 2 17 2" xfId="33091"/>
    <cellStyle name="#_Module2 3 2 18" xfId="24170"/>
    <cellStyle name="#_Module2 3 2 18 2" xfId="36601"/>
    <cellStyle name="#_Module2 3 2 19" xfId="23363"/>
    <cellStyle name="#_Module2 3 2 19 2" xfId="35795"/>
    <cellStyle name="#_Module2 3 2 2" xfId="16310"/>
    <cellStyle name="#_Module2 3 2 2 2" xfId="29086"/>
    <cellStyle name="#_Module2 3 2 20" xfId="22342"/>
    <cellStyle name="#_Module2 3 2 20 2" xfId="34776"/>
    <cellStyle name="#_Module2 3 2 21" xfId="22635"/>
    <cellStyle name="#_Module2 3 2 21 2" xfId="35069"/>
    <cellStyle name="#_Module2 3 2 3" xfId="12475"/>
    <cellStyle name="#_Module2 3 2 3 2" xfId="25355"/>
    <cellStyle name="#_Module2 3 2 4" xfId="16665"/>
    <cellStyle name="#_Module2 3 2 4 2" xfId="29441"/>
    <cellStyle name="#_Module2 3 2 5" xfId="13485"/>
    <cellStyle name="#_Module2 3 2 5 2" xfId="26353"/>
    <cellStyle name="#_Module2 3 2 6" xfId="12725"/>
    <cellStyle name="#_Module2 3 2 6 2" xfId="25602"/>
    <cellStyle name="#_Module2 3 2 7" xfId="17738"/>
    <cellStyle name="#_Module2 3 2 7 2" xfId="30455"/>
    <cellStyle name="#_Module2 3 2 8" xfId="16802"/>
    <cellStyle name="#_Module2 3 2 8 2" xfId="29577"/>
    <cellStyle name="#_Module2 3 2 9" xfId="14027"/>
    <cellStyle name="#_Module2 3 2 9 2" xfId="26878"/>
    <cellStyle name="#_Module2 3 3" xfId="14992"/>
    <cellStyle name="#_Module2 3 3 2" xfId="27813"/>
    <cellStyle name="#_Module2 4" xfId="6725"/>
    <cellStyle name="#_Module2 4 2" xfId="11052"/>
    <cellStyle name="#_Module2 4 2 10" xfId="13689"/>
    <cellStyle name="#_Module2 4 2 10 2" xfId="26553"/>
    <cellStyle name="#_Module2 4 2 11" xfId="22772"/>
    <cellStyle name="#_Module2 4 2 11 2" xfId="35206"/>
    <cellStyle name="#_Module2 4 2 12" xfId="21393"/>
    <cellStyle name="#_Module2 4 2 12 2" xfId="33830"/>
    <cellStyle name="#_Module2 4 2 13" xfId="20187"/>
    <cellStyle name="#_Module2 4 2 13 2" xfId="32633"/>
    <cellStyle name="#_Module2 4 2 14" xfId="19794"/>
    <cellStyle name="#_Module2 4 2 14 2" xfId="32244"/>
    <cellStyle name="#_Module2 4 2 15" xfId="21960"/>
    <cellStyle name="#_Module2 4 2 15 2" xfId="34397"/>
    <cellStyle name="#_Module2 4 2 16" xfId="18805"/>
    <cellStyle name="#_Module2 4 2 16 2" xfId="31510"/>
    <cellStyle name="#_Module2 4 2 17" xfId="24232"/>
    <cellStyle name="#_Module2 4 2 17 2" xfId="36663"/>
    <cellStyle name="#_Module2 4 2 18" xfId="24169"/>
    <cellStyle name="#_Module2 4 2 18 2" xfId="36600"/>
    <cellStyle name="#_Module2 4 2 19" xfId="18415"/>
    <cellStyle name="#_Module2 4 2 19 2" xfId="31120"/>
    <cellStyle name="#_Module2 4 2 2" xfId="16311"/>
    <cellStyle name="#_Module2 4 2 2 2" xfId="29087"/>
    <cellStyle name="#_Module2 4 2 20" xfId="23418"/>
    <cellStyle name="#_Module2 4 2 20 2" xfId="35849"/>
    <cellStyle name="#_Module2 4 2 21" xfId="19719"/>
    <cellStyle name="#_Module2 4 2 21 2" xfId="32172"/>
    <cellStyle name="#_Module2 4 2 3" xfId="12476"/>
    <cellStyle name="#_Module2 4 2 3 2" xfId="25356"/>
    <cellStyle name="#_Module2 4 2 4" xfId="16664"/>
    <cellStyle name="#_Module2 4 2 4 2" xfId="29440"/>
    <cellStyle name="#_Module2 4 2 5" xfId="13285"/>
    <cellStyle name="#_Module2 4 2 5 2" xfId="26153"/>
    <cellStyle name="#_Module2 4 2 6" xfId="17077"/>
    <cellStyle name="#_Module2 4 2 6 2" xfId="29813"/>
    <cellStyle name="#_Module2 4 2 7" xfId="12756"/>
    <cellStyle name="#_Module2 4 2 7 2" xfId="25633"/>
    <cellStyle name="#_Module2 4 2 8" xfId="17556"/>
    <cellStyle name="#_Module2 4 2 8 2" xfId="30276"/>
    <cellStyle name="#_Module2 4 2 9" xfId="15288"/>
    <cellStyle name="#_Module2 4 2 9 2" xfId="28105"/>
    <cellStyle name="#_Module2 4 3" xfId="14993"/>
    <cellStyle name="#_Module2 4 3 2" xfId="27814"/>
    <cellStyle name="#_Module2 5" xfId="6726"/>
    <cellStyle name="#_Module2 5 2" xfId="11053"/>
    <cellStyle name="#_Module2 5 2 10" xfId="18061"/>
    <cellStyle name="#_Module2 5 2 10 2" xfId="30772"/>
    <cellStyle name="#_Module2 5 2 11" xfId="22773"/>
    <cellStyle name="#_Module2 5 2 11 2" xfId="35207"/>
    <cellStyle name="#_Module2 5 2 12" xfId="21392"/>
    <cellStyle name="#_Module2 5 2 12 2" xfId="33829"/>
    <cellStyle name="#_Module2 5 2 13" xfId="20439"/>
    <cellStyle name="#_Module2 5 2 13 2" xfId="32884"/>
    <cellStyle name="#_Module2 5 2 14" xfId="21009"/>
    <cellStyle name="#_Module2 5 2 14 2" xfId="33446"/>
    <cellStyle name="#_Module2 5 2 15" xfId="21961"/>
    <cellStyle name="#_Module2 5 2 15 2" xfId="34398"/>
    <cellStyle name="#_Module2 5 2 16" xfId="20023"/>
    <cellStyle name="#_Module2 5 2 16 2" xfId="32469"/>
    <cellStyle name="#_Module2 5 2 17" xfId="19540"/>
    <cellStyle name="#_Module2 5 2 17 2" xfId="31995"/>
    <cellStyle name="#_Module2 5 2 18" xfId="21997"/>
    <cellStyle name="#_Module2 5 2 18 2" xfId="34434"/>
    <cellStyle name="#_Module2 5 2 19" xfId="20818"/>
    <cellStyle name="#_Module2 5 2 19 2" xfId="33255"/>
    <cellStyle name="#_Module2 5 2 2" xfId="16312"/>
    <cellStyle name="#_Module2 5 2 2 2" xfId="29088"/>
    <cellStyle name="#_Module2 5 2 20" xfId="23647"/>
    <cellStyle name="#_Module2 5 2 20 2" xfId="36078"/>
    <cellStyle name="#_Module2 5 2 21" xfId="21812"/>
    <cellStyle name="#_Module2 5 2 21 2" xfId="34249"/>
    <cellStyle name="#_Module2 5 2 3" xfId="12477"/>
    <cellStyle name="#_Module2 5 2 3 2" xfId="25357"/>
    <cellStyle name="#_Module2 5 2 4" xfId="16663"/>
    <cellStyle name="#_Module2 5 2 4 2" xfId="29439"/>
    <cellStyle name="#_Module2 5 2 5" xfId="15980"/>
    <cellStyle name="#_Module2 5 2 5 2" xfId="28778"/>
    <cellStyle name="#_Module2 5 2 6" xfId="12726"/>
    <cellStyle name="#_Module2 5 2 6 2" xfId="25603"/>
    <cellStyle name="#_Module2 5 2 7" xfId="13679"/>
    <cellStyle name="#_Module2 5 2 7 2" xfId="26544"/>
    <cellStyle name="#_Module2 5 2 8" xfId="15627"/>
    <cellStyle name="#_Module2 5 2 8 2" xfId="28436"/>
    <cellStyle name="#_Module2 5 2 9" xfId="14614"/>
    <cellStyle name="#_Module2 5 2 9 2" xfId="27440"/>
    <cellStyle name="#_Module2 5 3" xfId="14994"/>
    <cellStyle name="#_Module2 5 3 2" xfId="27815"/>
    <cellStyle name="#_Module2 6" xfId="6727"/>
    <cellStyle name="#_Module2 6 2" xfId="11054"/>
    <cellStyle name="#_Module2 6 2 10" xfId="15739"/>
    <cellStyle name="#_Module2 6 2 10 2" xfId="28539"/>
    <cellStyle name="#_Module2 6 2 11" xfId="22774"/>
    <cellStyle name="#_Module2 6 2 11 2" xfId="35208"/>
    <cellStyle name="#_Module2 6 2 12" xfId="21391"/>
    <cellStyle name="#_Module2 6 2 12 2" xfId="33828"/>
    <cellStyle name="#_Module2 6 2 13" xfId="20186"/>
    <cellStyle name="#_Module2 6 2 13 2" xfId="32632"/>
    <cellStyle name="#_Module2 6 2 14" xfId="19793"/>
    <cellStyle name="#_Module2 6 2 14 2" xfId="32243"/>
    <cellStyle name="#_Module2 6 2 15" xfId="20972"/>
    <cellStyle name="#_Module2 6 2 15 2" xfId="33409"/>
    <cellStyle name="#_Module2 6 2 16" xfId="18806"/>
    <cellStyle name="#_Module2 6 2 16 2" xfId="31511"/>
    <cellStyle name="#_Module2 6 2 17" xfId="22474"/>
    <cellStyle name="#_Module2 6 2 17 2" xfId="34908"/>
    <cellStyle name="#_Module2 6 2 18" xfId="24207"/>
    <cellStyle name="#_Module2 6 2 18 2" xfId="36638"/>
    <cellStyle name="#_Module2 6 2 19" xfId="19543"/>
    <cellStyle name="#_Module2 6 2 19 2" xfId="31998"/>
    <cellStyle name="#_Module2 6 2 2" xfId="16313"/>
    <cellStyle name="#_Module2 6 2 2 2" xfId="29089"/>
    <cellStyle name="#_Module2 6 2 20" xfId="20795"/>
    <cellStyle name="#_Module2 6 2 20 2" xfId="33234"/>
    <cellStyle name="#_Module2 6 2 21" xfId="21715"/>
    <cellStyle name="#_Module2 6 2 21 2" xfId="34152"/>
    <cellStyle name="#_Module2 6 2 3" xfId="12478"/>
    <cellStyle name="#_Module2 6 2 3 2" xfId="25358"/>
    <cellStyle name="#_Module2 6 2 4" xfId="16662"/>
    <cellStyle name="#_Module2 6 2 4 2" xfId="29438"/>
    <cellStyle name="#_Module2 6 2 5" xfId="13286"/>
    <cellStyle name="#_Module2 6 2 5 2" xfId="26154"/>
    <cellStyle name="#_Module2 6 2 6" xfId="17510"/>
    <cellStyle name="#_Module2 6 2 6 2" xfId="30232"/>
    <cellStyle name="#_Module2 6 2 7" xfId="14765"/>
    <cellStyle name="#_Module2 6 2 7 2" xfId="27590"/>
    <cellStyle name="#_Module2 6 2 8" xfId="17999"/>
    <cellStyle name="#_Module2 6 2 8 2" xfId="30711"/>
    <cellStyle name="#_Module2 6 2 9" xfId="17454"/>
    <cellStyle name="#_Module2 6 2 9 2" xfId="30176"/>
    <cellStyle name="#_Module2 6 3" xfId="14995"/>
    <cellStyle name="#_Module2 6 3 2" xfId="27816"/>
    <cellStyle name="#_Module2 7" xfId="11049"/>
    <cellStyle name="#_Module2 7 10" xfId="18063"/>
    <cellStyle name="#_Module2 7 10 2" xfId="30774"/>
    <cellStyle name="#_Module2 7 11" xfId="22769"/>
    <cellStyle name="#_Module2 7 11 2" xfId="35203"/>
    <cellStyle name="#_Module2 7 12" xfId="21396"/>
    <cellStyle name="#_Module2 7 12 2" xfId="33833"/>
    <cellStyle name="#_Module2 7 13" xfId="20441"/>
    <cellStyle name="#_Module2 7 13 2" xfId="32886"/>
    <cellStyle name="#_Module2 7 14" xfId="21011"/>
    <cellStyle name="#_Module2 7 14 2" xfId="33448"/>
    <cellStyle name="#_Module2 7 15" xfId="18637"/>
    <cellStyle name="#_Module2 7 15 2" xfId="31342"/>
    <cellStyle name="#_Module2 7 16" xfId="20022"/>
    <cellStyle name="#_Module2 7 16 2" xfId="32468"/>
    <cellStyle name="#_Module2 7 17" xfId="20672"/>
    <cellStyle name="#_Module2 7 17 2" xfId="33116"/>
    <cellStyle name="#_Module2 7 18" xfId="18790"/>
    <cellStyle name="#_Module2 7 18 2" xfId="31495"/>
    <cellStyle name="#_Module2 7 19" xfId="22858"/>
    <cellStyle name="#_Module2 7 19 2" xfId="35292"/>
    <cellStyle name="#_Module2 7 2" xfId="16308"/>
    <cellStyle name="#_Module2 7 2 2" xfId="29084"/>
    <cellStyle name="#_Module2 7 20" xfId="19589"/>
    <cellStyle name="#_Module2 7 20 2" xfId="32044"/>
    <cellStyle name="#_Module2 7 21" xfId="23693"/>
    <cellStyle name="#_Module2 7 21 2" xfId="36124"/>
    <cellStyle name="#_Module2 7 3" xfId="12473"/>
    <cellStyle name="#_Module2 7 3 2" xfId="25353"/>
    <cellStyle name="#_Module2 7 4" xfId="16666"/>
    <cellStyle name="#_Module2 7 4 2" xfId="29442"/>
    <cellStyle name="#_Module2 7 5" xfId="16723"/>
    <cellStyle name="#_Module2 7 5 2" xfId="29499"/>
    <cellStyle name="#_Module2 7 6" xfId="14746"/>
    <cellStyle name="#_Module2 7 6 2" xfId="27571"/>
    <cellStyle name="#_Module2 7 7" xfId="17740"/>
    <cellStyle name="#_Module2 7 7 2" xfId="30457"/>
    <cellStyle name="#_Module2 7 8" xfId="15625"/>
    <cellStyle name="#_Module2 7 8 2" xfId="28434"/>
    <cellStyle name="#_Module2 7 9" xfId="14240"/>
    <cellStyle name="#_Module2 7 9 2" xfId="27080"/>
    <cellStyle name="#_Module2 8" xfId="14990"/>
    <cellStyle name="#_Module2 8 2" xfId="27811"/>
    <cellStyle name="#_Module2_1" xfId="6728"/>
    <cellStyle name="#_노임단가" xfId="6729"/>
    <cellStyle name="#_노임단가 2" xfId="6730"/>
    <cellStyle name="#_노임단가 2 2" xfId="11056"/>
    <cellStyle name="#_노임단가 2 2 10" xfId="14227"/>
    <cellStyle name="#_노임단가 2 2 10 2" xfId="27073"/>
    <cellStyle name="#_노임단가 2 2 11" xfId="22776"/>
    <cellStyle name="#_노임단가 2 2 11 2" xfId="35210"/>
    <cellStyle name="#_노임단가 2 2 12" xfId="21389"/>
    <cellStyle name="#_노임단가 2 2 12 2" xfId="33826"/>
    <cellStyle name="#_노임단가 2 2 13" xfId="20185"/>
    <cellStyle name="#_노임단가 2 2 13 2" xfId="32631"/>
    <cellStyle name="#_노임단가 2 2 14" xfId="19792"/>
    <cellStyle name="#_노임단가 2 2 14 2" xfId="32242"/>
    <cellStyle name="#_노임단가 2 2 15" xfId="23734"/>
    <cellStyle name="#_노임단가 2 2 15 2" xfId="36165"/>
    <cellStyle name="#_노임단가 2 2 16" xfId="18807"/>
    <cellStyle name="#_노임단가 2 2 16 2" xfId="31512"/>
    <cellStyle name="#_노임단가 2 2 17" xfId="18698"/>
    <cellStyle name="#_노임단가 2 2 17 2" xfId="31403"/>
    <cellStyle name="#_노임단가 2 2 18" xfId="22370"/>
    <cellStyle name="#_노임단가 2 2 18 2" xfId="34804"/>
    <cellStyle name="#_노임단가 2 2 19" xfId="20677"/>
    <cellStyle name="#_노임단가 2 2 19 2" xfId="33121"/>
    <cellStyle name="#_노임단가 2 2 2" xfId="16315"/>
    <cellStyle name="#_노임단가 2 2 2 2" xfId="29091"/>
    <cellStyle name="#_노임단가 2 2 20" xfId="18388"/>
    <cellStyle name="#_노임단가 2 2 20 2" xfId="31094"/>
    <cellStyle name="#_노임단가 2 2 21" xfId="20340"/>
    <cellStyle name="#_노임단가 2 2 21 2" xfId="32785"/>
    <cellStyle name="#_노임단가 2 2 3" xfId="12480"/>
    <cellStyle name="#_노임단가 2 2 3 2" xfId="25360"/>
    <cellStyle name="#_노임단가 2 2 4" xfId="15193"/>
    <cellStyle name="#_노임단가 2 2 4 2" xfId="28012"/>
    <cellStyle name="#_노임단가 2 2 5" xfId="13287"/>
    <cellStyle name="#_노임단가 2 2 5 2" xfId="26155"/>
    <cellStyle name="#_노임단가 2 2 6" xfId="17508"/>
    <cellStyle name="#_노임단가 2 2 6 2" xfId="30230"/>
    <cellStyle name="#_노임단가 2 2 7" xfId="15312"/>
    <cellStyle name="#_노임단가 2 2 7 2" xfId="28129"/>
    <cellStyle name="#_노임단가 2 2 8" xfId="17997"/>
    <cellStyle name="#_노임단가 2 2 8 2" xfId="30709"/>
    <cellStyle name="#_노임단가 2 2 9" xfId="17708"/>
    <cellStyle name="#_노임단가 2 2 9 2" xfId="30425"/>
    <cellStyle name="#_노임단가 2 3" xfId="14997"/>
    <cellStyle name="#_노임단가 2 3 2" xfId="27818"/>
    <cellStyle name="#_노임단가 3" xfId="6731"/>
    <cellStyle name="#_노임단가 3 2" xfId="11057"/>
    <cellStyle name="#_노임단가 3 2 10" xfId="18059"/>
    <cellStyle name="#_노임단가 3 2 10 2" xfId="30770"/>
    <cellStyle name="#_노임단가 3 2 11" xfId="22777"/>
    <cellStyle name="#_노임단가 3 2 11 2" xfId="35211"/>
    <cellStyle name="#_노임단가 3 2 12" xfId="21388"/>
    <cellStyle name="#_노임단가 3 2 12 2" xfId="33825"/>
    <cellStyle name="#_노임단가 3 2 13" xfId="20437"/>
    <cellStyle name="#_노임단가 3 2 13 2" xfId="32882"/>
    <cellStyle name="#_노임단가 3 2 14" xfId="21008"/>
    <cellStyle name="#_노임단가 3 2 14 2" xfId="33445"/>
    <cellStyle name="#_노임단가 3 2 15" xfId="23093"/>
    <cellStyle name="#_노임단가 3 2 15 2" xfId="35526"/>
    <cellStyle name="#_노임단가 3 2 16" xfId="20024"/>
    <cellStyle name="#_노임단가 3 2 16 2" xfId="32470"/>
    <cellStyle name="#_노임단가 3 2 17" xfId="23175"/>
    <cellStyle name="#_노임단가 3 2 17 2" xfId="35608"/>
    <cellStyle name="#_노임단가 3 2 18" xfId="24168"/>
    <cellStyle name="#_노임단가 3 2 18 2" xfId="36599"/>
    <cellStyle name="#_노임단가 3 2 19" xfId="24750"/>
    <cellStyle name="#_노임단가 3 2 19 2" xfId="37181"/>
    <cellStyle name="#_노임단가 3 2 2" xfId="16316"/>
    <cellStyle name="#_노임단가 3 2 2 2" xfId="29092"/>
    <cellStyle name="#_노임단가 3 2 20" xfId="20089"/>
    <cellStyle name="#_노임단가 3 2 20 2" xfId="32535"/>
    <cellStyle name="#_노임단가 3 2 21" xfId="24104"/>
    <cellStyle name="#_노임단가 3 2 21 2" xfId="36535"/>
    <cellStyle name="#_노임단가 3 2 3" xfId="12481"/>
    <cellStyle name="#_노임단가 3 2 3 2" xfId="25361"/>
    <cellStyle name="#_노임단가 3 2 4" xfId="15266"/>
    <cellStyle name="#_노임단가 3 2 4 2" xfId="28083"/>
    <cellStyle name="#_노임단가 3 2 5" xfId="13487"/>
    <cellStyle name="#_노임단가 3 2 5 2" xfId="26355"/>
    <cellStyle name="#_노임단가 3 2 6" xfId="13885"/>
    <cellStyle name="#_노임단가 3 2 6 2" xfId="26744"/>
    <cellStyle name="#_노임단가 3 2 7" xfId="17737"/>
    <cellStyle name="#_노임단가 3 2 7 2" xfId="30454"/>
    <cellStyle name="#_노임단가 3 2 8" xfId="17557"/>
    <cellStyle name="#_노임단가 3 2 8 2" xfId="30277"/>
    <cellStyle name="#_노임단가 3 2 9" xfId="15919"/>
    <cellStyle name="#_노임단가 3 2 9 2" xfId="28717"/>
    <cellStyle name="#_노임단가 3 3" xfId="14998"/>
    <cellStyle name="#_노임단가 3 3 2" xfId="27819"/>
    <cellStyle name="#_노임단가 4" xfId="6732"/>
    <cellStyle name="#_노임단가 4 2" xfId="11058"/>
    <cellStyle name="#_노임단가 4 2 10" xfId="12741"/>
    <cellStyle name="#_노임단가 4 2 10 2" xfId="25618"/>
    <cellStyle name="#_노임단가 4 2 11" xfId="22778"/>
    <cellStyle name="#_노임단가 4 2 11 2" xfId="35212"/>
    <cellStyle name="#_노임단가 4 2 12" xfId="21387"/>
    <cellStyle name="#_노임단가 4 2 12 2" xfId="33824"/>
    <cellStyle name="#_노임단가 4 2 13" xfId="20184"/>
    <cellStyle name="#_노임단가 4 2 13 2" xfId="32630"/>
    <cellStyle name="#_노임단가 4 2 14" xfId="19791"/>
    <cellStyle name="#_노임단가 4 2 14 2" xfId="32241"/>
    <cellStyle name="#_노임단가 4 2 15" xfId="18619"/>
    <cellStyle name="#_노임단가 4 2 15 2" xfId="31324"/>
    <cellStyle name="#_노임단가 4 2 16" xfId="18808"/>
    <cellStyle name="#_노임단가 4 2 16 2" xfId="31513"/>
    <cellStyle name="#_노임단가 4 2 17" xfId="23912"/>
    <cellStyle name="#_노임단가 4 2 17 2" xfId="36343"/>
    <cellStyle name="#_노임단가 4 2 18" xfId="18339"/>
    <cellStyle name="#_노임단가 4 2 18 2" xfId="31045"/>
    <cellStyle name="#_노임단가 4 2 19" xfId="24024"/>
    <cellStyle name="#_노임단가 4 2 19 2" xfId="36455"/>
    <cellStyle name="#_노임단가 4 2 2" xfId="16317"/>
    <cellStyle name="#_노임단가 4 2 2 2" xfId="29093"/>
    <cellStyle name="#_노임단가 4 2 20" xfId="22425"/>
    <cellStyle name="#_노임단가 4 2 20 2" xfId="34859"/>
    <cellStyle name="#_노임단가 4 2 21" xfId="19180"/>
    <cellStyle name="#_노임단가 4 2 21 2" xfId="31835"/>
    <cellStyle name="#_노임단가 4 2 3" xfId="12482"/>
    <cellStyle name="#_노임단가 4 2 3 2" xfId="25362"/>
    <cellStyle name="#_노임단가 4 2 4" xfId="15182"/>
    <cellStyle name="#_노임단가 4 2 4 2" xfId="28001"/>
    <cellStyle name="#_노임단가 4 2 5" xfId="13288"/>
    <cellStyle name="#_노임단가 4 2 5 2" xfId="26156"/>
    <cellStyle name="#_노임단가 4 2 6" xfId="15220"/>
    <cellStyle name="#_노임단가 4 2 6 2" xfId="28038"/>
    <cellStyle name="#_노임단가 4 2 7" xfId="13678"/>
    <cellStyle name="#_노임단가 4 2 7 2" xfId="26543"/>
    <cellStyle name="#_노임단가 4 2 8" xfId="15749"/>
    <cellStyle name="#_노임단가 4 2 8 2" xfId="28548"/>
    <cellStyle name="#_노임단가 4 2 9" xfId="15279"/>
    <cellStyle name="#_노임단가 4 2 9 2" xfId="28096"/>
    <cellStyle name="#_노임단가 4 3" xfId="14999"/>
    <cellStyle name="#_노임단가 4 3 2" xfId="27820"/>
    <cellStyle name="#_노임단가 5" xfId="6733"/>
    <cellStyle name="#_노임단가 5 2" xfId="11059"/>
    <cellStyle name="#_노임단가 5 2 10" xfId="18058"/>
    <cellStyle name="#_노임단가 5 2 10 2" xfId="30769"/>
    <cellStyle name="#_노임단가 5 2 11" xfId="22779"/>
    <cellStyle name="#_노임단가 5 2 11 2" xfId="35213"/>
    <cellStyle name="#_노임단가 5 2 12" xfId="21386"/>
    <cellStyle name="#_노임단가 5 2 12 2" xfId="33823"/>
    <cellStyle name="#_노임단가 5 2 13" xfId="20436"/>
    <cellStyle name="#_노임단가 5 2 13 2" xfId="32881"/>
    <cellStyle name="#_노임단가 5 2 14" xfId="21007"/>
    <cellStyle name="#_노임단가 5 2 14 2" xfId="33444"/>
    <cellStyle name="#_노임단가 5 2 15" xfId="18601"/>
    <cellStyle name="#_노임단가 5 2 15 2" xfId="31306"/>
    <cellStyle name="#_노임단가 5 2 16" xfId="20270"/>
    <cellStyle name="#_노임단가 5 2 16 2" xfId="32715"/>
    <cellStyle name="#_노임단가 5 2 17" xfId="24015"/>
    <cellStyle name="#_노임단가 5 2 17 2" xfId="36446"/>
    <cellStyle name="#_노임단가 5 2 18" xfId="19238"/>
    <cellStyle name="#_노임단가 5 2 18 2" xfId="31893"/>
    <cellStyle name="#_노임단가 5 2 19" xfId="20539"/>
    <cellStyle name="#_노임단가 5 2 19 2" xfId="32984"/>
    <cellStyle name="#_노임단가 5 2 2" xfId="16318"/>
    <cellStyle name="#_노임단가 5 2 2 2" xfId="29094"/>
    <cellStyle name="#_노임단가 5 2 20" xfId="18402"/>
    <cellStyle name="#_노임단가 5 2 20 2" xfId="31107"/>
    <cellStyle name="#_노임단가 5 2 21" xfId="23830"/>
    <cellStyle name="#_노임단가 5 2 21 2" xfId="36261"/>
    <cellStyle name="#_노임단가 5 2 3" xfId="12483"/>
    <cellStyle name="#_노임단가 5 2 3 2" xfId="25363"/>
    <cellStyle name="#_노임단가 5 2 4" xfId="16661"/>
    <cellStyle name="#_노임단가 5 2 4 2" xfId="29437"/>
    <cellStyle name="#_노임단가 5 2 5" xfId="13488"/>
    <cellStyle name="#_노임단가 5 2 5 2" xfId="26356"/>
    <cellStyle name="#_노임단가 5 2 6" xfId="13886"/>
    <cellStyle name="#_노임단가 5 2 6 2" xfId="26745"/>
    <cellStyle name="#_노임단가 5 2 7" xfId="17929"/>
    <cellStyle name="#_노임단가 5 2 7 2" xfId="30641"/>
    <cellStyle name="#_노임단가 5 2 8" xfId="17558"/>
    <cellStyle name="#_노임단가 5 2 8 2" xfId="30278"/>
    <cellStyle name="#_노임단가 5 2 9" xfId="17309"/>
    <cellStyle name="#_노임단가 5 2 9 2" xfId="30038"/>
    <cellStyle name="#_노임단가 5 3" xfId="15000"/>
    <cellStyle name="#_노임단가 5 3 2" xfId="27821"/>
    <cellStyle name="#_노임단가 6" xfId="6734"/>
    <cellStyle name="#_노임단가 6 2" xfId="11060"/>
    <cellStyle name="#_노임단가 6 2 10" xfId="14070"/>
    <cellStyle name="#_노임단가 6 2 10 2" xfId="26918"/>
    <cellStyle name="#_노임단가 6 2 11" xfId="22780"/>
    <cellStyle name="#_노임단가 6 2 11 2" xfId="35214"/>
    <cellStyle name="#_노임단가 6 2 12" xfId="21385"/>
    <cellStyle name="#_노임단가 6 2 12 2" xfId="33822"/>
    <cellStyle name="#_노임단가 6 2 13" xfId="20183"/>
    <cellStyle name="#_노임단가 6 2 13 2" xfId="32629"/>
    <cellStyle name="#_노임단가 6 2 14" xfId="19790"/>
    <cellStyle name="#_노임단가 6 2 14 2" xfId="32240"/>
    <cellStyle name="#_노임단가 6 2 15" xfId="20973"/>
    <cellStyle name="#_노임단가 6 2 15 2" xfId="33410"/>
    <cellStyle name="#_노임단가 6 2 16" xfId="18809"/>
    <cellStyle name="#_노임단가 6 2 16 2" xfId="31514"/>
    <cellStyle name="#_노임단가 6 2 17" xfId="18699"/>
    <cellStyle name="#_노임단가 6 2 17 2" xfId="31404"/>
    <cellStyle name="#_노임단가 6 2 18" xfId="21996"/>
    <cellStyle name="#_노임단가 6 2 18 2" xfId="34433"/>
    <cellStyle name="#_노임단가 6 2 19" xfId="18451"/>
    <cellStyle name="#_노임단가 6 2 19 2" xfId="31156"/>
    <cellStyle name="#_노임단가 6 2 2" xfId="16319"/>
    <cellStyle name="#_노임단가 6 2 2 2" xfId="29095"/>
    <cellStyle name="#_노임단가 6 2 20" xfId="23417"/>
    <cellStyle name="#_노임단가 6 2 20 2" xfId="35848"/>
    <cellStyle name="#_노임단가 6 2 21" xfId="20699"/>
    <cellStyle name="#_노임단가 6 2 21 2" xfId="33142"/>
    <cellStyle name="#_노임단가 6 2 3" xfId="12484"/>
    <cellStyle name="#_노임단가 6 2 3 2" xfId="25364"/>
    <cellStyle name="#_노임단가 6 2 4" xfId="16660"/>
    <cellStyle name="#_노임단가 6 2 4 2" xfId="29436"/>
    <cellStyle name="#_노임단가 6 2 5" xfId="13289"/>
    <cellStyle name="#_노임단가 6 2 5 2" xfId="26157"/>
    <cellStyle name="#_노임단가 6 2 6" xfId="15215"/>
    <cellStyle name="#_노임단가 6 2 6 2" xfId="28033"/>
    <cellStyle name="#_노임단가 6 2 7" xfId="18024"/>
    <cellStyle name="#_노임단가 6 2 7 2" xfId="30736"/>
    <cellStyle name="#_노임단가 6 2 8" xfId="15359"/>
    <cellStyle name="#_노임단가 6 2 8 2" xfId="28176"/>
    <cellStyle name="#_노임단가 6 2 9" xfId="17310"/>
    <cellStyle name="#_노임단가 6 2 9 2" xfId="30039"/>
    <cellStyle name="#_노임단가 6 3" xfId="15001"/>
    <cellStyle name="#_노임단가 6 3 2" xfId="27822"/>
    <cellStyle name="#_노임단가 7" xfId="11055"/>
    <cellStyle name="#_노임단가 7 10" xfId="18060"/>
    <cellStyle name="#_노임단가 7 10 2" xfId="30771"/>
    <cellStyle name="#_노임단가 7 11" xfId="22775"/>
    <cellStyle name="#_노임단가 7 11 2" xfId="35209"/>
    <cellStyle name="#_노임단가 7 12" xfId="21390"/>
    <cellStyle name="#_노임단가 7 12 2" xfId="33827"/>
    <cellStyle name="#_노임단가 7 13" xfId="20438"/>
    <cellStyle name="#_노임단가 7 13 2" xfId="32883"/>
    <cellStyle name="#_노임단가 7 14" xfId="19019"/>
    <cellStyle name="#_노임단가 7 14 2" xfId="31724"/>
    <cellStyle name="#_노임단가 7 15" xfId="22666"/>
    <cellStyle name="#_노임단가 7 15 2" xfId="35100"/>
    <cellStyle name="#_노임단가 7 16" xfId="20269"/>
    <cellStyle name="#_노임단가 7 16 2" xfId="32714"/>
    <cellStyle name="#_노임단가 7 17" xfId="20673"/>
    <cellStyle name="#_노임단가 7 17 2" xfId="33117"/>
    <cellStyle name="#_노임단가 7 18" xfId="23420"/>
    <cellStyle name="#_노임단가 7 18 2" xfId="35851"/>
    <cellStyle name="#_노임단가 7 19" xfId="19034"/>
    <cellStyle name="#_노임단가 7 19 2" xfId="31739"/>
    <cellStyle name="#_노임단가 7 2" xfId="16314"/>
    <cellStyle name="#_노임단가 7 2 2" xfId="29090"/>
    <cellStyle name="#_노임단가 7 20" xfId="23032"/>
    <cellStyle name="#_노임단가 7 20 2" xfId="35465"/>
    <cellStyle name="#_노임단가 7 21" xfId="18974"/>
    <cellStyle name="#_노임단가 7 21 2" xfId="31679"/>
    <cellStyle name="#_노임단가 7 3" xfId="12479"/>
    <cellStyle name="#_노임단가 7 3 2" xfId="25359"/>
    <cellStyle name="#_노임단가 7 4" xfId="15164"/>
    <cellStyle name="#_노임단가 7 4 2" xfId="27983"/>
    <cellStyle name="#_노임단가 7 5" xfId="13486"/>
    <cellStyle name="#_노임단가 7 5 2" xfId="26354"/>
    <cellStyle name="#_노임단가 7 6" xfId="17509"/>
    <cellStyle name="#_노임단가 7 6 2" xfId="30231"/>
    <cellStyle name="#_노임단가 7 7" xfId="15242"/>
    <cellStyle name="#_노임단가 7 7 2" xfId="28060"/>
    <cellStyle name="#_노임단가 7 8" xfId="17998"/>
    <cellStyle name="#_노임단가 7 8 2" xfId="30710"/>
    <cellStyle name="#_노임단가 7 9" xfId="12583"/>
    <cellStyle name="#_노임단가 7 9 2" xfId="25462"/>
    <cellStyle name="#_노임단가 8" xfId="14996"/>
    <cellStyle name="#_노임단가 8 2" xfId="27817"/>
    <cellStyle name="#_노임단가표" xfId="6735"/>
    <cellStyle name="#_노임단가표 2" xfId="6736"/>
    <cellStyle name="#_노임단가표 2 2" xfId="11062"/>
    <cellStyle name="#_노임단가표 2 2 10" xfId="15610"/>
    <cellStyle name="#_노임단가표 2 2 10 2" xfId="28419"/>
    <cellStyle name="#_노임단가표 2 2 11" xfId="22782"/>
    <cellStyle name="#_노임단가표 2 2 11 2" xfId="35216"/>
    <cellStyle name="#_노임단가표 2 2 12" xfId="21383"/>
    <cellStyle name="#_노임단가표 2 2 12 2" xfId="33820"/>
    <cellStyle name="#_노임단가표 2 2 13" xfId="20182"/>
    <cellStyle name="#_노임단가표 2 2 13 2" xfId="32628"/>
    <cellStyle name="#_노임단가표 2 2 14" xfId="21060"/>
    <cellStyle name="#_노임단가표 2 2 14 2" xfId="33497"/>
    <cellStyle name="#_노임단가표 2 2 15" xfId="20974"/>
    <cellStyle name="#_노임단가표 2 2 15 2" xfId="33411"/>
    <cellStyle name="#_노임단가표 2 2 16" xfId="18810"/>
    <cellStyle name="#_노임단가표 2 2 16 2" xfId="31515"/>
    <cellStyle name="#_노임단가표 2 2 17" xfId="20567"/>
    <cellStyle name="#_노임단가표 2 2 17 2" xfId="33012"/>
    <cellStyle name="#_노임단가표 2 2 18" xfId="18789"/>
    <cellStyle name="#_노임단가표 2 2 18 2" xfId="31494"/>
    <cellStyle name="#_노임단가표 2 2 19" xfId="20819"/>
    <cellStyle name="#_노임단가표 2 2 19 2" xfId="33256"/>
    <cellStyle name="#_노임단가표 2 2 2" xfId="16321"/>
    <cellStyle name="#_노임단가표 2 2 2 2" xfId="29097"/>
    <cellStyle name="#_노임단가표 2 2 20" xfId="22424"/>
    <cellStyle name="#_노임단가표 2 2 20 2" xfId="34858"/>
    <cellStyle name="#_노임단가표 2 2 21" xfId="23854"/>
    <cellStyle name="#_노임단가표 2 2 21 2" xfId="36285"/>
    <cellStyle name="#_노임단가표 2 2 3" xfId="12486"/>
    <cellStyle name="#_노임단가표 2 2 3 2" xfId="25366"/>
    <cellStyle name="#_노임단가표 2 2 4" xfId="13095"/>
    <cellStyle name="#_노임단가표 2 2 4 2" xfId="25964"/>
    <cellStyle name="#_노임단가표 2 2 5" xfId="13290"/>
    <cellStyle name="#_노임단가표 2 2 5 2" xfId="26158"/>
    <cellStyle name="#_노임단가표 2 2 6" xfId="12727"/>
    <cellStyle name="#_노임단가표 2 2 6 2" xfId="25604"/>
    <cellStyle name="#_노임단가표 2 2 7" xfId="18026"/>
    <cellStyle name="#_노임단가표 2 2 7 2" xfId="30738"/>
    <cellStyle name="#_노임단가표 2 2 8" xfId="15750"/>
    <cellStyle name="#_노임단가표 2 2 8 2" xfId="28549"/>
    <cellStyle name="#_노임단가표 2 2 9" xfId="13171"/>
    <cellStyle name="#_노임단가표 2 2 9 2" xfId="26039"/>
    <cellStyle name="#_노임단가표 2 3" xfId="15003"/>
    <cellStyle name="#_노임단가표 2 3 2" xfId="27824"/>
    <cellStyle name="#_노임단가표 3" xfId="6737"/>
    <cellStyle name="#_노임단가표 3 2" xfId="11063"/>
    <cellStyle name="#_노임단가표 3 2 10" xfId="18056"/>
    <cellStyle name="#_노임단가표 3 2 10 2" xfId="30767"/>
    <cellStyle name="#_노임단가표 3 2 11" xfId="22783"/>
    <cellStyle name="#_노임단가표 3 2 11 2" xfId="35217"/>
    <cellStyle name="#_노임단가표 3 2 12" xfId="21382"/>
    <cellStyle name="#_노임단가표 3 2 12 2" xfId="33819"/>
    <cellStyle name="#_노임단가표 3 2 13" xfId="20434"/>
    <cellStyle name="#_노임단가표 3 2 13 2" xfId="32879"/>
    <cellStyle name="#_노임단가표 3 2 14" xfId="21005"/>
    <cellStyle name="#_노임단가표 3 2 14 2" xfId="33442"/>
    <cellStyle name="#_노임단가표 3 2 15" xfId="22668"/>
    <cellStyle name="#_노임단가표 3 2 15 2" xfId="35102"/>
    <cellStyle name="#_노임단가표 3 2 16" xfId="20271"/>
    <cellStyle name="#_노임단가표 3 2 16 2" xfId="32716"/>
    <cellStyle name="#_노임단가표 3 2 17" xfId="24392"/>
    <cellStyle name="#_노임단가표 3 2 17 2" xfId="36823"/>
    <cellStyle name="#_노임단가표 3 2 18" xfId="23758"/>
    <cellStyle name="#_노임단가표 3 2 18 2" xfId="36189"/>
    <cellStyle name="#_노임단가표 3 2 19" xfId="20346"/>
    <cellStyle name="#_노임단가표 3 2 19 2" xfId="32791"/>
    <cellStyle name="#_노임단가표 3 2 2" xfId="16322"/>
    <cellStyle name="#_노임단가표 3 2 2 2" xfId="29098"/>
    <cellStyle name="#_노임단가표 3 2 20" xfId="22039"/>
    <cellStyle name="#_노임단가표 3 2 20 2" xfId="34476"/>
    <cellStyle name="#_노임단가표 3 2 21" xfId="19865"/>
    <cellStyle name="#_노임단가표 3 2 21 2" xfId="32315"/>
    <cellStyle name="#_노임단가표 3 2 3" xfId="12487"/>
    <cellStyle name="#_노임단가표 3 2 3 2" xfId="25367"/>
    <cellStyle name="#_노임단가표 3 2 4" xfId="16659"/>
    <cellStyle name="#_노임단가표 3 2 4 2" xfId="29435"/>
    <cellStyle name="#_노임단가표 3 2 5" xfId="14636"/>
    <cellStyle name="#_노임단가표 3 2 5 2" xfId="27462"/>
    <cellStyle name="#_노임단가표 3 2 6" xfId="13888"/>
    <cellStyle name="#_노임단가표 3 2 6 2" xfId="26747"/>
    <cellStyle name="#_노임단가표 3 2 7" xfId="12410"/>
    <cellStyle name="#_노임단가표 3 2 7 2" xfId="25290"/>
    <cellStyle name="#_노임단가표 3 2 8" xfId="17560"/>
    <cellStyle name="#_노임단가표 3 2 8 2" xfId="30280"/>
    <cellStyle name="#_노임단가표 3 2 9" xfId="14218"/>
    <cellStyle name="#_노임단가표 3 2 9 2" xfId="27064"/>
    <cellStyle name="#_노임단가표 3 3" xfId="15004"/>
    <cellStyle name="#_노임단가표 3 3 2" xfId="27825"/>
    <cellStyle name="#_노임단가표 4" xfId="6738"/>
    <cellStyle name="#_노임단가표 4 2" xfId="11064"/>
    <cellStyle name="#_노임단가표 4 2 10" xfId="17871"/>
    <cellStyle name="#_노임단가표 4 2 10 2" xfId="30585"/>
    <cellStyle name="#_노임단가표 4 2 11" xfId="22784"/>
    <cellStyle name="#_노임단가표 4 2 11 2" xfId="35218"/>
    <cellStyle name="#_노임단가표 4 2 12" xfId="21381"/>
    <cellStyle name="#_노임단가표 4 2 12 2" xfId="33818"/>
    <cellStyle name="#_노임단가표 4 2 13" xfId="20181"/>
    <cellStyle name="#_노임단가표 4 2 13 2" xfId="32627"/>
    <cellStyle name="#_노임단가표 4 2 14" xfId="21059"/>
    <cellStyle name="#_노임단가표 4 2 14 2" xfId="33496"/>
    <cellStyle name="#_노임단가표 4 2 15" xfId="18955"/>
    <cellStyle name="#_노임단가표 4 2 15 2" xfId="31660"/>
    <cellStyle name="#_노임단가표 4 2 16" xfId="22347"/>
    <cellStyle name="#_노임단가표 4 2 16 2" xfId="34781"/>
    <cellStyle name="#_노임단가표 4 2 17" xfId="18700"/>
    <cellStyle name="#_노임단가표 4 2 17 2" xfId="31405"/>
    <cellStyle name="#_노임단가표 4 2 18" xfId="18292"/>
    <cellStyle name="#_노임단가표 4 2 18 2" xfId="30998"/>
    <cellStyle name="#_노임단가표 4 2 19" xfId="23364"/>
    <cellStyle name="#_노임단가표 4 2 19 2" xfId="35796"/>
    <cellStyle name="#_노임단가표 4 2 2" xfId="16323"/>
    <cellStyle name="#_노임단가표 4 2 2 2" xfId="29099"/>
    <cellStyle name="#_노임단가표 4 2 20" xfId="21899"/>
    <cellStyle name="#_노임단가표 4 2 20 2" xfId="34336"/>
    <cellStyle name="#_노임단가표 4 2 21" xfId="18312"/>
    <cellStyle name="#_노임단가표 4 2 21 2" xfId="31018"/>
    <cellStyle name="#_노임단가표 4 2 3" xfId="12488"/>
    <cellStyle name="#_노임단가표 4 2 3 2" xfId="25368"/>
    <cellStyle name="#_노임단가표 4 2 4" xfId="16673"/>
    <cellStyle name="#_노임단가표 4 2 4 2" xfId="29449"/>
    <cellStyle name="#_노임단가표 4 2 5" xfId="13291"/>
    <cellStyle name="#_노임단가표 4 2 5 2" xfId="26159"/>
    <cellStyle name="#_노임단가표 4 2 6" xfId="15216"/>
    <cellStyle name="#_노임단가표 4 2 6 2" xfId="28034"/>
    <cellStyle name="#_노임단가표 4 2 7" xfId="17928"/>
    <cellStyle name="#_노임단가표 4 2 7 2" xfId="30640"/>
    <cellStyle name="#_노임단가표 4 2 8" xfId="13942"/>
    <cellStyle name="#_노임단가표 4 2 8 2" xfId="26800"/>
    <cellStyle name="#_노임단가표 4 2 9" xfId="14613"/>
    <cellStyle name="#_노임단가표 4 2 9 2" xfId="27439"/>
    <cellStyle name="#_노임단가표 4 3" xfId="15005"/>
    <cellStyle name="#_노임단가표 4 3 2" xfId="27826"/>
    <cellStyle name="#_노임단가표 5" xfId="6739"/>
    <cellStyle name="#_노임단가표 5 2" xfId="11065"/>
    <cellStyle name="#_노임단가표 5 2 10" xfId="18055"/>
    <cellStyle name="#_노임단가표 5 2 10 2" xfId="30766"/>
    <cellStyle name="#_노임단가표 5 2 11" xfId="22785"/>
    <cellStyle name="#_노임단가표 5 2 11 2" xfId="35219"/>
    <cellStyle name="#_노임단가표 5 2 12" xfId="21380"/>
    <cellStyle name="#_노임단가표 5 2 12 2" xfId="33817"/>
    <cellStyle name="#_노임단가표 5 2 13" xfId="20433"/>
    <cellStyle name="#_노임단가표 5 2 13 2" xfId="32878"/>
    <cellStyle name="#_노임단가표 5 2 14" xfId="21004"/>
    <cellStyle name="#_노임단가표 5 2 14 2" xfId="33441"/>
    <cellStyle name="#_노임단가표 5 2 15" xfId="21958"/>
    <cellStyle name="#_노임단가표 5 2 15 2" xfId="34395"/>
    <cellStyle name="#_노임단가표 5 2 16" xfId="20026"/>
    <cellStyle name="#_노임단가표 5 2 16 2" xfId="32472"/>
    <cellStyle name="#_노임단가표 5 2 17" xfId="24393"/>
    <cellStyle name="#_노임단가표 5 2 17 2" xfId="36824"/>
    <cellStyle name="#_노임단가표 5 2 18" xfId="20283"/>
    <cellStyle name="#_노임단가표 5 2 18 2" xfId="32728"/>
    <cellStyle name="#_노임단가표 5 2 19" xfId="19078"/>
    <cellStyle name="#_노임단가표 5 2 19 2" xfId="31783"/>
    <cellStyle name="#_노임단가표 5 2 2" xfId="16324"/>
    <cellStyle name="#_노임단가표 5 2 2 2" xfId="29100"/>
    <cellStyle name="#_노임단가표 5 2 20" xfId="18746"/>
    <cellStyle name="#_노임단가표 5 2 20 2" xfId="31451"/>
    <cellStyle name="#_노임단가표 5 2 21" xfId="23793"/>
    <cellStyle name="#_노임단가표 5 2 21 2" xfId="36224"/>
    <cellStyle name="#_노임단가표 5 2 3" xfId="12489"/>
    <cellStyle name="#_노임단가표 5 2 3 2" xfId="25369"/>
    <cellStyle name="#_노임단가표 5 2 4" xfId="16658"/>
    <cellStyle name="#_노임단가표 5 2 4 2" xfId="29434"/>
    <cellStyle name="#_노임단가표 5 2 5" xfId="13489"/>
    <cellStyle name="#_노임단가표 5 2 5 2" xfId="26357"/>
    <cellStyle name="#_노임단가표 5 2 6" xfId="13889"/>
    <cellStyle name="#_노임단가표 5 2 6 2" xfId="26748"/>
    <cellStyle name="#_노임단가표 5 2 7" xfId="14764"/>
    <cellStyle name="#_노임단가표 5 2 7 2" xfId="27589"/>
    <cellStyle name="#_노임단가표 5 2 8" xfId="15389"/>
    <cellStyle name="#_노임단가표 5 2 8 2" xfId="28204"/>
    <cellStyle name="#_노임단가표 5 2 9" xfId="15286"/>
    <cellStyle name="#_노임단가표 5 2 9 2" xfId="28103"/>
    <cellStyle name="#_노임단가표 5 3" xfId="15006"/>
    <cellStyle name="#_노임단가표 5 3 2" xfId="27827"/>
    <cellStyle name="#_노임단가표 6" xfId="6740"/>
    <cellStyle name="#_노임단가표 6 2" xfId="11066"/>
    <cellStyle name="#_노임단가표 6 2 10" xfId="17872"/>
    <cellStyle name="#_노임단가표 6 2 10 2" xfId="30586"/>
    <cellStyle name="#_노임단가표 6 2 11" xfId="22786"/>
    <cellStyle name="#_노임단가표 6 2 11 2" xfId="35220"/>
    <cellStyle name="#_노임단가표 6 2 12" xfId="21379"/>
    <cellStyle name="#_노임단가표 6 2 12 2" xfId="33816"/>
    <cellStyle name="#_노임단가표 6 2 13" xfId="20180"/>
    <cellStyle name="#_노임단가표 6 2 13 2" xfId="32626"/>
    <cellStyle name="#_노임단가표 6 2 14" xfId="21058"/>
    <cellStyle name="#_노임단가표 6 2 14 2" xfId="33495"/>
    <cellStyle name="#_노임단가표 6 2 15" xfId="18639"/>
    <cellStyle name="#_노임단가표 6 2 15 2" xfId="31344"/>
    <cellStyle name="#_노임단가표 6 2 16" xfId="21878"/>
    <cellStyle name="#_노임단가표 6 2 16 2" xfId="34315"/>
    <cellStyle name="#_노임단가표 6 2 17" xfId="18295"/>
    <cellStyle name="#_노임단가표 6 2 17 2" xfId="31001"/>
    <cellStyle name="#_노임단가표 6 2 18" xfId="18564"/>
    <cellStyle name="#_노임단가표 6 2 18 2" xfId="31269"/>
    <cellStyle name="#_노임단가표 6 2 19" xfId="20820"/>
    <cellStyle name="#_노임단가표 6 2 19 2" xfId="33257"/>
    <cellStyle name="#_노임단가표 6 2 2" xfId="16325"/>
    <cellStyle name="#_노임단가표 6 2 2 2" xfId="29101"/>
    <cellStyle name="#_노임단가표 6 2 20" xfId="22423"/>
    <cellStyle name="#_노임단가표 6 2 20 2" xfId="34857"/>
    <cellStyle name="#_노임단가표 6 2 21" xfId="21716"/>
    <cellStyle name="#_노임단가표 6 2 21 2" xfId="34153"/>
    <cellStyle name="#_노임단가표 6 2 3" xfId="12490"/>
    <cellStyle name="#_노임단가표 6 2 3 2" xfId="25370"/>
    <cellStyle name="#_노임단가표 6 2 4" xfId="16657"/>
    <cellStyle name="#_노임단가표 6 2 4 2" xfId="29433"/>
    <cellStyle name="#_노임단가표 6 2 5" xfId="13292"/>
    <cellStyle name="#_노임단가표 6 2 5 2" xfId="26160"/>
    <cellStyle name="#_노임단가표 6 2 6" xfId="14747"/>
    <cellStyle name="#_노임단가표 6 2 6 2" xfId="27572"/>
    <cellStyle name="#_노임단가표 6 2 7" xfId="15311"/>
    <cellStyle name="#_노임단가표 6 2 7 2" xfId="28128"/>
    <cellStyle name="#_노임단가표 6 2 8" xfId="15751"/>
    <cellStyle name="#_노임단가표 6 2 8 2" xfId="28550"/>
    <cellStyle name="#_노임단가표 6 2 9" xfId="14538"/>
    <cellStyle name="#_노임단가표 6 2 9 2" xfId="27366"/>
    <cellStyle name="#_노임단가표 6 3" xfId="15007"/>
    <cellStyle name="#_노임단가표 6 3 2" xfId="27828"/>
    <cellStyle name="#_노임단가표 7" xfId="11061"/>
    <cellStyle name="#_노임단가표 7 10" xfId="18057"/>
    <cellStyle name="#_노임단가표 7 10 2" xfId="30768"/>
    <cellStyle name="#_노임단가표 7 11" xfId="22781"/>
    <cellStyle name="#_노임단가표 7 11 2" xfId="35215"/>
    <cellStyle name="#_노임단가표 7 12" xfId="21384"/>
    <cellStyle name="#_노임단가표 7 12 2" xfId="33821"/>
    <cellStyle name="#_노임단가표 7 13" xfId="20435"/>
    <cellStyle name="#_노임단가표 7 13 2" xfId="32880"/>
    <cellStyle name="#_노임단가표 7 14" xfId="21006"/>
    <cellStyle name="#_노임단가표 7 14 2" xfId="33443"/>
    <cellStyle name="#_노임단가표 7 15" xfId="22667"/>
    <cellStyle name="#_노임단가표 7 15 2" xfId="35101"/>
    <cellStyle name="#_노임단가표 7 16" xfId="20025"/>
    <cellStyle name="#_노임단가표 7 16 2" xfId="32471"/>
    <cellStyle name="#_노임단가표 7 17" xfId="19747"/>
    <cellStyle name="#_노임단가표 7 17 2" xfId="32200"/>
    <cellStyle name="#_노임단가표 7 18" xfId="20405"/>
    <cellStyle name="#_노임단가표 7 18 2" xfId="32850"/>
    <cellStyle name="#_노임단가표 7 19" xfId="22371"/>
    <cellStyle name="#_노임단가표 7 19 2" xfId="34805"/>
    <cellStyle name="#_노임단가표 7 2" xfId="16320"/>
    <cellStyle name="#_노임단가표 7 2 2" xfId="29096"/>
    <cellStyle name="#_노임단가표 7 20" xfId="20341"/>
    <cellStyle name="#_노임단가표 7 20 2" xfId="32786"/>
    <cellStyle name="#_노임단가표 7 21" xfId="23859"/>
    <cellStyle name="#_노임단가표 7 21 2" xfId="36290"/>
    <cellStyle name="#_노임단가표 7 3" xfId="12485"/>
    <cellStyle name="#_노임단가표 7 3 2" xfId="25365"/>
    <cellStyle name="#_노임단가표 7 4" xfId="14516"/>
    <cellStyle name="#_노임단가표 7 4 2" xfId="27344"/>
    <cellStyle name="#_노임단가표 7 5" xfId="14635"/>
    <cellStyle name="#_노임단가표 7 5 2" xfId="27461"/>
    <cellStyle name="#_노임단가표 7 6" xfId="13887"/>
    <cellStyle name="#_노임단가표 7 6 2" xfId="26746"/>
    <cellStyle name="#_노임단가표 7 7" xfId="18025"/>
    <cellStyle name="#_노임단가표 7 7 2" xfId="30737"/>
    <cellStyle name="#_노임단가표 7 8" xfId="17559"/>
    <cellStyle name="#_노임단가표 7 8 2" xfId="30279"/>
    <cellStyle name="#_노임단가표 7 9" xfId="14096"/>
    <cellStyle name="#_노임단가표 7 9 2" xfId="26944"/>
    <cellStyle name="#_노임단가표 8" xfId="15002"/>
    <cellStyle name="#_노임단가표 8 2" xfId="27823"/>
    <cellStyle name="#_목차 " xfId="11402"/>
    <cellStyle name="#_목차  10" xfId="17919"/>
    <cellStyle name="#_목차  10 2" xfId="30631"/>
    <cellStyle name="#_목차  11" xfId="23023"/>
    <cellStyle name="#_목차  11 2" xfId="35456"/>
    <cellStyle name="#_목차  12" xfId="21119"/>
    <cellStyle name="#_목차  12 2" xfId="33556"/>
    <cellStyle name="#_목차  13" xfId="20128"/>
    <cellStyle name="#_목차  13 2" xfId="32574"/>
    <cellStyle name="#_목차  14" xfId="20064"/>
    <cellStyle name="#_목차  14 2" xfId="32510"/>
    <cellStyle name="#_목차  15" xfId="18681"/>
    <cellStyle name="#_목차  15 2" xfId="31386"/>
    <cellStyle name="#_목차  16" xfId="23123"/>
    <cellStyle name="#_목차  16 2" xfId="35556"/>
    <cellStyle name="#_목차  17" xfId="23412"/>
    <cellStyle name="#_목차  17 2" xfId="35843"/>
    <cellStyle name="#_목차  18" xfId="23249"/>
    <cellStyle name="#_목차  18 2" xfId="35681"/>
    <cellStyle name="#_목차  19" xfId="24421"/>
    <cellStyle name="#_목차  19 2" xfId="36852"/>
    <cellStyle name="#_목차  2" xfId="16556"/>
    <cellStyle name="#_목차  2 2" xfId="29332"/>
    <cellStyle name="#_목차  20" xfId="18602"/>
    <cellStyle name="#_목차  20 2" xfId="31307"/>
    <cellStyle name="#_목차  21" xfId="20516"/>
    <cellStyle name="#_목차  21 2" xfId="32961"/>
    <cellStyle name="#_목차  3" xfId="12642"/>
    <cellStyle name="#_목차  3 2" xfId="25521"/>
    <cellStyle name="#_목차  4" xfId="14309"/>
    <cellStyle name="#_목차  4 2" xfId="27142"/>
    <cellStyle name="#_목차  5" xfId="12856"/>
    <cellStyle name="#_목차  5 2" xfId="25732"/>
    <cellStyle name="#_목차  6" xfId="12877"/>
    <cellStyle name="#_목차  6 2" xfId="25753"/>
    <cellStyle name="#_목차  7" xfId="15484"/>
    <cellStyle name="#_목차  7 2" xfId="28293"/>
    <cellStyle name="#_목차  8" xfId="12956"/>
    <cellStyle name="#_목차  8 2" xfId="25831"/>
    <cellStyle name="#_목차  9" xfId="17131"/>
    <cellStyle name="#_목차  9 2" xfId="29865"/>
    <cellStyle name="#_설계명세서" xfId="6741"/>
    <cellStyle name="#_설계명세서 2" xfId="6742"/>
    <cellStyle name="#_설계명세서 2 2" xfId="11068"/>
    <cellStyle name="#_설계명세서 2 2 10" xfId="17873"/>
    <cellStyle name="#_설계명세서 2 2 10 2" xfId="30587"/>
    <cellStyle name="#_설계명세서 2 2 11" xfId="22788"/>
    <cellStyle name="#_설계명세서 2 2 11 2" xfId="35222"/>
    <cellStyle name="#_설계명세서 2 2 12" xfId="21377"/>
    <cellStyle name="#_설계명세서 2 2 12 2" xfId="33814"/>
    <cellStyle name="#_설계명세서 2 2 13" xfId="20179"/>
    <cellStyle name="#_설계명세서 2 2 13 2" xfId="32625"/>
    <cellStyle name="#_설계명세서 2 2 14" xfId="19789"/>
    <cellStyle name="#_설계명세서 2 2 14 2" xfId="32239"/>
    <cellStyle name="#_설계명세서 2 2 15" xfId="23733"/>
    <cellStyle name="#_설계명세서 2 2 15 2" xfId="36164"/>
    <cellStyle name="#_설계명세서 2 2 16" xfId="21879"/>
    <cellStyle name="#_설계명세서 2 2 16 2" xfId="34316"/>
    <cellStyle name="#_설계명세서 2 2 17" xfId="19084"/>
    <cellStyle name="#_설계명세서 2 2 17 2" xfId="31789"/>
    <cellStyle name="#_설계명세서 2 2 18" xfId="18615"/>
    <cellStyle name="#_설계명세서 2 2 18 2" xfId="31320"/>
    <cellStyle name="#_설계명세서 2 2 19" xfId="19035"/>
    <cellStyle name="#_설계명세서 2 2 19 2" xfId="31740"/>
    <cellStyle name="#_설계명세서 2 2 2" xfId="16327"/>
    <cellStyle name="#_설계명세서 2 2 2 2" xfId="29103"/>
    <cellStyle name="#_설계명세서 2 2 20" xfId="20939"/>
    <cellStyle name="#_설계명세서 2 2 20 2" xfId="33376"/>
    <cellStyle name="#_설계명세서 2 2 21" xfId="24651"/>
    <cellStyle name="#_설계명세서 2 2 21 2" xfId="37082"/>
    <cellStyle name="#_설계명세서 2 2 3" xfId="12492"/>
    <cellStyle name="#_설계명세서 2 2 3 2" xfId="25372"/>
    <cellStyle name="#_설계명세서 2 2 4" xfId="15194"/>
    <cellStyle name="#_설계명세서 2 2 4 2" xfId="28013"/>
    <cellStyle name="#_설계명세서 2 2 5" xfId="13293"/>
    <cellStyle name="#_설계명세서 2 2 5 2" xfId="26161"/>
    <cellStyle name="#_설계명세서 2 2 6" xfId="12728"/>
    <cellStyle name="#_설계명세서 2 2 6 2" xfId="25605"/>
    <cellStyle name="#_설계명세서 2 2 7" xfId="14763"/>
    <cellStyle name="#_설계명세서 2 2 7 2" xfId="27588"/>
    <cellStyle name="#_설계명세서 2 2 8" xfId="17205"/>
    <cellStyle name="#_설계명세서 2 2 8 2" xfId="29939"/>
    <cellStyle name="#_설계명세서 2 2 9" xfId="14612"/>
    <cellStyle name="#_설계명세서 2 2 9 2" xfId="27438"/>
    <cellStyle name="#_설계명세서 2 3" xfId="15009"/>
    <cellStyle name="#_설계명세서 2 3 2" xfId="27830"/>
    <cellStyle name="#_설계명세서 3" xfId="6743"/>
    <cellStyle name="#_설계명세서 3 2" xfId="11069"/>
    <cellStyle name="#_설계명세서 3 2 10" xfId="14807"/>
    <cellStyle name="#_설계명세서 3 2 10 2" xfId="27630"/>
    <cellStyle name="#_설계명세서 3 2 11" xfId="22789"/>
    <cellStyle name="#_설계명세서 3 2 11 2" xfId="35223"/>
    <cellStyle name="#_설계명세서 3 2 12" xfId="21376"/>
    <cellStyle name="#_설계명세서 3 2 12 2" xfId="33813"/>
    <cellStyle name="#_설계명세서 3 2 13" xfId="20431"/>
    <cellStyle name="#_설계명세서 3 2 13 2" xfId="32876"/>
    <cellStyle name="#_설계명세서 3 2 14" xfId="23281"/>
    <cellStyle name="#_설계명세서 3 2 14 2" xfId="35713"/>
    <cellStyle name="#_설계명세서 3 2 15" xfId="23092"/>
    <cellStyle name="#_설계명세서 3 2 15 2" xfId="35525"/>
    <cellStyle name="#_설계명세서 3 2 16" xfId="20027"/>
    <cellStyle name="#_설계명세서 3 2 16 2" xfId="32473"/>
    <cellStyle name="#_설계명세서 3 2 17" xfId="18263"/>
    <cellStyle name="#_설계명세서 3 2 17 2" xfId="30969"/>
    <cellStyle name="#_설계명세서 3 2 18" xfId="24321"/>
    <cellStyle name="#_설계명세서 3 2 18 2" xfId="36752"/>
    <cellStyle name="#_설계명세서 3 2 19" xfId="23422"/>
    <cellStyle name="#_설계명세서 3 2 19 2" xfId="35853"/>
    <cellStyle name="#_설계명세서 3 2 2" xfId="16328"/>
    <cellStyle name="#_설계명세서 3 2 2 2" xfId="29104"/>
    <cellStyle name="#_설계명세서 3 2 20" xfId="23900"/>
    <cellStyle name="#_설계명세서 3 2 20 2" xfId="36331"/>
    <cellStyle name="#_설계명세서 3 2 21" xfId="21305"/>
    <cellStyle name="#_설계명세서 3 2 21 2" xfId="33742"/>
    <cellStyle name="#_설계명세서 3 2 3" xfId="12493"/>
    <cellStyle name="#_설계명세서 3 2 3 2" xfId="25373"/>
    <cellStyle name="#_설계명세서 3 2 4" xfId="15175"/>
    <cellStyle name="#_설계명세서 3 2 4 2" xfId="27994"/>
    <cellStyle name="#_설계명세서 3 2 5" xfId="14637"/>
    <cellStyle name="#_설계명세서 3 2 5 2" xfId="27463"/>
    <cellStyle name="#_설계명세서 3 2 6" xfId="13891"/>
    <cellStyle name="#_설계명세서 3 2 6 2" xfId="26750"/>
    <cellStyle name="#_설계명세서 3 2 7" xfId="15310"/>
    <cellStyle name="#_설계명세서 3 2 7 2" xfId="28127"/>
    <cellStyle name="#_설계명세서 3 2 8" xfId="17940"/>
    <cellStyle name="#_설계명세서 3 2 8 2" xfId="30652"/>
    <cellStyle name="#_설계명세서 3 2 9" xfId="17085"/>
    <cellStyle name="#_설계명세서 3 2 9 2" xfId="29821"/>
    <cellStyle name="#_설계명세서 3 3" xfId="15010"/>
    <cellStyle name="#_설계명세서 3 3 2" xfId="27831"/>
    <cellStyle name="#_설계명세서 4" xfId="6744"/>
    <cellStyle name="#_설계명세서 4 2" xfId="11070"/>
    <cellStyle name="#_설계명세서 4 2 10" xfId="17874"/>
    <cellStyle name="#_설계명세서 4 2 10 2" xfId="30588"/>
    <cellStyle name="#_설계명세서 4 2 11" xfId="22790"/>
    <cellStyle name="#_설계명세서 4 2 11 2" xfId="35224"/>
    <cellStyle name="#_설계명세서 4 2 12" xfId="21375"/>
    <cellStyle name="#_설계명세서 4 2 12 2" xfId="33812"/>
    <cellStyle name="#_설계명세서 4 2 13" xfId="20178"/>
    <cellStyle name="#_설계명세서 4 2 13 2" xfId="32624"/>
    <cellStyle name="#_설계명세서 4 2 14" xfId="21057"/>
    <cellStyle name="#_설계명세서 4 2 14 2" xfId="33494"/>
    <cellStyle name="#_설계명세서 4 2 15" xfId="18781"/>
    <cellStyle name="#_설계명세서 4 2 15 2" xfId="31486"/>
    <cellStyle name="#_설계명세서 4 2 16" xfId="21880"/>
    <cellStyle name="#_설계명세서 4 2 16 2" xfId="34317"/>
    <cellStyle name="#_설계명세서 4 2 17" xfId="24231"/>
    <cellStyle name="#_설계명세서 4 2 17 2" xfId="36662"/>
    <cellStyle name="#_설계명세서 4 2 18" xfId="24322"/>
    <cellStyle name="#_설계명세서 4 2 18 2" xfId="36753"/>
    <cellStyle name="#_설계명세서 4 2 19" xfId="18483"/>
    <cellStyle name="#_설계명세서 4 2 19 2" xfId="31188"/>
    <cellStyle name="#_설계명세서 4 2 2" xfId="16329"/>
    <cellStyle name="#_설계명세서 4 2 2 2" xfId="29105"/>
    <cellStyle name="#_설계명세서 4 2 20" xfId="22422"/>
    <cellStyle name="#_설계명세서 4 2 20 2" xfId="34856"/>
    <cellStyle name="#_설계명세서 4 2 21" xfId="19987"/>
    <cellStyle name="#_설계명세서 4 2 21 2" xfId="32435"/>
    <cellStyle name="#_설계명세서 4 2 3" xfId="12494"/>
    <cellStyle name="#_설계명세서 4 2 3 2" xfId="25374"/>
    <cellStyle name="#_설계명세서 4 2 4" xfId="15183"/>
    <cellStyle name="#_설계명세서 4 2 4 2" xfId="28002"/>
    <cellStyle name="#_설계명세서 4 2 5" xfId="13294"/>
    <cellStyle name="#_설계명세서 4 2 5 2" xfId="26162"/>
    <cellStyle name="#_설계명세서 4 2 6" xfId="15217"/>
    <cellStyle name="#_설계명세서 4 2 6 2" xfId="28035"/>
    <cellStyle name="#_설계명세서 4 2 7" xfId="17735"/>
    <cellStyle name="#_설계명세서 4 2 7 2" xfId="30452"/>
    <cellStyle name="#_설계명세서 4 2 8" xfId="15752"/>
    <cellStyle name="#_설계명세서 4 2 8 2" xfId="28551"/>
    <cellStyle name="#_설계명세서 4 2 9" xfId="14537"/>
    <cellStyle name="#_설계명세서 4 2 9 2" xfId="27365"/>
    <cellStyle name="#_설계명세서 4 3" xfId="15011"/>
    <cellStyle name="#_설계명세서 4 3 2" xfId="27832"/>
    <cellStyle name="#_설계명세서 5" xfId="6745"/>
    <cellStyle name="#_설계명세서 5 2" xfId="11071"/>
    <cellStyle name="#_설계명세서 5 2 10" xfId="12895"/>
    <cellStyle name="#_설계명세서 5 2 10 2" xfId="25771"/>
    <cellStyle name="#_설계명세서 5 2 11" xfId="22791"/>
    <cellStyle name="#_설계명세서 5 2 11 2" xfId="35225"/>
    <cellStyle name="#_설계명세서 5 2 12" xfId="21374"/>
    <cellStyle name="#_설계명세서 5 2 12 2" xfId="33811"/>
    <cellStyle name="#_설계명세서 5 2 13" xfId="20430"/>
    <cellStyle name="#_설계명세서 5 2 13 2" xfId="32875"/>
    <cellStyle name="#_설계명세서 5 2 14" xfId="19018"/>
    <cellStyle name="#_설계명세서 5 2 14 2" xfId="31723"/>
    <cellStyle name="#_설계명세서 5 2 15" xfId="18466"/>
    <cellStyle name="#_설계명세서 5 2 15 2" xfId="31171"/>
    <cellStyle name="#_설계명세서 5 2 16" xfId="20273"/>
    <cellStyle name="#_설계명세서 5 2 16 2" xfId="32718"/>
    <cellStyle name="#_설계명세서 5 2 17" xfId="20674"/>
    <cellStyle name="#_설계명세서 5 2 17 2" xfId="33118"/>
    <cellStyle name="#_설계명세서 5 2 18" xfId="20496"/>
    <cellStyle name="#_설계명세서 5 2 18 2" xfId="32941"/>
    <cellStyle name="#_설계명세서 5 2 19" xfId="24201"/>
    <cellStyle name="#_설계명세서 5 2 19 2" xfId="36632"/>
    <cellStyle name="#_설계명세서 5 2 2" xfId="16330"/>
    <cellStyle name="#_설계명세서 5 2 2 2" xfId="29106"/>
    <cellStyle name="#_설계명세서 5 2 20" xfId="18609"/>
    <cellStyle name="#_설계명세서 5 2 20 2" xfId="31314"/>
    <cellStyle name="#_설계명세서 5 2 21" xfId="18272"/>
    <cellStyle name="#_설계명세서 5 2 21 2" xfId="30978"/>
    <cellStyle name="#_설계명세서 5 2 3" xfId="12495"/>
    <cellStyle name="#_설계명세서 5 2 3 2" xfId="25375"/>
    <cellStyle name="#_설계명세서 5 2 4" xfId="16656"/>
    <cellStyle name="#_설계명세서 5 2 4 2" xfId="29432"/>
    <cellStyle name="#_설계명세서 5 2 5" xfId="16724"/>
    <cellStyle name="#_설계명세서 5 2 5 2" xfId="29500"/>
    <cellStyle name="#_설계명세서 5 2 6" xfId="13892"/>
    <cellStyle name="#_설계명세서 5 2 6 2" xfId="26751"/>
    <cellStyle name="#_설계명세서 5 2 7" xfId="17734"/>
    <cellStyle name="#_설계명세서 5 2 7 2" xfId="30451"/>
    <cellStyle name="#_설계명세서 5 2 8" xfId="17941"/>
    <cellStyle name="#_설계명세서 5 2 8 2" xfId="30653"/>
    <cellStyle name="#_설계명세서 5 2 9" xfId="14491"/>
    <cellStyle name="#_설계명세서 5 2 9 2" xfId="27323"/>
    <cellStyle name="#_설계명세서 5 3" xfId="15012"/>
    <cellStyle name="#_설계명세서 5 3 2" xfId="27833"/>
    <cellStyle name="#_설계명세서 6" xfId="6746"/>
    <cellStyle name="#_설계명세서 6 2" xfId="11072"/>
    <cellStyle name="#_설계명세서 6 2 10" xfId="15324"/>
    <cellStyle name="#_설계명세서 6 2 10 2" xfId="28141"/>
    <cellStyle name="#_설계명세서 6 2 11" xfId="22792"/>
    <cellStyle name="#_설계명세서 6 2 11 2" xfId="35226"/>
    <cellStyle name="#_설계명세서 6 2 12" xfId="21373"/>
    <cellStyle name="#_설계명세서 6 2 12 2" xfId="33810"/>
    <cellStyle name="#_설계명세서 6 2 13" xfId="20177"/>
    <cellStyle name="#_설계명세서 6 2 13 2" xfId="32623"/>
    <cellStyle name="#_설계명세서 6 2 14" xfId="21056"/>
    <cellStyle name="#_설계명세서 6 2 14 2" xfId="33493"/>
    <cellStyle name="#_설계명세서 6 2 15" xfId="18641"/>
    <cellStyle name="#_설계명세서 6 2 15 2" xfId="31346"/>
    <cellStyle name="#_설계명세서 6 2 16" xfId="21881"/>
    <cellStyle name="#_설계명세서 6 2 16 2" xfId="34318"/>
    <cellStyle name="#_설계명세서 6 2 17" xfId="24097"/>
    <cellStyle name="#_설계명세서 6 2 17 2" xfId="36528"/>
    <cellStyle name="#_설계명세서 6 2 18" xfId="23212"/>
    <cellStyle name="#_설계명세서 6 2 18 2" xfId="35645"/>
    <cellStyle name="#_설계명세서 6 2 19" xfId="22218"/>
    <cellStyle name="#_설계명세서 6 2 19 2" xfId="34653"/>
    <cellStyle name="#_설계명세서 6 2 2" xfId="16331"/>
    <cellStyle name="#_설계명세서 6 2 2 2" xfId="29107"/>
    <cellStyle name="#_설계명세서 6 2 20" xfId="21898"/>
    <cellStyle name="#_설계명세서 6 2 20 2" xfId="34335"/>
    <cellStyle name="#_설계명세서 6 2 21" xfId="19660"/>
    <cellStyle name="#_설계명세서 6 2 21 2" xfId="32115"/>
    <cellStyle name="#_설계명세서 6 2 3" xfId="12496"/>
    <cellStyle name="#_설계명세서 6 2 3 2" xfId="25376"/>
    <cellStyle name="#_설계명세서 6 2 4" xfId="12776"/>
    <cellStyle name="#_설계명세서 6 2 4 2" xfId="25652"/>
    <cellStyle name="#_설계명세서 6 2 5" xfId="13295"/>
    <cellStyle name="#_설계명세서 6 2 5 2" xfId="26163"/>
    <cellStyle name="#_설계명세서 6 2 6" xfId="12729"/>
    <cellStyle name="#_설계명세서 6 2 6 2" xfId="25606"/>
    <cellStyle name="#_설계명세서 6 2 7" xfId="17733"/>
    <cellStyle name="#_설계명세서 6 2 7 2" xfId="30450"/>
    <cellStyle name="#_설계명세서 6 2 8" xfId="13943"/>
    <cellStyle name="#_설계명세서 6 2 8 2" xfId="26801"/>
    <cellStyle name="#_설계명세서 6 2 9" xfId="12546"/>
    <cellStyle name="#_설계명세서 6 2 9 2" xfId="25426"/>
    <cellStyle name="#_설계명세서 6 3" xfId="15013"/>
    <cellStyle name="#_설계명세서 6 3 2" xfId="27834"/>
    <cellStyle name="#_설계명세서 7" xfId="11067"/>
    <cellStyle name="#_설계명세서 7 10" xfId="12896"/>
    <cellStyle name="#_설계명세서 7 10 2" xfId="25772"/>
    <cellStyle name="#_설계명세서 7 11" xfId="22787"/>
    <cellStyle name="#_설계명세서 7 11 2" xfId="35221"/>
    <cellStyle name="#_설계명세서 7 12" xfId="21378"/>
    <cellStyle name="#_설계명세서 7 12 2" xfId="33815"/>
    <cellStyle name="#_설계명세서 7 13" xfId="20432"/>
    <cellStyle name="#_설계명세서 7 13 2" xfId="32877"/>
    <cellStyle name="#_설계명세서 7 14" xfId="21003"/>
    <cellStyle name="#_설계명세서 7 14 2" xfId="33440"/>
    <cellStyle name="#_설계명세서 7 15" xfId="18640"/>
    <cellStyle name="#_설계명세서 7 15 2" xfId="31345"/>
    <cellStyle name="#_설계명세서 7 16" xfId="20272"/>
    <cellStyle name="#_설계명세서 7 16 2" xfId="32717"/>
    <cellStyle name="#_설계명세서 7 17" xfId="19541"/>
    <cellStyle name="#_설계명세서 7 17 2" xfId="31996"/>
    <cellStyle name="#_설계명세서 7 18" xfId="18778"/>
    <cellStyle name="#_설계명세서 7 18 2" xfId="31483"/>
    <cellStyle name="#_설계명세서 7 19" xfId="18416"/>
    <cellStyle name="#_설계명세서 7 19 2" xfId="31121"/>
    <cellStyle name="#_설계명세서 7 2" xfId="16326"/>
    <cellStyle name="#_설계명세서 7 2 2" xfId="29102"/>
    <cellStyle name="#_설계명세서 7 20" xfId="21304"/>
    <cellStyle name="#_설계명세서 7 20 2" xfId="33741"/>
    <cellStyle name="#_설계명세서 7 21" xfId="20749"/>
    <cellStyle name="#_설계명세서 7 21 2" xfId="33189"/>
    <cellStyle name="#_설계명세서 7 3" xfId="12491"/>
    <cellStyle name="#_설계명세서 7 3 2" xfId="25371"/>
    <cellStyle name="#_설계명세서 7 4" xfId="15163"/>
    <cellStyle name="#_설계명세서 7 4 2" xfId="27982"/>
    <cellStyle name="#_설계명세서 7 5" xfId="13490"/>
    <cellStyle name="#_설계명세서 7 5 2" xfId="26358"/>
    <cellStyle name="#_설계명세서 7 6" xfId="13890"/>
    <cellStyle name="#_설계명세서 7 6 2" xfId="26749"/>
    <cellStyle name="#_설계명세서 7 7" xfId="17736"/>
    <cellStyle name="#_설계명세서 7 7 2" xfId="30453"/>
    <cellStyle name="#_설계명세서 7 8" xfId="17939"/>
    <cellStyle name="#_설계명세서 7 8 2" xfId="30651"/>
    <cellStyle name="#_설계명세서 7 9" xfId="15971"/>
    <cellStyle name="#_설계명세서 7 9 2" xfId="28769"/>
    <cellStyle name="#_설계명세서 8" xfId="15008"/>
    <cellStyle name="#_설계명세서 8 2" xfId="27829"/>
    <cellStyle name="#_예정공정표_계통도 " xfId="6747"/>
    <cellStyle name="#_예정공정표_계통도  2" xfId="6748"/>
    <cellStyle name="#_예정공정표_계통도  2 2" xfId="11074"/>
    <cellStyle name="#_예정공정표_계통도  2 2 10" xfId="13851"/>
    <cellStyle name="#_예정공정표_계통도  2 2 10 2" xfId="26710"/>
    <cellStyle name="#_예정공정표_계통도  2 2 11" xfId="22794"/>
    <cellStyle name="#_예정공정표_계통도  2 2 11 2" xfId="35228"/>
    <cellStyle name="#_예정공정표_계통도  2 2 12" xfId="21371"/>
    <cellStyle name="#_예정공정표_계통도  2 2 12 2" xfId="33808"/>
    <cellStyle name="#_예정공정표_계통도  2 2 13" xfId="20176"/>
    <cellStyle name="#_예정공정표_계통도  2 2 13 2" xfId="32622"/>
    <cellStyle name="#_예정공정표_계통도  2 2 14" xfId="19788"/>
    <cellStyle name="#_예정공정표_계통도  2 2 14 2" xfId="32238"/>
    <cellStyle name="#_예정공정표_계통도  2 2 15" xfId="22255"/>
    <cellStyle name="#_예정공정표_계통도  2 2 15 2" xfId="34690"/>
    <cellStyle name="#_예정공정표_계통도  2 2 16" xfId="21882"/>
    <cellStyle name="#_예정공정표_계통도  2 2 16 2" xfId="34319"/>
    <cellStyle name="#_예정공정표_계통도  2 2 17" xfId="18703"/>
    <cellStyle name="#_예정공정표_계통도  2 2 17 2" xfId="31408"/>
    <cellStyle name="#_예정공정표_계통도  2 2 18" xfId="18563"/>
    <cellStyle name="#_예정공정표_계통도  2 2 18 2" xfId="31268"/>
    <cellStyle name="#_예정공정표_계통도  2 2 19" xfId="24499"/>
    <cellStyle name="#_예정공정표_계통도  2 2 19 2" xfId="36930"/>
    <cellStyle name="#_예정공정표_계통도  2 2 2" xfId="16333"/>
    <cellStyle name="#_예정공정표_계통도  2 2 2 2" xfId="29109"/>
    <cellStyle name="#_예정공정표_계통도  2 2 20" xfId="22421"/>
    <cellStyle name="#_예정공정표_계통도  2 2 20 2" xfId="34855"/>
    <cellStyle name="#_예정공정표_계통도  2 2 21" xfId="23852"/>
    <cellStyle name="#_예정공정표_계통도  2 2 21 2" xfId="36283"/>
    <cellStyle name="#_예정공정표_계통도  2 2 3" xfId="12498"/>
    <cellStyle name="#_예정공정표_계통도  2 2 3 2" xfId="25378"/>
    <cellStyle name="#_예정공정표_계통도  2 2 4" xfId="15195"/>
    <cellStyle name="#_예정공정표_계통도  2 2 4 2" xfId="28014"/>
    <cellStyle name="#_예정공정표_계통도  2 2 5" xfId="13296"/>
    <cellStyle name="#_예정공정표_계통도  2 2 5 2" xfId="26164"/>
    <cellStyle name="#_예정공정표_계통도  2 2 6" xfId="15218"/>
    <cellStyle name="#_예정공정표_계통도  2 2 6 2" xfId="28036"/>
    <cellStyle name="#_예정공정표_계통도  2 2 7" xfId="13200"/>
    <cellStyle name="#_예정공정표_계통도  2 2 7 2" xfId="26068"/>
    <cellStyle name="#_예정공정표_계통도  2 2 8" xfId="15753"/>
    <cellStyle name="#_예정공정표_계통도  2 2 8 2" xfId="28552"/>
    <cellStyle name="#_예정공정표_계통도  2 2 9" xfId="15824"/>
    <cellStyle name="#_예정공정표_계통도  2 2 9 2" xfId="28622"/>
    <cellStyle name="#_예정공정표_계통도  2 3" xfId="15015"/>
    <cellStyle name="#_예정공정표_계통도  2 3 2" xfId="27836"/>
    <cellStyle name="#_예정공정표_계통도  3" xfId="6749"/>
    <cellStyle name="#_예정공정표_계통도  3 2" xfId="11075"/>
    <cellStyle name="#_예정공정표_계통도  3 2 10" xfId="12894"/>
    <cellStyle name="#_예정공정표_계통도  3 2 10 2" xfId="25770"/>
    <cellStyle name="#_예정공정표_계통도  3 2 11" xfId="22795"/>
    <cellStyle name="#_예정공정표_계통도  3 2 11 2" xfId="35229"/>
    <cellStyle name="#_예정공정표_계통도  3 2 12" xfId="21370"/>
    <cellStyle name="#_예정공정표_계통도  3 2 12 2" xfId="33807"/>
    <cellStyle name="#_예정공정표_계통도  3 2 13" xfId="20428"/>
    <cellStyle name="#_예정공정표_계통도  3 2 13 2" xfId="32873"/>
    <cellStyle name="#_예정공정표_계통도  3 2 14" xfId="21001"/>
    <cellStyle name="#_예정공정표_계통도  3 2 14 2" xfId="33438"/>
    <cellStyle name="#_예정공정표_계통도  3 2 15" xfId="23091"/>
    <cellStyle name="#_예정공정표_계통도  3 2 15 2" xfId="35524"/>
    <cellStyle name="#_예정공정표_계통도  3 2 16" xfId="20274"/>
    <cellStyle name="#_예정공정표_계통도  3 2 16 2" xfId="32719"/>
    <cellStyle name="#_예정공정표_계통도  3 2 17" xfId="22240"/>
    <cellStyle name="#_예정공정표_계통도  3 2 17 2" xfId="34675"/>
    <cellStyle name="#_예정공정표_계통도  3 2 18" xfId="19710"/>
    <cellStyle name="#_예정공정표_계통도  3 2 18 2" xfId="32164"/>
    <cellStyle name="#_예정공정표_계통도  3 2 19" xfId="22977"/>
    <cellStyle name="#_예정공정표_계통도  3 2 19 2" xfId="35410"/>
    <cellStyle name="#_예정공정표_계통도  3 2 2" xfId="16334"/>
    <cellStyle name="#_예정공정표_계통도  3 2 2 2" xfId="29110"/>
    <cellStyle name="#_예정공정표_계통도  3 2 20" xfId="24211"/>
    <cellStyle name="#_예정공정표_계통도  3 2 20 2" xfId="36642"/>
    <cellStyle name="#_예정공정표_계통도  3 2 21" xfId="23860"/>
    <cellStyle name="#_예정공정표_계통도  3 2 21 2" xfId="36291"/>
    <cellStyle name="#_예정공정표_계통도  3 2 3" xfId="12499"/>
    <cellStyle name="#_예정공정표_계통도  3 2 3 2" xfId="25379"/>
    <cellStyle name="#_예정공정표_계통도  3 2 4" xfId="15265"/>
    <cellStyle name="#_예정공정표_계통도  3 2 4 2" xfId="28082"/>
    <cellStyle name="#_예정공정표_계통도  3 2 5" xfId="15981"/>
    <cellStyle name="#_예정공정표_계통도  3 2 5 2" xfId="28779"/>
    <cellStyle name="#_예정공정표_계통도  3 2 6" xfId="14664"/>
    <cellStyle name="#_예정공정표_계통도  3 2 6 2" xfId="27490"/>
    <cellStyle name="#_예정공정표_계통도  3 2 7" xfId="14074"/>
    <cellStyle name="#_예정공정표_계통도  3 2 7 2" xfId="26922"/>
    <cellStyle name="#_예정공정표_계통도  3 2 8" xfId="17943"/>
    <cellStyle name="#_예정공정표_계통도  3 2 8 2" xfId="30655"/>
    <cellStyle name="#_예정공정표_계통도  3 2 9" xfId="18034"/>
    <cellStyle name="#_예정공정표_계통도  3 2 9 2" xfId="30745"/>
    <cellStyle name="#_예정공정표_계통도  3 3" xfId="15016"/>
    <cellStyle name="#_예정공정표_계통도  3 3 2" xfId="27837"/>
    <cellStyle name="#_예정공정표_계통도  4" xfId="6750"/>
    <cellStyle name="#_예정공정표_계통도  4 2" xfId="11076"/>
    <cellStyle name="#_예정공정표_계통도  4 2 10" xfId="13850"/>
    <cellStyle name="#_예정공정표_계통도  4 2 10 2" xfId="26709"/>
    <cellStyle name="#_예정공정표_계통도  4 2 11" xfId="22796"/>
    <cellStyle name="#_예정공정표_계통도  4 2 11 2" xfId="35230"/>
    <cellStyle name="#_예정공정표_계통도  4 2 12" xfId="21369"/>
    <cellStyle name="#_예정공정표_계통도  4 2 12 2" xfId="33806"/>
    <cellStyle name="#_예정공정표_계통도  4 2 13" xfId="20175"/>
    <cellStyle name="#_예정공정표_계통도  4 2 13 2" xfId="32621"/>
    <cellStyle name="#_예정공정표_계통도  4 2 14" xfId="22895"/>
    <cellStyle name="#_예정공정표_계통도  4 2 14 2" xfId="35329"/>
    <cellStyle name="#_예정공정표_계통도  4 2 15" xfId="18620"/>
    <cellStyle name="#_예정공정표_계통도  4 2 15 2" xfId="31325"/>
    <cellStyle name="#_예정공정표_계통도  4 2 16" xfId="21883"/>
    <cellStyle name="#_예정공정표_계통도  4 2 16 2" xfId="34320"/>
    <cellStyle name="#_예정공정표_계통도  4 2 17" xfId="23102"/>
    <cellStyle name="#_예정공정표_계통도  4 2 17 2" xfId="35535"/>
    <cellStyle name="#_예정공정표_계통도  4 2 18" xfId="21759"/>
    <cellStyle name="#_예정공정표_계통도  4 2 18 2" xfId="34196"/>
    <cellStyle name="#_예정공정표_계통도  4 2 19" xfId="24035"/>
    <cellStyle name="#_예정공정표_계통도  4 2 19 2" xfId="36466"/>
    <cellStyle name="#_예정공정표_계통도  4 2 2" xfId="16335"/>
    <cellStyle name="#_예정공정표_계통도  4 2 2 2" xfId="29111"/>
    <cellStyle name="#_예정공정표_계통도  4 2 20" xfId="21897"/>
    <cellStyle name="#_예정공정표_계통도  4 2 20 2" xfId="34334"/>
    <cellStyle name="#_예정공정표_계통도  4 2 21" xfId="18675"/>
    <cellStyle name="#_예정공정표_계통도  4 2 21 2" xfId="31380"/>
    <cellStyle name="#_예정공정표_계통도  4 2 3" xfId="12500"/>
    <cellStyle name="#_예정공정표_계통도  4 2 3 2" xfId="25380"/>
    <cellStyle name="#_예정공정표_계통도  4 2 4" xfId="15184"/>
    <cellStyle name="#_예정공정표_계통도  4 2 4 2" xfId="28003"/>
    <cellStyle name="#_예정공정표_계통도  4 2 5" xfId="14589"/>
    <cellStyle name="#_예정공정표_계통도  4 2 5 2" xfId="27415"/>
    <cellStyle name="#_예정공정표_계통도  4 2 6" xfId="12730"/>
    <cellStyle name="#_예정공정표_계통도  4 2 6 2" xfId="25607"/>
    <cellStyle name="#_예정공정표_계통도  4 2 7" xfId="17732"/>
    <cellStyle name="#_예정공정표_계통도  4 2 7 2" xfId="30449"/>
    <cellStyle name="#_예정공정표_계통도  4 2 8" xfId="15360"/>
    <cellStyle name="#_예정공정표_계통도  4 2 8 2" xfId="28177"/>
    <cellStyle name="#_예정공정표_계통도  4 2 9" xfId="17201"/>
    <cellStyle name="#_예정공정표_계통도  4 2 9 2" xfId="29935"/>
    <cellStyle name="#_예정공정표_계통도  4 3" xfId="15017"/>
    <cellStyle name="#_예정공정표_계통도  4 3 2" xfId="27838"/>
    <cellStyle name="#_예정공정표_계통도  5" xfId="6751"/>
    <cellStyle name="#_예정공정표_계통도  5 2" xfId="11077"/>
    <cellStyle name="#_예정공정표_계통도  5 2 10" xfId="14806"/>
    <cellStyle name="#_예정공정표_계통도  5 2 10 2" xfId="27629"/>
    <cellStyle name="#_예정공정표_계통도  5 2 11" xfId="22797"/>
    <cellStyle name="#_예정공정표_계통도  5 2 11 2" xfId="35231"/>
    <cellStyle name="#_예정공정표_계통도  5 2 12" xfId="21368"/>
    <cellStyle name="#_예정공정표_계통도  5 2 12 2" xfId="33805"/>
    <cellStyle name="#_예정공정표_계통도  5 2 13" xfId="20427"/>
    <cellStyle name="#_예정공정표_계통도  5 2 13 2" xfId="32872"/>
    <cellStyle name="#_예정공정표_계통도  5 2 14" xfId="21000"/>
    <cellStyle name="#_예정공정표_계통도  5 2 14 2" xfId="33437"/>
    <cellStyle name="#_예정공정표_계통도  5 2 15" xfId="20600"/>
    <cellStyle name="#_예정공정표_계통도  5 2 15 2" xfId="33044"/>
    <cellStyle name="#_예정공정표_계통도  5 2 16" xfId="20029"/>
    <cellStyle name="#_예정공정표_계통도  5 2 16 2" xfId="32475"/>
    <cellStyle name="#_예정공정표_계통도  5 2 17" xfId="20739"/>
    <cellStyle name="#_예정공정표_계통도  5 2 17 2" xfId="33179"/>
    <cellStyle name="#_예정공정표_계통도  5 2 18" xfId="20892"/>
    <cellStyle name="#_예정공정표_계통도  5 2 18 2" xfId="33329"/>
    <cellStyle name="#_예정공정표_계통도  5 2 19" xfId="20335"/>
    <cellStyle name="#_예정공정표_계통도  5 2 19 2" xfId="32780"/>
    <cellStyle name="#_예정공정표_계통도  5 2 2" xfId="16336"/>
    <cellStyle name="#_예정공정표_계통도  5 2 2 2" xfId="29112"/>
    <cellStyle name="#_예정공정표_계통도  5 2 20" xfId="21795"/>
    <cellStyle name="#_예정공정표_계통도  5 2 20 2" xfId="34232"/>
    <cellStyle name="#_예정공정표_계통도  5 2 21" xfId="23692"/>
    <cellStyle name="#_예정공정표_계통도  5 2 21 2" xfId="36123"/>
    <cellStyle name="#_예정공정표_계통도  5 2 3" xfId="12501"/>
    <cellStyle name="#_예정공정표_계통도  5 2 3 2" xfId="25381"/>
    <cellStyle name="#_예정공정표_계통도  5 2 4" xfId="16655"/>
    <cellStyle name="#_예정공정표_계통도  5 2 4 2" xfId="29431"/>
    <cellStyle name="#_예정공정표_계통도  5 2 5" xfId="14722"/>
    <cellStyle name="#_예정공정표_계통도  5 2 5 2" xfId="27548"/>
    <cellStyle name="#_예정공정표_계통도  5 2 6" xfId="14665"/>
    <cellStyle name="#_예정공정표_계통도  5 2 6 2" xfId="27491"/>
    <cellStyle name="#_예정공정표_계통도  5 2 7" xfId="15614"/>
    <cellStyle name="#_예정공정표_계통도  5 2 7 2" xfId="28423"/>
    <cellStyle name="#_예정공정표_계통도  5 2 8" xfId="17944"/>
    <cellStyle name="#_예정공정표_계통도  5 2 8 2" xfId="30656"/>
    <cellStyle name="#_예정공정표_계통도  5 2 9" xfId="18035"/>
    <cellStyle name="#_예정공정표_계통도  5 2 9 2" xfId="30746"/>
    <cellStyle name="#_예정공정표_계통도  5 3" xfId="15018"/>
    <cellStyle name="#_예정공정표_계통도  5 3 2" xfId="27839"/>
    <cellStyle name="#_예정공정표_계통도  6" xfId="6752"/>
    <cellStyle name="#_예정공정표_계통도  6 2" xfId="11078"/>
    <cellStyle name="#_예정공정표_계통도  6 2 10" xfId="13849"/>
    <cellStyle name="#_예정공정표_계통도  6 2 10 2" xfId="26708"/>
    <cellStyle name="#_예정공정표_계통도  6 2 11" xfId="22798"/>
    <cellStyle name="#_예정공정표_계통도  6 2 11 2" xfId="35232"/>
    <cellStyle name="#_예정공정표_계통도  6 2 12" xfId="21367"/>
    <cellStyle name="#_예정공정표_계통도  6 2 12 2" xfId="33804"/>
    <cellStyle name="#_예정공정표_계통도  6 2 13" xfId="20174"/>
    <cellStyle name="#_예정공정표_계통도  6 2 13 2" xfId="32620"/>
    <cellStyle name="#_예정공정표_계통도  6 2 14" xfId="20707"/>
    <cellStyle name="#_예정공정표_계통도  6 2 14 2" xfId="33150"/>
    <cellStyle name="#_예정공정표_계통도  6 2 15" xfId="18642"/>
    <cellStyle name="#_예정공정표_계통도  6 2 15 2" xfId="31347"/>
    <cellStyle name="#_예정공정표_계통도  6 2 16" xfId="21884"/>
    <cellStyle name="#_예정공정표_계통도  6 2 16 2" xfId="34321"/>
    <cellStyle name="#_예정공정표_계통도  6 2 17" xfId="18704"/>
    <cellStyle name="#_예정공정표_계통도  6 2 17 2" xfId="31409"/>
    <cellStyle name="#_예정공정표_계통도  6 2 18" xfId="20793"/>
    <cellStyle name="#_예정공정표_계통도  6 2 18 2" xfId="33232"/>
    <cellStyle name="#_예정공정표_계통도  6 2 19" xfId="24498"/>
    <cellStyle name="#_예정공정표_계통도  6 2 19 2" xfId="36929"/>
    <cellStyle name="#_예정공정표_계통도  6 2 2" xfId="16337"/>
    <cellStyle name="#_예정공정표_계통도  6 2 2 2" xfId="29113"/>
    <cellStyle name="#_예정공정표_계통도  6 2 20" xfId="23241"/>
    <cellStyle name="#_예정공정표_계통도  6 2 20 2" xfId="35673"/>
    <cellStyle name="#_예정공정표_계통도  6 2 21" xfId="24652"/>
    <cellStyle name="#_예정공정표_계통도  6 2 21 2" xfId="37083"/>
    <cellStyle name="#_예정공정표_계통도  6 2 3" xfId="12502"/>
    <cellStyle name="#_예정공정표_계통도  6 2 3 2" xfId="25382"/>
    <cellStyle name="#_예정공정표_계통도  6 2 4" xfId="12767"/>
    <cellStyle name="#_예정공정표_계통도  6 2 4 2" xfId="25644"/>
    <cellStyle name="#_예정공정표_계통도  6 2 5" xfId="15442"/>
    <cellStyle name="#_예정공정표_계통도  6 2 5 2" xfId="28251"/>
    <cellStyle name="#_예정공정표_계통도  6 2 6" xfId="15219"/>
    <cellStyle name="#_예정공정표_계통도  6 2 6 2" xfId="28037"/>
    <cellStyle name="#_예정공정표_계통도  6 2 7" xfId="14762"/>
    <cellStyle name="#_예정공정표_계통도  6 2 7 2" xfId="27587"/>
    <cellStyle name="#_예정공정표_계통도  6 2 8" xfId="14305"/>
    <cellStyle name="#_예정공정표_계통도  6 2 8 2" xfId="27138"/>
    <cellStyle name="#_예정공정표_계통도  6 2 9" xfId="17154"/>
    <cellStyle name="#_예정공정표_계통도  6 2 9 2" xfId="29888"/>
    <cellStyle name="#_예정공정표_계통도  6 3" xfId="15019"/>
    <cellStyle name="#_예정공정표_계통도  6 3 2" xfId="27840"/>
    <cellStyle name="#_예정공정표_계통도  7" xfId="11073"/>
    <cellStyle name="#_예정공정표_계통도  7 10" xfId="15173"/>
    <cellStyle name="#_예정공정표_계통도  7 10 2" xfId="27992"/>
    <cellStyle name="#_예정공정표_계통도  7 11" xfId="22793"/>
    <cellStyle name="#_예정공정표_계통도  7 11 2" xfId="35227"/>
    <cellStyle name="#_예정공정표_계통도  7 12" xfId="21372"/>
    <cellStyle name="#_예정공정표_계통도  7 12 2" xfId="33809"/>
    <cellStyle name="#_예정공정표_계통도  7 13" xfId="20429"/>
    <cellStyle name="#_예정공정표_계통도  7 13 2" xfId="32874"/>
    <cellStyle name="#_예정공정표_계통도  7 14" xfId="21002"/>
    <cellStyle name="#_예정공정표_계통도  7 14 2" xfId="33439"/>
    <cellStyle name="#_예정공정표_계통도  7 15" xfId="22843"/>
    <cellStyle name="#_예정공정표_계통도  7 15 2" xfId="35277"/>
    <cellStyle name="#_예정공정표_계통도  7 16" xfId="20028"/>
    <cellStyle name="#_예정공정표_계통도  7 16 2" xfId="32474"/>
    <cellStyle name="#_예정공정표_계통도  7 17" xfId="23265"/>
    <cellStyle name="#_예정공정표_계통도  7 17 2" xfId="35697"/>
    <cellStyle name="#_예정공정표_계통도  7 18" xfId="23476"/>
    <cellStyle name="#_예정공정표_계통도  7 18 2" xfId="35907"/>
    <cellStyle name="#_예정공정표_계통도  7 19" xfId="23500"/>
    <cellStyle name="#_예정공정표_계통도  7 19 2" xfId="35931"/>
    <cellStyle name="#_예정공정표_계통도  7 2" xfId="16332"/>
    <cellStyle name="#_예정공정표_계통도  7 2 2" xfId="29108"/>
    <cellStyle name="#_예정공정표_계통도  7 20" xfId="18348"/>
    <cellStyle name="#_예정공정표_계통도  7 20 2" xfId="31054"/>
    <cellStyle name="#_예정공정표_계통도  7 21" xfId="18588"/>
    <cellStyle name="#_예정공정표_계통도  7 21 2" xfId="31293"/>
    <cellStyle name="#_예정공정표_계통도  7 3" xfId="12497"/>
    <cellStyle name="#_예정공정표_계통도  7 3 2" xfId="25377"/>
    <cellStyle name="#_예정공정표_계통도  7 4" xfId="15162"/>
    <cellStyle name="#_예정공정표_계통도  7 4 2" xfId="27981"/>
    <cellStyle name="#_예정공정표_계통도  7 5" xfId="13491"/>
    <cellStyle name="#_예정공정표_계통도  7 5 2" xfId="26359"/>
    <cellStyle name="#_예정공정표_계통도  7 6" xfId="13893"/>
    <cellStyle name="#_예정공정표_계통도  7 6 2" xfId="26752"/>
    <cellStyle name="#_예정공정표_계통도  7 7" xfId="14652"/>
    <cellStyle name="#_예정공정표_계통도  7 7 2" xfId="27478"/>
    <cellStyle name="#_예정공정표_계통도  7 8" xfId="17942"/>
    <cellStyle name="#_예정공정표_계통도  7 8 2" xfId="30654"/>
    <cellStyle name="#_예정공정표_계통도  7 9" xfId="15621"/>
    <cellStyle name="#_예정공정표_계통도  7 9 2" xfId="28430"/>
    <cellStyle name="#_예정공정표_계통도  8" xfId="15014"/>
    <cellStyle name="#_예정공정표_계통도  8 2" xfId="27835"/>
    <cellStyle name="#_예정공정표_품셈 " xfId="6753"/>
    <cellStyle name="#_예정공정표_품셈  2" xfId="6754"/>
    <cellStyle name="#_예정공정표_품셈  2 2" xfId="11080"/>
    <cellStyle name="#_예정공정표_품셈  2 2 10" xfId="13730"/>
    <cellStyle name="#_예정공정표_품셈  2 2 10 2" xfId="26591"/>
    <cellStyle name="#_예정공정표_품셈  2 2 11" xfId="22800"/>
    <cellStyle name="#_예정공정표_품셈  2 2 11 2" xfId="35234"/>
    <cellStyle name="#_예정공정표_품셈  2 2 12" xfId="21365"/>
    <cellStyle name="#_예정공정표_품셈  2 2 12 2" xfId="33802"/>
    <cellStyle name="#_예정공정표_품셈  2 2 13" xfId="20173"/>
    <cellStyle name="#_예정공정표_품셈  2 2 13 2" xfId="32619"/>
    <cellStyle name="#_예정공정표_품셈  2 2 14" xfId="23738"/>
    <cellStyle name="#_예정공정표_품셈  2 2 14 2" xfId="36169"/>
    <cellStyle name="#_예정공정표_품셈  2 2 15" xfId="18435"/>
    <cellStyle name="#_예정공정표_품셈  2 2 15 2" xfId="31140"/>
    <cellStyle name="#_예정공정표_품셈  2 2 16" xfId="21885"/>
    <cellStyle name="#_예정공정표_품셈  2 2 16 2" xfId="34322"/>
    <cellStyle name="#_예정공정표_품셈  2 2 17" xfId="23201"/>
    <cellStyle name="#_예정공정표_품셈  2 2 17 2" xfId="35634"/>
    <cellStyle name="#_예정공정표_품셈  2 2 18" xfId="19750"/>
    <cellStyle name="#_예정공정표_품셈  2 2 18 2" xfId="32203"/>
    <cellStyle name="#_예정공정표_품셈  2 2 19" xfId="22219"/>
    <cellStyle name="#_예정공정표_품셈  2 2 19 2" xfId="34654"/>
    <cellStyle name="#_예정공정표_품셈  2 2 2" xfId="16339"/>
    <cellStyle name="#_예정공정표_품셈  2 2 2 2" xfId="29115"/>
    <cellStyle name="#_예정공정표_품셈  2 2 20" xfId="21896"/>
    <cellStyle name="#_예정공정표_품셈  2 2 20 2" xfId="34333"/>
    <cellStyle name="#_예정공정표_품셈  2 2 21" xfId="21993"/>
    <cellStyle name="#_예정공정표_품셈  2 2 21 2" xfId="34430"/>
    <cellStyle name="#_예정공정표_품셈  2 2 3" xfId="12504"/>
    <cellStyle name="#_예정공정표_품셈  2 2 3 2" xfId="25384"/>
    <cellStyle name="#_예정공정표_품셈  2 2 4" xfId="12765"/>
    <cellStyle name="#_예정공정표_품셈  2 2 4 2" xfId="25642"/>
    <cellStyle name="#_예정공정표_품셈  2 2 5" xfId="13492"/>
    <cellStyle name="#_예정공정표_품셈  2 2 5 2" xfId="26360"/>
    <cellStyle name="#_예정공정표_품셈  2 2 6" xfId="17226"/>
    <cellStyle name="#_예정공정표_품셈  2 2 6 2" xfId="29960"/>
    <cellStyle name="#_예정공정표_품셈  2 2 7" xfId="15309"/>
    <cellStyle name="#_예정공정표_품셈  2 2 7 2" xfId="28126"/>
    <cellStyle name="#_예정공정표_품셈  2 2 8" xfId="13944"/>
    <cellStyle name="#_예정공정표_품셈  2 2 8 2" xfId="26802"/>
    <cellStyle name="#_예정공정표_품셈  2 2 9" xfId="14654"/>
    <cellStyle name="#_예정공정표_품셈  2 2 9 2" xfId="27480"/>
    <cellStyle name="#_예정공정표_품셈  2 3" xfId="15021"/>
    <cellStyle name="#_예정공정표_품셈  2 3 2" xfId="27842"/>
    <cellStyle name="#_예정공정표_품셈  3" xfId="6755"/>
    <cellStyle name="#_예정공정표_품셈  3 2" xfId="11081"/>
    <cellStyle name="#_예정공정표_품셈  3 2 10" xfId="16508"/>
    <cellStyle name="#_예정공정표_품셈  3 2 10 2" xfId="29284"/>
    <cellStyle name="#_예정공정표_품셈  3 2 11" xfId="22801"/>
    <cellStyle name="#_예정공정표_품셈  3 2 11 2" xfId="35235"/>
    <cellStyle name="#_예정공정표_품셈  3 2 12" xfId="21364"/>
    <cellStyle name="#_예정공정표_품셈  3 2 12 2" xfId="33801"/>
    <cellStyle name="#_예정공정표_품셈  3 2 13" xfId="20425"/>
    <cellStyle name="#_예정공정표_품셈  3 2 13 2" xfId="32870"/>
    <cellStyle name="#_예정공정표_품셈  3 2 14" xfId="20998"/>
    <cellStyle name="#_예정공정표_품셈  3 2 14 2" xfId="33435"/>
    <cellStyle name="#_예정공정표_품셈  3 2 15" xfId="21269"/>
    <cellStyle name="#_예정공정표_품셈  3 2 15 2" xfId="33706"/>
    <cellStyle name="#_예정공정표_품셈  3 2 16" xfId="20030"/>
    <cellStyle name="#_예정공정표_품셈  3 2 16 2" xfId="32476"/>
    <cellStyle name="#_예정공정표_품셈  3 2 17" xfId="19542"/>
    <cellStyle name="#_예정공정표_품셈  3 2 17 2" xfId="31997"/>
    <cellStyle name="#_예정공정표_품셈  3 2 18" xfId="24167"/>
    <cellStyle name="#_예정공정표_품셈  3 2 18 2" xfId="36598"/>
    <cellStyle name="#_예정공정표_품셈  3 2 19" xfId="19686"/>
    <cellStyle name="#_예정공정표_품셈  3 2 19 2" xfId="32140"/>
    <cellStyle name="#_예정공정표_품셈  3 2 2" xfId="16340"/>
    <cellStyle name="#_예정공정표_품셈  3 2 2 2" xfId="29116"/>
    <cellStyle name="#_예정공정표_품셈  3 2 20" xfId="21548"/>
    <cellStyle name="#_예정공정표_품셈  3 2 20 2" xfId="33985"/>
    <cellStyle name="#_예정공정표_품셈  3 2 21" xfId="19058"/>
    <cellStyle name="#_예정공정표_품셈  3 2 21 2" xfId="31763"/>
    <cellStyle name="#_예정공정표_품셈  3 2 3" xfId="12505"/>
    <cellStyle name="#_예정공정표_품셈  3 2 3 2" xfId="25385"/>
    <cellStyle name="#_예정공정표_품셈  3 2 4" xfId="14515"/>
    <cellStyle name="#_예정공정표_품셈  3 2 4 2" xfId="27343"/>
    <cellStyle name="#_예정공정표_품셈  3 2 5" xfId="13298"/>
    <cellStyle name="#_예정공정표_품셈  3 2 5 2" xfId="26166"/>
    <cellStyle name="#_예정공정표_품셈  3 2 6" xfId="13895"/>
    <cellStyle name="#_예정공정표_품셈  3 2 6 2" xfId="26754"/>
    <cellStyle name="#_예정공정표_품셈  3 2 7" xfId="14761"/>
    <cellStyle name="#_예정공정표_품셈  3 2 7 2" xfId="27586"/>
    <cellStyle name="#_예정공정표_품셈  3 2 8" xfId="13064"/>
    <cellStyle name="#_예정공정표_품셈  3 2 8 2" xfId="25933"/>
    <cellStyle name="#_예정공정표_품셈  3 2 9" xfId="15320"/>
    <cellStyle name="#_예정공정표_품셈  3 2 9 2" xfId="28137"/>
    <cellStyle name="#_예정공정표_품셈  3 3" xfId="15022"/>
    <cellStyle name="#_예정공정표_품셈  3 3 2" xfId="27843"/>
    <cellStyle name="#_예정공정표_품셈  4" xfId="6756"/>
    <cellStyle name="#_예정공정표_품셈  4 2" xfId="11082"/>
    <cellStyle name="#_예정공정표_품셈  4 2 10" xfId="17317"/>
    <cellStyle name="#_예정공정표_품셈  4 2 10 2" xfId="30046"/>
    <cellStyle name="#_예정공정표_품셈  4 2 11" xfId="22802"/>
    <cellStyle name="#_예정공정표_품셈  4 2 11 2" xfId="35236"/>
    <cellStyle name="#_예정공정표_품셈  4 2 12" xfId="21363"/>
    <cellStyle name="#_예정공정표_품셈  4 2 12 2" xfId="33800"/>
    <cellStyle name="#_예정공정표_품셈  4 2 13" xfId="20172"/>
    <cellStyle name="#_예정공정표_품셈  4 2 13 2" xfId="32618"/>
    <cellStyle name="#_예정공정표_품셈  4 2 14" xfId="23739"/>
    <cellStyle name="#_예정공정표_품셈  4 2 14 2" xfId="36170"/>
    <cellStyle name="#_예정공정표_품셈  4 2 15" xfId="18956"/>
    <cellStyle name="#_예정공정표_품셈  4 2 15 2" xfId="31661"/>
    <cellStyle name="#_예정공정표_품셈  4 2 16" xfId="19200"/>
    <cellStyle name="#_예정공정표_품셈  4 2 16 2" xfId="31855"/>
    <cellStyle name="#_예정공정표_품셈  4 2 17" xfId="18705"/>
    <cellStyle name="#_예정공정표_품셈  4 2 17 2" xfId="31410"/>
    <cellStyle name="#_예정공정표_품셈  4 2 18" xfId="24166"/>
    <cellStyle name="#_예정공정표_품셈  4 2 18 2" xfId="36597"/>
    <cellStyle name="#_예정공정표_품셈  4 2 19" xfId="22299"/>
    <cellStyle name="#_예정공정표_품셈  4 2 19 2" xfId="34733"/>
    <cellStyle name="#_예정공정표_품셈  4 2 2" xfId="16341"/>
    <cellStyle name="#_예정공정표_품셈  4 2 2 2" xfId="29117"/>
    <cellStyle name="#_예정공정표_품셈  4 2 20" xfId="23240"/>
    <cellStyle name="#_예정공정표_품셈  4 2 20 2" xfId="35672"/>
    <cellStyle name="#_예정공정표_품셈  4 2 21" xfId="24748"/>
    <cellStyle name="#_예정공정표_품셈  4 2 21 2" xfId="37179"/>
    <cellStyle name="#_예정공정표_품셈  4 2 3" xfId="12506"/>
    <cellStyle name="#_예정공정표_품셈  4 2 3 2" xfId="25386"/>
    <cellStyle name="#_예정공정표_품셈  4 2 4" xfId="12763"/>
    <cellStyle name="#_예정공정표_품셈  4 2 4 2" xfId="25640"/>
    <cellStyle name="#_예정공정표_품셈  4 2 5" xfId="13493"/>
    <cellStyle name="#_예정공정표_품셈  4 2 5 2" xfId="26361"/>
    <cellStyle name="#_예정공정표_품셈  4 2 6" xfId="17225"/>
    <cellStyle name="#_예정공정표_품셈  4 2 6 2" xfId="29959"/>
    <cellStyle name="#_예정공정표_품셈  4 2 7" xfId="15308"/>
    <cellStyle name="#_예정공정표_품셈  4 2 7 2" xfId="28125"/>
    <cellStyle name="#_예정공정표_품셈  4 2 8" xfId="17535"/>
    <cellStyle name="#_예정공정표_품셈  4 2 8 2" xfId="30257"/>
    <cellStyle name="#_예정공정표_품셈  4 2 9" xfId="13831"/>
    <cellStyle name="#_예정공정표_품셈  4 2 9 2" xfId="26690"/>
    <cellStyle name="#_예정공정표_품셈  4 3" xfId="15023"/>
    <cellStyle name="#_예정공정표_품셈  4 3 2" xfId="27844"/>
    <cellStyle name="#_예정공정표_품셈  5" xfId="6757"/>
    <cellStyle name="#_예정공정표_품셈  5 2" xfId="11083"/>
    <cellStyle name="#_예정공정표_품셈  5 2 10" xfId="18054"/>
    <cellStyle name="#_예정공정표_품셈  5 2 10 2" xfId="30765"/>
    <cellStyle name="#_예정공정표_품셈  5 2 11" xfId="22803"/>
    <cellStyle name="#_예정공정표_품셈  5 2 11 2" xfId="35237"/>
    <cellStyle name="#_예정공정표_품셈  5 2 12" xfId="21362"/>
    <cellStyle name="#_예정공정표_품셈  5 2 12 2" xfId="33799"/>
    <cellStyle name="#_예정공정표_품셈  5 2 13" xfId="20424"/>
    <cellStyle name="#_예정공정표_품셈  5 2 13 2" xfId="32869"/>
    <cellStyle name="#_예정공정표_품셈  5 2 14" xfId="20997"/>
    <cellStyle name="#_예정공정표_품셈  5 2 14 2" xfId="33434"/>
    <cellStyle name="#_예정공정표_품셈  5 2 15" xfId="19056"/>
    <cellStyle name="#_예정공정표_품셈  5 2 15 2" xfId="31761"/>
    <cellStyle name="#_예정공정표_품셈  5 2 16" xfId="20276"/>
    <cellStyle name="#_예정공정표_품셈  5 2 16 2" xfId="32721"/>
    <cellStyle name="#_예정공정표_품셈  5 2 17" xfId="19076"/>
    <cellStyle name="#_예정공정표_품셈  5 2 17 2" xfId="31781"/>
    <cellStyle name="#_예정공정표_품셈  5 2 18" xfId="23484"/>
    <cellStyle name="#_예정공정표_품셈  5 2 18 2" xfId="35915"/>
    <cellStyle name="#_예정공정표_품셈  5 2 19" xfId="24458"/>
    <cellStyle name="#_예정공정표_품셈  5 2 19 2" xfId="36889"/>
    <cellStyle name="#_예정공정표_품셈  5 2 2" xfId="16342"/>
    <cellStyle name="#_예정공정표_품셈  5 2 2 2" xfId="29118"/>
    <cellStyle name="#_예정공정표_품셈  5 2 20" xfId="19036"/>
    <cellStyle name="#_예정공정표_품셈  5 2 20 2" xfId="31741"/>
    <cellStyle name="#_예정공정표_품셈  5 2 21" xfId="19529"/>
    <cellStyle name="#_예정공정표_품셈  5 2 21 2" xfId="31984"/>
    <cellStyle name="#_예정공정표_품셈  5 2 3" xfId="12507"/>
    <cellStyle name="#_예정공정표_품셈  5 2 3 2" xfId="25387"/>
    <cellStyle name="#_예정공정표_품셈  5 2 4" xfId="16653"/>
    <cellStyle name="#_예정공정표_품셈  5 2 4 2" xfId="29429"/>
    <cellStyle name="#_예정공정표_품셈  5 2 5" xfId="13299"/>
    <cellStyle name="#_예정공정표_품셈  5 2 5 2" xfId="26167"/>
    <cellStyle name="#_예정공정표_품셈  5 2 6" xfId="13896"/>
    <cellStyle name="#_예정공정표_품셈  5 2 6 2" xfId="26755"/>
    <cellStyle name="#_예정공정표_품셈  5 2 7" xfId="14760"/>
    <cellStyle name="#_예정공정표_품셈  5 2 7 2" xfId="27585"/>
    <cellStyle name="#_예정공정표_품셈  5 2 8" xfId="16814"/>
    <cellStyle name="#_예정공정표_품셈  5 2 8 2" xfId="29589"/>
    <cellStyle name="#_예정공정표_품셈  5 2 9" xfId="17801"/>
    <cellStyle name="#_예정공정표_품셈  5 2 9 2" xfId="30518"/>
    <cellStyle name="#_예정공정표_품셈  5 3" xfId="15024"/>
    <cellStyle name="#_예정공정표_품셈  5 3 2" xfId="27845"/>
    <cellStyle name="#_예정공정표_품셈  6" xfId="6758"/>
    <cellStyle name="#_예정공정표_품셈  6 2" xfId="11084"/>
    <cellStyle name="#_예정공정표_품셈  6 2 10" xfId="15733"/>
    <cellStyle name="#_예정공정표_품셈  6 2 10 2" xfId="28533"/>
    <cellStyle name="#_예정공정표_품셈  6 2 11" xfId="22804"/>
    <cellStyle name="#_예정공정표_품셈  6 2 11 2" xfId="35238"/>
    <cellStyle name="#_예정공정표_품셈  6 2 12" xfId="21361"/>
    <cellStyle name="#_예정공정표_품셈  6 2 12 2" xfId="33798"/>
    <cellStyle name="#_예정공정표_품셈  6 2 13" xfId="20171"/>
    <cellStyle name="#_예정공정표_품셈  6 2 13 2" xfId="32617"/>
    <cellStyle name="#_예정공정표_품셈  6 2 14" xfId="21055"/>
    <cellStyle name="#_예정공정표_품셈  6 2 14 2" xfId="33492"/>
    <cellStyle name="#_예정공정표_품셈  6 2 15" xfId="18643"/>
    <cellStyle name="#_예정공정표_품셈  6 2 15 2" xfId="31348"/>
    <cellStyle name="#_예정공정표_품셈  6 2 16" xfId="22242"/>
    <cellStyle name="#_예정공정표_품셈  6 2 16 2" xfId="34677"/>
    <cellStyle name="#_예정공정표_품셈  6 2 17" xfId="18674"/>
    <cellStyle name="#_예정공정표_품셈  6 2 17 2" xfId="31379"/>
    <cellStyle name="#_예정공정표_품셈  6 2 18" xfId="19560"/>
    <cellStyle name="#_예정공정표_품셈  6 2 18 2" xfId="32015"/>
    <cellStyle name="#_예정공정표_품셈  6 2 19" xfId="24497"/>
    <cellStyle name="#_예정공정표_품셈  6 2 19 2" xfId="36928"/>
    <cellStyle name="#_예정공정표_품셈  6 2 2" xfId="16343"/>
    <cellStyle name="#_예정공정표_품셈  6 2 2 2" xfId="29119"/>
    <cellStyle name="#_예정공정표_품셈  6 2 20" xfId="21895"/>
    <cellStyle name="#_예정공정표_품셈  6 2 20 2" xfId="34332"/>
    <cellStyle name="#_예정공정표_품셈  6 2 21" xfId="24747"/>
    <cellStyle name="#_예정공정표_품셈  6 2 21 2" xfId="37178"/>
    <cellStyle name="#_예정공정표_품셈  6 2 3" xfId="12508"/>
    <cellStyle name="#_예정공정표_품셈  6 2 3 2" xfId="25388"/>
    <cellStyle name="#_예정공정표_품셈  6 2 4" xfId="12761"/>
    <cellStyle name="#_예정공정표_품셈  6 2 4 2" xfId="25638"/>
    <cellStyle name="#_예정공정표_품셈  6 2 5" xfId="16725"/>
    <cellStyle name="#_예정공정표_품셈  6 2 5 2" xfId="29501"/>
    <cellStyle name="#_예정공정표_품셈  6 2 6" xfId="17224"/>
    <cellStyle name="#_예정공정표_품셈  6 2 6 2" xfId="29958"/>
    <cellStyle name="#_예정공정표_품셈  6 2 7" xfId="15307"/>
    <cellStyle name="#_예정공정표_품셈  6 2 7 2" xfId="28124"/>
    <cellStyle name="#_예정공정표_품셈  6 2 8" xfId="15628"/>
    <cellStyle name="#_예정공정표_품셈  6 2 8 2" xfId="28437"/>
    <cellStyle name="#_예정공정표_품셈  6 2 9" xfId="12813"/>
    <cellStyle name="#_예정공정표_품셈  6 2 9 2" xfId="25689"/>
    <cellStyle name="#_예정공정표_품셈  6 3" xfId="15025"/>
    <cellStyle name="#_예정공정표_품셈  6 3 2" xfId="27846"/>
    <cellStyle name="#_예정공정표_품셈  7" xfId="11079"/>
    <cellStyle name="#_예정공정표_품셈  7 10" xfId="12893"/>
    <cellStyle name="#_예정공정표_품셈  7 10 2" xfId="25769"/>
    <cellStyle name="#_예정공정표_품셈  7 11" xfId="22799"/>
    <cellStyle name="#_예정공정표_품셈  7 11 2" xfId="35233"/>
    <cellStyle name="#_예정공정표_품셈  7 12" xfId="21366"/>
    <cellStyle name="#_예정공정표_품셈  7 12 2" xfId="33803"/>
    <cellStyle name="#_예정공정표_품셈  7 13" xfId="20426"/>
    <cellStyle name="#_예정공정표_품셈  7 13 2" xfId="32871"/>
    <cellStyle name="#_예정공정표_품셈  7 14" xfId="20999"/>
    <cellStyle name="#_예정공정표_품셈  7 14 2" xfId="33436"/>
    <cellStyle name="#_예정공정표_품셈  7 15" xfId="19779"/>
    <cellStyle name="#_예정공정표_품셈  7 15 2" xfId="32229"/>
    <cellStyle name="#_예정공정표_품셈  7 16" xfId="20275"/>
    <cellStyle name="#_예정공정표_품셈  7 16 2" xfId="32720"/>
    <cellStyle name="#_예정공정표_품셈  7 17" xfId="20648"/>
    <cellStyle name="#_예정공정표_품셈  7 17 2" xfId="33092"/>
    <cellStyle name="#_예정공정표_품셈  7 18" xfId="19093"/>
    <cellStyle name="#_예정공정표_품셈  7 18 2" xfId="31798"/>
    <cellStyle name="#_예정공정표_품셈  7 19" xfId="20794"/>
    <cellStyle name="#_예정공정표_품셈  7 19 2" xfId="33233"/>
    <cellStyle name="#_예정공정표_품셈  7 2" xfId="16338"/>
    <cellStyle name="#_예정공정표_품셈  7 2 2" xfId="29114"/>
    <cellStyle name="#_예정공정표_품셈  7 20" xfId="21982"/>
    <cellStyle name="#_예정공정표_품셈  7 20 2" xfId="34419"/>
    <cellStyle name="#_예정공정표_품셈  7 21" xfId="22147"/>
    <cellStyle name="#_예정공정표_품셈  7 21 2" xfId="34583"/>
    <cellStyle name="#_예정공정표_품셈  7 3" xfId="12503"/>
    <cellStyle name="#_예정공정표_품셈  7 3 2" xfId="25383"/>
    <cellStyle name="#_예정공정표_품셈  7 4" xfId="16654"/>
    <cellStyle name="#_예정공정표_품셈  7 4 2" xfId="29430"/>
    <cellStyle name="#_예정공정표_품셈  7 5" xfId="13297"/>
    <cellStyle name="#_예정공정표_품셈  7 5 2" xfId="26165"/>
    <cellStyle name="#_예정공정표_품셈  7 6" xfId="13894"/>
    <cellStyle name="#_예정공정표_품셈  7 6 2" xfId="26753"/>
    <cellStyle name="#_예정공정표_품셈  7 7" xfId="17731"/>
    <cellStyle name="#_예정공정표_품셈  7 7 2" xfId="30448"/>
    <cellStyle name="#_예정공정표_품셈  7 8" xfId="17134"/>
    <cellStyle name="#_예정공정표_품셈  7 8 2" xfId="29868"/>
    <cellStyle name="#_예정공정표_품셈  7 9" xfId="17800"/>
    <cellStyle name="#_예정공정표_품셈  7 9 2" xfId="30517"/>
    <cellStyle name="#_예정공정표_품셈  8" xfId="15020"/>
    <cellStyle name="#_예정공정표_품셈  8 2" xfId="27841"/>
    <cellStyle name="#_정산명세서표지" xfId="6759"/>
    <cellStyle name="#_정산명세서표지 2" xfId="6760"/>
    <cellStyle name="#_정산명세서표지 2 2" xfId="11086"/>
    <cellStyle name="#_정산명세서표지 2 2 10" xfId="13690"/>
    <cellStyle name="#_정산명세서표지 2 2 10 2" xfId="26554"/>
    <cellStyle name="#_정산명세서표지 2 2 11" xfId="22806"/>
    <cellStyle name="#_정산명세서표지 2 2 11 2" xfId="35240"/>
    <cellStyle name="#_정산명세서표지 2 2 12" xfId="21359"/>
    <cellStyle name="#_정산명세서표지 2 2 12 2" xfId="33796"/>
    <cellStyle name="#_정산명세서표지 2 2 13" xfId="20170"/>
    <cellStyle name="#_정산명세서표지 2 2 13 2" xfId="32616"/>
    <cellStyle name="#_정산명세서표지 2 2 14" xfId="21826"/>
    <cellStyle name="#_정산명세서표지 2 2 14 2" xfId="34263"/>
    <cellStyle name="#_정산명세서표지 2 2 15" xfId="19605"/>
    <cellStyle name="#_정산명세서표지 2 2 15 2" xfId="32060"/>
    <cellStyle name="#_정산명세서표지 2 2 16" xfId="18783"/>
    <cellStyle name="#_정산명세서표지 2 2 16 2" xfId="31488"/>
    <cellStyle name="#_정산명세서표지 2 2 17" xfId="24230"/>
    <cellStyle name="#_정산명세서표지 2 2 17 2" xfId="36661"/>
    <cellStyle name="#_정산명세서표지 2 2 18" xfId="19277"/>
    <cellStyle name="#_정산명세서표지 2 2 18 2" xfId="31932"/>
    <cellStyle name="#_정산명세서표지 2 2 19" xfId="22220"/>
    <cellStyle name="#_정산명세서표지 2 2 19 2" xfId="34655"/>
    <cellStyle name="#_정산명세서표지 2 2 2" xfId="16345"/>
    <cellStyle name="#_정산명세서표지 2 2 2 2" xfId="29121"/>
    <cellStyle name="#_정산명세서표지 2 2 20" xfId="20885"/>
    <cellStyle name="#_정산명세서표지 2 2 20 2" xfId="33322"/>
    <cellStyle name="#_정산명세서표지 2 2 21" xfId="24304"/>
    <cellStyle name="#_정산명세서표지 2 2 21 2" xfId="36735"/>
    <cellStyle name="#_정산명세서표지 2 2 3" xfId="12510"/>
    <cellStyle name="#_정산명세서표지 2 2 3 2" xfId="25390"/>
    <cellStyle name="#_정산명세서표지 2 2 4" xfId="16651"/>
    <cellStyle name="#_정산명세서표지 2 2 4 2" xfId="29427"/>
    <cellStyle name="#_정산명세서표지 2 2 5" xfId="13494"/>
    <cellStyle name="#_정산명세서표지 2 2 5 2" xfId="26362"/>
    <cellStyle name="#_정산명세서표지 2 2 6" xfId="17223"/>
    <cellStyle name="#_정산명세서표지 2 2 6 2" xfId="29957"/>
    <cellStyle name="#_정산명세서표지 2 2 7" xfId="15306"/>
    <cellStyle name="#_정산명세서표지 2 2 7 2" xfId="28123"/>
    <cellStyle name="#_정산명세서표지 2 2 8" xfId="15426"/>
    <cellStyle name="#_정산명세서표지 2 2 8 2" xfId="28240"/>
    <cellStyle name="#_정산명세서표지 2 2 9" xfId="12887"/>
    <cellStyle name="#_정산명세서표지 2 2 9 2" xfId="25763"/>
    <cellStyle name="#_정산명세서표지 2 3" xfId="15027"/>
    <cellStyle name="#_정산명세서표지 2 3 2" xfId="27848"/>
    <cellStyle name="#_정산명세서표지 3" xfId="6761"/>
    <cellStyle name="#_정산명세서표지 3 2" xfId="11087"/>
    <cellStyle name="#_정산명세서표지 3 2 10" xfId="18052"/>
    <cellStyle name="#_정산명세서표지 3 2 10 2" xfId="30763"/>
    <cellStyle name="#_정산명세서표지 3 2 11" xfId="22807"/>
    <cellStyle name="#_정산명세서표지 3 2 11 2" xfId="35241"/>
    <cellStyle name="#_정산명세서표지 3 2 12" xfId="21358"/>
    <cellStyle name="#_정산명세서표지 3 2 12 2" xfId="33795"/>
    <cellStyle name="#_정산명세서표지 3 2 13" xfId="20422"/>
    <cellStyle name="#_정산명세서표지 3 2 13 2" xfId="32867"/>
    <cellStyle name="#_정산명세서표지 3 2 14" xfId="23280"/>
    <cellStyle name="#_정산명세서표지 3 2 14 2" xfId="35712"/>
    <cellStyle name="#_정산명세서표지 3 2 15" xfId="21080"/>
    <cellStyle name="#_정산명세서표지 3 2 15 2" xfId="33517"/>
    <cellStyle name="#_정산명세서표지 3 2 16" xfId="20277"/>
    <cellStyle name="#_정산명세서표지 3 2 16 2" xfId="32722"/>
    <cellStyle name="#_정산명세서표지 3 2 17" xfId="19955"/>
    <cellStyle name="#_정산명세서표지 3 2 17 2" xfId="32404"/>
    <cellStyle name="#_정산명세서표지 3 2 18" xfId="20369"/>
    <cellStyle name="#_정산명세서표지 3 2 18 2" xfId="32814"/>
    <cellStyle name="#_정산명세서표지 3 2 19" xfId="18412"/>
    <cellStyle name="#_정산명세서표지 3 2 19 2" xfId="31117"/>
    <cellStyle name="#_정산명세서표지 3 2 2" xfId="16346"/>
    <cellStyle name="#_정산명세서표지 3 2 2 2" xfId="29122"/>
    <cellStyle name="#_정산명세서표지 3 2 20" xfId="19866"/>
    <cellStyle name="#_정산명세서표지 3 2 20 2" xfId="32316"/>
    <cellStyle name="#_정산명세서표지 3 2 21" xfId="19583"/>
    <cellStyle name="#_정산명세서표지 3 2 21 2" xfId="32038"/>
    <cellStyle name="#_정산명세서표지 3 2 3" xfId="12511"/>
    <cellStyle name="#_정산명세서표지 3 2 3 2" xfId="25391"/>
    <cellStyle name="#_정산명세서표지 3 2 4" xfId="16650"/>
    <cellStyle name="#_정산명세서표지 3 2 4 2" xfId="29426"/>
    <cellStyle name="#_정산명세서표지 3 2 5" xfId="13301"/>
    <cellStyle name="#_정산명세서표지 3 2 5 2" xfId="26169"/>
    <cellStyle name="#_정산명세서표지 3 2 6" xfId="13898"/>
    <cellStyle name="#_정산명세서표지 3 2 6 2" xfId="26757"/>
    <cellStyle name="#_정산명세서표지 3 2 7" xfId="14758"/>
    <cellStyle name="#_정산명세서표지 3 2 7 2" xfId="27583"/>
    <cellStyle name="#_정산명세서표지 3 2 8" xfId="15405"/>
    <cellStyle name="#_정산명세서표지 3 2 8 2" xfId="28219"/>
    <cellStyle name="#_정산명세서표지 3 2 9" xfId="13087"/>
    <cellStyle name="#_정산명세서표지 3 2 9 2" xfId="25956"/>
    <cellStyle name="#_정산명세서표지 3 3" xfId="15028"/>
    <cellStyle name="#_정산명세서표지 3 3 2" xfId="27849"/>
    <cellStyle name="#_정산명세서표지 4" xfId="6762"/>
    <cellStyle name="#_정산명세서표지 4 2" xfId="11088"/>
    <cellStyle name="#_정산명세서표지 4 2 10" xfId="15644"/>
    <cellStyle name="#_정산명세서표지 4 2 10 2" xfId="28451"/>
    <cellStyle name="#_정산명세서표지 4 2 11" xfId="22808"/>
    <cellStyle name="#_정산명세서표지 4 2 11 2" xfId="35242"/>
    <cellStyle name="#_정산명세서표지 4 2 12" xfId="21357"/>
    <cellStyle name="#_정산명세서표지 4 2 12 2" xfId="33794"/>
    <cellStyle name="#_정산명세서표지 4 2 13" xfId="20169"/>
    <cellStyle name="#_정산명세서표지 4 2 13 2" xfId="32615"/>
    <cellStyle name="#_정산명세서표지 4 2 14" xfId="21054"/>
    <cellStyle name="#_정산명세서표지 4 2 14 2" xfId="33491"/>
    <cellStyle name="#_정산명세서표지 4 2 15" xfId="21081"/>
    <cellStyle name="#_정산명세서표지 4 2 15 2" xfId="33518"/>
    <cellStyle name="#_정산명세서표지 4 2 16" xfId="23428"/>
    <cellStyle name="#_정산명세서표지 4 2 16 2" xfId="35859"/>
    <cellStyle name="#_정산명세서표지 4 2 17" xfId="22063"/>
    <cellStyle name="#_정산명세서표지 4 2 17 2" xfId="34500"/>
    <cellStyle name="#_정산명세서표지 4 2 18" xfId="24720"/>
    <cellStyle name="#_정산명세서표지 4 2 18 2" xfId="37151"/>
    <cellStyle name="#_정산명세서표지 4 2 19" xfId="23641"/>
    <cellStyle name="#_정산명세서표지 4 2 19 2" xfId="36072"/>
    <cellStyle name="#_정산명세서표지 4 2 2" xfId="16347"/>
    <cellStyle name="#_정산명세서표지 4 2 2 2" xfId="29123"/>
    <cellStyle name="#_정산명세서표지 4 2 20" xfId="21894"/>
    <cellStyle name="#_정산명세서표지 4 2 20 2" xfId="34331"/>
    <cellStyle name="#_정산명세서표지 4 2 21" xfId="19550"/>
    <cellStyle name="#_정산명세서표지 4 2 21 2" xfId="32005"/>
    <cellStyle name="#_정산명세서표지 4 2 3" xfId="12512"/>
    <cellStyle name="#_정산명세서표지 4 2 3 2" xfId="25392"/>
    <cellStyle name="#_정산명세서표지 4 2 4" xfId="16649"/>
    <cellStyle name="#_정산명세서표지 4 2 4 2" xfId="29425"/>
    <cellStyle name="#_정산명세서표지 4 2 5" xfId="13495"/>
    <cellStyle name="#_정산명세서표지 4 2 5 2" xfId="26363"/>
    <cellStyle name="#_정산명세서표지 4 2 6" xfId="15326"/>
    <cellStyle name="#_정산명세서표지 4 2 6 2" xfId="28143"/>
    <cellStyle name="#_정산명세서표지 4 2 7" xfId="12578"/>
    <cellStyle name="#_정산명세서표지 4 2 7 2" xfId="25457"/>
    <cellStyle name="#_정산명세서표지 4 2 8" xfId="16803"/>
    <cellStyle name="#_정산명세서표지 4 2 8 2" xfId="29578"/>
    <cellStyle name="#_정산명세서표지 4 2 9" xfId="12886"/>
    <cellStyle name="#_정산명세서표지 4 2 9 2" xfId="25762"/>
    <cellStyle name="#_정산명세서표지 4 3" xfId="15029"/>
    <cellStyle name="#_정산명세서표지 4 3 2" xfId="27850"/>
    <cellStyle name="#_정산명세서표지 5" xfId="6763"/>
    <cellStyle name="#_정산명세서표지 5 2" xfId="11089"/>
    <cellStyle name="#_정산명세서표지 5 2 10" xfId="18051"/>
    <cellStyle name="#_정산명세서표지 5 2 10 2" xfId="30762"/>
    <cellStyle name="#_정산명세서표지 5 2 11" xfId="22809"/>
    <cellStyle name="#_정산명세서표지 5 2 11 2" xfId="35243"/>
    <cellStyle name="#_정산명세서표지 5 2 12" xfId="21356"/>
    <cellStyle name="#_정산명세서표지 5 2 12 2" xfId="33793"/>
    <cellStyle name="#_정산명세서표지 5 2 13" xfId="20421"/>
    <cellStyle name="#_정산명세서표지 5 2 13 2" xfId="32866"/>
    <cellStyle name="#_정산명세서표지 5 2 14" xfId="21799"/>
    <cellStyle name="#_정산명세서표지 5 2 14 2" xfId="34236"/>
    <cellStyle name="#_정산명세서표지 5 2 15" xfId="21082"/>
    <cellStyle name="#_정산명세서표지 5 2 15 2" xfId="33519"/>
    <cellStyle name="#_정산명세서표지 5 2 16" xfId="20032"/>
    <cellStyle name="#_정산명세서표지 5 2 16 2" xfId="32478"/>
    <cellStyle name="#_정산명세서표지 5 2 17" xfId="20740"/>
    <cellStyle name="#_정산명세서표지 5 2 17 2" xfId="33180"/>
    <cellStyle name="#_정산명세서표지 5 2 18" xfId="24719"/>
    <cellStyle name="#_정산명세서표지 5 2 18 2" xfId="37150"/>
    <cellStyle name="#_정산명세서표지 5 2 19" xfId="21638"/>
    <cellStyle name="#_정산명세서표지 5 2 19 2" xfId="34075"/>
    <cellStyle name="#_정산명세서표지 5 2 2" xfId="16348"/>
    <cellStyle name="#_정산명세서표지 5 2 2 2" xfId="29124"/>
    <cellStyle name="#_정산명세서표지 5 2 20" xfId="18749"/>
    <cellStyle name="#_정산명세서표지 5 2 20 2" xfId="31454"/>
    <cellStyle name="#_정산명세서표지 5 2 21" xfId="18828"/>
    <cellStyle name="#_정산명세서표지 5 2 21 2" xfId="31533"/>
    <cellStyle name="#_정산명세서표지 5 2 3" xfId="12513"/>
    <cellStyle name="#_정산명세서표지 5 2 3 2" xfId="25393"/>
    <cellStyle name="#_정산명세서표지 5 2 4" xfId="16648"/>
    <cellStyle name="#_정산명세서표지 5 2 4 2" xfId="29424"/>
    <cellStyle name="#_정산명세서표지 5 2 5" xfId="13302"/>
    <cellStyle name="#_정산명세서표지 5 2 5 2" xfId="26170"/>
    <cellStyle name="#_정산명세서표지 5 2 6" xfId="13899"/>
    <cellStyle name="#_정산명세서표지 5 2 6 2" xfId="26758"/>
    <cellStyle name="#_정산명세서표지 5 2 7" xfId="14757"/>
    <cellStyle name="#_정산명세서표지 5 2 7 2" xfId="27582"/>
    <cellStyle name="#_정산명세서표지 5 2 8" xfId="16465"/>
    <cellStyle name="#_정산명세서표지 5 2 8 2" xfId="29241"/>
    <cellStyle name="#_정산명세서표지 5 2 9" xfId="12709"/>
    <cellStyle name="#_정산명세서표지 5 2 9 2" xfId="25587"/>
    <cellStyle name="#_정산명세서표지 5 3" xfId="15030"/>
    <cellStyle name="#_정산명세서표지 5 3 2" xfId="27851"/>
    <cellStyle name="#_정산명세서표지 6" xfId="6764"/>
    <cellStyle name="#_정산명세서표지 6 2" xfId="11090"/>
    <cellStyle name="#_정산명세서표지 6 2 10" xfId="14054"/>
    <cellStyle name="#_정산명세서표지 6 2 10 2" xfId="26903"/>
    <cellStyle name="#_정산명세서표지 6 2 11" xfId="22810"/>
    <cellStyle name="#_정산명세서표지 6 2 11 2" xfId="35244"/>
    <cellStyle name="#_정산명세서표지 6 2 12" xfId="21355"/>
    <cellStyle name="#_정산명세서표지 6 2 12 2" xfId="33792"/>
    <cellStyle name="#_정산명세서표지 6 2 13" xfId="20168"/>
    <cellStyle name="#_정산명세서표지 6 2 13 2" xfId="32614"/>
    <cellStyle name="#_정산명세서표지 6 2 14" xfId="20588"/>
    <cellStyle name="#_정산명세서표지 6 2 14 2" xfId="33032"/>
    <cellStyle name="#_정산명세서표지 6 2 15" xfId="18430"/>
    <cellStyle name="#_정산명세서표지 6 2 15 2" xfId="31135"/>
    <cellStyle name="#_정산명세서표지 6 2 16" xfId="22403"/>
    <cellStyle name="#_정산명세서표지 6 2 16 2" xfId="34837"/>
    <cellStyle name="#_정산명세서표지 6 2 17" xfId="24229"/>
    <cellStyle name="#_정산명세서표지 6 2 17 2" xfId="36660"/>
    <cellStyle name="#_정산명세서표지 6 2 18" xfId="23477"/>
    <cellStyle name="#_정산명세서표지 6 2 18 2" xfId="35908"/>
    <cellStyle name="#_정산명세서표지 6 2 19" xfId="24034"/>
    <cellStyle name="#_정산명세서표지 6 2 19 2" xfId="36465"/>
    <cellStyle name="#_정산명세서표지 6 2 2" xfId="16349"/>
    <cellStyle name="#_정산명세서표지 6 2 2 2" xfId="29125"/>
    <cellStyle name="#_정산명세서표지 6 2 20" xfId="22158"/>
    <cellStyle name="#_정산명세서표지 6 2 20 2" xfId="34594"/>
    <cellStyle name="#_정산명세서표지 6 2 21" xfId="24653"/>
    <cellStyle name="#_정산명세서표지 6 2 21 2" xfId="37084"/>
    <cellStyle name="#_정산명세서표지 6 2 3" xfId="12514"/>
    <cellStyle name="#_정산명세서표지 6 2 3 2" xfId="25394"/>
    <cellStyle name="#_정산명세서표지 6 2 4" xfId="14514"/>
    <cellStyle name="#_정산명세서표지 6 2 4 2" xfId="27342"/>
    <cellStyle name="#_정산명세서표지 6 2 5" xfId="13496"/>
    <cellStyle name="#_정산명세서표지 6 2 5 2" xfId="26364"/>
    <cellStyle name="#_정산명세서표지 6 2 6" xfId="15327"/>
    <cellStyle name="#_정산명세서표지 6 2 6 2" xfId="28144"/>
    <cellStyle name="#_정산명세서표지 6 2 7" xfId="16935"/>
    <cellStyle name="#_정산명세서표지 6 2 7 2" xfId="29710"/>
    <cellStyle name="#_정산명세서표지 6 2 8" xfId="15139"/>
    <cellStyle name="#_정산명세서표지 6 2 8 2" xfId="27958"/>
    <cellStyle name="#_정산명세서표지 6 2 9" xfId="13954"/>
    <cellStyle name="#_정산명세서표지 6 2 9 2" xfId="26812"/>
    <cellStyle name="#_정산명세서표지 6 3" xfId="15031"/>
    <cellStyle name="#_정산명세서표지 6 3 2" xfId="27852"/>
    <cellStyle name="#_정산명세서표지 7" xfId="11085"/>
    <cellStyle name="#_정산명세서표지 7 10" xfId="18053"/>
    <cellStyle name="#_정산명세서표지 7 10 2" xfId="30764"/>
    <cellStyle name="#_정산명세서표지 7 11" xfId="22805"/>
    <cellStyle name="#_정산명세서표지 7 11 2" xfId="35239"/>
    <cellStyle name="#_정산명세서표지 7 12" xfId="21360"/>
    <cellStyle name="#_정산명세서표지 7 12 2" xfId="33797"/>
    <cellStyle name="#_정산명세서표지 7 13" xfId="20423"/>
    <cellStyle name="#_정산명세서표지 7 13 2" xfId="32868"/>
    <cellStyle name="#_정산명세서표지 7 14" xfId="19017"/>
    <cellStyle name="#_정산명세서표지 7 14 2" xfId="31722"/>
    <cellStyle name="#_정산명세서표지 7 15" xfId="19780"/>
    <cellStyle name="#_정산명세서표지 7 15 2" xfId="32230"/>
    <cellStyle name="#_정산명세서표지 7 16" xfId="20031"/>
    <cellStyle name="#_정산명세서표지 7 16 2" xfId="32477"/>
    <cellStyle name="#_정산명세서표지 7 17" xfId="22241"/>
    <cellStyle name="#_정산명세서표지 7 17 2" xfId="34676"/>
    <cellStyle name="#_정산명세서표지 7 18" xfId="22464"/>
    <cellStyle name="#_정산명세서표지 7 18 2" xfId="34898"/>
    <cellStyle name="#_정산명세서표지 7 19" xfId="20325"/>
    <cellStyle name="#_정산명세서표지 7 19 2" xfId="32770"/>
    <cellStyle name="#_정산명세서표지 7 2" xfId="16344"/>
    <cellStyle name="#_정산명세서표지 7 2 2" xfId="29120"/>
    <cellStyle name="#_정산명세서표지 7 20" xfId="19073"/>
    <cellStyle name="#_정산명세서표지 7 20 2" xfId="31778"/>
    <cellStyle name="#_정산명세서표지 7 21" xfId="20043"/>
    <cellStyle name="#_정산명세서표지 7 21 2" xfId="32489"/>
    <cellStyle name="#_정산명세서표지 7 3" xfId="12509"/>
    <cellStyle name="#_정산명세서표지 7 3 2" xfId="25389"/>
    <cellStyle name="#_정산명세서표지 7 4" xfId="16652"/>
    <cellStyle name="#_정산명세서표지 7 4 2" xfId="29428"/>
    <cellStyle name="#_정산명세서표지 7 5" xfId="13300"/>
    <cellStyle name="#_정산명세서표지 7 5 2" xfId="26168"/>
    <cellStyle name="#_정산명세서표지 7 6" xfId="13897"/>
    <cellStyle name="#_정산명세서표지 7 6 2" xfId="26756"/>
    <cellStyle name="#_정산명세서표지 7 7" xfId="14759"/>
    <cellStyle name="#_정산명세서표지 7 7 2" xfId="27584"/>
    <cellStyle name="#_정산명세서표지 7 8" xfId="13065"/>
    <cellStyle name="#_정산명세서표지 7 8 2" xfId="25934"/>
    <cellStyle name="#_정산명세서표지 7 9" xfId="17802"/>
    <cellStyle name="#_정산명세서표지 7 9 2" xfId="30519"/>
    <cellStyle name="#_정산명세서표지 8" xfId="15026"/>
    <cellStyle name="#_정산명세서표지 8 2" xfId="27847"/>
    <cellStyle name="#_표지" xfId="6765"/>
    <cellStyle name="#_품산출서" xfId="6766"/>
    <cellStyle name="#_품산출서 2" xfId="6767"/>
    <cellStyle name="#_품산출서 2 2" xfId="11092"/>
    <cellStyle name="#_품산출서 2 2 10" xfId="14043"/>
    <cellStyle name="#_품산출서 2 2 10 2" xfId="26892"/>
    <cellStyle name="#_품산출서 2 2 11" xfId="22812"/>
    <cellStyle name="#_품산출서 2 2 11 2" xfId="35246"/>
    <cellStyle name="#_품산출서 2 2 12" xfId="21353"/>
    <cellStyle name="#_품산출서 2 2 12 2" xfId="33790"/>
    <cellStyle name="#_품산출서 2 2 13" xfId="20167"/>
    <cellStyle name="#_품산출서 2 2 13 2" xfId="32613"/>
    <cellStyle name="#_품산출서 2 2 14" xfId="20587"/>
    <cellStyle name="#_품산출서 2 2 14 2" xfId="33031"/>
    <cellStyle name="#_품산출서 2 2 15" xfId="22263"/>
    <cellStyle name="#_품산출서 2 2 15 2" xfId="34698"/>
    <cellStyle name="#_품산출서 2 2 16" xfId="21886"/>
    <cellStyle name="#_품산출서 2 2 16 2" xfId="34323"/>
    <cellStyle name="#_품산출서 2 2 17" xfId="22064"/>
    <cellStyle name="#_품산출서 2 2 17 2" xfId="34501"/>
    <cellStyle name="#_품산출서 2 2 18" xfId="24717"/>
    <cellStyle name="#_품산출서 2 2 18 2" xfId="37148"/>
    <cellStyle name="#_품산출서 2 2 19" xfId="24496"/>
    <cellStyle name="#_품산출서 2 2 19 2" xfId="36927"/>
    <cellStyle name="#_품산출서 2 2 2" xfId="16351"/>
    <cellStyle name="#_품산출서 2 2 2 2" xfId="29127"/>
    <cellStyle name="#_품산출서 2 2 20" xfId="21893"/>
    <cellStyle name="#_품산출서 2 2 20 2" xfId="34330"/>
    <cellStyle name="#_품산출서 2 2 21" xfId="20761"/>
    <cellStyle name="#_품산출서 2 2 21 2" xfId="33200"/>
    <cellStyle name="#_품산출서 2 2 3" xfId="12516"/>
    <cellStyle name="#_품산출서 2 2 3 2" xfId="25396"/>
    <cellStyle name="#_품산출서 2 2 4" xfId="16646"/>
    <cellStyle name="#_품산출서 2 2 4 2" xfId="29422"/>
    <cellStyle name="#_품산출서 2 2 5" xfId="13497"/>
    <cellStyle name="#_품산출서 2 2 5 2" xfId="26365"/>
    <cellStyle name="#_품산출서 2 2 6" xfId="15328"/>
    <cellStyle name="#_품산출서 2 2 6 2" xfId="28145"/>
    <cellStyle name="#_품산출서 2 2 7" xfId="17858"/>
    <cellStyle name="#_품산출서 2 2 7 2" xfId="30574"/>
    <cellStyle name="#_품산출서 2 2 8" xfId="16804"/>
    <cellStyle name="#_품산출서 2 2 8 2" xfId="29579"/>
    <cellStyle name="#_품산출서 2 2 9" xfId="12409"/>
    <cellStyle name="#_품산출서 2 2 9 2" xfId="25289"/>
    <cellStyle name="#_품산출서 2 3" xfId="15033"/>
    <cellStyle name="#_품산출서 2 3 2" xfId="27854"/>
    <cellStyle name="#_품산출서 3" xfId="6768"/>
    <cellStyle name="#_품산출서 3 2" xfId="11093"/>
    <cellStyle name="#_품산출서 3 2 10" xfId="14805"/>
    <cellStyle name="#_품산출서 3 2 10 2" xfId="27628"/>
    <cellStyle name="#_품산출서 3 2 11" xfId="22813"/>
    <cellStyle name="#_품산출서 3 2 11 2" xfId="35247"/>
    <cellStyle name="#_품산출서 3 2 12" xfId="21352"/>
    <cellStyle name="#_품산출서 3 2 12 2" xfId="33789"/>
    <cellStyle name="#_품산출서 3 2 13" xfId="20419"/>
    <cellStyle name="#_품산출서 3 2 13 2" xfId="32864"/>
    <cellStyle name="#_품산출서 3 2 14" xfId="20989"/>
    <cellStyle name="#_품산출서 3 2 14 2" xfId="33426"/>
    <cellStyle name="#_품산출서 3 2 15" xfId="22264"/>
    <cellStyle name="#_품산출서 3 2 15 2" xfId="34699"/>
    <cellStyle name="#_품산출서 3 2 16" xfId="20033"/>
    <cellStyle name="#_품산출서 3 2 16 2" xfId="32479"/>
    <cellStyle name="#_품산출서 3 2 17" xfId="19867"/>
    <cellStyle name="#_품산출서 3 2 17 2" xfId="32317"/>
    <cellStyle name="#_품산출서 3 2 18" xfId="24716"/>
    <cellStyle name="#_품산출서 3 2 18 2" xfId="37147"/>
    <cellStyle name="#_품산출서 3 2 19" xfId="24103"/>
    <cellStyle name="#_품산출서 3 2 19 2" xfId="36534"/>
    <cellStyle name="#_품산출서 3 2 2" xfId="16352"/>
    <cellStyle name="#_품산출서 3 2 2 2" xfId="29128"/>
    <cellStyle name="#_품산출서 3 2 20" xfId="23153"/>
    <cellStyle name="#_품산출서 3 2 20 2" xfId="35586"/>
    <cellStyle name="#_품산출서 3 2 21" xfId="18978"/>
    <cellStyle name="#_품산출서 3 2 21 2" xfId="31683"/>
    <cellStyle name="#_품산출서 3 2 3" xfId="12517"/>
    <cellStyle name="#_품산출서 3 2 3 2" xfId="25397"/>
    <cellStyle name="#_품산출서 3 2 4" xfId="16645"/>
    <cellStyle name="#_품산출서 3 2 4 2" xfId="29421"/>
    <cellStyle name="#_품산출서 3 2 5" xfId="13304"/>
    <cellStyle name="#_품산출서 3 2 5 2" xfId="26172"/>
    <cellStyle name="#_품산출서 3 2 6" xfId="13901"/>
    <cellStyle name="#_품산출서 3 2 6 2" xfId="26760"/>
    <cellStyle name="#_품산출서 3 2 7" xfId="13013"/>
    <cellStyle name="#_품산출서 3 2 7 2" xfId="25888"/>
    <cellStyle name="#_품산출서 3 2 8" xfId="13066"/>
    <cellStyle name="#_품산출서 3 2 8 2" xfId="25935"/>
    <cellStyle name="#_품산출서 3 2 9" xfId="13086"/>
    <cellStyle name="#_품산출서 3 2 9 2" xfId="25955"/>
    <cellStyle name="#_품산출서 3 3" xfId="15034"/>
    <cellStyle name="#_품산출서 3 3 2" xfId="27855"/>
    <cellStyle name="#_품산출서 4" xfId="6769"/>
    <cellStyle name="#_품산출서 4 2" xfId="11094"/>
    <cellStyle name="#_품산출서 4 2 10" xfId="17875"/>
    <cellStyle name="#_품산출서 4 2 10 2" xfId="30589"/>
    <cellStyle name="#_품산출서 4 2 11" xfId="22814"/>
    <cellStyle name="#_품산출서 4 2 11 2" xfId="35248"/>
    <cellStyle name="#_품산출서 4 2 12" xfId="21351"/>
    <cellStyle name="#_품산출서 4 2 12 2" xfId="33788"/>
    <cellStyle name="#_품산출서 4 2 13" xfId="20166"/>
    <cellStyle name="#_품산출서 4 2 13 2" xfId="32612"/>
    <cellStyle name="#_품산출서 4 2 14" xfId="20586"/>
    <cellStyle name="#_품산출서 4 2 14 2" xfId="33030"/>
    <cellStyle name="#_품산출서 4 2 15" xfId="18958"/>
    <cellStyle name="#_품산출서 4 2 15 2" xfId="31663"/>
    <cellStyle name="#_품산출서 4 2 16" xfId="22175"/>
    <cellStyle name="#_품산출서 4 2 16 2" xfId="34611"/>
    <cellStyle name="#_품산출서 4 2 17" xfId="22475"/>
    <cellStyle name="#_품산출서 4 2 17 2" xfId="34909"/>
    <cellStyle name="#_품산출서 4 2 18" xfId="24715"/>
    <cellStyle name="#_품산출서 4 2 18 2" xfId="37146"/>
    <cellStyle name="#_품산출서 4 2 19" xfId="19752"/>
    <cellStyle name="#_품산출서 4 2 19 2" xfId="32205"/>
    <cellStyle name="#_품산출서 4 2 2" xfId="16353"/>
    <cellStyle name="#_품산출서 4 2 2 2" xfId="29129"/>
    <cellStyle name="#_품산출서 4 2 20" xfId="18715"/>
    <cellStyle name="#_품산출서 4 2 20 2" xfId="31420"/>
    <cellStyle name="#_품산출서 4 2 21" xfId="21994"/>
    <cellStyle name="#_품산출서 4 2 21 2" xfId="34431"/>
    <cellStyle name="#_품산출서 4 2 3" xfId="12518"/>
    <cellStyle name="#_품산출서 4 2 3 2" xfId="25398"/>
    <cellStyle name="#_품산출서 4 2 4" xfId="16644"/>
    <cellStyle name="#_품산출서 4 2 4 2" xfId="29420"/>
    <cellStyle name="#_품산출서 4 2 5" xfId="13498"/>
    <cellStyle name="#_품산출서 4 2 5 2" xfId="26366"/>
    <cellStyle name="#_품산출서 4 2 6" xfId="15329"/>
    <cellStyle name="#_품산출서 4 2 6 2" xfId="28146"/>
    <cellStyle name="#_품산출서 4 2 7" xfId="13012"/>
    <cellStyle name="#_품산출서 4 2 7 2" xfId="25887"/>
    <cellStyle name="#_품산출서 4 2 8" xfId="13043"/>
    <cellStyle name="#_품산출서 4 2 8 2" xfId="25917"/>
    <cellStyle name="#_품산출서 4 2 9" xfId="13967"/>
    <cellStyle name="#_품산출서 4 2 9 2" xfId="26824"/>
    <cellStyle name="#_품산출서 4 3" xfId="15035"/>
    <cellStyle name="#_품산출서 4 3 2" xfId="27856"/>
    <cellStyle name="#_품산출서 5" xfId="6770"/>
    <cellStyle name="#_품산출서 5 2" xfId="11095"/>
    <cellStyle name="#_품산출서 5 2 10" xfId="18050"/>
    <cellStyle name="#_품산출서 5 2 10 2" xfId="30761"/>
    <cellStyle name="#_품산출서 5 2 11" xfId="22815"/>
    <cellStyle name="#_품산출서 5 2 11 2" xfId="35249"/>
    <cellStyle name="#_품산출서 5 2 12" xfId="21350"/>
    <cellStyle name="#_품산출서 5 2 12 2" xfId="33787"/>
    <cellStyle name="#_품산출서 5 2 13" xfId="20418"/>
    <cellStyle name="#_품산출서 5 2 13 2" xfId="32863"/>
    <cellStyle name="#_품산출서 5 2 14" xfId="20988"/>
    <cellStyle name="#_품산출서 5 2 14 2" xfId="33425"/>
    <cellStyle name="#_품산출서 5 2 15" xfId="18644"/>
    <cellStyle name="#_품산출서 5 2 15 2" xfId="31349"/>
    <cellStyle name="#_품산출서 5 2 16" xfId="20279"/>
    <cellStyle name="#_품산출서 5 2 16 2" xfId="32724"/>
    <cellStyle name="#_품산출서 5 2 17" xfId="20881"/>
    <cellStyle name="#_품산출서 5 2 17 2" xfId="33318"/>
    <cellStyle name="#_품산출서 5 2 18" xfId="24714"/>
    <cellStyle name="#_품산출서 5 2 18 2" xfId="37145"/>
    <cellStyle name="#_품산출서 5 2 19" xfId="20831"/>
    <cellStyle name="#_품산출서 5 2 19 2" xfId="33268"/>
    <cellStyle name="#_품산출서 5 2 2" xfId="16354"/>
    <cellStyle name="#_품산출서 5 2 2 2" xfId="29130"/>
    <cellStyle name="#_품산출서 5 2 20" xfId="23222"/>
    <cellStyle name="#_품산출서 5 2 20 2" xfId="35655"/>
    <cellStyle name="#_품산출서 5 2 21" xfId="21542"/>
    <cellStyle name="#_품산출서 5 2 21 2" xfId="33979"/>
    <cellStyle name="#_품산출서 5 2 3" xfId="12519"/>
    <cellStyle name="#_품산출서 5 2 3 2" xfId="25399"/>
    <cellStyle name="#_품산출서 5 2 4" xfId="16643"/>
    <cellStyle name="#_품산출서 5 2 4 2" xfId="29419"/>
    <cellStyle name="#_품산출서 5 2 5" xfId="13305"/>
    <cellStyle name="#_품산출서 5 2 5 2" xfId="26173"/>
    <cellStyle name="#_품산출서 5 2 6" xfId="13902"/>
    <cellStyle name="#_품산출서 5 2 6 2" xfId="26761"/>
    <cellStyle name="#_품산출서 5 2 7" xfId="12937"/>
    <cellStyle name="#_품산출서 5 2 7 2" xfId="25812"/>
    <cellStyle name="#_품산출서 5 2 8" xfId="16053"/>
    <cellStyle name="#_품산출서 5 2 8 2" xfId="28836"/>
    <cellStyle name="#_품산출서 5 2 9" xfId="13085"/>
    <cellStyle name="#_품산출서 5 2 9 2" xfId="25954"/>
    <cellStyle name="#_품산출서 5 3" xfId="15036"/>
    <cellStyle name="#_품산출서 5 3 2" xfId="27857"/>
    <cellStyle name="#_품산출서 6" xfId="6771"/>
    <cellStyle name="#_품산출서 6 2" xfId="11096"/>
    <cellStyle name="#_품산출서 6 2 10" xfId="17876"/>
    <cellStyle name="#_품산출서 6 2 10 2" xfId="30590"/>
    <cellStyle name="#_품산출서 6 2 11" xfId="22816"/>
    <cellStyle name="#_품산출서 6 2 11 2" xfId="35250"/>
    <cellStyle name="#_품산출서 6 2 12" xfId="21349"/>
    <cellStyle name="#_품산출서 6 2 12 2" xfId="33786"/>
    <cellStyle name="#_품산출서 6 2 13" xfId="20165"/>
    <cellStyle name="#_품산출서 6 2 13 2" xfId="32611"/>
    <cellStyle name="#_품산출서 6 2 14" xfId="19787"/>
    <cellStyle name="#_품산출서 6 2 14 2" xfId="32237"/>
    <cellStyle name="#_품산출서 6 2 15" xfId="21083"/>
    <cellStyle name="#_품산출서 6 2 15 2" xfId="33520"/>
    <cellStyle name="#_품산출서 6 2 16" xfId="21887"/>
    <cellStyle name="#_품산출서 6 2 16 2" xfId="34324"/>
    <cellStyle name="#_품산출서 6 2 17" xfId="22561"/>
    <cellStyle name="#_품산출서 6 2 17 2" xfId="34995"/>
    <cellStyle name="#_품산출서 6 2 18" xfId="24713"/>
    <cellStyle name="#_품산출서 6 2 18 2" xfId="37144"/>
    <cellStyle name="#_품산출서 6 2 19" xfId="20361"/>
    <cellStyle name="#_품산출서 6 2 19 2" xfId="32806"/>
    <cellStyle name="#_품산출서 6 2 2" xfId="16355"/>
    <cellStyle name="#_품산출서 6 2 2 2" xfId="29131"/>
    <cellStyle name="#_품산출서 6 2 20" xfId="22032"/>
    <cellStyle name="#_품산출서 6 2 20 2" xfId="34469"/>
    <cellStyle name="#_품산출서 6 2 21" xfId="21995"/>
    <cellStyle name="#_품산출서 6 2 21 2" xfId="34432"/>
    <cellStyle name="#_품산출서 6 2 3" xfId="12520"/>
    <cellStyle name="#_품산출서 6 2 3 2" xfId="25400"/>
    <cellStyle name="#_품산출서 6 2 4" xfId="16642"/>
    <cellStyle name="#_품산출서 6 2 4 2" xfId="29418"/>
    <cellStyle name="#_품산출서 6 2 5" xfId="13499"/>
    <cellStyle name="#_품산출서 6 2 5 2" xfId="26367"/>
    <cellStyle name="#_품산출서 6 2 6" xfId="15330"/>
    <cellStyle name="#_품산출서 6 2 6 2" xfId="28147"/>
    <cellStyle name="#_품산출서 6 2 7" xfId="13011"/>
    <cellStyle name="#_품산출서 6 2 7 2" xfId="25886"/>
    <cellStyle name="#_품산출서 6 2 8" xfId="15629"/>
    <cellStyle name="#_품산출서 6 2 8 2" xfId="28438"/>
    <cellStyle name="#_품산출서 6 2 9" xfId="12885"/>
    <cellStyle name="#_품산출서 6 2 9 2" xfId="25761"/>
    <cellStyle name="#_품산출서 6 3" xfId="15037"/>
    <cellStyle name="#_품산출서 6 3 2" xfId="27858"/>
    <cellStyle name="#_품산출서 7" xfId="11091"/>
    <cellStyle name="#_품산출서 7 10" xfId="12892"/>
    <cellStyle name="#_품산출서 7 10 2" xfId="25768"/>
    <cellStyle name="#_품산출서 7 11" xfId="22811"/>
    <cellStyle name="#_품산출서 7 11 2" xfId="35245"/>
    <cellStyle name="#_품산출서 7 12" xfId="21354"/>
    <cellStyle name="#_품산출서 7 12 2" xfId="33791"/>
    <cellStyle name="#_품산출서 7 13" xfId="20420"/>
    <cellStyle name="#_품산출서 7 13 2" xfId="32865"/>
    <cellStyle name="#_품산출서 7 14" xfId="20990"/>
    <cellStyle name="#_품산출서 7 14 2" xfId="33427"/>
    <cellStyle name="#_품산출서 7 15" xfId="18957"/>
    <cellStyle name="#_품산출서 7 15 2" xfId="31662"/>
    <cellStyle name="#_품산출서 7 16" xfId="20278"/>
    <cellStyle name="#_품산출서 7 16 2" xfId="32723"/>
    <cellStyle name="#_품산출서 7 17" xfId="22469"/>
    <cellStyle name="#_품산출서 7 17 2" xfId="34903"/>
    <cellStyle name="#_품산출서 7 18" xfId="24718"/>
    <cellStyle name="#_품산출서 7 18 2" xfId="37149"/>
    <cellStyle name="#_품산출서 7 19" xfId="21700"/>
    <cellStyle name="#_품산출서 7 19 2" xfId="34137"/>
    <cellStyle name="#_품산출서 7 2" xfId="16350"/>
    <cellStyle name="#_품산출서 7 2 2" xfId="29126"/>
    <cellStyle name="#_품산출서 7 20" xfId="18608"/>
    <cellStyle name="#_품산출서 7 20 2" xfId="31313"/>
    <cellStyle name="#_품산출서 7 21" xfId="21327"/>
    <cellStyle name="#_품산출서 7 21 2" xfId="33764"/>
    <cellStyle name="#_품산출서 7 3" xfId="12515"/>
    <cellStyle name="#_품산출서 7 3 2" xfId="25395"/>
    <cellStyle name="#_품산출서 7 4" xfId="16647"/>
    <cellStyle name="#_품산출서 7 4 2" xfId="29423"/>
    <cellStyle name="#_품산출서 7 5" xfId="13303"/>
    <cellStyle name="#_품산출서 7 5 2" xfId="26171"/>
    <cellStyle name="#_품산출서 7 6" xfId="13900"/>
    <cellStyle name="#_품산출서 7 6 2" xfId="26759"/>
    <cellStyle name="#_품산출서 7 7" xfId="17857"/>
    <cellStyle name="#_품산출서 7 7 2" xfId="30573"/>
    <cellStyle name="#_품산출서 7 8" xfId="12428"/>
    <cellStyle name="#_품산출서 7 8 2" xfId="25308"/>
    <cellStyle name="#_품산출서 7 9" xfId="14024"/>
    <cellStyle name="#_품산출서 7 9 2" xfId="26875"/>
    <cellStyle name="#_품산출서 8" xfId="15032"/>
    <cellStyle name="#_품산출서 8 2" xfId="27853"/>
    <cellStyle name="#_품셈 " xfId="6772"/>
    <cellStyle name="#_품셈  2" xfId="6773"/>
    <cellStyle name="#_품셈  2 2" xfId="11098"/>
    <cellStyle name="#_품셈  2 2 10" xfId="12705"/>
    <cellStyle name="#_품셈  2 2 10 2" xfId="25583"/>
    <cellStyle name="#_품셈  2 2 11" xfId="22818"/>
    <cellStyle name="#_품셈  2 2 11 2" xfId="35252"/>
    <cellStyle name="#_품셈  2 2 12" xfId="21347"/>
    <cellStyle name="#_품셈  2 2 12 2" xfId="33784"/>
    <cellStyle name="#_품셈  2 2 13" xfId="20164"/>
    <cellStyle name="#_품셈  2 2 13 2" xfId="32610"/>
    <cellStyle name="#_품셈  2 2 14" xfId="21053"/>
    <cellStyle name="#_품셈  2 2 14 2" xfId="33490"/>
    <cellStyle name="#_품셈  2 2 15" xfId="18960"/>
    <cellStyle name="#_품셈  2 2 15 2" xfId="31665"/>
    <cellStyle name="#_품셈  2 2 16" xfId="21888"/>
    <cellStyle name="#_품셈  2 2 16 2" xfId="34325"/>
    <cellStyle name="#_품셈  2 2 17" xfId="19085"/>
    <cellStyle name="#_품셈  2 2 17 2" xfId="31790"/>
    <cellStyle name="#_품셈  2 2 18" xfId="24711"/>
    <cellStyle name="#_품셈  2 2 18 2" xfId="37142"/>
    <cellStyle name="#_품셈  2 2 19" xfId="18839"/>
    <cellStyle name="#_품셈  2 2 19 2" xfId="31544"/>
    <cellStyle name="#_품셈  2 2 2" xfId="16357"/>
    <cellStyle name="#_품셈  2 2 2 2" xfId="29133"/>
    <cellStyle name="#_품셈  2 2 20" xfId="22976"/>
    <cellStyle name="#_품셈  2 2 20 2" xfId="35409"/>
    <cellStyle name="#_품셈  2 2 21" xfId="23129"/>
    <cellStyle name="#_품셈  2 2 21 2" xfId="35562"/>
    <cellStyle name="#_품셈  2 2 3" xfId="12522"/>
    <cellStyle name="#_품셈  2 2 3 2" xfId="25402"/>
    <cellStyle name="#_품셈  2 2 4" xfId="16641"/>
    <cellStyle name="#_품셈  2 2 4 2" xfId="29417"/>
    <cellStyle name="#_품셈  2 2 5" xfId="13500"/>
    <cellStyle name="#_품셈  2 2 5 2" xfId="26368"/>
    <cellStyle name="#_품셈  2 2 6" xfId="15331"/>
    <cellStyle name="#_품셈  2 2 6 2" xfId="28148"/>
    <cellStyle name="#_품셈  2 2 7" xfId="13009"/>
    <cellStyle name="#_품셈  2 2 7 2" xfId="25884"/>
    <cellStyle name="#_품셈  2 2 8" xfId="15630"/>
    <cellStyle name="#_품셈  2 2 8 2" xfId="28439"/>
    <cellStyle name="#_품셈  2 2 9" xfId="12884"/>
    <cellStyle name="#_품셈  2 2 9 2" xfId="25760"/>
    <cellStyle name="#_품셈  2 3" xfId="15039"/>
    <cellStyle name="#_품셈  2 3 2" xfId="27860"/>
    <cellStyle name="#_품셈  3" xfId="6774"/>
    <cellStyle name="#_품셈  3 2" xfId="11099"/>
    <cellStyle name="#_품셈  3 2 10" xfId="13794"/>
    <cellStyle name="#_품셈  3 2 10 2" xfId="26654"/>
    <cellStyle name="#_품셈  3 2 11" xfId="22819"/>
    <cellStyle name="#_품셈  3 2 11 2" xfId="35253"/>
    <cellStyle name="#_품셈  3 2 12" xfId="21346"/>
    <cellStyle name="#_품셈  3 2 12 2" xfId="33783"/>
    <cellStyle name="#_품셈  3 2 13" xfId="20416"/>
    <cellStyle name="#_품셈  3 2 13 2" xfId="32861"/>
    <cellStyle name="#_품셈  3 2 14" xfId="20986"/>
    <cellStyle name="#_품셈  3 2 14 2" xfId="33423"/>
    <cellStyle name="#_품셈  3 2 15" xfId="18961"/>
    <cellStyle name="#_품셈  3 2 15 2" xfId="31666"/>
    <cellStyle name="#_품셈  3 2 16" xfId="20280"/>
    <cellStyle name="#_품셈  3 2 16 2" xfId="32725"/>
    <cellStyle name="#_품셈  3 2 17" xfId="18264"/>
    <cellStyle name="#_품셈  3 2 17 2" xfId="30970"/>
    <cellStyle name="#_품셈  3 2 18" xfId="24710"/>
    <cellStyle name="#_품셈  3 2 18 2" xfId="37141"/>
    <cellStyle name="#_품셈  3 2 19" xfId="21701"/>
    <cellStyle name="#_품셈  3 2 19 2" xfId="34138"/>
    <cellStyle name="#_품셈  3 2 2" xfId="16358"/>
    <cellStyle name="#_품셈  3 2 2 2" xfId="29134"/>
    <cellStyle name="#_품셈  3 2 20" xfId="18607"/>
    <cellStyle name="#_품셈  3 2 20 2" xfId="31312"/>
    <cellStyle name="#_품셈  3 2 21" xfId="20690"/>
    <cellStyle name="#_품셈  3 2 21 2" xfId="33133"/>
    <cellStyle name="#_품셈  3 2 3" xfId="12523"/>
    <cellStyle name="#_품셈  3 2 3 2" xfId="25403"/>
    <cellStyle name="#_품셈  3 2 4" xfId="16640"/>
    <cellStyle name="#_품셈  3 2 4 2" xfId="29416"/>
    <cellStyle name="#_품셈  3 2 5" xfId="13307"/>
    <cellStyle name="#_품셈  3 2 5 2" xfId="26175"/>
    <cellStyle name="#_품셈  3 2 6" xfId="13904"/>
    <cellStyle name="#_품셈  3 2 6 2" xfId="26763"/>
    <cellStyle name="#_품셈  3 2 7" xfId="13008"/>
    <cellStyle name="#_품셈  3 2 7 2" xfId="25883"/>
    <cellStyle name="#_품셈  3 2 8" xfId="15406"/>
    <cellStyle name="#_품셈  3 2 8 2" xfId="28220"/>
    <cellStyle name="#_품셈  3 2 9" xfId="14585"/>
    <cellStyle name="#_품셈  3 2 9 2" xfId="27411"/>
    <cellStyle name="#_품셈  3 3" xfId="15040"/>
    <cellStyle name="#_품셈  3 3 2" xfId="27861"/>
    <cellStyle name="#_품셈  4" xfId="6775"/>
    <cellStyle name="#_품셈  4 2" xfId="11100"/>
    <cellStyle name="#_품셈  4 2 10" xfId="17877"/>
    <cellStyle name="#_품셈  4 2 10 2" xfId="30591"/>
    <cellStyle name="#_품셈  4 2 11" xfId="22820"/>
    <cellStyle name="#_품셈  4 2 11 2" xfId="35254"/>
    <cellStyle name="#_품셈  4 2 12" xfId="21345"/>
    <cellStyle name="#_품셈  4 2 12 2" xfId="33782"/>
    <cellStyle name="#_품셈  4 2 13" xfId="20163"/>
    <cellStyle name="#_품셈  4 2 13 2" xfId="32609"/>
    <cellStyle name="#_품셈  4 2 14" xfId="20585"/>
    <cellStyle name="#_품셈  4 2 14 2" xfId="33029"/>
    <cellStyle name="#_품셈  4 2 15" xfId="18962"/>
    <cellStyle name="#_품셈  4 2 15 2" xfId="31667"/>
    <cellStyle name="#_품셈  4 2 16" xfId="21889"/>
    <cellStyle name="#_품셈  4 2 16 2" xfId="34326"/>
    <cellStyle name="#_품셈  4 2 17" xfId="18894"/>
    <cellStyle name="#_품셈  4 2 17 2" xfId="31599"/>
    <cellStyle name="#_품셈  4 2 18" xfId="24709"/>
    <cellStyle name="#_품셈  4 2 18 2" xfId="37140"/>
    <cellStyle name="#_품셈  4 2 19" xfId="22153"/>
    <cellStyle name="#_품셈  4 2 19 2" xfId="34589"/>
    <cellStyle name="#_품셈  4 2 2" xfId="16359"/>
    <cellStyle name="#_품셈  4 2 2 2" xfId="29135"/>
    <cellStyle name="#_품셈  4 2 20" xfId="24724"/>
    <cellStyle name="#_품셈  4 2 20 2" xfId="37155"/>
    <cellStyle name="#_품셈  4 2 21" xfId="19395"/>
    <cellStyle name="#_품셈  4 2 21 2" xfId="31951"/>
    <cellStyle name="#_품셈  4 2 3" xfId="12524"/>
    <cellStyle name="#_품셈  4 2 3 2" xfId="25404"/>
    <cellStyle name="#_품셈  4 2 4" xfId="16639"/>
    <cellStyle name="#_품셈  4 2 4 2" xfId="29415"/>
    <cellStyle name="#_품셈  4 2 5" xfId="13501"/>
    <cellStyle name="#_품셈  4 2 5 2" xfId="26369"/>
    <cellStyle name="#_품셈  4 2 6" xfId="15332"/>
    <cellStyle name="#_품셈  4 2 6 2" xfId="28149"/>
    <cellStyle name="#_품셈  4 2 7" xfId="17730"/>
    <cellStyle name="#_품셈  4 2 7 2" xfId="30447"/>
    <cellStyle name="#_품셈  4 2 8" xfId="15754"/>
    <cellStyle name="#_품셈  4 2 8 2" xfId="28553"/>
    <cellStyle name="#_품셈  4 2 9" xfId="13331"/>
    <cellStyle name="#_품셈  4 2 9 2" xfId="26199"/>
    <cellStyle name="#_품셈  4 3" xfId="15041"/>
    <cellStyle name="#_품셈  4 3 2" xfId="27862"/>
    <cellStyle name="#_품셈  5" xfId="6776"/>
    <cellStyle name="#_품셈  5 2" xfId="11101"/>
    <cellStyle name="#_품셈  5 2 10" xfId="12890"/>
    <cellStyle name="#_품셈  5 2 10 2" xfId="25766"/>
    <cellStyle name="#_품셈  5 2 11" xfId="22821"/>
    <cellStyle name="#_품셈  5 2 11 2" xfId="35255"/>
    <cellStyle name="#_품셈  5 2 12" xfId="21344"/>
    <cellStyle name="#_품셈  5 2 12 2" xfId="33781"/>
    <cellStyle name="#_품셈  5 2 13" xfId="20415"/>
    <cellStyle name="#_품셈  5 2 13 2" xfId="32860"/>
    <cellStyle name="#_품셈  5 2 14" xfId="20985"/>
    <cellStyle name="#_품셈  5 2 14 2" xfId="33422"/>
    <cellStyle name="#_품셈  5 2 15" xfId="18963"/>
    <cellStyle name="#_품셈  5 2 15 2" xfId="31668"/>
    <cellStyle name="#_품셈  5 2 16" xfId="20035"/>
    <cellStyle name="#_품셈  5 2 16 2" xfId="32481"/>
    <cellStyle name="#_품셈  5 2 17" xfId="23755"/>
    <cellStyle name="#_품셈  5 2 17 2" xfId="36186"/>
    <cellStyle name="#_품셈  5 2 18" xfId="24708"/>
    <cellStyle name="#_품셈  5 2 18 2" xfId="37139"/>
    <cellStyle name="#_품셈  5 2 19" xfId="20135"/>
    <cellStyle name="#_품셈  5 2 19 2" xfId="32581"/>
    <cellStyle name="#_품셈  5 2 2" xfId="16360"/>
    <cellStyle name="#_품셈  5 2 2 2" xfId="29136"/>
    <cellStyle name="#_품셈  5 2 20" xfId="23919"/>
    <cellStyle name="#_품셈  5 2 20 2" xfId="36350"/>
    <cellStyle name="#_품셈  5 2 21" xfId="23795"/>
    <cellStyle name="#_품셈  5 2 21 2" xfId="36226"/>
    <cellStyle name="#_품셈  5 2 3" xfId="12525"/>
    <cellStyle name="#_품셈  5 2 3 2" xfId="25405"/>
    <cellStyle name="#_품셈  5 2 4" xfId="16638"/>
    <cellStyle name="#_품셈  5 2 4 2" xfId="29414"/>
    <cellStyle name="#_품셈  5 2 5" xfId="13308"/>
    <cellStyle name="#_품셈  5 2 5 2" xfId="26176"/>
    <cellStyle name="#_품셈  5 2 6" xfId="13905"/>
    <cellStyle name="#_품셈  5 2 6 2" xfId="26764"/>
    <cellStyle name="#_품셈  5 2 7" xfId="17729"/>
    <cellStyle name="#_품셈  5 2 7 2" xfId="30446"/>
    <cellStyle name="#_품셈  5 2 8" xfId="13068"/>
    <cellStyle name="#_품셈  5 2 8 2" xfId="25937"/>
    <cellStyle name="#_품셈  5 2 9" xfId="14720"/>
    <cellStyle name="#_품셈  5 2 9 2" xfId="27546"/>
    <cellStyle name="#_품셈  5 3" xfId="15042"/>
    <cellStyle name="#_품셈  5 3 2" xfId="27863"/>
    <cellStyle name="#_품셈  6" xfId="6777"/>
    <cellStyle name="#_품셈  6 2" xfId="11102"/>
    <cellStyle name="#_품셈  6 2 10" xfId="17878"/>
    <cellStyle name="#_품셈  6 2 10 2" xfId="30592"/>
    <cellStyle name="#_품셈  6 2 11" xfId="22822"/>
    <cellStyle name="#_품셈  6 2 11 2" xfId="35256"/>
    <cellStyle name="#_품셈  6 2 12" xfId="21343"/>
    <cellStyle name="#_품셈  6 2 12 2" xfId="33780"/>
    <cellStyle name="#_품셈  6 2 13" xfId="20162"/>
    <cellStyle name="#_품셈  6 2 13 2" xfId="32608"/>
    <cellStyle name="#_품셈  6 2 14" xfId="20584"/>
    <cellStyle name="#_품셈  6 2 14 2" xfId="33028"/>
    <cellStyle name="#_품셈  6 2 15" xfId="18964"/>
    <cellStyle name="#_품셈  6 2 15 2" xfId="31669"/>
    <cellStyle name="#_품셈  6 2 16" xfId="20108"/>
    <cellStyle name="#_품셈  6 2 16 2" xfId="32554"/>
    <cellStyle name="#_품셈  6 2 17" xfId="19990"/>
    <cellStyle name="#_품셈  6 2 17 2" xfId="32437"/>
    <cellStyle name="#_품셈  6 2 18" xfId="18338"/>
    <cellStyle name="#_품셈  6 2 18 2" xfId="31044"/>
    <cellStyle name="#_품셈  6 2 19" xfId="23798"/>
    <cellStyle name="#_품셈  6 2 19 2" xfId="36229"/>
    <cellStyle name="#_품셈  6 2 2" xfId="16361"/>
    <cellStyle name="#_품셈  6 2 2 2" xfId="29137"/>
    <cellStyle name="#_품셈  6 2 20" xfId="24723"/>
    <cellStyle name="#_품셈  6 2 20 2" xfId="37154"/>
    <cellStyle name="#_품셈  6 2 21" xfId="19679"/>
    <cellStyle name="#_품셈  6 2 21 2" xfId="32133"/>
    <cellStyle name="#_품셈  6 2 3" xfId="12526"/>
    <cellStyle name="#_품셈  6 2 3 2" xfId="25406"/>
    <cellStyle name="#_품셈  6 2 4" xfId="16637"/>
    <cellStyle name="#_품셈  6 2 4 2" xfId="29413"/>
    <cellStyle name="#_품셈  6 2 5" xfId="14639"/>
    <cellStyle name="#_품셈  6 2 5 2" xfId="27465"/>
    <cellStyle name="#_품셈  6 2 6" xfId="15333"/>
    <cellStyle name="#_품셈  6 2 6 2" xfId="28150"/>
    <cellStyle name="#_품셈  6 2 7" xfId="16615"/>
    <cellStyle name="#_품셈  6 2 7 2" xfId="29391"/>
    <cellStyle name="#_품셈  6 2 8" xfId="15631"/>
    <cellStyle name="#_품셈  6 2 8 2" xfId="28440"/>
    <cellStyle name="#_품셈  6 2 9" xfId="17465"/>
    <cellStyle name="#_품셈  6 2 9 2" xfId="30187"/>
    <cellStyle name="#_품셈  6 3" xfId="15043"/>
    <cellStyle name="#_품셈  6 3 2" xfId="27864"/>
    <cellStyle name="#_품셈  7" xfId="11097"/>
    <cellStyle name="#_품셈  7 10" xfId="12891"/>
    <cellStyle name="#_품셈  7 10 2" xfId="25767"/>
    <cellStyle name="#_품셈  7 11" xfId="22817"/>
    <cellStyle name="#_품셈  7 11 2" xfId="35251"/>
    <cellStyle name="#_품셈  7 12" xfId="21348"/>
    <cellStyle name="#_품셈  7 12 2" xfId="33785"/>
    <cellStyle name="#_품셈  7 13" xfId="20417"/>
    <cellStyle name="#_품셈  7 13 2" xfId="32862"/>
    <cellStyle name="#_품셈  7 14" xfId="20987"/>
    <cellStyle name="#_품셈  7 14 2" xfId="33424"/>
    <cellStyle name="#_품셈  7 15" xfId="18959"/>
    <cellStyle name="#_품셈  7 15 2" xfId="31664"/>
    <cellStyle name="#_품셈  7 16" xfId="20034"/>
    <cellStyle name="#_품셈  7 16 2" xfId="32480"/>
    <cellStyle name="#_품셈  7 17" xfId="20370"/>
    <cellStyle name="#_품셈  7 17 2" xfId="32815"/>
    <cellStyle name="#_품셈  7 18" xfId="24712"/>
    <cellStyle name="#_품셈  7 18 2" xfId="37143"/>
    <cellStyle name="#_품셈  7 19" xfId="18622"/>
    <cellStyle name="#_품셈  7 19 2" xfId="31327"/>
    <cellStyle name="#_품셈  7 2" xfId="16356"/>
    <cellStyle name="#_품셈  7 2 2" xfId="29132"/>
    <cellStyle name="#_품셈  7 20" xfId="18885"/>
    <cellStyle name="#_품셈  7 20 2" xfId="31590"/>
    <cellStyle name="#_품셈  7 21" xfId="23825"/>
    <cellStyle name="#_품셈  7 21 2" xfId="36256"/>
    <cellStyle name="#_품셈  7 3" xfId="12521"/>
    <cellStyle name="#_품셈  7 3 2" xfId="25401"/>
    <cellStyle name="#_품셈  7 4" xfId="14513"/>
    <cellStyle name="#_품셈  7 4 2" xfId="27341"/>
    <cellStyle name="#_품셈  7 5" xfId="13306"/>
    <cellStyle name="#_품셈  7 5 2" xfId="26174"/>
    <cellStyle name="#_품셈  7 6" xfId="13903"/>
    <cellStyle name="#_품셈  7 6 2" xfId="26762"/>
    <cellStyle name="#_품셈  7 7" xfId="13010"/>
    <cellStyle name="#_품셈  7 7 2" xfId="25885"/>
    <cellStyle name="#_품셈  7 8" xfId="13067"/>
    <cellStyle name="#_품셈  7 8 2" xfId="25936"/>
    <cellStyle name="#_품셈  7 9" xfId="14721"/>
    <cellStyle name="#_품셈  7 9 2" xfId="27547"/>
    <cellStyle name="#_품셈  8" xfId="15038"/>
    <cellStyle name="#_품셈  8 2" xfId="27859"/>
    <cellStyle name="#_품셈_계통도 " xfId="6778"/>
    <cellStyle name="#_품셈_계통도  2" xfId="6779"/>
    <cellStyle name="#_품셈_계통도  2 2" xfId="11104"/>
    <cellStyle name="#_품셈_계통도  2 2 10" xfId="17879"/>
    <cellStyle name="#_품셈_계통도  2 2 10 2" xfId="30593"/>
    <cellStyle name="#_품셈_계통도  2 2 11" xfId="22824"/>
    <cellStyle name="#_품셈_계통도  2 2 11 2" xfId="35258"/>
    <cellStyle name="#_품셈_계통도  2 2 12" xfId="21341"/>
    <cellStyle name="#_품셈_계통도  2 2 12 2" xfId="33778"/>
    <cellStyle name="#_품셈_계통도  2 2 13" xfId="20161"/>
    <cellStyle name="#_품셈_계통도  2 2 13 2" xfId="32607"/>
    <cellStyle name="#_품셈_계통도  2 2 14" xfId="20583"/>
    <cellStyle name="#_품셈_계통도  2 2 14 2" xfId="33027"/>
    <cellStyle name="#_품셈_계통도  2 2 15" xfId="18966"/>
    <cellStyle name="#_품셈_계통도  2 2 15 2" xfId="31671"/>
    <cellStyle name="#_품셈_계통도  2 2 16" xfId="20359"/>
    <cellStyle name="#_품셈_계통도  2 2 16 2" xfId="32804"/>
    <cellStyle name="#_품셈_계통도  2 2 17" xfId="20741"/>
    <cellStyle name="#_품셈_계통도  2 2 17 2" xfId="33181"/>
    <cellStyle name="#_품셈_계통도  2 2 18" xfId="24707"/>
    <cellStyle name="#_품셈_계통도  2 2 18 2" xfId="37138"/>
    <cellStyle name="#_품셈_계통도  2 2 19" xfId="24495"/>
    <cellStyle name="#_품셈_계통도  2 2 19 2" xfId="36926"/>
    <cellStyle name="#_품셈_계통도  2 2 2" xfId="16363"/>
    <cellStyle name="#_품셈_계통도  2 2 2 2" xfId="29139"/>
    <cellStyle name="#_품셈_계통도  2 2 20" xfId="21892"/>
    <cellStyle name="#_품셈_계통도  2 2 20 2" xfId="34329"/>
    <cellStyle name="#_품셈_계통도  2 2 21" xfId="19559"/>
    <cellStyle name="#_품셈_계통도  2 2 21 2" xfId="32014"/>
    <cellStyle name="#_품셈_계통도  2 2 3" xfId="12528"/>
    <cellStyle name="#_품셈_계통도  2 2 3 2" xfId="25408"/>
    <cellStyle name="#_품셈_계통도  2 2 4" xfId="14512"/>
    <cellStyle name="#_품셈_계통도  2 2 4 2" xfId="27340"/>
    <cellStyle name="#_품셈_계통도  2 2 5" xfId="16458"/>
    <cellStyle name="#_품셈_계통도  2 2 5 2" xfId="29234"/>
    <cellStyle name="#_품셈_계통도  2 2 6" xfId="15334"/>
    <cellStyle name="#_품셈_계통도  2 2 6 2" xfId="28151"/>
    <cellStyle name="#_품셈_계통도  2 2 7" xfId="17549"/>
    <cellStyle name="#_품셈_계통도  2 2 7 2" xfId="30270"/>
    <cellStyle name="#_품셈_계통도  2 2 8" xfId="15632"/>
    <cellStyle name="#_품셈_계통도  2 2 8 2" xfId="28441"/>
    <cellStyle name="#_품셈_계통도  2 2 9" xfId="14207"/>
    <cellStyle name="#_품셈_계통도  2 2 9 2" xfId="27055"/>
    <cellStyle name="#_품셈_계통도  2 3" xfId="15045"/>
    <cellStyle name="#_품셈_계통도  2 3 2" xfId="27866"/>
    <cellStyle name="#_품셈_계통도  3" xfId="6780"/>
    <cellStyle name="#_품셈_계통도  3 2" xfId="11105"/>
    <cellStyle name="#_품셈_계통도  3 2 10" xfId="18049"/>
    <cellStyle name="#_품셈_계통도  3 2 10 2" xfId="30760"/>
    <cellStyle name="#_품셈_계통도  3 2 11" xfId="22825"/>
    <cellStyle name="#_품셈_계통도  3 2 11 2" xfId="35259"/>
    <cellStyle name="#_품셈_계통도  3 2 12" xfId="21340"/>
    <cellStyle name="#_품셈_계통도  3 2 12 2" xfId="33777"/>
    <cellStyle name="#_품셈_계통도  3 2 13" xfId="20413"/>
    <cellStyle name="#_품셈_계통도  3 2 13 2" xfId="32858"/>
    <cellStyle name="#_품셈_계통도  3 2 14" xfId="21798"/>
    <cellStyle name="#_품셈_계통도  3 2 14 2" xfId="34235"/>
    <cellStyle name="#_품셈_계통도  3 2 15" xfId="18967"/>
    <cellStyle name="#_품셈_계통도  3 2 15 2" xfId="31672"/>
    <cellStyle name="#_품셈_계통도  3 2 16" xfId="21963"/>
    <cellStyle name="#_품셈_계통도  3 2 16 2" xfId="34400"/>
    <cellStyle name="#_품셈_계통도  3 2 17" xfId="23269"/>
    <cellStyle name="#_품셈_계통도  3 2 17 2" xfId="35701"/>
    <cellStyle name="#_품셈_계통도  3 2 18" xfId="24706"/>
    <cellStyle name="#_품셈_계통도  3 2 18 2" xfId="37137"/>
    <cellStyle name="#_품셈_계통도  3 2 19" xfId="18678"/>
    <cellStyle name="#_품셈_계통도  3 2 19 2" xfId="31383"/>
    <cellStyle name="#_품셈_계통도  3 2 2" xfId="16364"/>
    <cellStyle name="#_품셈_계통도  3 2 2 2" xfId="29140"/>
    <cellStyle name="#_품셈_계통도  3 2 20" xfId="21302"/>
    <cellStyle name="#_품셈_계통도  3 2 20 2" xfId="33739"/>
    <cellStyle name="#_품셈_계통도  3 2 21" xfId="18271"/>
    <cellStyle name="#_품셈_계통도  3 2 21 2" xfId="30977"/>
    <cellStyle name="#_품셈_계통도  3 2 3" xfId="12529"/>
    <cellStyle name="#_품셈_계통도  3 2 3 2" xfId="25409"/>
    <cellStyle name="#_품셈_계통도  3 2 4" xfId="16635"/>
    <cellStyle name="#_품셈_계통도  3 2 4 2" xfId="29411"/>
    <cellStyle name="#_품셈_계통도  3 2 5" xfId="13310"/>
    <cellStyle name="#_품셈_계통도  3 2 5 2" xfId="26178"/>
    <cellStyle name="#_품셈_계통도  3 2 6" xfId="13907"/>
    <cellStyle name="#_품셈_계통도  3 2 6 2" xfId="26766"/>
    <cellStyle name="#_품셈_계통도  3 2 7" xfId="14286"/>
    <cellStyle name="#_품셈_계통도  3 2 7 2" xfId="27119"/>
    <cellStyle name="#_품셈_계통도  3 2 8" xfId="14561"/>
    <cellStyle name="#_품셈_계통도  3 2 8 2" xfId="27389"/>
    <cellStyle name="#_품셈_계통도  3 2 9" xfId="12597"/>
    <cellStyle name="#_품셈_계통도  3 2 9 2" xfId="25476"/>
    <cellStyle name="#_품셈_계통도  3 3" xfId="15046"/>
    <cellStyle name="#_품셈_계통도  3 3 2" xfId="27867"/>
    <cellStyle name="#_품셈_계통도  4" xfId="6781"/>
    <cellStyle name="#_품셈_계통도  4 2" xfId="11106"/>
    <cellStyle name="#_품셈_계통도  4 2 10" xfId="17880"/>
    <cellStyle name="#_품셈_계통도  4 2 10 2" xfId="30594"/>
    <cellStyle name="#_품셈_계통도  4 2 11" xfId="22826"/>
    <cellStyle name="#_품셈_계통도  4 2 11 2" xfId="35260"/>
    <cellStyle name="#_품셈_계통도  4 2 12" xfId="21339"/>
    <cellStyle name="#_품셈_계통도  4 2 12 2" xfId="33776"/>
    <cellStyle name="#_품셈_계통도  4 2 13" xfId="20160"/>
    <cellStyle name="#_품셈_계통도  4 2 13 2" xfId="32606"/>
    <cellStyle name="#_품셈_계통도  4 2 14" xfId="20582"/>
    <cellStyle name="#_품셈_계통도  4 2 14 2" xfId="33026"/>
    <cellStyle name="#_품셈_계통도  4 2 15" xfId="18968"/>
    <cellStyle name="#_품셈_계통도  4 2 15 2" xfId="31673"/>
    <cellStyle name="#_품셈_계통도  4 2 16" xfId="19236"/>
    <cellStyle name="#_품셈_계통도  4 2 16 2" xfId="31891"/>
    <cellStyle name="#_품셈_계통도  4 2 17" xfId="20742"/>
    <cellStyle name="#_품셈_계통도  4 2 17 2" xfId="33182"/>
    <cellStyle name="#_품셈_계통도  4 2 18" xfId="24705"/>
    <cellStyle name="#_품셈_계통도  4 2 18 2" xfId="37136"/>
    <cellStyle name="#_품셈_계통도  4 2 19" xfId="22221"/>
    <cellStyle name="#_품셈_계통도  4 2 19 2" xfId="34656"/>
    <cellStyle name="#_품셈_계통도  4 2 2" xfId="16365"/>
    <cellStyle name="#_품셈_계통도  4 2 2 2" xfId="29141"/>
    <cellStyle name="#_품셈_계통도  4 2 20" xfId="19007"/>
    <cellStyle name="#_품셈_계통도  4 2 20 2" xfId="31712"/>
    <cellStyle name="#_품셈_계통도  4 2 21" xfId="19042"/>
    <cellStyle name="#_품셈_계통도  4 2 21 2" xfId="31747"/>
    <cellStyle name="#_품셈_계통도  4 2 3" xfId="12530"/>
    <cellStyle name="#_품셈_계통도  4 2 3 2" xfId="25410"/>
    <cellStyle name="#_품셈_계통도  4 2 4" xfId="16634"/>
    <cellStyle name="#_품셈_계통도  4 2 4 2" xfId="29410"/>
    <cellStyle name="#_품셈_계통도  4 2 5" xfId="15982"/>
    <cellStyle name="#_품셈_계통도  4 2 5 2" xfId="28780"/>
    <cellStyle name="#_품셈_계통도  4 2 6" xfId="15335"/>
    <cellStyle name="#_품셈_계통도  4 2 6 2" xfId="28152"/>
    <cellStyle name="#_품셈_계통도  4 2 7" xfId="14651"/>
    <cellStyle name="#_품셈_계통도  4 2 7 2" xfId="27477"/>
    <cellStyle name="#_품셈_계통도  4 2 8" xfId="17534"/>
    <cellStyle name="#_품셈_계통도  4 2 8 2" xfId="30256"/>
    <cellStyle name="#_품셈_계통도  4 2 9" xfId="12883"/>
    <cellStyle name="#_품셈_계통도  4 2 9 2" xfId="25759"/>
    <cellStyle name="#_품셈_계통도  4 3" xfId="15047"/>
    <cellStyle name="#_품셈_계통도  4 3 2" xfId="27868"/>
    <cellStyle name="#_품셈_계통도  5" xfId="6782"/>
    <cellStyle name="#_품셈_계통도  5 2" xfId="11107"/>
    <cellStyle name="#_품셈_계통도  5 2 10" xfId="18048"/>
    <cellStyle name="#_품셈_계통도  5 2 10 2" xfId="30759"/>
    <cellStyle name="#_품셈_계통도  5 2 11" xfId="22827"/>
    <cellStyle name="#_품셈_계통도  5 2 11 2" xfId="35261"/>
    <cellStyle name="#_품셈_계통도  5 2 12" xfId="21338"/>
    <cellStyle name="#_품셈_계통도  5 2 12 2" xfId="33775"/>
    <cellStyle name="#_품셈_계통도  5 2 13" xfId="20412"/>
    <cellStyle name="#_품셈_계통도  5 2 13 2" xfId="32857"/>
    <cellStyle name="#_품셈_계통도  5 2 14" xfId="23278"/>
    <cellStyle name="#_품셈_계통도  5 2 14 2" xfId="35710"/>
    <cellStyle name="#_품셈_계통도  5 2 15" xfId="18969"/>
    <cellStyle name="#_품셈_계통도  5 2 15 2" xfId="31674"/>
    <cellStyle name="#_품셈_계통도  5 2 16" xfId="20281"/>
    <cellStyle name="#_품셈_계통도  5 2 16 2" xfId="32726"/>
    <cellStyle name="#_품셈_계통도  5 2 17" xfId="23051"/>
    <cellStyle name="#_품셈_계통도  5 2 17 2" xfId="35484"/>
    <cellStyle name="#_품셈_계통도  5 2 18" xfId="24704"/>
    <cellStyle name="#_품셈_계통도  5 2 18 2" xfId="37135"/>
    <cellStyle name="#_품셈_계통도  5 2 19" xfId="23499"/>
    <cellStyle name="#_품셈_계통도  5 2 19 2" xfId="35930"/>
    <cellStyle name="#_품셈_계통도  5 2 2" xfId="16366"/>
    <cellStyle name="#_품셈_계통도  5 2 2 2" xfId="29142"/>
    <cellStyle name="#_품셈_계통도  5 2 20" xfId="20869"/>
    <cellStyle name="#_품셈_계통도  5 2 20 2" xfId="33306"/>
    <cellStyle name="#_품셈_계통도  5 2 21" xfId="21813"/>
    <cellStyle name="#_품셈_계통도  5 2 21 2" xfId="34250"/>
    <cellStyle name="#_품셈_계통도  5 2 3" xfId="12531"/>
    <cellStyle name="#_품셈_계통도  5 2 3 2" xfId="25411"/>
    <cellStyle name="#_품셈_계통도  5 2 4" xfId="16633"/>
    <cellStyle name="#_품셈_계통도  5 2 4 2" xfId="29409"/>
    <cellStyle name="#_품셈_계통도  5 2 5" xfId="13311"/>
    <cellStyle name="#_품셈_계통도  5 2 5 2" xfId="26179"/>
    <cellStyle name="#_품셈_계통도  5 2 6" xfId="13908"/>
    <cellStyle name="#_품셈_계통도  5 2 6 2" xfId="26767"/>
    <cellStyle name="#_품셈_계통도  5 2 7" xfId="13345"/>
    <cellStyle name="#_품셈_계통도  5 2 7 2" xfId="26213"/>
    <cellStyle name="#_품셈_계통도  5 2 8" xfId="13069"/>
    <cellStyle name="#_품셈_계통도  5 2 8 2" xfId="25938"/>
    <cellStyle name="#_품셈_계통도  5 2 9" xfId="14718"/>
    <cellStyle name="#_품셈_계통도  5 2 9 2" xfId="27544"/>
    <cellStyle name="#_품셈_계통도  5 3" xfId="15048"/>
    <cellStyle name="#_품셈_계통도  5 3 2" xfId="27869"/>
    <cellStyle name="#_품셈_계통도  6" xfId="6783"/>
    <cellStyle name="#_품셈_계통도  6 2" xfId="11108"/>
    <cellStyle name="#_품셈_계통도  6 2 10" xfId="17881"/>
    <cellStyle name="#_품셈_계통도  6 2 10 2" xfId="30595"/>
    <cellStyle name="#_품셈_계통도  6 2 11" xfId="22828"/>
    <cellStyle name="#_품셈_계통도  6 2 11 2" xfId="35262"/>
    <cellStyle name="#_품셈_계통도  6 2 12" xfId="21337"/>
    <cellStyle name="#_품셈_계통도  6 2 12 2" xfId="33774"/>
    <cellStyle name="#_품셈_계통도  6 2 13" xfId="20159"/>
    <cellStyle name="#_품셈_계통도  6 2 13 2" xfId="32605"/>
    <cellStyle name="#_품셈_계통도  6 2 14" xfId="20581"/>
    <cellStyle name="#_품셈_계통도  6 2 14 2" xfId="33025"/>
    <cellStyle name="#_품셈_계통도  6 2 15" xfId="18970"/>
    <cellStyle name="#_품셈_계통도  6 2 15 2" xfId="31675"/>
    <cellStyle name="#_품셈_계통도  6 2 16" xfId="21890"/>
    <cellStyle name="#_품셈_계통도  6 2 16 2" xfId="34327"/>
    <cellStyle name="#_품셈_계통도  6 2 17" xfId="20743"/>
    <cellStyle name="#_품셈_계통도  6 2 17 2" xfId="33183"/>
    <cellStyle name="#_품셈_계통도  6 2 18" xfId="24703"/>
    <cellStyle name="#_품셈_계통도  6 2 18 2" xfId="37134"/>
    <cellStyle name="#_품셈_계통도  6 2 19" xfId="20232"/>
    <cellStyle name="#_품셈_계통도  6 2 19 2" xfId="32678"/>
    <cellStyle name="#_품셈_계통도  6 2 2" xfId="16367"/>
    <cellStyle name="#_품셈_계통도  6 2 2 2" xfId="29143"/>
    <cellStyle name="#_품셈_계통도  6 2 20" xfId="22415"/>
    <cellStyle name="#_품셈_계통도  6 2 20 2" xfId="34849"/>
    <cellStyle name="#_품셈_계통도  6 2 21" xfId="21923"/>
    <cellStyle name="#_품셈_계통도  6 2 21 2" xfId="34360"/>
    <cellStyle name="#_품셈_계통도  6 2 3" xfId="12532"/>
    <cellStyle name="#_품셈_계통도  6 2 3 2" xfId="25412"/>
    <cellStyle name="#_품셈_계통도  6 2 4" xfId="16632"/>
    <cellStyle name="#_품셈_계통도  6 2 4 2" xfId="29408"/>
    <cellStyle name="#_품셈_계통도  6 2 5" xfId="15983"/>
    <cellStyle name="#_품셈_계통도  6 2 5 2" xfId="28781"/>
    <cellStyle name="#_품셈_계통도  6 2 6" xfId="17222"/>
    <cellStyle name="#_품셈_계통도  6 2 6 2" xfId="29956"/>
    <cellStyle name="#_품셈_계통도  6 2 7" xfId="17927"/>
    <cellStyle name="#_품셈_계통도  6 2 7 2" xfId="30639"/>
    <cellStyle name="#_품셈_계통도  6 2 8" xfId="15584"/>
    <cellStyle name="#_품셈_계통도  6 2 8 2" xfId="28393"/>
    <cellStyle name="#_품셈_계통도  6 2 9" xfId="13316"/>
    <cellStyle name="#_품셈_계통도  6 2 9 2" xfId="26184"/>
    <cellStyle name="#_품셈_계통도  6 3" xfId="15049"/>
    <cellStyle name="#_품셈_계통도  6 3 2" xfId="27870"/>
    <cellStyle name="#_품셈_계통도  7" xfId="11103"/>
    <cellStyle name="#_품셈_계통도  7 10" xfId="14497"/>
    <cellStyle name="#_품셈_계통도  7 10 2" xfId="27328"/>
    <cellStyle name="#_품셈_계통도  7 11" xfId="22823"/>
    <cellStyle name="#_품셈_계통도  7 11 2" xfId="35257"/>
    <cellStyle name="#_품셈_계통도  7 12" xfId="21342"/>
    <cellStyle name="#_품셈_계통도  7 12 2" xfId="33779"/>
    <cellStyle name="#_품셈_계통도  7 13" xfId="20414"/>
    <cellStyle name="#_품셈_계통도  7 13 2" xfId="32859"/>
    <cellStyle name="#_품셈_계통도  7 14" xfId="23279"/>
    <cellStyle name="#_품셈_계통도  7 14 2" xfId="35711"/>
    <cellStyle name="#_품셈_계통도  7 15" xfId="18965"/>
    <cellStyle name="#_품셈_계통도  7 15 2" xfId="31670"/>
    <cellStyle name="#_품셈_계통도  7 16" xfId="20976"/>
    <cellStyle name="#_품셈_계통도  7 16 2" xfId="33413"/>
    <cellStyle name="#_품셈_계통도  7 17" xfId="18908"/>
    <cellStyle name="#_품셈_계통도  7 17 2" xfId="31613"/>
    <cellStyle name="#_품셈_계통도  7 18" xfId="22853"/>
    <cellStyle name="#_품셈_계통도  7 18 2" xfId="35287"/>
    <cellStyle name="#_품셈_계통도  7 19" xfId="20832"/>
    <cellStyle name="#_품셈_계통도  7 19 2" xfId="33269"/>
    <cellStyle name="#_품셈_계통도  7 2" xfId="16362"/>
    <cellStyle name="#_품셈_계통도  7 2 2" xfId="29138"/>
    <cellStyle name="#_품셈_계통도  7 20" xfId="23640"/>
    <cellStyle name="#_품셈_계통도  7 20 2" xfId="36071"/>
    <cellStyle name="#_품셈_계통도  7 21" xfId="22081"/>
    <cellStyle name="#_품셈_계통도  7 21 2" xfId="34517"/>
    <cellStyle name="#_품셈_계통도  7 3" xfId="12527"/>
    <cellStyle name="#_품셈_계통도  7 3 2" xfId="25407"/>
    <cellStyle name="#_품셈_계통도  7 4" xfId="16636"/>
    <cellStyle name="#_품셈_계통도  7 4 2" xfId="29412"/>
    <cellStyle name="#_품셈_계통도  7 5" xfId="13309"/>
    <cellStyle name="#_품셈_계통도  7 5 2" xfId="26177"/>
    <cellStyle name="#_품셈_계통도  7 6" xfId="13906"/>
    <cellStyle name="#_품셈_계통도  7 6 2" xfId="26765"/>
    <cellStyle name="#_품셈_계통도  7 7" xfId="12690"/>
    <cellStyle name="#_품셈_계통도  7 7 2" xfId="25569"/>
    <cellStyle name="#_품셈_계통도  7 8" xfId="16054"/>
    <cellStyle name="#_품셈_계통도  7 8 2" xfId="28837"/>
    <cellStyle name="#_품셈_계통도  7 9" xfId="14719"/>
    <cellStyle name="#_품셈_계통도  7 9 2" xfId="27545"/>
    <cellStyle name="#_품셈_계통도  8" xfId="15044"/>
    <cellStyle name="#_품셈_계통도  8 2" xfId="27865"/>
    <cellStyle name="#_핸드홀맨홀부표" xfId="6784"/>
    <cellStyle name="#_핸드홀맨홀부표 2" xfId="6785"/>
    <cellStyle name="#_핸드홀맨홀부표 2 2" xfId="11110"/>
    <cellStyle name="#_핸드홀맨홀부표 2 2 10" xfId="17882"/>
    <cellStyle name="#_핸드홀맨홀부표 2 2 10 2" xfId="30596"/>
    <cellStyle name="#_핸드홀맨홀부표 2 2 11" xfId="22830"/>
    <cellStyle name="#_핸드홀맨홀부표 2 2 11 2" xfId="35264"/>
    <cellStyle name="#_핸드홀맨홀부표 2 2 12" xfId="21335"/>
    <cellStyle name="#_핸드홀맨홀부표 2 2 12 2" xfId="33772"/>
    <cellStyle name="#_핸드홀맨홀부표 2 2 13" xfId="20158"/>
    <cellStyle name="#_핸드홀맨홀부표 2 2 13 2" xfId="32604"/>
    <cellStyle name="#_핸드홀맨홀부표 2 2 14" xfId="19043"/>
    <cellStyle name="#_핸드홀맨홀부표 2 2 14 2" xfId="31748"/>
    <cellStyle name="#_핸드홀맨홀부표 2 2 15" xfId="18972"/>
    <cellStyle name="#_핸드홀맨홀부표 2 2 15 2" xfId="31677"/>
    <cellStyle name="#_핸드홀맨홀부표 2 2 16" xfId="19159"/>
    <cellStyle name="#_핸드홀맨홀부표 2 2 16 2" xfId="31814"/>
    <cellStyle name="#_핸드홀맨홀부표 2 2 17" xfId="24324"/>
    <cellStyle name="#_핸드홀맨홀부표 2 2 17 2" xfId="36755"/>
    <cellStyle name="#_핸드홀맨홀부표 2 2 18" xfId="24701"/>
    <cellStyle name="#_핸드홀맨홀부표 2 2 18 2" xfId="37132"/>
    <cellStyle name="#_핸드홀맨홀부표 2 2 19" xfId="20941"/>
    <cellStyle name="#_핸드홀맨홀부표 2 2 19 2" xfId="33378"/>
    <cellStyle name="#_핸드홀맨홀부표 2 2 2" xfId="16369"/>
    <cellStyle name="#_핸드홀맨홀부표 2 2 2 2" xfId="29145"/>
    <cellStyle name="#_핸드홀맨홀부표 2 2 20" xfId="20796"/>
    <cellStyle name="#_핸드홀맨홀부표 2 2 20 2" xfId="33235"/>
    <cellStyle name="#_핸드홀맨홀부표 2 2 21" xfId="19725"/>
    <cellStyle name="#_핸드홀맨홀부표 2 2 21 2" xfId="32178"/>
    <cellStyle name="#_핸드홀맨홀부표 2 2 3" xfId="12534"/>
    <cellStyle name="#_핸드홀맨홀부표 2 2 3 2" xfId="25414"/>
    <cellStyle name="#_핸드홀맨홀부표 2 2 4" xfId="16630"/>
    <cellStyle name="#_핸드홀맨홀부표 2 2 4 2" xfId="29406"/>
    <cellStyle name="#_핸드홀맨홀부표 2 2 5" xfId="13502"/>
    <cellStyle name="#_핸드홀맨홀부표 2 2 5 2" xfId="26370"/>
    <cellStyle name="#_핸드홀맨홀부표 2 2 6" xfId="17221"/>
    <cellStyle name="#_핸드홀맨홀부표 2 2 6 2" xfId="29955"/>
    <cellStyle name="#_핸드홀맨홀부표 2 2 7" xfId="17926"/>
    <cellStyle name="#_핸드홀맨홀부표 2 2 7 2" xfId="30638"/>
    <cellStyle name="#_핸드홀맨홀부표 2 2 8" xfId="17194"/>
    <cellStyle name="#_핸드홀맨홀부표 2 2 8 2" xfId="29928"/>
    <cellStyle name="#_핸드홀맨홀부표 2 2 9" xfId="13630"/>
    <cellStyle name="#_핸드홀맨홀부표 2 2 9 2" xfId="26498"/>
    <cellStyle name="#_핸드홀맨홀부표 2 3" xfId="15051"/>
    <cellStyle name="#_핸드홀맨홀부표 2 3 2" xfId="27872"/>
    <cellStyle name="#_핸드홀맨홀부표 3" xfId="6786"/>
    <cellStyle name="#_핸드홀맨홀부표 3 2" xfId="11111"/>
    <cellStyle name="#_핸드홀맨홀부표 3 2 10" xfId="18046"/>
    <cellStyle name="#_핸드홀맨홀부표 3 2 10 2" xfId="30757"/>
    <cellStyle name="#_핸드홀맨홀부표 3 2 11" xfId="22831"/>
    <cellStyle name="#_핸드홀맨홀부표 3 2 11 2" xfId="35265"/>
    <cellStyle name="#_핸드홀맨홀부표 3 2 12" xfId="21334"/>
    <cellStyle name="#_핸드홀맨홀부표 3 2 12 2" xfId="33771"/>
    <cellStyle name="#_핸드홀맨홀부표 3 2 13" xfId="20410"/>
    <cellStyle name="#_핸드홀맨홀부표 3 2 13 2" xfId="32855"/>
    <cellStyle name="#_핸드홀맨홀부표 3 2 14" xfId="19662"/>
    <cellStyle name="#_핸드홀맨홀부표 3 2 14 2" xfId="32116"/>
    <cellStyle name="#_핸드홀맨홀부표 3 2 15" xfId="18973"/>
    <cellStyle name="#_핸드홀맨홀부표 3 2 15 2" xfId="31678"/>
    <cellStyle name="#_핸드홀맨홀부표 3 2 16" xfId="24114"/>
    <cellStyle name="#_핸드홀맨홀부표 3 2 16 2" xfId="36545"/>
    <cellStyle name="#_핸드홀맨홀부표 3 2 17" xfId="18909"/>
    <cellStyle name="#_핸드홀맨홀부표 3 2 17 2" xfId="31614"/>
    <cellStyle name="#_핸드홀맨홀부표 3 2 18" xfId="24700"/>
    <cellStyle name="#_핸드홀맨홀부표 3 2 18 2" xfId="37131"/>
    <cellStyle name="#_핸드홀맨홀부표 3 2 19" xfId="20250"/>
    <cellStyle name="#_핸드홀맨홀부표 3 2 19 2" xfId="32695"/>
    <cellStyle name="#_핸드홀맨홀부표 3 2 2" xfId="16370"/>
    <cellStyle name="#_핸드홀맨홀부표 3 2 2 2" xfId="29146"/>
    <cellStyle name="#_핸드홀맨홀부표 3 2 20" xfId="18605"/>
    <cellStyle name="#_핸드홀맨홀부표 3 2 20 2" xfId="31310"/>
    <cellStyle name="#_핸드홀맨홀부표 3 2 21" xfId="18784"/>
    <cellStyle name="#_핸드홀맨홀부표 3 2 21 2" xfId="31489"/>
    <cellStyle name="#_핸드홀맨홀부표 3 2 3" xfId="12535"/>
    <cellStyle name="#_핸드홀맨홀부표 3 2 3 2" xfId="25415"/>
    <cellStyle name="#_핸드홀맨홀부표 3 2 4" xfId="15469"/>
    <cellStyle name="#_핸드홀맨홀부표 3 2 4 2" xfId="28278"/>
    <cellStyle name="#_핸드홀맨홀부표 3 2 5" xfId="13313"/>
    <cellStyle name="#_핸드홀맨홀부표 3 2 5 2" xfId="26181"/>
    <cellStyle name="#_핸드홀맨홀부표 3 2 6" xfId="13910"/>
    <cellStyle name="#_핸드홀맨홀부표 3 2 6 2" xfId="26769"/>
    <cellStyle name="#_핸드홀맨홀부표 3 2 7" xfId="17925"/>
    <cellStyle name="#_핸드홀맨홀부표 3 2 7 2" xfId="30637"/>
    <cellStyle name="#_핸드홀맨홀부표 3 2 8" xfId="17561"/>
    <cellStyle name="#_핸드홀맨홀부표 3 2 8 2" xfId="30281"/>
    <cellStyle name="#_핸드홀맨홀부표 3 2 9" xfId="17550"/>
    <cellStyle name="#_핸드홀맨홀부표 3 2 9 2" xfId="30271"/>
    <cellStyle name="#_핸드홀맨홀부표 3 3" xfId="15052"/>
    <cellStyle name="#_핸드홀맨홀부표 3 3 2" xfId="27873"/>
    <cellStyle name="#_핸드홀맨홀부표 4" xfId="6787"/>
    <cellStyle name="#_핸드홀맨홀부표 4 2" xfId="11112"/>
    <cellStyle name="#_핸드홀맨홀부표 4 2 10" xfId="14281"/>
    <cellStyle name="#_핸드홀맨홀부표 4 2 10 2" xfId="27115"/>
    <cellStyle name="#_핸드홀맨홀부표 4 2 11" xfId="22832"/>
    <cellStyle name="#_핸드홀맨홀부표 4 2 11 2" xfId="35266"/>
    <cellStyle name="#_핸드홀맨홀부표 4 2 12" xfId="21333"/>
    <cellStyle name="#_핸드홀맨홀부표 4 2 12 2" xfId="33770"/>
    <cellStyle name="#_핸드홀맨홀부표 4 2 13" xfId="20157"/>
    <cellStyle name="#_핸드홀맨홀부표 4 2 13 2" xfId="32603"/>
    <cellStyle name="#_핸드홀맨홀부표 4 2 14" xfId="23048"/>
    <cellStyle name="#_핸드홀맨홀부표 4 2 14 2" xfId="35481"/>
    <cellStyle name="#_핸드홀맨홀부표 4 2 15" xfId="18270"/>
    <cellStyle name="#_핸드홀맨홀부표 4 2 15 2" xfId="30976"/>
    <cellStyle name="#_핸드홀맨홀부표 4 2 16" xfId="20109"/>
    <cellStyle name="#_핸드홀맨홀부표 4 2 16 2" xfId="32555"/>
    <cellStyle name="#_핸드홀맨홀부표 4 2 17" xfId="23990"/>
    <cellStyle name="#_핸드홀맨홀부표 4 2 17 2" xfId="36421"/>
    <cellStyle name="#_핸드홀맨홀부표 4 2 18" xfId="24699"/>
    <cellStyle name="#_핸드홀맨홀부표 4 2 18 2" xfId="37130"/>
    <cellStyle name="#_핸드홀맨홀부표 4 2 19" xfId="22412"/>
    <cellStyle name="#_핸드홀맨홀부표 4 2 19 2" xfId="34846"/>
    <cellStyle name="#_핸드홀맨홀부표 4 2 2" xfId="16371"/>
    <cellStyle name="#_핸드홀맨홀부표 4 2 2 2" xfId="29147"/>
    <cellStyle name="#_핸드홀맨홀부표 4 2 20" xfId="23108"/>
    <cellStyle name="#_핸드홀맨홀부표 4 2 20 2" xfId="35541"/>
    <cellStyle name="#_핸드홀맨홀부표 4 2 21" xfId="23855"/>
    <cellStyle name="#_핸드홀맨홀부표 4 2 21 2" xfId="36286"/>
    <cellStyle name="#_핸드홀맨홀부표 4 2 3" xfId="12536"/>
    <cellStyle name="#_핸드홀맨홀부표 4 2 3 2" xfId="25416"/>
    <cellStyle name="#_핸드홀맨홀부표 4 2 4" xfId="15468"/>
    <cellStyle name="#_핸드홀맨홀부표 4 2 4 2" xfId="28277"/>
    <cellStyle name="#_핸드홀맨홀부표 4 2 5" xfId="14209"/>
    <cellStyle name="#_핸드홀맨홀부표 4 2 5 2" xfId="27057"/>
    <cellStyle name="#_핸드홀맨홀부표 4 2 6" xfId="15336"/>
    <cellStyle name="#_핸드홀맨홀부표 4 2 6 2" xfId="28153"/>
    <cellStyle name="#_핸드홀맨홀부표 4 2 7" xfId="17924"/>
    <cellStyle name="#_핸드홀맨홀부표 4 2 7 2" xfId="30636"/>
    <cellStyle name="#_핸드홀맨홀부표 4 2 8" xfId="13829"/>
    <cellStyle name="#_핸드홀맨홀부표 4 2 8 2" xfId="26688"/>
    <cellStyle name="#_핸드홀맨홀부표 4 2 9" xfId="12815"/>
    <cellStyle name="#_핸드홀맨홀부표 4 2 9 2" xfId="25691"/>
    <cellStyle name="#_핸드홀맨홀부표 4 3" xfId="15053"/>
    <cellStyle name="#_핸드홀맨홀부표 4 3 2" xfId="27874"/>
    <cellStyle name="#_핸드홀맨홀부표 5" xfId="6788"/>
    <cellStyle name="#_핸드홀맨홀부표 5 2" xfId="11113"/>
    <cellStyle name="#_핸드홀맨홀부표 5 2 10" xfId="18045"/>
    <cellStyle name="#_핸드홀맨홀부표 5 2 10 2" xfId="30756"/>
    <cellStyle name="#_핸드홀맨홀부표 5 2 11" xfId="22833"/>
    <cellStyle name="#_핸드홀맨홀부표 5 2 11 2" xfId="35267"/>
    <cellStyle name="#_핸드홀맨홀부표 5 2 12" xfId="21332"/>
    <cellStyle name="#_핸드홀맨홀부표 5 2 12 2" xfId="33769"/>
    <cellStyle name="#_핸드홀맨홀부표 5 2 13" xfId="20409"/>
    <cellStyle name="#_핸드홀맨홀부표 5 2 13 2" xfId="32854"/>
    <cellStyle name="#_핸드홀맨홀부표 5 2 14" xfId="19786"/>
    <cellStyle name="#_핸드홀맨홀부표 5 2 14 2" xfId="32236"/>
    <cellStyle name="#_핸드홀맨홀부표 5 2 15" xfId="22144"/>
    <cellStyle name="#_핸드홀맨홀부표 5 2 15 2" xfId="34580"/>
    <cellStyle name="#_핸드홀맨홀부표 5 2 16" xfId="21497"/>
    <cellStyle name="#_핸드홀맨홀부표 5 2 16 2" xfId="33934"/>
    <cellStyle name="#_핸드홀맨홀부표 5 2 17" xfId="19086"/>
    <cellStyle name="#_핸드홀맨홀부표 5 2 17 2" xfId="31791"/>
    <cellStyle name="#_핸드홀맨홀부표 5 2 18" xfId="18337"/>
    <cellStyle name="#_핸드홀맨홀부표 5 2 18 2" xfId="31043"/>
    <cellStyle name="#_핸드홀맨홀부표 5 2 19" xfId="24457"/>
    <cellStyle name="#_핸드홀맨홀부표 5 2 19 2" xfId="36888"/>
    <cellStyle name="#_핸드홀맨홀부표 5 2 2" xfId="16372"/>
    <cellStyle name="#_핸드홀맨홀부표 5 2 2 2" xfId="29148"/>
    <cellStyle name="#_핸드홀맨홀부표 5 2 20" xfId="21547"/>
    <cellStyle name="#_핸드홀맨홀부표 5 2 20 2" xfId="33984"/>
    <cellStyle name="#_핸드홀맨홀부표 5 2 21" xfId="18953"/>
    <cellStyle name="#_핸드홀맨홀부표 5 2 21 2" xfId="31658"/>
    <cellStyle name="#_핸드홀맨홀부표 5 2 3" xfId="12537"/>
    <cellStyle name="#_핸드홀맨홀부표 5 2 3 2" xfId="25417"/>
    <cellStyle name="#_핸드홀맨홀부표 5 2 4" xfId="15467"/>
    <cellStyle name="#_핸드홀맨홀부표 5 2 4 2" xfId="28276"/>
    <cellStyle name="#_핸드홀맨홀부표 5 2 5" xfId="13314"/>
    <cellStyle name="#_핸드홀맨홀부표 5 2 5 2" xfId="26182"/>
    <cellStyle name="#_핸드홀맨홀부표 5 2 6" xfId="13911"/>
    <cellStyle name="#_핸드홀맨홀부표 5 2 6 2" xfId="26770"/>
    <cellStyle name="#_핸드홀맨홀부표 5 2 7" xfId="17923"/>
    <cellStyle name="#_핸드홀맨홀부표 5 2 7 2" xfId="30635"/>
    <cellStyle name="#_핸드홀맨홀부표 5 2 8" xfId="17562"/>
    <cellStyle name="#_핸드홀맨홀부표 5 2 8 2" xfId="30282"/>
    <cellStyle name="#_핸드홀맨홀부표 5 2 9" xfId="14343"/>
    <cellStyle name="#_핸드홀맨홀부표 5 2 9 2" xfId="27176"/>
    <cellStyle name="#_핸드홀맨홀부표 5 3" xfId="15054"/>
    <cellStyle name="#_핸드홀맨홀부표 5 3 2" xfId="27875"/>
    <cellStyle name="#_핸드홀맨홀부표 6" xfId="6789"/>
    <cellStyle name="#_핸드홀맨홀부표 6 2" xfId="11114"/>
    <cellStyle name="#_핸드홀맨홀부표 6 2 10" xfId="17883"/>
    <cellStyle name="#_핸드홀맨홀부표 6 2 10 2" xfId="30597"/>
    <cellStyle name="#_핸드홀맨홀부표 6 2 11" xfId="22834"/>
    <cellStyle name="#_핸드홀맨홀부표 6 2 11 2" xfId="35268"/>
    <cellStyle name="#_핸드홀맨홀부표 6 2 12" xfId="21331"/>
    <cellStyle name="#_핸드홀맨홀부표 6 2 12 2" xfId="33768"/>
    <cellStyle name="#_핸드홀맨홀부표 6 2 13" xfId="20156"/>
    <cellStyle name="#_핸드홀맨홀부표 6 2 13 2" xfId="32602"/>
    <cellStyle name="#_핸드홀맨홀부표 6 2 14" xfId="19016"/>
    <cellStyle name="#_핸드홀맨홀부표 6 2 14 2" xfId="31721"/>
    <cellStyle name="#_핸드홀맨홀부표 6 2 15" xfId="22145"/>
    <cellStyle name="#_핸드홀맨홀부표 6 2 15 2" xfId="34581"/>
    <cellStyle name="#_핸드홀맨홀부표 6 2 16" xfId="22348"/>
    <cellStyle name="#_핸드홀맨홀부표 6 2 16 2" xfId="34782"/>
    <cellStyle name="#_핸드홀맨홀부표 6 2 17" xfId="23090"/>
    <cellStyle name="#_핸드홀맨홀부표 6 2 17 2" xfId="35523"/>
    <cellStyle name="#_핸드홀맨홀부표 6 2 18" xfId="22373"/>
    <cellStyle name="#_핸드홀맨홀부표 6 2 18 2" xfId="34807"/>
    <cellStyle name="#_핸드홀맨홀부표 6 2 19" xfId="18818"/>
    <cellStyle name="#_핸드홀맨홀부표 6 2 19 2" xfId="31523"/>
    <cellStyle name="#_핸드홀맨홀부표 6 2 2" xfId="16373"/>
    <cellStyle name="#_핸드홀맨홀부표 6 2 2 2" xfId="29149"/>
    <cellStyle name="#_핸드홀맨홀부표 6 2 20" xfId="22031"/>
    <cellStyle name="#_핸드홀맨홀부표 6 2 20 2" xfId="34468"/>
    <cellStyle name="#_핸드홀맨홀부표 6 2 21" xfId="20247"/>
    <cellStyle name="#_핸드홀맨홀부표 6 2 21 2" xfId="32692"/>
    <cellStyle name="#_핸드홀맨홀부표 6 2 3" xfId="12538"/>
    <cellStyle name="#_핸드홀맨홀부표 6 2 3 2" xfId="25418"/>
    <cellStyle name="#_핸드홀맨홀부표 6 2 4" xfId="15466"/>
    <cellStyle name="#_핸드홀맨홀부표 6 2 4 2" xfId="28275"/>
    <cellStyle name="#_핸드홀맨홀부표 6 2 5" xfId="16459"/>
    <cellStyle name="#_핸드홀맨홀부표 6 2 5 2" xfId="29235"/>
    <cellStyle name="#_핸드홀맨홀부표 6 2 6" xfId="15337"/>
    <cellStyle name="#_핸드홀맨홀부표 6 2 6 2" xfId="28154"/>
    <cellStyle name="#_핸드홀맨홀부표 6 2 7" xfId="17922"/>
    <cellStyle name="#_핸드홀맨홀부표 6 2 7 2" xfId="30634"/>
    <cellStyle name="#_핸드홀맨홀부표 6 2 8" xfId="14696"/>
    <cellStyle name="#_핸드홀맨홀부표 6 2 8 2" xfId="27522"/>
    <cellStyle name="#_핸드홀맨홀부표 6 2 9" xfId="13966"/>
    <cellStyle name="#_핸드홀맨홀부표 6 2 9 2" xfId="26823"/>
    <cellStyle name="#_핸드홀맨홀부표 6 3" xfId="15055"/>
    <cellStyle name="#_핸드홀맨홀부표 6 3 2" xfId="27876"/>
    <cellStyle name="#_핸드홀맨홀부표 7" xfId="11109"/>
    <cellStyle name="#_핸드홀맨홀부표 7 10" xfId="18047"/>
    <cellStyle name="#_핸드홀맨홀부표 7 10 2" xfId="30758"/>
    <cellStyle name="#_핸드홀맨홀부표 7 11" xfId="22829"/>
    <cellStyle name="#_핸드홀맨홀부표 7 11 2" xfId="35263"/>
    <cellStyle name="#_핸드홀맨홀부표 7 12" xfId="21336"/>
    <cellStyle name="#_핸드홀맨홀부표 7 12 2" xfId="33773"/>
    <cellStyle name="#_핸드홀맨홀부표 7 13" xfId="20411"/>
    <cellStyle name="#_핸드홀맨홀부표 7 13 2" xfId="32856"/>
    <cellStyle name="#_핸드홀맨홀부표 7 14" xfId="21797"/>
    <cellStyle name="#_핸드홀맨홀부표 7 14 2" xfId="34234"/>
    <cellStyle name="#_핸드홀맨홀부표 7 15" xfId="18971"/>
    <cellStyle name="#_핸드홀맨홀부표 7 15 2" xfId="31676"/>
    <cellStyle name="#_핸드홀맨홀부표 7 16" xfId="24115"/>
    <cellStyle name="#_핸드홀맨홀부표 7 16 2" xfId="36546"/>
    <cellStyle name="#_핸드홀맨홀부표 7 17" xfId="18788"/>
    <cellStyle name="#_핸드홀맨홀부표 7 17 2" xfId="31493"/>
    <cellStyle name="#_핸드홀맨홀부표 7 18" xfId="24702"/>
    <cellStyle name="#_핸드홀맨홀부표 7 18 2" xfId="37133"/>
    <cellStyle name="#_핸드홀맨홀부표 7 19" xfId="20830"/>
    <cellStyle name="#_핸드홀맨홀부표 7 19 2" xfId="33267"/>
    <cellStyle name="#_핸드홀맨홀부표 7 2" xfId="16368"/>
    <cellStyle name="#_핸드홀맨홀부표 7 2 2" xfId="29144"/>
    <cellStyle name="#_핸드홀맨홀부표 7 20" xfId="18606"/>
    <cellStyle name="#_핸드홀맨홀부표 7 20 2" xfId="31311"/>
    <cellStyle name="#_핸드홀맨홀부표 7 21" xfId="18827"/>
    <cellStyle name="#_핸드홀맨홀부표 7 21 2" xfId="31532"/>
    <cellStyle name="#_핸드홀맨홀부표 7 3" xfId="12533"/>
    <cellStyle name="#_핸드홀맨홀부표 7 3 2" xfId="25413"/>
    <cellStyle name="#_핸드홀맨홀부표 7 4" xfId="16631"/>
    <cellStyle name="#_핸드홀맨홀부표 7 4 2" xfId="29407"/>
    <cellStyle name="#_핸드홀맨홀부표 7 5" xfId="13312"/>
    <cellStyle name="#_핸드홀맨홀부표 7 5 2" xfId="26180"/>
    <cellStyle name="#_핸드홀맨홀부표 7 6" xfId="13909"/>
    <cellStyle name="#_핸드홀맨홀부표 7 6 2" xfId="26768"/>
    <cellStyle name="#_핸드홀맨홀부표 7 7" xfId="13007"/>
    <cellStyle name="#_핸드홀맨홀부표 7 7 2" xfId="25882"/>
    <cellStyle name="#_핸드홀맨홀부표 7 8" xfId="17133"/>
    <cellStyle name="#_핸드홀맨홀부표 7 8 2" xfId="29867"/>
    <cellStyle name="#_핸드홀맨홀부표 7 9" xfId="17102"/>
    <cellStyle name="#_핸드홀맨홀부표 7 9 2" xfId="29837"/>
    <cellStyle name="#_핸드홀맨홀부표 8" xfId="15050"/>
    <cellStyle name="#_핸드홀맨홀부표 8 2" xfId="27871"/>
    <cellStyle name="$" xfId="9"/>
    <cellStyle name="$ 2" xfId="11115"/>
    <cellStyle name="$_0008금감원통합감독검사정보시스템" xfId="6790"/>
    <cellStyle name="$_0009김포공항LED교체공사(광일)" xfId="6791"/>
    <cellStyle name="$_0011KIST소각설비제작설치" xfId="6792"/>
    <cellStyle name="$_0011긴급전화기정산(99년형광일)" xfId="6793"/>
    <cellStyle name="$_0011부산종합경기장전광판" xfId="6794"/>
    <cellStyle name="$_0012문화유적지표석제작설치" xfId="6795"/>
    <cellStyle name="$_001오염방지그라우팅수량산출" xfId="11403"/>
    <cellStyle name="$_0102국제조명신공항분수조명" xfId="6796"/>
    <cellStyle name="$_0103회전식현수막게시대제작설치" xfId="6797"/>
    <cellStyle name="$_0104포항시침출수처리시스템" xfId="6798"/>
    <cellStyle name="$_0105담배자판기개조원가" xfId="6799"/>
    <cellStyle name="$_0106LG인버터냉난방기제작-1" xfId="6800"/>
    <cellStyle name="$_0107광전송장비구매설치" xfId="6801"/>
    <cellStyle name="$_0107도공IBS설비SW부문(참조)" xfId="6802"/>
    <cellStyle name="$_0107문화재복원용목재-8월6일" xfId="6803"/>
    <cellStyle name="$_0107포천영중수배전반(제조,설치)" xfId="6804"/>
    <cellStyle name="$_0108농기반미곡건조기제작설치" xfId="6805"/>
    <cellStyle name="$_0108담배인삼공사영업춘추복" xfId="6806"/>
    <cellStyle name="$_0108한국전기교통-LED교통신호등((원본))" xfId="6807"/>
    <cellStyle name="$_0111해양수산부등명기제작" xfId="6808"/>
    <cellStyle name="$_0111핸디소프트-전자표준문서시스템" xfId="6809"/>
    <cellStyle name="$_0112금감원사무자동화시스템" xfId="6810"/>
    <cellStyle name="$_0112수도권매립지SW원가" xfId="6811"/>
    <cellStyle name="$_0112중고원-HRD종합정보망구축(完)" xfId="6812"/>
    <cellStyle name="$_0201종합예술회관의자제작설치-1" xfId="6813"/>
    <cellStyle name="$_0202마사회근무복" xfId="6814"/>
    <cellStyle name="$_0202부경교재-승강칠판" xfId="6815"/>
    <cellStyle name="$_0204한국석묘납골함-1규격" xfId="6816"/>
    <cellStyle name="$_0206금감원금융정보교환망재구축" xfId="6817"/>
    <cellStyle name="$_0206정통부수납장표기기제작설치" xfId="6818"/>
    <cellStyle name="$_0207담배인삼공사-담요" xfId="6819"/>
    <cellStyle name="$_0208레비텍-다층여과기설계변경" xfId="6820"/>
    <cellStyle name="$_0209이산화염소발생기-설치(50K)" xfId="6821"/>
    <cellStyle name="$_0210현대정보기술-TD이중계" xfId="6822"/>
    <cellStyle name="$_0211조달청-#1대북지원사업정산(1월7일)" xfId="6823"/>
    <cellStyle name="$_0212금감원-법규정보시스템(完)" xfId="6824"/>
    <cellStyle name="$_0301교통방송-CCTV유지보수" xfId="6825"/>
    <cellStyle name="$_0302인천경찰청-무인단속기위탁관리" xfId="6826"/>
    <cellStyle name="$_0302조달청-대북지원2차(안성연)" xfId="6827"/>
    <cellStyle name="$_0302조달청-대북지원2차(최수현)" xfId="6828"/>
    <cellStyle name="$_0302표준문서-쌍용정보통신(신)" xfId="6829"/>
    <cellStyle name="$_0304소프트파워-정부표준전자문서시스템" xfId="6830"/>
    <cellStyle name="$_0304소프트파워-정부표준전자문서시스템(完)" xfId="6831"/>
    <cellStyle name="$_0304철도청-주변환장치-1" xfId="6832"/>
    <cellStyle name="$_0305금감원-금융통계정보시스템구축(完)" xfId="6833"/>
    <cellStyle name="$_0305제낭조합-면범포지" xfId="6834"/>
    <cellStyle name="$_0306제낭공업협동조합-면범포지원단(경비까지)" xfId="6835"/>
    <cellStyle name="$_0307경찰청-무인교통단속표준SW개발용역(完)" xfId="6836"/>
    <cellStyle name="$_0308조달청-#8대북지원사업정산" xfId="6837"/>
    <cellStyle name="$_0309두합크린텍-설치원가" xfId="6838"/>
    <cellStyle name="$_0309조달청-#9대북지원사업정산" xfId="6839"/>
    <cellStyle name="$_0310여주상수도-탈수기(유천ENG)" xfId="6840"/>
    <cellStyle name="$_0311대기해양작업시간" xfId="6841"/>
    <cellStyle name="$_0311대기해양중형등명기" xfId="6842"/>
    <cellStyle name="$_0312국민체육진흥공단-전기부문" xfId="6843"/>
    <cellStyle name="$_0312대기해양-중형등명기제작설치" xfId="6844"/>
    <cellStyle name="$_0312라이준-칼라아스콘4규격" xfId="6845"/>
    <cellStyle name="$_0401집진기프로그램SW개발비산정" xfId="6846"/>
    <cellStyle name="$_2001-06조달청신성-한냉지형" xfId="6847"/>
    <cellStyle name="$_2002-03경찰대학-졸업식" xfId="6848"/>
    <cellStyle name="$_2002-03경찰청-경찰표지장" xfId="6849"/>
    <cellStyle name="$_2002-03반디-가로등(열주형)" xfId="6850"/>
    <cellStyle name="$_2002-03신화전자-감지기" xfId="6851"/>
    <cellStyle name="$_2002-04강원랜드-슬러트머신" xfId="6852"/>
    <cellStyle name="$_2002-04메가컴-외주무대" xfId="6853"/>
    <cellStyle name="$_2002-04엘지애드-무대" xfId="6854"/>
    <cellStyle name="$_2002-05강원랜드-슬러트머신(넥스터)" xfId="6855"/>
    <cellStyle name="$_2002-05경기경찰청-냉온수기공사" xfId="6856"/>
    <cellStyle name="$_2002-05대통령비서실-카페트" xfId="6857"/>
    <cellStyle name="$_2002결과표" xfId="6858"/>
    <cellStyle name="$_2002결과표1" xfId="6859"/>
    <cellStyle name="$_2003-01정일사-표창5종" xfId="6860"/>
    <cellStyle name="$_2004년완성공사원가경비율(변경최종))" xfId="6861"/>
    <cellStyle name="$_2004년완성공사원가경비율(조달청미적용)1" xfId="6862"/>
    <cellStyle name="$_2-배수간선변경수량" xfId="11404"/>
    <cellStyle name="$_3.토공 수량산출" xfId="11405"/>
    <cellStyle name="$_5월부산마사회발주기제작1" xfId="6863"/>
    <cellStyle name="$_db진흥" xfId="10"/>
    <cellStyle name="$_db진흥 2" xfId="6864"/>
    <cellStyle name="$_db진흥 3" xfId="11406"/>
    <cellStyle name="$_db진흥 4" xfId="11407"/>
    <cellStyle name="$_Pilot플랜트-계변경" xfId="6865"/>
    <cellStyle name="$_Pilot플랜트이전설치-변경최종" xfId="6866"/>
    <cellStyle name="$_SE40" xfId="11"/>
    <cellStyle name="$_SE40 2" xfId="6867"/>
    <cellStyle name="$_SW(케이비)" xfId="6868"/>
    <cellStyle name="$_각종설계위치도" xfId="11408"/>
    <cellStyle name="$_간이상수도폐공사업 실행예산서" xfId="11409"/>
    <cellStyle name="$_간지,목차,페이지,표지" xfId="6869"/>
    <cellStyle name="$_간지,목차,페이지,표지(원가별)" xfId="6870"/>
    <cellStyle name="$_갈성설계서" xfId="11410"/>
    <cellStyle name="$_개미골 지하수설계서(변경1)" xfId="11411"/>
    <cellStyle name="$_견적2" xfId="12"/>
    <cellStyle name="$_견적2 2" xfId="6871"/>
    <cellStyle name="$_견적2 3" xfId="11412"/>
    <cellStyle name="$_견적2 4" xfId="11413"/>
    <cellStyle name="$_경찰청-근무,기동복" xfId="6872"/>
    <cellStyle name="$_공사비" xfId="11414"/>
    <cellStyle name="$_공사비1" xfId="11415"/>
    <cellStyle name="$_공사비정산" xfId="11416"/>
    <cellStyle name="$_공사비최종1" xfId="11417"/>
    <cellStyle name="$_공사일반관리비양식" xfId="6873"/>
    <cellStyle name="$_기아" xfId="13"/>
    <cellStyle name="$_기아 2" xfId="6874"/>
    <cellStyle name="$_기초공사" xfId="6875"/>
    <cellStyle name="$_네인텍정보기술-회로카드(수현)" xfId="6876"/>
    <cellStyle name="$_농기반기성양식" xfId="11418"/>
    <cellStyle name="$_단가산출" xfId="11419"/>
    <cellStyle name="$_대기해양노무비" xfId="6877"/>
    <cellStyle name="$_대북자재8월분" xfId="6878"/>
    <cellStyle name="$_대북자재8월분-1" xfId="6879"/>
    <cellStyle name="$_덕실지구2005(여수토)실형고" xfId="11420"/>
    <cellStyle name="$_독저울골 관로매설공사" xfId="11421"/>
    <cellStyle name="$_동산용사촌수현(원본)" xfId="6880"/>
    <cellStyle name="$_동월농로" xfId="11422"/>
    <cellStyle name="$_동월농로(변경)" xfId="11423"/>
    <cellStyle name="$_동월농로1" xfId="11424"/>
    <cellStyle name="$_백제군사전시1" xfId="6881"/>
    <cellStyle name="$_변경설계서(최종)-2" xfId="11425"/>
    <cellStyle name="$_복사본 대곡배수장변경" xfId="11426"/>
    <cellStyle name="$_사천배춘 실행예산서-1" xfId="11427"/>
    <cellStyle name="$_석축공" xfId="11428"/>
    <cellStyle name="$_석축쌓기공사비및 단가산출서" xfId="11429"/>
    <cellStyle name="$_설계서(납품)" xfId="11430"/>
    <cellStyle name="$_설계서(납품수정)" xfId="11431"/>
    <cellStyle name="$_설계설명서및 기타" xfId="11432"/>
    <cellStyle name="$_수량산출" xfId="11433"/>
    <cellStyle name="$_수량산출-1공구" xfId="11434"/>
    <cellStyle name="$_수초제거기(대양기계)" xfId="6882"/>
    <cellStyle name="$_시설용역" xfId="6883"/>
    <cellStyle name="$_신화BS" xfId="6884"/>
    <cellStyle name="$_암전정밀실체현미경(수현)" xfId="6885"/>
    <cellStyle name="$_영산천 하수처리장 시설공사" xfId="6886"/>
    <cellStyle name="$_오리엔탈" xfId="6887"/>
    <cellStyle name="$_운반비내역" xfId="11435"/>
    <cellStyle name="$_원본 - 한국전기교통-개선형신호등 4종" xfId="6888"/>
    <cellStyle name="$_재료비" xfId="6889"/>
    <cellStyle name="$_정자절골소류지수해복구공사1" xfId="11436"/>
    <cellStyle name="$_제경비율모음" xfId="6890"/>
    <cellStyle name="$_제조원가" xfId="6891"/>
    <cellStyle name="$_조달청-B판사천강교제작(최종본)" xfId="6892"/>
    <cellStyle name="$_조달청-대북지원3차(최수현)" xfId="6893"/>
    <cellStyle name="$_조달청-대북지원4차(최수현)" xfId="6894"/>
    <cellStyle name="$_조달청-대북지원5차(최수현)" xfId="6895"/>
    <cellStyle name="$_조달청-대북지원6차(번호)" xfId="6896"/>
    <cellStyle name="$_조달청-대북지원6차(최수현)" xfId="6897"/>
    <cellStyle name="$_조달청-대북지원7차(최수현)" xfId="6898"/>
    <cellStyle name="$_조달청-대북지원8차(최수현)" xfId="6899"/>
    <cellStyle name="$_조달청-대북지원9차(최수현)" xfId="6900"/>
    <cellStyle name="$_중앙선관위(투표,개표)" xfId="6901"/>
    <cellStyle name="$_중앙선관위(투표,개표)-사본" xfId="6902"/>
    <cellStyle name="$_지수천1수해(전석)" xfId="11437"/>
    <cellStyle name="$_지하수설계서" xfId="11438"/>
    <cellStyle name="$_창바지위치도" xfId="11439"/>
    <cellStyle name="$_철공가공조립" xfId="6903"/>
    <cellStyle name="$_철도청-조명기구" xfId="6904"/>
    <cellStyle name="$_최종-한국전기교통-개선형신호등 4종(공수조정)" xfId="6905"/>
    <cellStyle name="$_추동소하천정비공사(설계내역서)" xfId="11440"/>
    <cellStyle name="$_코솔라-제조원가" xfId="6906"/>
    <cellStyle name="$_테마공사새로03" xfId="6907"/>
    <cellStyle name="$_토지공사-간접비" xfId="6908"/>
    <cellStyle name="$_평창증설매립장-설치" xfId="6909"/>
    <cellStyle name="$_한국가스공사필터제조부문" xfId="6910"/>
    <cellStyle name="$_한국도로공사" xfId="6911"/>
    <cellStyle name="$_한전내역서-최종" xfId="6912"/>
    <cellStyle name="(_x0010_" xfId="6913"/>
    <cellStyle name="(_x0010_ 2" xfId="6914"/>
    <cellStyle name="(△콤마)" xfId="14"/>
    <cellStyle name="(1)" xfId="15"/>
    <cellStyle name="(백분율)" xfId="16"/>
    <cellStyle name="(콤마)" xfId="17"/>
    <cellStyle name=";;;" xfId="18"/>
    <cellStyle name=";;; 10" xfId="17490"/>
    <cellStyle name=";;; 10 2" xfId="30212"/>
    <cellStyle name=";;; 11" xfId="18252"/>
    <cellStyle name=";;; 12" xfId="22642"/>
    <cellStyle name=";;; 12 2" xfId="35076"/>
    <cellStyle name=";;; 13" xfId="21523"/>
    <cellStyle name=";;; 13 2" xfId="33960"/>
    <cellStyle name=";;; 14" xfId="20498"/>
    <cellStyle name=";;; 14 2" xfId="32943"/>
    <cellStyle name=";;; 15" xfId="20083"/>
    <cellStyle name=";;; 15 2" xfId="32529"/>
    <cellStyle name=";;; 16" xfId="18266"/>
    <cellStyle name=";;; 16 2" xfId="30972"/>
    <cellStyle name=";;; 17" xfId="18838"/>
    <cellStyle name=";;; 17 2" xfId="31543"/>
    <cellStyle name=";;; 18" xfId="21966"/>
    <cellStyle name=";;; 18 2" xfId="34403"/>
    <cellStyle name=";;; 19" xfId="23531"/>
    <cellStyle name=";;; 19 2" xfId="35962"/>
    <cellStyle name=";;; 2" xfId="12390"/>
    <cellStyle name=";;; 2 2" xfId="25270"/>
    <cellStyle name=";;; 20" xfId="21845"/>
    <cellStyle name=";;; 20 2" xfId="34282"/>
    <cellStyle name=";;; 21" xfId="22301"/>
    <cellStyle name=";;; 21 2" xfId="34735"/>
    <cellStyle name=";;; 3" xfId="14196"/>
    <cellStyle name=";;; 3 2" xfId="27044"/>
    <cellStyle name=";;; 4" xfId="14448"/>
    <cellStyle name=";;; 4 2" xfId="27280"/>
    <cellStyle name=";;; 5" xfId="15479"/>
    <cellStyle name=";;; 5 2" xfId="28288"/>
    <cellStyle name=";;; 6" xfId="12796"/>
    <cellStyle name=";;; 6 2" xfId="25672"/>
    <cellStyle name=";;; 7" xfId="13078"/>
    <cellStyle name=";;; 7 2" xfId="25947"/>
    <cellStyle name=";;; 8" xfId="15656"/>
    <cellStyle name=";;; 8 2" xfId="28463"/>
    <cellStyle name=";;; 9" xfId="15436"/>
    <cellStyle name=";;; 9 2" xfId="28245"/>
    <cellStyle name="?" xfId="6915"/>
    <cellStyle name="? 2" xfId="6916"/>
    <cellStyle name="?? [0]_????? " xfId="6917"/>
    <cellStyle name="??_x000c_둄_x001b__x000d_|?_x0001_?_x0003__x0014__x0007__x0001__x0001_" xfId="19"/>
    <cellStyle name="??_x000c_靖?崧U_x0001_A_x0014_?_x0007__x0001__x0001_" xfId="6918"/>
    <cellStyle name="??&amp;5_x0007_?._x0007_9_x0008_??_x0007__x0001__x0001_" xfId="20"/>
    <cellStyle name="??&amp;6_x0007_?/_x0007_9_x0008_??_x0007__x0001__x0001_" xfId="21"/>
    <cellStyle name="??&amp;O?&amp;H?_x0008__x000f__x0007_?_x0007__x0001__x0001_" xfId="22"/>
    <cellStyle name="??&amp;O?&amp;H?_x0008_??_x0007__x0001__x0001_" xfId="23"/>
    <cellStyle name="??&amp;O?&amp;H?_x0008_x_x000b_P_x000c__x0007__x0001__x0001_" xfId="11441"/>
    <cellStyle name="??&amp;쏗?뷐9_x0008__x0011__x0007_?_x0007__x0001__x0001_" xfId="5157"/>
    <cellStyle name="???_x0010_" xfId="24"/>
    <cellStyle name="???­ [0]_??º?¼?·®??°? " xfId="11442"/>
    <cellStyle name="???­_??º?¼?·®??°? " xfId="11443"/>
    <cellStyle name="???Ø_??¾÷º?º° ??°? " xfId="25"/>
    <cellStyle name="??_????? " xfId="5158"/>
    <cellStyle name="?Þ¸¶ [0]_??º?¼?·®??°? " xfId="11444"/>
    <cellStyle name="?Þ¸¶_??º?¼?·®??°? " xfId="11445"/>
    <cellStyle name="?W?_laroux" xfId="26"/>
    <cellStyle name="?曹%U?&amp;H?_x0008_?s_x000a__x0007__x0001__x0001_" xfId="27"/>
    <cellStyle name="?珠??? " xfId="6919"/>
    <cellStyle name="@_laroux" xfId="6920"/>
    <cellStyle name="@_laroux 2" xfId="6921"/>
    <cellStyle name="@_laroux 3" xfId="6922"/>
    <cellStyle name="@_laroux_제트베인" xfId="6923"/>
    <cellStyle name="@_laroux_제트베인 2" xfId="6924"/>
    <cellStyle name="@_laroux_제트베인 3" xfId="6925"/>
    <cellStyle name="@_laroux_제트베인_1" xfId="6926"/>
    <cellStyle name="@_laroux_제트베인_1 2" xfId="6927"/>
    <cellStyle name="@_laroux_제트베인_1 3" xfId="6928"/>
    <cellStyle name="@_laroux_제트베인_1 4" xfId="6929"/>
    <cellStyle name="@_laroux_제트베인_1_100%-2006신호-" xfId="6930"/>
    <cellStyle name="@_laroux_제트베인_1_100%-2006신호- 2" xfId="6931"/>
    <cellStyle name="@_laroux_제트베인_1_100%-2006신호- 3" xfId="6932"/>
    <cellStyle name="@_laroux_제트베인_1_100%-2006신호- 4" xfId="6933"/>
    <cellStyle name="@_laroux_제트베인_1_100%-2006신호-_LED - 개2" xfId="6934"/>
    <cellStyle name="@_laroux_제트베인_1_100%-2006신호-_LED - 개2 2" xfId="6935"/>
    <cellStyle name="@_laroux_제트베인_1_100%-2006신호-_LED - 개2 3" xfId="6936"/>
    <cellStyle name="@_laroux_제트베인_1_100%-2006신호-_LED - 개2 4" xfId="6937"/>
    <cellStyle name="@_laroux_제트베인_1_100%-2006신호-_LED - 개2_LED성동완" xfId="6938"/>
    <cellStyle name="@_laroux_제트베인_1_100%-2006신호-_LED - 개2_LED성동완 2" xfId="6939"/>
    <cellStyle name="@_laroux_제트베인_1_100%-2006신호-_LED - 개2_LED성동완 3" xfId="6940"/>
    <cellStyle name="@_laroux_제트베인_1_100%-2006신호-_LED - 개2_LED성동완 4" xfId="6941"/>
    <cellStyle name="@_laroux_제트베인_1_100%-2006신호-_LED - 개2_LED성동완_설계내역서" xfId="6942"/>
    <cellStyle name="@_laroux_제트베인_1_100%-2006신호-_LED - 개2_설계내역서" xfId="6943"/>
    <cellStyle name="@_laroux_제트베인_1_100%-2006신호-_사본 - LED - 개2" xfId="6944"/>
    <cellStyle name="@_laroux_제트베인_1_100%-2006신호-_사본 - LED - 개2 2" xfId="6945"/>
    <cellStyle name="@_laroux_제트베인_1_100%-2006신호-_사본 - LED - 개2 3" xfId="6946"/>
    <cellStyle name="@_laroux_제트베인_1_100%-2006신호-_사본 - LED - 개2 4" xfId="6947"/>
    <cellStyle name="@_laroux_제트베인_1_100%-2006신호-_사본 - LED - 개2_LED성동완" xfId="6948"/>
    <cellStyle name="@_laroux_제트베인_1_100%-2006신호-_사본 - LED - 개2_LED성동완 2" xfId="6949"/>
    <cellStyle name="@_laroux_제트베인_1_100%-2006신호-_사본 - LED - 개2_LED성동완 3" xfId="6950"/>
    <cellStyle name="@_laroux_제트베인_1_100%-2006신호-_사본 - LED - 개2_LED성동완 4" xfId="6951"/>
    <cellStyle name="@_laroux_제트베인_1_100%-2006신호-_사본 - LED - 개2_LED성동완_설계내역서" xfId="6952"/>
    <cellStyle name="@_laroux_제트베인_1_100%-2006신호-_사본 - LED - 개2_설계내역서" xfId="6953"/>
    <cellStyle name="@_laroux_제트베인_1_100%-2006신호-_사본 - LED성동 물량2" xfId="6954"/>
    <cellStyle name="@_laroux_제트베인_1_100%-2006신호-_사본 - LED성동 물량2 2" xfId="6955"/>
    <cellStyle name="@_laroux_제트베인_1_100%-2006신호-_사본 - LED성동 물량2 3" xfId="6956"/>
    <cellStyle name="@_laroux_제트베인_1_100%-2006신호-_사본 - LED성동 물량2 4" xfId="6957"/>
    <cellStyle name="@_laroux_제트베인_1_100%-2006신호-_사본 - LED성동 물량2_LED성동완" xfId="6958"/>
    <cellStyle name="@_laroux_제트베인_1_100%-2006신호-_사본 - LED성동 물량2_LED성동완 2" xfId="6959"/>
    <cellStyle name="@_laroux_제트베인_1_100%-2006신호-_사본 - LED성동 물량2_LED성동완 3" xfId="6960"/>
    <cellStyle name="@_laroux_제트베인_1_100%-2006신호-_사본 - LED성동 물량2_LED성동완 4" xfId="6961"/>
    <cellStyle name="@_laroux_제트베인_1_100%-2006신호-_사본 - LED성동 물량2_LED성동완_설계내역서" xfId="6962"/>
    <cellStyle name="@_laroux_제트베인_1_100%-2006신호-_사본 - LED성동 물량2_설계내역서" xfId="6963"/>
    <cellStyle name="@_laroux_제트베인_1_100%-2006신호-_설계내역서" xfId="6964"/>
    <cellStyle name="@_laroux_제트베인_1_2007 교통신호기 설치공사 설계내역서(제1지역)" xfId="6965"/>
    <cellStyle name="@_laroux_제트베인_1_2007 교통신호기 설치공사 설계내역서(제1지역) 2" xfId="6966"/>
    <cellStyle name="@_laroux_제트베인_1_2007 교통신호기 설치공사 설계내역서(제1지역) 3" xfId="6967"/>
    <cellStyle name="@_laroux_제트베인_1_2007 교통신호기 설치공사 설계내역서(제1지역) 4" xfId="6968"/>
    <cellStyle name="@_laroux_제트베인_1_2007 교통신호기 설치공사 설계내역서(제1지역)_07어린이보호구역내역서(신서외10개소)낙찰율(전기)" xfId="6969"/>
    <cellStyle name="@_laroux_제트베인_1_2007 교통신호기 설치공사 설계내역서(제1지역)_07어린이보호구역내역서(신서외10개소)낙찰율(전기) 2" xfId="6970"/>
    <cellStyle name="@_laroux_제트베인_1_2007 교통신호기 설치공사 설계내역서(제1지역)_07어린이보호구역내역서(신서외10개소)낙찰율(전기) 3" xfId="6971"/>
    <cellStyle name="@_laroux_제트베인_1_2007 교통신호기 설치공사 설계내역서(제1지역)_07어린이보호구역내역서(신서외10개소)낙찰율(전기) 4" xfId="6972"/>
    <cellStyle name="@_laroux_제트베인_1_2007 교통신호기 설치공사 설계내역서(제1지역)_07어린이보호구역내역서(신서외10개소)낙찰율(전기)_설계내역서" xfId="6973"/>
    <cellStyle name="@_laroux_제트베인_1_2007 교통신호기 설치공사 설계내역서(제1지역)_1111물량(교통사고잦은곳2차)" xfId="6974"/>
    <cellStyle name="@_laroux_제트베인_1_2007 교통신호기 설치공사 설계내역서(제1지역)_1111물량(교통사고잦은곳2차) 2" xfId="6975"/>
    <cellStyle name="@_laroux_제트베인_1_2007 교통신호기 설치공사 설계내역서(제1지역)_1111물량(교통사고잦은곳2차) 3" xfId="6976"/>
    <cellStyle name="@_laroux_제트베인_1_2007 교통신호기 설치공사 설계내역서(제1지역)_1111물량(교통사고잦은곳2차) 4" xfId="6977"/>
    <cellStyle name="@_laroux_제트베인_1_2007 교통신호기 설치공사 설계내역서(제1지역)_1111물량(교통사고잦은곳2차)_설계내역서" xfId="6978"/>
    <cellStyle name="@_laroux_제트베인_1_2007 교통신호기 설치공사 설계내역서(제1지역)_1어린이보호구역내역서(신서외10개소)낙찰율(전기통신포함)-최종수정본-2" xfId="6979"/>
    <cellStyle name="@_laroux_제트베인_1_2007 교통신호기 설치공사 설계내역서(제1지역)_1어린이보호구역내역서(신서외10개소)낙찰율(전기통신포함)-최종수정본-2 2" xfId="6980"/>
    <cellStyle name="@_laroux_제트베인_1_2007 교통신호기 설치공사 설계내역서(제1지역)_1어린이보호구역내역서(신서외10개소)낙찰율(전기통신포함)-최종수정본-2 3" xfId="6981"/>
    <cellStyle name="@_laroux_제트베인_1_2007 교통신호기 설치공사 설계내역서(제1지역)_1어린이보호구역내역서(신서외10개소)낙찰율(전기통신포함)-최종수정본-2 4" xfId="6982"/>
    <cellStyle name="@_laroux_제트베인_1_2007 교통신호기 설치공사 설계내역서(제1지역)_1어린이보호구역내역서(신서외10개소)낙찰율(전기통신포함)-최종수정본-2_설계내역서" xfId="6983"/>
    <cellStyle name="@_laroux_제트베인_1_2007 교통신호기 설치공사 설계내역서(제1지역)_2007 교통신호기 설치공사 설계내역서(제1지역)" xfId="6984"/>
    <cellStyle name="@_laroux_제트베인_1_2007 교통신호기 설치공사 설계내역서(제1지역)_2007 교통신호기 설치공사 설계내역서(제1지역) 2" xfId="6985"/>
    <cellStyle name="@_laroux_제트베인_1_2007 교통신호기 설치공사 설계내역서(제1지역)_2007 교통신호기 설치공사 설계내역서(제1지역) 3" xfId="6986"/>
    <cellStyle name="@_laroux_제트베인_1_2007 교통신호기 설치공사 설계내역서(제1지역)_2007 교통신호기 설치공사 설계내역서(제1지역) 4" xfId="6987"/>
    <cellStyle name="@_laroux_제트베인_1_2007 교통신호기 설치공사 설계내역서(제1지역)_2007 교통신호기 설치공사 설계내역서(제1지역)_1" xfId="6988"/>
    <cellStyle name="@_laroux_제트베인_1_2007 교통신호기 설치공사 설계내역서(제1지역)_2007 교통신호기 설치공사 설계내역서(제1지역)_1 2" xfId="6989"/>
    <cellStyle name="@_laroux_제트베인_1_2007 교통신호기 설치공사 설계내역서(제1지역)_2007 교통신호기 설치공사 설계내역서(제1지역)_1 3" xfId="6990"/>
    <cellStyle name="@_laroux_제트베인_1_2007 교통신호기 설치공사 설계내역서(제1지역)_2007 교통신호기 설치공사 설계내역서(제1지역)_1 4" xfId="6991"/>
    <cellStyle name="@_laroux_제트베인_1_2007 교통신호기 설치공사 설계내역서(제1지역)_2007 교통신호기 설치공사 설계내역서(제1지역)_1_LED - 개2" xfId="6992"/>
    <cellStyle name="@_laroux_제트베인_1_2007 교통신호기 설치공사 설계내역서(제1지역)_2007 교통신호기 설치공사 설계내역서(제1지역)_1_LED - 개2 2" xfId="6993"/>
    <cellStyle name="@_laroux_제트베인_1_2007 교통신호기 설치공사 설계내역서(제1지역)_2007 교통신호기 설치공사 설계내역서(제1지역)_1_LED - 개2 3" xfId="6994"/>
    <cellStyle name="@_laroux_제트베인_1_2007 교통신호기 설치공사 설계내역서(제1지역)_2007 교통신호기 설치공사 설계내역서(제1지역)_1_LED - 개2 4" xfId="6995"/>
    <cellStyle name="@_laroux_제트베인_1_2007 교통신호기 설치공사 설계내역서(제1지역)_2007 교통신호기 설치공사 설계내역서(제1지역)_1_LED - 개2_LED성동완" xfId="6996"/>
    <cellStyle name="@_laroux_제트베인_1_2007 교통신호기 설치공사 설계내역서(제1지역)_2007 교통신호기 설치공사 설계내역서(제1지역)_1_LED - 개2_LED성동완 2" xfId="6997"/>
    <cellStyle name="@_laroux_제트베인_1_2007 교통신호기 설치공사 설계내역서(제1지역)_2007 교통신호기 설치공사 설계내역서(제1지역)_1_LED - 개2_LED성동완 3" xfId="6998"/>
    <cellStyle name="@_laroux_제트베인_1_2007 교통신호기 설치공사 설계내역서(제1지역)_2007 교통신호기 설치공사 설계내역서(제1지역)_1_LED - 개2_LED성동완 4" xfId="6999"/>
    <cellStyle name="@_laroux_제트베인_1_2007 교통신호기 설치공사 설계내역서(제1지역)_2007 교통신호기 설치공사 설계내역서(제1지역)_1_LED - 개2_LED성동완_설계내역서" xfId="7000"/>
    <cellStyle name="@_laroux_제트베인_1_2007 교통신호기 설치공사 설계내역서(제1지역)_2007 교통신호기 설치공사 설계내역서(제1지역)_1_LED - 개2_설계내역서" xfId="7001"/>
    <cellStyle name="@_laroux_제트베인_1_2007 교통신호기 설치공사 설계내역서(제1지역)_2007 교통신호기 설치공사 설계내역서(제1지역)_1_북부-1지역" xfId="7002"/>
    <cellStyle name="@_laroux_제트베인_1_2007 교통신호기 설치공사 설계내역서(제1지역)_2007 교통신호기 설치공사 설계내역서(제1지역)_1_북부-1지역 2" xfId="7003"/>
    <cellStyle name="@_laroux_제트베인_1_2007 교통신호기 설치공사 설계내역서(제1지역)_2007 교통신호기 설치공사 설계내역서(제1지역)_1_북부-1지역 3" xfId="7004"/>
    <cellStyle name="@_laroux_제트베인_1_2007 교통신호기 설치공사 설계내역서(제1지역)_2007 교통신호기 설치공사 설계내역서(제1지역)_1_북부-1지역 4" xfId="7005"/>
    <cellStyle name="@_laroux_제트베인_1_2007 교통신호기 설치공사 설계내역서(제1지역)_2007 교통신호기 설치공사 설계내역서(제1지역)_1_북부-1지역_LED - 개2" xfId="7006"/>
    <cellStyle name="@_laroux_제트베인_1_2007 교통신호기 설치공사 설계내역서(제1지역)_2007 교통신호기 설치공사 설계내역서(제1지역)_1_북부-1지역_LED - 개2 2" xfId="7007"/>
    <cellStyle name="@_laroux_제트베인_1_2007 교통신호기 설치공사 설계내역서(제1지역)_2007 교통신호기 설치공사 설계내역서(제1지역)_1_북부-1지역_LED - 개2 3" xfId="7008"/>
    <cellStyle name="@_laroux_제트베인_1_2007 교통신호기 설치공사 설계내역서(제1지역)_2007 교통신호기 설치공사 설계내역서(제1지역)_1_북부-1지역_LED - 개2 4" xfId="7009"/>
    <cellStyle name="@_laroux_제트베인_1_2007 교통신호기 설치공사 설계내역서(제1지역)_2007 교통신호기 설치공사 설계내역서(제1지역)_1_북부-1지역_LED - 개2_LED성동완" xfId="7010"/>
    <cellStyle name="@_laroux_제트베인_1_2007 교통신호기 설치공사 설계내역서(제1지역)_2007 교통신호기 설치공사 설계내역서(제1지역)_1_북부-1지역_LED - 개2_LED성동완 2" xfId="7011"/>
    <cellStyle name="@_laroux_제트베인_1_2007 교통신호기 설치공사 설계내역서(제1지역)_2007 교통신호기 설치공사 설계내역서(제1지역)_1_북부-1지역_LED - 개2_LED성동완 3" xfId="7012"/>
    <cellStyle name="@_laroux_제트베인_1_2007 교통신호기 설치공사 설계내역서(제1지역)_2007 교통신호기 설치공사 설계내역서(제1지역)_1_북부-1지역_LED - 개2_LED성동완 4" xfId="7013"/>
    <cellStyle name="@_laroux_제트베인_1_2007 교통신호기 설치공사 설계내역서(제1지역)_2007 교통신호기 설치공사 설계내역서(제1지역)_1_북부-1지역_LED - 개2_LED성동완_설계내역서" xfId="7014"/>
    <cellStyle name="@_laroux_제트베인_1_2007 교통신호기 설치공사 설계내역서(제1지역)_2007 교통신호기 설치공사 설계내역서(제1지역)_1_북부-1지역_LED - 개2_설계내역서" xfId="7015"/>
    <cellStyle name="@_laroux_제트베인_1_2007 교통신호기 설치공사 설계내역서(제1지역)_2007 교통신호기 설치공사 설계내역서(제1지역)_1_북부-1지역_사본 - LED - 개2" xfId="7016"/>
    <cellStyle name="@_laroux_제트베인_1_2007 교통신호기 설치공사 설계내역서(제1지역)_2007 교통신호기 설치공사 설계내역서(제1지역)_1_북부-1지역_사본 - LED - 개2 2" xfId="7017"/>
    <cellStyle name="@_laroux_제트베인_1_2007 교통신호기 설치공사 설계내역서(제1지역)_2007 교통신호기 설치공사 설계내역서(제1지역)_1_북부-1지역_사본 - LED - 개2 3" xfId="7018"/>
    <cellStyle name="@_laroux_제트베인_1_2007 교통신호기 설치공사 설계내역서(제1지역)_2007 교통신호기 설치공사 설계내역서(제1지역)_1_북부-1지역_사본 - LED - 개2 4" xfId="7019"/>
    <cellStyle name="@_laroux_제트베인_1_2007 교통신호기 설치공사 설계내역서(제1지역)_2007 교통신호기 설치공사 설계내역서(제1지역)_1_북부-1지역_사본 - LED - 개2_LED성동완" xfId="7020"/>
    <cellStyle name="@_laroux_제트베인_1_2007 교통신호기 설치공사 설계내역서(제1지역)_2007 교통신호기 설치공사 설계내역서(제1지역)_1_북부-1지역_사본 - LED - 개2_LED성동완 2" xfId="7021"/>
    <cellStyle name="@_laroux_제트베인_1_2007 교통신호기 설치공사 설계내역서(제1지역)_2007 교통신호기 설치공사 설계내역서(제1지역)_1_북부-1지역_사본 - LED - 개2_LED성동완 3" xfId="7022"/>
    <cellStyle name="@_laroux_제트베인_1_2007 교통신호기 설치공사 설계내역서(제1지역)_2007 교통신호기 설치공사 설계내역서(제1지역)_1_북부-1지역_사본 - LED - 개2_LED성동완 4" xfId="7023"/>
    <cellStyle name="@_laroux_제트베인_1_2007 교통신호기 설치공사 설계내역서(제1지역)_2007 교통신호기 설치공사 설계내역서(제1지역)_1_북부-1지역_사본 - LED - 개2_LED성동완_설계내역서" xfId="7024"/>
    <cellStyle name="@_laroux_제트베인_1_2007 교통신호기 설치공사 설계내역서(제1지역)_2007 교통신호기 설치공사 설계내역서(제1지역)_1_북부-1지역_사본 - LED - 개2_설계내역서" xfId="7025"/>
    <cellStyle name="@_laroux_제트베인_1_2007 교통신호기 설치공사 설계내역서(제1지역)_2007 교통신호기 설치공사 설계내역서(제1지역)_1_북부-1지역_사본 - LED성동 물량2" xfId="7026"/>
    <cellStyle name="@_laroux_제트베인_1_2007 교통신호기 설치공사 설계내역서(제1지역)_2007 교통신호기 설치공사 설계내역서(제1지역)_1_북부-1지역_사본 - LED성동 물량2 2" xfId="7027"/>
    <cellStyle name="@_laroux_제트베인_1_2007 교통신호기 설치공사 설계내역서(제1지역)_2007 교통신호기 설치공사 설계내역서(제1지역)_1_북부-1지역_사본 - LED성동 물량2 3" xfId="7028"/>
    <cellStyle name="@_laroux_제트베인_1_2007 교통신호기 설치공사 설계내역서(제1지역)_2007 교통신호기 설치공사 설계내역서(제1지역)_1_북부-1지역_사본 - LED성동 물량2 4" xfId="7029"/>
    <cellStyle name="@_laroux_제트베인_1_2007 교통신호기 설치공사 설계내역서(제1지역)_2007 교통신호기 설치공사 설계내역서(제1지역)_1_북부-1지역_사본 - LED성동 물량2_LED성동완" xfId="7030"/>
    <cellStyle name="@_laroux_제트베인_1_2007 교통신호기 설치공사 설계내역서(제1지역)_2007 교통신호기 설치공사 설계내역서(제1지역)_1_북부-1지역_사본 - LED성동 물량2_LED성동완 2" xfId="7031"/>
    <cellStyle name="@_laroux_제트베인_1_2007 교통신호기 설치공사 설계내역서(제1지역)_2007 교통신호기 설치공사 설계내역서(제1지역)_1_북부-1지역_사본 - LED성동 물량2_LED성동완 3" xfId="7032"/>
    <cellStyle name="@_laroux_제트베인_1_2007 교통신호기 설치공사 설계내역서(제1지역)_2007 교통신호기 설치공사 설계내역서(제1지역)_1_북부-1지역_사본 - LED성동 물량2_LED성동완 4" xfId="7033"/>
    <cellStyle name="@_laroux_제트베인_1_2007 교통신호기 설치공사 설계내역서(제1지역)_2007 교통신호기 설치공사 설계내역서(제1지역)_1_북부-1지역_사본 - LED성동 물량2_LED성동완_설계내역서" xfId="7034"/>
    <cellStyle name="@_laroux_제트베인_1_2007 교통신호기 설치공사 설계내역서(제1지역)_2007 교통신호기 설치공사 설계내역서(제1지역)_1_북부-1지역_사본 - LED성동 물량2_설계내역서" xfId="7035"/>
    <cellStyle name="@_laroux_제트베인_1_2007 교통신호기 설치공사 설계내역서(제1지역)_2007 교통신호기 설치공사 설계내역서(제1지역)_1_북부-1지역_설계내역서" xfId="7036"/>
    <cellStyle name="@_laroux_제트베인_1_2007 교통신호기 설치공사 설계내역서(제1지역)_2007 교통신호기 설치공사 설계내역서(제1지역)_1_사본 - LED - 개2" xfId="7037"/>
    <cellStyle name="@_laroux_제트베인_1_2007 교통신호기 설치공사 설계내역서(제1지역)_2007 교통신호기 설치공사 설계내역서(제1지역)_1_사본 - LED - 개2 2" xfId="7038"/>
    <cellStyle name="@_laroux_제트베인_1_2007 교통신호기 설치공사 설계내역서(제1지역)_2007 교통신호기 설치공사 설계내역서(제1지역)_1_사본 - LED - 개2 3" xfId="7039"/>
    <cellStyle name="@_laroux_제트베인_1_2007 교통신호기 설치공사 설계내역서(제1지역)_2007 교통신호기 설치공사 설계내역서(제1지역)_1_사본 - LED - 개2 4" xfId="7040"/>
    <cellStyle name="@_laroux_제트베인_1_2007 교통신호기 설치공사 설계내역서(제1지역)_2007 교통신호기 설치공사 설계내역서(제1지역)_1_사본 - LED - 개2_LED성동완" xfId="7041"/>
    <cellStyle name="@_laroux_제트베인_1_2007 교통신호기 설치공사 설계내역서(제1지역)_2007 교통신호기 설치공사 설계내역서(제1지역)_1_사본 - LED - 개2_LED성동완 2" xfId="7042"/>
    <cellStyle name="@_laroux_제트베인_1_2007 교통신호기 설치공사 설계내역서(제1지역)_2007 교통신호기 설치공사 설계내역서(제1지역)_1_사본 - LED - 개2_LED성동완 3" xfId="7043"/>
    <cellStyle name="@_laroux_제트베인_1_2007 교통신호기 설치공사 설계내역서(제1지역)_2007 교통신호기 설치공사 설계내역서(제1지역)_1_사본 - LED - 개2_LED성동완 4" xfId="7044"/>
    <cellStyle name="@_laroux_제트베인_1_2007 교통신호기 설치공사 설계내역서(제1지역)_2007 교통신호기 설치공사 설계내역서(제1지역)_1_사본 - LED - 개2_LED성동완_설계내역서" xfId="7045"/>
    <cellStyle name="@_laroux_제트베인_1_2007 교통신호기 설치공사 설계내역서(제1지역)_2007 교통신호기 설치공사 설계내역서(제1지역)_1_사본 - LED - 개2_설계내역서" xfId="7046"/>
    <cellStyle name="@_laroux_제트베인_1_2007 교통신호기 설치공사 설계내역서(제1지역)_2007 교통신호기 설치공사 설계내역서(제1지역)_1_사본 - LED성동 물량2" xfId="7047"/>
    <cellStyle name="@_laroux_제트베인_1_2007 교통신호기 설치공사 설계내역서(제1지역)_2007 교통신호기 설치공사 설계내역서(제1지역)_1_사본 - LED성동 물량2 2" xfId="7048"/>
    <cellStyle name="@_laroux_제트베인_1_2007 교통신호기 설치공사 설계내역서(제1지역)_2007 교통신호기 설치공사 설계내역서(제1지역)_1_사본 - LED성동 물량2 3" xfId="7049"/>
    <cellStyle name="@_laroux_제트베인_1_2007 교통신호기 설치공사 설계내역서(제1지역)_2007 교통신호기 설치공사 설계내역서(제1지역)_1_사본 - LED성동 물량2 4" xfId="7050"/>
    <cellStyle name="@_laroux_제트베인_1_2007 교통신호기 설치공사 설계내역서(제1지역)_2007 교통신호기 설치공사 설계내역서(제1지역)_1_사본 - LED성동 물량2_LED성동완" xfId="7051"/>
    <cellStyle name="@_laroux_제트베인_1_2007 교통신호기 설치공사 설계내역서(제1지역)_2007 교통신호기 설치공사 설계내역서(제1지역)_1_사본 - LED성동 물량2_LED성동완 2" xfId="7052"/>
    <cellStyle name="@_laroux_제트베인_1_2007 교통신호기 설치공사 설계내역서(제1지역)_2007 교통신호기 설치공사 설계내역서(제1지역)_1_사본 - LED성동 물량2_LED성동완 3" xfId="7053"/>
    <cellStyle name="@_laroux_제트베인_1_2007 교통신호기 설치공사 설계내역서(제1지역)_2007 교통신호기 설치공사 설계내역서(제1지역)_1_사본 - LED성동 물량2_LED성동완 4" xfId="7054"/>
    <cellStyle name="@_laroux_제트베인_1_2007 교통신호기 설치공사 설계내역서(제1지역)_2007 교통신호기 설치공사 설계내역서(제1지역)_1_사본 - LED성동 물량2_LED성동완_설계내역서" xfId="7055"/>
    <cellStyle name="@_laroux_제트베인_1_2007 교통신호기 설치공사 설계내역서(제1지역)_2007 교통신호기 설치공사 설계내역서(제1지역)_1_사본 - LED성동 물량2_설계내역서" xfId="7056"/>
    <cellStyle name="@_laroux_제트베인_1_2007 교통신호기 설치공사 설계내역서(제1지역)_2007 교통신호기 설치공사 설계내역서(제1지역)_1_설계내역서" xfId="7057"/>
    <cellStyle name="@_laroux_제트베인_1_2007 교통신호기 설치공사 설계내역서(제1지역)_2007 교통신호기 설치공사 설계내역서(제1지역)_2" xfId="7058"/>
    <cellStyle name="@_laroux_제트베인_1_2007 교통신호기 설치공사 설계내역서(제1지역)_2007 교통신호기 설치공사 설계내역서(제1지역)_2 2" xfId="7059"/>
    <cellStyle name="@_laroux_제트베인_1_2007 교통신호기 설치공사 설계내역서(제1지역)_2007 교통신호기 설치공사 설계내역서(제1지역)_2 3" xfId="7060"/>
    <cellStyle name="@_laroux_제트베인_1_2007 교통신호기 설치공사 설계내역서(제1지역)_2007 교통신호기 설치공사 설계내역서(제1지역)_2 4" xfId="7061"/>
    <cellStyle name="@_laroux_제트베인_1_2007 교통신호기 설치공사 설계내역서(제1지역)_2007 교통신호기 설치공사 설계내역서(제1지역)_2_LED - 개2" xfId="7062"/>
    <cellStyle name="@_laroux_제트베인_1_2007 교통신호기 설치공사 설계내역서(제1지역)_2007 교통신호기 설치공사 설계내역서(제1지역)_2_LED - 개2 2" xfId="7063"/>
    <cellStyle name="@_laroux_제트베인_1_2007 교통신호기 설치공사 설계내역서(제1지역)_2007 교통신호기 설치공사 설계내역서(제1지역)_2_LED - 개2 3" xfId="7064"/>
    <cellStyle name="@_laroux_제트베인_1_2007 교통신호기 설치공사 설계내역서(제1지역)_2007 교통신호기 설치공사 설계내역서(제1지역)_2_LED - 개2 4" xfId="7065"/>
    <cellStyle name="@_laroux_제트베인_1_2007 교통신호기 설치공사 설계내역서(제1지역)_2007 교통신호기 설치공사 설계내역서(제1지역)_2_LED - 개2_LED성동완" xfId="7066"/>
    <cellStyle name="@_laroux_제트베인_1_2007 교통신호기 설치공사 설계내역서(제1지역)_2007 교통신호기 설치공사 설계내역서(제1지역)_2_LED - 개2_LED성동완 2" xfId="7067"/>
    <cellStyle name="@_laroux_제트베인_1_2007 교통신호기 설치공사 설계내역서(제1지역)_2007 교통신호기 설치공사 설계내역서(제1지역)_2_LED - 개2_LED성동완 3" xfId="7068"/>
    <cellStyle name="@_laroux_제트베인_1_2007 교통신호기 설치공사 설계내역서(제1지역)_2007 교통신호기 설치공사 설계내역서(제1지역)_2_LED - 개2_LED성동완 4" xfId="7069"/>
    <cellStyle name="@_laroux_제트베인_1_2007 교통신호기 설치공사 설계내역서(제1지역)_2007 교통신호기 설치공사 설계내역서(제1지역)_2_LED - 개2_LED성동완_설계내역서" xfId="7070"/>
    <cellStyle name="@_laroux_제트베인_1_2007 교통신호기 설치공사 설계내역서(제1지역)_2007 교통신호기 설치공사 설계내역서(제1지역)_2_LED - 개2_설계내역서" xfId="7071"/>
    <cellStyle name="@_laroux_제트베인_1_2007 교통신호기 설치공사 설계내역서(제1지역)_2007 교통신호기 설치공사 설계내역서(제1지역)_2_북부-1지역" xfId="7072"/>
    <cellStyle name="@_laroux_제트베인_1_2007 교통신호기 설치공사 설계내역서(제1지역)_2007 교통신호기 설치공사 설계내역서(제1지역)_2_북부-1지역 2" xfId="7073"/>
    <cellStyle name="@_laroux_제트베인_1_2007 교통신호기 설치공사 설계내역서(제1지역)_2007 교통신호기 설치공사 설계내역서(제1지역)_2_북부-1지역 3" xfId="7074"/>
    <cellStyle name="@_laroux_제트베인_1_2007 교통신호기 설치공사 설계내역서(제1지역)_2007 교통신호기 설치공사 설계내역서(제1지역)_2_북부-1지역 4" xfId="7075"/>
    <cellStyle name="@_laroux_제트베인_1_2007 교통신호기 설치공사 설계내역서(제1지역)_2007 교통신호기 설치공사 설계내역서(제1지역)_2_북부-1지역_LED - 개2" xfId="7076"/>
    <cellStyle name="@_laroux_제트베인_1_2007 교통신호기 설치공사 설계내역서(제1지역)_2007 교통신호기 설치공사 설계내역서(제1지역)_2_북부-1지역_LED - 개2 2" xfId="7077"/>
    <cellStyle name="@_laroux_제트베인_1_2007 교통신호기 설치공사 설계내역서(제1지역)_2007 교통신호기 설치공사 설계내역서(제1지역)_2_북부-1지역_LED - 개2 3" xfId="7078"/>
    <cellStyle name="@_laroux_제트베인_1_2007 교통신호기 설치공사 설계내역서(제1지역)_2007 교통신호기 설치공사 설계내역서(제1지역)_2_북부-1지역_LED - 개2 4" xfId="7079"/>
    <cellStyle name="@_laroux_제트베인_1_2007 교통신호기 설치공사 설계내역서(제1지역)_2007 교통신호기 설치공사 설계내역서(제1지역)_2_북부-1지역_LED - 개2_LED성동완" xfId="7080"/>
    <cellStyle name="@_laroux_제트베인_1_2007 교통신호기 설치공사 설계내역서(제1지역)_2007 교통신호기 설치공사 설계내역서(제1지역)_2_북부-1지역_LED - 개2_LED성동완 2" xfId="7081"/>
    <cellStyle name="@_laroux_제트베인_1_2007 교통신호기 설치공사 설계내역서(제1지역)_2007 교통신호기 설치공사 설계내역서(제1지역)_2_북부-1지역_LED - 개2_LED성동완 3" xfId="7082"/>
    <cellStyle name="@_laroux_제트베인_1_2007 교통신호기 설치공사 설계내역서(제1지역)_2007 교통신호기 설치공사 설계내역서(제1지역)_2_북부-1지역_LED - 개2_LED성동완 4" xfId="7083"/>
    <cellStyle name="@_laroux_제트베인_1_2007 교통신호기 설치공사 설계내역서(제1지역)_2007 교통신호기 설치공사 설계내역서(제1지역)_2_북부-1지역_LED - 개2_LED성동완_설계내역서" xfId="7084"/>
    <cellStyle name="@_laroux_제트베인_1_2007 교통신호기 설치공사 설계내역서(제1지역)_2007 교통신호기 설치공사 설계내역서(제1지역)_2_북부-1지역_LED - 개2_설계내역서" xfId="7085"/>
    <cellStyle name="@_laroux_제트베인_1_2007 교통신호기 설치공사 설계내역서(제1지역)_2007 교통신호기 설치공사 설계내역서(제1지역)_2_북부-1지역_사본 - LED - 개2" xfId="7086"/>
    <cellStyle name="@_laroux_제트베인_1_2007 교통신호기 설치공사 설계내역서(제1지역)_2007 교통신호기 설치공사 설계내역서(제1지역)_2_북부-1지역_사본 - LED - 개2 2" xfId="7087"/>
    <cellStyle name="@_laroux_제트베인_1_2007 교통신호기 설치공사 설계내역서(제1지역)_2007 교통신호기 설치공사 설계내역서(제1지역)_2_북부-1지역_사본 - LED - 개2 3" xfId="7088"/>
    <cellStyle name="@_laroux_제트베인_1_2007 교통신호기 설치공사 설계내역서(제1지역)_2007 교통신호기 설치공사 설계내역서(제1지역)_2_북부-1지역_사본 - LED - 개2 4" xfId="7089"/>
    <cellStyle name="@_laroux_제트베인_1_2007 교통신호기 설치공사 설계내역서(제1지역)_2007 교통신호기 설치공사 설계내역서(제1지역)_2_북부-1지역_사본 - LED - 개2_LED성동완" xfId="7090"/>
    <cellStyle name="@_laroux_제트베인_1_2007 교통신호기 설치공사 설계내역서(제1지역)_2007 교통신호기 설치공사 설계내역서(제1지역)_2_북부-1지역_사본 - LED - 개2_LED성동완 2" xfId="7091"/>
    <cellStyle name="@_laroux_제트베인_1_2007 교통신호기 설치공사 설계내역서(제1지역)_2007 교통신호기 설치공사 설계내역서(제1지역)_2_북부-1지역_사본 - LED - 개2_LED성동완 3" xfId="7092"/>
    <cellStyle name="@_laroux_제트베인_1_2007 교통신호기 설치공사 설계내역서(제1지역)_2007 교통신호기 설치공사 설계내역서(제1지역)_2_북부-1지역_사본 - LED - 개2_LED성동완 4" xfId="7093"/>
    <cellStyle name="@_laroux_제트베인_1_2007 교통신호기 설치공사 설계내역서(제1지역)_2007 교통신호기 설치공사 설계내역서(제1지역)_2_북부-1지역_사본 - LED - 개2_LED성동완_설계내역서" xfId="7094"/>
    <cellStyle name="@_laroux_제트베인_1_2007 교통신호기 설치공사 설계내역서(제1지역)_2007 교통신호기 설치공사 설계내역서(제1지역)_2_북부-1지역_사본 - LED - 개2_설계내역서" xfId="7095"/>
    <cellStyle name="@_laroux_제트베인_1_2007 교통신호기 설치공사 설계내역서(제1지역)_2007 교통신호기 설치공사 설계내역서(제1지역)_2_북부-1지역_사본 - LED성동 물량2" xfId="7096"/>
    <cellStyle name="@_laroux_제트베인_1_2007 교통신호기 설치공사 설계내역서(제1지역)_2007 교통신호기 설치공사 설계내역서(제1지역)_2_북부-1지역_사본 - LED성동 물량2 2" xfId="7097"/>
    <cellStyle name="@_laroux_제트베인_1_2007 교통신호기 설치공사 설계내역서(제1지역)_2007 교통신호기 설치공사 설계내역서(제1지역)_2_북부-1지역_사본 - LED성동 물량2 3" xfId="7098"/>
    <cellStyle name="@_laroux_제트베인_1_2007 교통신호기 설치공사 설계내역서(제1지역)_2007 교통신호기 설치공사 설계내역서(제1지역)_2_북부-1지역_사본 - LED성동 물량2 4" xfId="7099"/>
    <cellStyle name="@_laroux_제트베인_1_2007 교통신호기 설치공사 설계내역서(제1지역)_2007 교통신호기 설치공사 설계내역서(제1지역)_2_북부-1지역_사본 - LED성동 물량2_LED성동완" xfId="7100"/>
    <cellStyle name="@_laroux_제트베인_1_2007 교통신호기 설치공사 설계내역서(제1지역)_2007 교통신호기 설치공사 설계내역서(제1지역)_2_북부-1지역_사본 - LED성동 물량2_LED성동완 2" xfId="7101"/>
    <cellStyle name="@_laroux_제트베인_1_2007 교통신호기 설치공사 설계내역서(제1지역)_2007 교통신호기 설치공사 설계내역서(제1지역)_2_북부-1지역_사본 - LED성동 물량2_LED성동완 3" xfId="7102"/>
    <cellStyle name="@_laroux_제트베인_1_2007 교통신호기 설치공사 설계내역서(제1지역)_2007 교통신호기 설치공사 설계내역서(제1지역)_2_북부-1지역_사본 - LED성동 물량2_LED성동완 4" xfId="7103"/>
    <cellStyle name="@_laroux_제트베인_1_2007 교통신호기 설치공사 설계내역서(제1지역)_2007 교통신호기 설치공사 설계내역서(제1지역)_2_북부-1지역_사본 - LED성동 물량2_LED성동완_설계내역서" xfId="7104"/>
    <cellStyle name="@_laroux_제트베인_1_2007 교통신호기 설치공사 설계내역서(제1지역)_2007 교통신호기 설치공사 설계내역서(제1지역)_2_북부-1지역_사본 - LED성동 물량2_설계내역서" xfId="7105"/>
    <cellStyle name="@_laroux_제트베인_1_2007 교통신호기 설치공사 설계내역서(제1지역)_2007 교통신호기 설치공사 설계내역서(제1지역)_2_북부-1지역_설계내역서" xfId="7106"/>
    <cellStyle name="@_laroux_제트베인_1_2007 교통신호기 설치공사 설계내역서(제1지역)_2007 교통신호기 설치공사 설계내역서(제1지역)_2_사본 - LED - 개2" xfId="7107"/>
    <cellStyle name="@_laroux_제트베인_1_2007 교통신호기 설치공사 설계내역서(제1지역)_2007 교통신호기 설치공사 설계내역서(제1지역)_2_사본 - LED - 개2 2" xfId="7108"/>
    <cellStyle name="@_laroux_제트베인_1_2007 교통신호기 설치공사 설계내역서(제1지역)_2007 교통신호기 설치공사 설계내역서(제1지역)_2_사본 - LED - 개2 3" xfId="7109"/>
    <cellStyle name="@_laroux_제트베인_1_2007 교통신호기 설치공사 설계내역서(제1지역)_2007 교통신호기 설치공사 설계내역서(제1지역)_2_사본 - LED - 개2 4" xfId="7110"/>
    <cellStyle name="@_laroux_제트베인_1_2007 교통신호기 설치공사 설계내역서(제1지역)_2007 교통신호기 설치공사 설계내역서(제1지역)_2_사본 - LED - 개2_LED성동완" xfId="7111"/>
    <cellStyle name="@_laroux_제트베인_1_2007 교통신호기 설치공사 설계내역서(제1지역)_2007 교통신호기 설치공사 설계내역서(제1지역)_2_사본 - LED - 개2_LED성동완 2" xfId="7112"/>
    <cellStyle name="@_laroux_제트베인_1_2007 교통신호기 설치공사 설계내역서(제1지역)_2007 교통신호기 설치공사 설계내역서(제1지역)_2_사본 - LED - 개2_LED성동완 3" xfId="7113"/>
    <cellStyle name="@_laroux_제트베인_1_2007 교통신호기 설치공사 설계내역서(제1지역)_2007 교통신호기 설치공사 설계내역서(제1지역)_2_사본 - LED - 개2_LED성동완 4" xfId="7114"/>
    <cellStyle name="@_laroux_제트베인_1_2007 교통신호기 설치공사 설계내역서(제1지역)_2007 교통신호기 설치공사 설계내역서(제1지역)_2_사본 - LED - 개2_LED성동완_설계내역서" xfId="7115"/>
    <cellStyle name="@_laroux_제트베인_1_2007 교통신호기 설치공사 설계내역서(제1지역)_2007 교통신호기 설치공사 설계내역서(제1지역)_2_사본 - LED - 개2_설계내역서" xfId="7116"/>
    <cellStyle name="@_laroux_제트베인_1_2007 교통신호기 설치공사 설계내역서(제1지역)_2007 교통신호기 설치공사 설계내역서(제1지역)_2_사본 - LED성동 물량2" xfId="7117"/>
    <cellStyle name="@_laroux_제트베인_1_2007 교통신호기 설치공사 설계내역서(제1지역)_2007 교통신호기 설치공사 설계내역서(제1지역)_2_사본 - LED성동 물량2 2" xfId="7118"/>
    <cellStyle name="@_laroux_제트베인_1_2007 교통신호기 설치공사 설계내역서(제1지역)_2007 교통신호기 설치공사 설계내역서(제1지역)_2_사본 - LED성동 물량2 3" xfId="7119"/>
    <cellStyle name="@_laroux_제트베인_1_2007 교통신호기 설치공사 설계내역서(제1지역)_2007 교통신호기 설치공사 설계내역서(제1지역)_2_사본 - LED성동 물량2 4" xfId="7120"/>
    <cellStyle name="@_laroux_제트베인_1_2007 교통신호기 설치공사 설계내역서(제1지역)_2007 교통신호기 설치공사 설계내역서(제1지역)_2_사본 - LED성동 물량2_LED성동완" xfId="7121"/>
    <cellStyle name="@_laroux_제트베인_1_2007 교통신호기 설치공사 설계내역서(제1지역)_2007 교통신호기 설치공사 설계내역서(제1지역)_2_사본 - LED성동 물량2_LED성동완 2" xfId="7122"/>
    <cellStyle name="@_laroux_제트베인_1_2007 교통신호기 설치공사 설계내역서(제1지역)_2007 교통신호기 설치공사 설계내역서(제1지역)_2_사본 - LED성동 물량2_LED성동완 3" xfId="7123"/>
    <cellStyle name="@_laroux_제트베인_1_2007 교통신호기 설치공사 설계내역서(제1지역)_2007 교통신호기 설치공사 설계내역서(제1지역)_2_사본 - LED성동 물량2_LED성동완 4" xfId="7124"/>
    <cellStyle name="@_laroux_제트베인_1_2007 교통신호기 설치공사 설계내역서(제1지역)_2007 교통신호기 설치공사 설계내역서(제1지역)_2_사본 - LED성동 물량2_LED성동완_설계내역서" xfId="7125"/>
    <cellStyle name="@_laroux_제트베인_1_2007 교통신호기 설치공사 설계내역서(제1지역)_2007 교통신호기 설치공사 설계내역서(제1지역)_2_사본 - LED성동 물량2_설계내역서" xfId="7126"/>
    <cellStyle name="@_laroux_제트베인_1_2007 교통신호기 설치공사 설계내역서(제1지역)_2007 교통신호기 설치공사 설계내역서(제1지역)_2_설계내역서" xfId="7127"/>
    <cellStyle name="@_laroux_제트베인_1_2007 교통신호기 설치공사 설계내역서(제1지역)_2007 교통신호기 설치공사 설계내역서(제1지역)_LED - 개2" xfId="7128"/>
    <cellStyle name="@_laroux_제트베인_1_2007 교통신호기 설치공사 설계내역서(제1지역)_2007 교통신호기 설치공사 설계내역서(제1지역)_LED - 개2 2" xfId="7129"/>
    <cellStyle name="@_laroux_제트베인_1_2007 교통신호기 설치공사 설계내역서(제1지역)_2007 교통신호기 설치공사 설계내역서(제1지역)_LED - 개2 3" xfId="7130"/>
    <cellStyle name="@_laroux_제트베인_1_2007 교통신호기 설치공사 설계내역서(제1지역)_2007 교통신호기 설치공사 설계내역서(제1지역)_LED - 개2 4" xfId="7131"/>
    <cellStyle name="@_laroux_제트베인_1_2007 교통신호기 설치공사 설계내역서(제1지역)_2007 교통신호기 설치공사 설계내역서(제1지역)_LED - 개2_LED성동완" xfId="7132"/>
    <cellStyle name="@_laroux_제트베인_1_2007 교통신호기 설치공사 설계내역서(제1지역)_2007 교통신호기 설치공사 설계내역서(제1지역)_LED - 개2_LED성동완 2" xfId="7133"/>
    <cellStyle name="@_laroux_제트베인_1_2007 교통신호기 설치공사 설계내역서(제1지역)_2007 교통신호기 설치공사 설계내역서(제1지역)_LED - 개2_LED성동완 3" xfId="7134"/>
    <cellStyle name="@_laroux_제트베인_1_2007 교통신호기 설치공사 설계내역서(제1지역)_2007 교통신호기 설치공사 설계내역서(제1지역)_LED - 개2_LED성동완 4" xfId="7135"/>
    <cellStyle name="@_laroux_제트베인_1_2007 교통신호기 설치공사 설계내역서(제1지역)_2007 교통신호기 설치공사 설계내역서(제1지역)_LED - 개2_LED성동완_설계내역서" xfId="7136"/>
    <cellStyle name="@_laroux_제트베인_1_2007 교통신호기 설치공사 설계내역서(제1지역)_2007 교통신호기 설치공사 설계내역서(제1지역)_LED - 개2_설계내역서" xfId="7137"/>
    <cellStyle name="@_laroux_제트베인_1_2007 교통신호기 설치공사 설계내역서(제1지역)_2007 교통신호기 설치공사 설계내역서(제1지역)_북부-1지역" xfId="7138"/>
    <cellStyle name="@_laroux_제트베인_1_2007 교통신호기 설치공사 설계내역서(제1지역)_2007 교통신호기 설치공사 설계내역서(제1지역)_북부-1지역 2" xfId="7139"/>
    <cellStyle name="@_laroux_제트베인_1_2007 교통신호기 설치공사 설계내역서(제1지역)_2007 교통신호기 설치공사 설계내역서(제1지역)_북부-1지역 3" xfId="7140"/>
    <cellStyle name="@_laroux_제트베인_1_2007 교통신호기 설치공사 설계내역서(제1지역)_2007 교통신호기 설치공사 설계내역서(제1지역)_북부-1지역 4" xfId="7141"/>
    <cellStyle name="@_laroux_제트베인_1_2007 교통신호기 설치공사 설계내역서(제1지역)_2007 교통신호기 설치공사 설계내역서(제1지역)_북부-1지역_LED - 개2" xfId="7142"/>
    <cellStyle name="@_laroux_제트베인_1_2007 교통신호기 설치공사 설계내역서(제1지역)_2007 교통신호기 설치공사 설계내역서(제1지역)_북부-1지역_LED - 개2 2" xfId="7143"/>
    <cellStyle name="@_laroux_제트베인_1_2007 교통신호기 설치공사 설계내역서(제1지역)_2007 교통신호기 설치공사 설계내역서(제1지역)_북부-1지역_LED - 개2 3" xfId="7144"/>
    <cellStyle name="@_laroux_제트베인_1_2007 교통신호기 설치공사 설계내역서(제1지역)_2007 교통신호기 설치공사 설계내역서(제1지역)_북부-1지역_LED - 개2 4" xfId="7145"/>
    <cellStyle name="@_laroux_제트베인_1_2007 교통신호기 설치공사 설계내역서(제1지역)_2007 교통신호기 설치공사 설계내역서(제1지역)_북부-1지역_LED - 개2_LED성동완" xfId="7146"/>
    <cellStyle name="@_laroux_제트베인_1_2007 교통신호기 설치공사 설계내역서(제1지역)_2007 교통신호기 설치공사 설계내역서(제1지역)_북부-1지역_LED - 개2_LED성동완 2" xfId="7147"/>
    <cellStyle name="@_laroux_제트베인_1_2007 교통신호기 설치공사 설계내역서(제1지역)_2007 교통신호기 설치공사 설계내역서(제1지역)_북부-1지역_LED - 개2_LED성동완 3" xfId="7148"/>
    <cellStyle name="@_laroux_제트베인_1_2007 교통신호기 설치공사 설계내역서(제1지역)_2007 교통신호기 설치공사 설계내역서(제1지역)_북부-1지역_LED - 개2_LED성동완 4" xfId="7149"/>
    <cellStyle name="@_laroux_제트베인_1_2007 교통신호기 설치공사 설계내역서(제1지역)_2007 교통신호기 설치공사 설계내역서(제1지역)_북부-1지역_LED - 개2_LED성동완_설계내역서" xfId="7150"/>
    <cellStyle name="@_laroux_제트베인_1_2007 교통신호기 설치공사 설계내역서(제1지역)_2007 교통신호기 설치공사 설계내역서(제1지역)_북부-1지역_LED - 개2_설계내역서" xfId="7151"/>
    <cellStyle name="@_laroux_제트베인_1_2007 교통신호기 설치공사 설계내역서(제1지역)_2007 교통신호기 설치공사 설계내역서(제1지역)_북부-1지역_사본 - LED - 개2" xfId="7152"/>
    <cellStyle name="@_laroux_제트베인_1_2007 교통신호기 설치공사 설계내역서(제1지역)_2007 교통신호기 설치공사 설계내역서(제1지역)_북부-1지역_사본 - LED - 개2 2" xfId="7153"/>
    <cellStyle name="@_laroux_제트베인_1_2007 교통신호기 설치공사 설계내역서(제1지역)_2007 교통신호기 설치공사 설계내역서(제1지역)_북부-1지역_사본 - LED - 개2 3" xfId="7154"/>
    <cellStyle name="@_laroux_제트베인_1_2007 교통신호기 설치공사 설계내역서(제1지역)_2007 교통신호기 설치공사 설계내역서(제1지역)_북부-1지역_사본 - LED - 개2 4" xfId="7155"/>
    <cellStyle name="@_laroux_제트베인_1_2007 교통신호기 설치공사 설계내역서(제1지역)_2007 교통신호기 설치공사 설계내역서(제1지역)_북부-1지역_사본 - LED - 개2_LED성동완" xfId="7156"/>
    <cellStyle name="@_laroux_제트베인_1_2007 교통신호기 설치공사 설계내역서(제1지역)_2007 교통신호기 설치공사 설계내역서(제1지역)_북부-1지역_사본 - LED - 개2_LED성동완 2" xfId="7157"/>
    <cellStyle name="@_laroux_제트베인_1_2007 교통신호기 설치공사 설계내역서(제1지역)_2007 교통신호기 설치공사 설계내역서(제1지역)_북부-1지역_사본 - LED - 개2_LED성동완 3" xfId="7158"/>
    <cellStyle name="@_laroux_제트베인_1_2007 교통신호기 설치공사 설계내역서(제1지역)_2007 교통신호기 설치공사 설계내역서(제1지역)_북부-1지역_사본 - LED - 개2_LED성동완 4" xfId="7159"/>
    <cellStyle name="@_laroux_제트베인_1_2007 교통신호기 설치공사 설계내역서(제1지역)_2007 교통신호기 설치공사 설계내역서(제1지역)_북부-1지역_사본 - LED - 개2_LED성동완_설계내역서" xfId="7160"/>
    <cellStyle name="@_laroux_제트베인_1_2007 교통신호기 설치공사 설계내역서(제1지역)_2007 교통신호기 설치공사 설계내역서(제1지역)_북부-1지역_사본 - LED - 개2_설계내역서" xfId="7161"/>
    <cellStyle name="@_laroux_제트베인_1_2007 교통신호기 설치공사 설계내역서(제1지역)_2007 교통신호기 설치공사 설계내역서(제1지역)_북부-1지역_사본 - LED성동 물량2" xfId="7162"/>
    <cellStyle name="@_laroux_제트베인_1_2007 교통신호기 설치공사 설계내역서(제1지역)_2007 교통신호기 설치공사 설계내역서(제1지역)_북부-1지역_사본 - LED성동 물량2 2" xfId="7163"/>
    <cellStyle name="@_laroux_제트베인_1_2007 교통신호기 설치공사 설계내역서(제1지역)_2007 교통신호기 설치공사 설계내역서(제1지역)_북부-1지역_사본 - LED성동 물량2 3" xfId="7164"/>
    <cellStyle name="@_laroux_제트베인_1_2007 교통신호기 설치공사 설계내역서(제1지역)_2007 교통신호기 설치공사 설계내역서(제1지역)_북부-1지역_사본 - LED성동 물량2 4" xfId="7165"/>
    <cellStyle name="@_laroux_제트베인_1_2007 교통신호기 설치공사 설계내역서(제1지역)_2007 교통신호기 설치공사 설계내역서(제1지역)_북부-1지역_사본 - LED성동 물량2_LED성동완" xfId="7166"/>
    <cellStyle name="@_laroux_제트베인_1_2007 교통신호기 설치공사 설계내역서(제1지역)_2007 교통신호기 설치공사 설계내역서(제1지역)_북부-1지역_사본 - LED성동 물량2_LED성동완 2" xfId="7167"/>
    <cellStyle name="@_laroux_제트베인_1_2007 교통신호기 설치공사 설계내역서(제1지역)_2007 교통신호기 설치공사 설계내역서(제1지역)_북부-1지역_사본 - LED성동 물량2_LED성동완 3" xfId="7168"/>
    <cellStyle name="@_laroux_제트베인_1_2007 교통신호기 설치공사 설계내역서(제1지역)_2007 교통신호기 설치공사 설계내역서(제1지역)_북부-1지역_사본 - LED성동 물량2_LED성동완 4" xfId="7169"/>
    <cellStyle name="@_laroux_제트베인_1_2007 교통신호기 설치공사 설계내역서(제1지역)_2007 교통신호기 설치공사 설계내역서(제1지역)_북부-1지역_사본 - LED성동 물량2_LED성동완_설계내역서" xfId="7170"/>
    <cellStyle name="@_laroux_제트베인_1_2007 교통신호기 설치공사 설계내역서(제1지역)_2007 교통신호기 설치공사 설계내역서(제1지역)_북부-1지역_사본 - LED성동 물량2_설계내역서" xfId="7171"/>
    <cellStyle name="@_laroux_제트베인_1_2007 교통신호기 설치공사 설계내역서(제1지역)_2007 교통신호기 설치공사 설계내역서(제1지역)_북부-1지역_설계내역서" xfId="7172"/>
    <cellStyle name="@_laroux_제트베인_1_2007 교통신호기 설치공사 설계내역서(제1지역)_2007 교통신호기 설치공사 설계내역서(제1지역)_사본 - LED - 개2" xfId="7173"/>
    <cellStyle name="@_laroux_제트베인_1_2007 교통신호기 설치공사 설계내역서(제1지역)_2007 교통신호기 설치공사 설계내역서(제1지역)_사본 - LED - 개2 2" xfId="7174"/>
    <cellStyle name="@_laroux_제트베인_1_2007 교통신호기 설치공사 설계내역서(제1지역)_2007 교통신호기 설치공사 설계내역서(제1지역)_사본 - LED - 개2 3" xfId="7175"/>
    <cellStyle name="@_laroux_제트베인_1_2007 교통신호기 설치공사 설계내역서(제1지역)_2007 교통신호기 설치공사 설계내역서(제1지역)_사본 - LED - 개2 4" xfId="7176"/>
    <cellStyle name="@_laroux_제트베인_1_2007 교통신호기 설치공사 설계내역서(제1지역)_2007 교통신호기 설치공사 설계내역서(제1지역)_사본 - LED - 개2_LED성동완" xfId="7177"/>
    <cellStyle name="@_laroux_제트베인_1_2007 교통신호기 설치공사 설계내역서(제1지역)_2007 교통신호기 설치공사 설계내역서(제1지역)_사본 - LED - 개2_LED성동완 2" xfId="7178"/>
    <cellStyle name="@_laroux_제트베인_1_2007 교통신호기 설치공사 설계내역서(제1지역)_2007 교통신호기 설치공사 설계내역서(제1지역)_사본 - LED - 개2_LED성동완 3" xfId="7179"/>
    <cellStyle name="@_laroux_제트베인_1_2007 교통신호기 설치공사 설계내역서(제1지역)_2007 교통신호기 설치공사 설계내역서(제1지역)_사본 - LED - 개2_LED성동완 4" xfId="7180"/>
    <cellStyle name="@_laroux_제트베인_1_2007 교통신호기 설치공사 설계내역서(제1지역)_2007 교통신호기 설치공사 설계내역서(제1지역)_사본 - LED - 개2_LED성동완_설계내역서" xfId="7181"/>
    <cellStyle name="@_laroux_제트베인_1_2007 교통신호기 설치공사 설계내역서(제1지역)_2007 교통신호기 설치공사 설계내역서(제1지역)_사본 - LED - 개2_설계내역서" xfId="7182"/>
    <cellStyle name="@_laroux_제트베인_1_2007 교통신호기 설치공사 설계내역서(제1지역)_2007 교통신호기 설치공사 설계내역서(제1지역)_사본 - LED성동 물량2" xfId="7183"/>
    <cellStyle name="@_laroux_제트베인_1_2007 교통신호기 설치공사 설계내역서(제1지역)_2007 교통신호기 설치공사 설계내역서(제1지역)_사본 - LED성동 물량2 2" xfId="7184"/>
    <cellStyle name="@_laroux_제트베인_1_2007 교통신호기 설치공사 설계내역서(제1지역)_2007 교통신호기 설치공사 설계내역서(제1지역)_사본 - LED성동 물량2 3" xfId="7185"/>
    <cellStyle name="@_laroux_제트베인_1_2007 교통신호기 설치공사 설계내역서(제1지역)_2007 교통신호기 설치공사 설계내역서(제1지역)_사본 - LED성동 물량2 4" xfId="7186"/>
    <cellStyle name="@_laroux_제트베인_1_2007 교통신호기 설치공사 설계내역서(제1지역)_2007 교통신호기 설치공사 설계내역서(제1지역)_사본 - LED성동 물량2_LED성동완" xfId="7187"/>
    <cellStyle name="@_laroux_제트베인_1_2007 교통신호기 설치공사 설계내역서(제1지역)_2007 교통신호기 설치공사 설계내역서(제1지역)_사본 - LED성동 물량2_LED성동완 2" xfId="7188"/>
    <cellStyle name="@_laroux_제트베인_1_2007 교통신호기 설치공사 설계내역서(제1지역)_2007 교통신호기 설치공사 설계내역서(제1지역)_사본 - LED성동 물량2_LED성동완 3" xfId="7189"/>
    <cellStyle name="@_laroux_제트베인_1_2007 교통신호기 설치공사 설계내역서(제1지역)_2007 교통신호기 설치공사 설계내역서(제1지역)_사본 - LED성동 물량2_LED성동완 4" xfId="7190"/>
    <cellStyle name="@_laroux_제트베인_1_2007 교통신호기 설치공사 설계내역서(제1지역)_2007 교통신호기 설치공사 설계내역서(제1지역)_사본 - LED성동 물량2_LED성동완_설계내역서" xfId="7191"/>
    <cellStyle name="@_laroux_제트베인_1_2007 교통신호기 설치공사 설계내역서(제1지역)_2007 교통신호기 설치공사 설계내역서(제1지역)_사본 - LED성동 물량2_설계내역서" xfId="7192"/>
    <cellStyle name="@_laroux_제트베인_1_2007 교통신호기 설치공사 설계내역서(제1지역)_2007 교통신호기 설치공사 설계내역서(제1지역)_설계내역서" xfId="7193"/>
    <cellStyle name="@_laroux_제트베인_1_2007 교통신호기 설치공사 설계내역서(제1지역)_2어린이보호구역내역서(신서외10개소)낙찰율(전기)" xfId="7194"/>
    <cellStyle name="@_laroux_제트베인_1_2007 교통신호기 설치공사 설계내역서(제1지역)_2어린이보호구역내역서(신서외10개소)낙찰율(전기) 2" xfId="7195"/>
    <cellStyle name="@_laroux_제트베인_1_2007 교통신호기 설치공사 설계내역서(제1지역)_2어린이보호구역내역서(신서외10개소)낙찰율(전기) 3" xfId="7196"/>
    <cellStyle name="@_laroux_제트베인_1_2007 교통신호기 설치공사 설계내역서(제1지역)_2어린이보호구역내역서(신서외10개소)낙찰율(전기) 4" xfId="7197"/>
    <cellStyle name="@_laroux_제트베인_1_2007 교통신호기 설치공사 설계내역서(제1지역)_2어린이보호구역내역서(신서외10개소)낙찰율(전기)_설계내역서" xfId="7198"/>
    <cellStyle name="@_laroux_제트베인_1_2007 교통신호기 설치공사 설계내역서(제1지역)_3어린이보호구역내역서(신서외10개소)낙찰율(통신)" xfId="7199"/>
    <cellStyle name="@_laroux_제트베인_1_2007 교통신호기 설치공사 설계내역서(제1지역)_3어린이보호구역내역서(신서외10개소)낙찰율(통신) 2" xfId="7200"/>
    <cellStyle name="@_laroux_제트베인_1_2007 교통신호기 설치공사 설계내역서(제1지역)_3어린이보호구역내역서(신서외10개소)낙찰율(통신) 3" xfId="7201"/>
    <cellStyle name="@_laroux_제트베인_1_2007 교통신호기 설치공사 설계내역서(제1지역)_3어린이보호구역내역서(신서외10개소)낙찰율(통신) 4" xfId="7202"/>
    <cellStyle name="@_laroux_제트베인_1_2007 교통신호기 설치공사 설계내역서(제1지역)_3어린이보호구역내역서(신서외10개소)낙찰율(통신)_설계내역서" xfId="7203"/>
    <cellStyle name="@_laroux_제트베인_1_2007 교통신호기 설치공사 설계내역서(제1지역)_6.신서초교(교통신호기)" xfId="7204"/>
    <cellStyle name="@_laroux_제트베인_1_2007 교통신호기 설치공사 설계내역서(제1지역)_6.신서초교(교통신호기) 2" xfId="7205"/>
    <cellStyle name="@_laroux_제트베인_1_2007 교통신호기 설치공사 설계내역서(제1지역)_6.신서초교(교통신호기) 3" xfId="7206"/>
    <cellStyle name="@_laroux_제트베인_1_2007 교통신호기 설치공사 설계내역서(제1지역)_6.신서초교(교통신호기) 4" xfId="7207"/>
    <cellStyle name="@_laroux_제트베인_1_2007 교통신호기 설치공사 설계내역서(제1지역)_6.신서초교(교통신호기)_설계내역서" xfId="7208"/>
    <cellStyle name="@_laroux_제트베인_1_2007 교통신호기 설치공사 설계내역서(제1지역)_LED - 개2" xfId="7209"/>
    <cellStyle name="@_laroux_제트베인_1_2007 교통신호기 설치공사 설계내역서(제1지역)_LED - 개2 2" xfId="7210"/>
    <cellStyle name="@_laroux_제트베인_1_2007 교통신호기 설치공사 설계내역서(제1지역)_LED - 개2 3" xfId="7211"/>
    <cellStyle name="@_laroux_제트베인_1_2007 교통신호기 설치공사 설계내역서(제1지역)_LED - 개2 4" xfId="7212"/>
    <cellStyle name="@_laroux_제트베인_1_2007 교통신호기 설치공사 설계내역서(제1지역)_LED - 개2_LED성동완" xfId="7213"/>
    <cellStyle name="@_laroux_제트베인_1_2007 교통신호기 설치공사 설계내역서(제1지역)_LED - 개2_LED성동완 2" xfId="7214"/>
    <cellStyle name="@_laroux_제트베인_1_2007 교통신호기 설치공사 설계내역서(제1지역)_LED - 개2_LED성동완 3" xfId="7215"/>
    <cellStyle name="@_laroux_제트베인_1_2007 교통신호기 설치공사 설계내역서(제1지역)_LED - 개2_LED성동완 4" xfId="7216"/>
    <cellStyle name="@_laroux_제트베인_1_2007 교통신호기 설치공사 설계내역서(제1지역)_LED - 개2_LED성동완_설계내역서" xfId="7217"/>
    <cellStyle name="@_laroux_제트베인_1_2007 교통신호기 설치공사 설계내역서(제1지역)_LED - 개2_설계내역서" xfId="7218"/>
    <cellStyle name="@_laroux_제트베인_1_2007 교통신호기 설치공사 설계내역서(제1지역)_강서(신설개량)" xfId="7219"/>
    <cellStyle name="@_laroux_제트베인_1_2007 교통신호기 설치공사 설계내역서(제1지역)_강서(신설개량) 2" xfId="7220"/>
    <cellStyle name="@_laroux_제트베인_1_2007 교통신호기 설치공사 설계내역서(제1지역)_강서(신설개량) 3" xfId="7221"/>
    <cellStyle name="@_laroux_제트베인_1_2007 교통신호기 설치공사 설계내역서(제1지역)_강서(신설개량) 4" xfId="7222"/>
    <cellStyle name="@_laroux_제트베인_1_2007 교통신호기 설치공사 설계내역서(제1지역)_강서(신설개량)_설계내역서" xfId="7223"/>
    <cellStyle name="@_laroux_제트베인_1_2007 교통신호기 설치공사 설계내역서(제1지역)_강서(신설및개량)" xfId="7224"/>
    <cellStyle name="@_laroux_제트베인_1_2007 교통신호기 설치공사 설계내역서(제1지역)_강서(신설및개량) 2" xfId="7225"/>
    <cellStyle name="@_laroux_제트베인_1_2007 교통신호기 설치공사 설계내역서(제1지역)_강서(신설및개량) 3" xfId="7226"/>
    <cellStyle name="@_laroux_제트베인_1_2007 교통신호기 설치공사 설계내역서(제1지역)_강서(신설및개량) 4" xfId="7227"/>
    <cellStyle name="@_laroux_제트베인_1_2007 교통신호기 설치공사 설계내역서(제1지역)_강서(신설및개량)_설계내역서" xfId="7228"/>
    <cellStyle name="@_laroux_제트베인_1_2007 교통신호기 설치공사 설계내역서(제1지역)_강서(신설및개량)-3차(마곡역-잔토제외준공)" xfId="7229"/>
    <cellStyle name="@_laroux_제트베인_1_2007 교통신호기 설치공사 설계내역서(제1지역)_강서(신설및개량)-3차(마곡역-잔토제외준공) 2" xfId="7230"/>
    <cellStyle name="@_laroux_제트베인_1_2007 교통신호기 설치공사 설계내역서(제1지역)_강서(신설및개량)-3차(마곡역-잔토제외준공) 3" xfId="7231"/>
    <cellStyle name="@_laroux_제트베인_1_2007 교통신호기 설치공사 설계내역서(제1지역)_강서(신설및개량)-3차(마곡역-잔토제외준공) 4" xfId="7232"/>
    <cellStyle name="@_laroux_제트베인_1_2007 교통신호기 설치공사 설계내역서(제1지역)_강서(신설및개량)-3차(마곡역-잔토제외준공)_설계내역서" xfId="7233"/>
    <cellStyle name="@_laroux_제트베인_1_2007 교통신호기 설치공사 설계내역서(제1지역)_강서1지역" xfId="7234"/>
    <cellStyle name="@_laroux_제트베인_1_2007 교통신호기 설치공사 설계내역서(제1지역)_강서1지역 2" xfId="7235"/>
    <cellStyle name="@_laroux_제트베인_1_2007 교통신호기 설치공사 설계내역서(제1지역)_강서1지역 3" xfId="7236"/>
    <cellStyle name="@_laroux_제트베인_1_2007 교통신호기 설치공사 설계내역서(제1지역)_강서1지역 4" xfId="7237"/>
    <cellStyle name="@_laroux_제트베인_1_2007 교통신호기 설치공사 설계내역서(제1지역)_강서1지역(임시)" xfId="7238"/>
    <cellStyle name="@_laroux_제트베인_1_2007 교통신호기 설치공사 설계내역서(제1지역)_강서1지역(임시) 2" xfId="7239"/>
    <cellStyle name="@_laroux_제트베인_1_2007 교통신호기 설치공사 설계내역서(제1지역)_강서1지역(임시) 3" xfId="7240"/>
    <cellStyle name="@_laroux_제트베인_1_2007 교통신호기 설치공사 설계내역서(제1지역)_강서1지역(임시) 4" xfId="7241"/>
    <cellStyle name="@_laroux_제트베인_1_2007 교통신호기 설치공사 설계내역서(제1지역)_강서1지역(임시)_설계내역서" xfId="7242"/>
    <cellStyle name="@_laroux_제트베인_1_2007 교통신호기 설치공사 설계내역서(제1지역)_강서1지역_설계내역서" xfId="7243"/>
    <cellStyle name="@_laroux_제트베인_1_2007 교통신호기 설치공사 설계내역서(제1지역)_강서1지역-3차(마곡역)" xfId="7244"/>
    <cellStyle name="@_laroux_제트베인_1_2007 교통신호기 설치공사 설계내역서(제1지역)_강서1지역-3차(마곡역) 2" xfId="7245"/>
    <cellStyle name="@_laroux_제트베인_1_2007 교통신호기 설치공사 설계내역서(제1지역)_강서1지역-3차(마곡역) 3" xfId="7246"/>
    <cellStyle name="@_laroux_제트베인_1_2007 교통신호기 설치공사 설계내역서(제1지역)_강서1지역-3차(마곡역) 4" xfId="7247"/>
    <cellStyle name="@_laroux_제트베인_1_2007 교통신호기 설치공사 설계내역서(제1지역)_강서1지역-3차(마곡역)_설계내역서" xfId="7248"/>
    <cellStyle name="@_laroux_제트베인_1_2007 교통신호기 설치공사 설계내역서(제1지역)_강서2지역(임시)" xfId="7249"/>
    <cellStyle name="@_laroux_제트베인_1_2007 교통신호기 설치공사 설계내역서(제1지역)_강서2지역(임시) 2" xfId="7250"/>
    <cellStyle name="@_laroux_제트베인_1_2007 교통신호기 설치공사 설계내역서(제1지역)_강서2지역(임시) 3" xfId="7251"/>
    <cellStyle name="@_laroux_제트베인_1_2007 교통신호기 설치공사 설계내역서(제1지역)_강서2지역(임시) 4" xfId="7252"/>
    <cellStyle name="@_laroux_제트베인_1_2007 교통신호기 설치공사 설계내역서(제1지역)_강서2지역(임시)_설계내역서" xfId="7253"/>
    <cellStyle name="@_laroux_제트베인_1_2007 교통신호기 설치공사 설계내역서(제1지역)_강서어린이보호구역 설계변경내역(등양,등명 신호등 포함) 080630" xfId="7254"/>
    <cellStyle name="@_laroux_제트베인_1_2007 교통신호기 설치공사 설계내역서(제1지역)_강서어린이보호구역 설계변경내역(등양,등명 신호등 포함) 080630 2" xfId="7255"/>
    <cellStyle name="@_laroux_제트베인_1_2007 교통신호기 설치공사 설계내역서(제1지역)_강서어린이보호구역 설계변경내역(등양,등명 신호등 포함) 080630 3" xfId="7256"/>
    <cellStyle name="@_laroux_제트베인_1_2007 교통신호기 설치공사 설계내역서(제1지역)_강서어린이보호구역 설계변경내역(등양,등명 신호등 포함) 080630 4" xfId="7257"/>
    <cellStyle name="@_laroux_제트베인_1_2007 교통신호기 설치공사 설계내역서(제1지역)_강서어린이보호구역 설계변경내역(등양,등명 신호등 포함) 080630_설계내역서" xfId="7258"/>
    <cellStyle name="@_laroux_제트베인_1_2007 교통신호기 설치공사 설계내역서(제1지역)_강서어린이보호구역역설계-완성04291" xfId="7259"/>
    <cellStyle name="@_laroux_제트베인_1_2007 교통신호기 설치공사 설계내역서(제1지역)_강서어린이보호구역역설계-완성04291 2" xfId="7260"/>
    <cellStyle name="@_laroux_제트베인_1_2007 교통신호기 설치공사 설계내역서(제1지역)_강서어린이보호구역역설계-완성04291 3" xfId="7261"/>
    <cellStyle name="@_laroux_제트베인_1_2007 교통신호기 설치공사 설계내역서(제1지역)_강서어린이보호구역역설계-완성04291 4" xfId="7262"/>
    <cellStyle name="@_laroux_제트베인_1_2007 교통신호기 설치공사 설계내역서(제1지역)_강서어린이보호구역역설계-완성04291_설계내역서" xfId="7263"/>
    <cellStyle name="@_laroux_제트베인_1_2007 교통신호기 설치공사 설계내역서(제1지역)_강서어린이보호구역역설계-완성04291-222" xfId="7264"/>
    <cellStyle name="@_laroux_제트베인_1_2007 교통신호기 설치공사 설계내역서(제1지역)_강서어린이보호구역역설계-완성04291-222 2" xfId="7265"/>
    <cellStyle name="@_laroux_제트베인_1_2007 교통신호기 설치공사 설계내역서(제1지역)_강서어린이보호구역역설계-완성04291-222 3" xfId="7266"/>
    <cellStyle name="@_laroux_제트베인_1_2007 교통신호기 설치공사 설계내역서(제1지역)_강서어린이보호구역역설계-완성04291-222 4" xfId="7267"/>
    <cellStyle name="@_laroux_제트베인_1_2007 교통신호기 설치공사 설계내역서(제1지역)_강서어린이보호구역역설계-완성04291-222_설계내역서" xfId="7268"/>
    <cellStyle name="@_laroux_제트베인_1_2007 교통신호기 설치공사 설계내역서(제1지역)_교통신호기 설치공사(어린이보호구역)" xfId="7269"/>
    <cellStyle name="@_laroux_제트베인_1_2007 교통신호기 설치공사 설계내역서(제1지역)_교통신호기 설치공사(어린이보호구역) 2" xfId="7270"/>
    <cellStyle name="@_laroux_제트베인_1_2007 교통신호기 설치공사 설계내역서(제1지역)_교통신호기 설치공사(어린이보호구역) 3" xfId="7271"/>
    <cellStyle name="@_laroux_제트베인_1_2007 교통신호기 설치공사 설계내역서(제1지역)_교통신호기 설치공사(어린이보호구역) 4" xfId="7272"/>
    <cellStyle name="@_laroux_제트베인_1_2007 교통신호기 설치공사 설계내역서(제1지역)_교통신호기 설치공사(어린이보호구역)(1)" xfId="7273"/>
    <cellStyle name="@_laroux_제트베인_1_2007 교통신호기 설치공사 설계내역서(제1지역)_교통신호기 설치공사(어린이보호구역)(1) 2" xfId="7274"/>
    <cellStyle name="@_laroux_제트베인_1_2007 교통신호기 설치공사 설계내역서(제1지역)_교통신호기 설치공사(어린이보호구역)(1) 3" xfId="7275"/>
    <cellStyle name="@_laroux_제트베인_1_2007 교통신호기 설치공사 설계내역서(제1지역)_교통신호기 설치공사(어린이보호구역)(1) 4" xfId="7276"/>
    <cellStyle name="@_laroux_제트베인_1_2007 교통신호기 설치공사 설계내역서(제1지역)_교통신호기 설치공사(어린이보호구역)(1)_설계내역서" xfId="7277"/>
    <cellStyle name="@_laroux_제트베인_1_2007 교통신호기 설치공사 설계내역서(제1지역)_교통신호기 설치공사(어린이보호구역)_설계내역서" xfId="7278"/>
    <cellStyle name="@_laroux_제트베인_1_2007 교통신호기 설치공사 설계내역서(제1지역)_기획3차성동-준공내역서(5.29)" xfId="7279"/>
    <cellStyle name="@_laroux_제트베인_1_2007 교통신호기 설치공사 설계내역서(제1지역)_기획3차성동-준공내역서(5.29) 2" xfId="7280"/>
    <cellStyle name="@_laroux_제트베인_1_2007 교통신호기 설치공사 설계내역서(제1지역)_기획3차성동-준공내역서(5.29) 3" xfId="7281"/>
    <cellStyle name="@_laroux_제트베인_1_2007 교통신호기 설치공사 설계내역서(제1지역)_기획3차성동-준공내역서(5.29) 4" xfId="7282"/>
    <cellStyle name="@_laroux_제트베인_1_2007 교통신호기 설치공사 설계내역서(제1지역)_기획3차성동-준공내역서(5.29)_설계내역서" xfId="7283"/>
    <cellStyle name="@_laroux_제트베인_1_2007 교통신호기 설치공사 설계내역서(제1지역)_남부2지역-1차(2사급자재)" xfId="7284"/>
    <cellStyle name="@_laroux_제트베인_1_2007 교통신호기 설치공사 설계내역서(제1지역)_남부2지역-1차(2사급자재) 2" xfId="7285"/>
    <cellStyle name="@_laroux_제트베인_1_2007 교통신호기 설치공사 설계내역서(제1지역)_남부2지역-1차(2사급자재) 3" xfId="7286"/>
    <cellStyle name="@_laroux_제트베인_1_2007 교통신호기 설치공사 설계내역서(제1지역)_남부2지역-1차(2사급자재) 4" xfId="7287"/>
    <cellStyle name="@_laroux_제트베인_1_2007 교통신호기 설치공사 설계내역서(제1지역)_남부2지역-1차(2사급자재)_설계내역서" xfId="7288"/>
    <cellStyle name="@_laroux_제트베인_1_2007 교통신호기 설치공사 설계내역서(제1지역)_내역서(강서신호기신설 및 개량)" xfId="7289"/>
    <cellStyle name="@_laroux_제트베인_1_2007 교통신호기 설치공사 설계내역서(제1지역)_내역서(강서신호기신설 및 개량) 2" xfId="7290"/>
    <cellStyle name="@_laroux_제트베인_1_2007 교통신호기 설치공사 설계내역서(제1지역)_내역서(강서신호기신설 및 개량) 3" xfId="7291"/>
    <cellStyle name="@_laroux_제트베인_1_2007 교통신호기 설치공사 설계내역서(제1지역)_내역서(강서신호기신설 및 개량) 4" xfId="7292"/>
    <cellStyle name="@_laroux_제트베인_1_2007 교통신호기 설치공사 설계내역서(제1지역)_내역서(강서신호기신설 및 개량)_설계내역서" xfId="7293"/>
    <cellStyle name="@_laroux_제트베인_1_2007 교통신호기 설치공사 설계내역서(제1지역)_동부2지역" xfId="7294"/>
    <cellStyle name="@_laroux_제트베인_1_2007 교통신호기 설치공사 설계내역서(제1지역)_동부2지역 2" xfId="7295"/>
    <cellStyle name="@_laroux_제트베인_1_2007 교통신호기 설치공사 설계내역서(제1지역)_동부2지역 3" xfId="7296"/>
    <cellStyle name="@_laroux_제트베인_1_2007 교통신호기 설치공사 설계내역서(제1지역)_동부2지역 4" xfId="7297"/>
    <cellStyle name="@_laroux_제트베인_1_2007 교통신호기 설치공사 설계내역서(제1지역)_동부2지역_설계내역서" xfId="7298"/>
    <cellStyle name="@_laroux_제트베인_1_2007 교통신호기 설치공사 설계내역서(제1지역)_물량(교통사고잦은곳2차)" xfId="7299"/>
    <cellStyle name="@_laroux_제트베인_1_2007 교통신호기 설치공사 설계내역서(제1지역)_물량(교통사고잦은곳2차) 2" xfId="7300"/>
    <cellStyle name="@_laroux_제트베인_1_2007 교통신호기 설치공사 설계내역서(제1지역)_물량(교통사고잦은곳2차) 3" xfId="7301"/>
    <cellStyle name="@_laroux_제트베인_1_2007 교통신호기 설치공사 설계내역서(제1지역)_물량(교통사고잦은곳2차) 4" xfId="7302"/>
    <cellStyle name="@_laroux_제트베인_1_2007 교통신호기 설치공사 설계내역서(제1지역)_물량(교통사고잦은곳2차)_설계내역서" xfId="7303"/>
    <cellStyle name="@_laroux_제트베인_1_2007 교통신호기 설치공사 설계내역서(제1지역)_북부-1지역" xfId="7304"/>
    <cellStyle name="@_laroux_제트베인_1_2007 교통신호기 설치공사 설계내역서(제1지역)_북부-1지역 2" xfId="7305"/>
    <cellStyle name="@_laroux_제트베인_1_2007 교통신호기 설치공사 설계내역서(제1지역)_북부-1지역 3" xfId="7306"/>
    <cellStyle name="@_laroux_제트베인_1_2007 교통신호기 설치공사 설계내역서(제1지역)_북부-1지역 4" xfId="7307"/>
    <cellStyle name="@_laroux_제트베인_1_2007 교통신호기 설치공사 설계내역서(제1지역)_북부-1지역_LED - 개2" xfId="7308"/>
    <cellStyle name="@_laroux_제트베인_1_2007 교통신호기 설치공사 설계내역서(제1지역)_북부-1지역_LED - 개2 2" xfId="7309"/>
    <cellStyle name="@_laroux_제트베인_1_2007 교통신호기 설치공사 설계내역서(제1지역)_북부-1지역_LED - 개2 3" xfId="7310"/>
    <cellStyle name="@_laroux_제트베인_1_2007 교통신호기 설치공사 설계내역서(제1지역)_북부-1지역_LED - 개2 4" xfId="7311"/>
    <cellStyle name="@_laroux_제트베인_1_2007 교통신호기 설치공사 설계내역서(제1지역)_북부-1지역_LED - 개2_LED성동완" xfId="7312"/>
    <cellStyle name="@_laroux_제트베인_1_2007 교통신호기 설치공사 설계내역서(제1지역)_북부-1지역_LED - 개2_LED성동완 2" xfId="7313"/>
    <cellStyle name="@_laroux_제트베인_1_2007 교통신호기 설치공사 설계내역서(제1지역)_북부-1지역_LED - 개2_LED성동완 3" xfId="7314"/>
    <cellStyle name="@_laroux_제트베인_1_2007 교통신호기 설치공사 설계내역서(제1지역)_북부-1지역_LED - 개2_LED성동완 4" xfId="7315"/>
    <cellStyle name="@_laroux_제트베인_1_2007 교통신호기 설치공사 설계내역서(제1지역)_북부-1지역_LED - 개2_LED성동완_설계내역서" xfId="7316"/>
    <cellStyle name="@_laroux_제트베인_1_2007 교통신호기 설치공사 설계내역서(제1지역)_북부-1지역_LED - 개2_설계내역서" xfId="7317"/>
    <cellStyle name="@_laroux_제트베인_1_2007 교통신호기 설치공사 설계내역서(제1지역)_북부-1지역_북부-1지역" xfId="7318"/>
    <cellStyle name="@_laroux_제트베인_1_2007 교통신호기 설치공사 설계내역서(제1지역)_북부-1지역_북부-1지역 2" xfId="7319"/>
    <cellStyle name="@_laroux_제트베인_1_2007 교통신호기 설치공사 설계내역서(제1지역)_북부-1지역_북부-1지역 3" xfId="7320"/>
    <cellStyle name="@_laroux_제트베인_1_2007 교통신호기 설치공사 설계내역서(제1지역)_북부-1지역_북부-1지역 4" xfId="7321"/>
    <cellStyle name="@_laroux_제트베인_1_2007 교통신호기 설치공사 설계내역서(제1지역)_북부-1지역_북부-1지역_LED - 개2" xfId="7322"/>
    <cellStyle name="@_laroux_제트베인_1_2007 교통신호기 설치공사 설계내역서(제1지역)_북부-1지역_북부-1지역_LED - 개2 2" xfId="7323"/>
    <cellStyle name="@_laroux_제트베인_1_2007 교통신호기 설치공사 설계내역서(제1지역)_북부-1지역_북부-1지역_LED - 개2 3" xfId="7324"/>
    <cellStyle name="@_laroux_제트베인_1_2007 교통신호기 설치공사 설계내역서(제1지역)_북부-1지역_북부-1지역_LED - 개2 4" xfId="7325"/>
    <cellStyle name="@_laroux_제트베인_1_2007 교통신호기 설치공사 설계내역서(제1지역)_북부-1지역_북부-1지역_LED - 개2_LED성동완" xfId="7326"/>
    <cellStyle name="@_laroux_제트베인_1_2007 교통신호기 설치공사 설계내역서(제1지역)_북부-1지역_북부-1지역_LED - 개2_LED성동완 2" xfId="7327"/>
    <cellStyle name="@_laroux_제트베인_1_2007 교통신호기 설치공사 설계내역서(제1지역)_북부-1지역_북부-1지역_LED - 개2_LED성동완 3" xfId="7328"/>
    <cellStyle name="@_laroux_제트베인_1_2007 교통신호기 설치공사 설계내역서(제1지역)_북부-1지역_북부-1지역_LED - 개2_LED성동완 4" xfId="7329"/>
    <cellStyle name="@_laroux_제트베인_1_2007 교통신호기 설치공사 설계내역서(제1지역)_북부-1지역_북부-1지역_LED - 개2_LED성동완_설계내역서" xfId="7330"/>
    <cellStyle name="@_laroux_제트베인_1_2007 교통신호기 설치공사 설계내역서(제1지역)_북부-1지역_북부-1지역_LED - 개2_설계내역서" xfId="7331"/>
    <cellStyle name="@_laroux_제트베인_1_2007 교통신호기 설치공사 설계내역서(제1지역)_북부-1지역_북부-1지역_사본 - LED - 개2" xfId="7332"/>
    <cellStyle name="@_laroux_제트베인_1_2007 교통신호기 설치공사 설계내역서(제1지역)_북부-1지역_북부-1지역_사본 - LED - 개2 2" xfId="7333"/>
    <cellStyle name="@_laroux_제트베인_1_2007 교통신호기 설치공사 설계내역서(제1지역)_북부-1지역_북부-1지역_사본 - LED - 개2 3" xfId="7334"/>
    <cellStyle name="@_laroux_제트베인_1_2007 교통신호기 설치공사 설계내역서(제1지역)_북부-1지역_북부-1지역_사본 - LED - 개2 4" xfId="7335"/>
    <cellStyle name="@_laroux_제트베인_1_2007 교통신호기 설치공사 설계내역서(제1지역)_북부-1지역_북부-1지역_사본 - LED - 개2_LED성동완" xfId="7336"/>
    <cellStyle name="@_laroux_제트베인_1_2007 교통신호기 설치공사 설계내역서(제1지역)_북부-1지역_북부-1지역_사본 - LED - 개2_LED성동완 2" xfId="7337"/>
    <cellStyle name="@_laroux_제트베인_1_2007 교통신호기 설치공사 설계내역서(제1지역)_북부-1지역_북부-1지역_사본 - LED - 개2_LED성동완 3" xfId="7338"/>
    <cellStyle name="@_laroux_제트베인_1_2007 교통신호기 설치공사 설계내역서(제1지역)_북부-1지역_북부-1지역_사본 - LED - 개2_LED성동완 4" xfId="7339"/>
    <cellStyle name="@_laroux_제트베인_1_2007 교통신호기 설치공사 설계내역서(제1지역)_북부-1지역_북부-1지역_사본 - LED - 개2_LED성동완_설계내역서" xfId="7340"/>
    <cellStyle name="@_laroux_제트베인_1_2007 교통신호기 설치공사 설계내역서(제1지역)_북부-1지역_북부-1지역_사본 - LED - 개2_설계내역서" xfId="7341"/>
    <cellStyle name="@_laroux_제트베인_1_2007 교통신호기 설치공사 설계내역서(제1지역)_북부-1지역_북부-1지역_사본 - LED성동 물량2" xfId="7342"/>
    <cellStyle name="@_laroux_제트베인_1_2007 교통신호기 설치공사 설계내역서(제1지역)_북부-1지역_북부-1지역_사본 - LED성동 물량2 2" xfId="7343"/>
    <cellStyle name="@_laroux_제트베인_1_2007 교통신호기 설치공사 설계내역서(제1지역)_북부-1지역_북부-1지역_사본 - LED성동 물량2 3" xfId="7344"/>
    <cellStyle name="@_laroux_제트베인_1_2007 교통신호기 설치공사 설계내역서(제1지역)_북부-1지역_북부-1지역_사본 - LED성동 물량2 4" xfId="7345"/>
    <cellStyle name="@_laroux_제트베인_1_2007 교통신호기 설치공사 설계내역서(제1지역)_북부-1지역_북부-1지역_사본 - LED성동 물량2_LED성동완" xfId="7346"/>
    <cellStyle name="@_laroux_제트베인_1_2007 교통신호기 설치공사 설계내역서(제1지역)_북부-1지역_북부-1지역_사본 - LED성동 물량2_LED성동완 2" xfId="7347"/>
    <cellStyle name="@_laroux_제트베인_1_2007 교통신호기 설치공사 설계내역서(제1지역)_북부-1지역_북부-1지역_사본 - LED성동 물량2_LED성동완 3" xfId="7348"/>
    <cellStyle name="@_laroux_제트베인_1_2007 교통신호기 설치공사 설계내역서(제1지역)_북부-1지역_북부-1지역_사본 - LED성동 물량2_LED성동완 4" xfId="7349"/>
    <cellStyle name="@_laroux_제트베인_1_2007 교통신호기 설치공사 설계내역서(제1지역)_북부-1지역_북부-1지역_사본 - LED성동 물량2_LED성동완_설계내역서" xfId="7350"/>
    <cellStyle name="@_laroux_제트베인_1_2007 교통신호기 설치공사 설계내역서(제1지역)_북부-1지역_북부-1지역_사본 - LED성동 물량2_설계내역서" xfId="7351"/>
    <cellStyle name="@_laroux_제트베인_1_2007 교통신호기 설치공사 설계내역서(제1지역)_북부-1지역_북부-1지역_설계내역서" xfId="7352"/>
    <cellStyle name="@_laroux_제트베인_1_2007 교통신호기 설치공사 설계내역서(제1지역)_북부-1지역_사본 - LED - 개2" xfId="7353"/>
    <cellStyle name="@_laroux_제트베인_1_2007 교통신호기 설치공사 설계내역서(제1지역)_북부-1지역_사본 - LED - 개2 2" xfId="7354"/>
    <cellStyle name="@_laroux_제트베인_1_2007 교통신호기 설치공사 설계내역서(제1지역)_북부-1지역_사본 - LED - 개2 3" xfId="7355"/>
    <cellStyle name="@_laroux_제트베인_1_2007 교통신호기 설치공사 설계내역서(제1지역)_북부-1지역_사본 - LED - 개2 4" xfId="7356"/>
    <cellStyle name="@_laroux_제트베인_1_2007 교통신호기 설치공사 설계내역서(제1지역)_북부-1지역_사본 - LED - 개2_LED성동완" xfId="7357"/>
    <cellStyle name="@_laroux_제트베인_1_2007 교통신호기 설치공사 설계내역서(제1지역)_북부-1지역_사본 - LED - 개2_LED성동완 2" xfId="7358"/>
    <cellStyle name="@_laroux_제트베인_1_2007 교통신호기 설치공사 설계내역서(제1지역)_북부-1지역_사본 - LED - 개2_LED성동완 3" xfId="7359"/>
    <cellStyle name="@_laroux_제트베인_1_2007 교통신호기 설치공사 설계내역서(제1지역)_북부-1지역_사본 - LED - 개2_LED성동완 4" xfId="7360"/>
    <cellStyle name="@_laroux_제트베인_1_2007 교통신호기 설치공사 설계내역서(제1지역)_북부-1지역_사본 - LED - 개2_LED성동완_설계내역서" xfId="7361"/>
    <cellStyle name="@_laroux_제트베인_1_2007 교통신호기 설치공사 설계내역서(제1지역)_북부-1지역_사본 - LED - 개2_설계내역서" xfId="7362"/>
    <cellStyle name="@_laroux_제트베인_1_2007 교통신호기 설치공사 설계내역서(제1지역)_북부-1지역_사본 - LED성동 물량2" xfId="7363"/>
    <cellStyle name="@_laroux_제트베인_1_2007 교통신호기 설치공사 설계내역서(제1지역)_북부-1지역_사본 - LED성동 물량2 2" xfId="7364"/>
    <cellStyle name="@_laroux_제트베인_1_2007 교통신호기 설치공사 설계내역서(제1지역)_북부-1지역_사본 - LED성동 물량2 3" xfId="7365"/>
    <cellStyle name="@_laroux_제트베인_1_2007 교통신호기 설치공사 설계내역서(제1지역)_북부-1지역_사본 - LED성동 물량2 4" xfId="7366"/>
    <cellStyle name="@_laroux_제트베인_1_2007 교통신호기 설치공사 설계내역서(제1지역)_북부-1지역_사본 - LED성동 물량2_LED성동완" xfId="7367"/>
    <cellStyle name="@_laroux_제트베인_1_2007 교통신호기 설치공사 설계내역서(제1지역)_북부-1지역_사본 - LED성동 물량2_LED성동완 2" xfId="7368"/>
    <cellStyle name="@_laroux_제트베인_1_2007 교통신호기 설치공사 설계내역서(제1지역)_북부-1지역_사본 - LED성동 물량2_LED성동완 3" xfId="7369"/>
    <cellStyle name="@_laroux_제트베인_1_2007 교통신호기 설치공사 설계내역서(제1지역)_북부-1지역_사본 - LED성동 물량2_LED성동완 4" xfId="7370"/>
    <cellStyle name="@_laroux_제트베인_1_2007 교통신호기 설치공사 설계내역서(제1지역)_북부-1지역_사본 - LED성동 물량2_LED성동완_설계내역서" xfId="7371"/>
    <cellStyle name="@_laroux_제트베인_1_2007 교통신호기 설치공사 설계내역서(제1지역)_북부-1지역_사본 - LED성동 물량2_설계내역서" xfId="7372"/>
    <cellStyle name="@_laroux_제트베인_1_2007 교통신호기 설치공사 설계내역서(제1지역)_북부-1지역_설계내역서" xfId="7373"/>
    <cellStyle name="@_laroux_제트베인_1_2007 교통신호기 설치공사 설계내역서(제1지역)_사본 - LED - 개2" xfId="7374"/>
    <cellStyle name="@_laroux_제트베인_1_2007 교통신호기 설치공사 설계내역서(제1지역)_사본 - LED - 개2 2" xfId="7375"/>
    <cellStyle name="@_laroux_제트베인_1_2007 교통신호기 설치공사 설계내역서(제1지역)_사본 - LED - 개2 3" xfId="7376"/>
    <cellStyle name="@_laroux_제트베인_1_2007 교통신호기 설치공사 설계내역서(제1지역)_사본 - LED - 개2 4" xfId="7377"/>
    <cellStyle name="@_laroux_제트베인_1_2007 교통신호기 설치공사 설계내역서(제1지역)_사본 - LED - 개2_LED성동완" xfId="7378"/>
    <cellStyle name="@_laroux_제트베인_1_2007 교통신호기 설치공사 설계내역서(제1지역)_사본 - LED - 개2_LED성동완 2" xfId="7379"/>
    <cellStyle name="@_laroux_제트베인_1_2007 교통신호기 설치공사 설계내역서(제1지역)_사본 - LED - 개2_LED성동완 3" xfId="7380"/>
    <cellStyle name="@_laroux_제트베인_1_2007 교통신호기 설치공사 설계내역서(제1지역)_사본 - LED - 개2_LED성동완 4" xfId="7381"/>
    <cellStyle name="@_laroux_제트베인_1_2007 교통신호기 설치공사 설계내역서(제1지역)_사본 - LED - 개2_LED성동완_설계내역서" xfId="7382"/>
    <cellStyle name="@_laroux_제트베인_1_2007 교통신호기 설치공사 설계내역서(제1지역)_사본 - LED - 개2_설계내역서" xfId="7383"/>
    <cellStyle name="@_laroux_제트베인_1_2007 교통신호기 설치공사 설계내역서(제1지역)_사본 - LED성동 물량2" xfId="7384"/>
    <cellStyle name="@_laroux_제트베인_1_2007 교통신호기 설치공사 설계내역서(제1지역)_사본 - LED성동 물량2 2" xfId="7385"/>
    <cellStyle name="@_laroux_제트베인_1_2007 교통신호기 설치공사 설계내역서(제1지역)_사본 - LED성동 물량2 3" xfId="7386"/>
    <cellStyle name="@_laroux_제트베인_1_2007 교통신호기 설치공사 설계내역서(제1지역)_사본 - LED성동 물량2 4" xfId="7387"/>
    <cellStyle name="@_laroux_제트베인_1_2007 교통신호기 설치공사 설계내역서(제1지역)_사본 - LED성동 물량2_LED성동완" xfId="7388"/>
    <cellStyle name="@_laroux_제트베인_1_2007 교통신호기 설치공사 설계내역서(제1지역)_사본 - LED성동 물량2_LED성동완 2" xfId="7389"/>
    <cellStyle name="@_laroux_제트베인_1_2007 교통신호기 설치공사 설계내역서(제1지역)_사본 - LED성동 물량2_LED성동완 3" xfId="7390"/>
    <cellStyle name="@_laroux_제트베인_1_2007 교통신호기 설치공사 설계내역서(제1지역)_사본 - LED성동 물량2_LED성동완 4" xfId="7391"/>
    <cellStyle name="@_laroux_제트베인_1_2007 교통신호기 설치공사 설계내역서(제1지역)_사본 - LED성동 물량2_LED성동완_설계내역서" xfId="7392"/>
    <cellStyle name="@_laroux_제트베인_1_2007 교통신호기 설치공사 설계내역서(제1지역)_사본 - LED성동 물량2_설계내역서" xfId="7393"/>
    <cellStyle name="@_laroux_제트베인_1_2007 교통신호기 설치공사 설계내역서(제1지역)_사본 - 강서1지역(임시)" xfId="7394"/>
    <cellStyle name="@_laroux_제트베인_1_2007 교통신호기 설치공사 설계내역서(제1지역)_사본 - 강서1지역(임시) 2" xfId="7395"/>
    <cellStyle name="@_laroux_제트베인_1_2007 교통신호기 설치공사 설계내역서(제1지역)_사본 - 강서1지역(임시) 3" xfId="7396"/>
    <cellStyle name="@_laroux_제트베인_1_2007 교통신호기 설치공사 설계내역서(제1지역)_사본 - 강서1지역(임시) 4" xfId="7397"/>
    <cellStyle name="@_laroux_제트베인_1_2007 교통신호기 설치공사 설계내역서(제1지역)_사본 - 강서1지역(임시)_설계내역서" xfId="7398"/>
    <cellStyle name="@_laroux_제트베인_1_2007 교통신호기 설치공사 설계내역서(제1지역)_설계내역서" xfId="7399"/>
    <cellStyle name="@_laroux_제트베인_1_2007 교통신호기 설치공사 설계내역서(제1지역)_설계서" xfId="7400"/>
    <cellStyle name="@_laroux_제트베인_1_2007 교통신호기 설치공사 설계내역서(제1지역)_설계서 2" xfId="7401"/>
    <cellStyle name="@_laroux_제트베인_1_2007 교통신호기 설치공사 설계내역서(제1지역)_설계서 3" xfId="7402"/>
    <cellStyle name="@_laroux_제트베인_1_2007 교통신호기 설치공사 설계내역서(제1지역)_설계서 4" xfId="7403"/>
    <cellStyle name="@_laroux_제트베인_1_2007 교통신호기 설치공사 설계내역서(제1지역)_설계서(세척및도장)" xfId="7404"/>
    <cellStyle name="@_laroux_제트베인_1_2007 교통신호기 설치공사 설계내역서(제1지역)_설계서(세척및도장) 2" xfId="7405"/>
    <cellStyle name="@_laroux_제트베인_1_2007 교통신호기 설치공사 설계내역서(제1지역)_설계서(세척및도장) 3" xfId="7406"/>
    <cellStyle name="@_laroux_제트베인_1_2007 교통신호기 설치공사 설계내역서(제1지역)_설계서(세척및도장) 4" xfId="7407"/>
    <cellStyle name="@_laroux_제트베인_1_2007 교통신호기 설치공사 설계내역서(제1지역)_설계서(세척및도장)_설계내역서" xfId="7408"/>
    <cellStyle name="@_laroux_제트베인_1_2007 교통신호기 설치공사 설계내역서(제1지역)_설계서_LED - 개2" xfId="7409"/>
    <cellStyle name="@_laroux_제트베인_1_2007 교통신호기 설치공사 설계내역서(제1지역)_설계서_LED - 개2 2" xfId="7410"/>
    <cellStyle name="@_laroux_제트베인_1_2007 교통신호기 설치공사 설계내역서(제1지역)_설계서_LED - 개2 3" xfId="7411"/>
    <cellStyle name="@_laroux_제트베인_1_2007 교통신호기 설치공사 설계내역서(제1지역)_설계서_LED - 개2 4" xfId="7412"/>
    <cellStyle name="@_laroux_제트베인_1_2007 교통신호기 설치공사 설계내역서(제1지역)_설계서_LED - 개2_LED성동완" xfId="7413"/>
    <cellStyle name="@_laroux_제트베인_1_2007 교통신호기 설치공사 설계내역서(제1지역)_설계서_LED - 개2_LED성동완 2" xfId="7414"/>
    <cellStyle name="@_laroux_제트베인_1_2007 교통신호기 설치공사 설계내역서(제1지역)_설계서_LED - 개2_LED성동완 3" xfId="7415"/>
    <cellStyle name="@_laroux_제트베인_1_2007 교통신호기 설치공사 설계내역서(제1지역)_설계서_LED - 개2_LED성동완 4" xfId="7416"/>
    <cellStyle name="@_laroux_제트베인_1_2007 교통신호기 설치공사 설계내역서(제1지역)_설계서_LED - 개2_LED성동완_설계내역서" xfId="7417"/>
    <cellStyle name="@_laroux_제트베인_1_2007 교통신호기 설치공사 설계내역서(제1지역)_설계서_LED - 개2_설계내역서" xfId="7418"/>
    <cellStyle name="@_laroux_제트베인_1_2007 교통신호기 설치공사 설계내역서(제1지역)_설계서_북부-1지역" xfId="7419"/>
    <cellStyle name="@_laroux_제트베인_1_2007 교통신호기 설치공사 설계내역서(제1지역)_설계서_북부-1지역 2" xfId="7420"/>
    <cellStyle name="@_laroux_제트베인_1_2007 교통신호기 설치공사 설계내역서(제1지역)_설계서_북부-1지역 3" xfId="7421"/>
    <cellStyle name="@_laroux_제트베인_1_2007 교통신호기 설치공사 설계내역서(제1지역)_설계서_북부-1지역 4" xfId="7422"/>
    <cellStyle name="@_laroux_제트베인_1_2007 교통신호기 설치공사 설계내역서(제1지역)_설계서_북부-1지역_LED - 개2" xfId="7423"/>
    <cellStyle name="@_laroux_제트베인_1_2007 교통신호기 설치공사 설계내역서(제1지역)_설계서_북부-1지역_LED - 개2 2" xfId="7424"/>
    <cellStyle name="@_laroux_제트베인_1_2007 교통신호기 설치공사 설계내역서(제1지역)_설계서_북부-1지역_LED - 개2 3" xfId="7425"/>
    <cellStyle name="@_laroux_제트베인_1_2007 교통신호기 설치공사 설계내역서(제1지역)_설계서_북부-1지역_LED - 개2 4" xfId="7426"/>
    <cellStyle name="@_laroux_제트베인_1_2007 교통신호기 설치공사 설계내역서(제1지역)_설계서_북부-1지역_LED - 개2_LED성동완" xfId="7427"/>
    <cellStyle name="@_laroux_제트베인_1_2007 교통신호기 설치공사 설계내역서(제1지역)_설계서_북부-1지역_LED - 개2_LED성동완 2" xfId="7428"/>
    <cellStyle name="@_laroux_제트베인_1_2007 교통신호기 설치공사 설계내역서(제1지역)_설계서_북부-1지역_LED - 개2_LED성동완 3" xfId="7429"/>
    <cellStyle name="@_laroux_제트베인_1_2007 교통신호기 설치공사 설계내역서(제1지역)_설계서_북부-1지역_LED - 개2_LED성동완 4" xfId="7430"/>
    <cellStyle name="@_laroux_제트베인_1_2007 교통신호기 설치공사 설계내역서(제1지역)_설계서_북부-1지역_LED - 개2_LED성동완_설계내역서" xfId="7431"/>
    <cellStyle name="@_laroux_제트베인_1_2007 교통신호기 설치공사 설계내역서(제1지역)_설계서_북부-1지역_LED - 개2_설계내역서" xfId="7432"/>
    <cellStyle name="@_laroux_제트베인_1_2007 교통신호기 설치공사 설계내역서(제1지역)_설계서_북부-1지역_사본 - LED - 개2" xfId="7433"/>
    <cellStyle name="@_laroux_제트베인_1_2007 교통신호기 설치공사 설계내역서(제1지역)_설계서_북부-1지역_사본 - LED - 개2 2" xfId="7434"/>
    <cellStyle name="@_laroux_제트베인_1_2007 교통신호기 설치공사 설계내역서(제1지역)_설계서_북부-1지역_사본 - LED - 개2 3" xfId="7435"/>
    <cellStyle name="@_laroux_제트베인_1_2007 교통신호기 설치공사 설계내역서(제1지역)_설계서_북부-1지역_사본 - LED - 개2 4" xfId="7436"/>
    <cellStyle name="@_laroux_제트베인_1_2007 교통신호기 설치공사 설계내역서(제1지역)_설계서_북부-1지역_사본 - LED - 개2_LED성동완" xfId="7437"/>
    <cellStyle name="@_laroux_제트베인_1_2007 교통신호기 설치공사 설계내역서(제1지역)_설계서_북부-1지역_사본 - LED - 개2_LED성동완 2" xfId="7438"/>
    <cellStyle name="@_laroux_제트베인_1_2007 교통신호기 설치공사 설계내역서(제1지역)_설계서_북부-1지역_사본 - LED - 개2_LED성동완 3" xfId="7439"/>
    <cellStyle name="@_laroux_제트베인_1_2007 교통신호기 설치공사 설계내역서(제1지역)_설계서_북부-1지역_사본 - LED - 개2_LED성동완 4" xfId="7440"/>
    <cellStyle name="@_laroux_제트베인_1_2007 교통신호기 설치공사 설계내역서(제1지역)_설계서_북부-1지역_사본 - LED - 개2_LED성동완_설계내역서" xfId="7441"/>
    <cellStyle name="@_laroux_제트베인_1_2007 교통신호기 설치공사 설계내역서(제1지역)_설계서_북부-1지역_사본 - LED - 개2_설계내역서" xfId="7442"/>
    <cellStyle name="@_laroux_제트베인_1_2007 교통신호기 설치공사 설계내역서(제1지역)_설계서_북부-1지역_사본 - LED성동 물량2" xfId="7443"/>
    <cellStyle name="@_laroux_제트베인_1_2007 교통신호기 설치공사 설계내역서(제1지역)_설계서_북부-1지역_사본 - LED성동 물량2 2" xfId="7444"/>
    <cellStyle name="@_laroux_제트베인_1_2007 교통신호기 설치공사 설계내역서(제1지역)_설계서_북부-1지역_사본 - LED성동 물량2 3" xfId="7445"/>
    <cellStyle name="@_laroux_제트베인_1_2007 교통신호기 설치공사 설계내역서(제1지역)_설계서_북부-1지역_사본 - LED성동 물량2 4" xfId="7446"/>
    <cellStyle name="@_laroux_제트베인_1_2007 교통신호기 설치공사 설계내역서(제1지역)_설계서_북부-1지역_사본 - LED성동 물량2_LED성동완" xfId="7447"/>
    <cellStyle name="@_laroux_제트베인_1_2007 교통신호기 설치공사 설계내역서(제1지역)_설계서_북부-1지역_사본 - LED성동 물량2_LED성동완 2" xfId="7448"/>
    <cellStyle name="@_laroux_제트베인_1_2007 교통신호기 설치공사 설계내역서(제1지역)_설계서_북부-1지역_사본 - LED성동 물량2_LED성동완 3" xfId="7449"/>
    <cellStyle name="@_laroux_제트베인_1_2007 교통신호기 설치공사 설계내역서(제1지역)_설계서_북부-1지역_사본 - LED성동 물량2_LED성동완 4" xfId="7450"/>
    <cellStyle name="@_laroux_제트베인_1_2007 교통신호기 설치공사 설계내역서(제1지역)_설계서_북부-1지역_사본 - LED성동 물량2_LED성동완_설계내역서" xfId="7451"/>
    <cellStyle name="@_laroux_제트베인_1_2007 교통신호기 설치공사 설계내역서(제1지역)_설계서_북부-1지역_사본 - LED성동 물량2_설계내역서" xfId="7452"/>
    <cellStyle name="@_laroux_제트베인_1_2007 교통신호기 설치공사 설계내역서(제1지역)_설계서_북부-1지역_설계내역서" xfId="7453"/>
    <cellStyle name="@_laroux_제트베인_1_2007 교통신호기 설치공사 설계내역서(제1지역)_설계서_사본 - LED - 개2" xfId="7454"/>
    <cellStyle name="@_laroux_제트베인_1_2007 교통신호기 설치공사 설계내역서(제1지역)_설계서_사본 - LED - 개2 2" xfId="7455"/>
    <cellStyle name="@_laroux_제트베인_1_2007 교통신호기 설치공사 설계내역서(제1지역)_설계서_사본 - LED - 개2 3" xfId="7456"/>
    <cellStyle name="@_laroux_제트베인_1_2007 교통신호기 설치공사 설계내역서(제1지역)_설계서_사본 - LED - 개2 4" xfId="7457"/>
    <cellStyle name="@_laroux_제트베인_1_2007 교통신호기 설치공사 설계내역서(제1지역)_설계서_사본 - LED - 개2_LED성동완" xfId="7458"/>
    <cellStyle name="@_laroux_제트베인_1_2007 교통신호기 설치공사 설계내역서(제1지역)_설계서_사본 - LED - 개2_LED성동완 2" xfId="7459"/>
    <cellStyle name="@_laroux_제트베인_1_2007 교통신호기 설치공사 설계내역서(제1지역)_설계서_사본 - LED - 개2_LED성동완 3" xfId="7460"/>
    <cellStyle name="@_laroux_제트베인_1_2007 교통신호기 설치공사 설계내역서(제1지역)_설계서_사본 - LED - 개2_LED성동완 4" xfId="7461"/>
    <cellStyle name="@_laroux_제트베인_1_2007 교통신호기 설치공사 설계내역서(제1지역)_설계서_사본 - LED - 개2_LED성동완_설계내역서" xfId="7462"/>
    <cellStyle name="@_laroux_제트베인_1_2007 교통신호기 설치공사 설계내역서(제1지역)_설계서_사본 - LED - 개2_설계내역서" xfId="7463"/>
    <cellStyle name="@_laroux_제트베인_1_2007 교통신호기 설치공사 설계내역서(제1지역)_설계서_사본 - LED성동 물량2" xfId="7464"/>
    <cellStyle name="@_laroux_제트베인_1_2007 교통신호기 설치공사 설계내역서(제1지역)_설계서_사본 - LED성동 물량2 2" xfId="7465"/>
    <cellStyle name="@_laroux_제트베인_1_2007 교통신호기 설치공사 설계내역서(제1지역)_설계서_사본 - LED성동 물량2 3" xfId="7466"/>
    <cellStyle name="@_laroux_제트베인_1_2007 교통신호기 설치공사 설계내역서(제1지역)_설계서_사본 - LED성동 물량2 4" xfId="7467"/>
    <cellStyle name="@_laroux_제트베인_1_2007 교통신호기 설치공사 설계내역서(제1지역)_설계서_사본 - LED성동 물량2_LED성동완" xfId="7468"/>
    <cellStyle name="@_laroux_제트베인_1_2007 교통신호기 설치공사 설계내역서(제1지역)_설계서_사본 - LED성동 물량2_LED성동완 2" xfId="7469"/>
    <cellStyle name="@_laroux_제트베인_1_2007 교통신호기 설치공사 설계내역서(제1지역)_설계서_사본 - LED성동 물량2_LED성동완 3" xfId="7470"/>
    <cellStyle name="@_laroux_제트베인_1_2007 교통신호기 설치공사 설계내역서(제1지역)_설계서_사본 - LED성동 물량2_LED성동완 4" xfId="7471"/>
    <cellStyle name="@_laroux_제트베인_1_2007 교통신호기 설치공사 설계내역서(제1지역)_설계서_사본 - LED성동 물량2_LED성동완_설계내역서" xfId="7472"/>
    <cellStyle name="@_laroux_제트베인_1_2007 교통신호기 설치공사 설계내역서(제1지역)_설계서_사본 - LED성동 물량2_설계내역서" xfId="7473"/>
    <cellStyle name="@_laroux_제트베인_1_2007 교통신호기 설치공사 설계내역서(제1지역)_설계서_설계내역서" xfId="7474"/>
    <cellStyle name="@_laroux_제트베인_1_2007 교통신호기 설치공사 설계내역서(제1지역)_어린이보호구역 내역서(낙찰율적용-수정)" xfId="7475"/>
    <cellStyle name="@_laroux_제트베인_1_2007 교통신호기 설치공사 설계내역서(제1지역)_어린이보호구역 내역서(낙찰율적용-수정) 2" xfId="7476"/>
    <cellStyle name="@_laroux_제트베인_1_2007 교통신호기 설치공사 설계내역서(제1지역)_어린이보호구역 내역서(낙찰율적용-수정) 3" xfId="7477"/>
    <cellStyle name="@_laroux_제트베인_1_2007 교통신호기 설치공사 설계내역서(제1지역)_어린이보호구역 내역서(낙찰율적용-수정) 4" xfId="7478"/>
    <cellStyle name="@_laroux_제트베인_1_2007 교통신호기 설치공사 설계내역서(제1지역)_어린이보호구역 내역서(낙찰율적용-수정)_설계내역서" xfId="7479"/>
    <cellStyle name="@_laroux_제트베인_1_2007 교통신호기 설치공사 설계내역서(제1지역)_어린이보호구역신호기설치공사(신서초교외 11개소)" xfId="7480"/>
    <cellStyle name="@_laroux_제트베인_1_2007 교통신호기 설치공사 설계내역서(제1지역)_어린이보호구역신호기설치공사(신서초교외 11개소) 2" xfId="7481"/>
    <cellStyle name="@_laroux_제트베인_1_2007 교통신호기 설치공사 설계내역서(제1지역)_어린이보호구역신호기설치공사(신서초교외 11개소) 3" xfId="7482"/>
    <cellStyle name="@_laroux_제트베인_1_2007 교통신호기 설치공사 설계내역서(제1지역)_어린이보호구역신호기설치공사(신서초교외 11개소) 4" xfId="7483"/>
    <cellStyle name="@_laroux_제트베인_1_2007 교통신호기 설치공사 설계내역서(제1지역)_어린이보호구역신호기설치공사(신서초교외 11개소)_설계내역서" xfId="7484"/>
    <cellStyle name="@_laroux_제트베인_1_2007 교통신호기 설치공사 설계내역서(제1지역)_일위대가표2" xfId="7485"/>
    <cellStyle name="@_laroux_제트베인_1_2007 교통신호기 설치공사 설계내역서(제1지역)_일위대가표2 2" xfId="7486"/>
    <cellStyle name="@_laroux_제트베인_1_2007 교통신호기 설치공사 설계내역서(제1지역)_일위대가표2 3" xfId="7487"/>
    <cellStyle name="@_laroux_제트베인_1_2007 교통신호기 설치공사 설계내역서(제1지역)_일위대가표2 4" xfId="7488"/>
    <cellStyle name="@_laroux_제트베인_1_2007 교통신호기 설치공사 설계내역서(제1지역)_일위대가표2_설계내역서" xfId="7489"/>
    <cellStyle name="@_laroux_제트베인_1_LED - 개2" xfId="7490"/>
    <cellStyle name="@_laroux_제트베인_1_LED - 개2 2" xfId="7491"/>
    <cellStyle name="@_laroux_제트베인_1_LED - 개2 3" xfId="7492"/>
    <cellStyle name="@_laroux_제트베인_1_LED - 개2 4" xfId="7493"/>
    <cellStyle name="@_laroux_제트베인_1_LED - 개2_LED성동완" xfId="7494"/>
    <cellStyle name="@_laroux_제트베인_1_LED - 개2_LED성동완 2" xfId="7495"/>
    <cellStyle name="@_laroux_제트베인_1_LED - 개2_LED성동완 3" xfId="7496"/>
    <cellStyle name="@_laroux_제트베인_1_LED - 개2_LED성동완 4" xfId="7497"/>
    <cellStyle name="@_laroux_제트베인_1_LED - 개2_LED성동완_설계내역서" xfId="7498"/>
    <cellStyle name="@_laroux_제트베인_1_LED - 개2_설계내역서" xfId="7499"/>
    <cellStyle name="@_laroux_제트베인_1_광명_주정차시스템 견적서(한일에스티엠_4억9천)" xfId="7500"/>
    <cellStyle name="@_laroux_제트베인_1_광명_주정차시스템 견적서(한일에스티엠_4억9천) 2" xfId="7501"/>
    <cellStyle name="@_laroux_제트베인_1_광명_주정차시스템 견적서(한일에스티엠_4억9천) 3" xfId="7502"/>
    <cellStyle name="@_laroux_제트베인_1_광명_주정차시스템 견적서(한일에스티엠_4억9천) 4" xfId="7503"/>
    <cellStyle name="@_laroux_제트베인_1_광명_주정차시스템 견적서(한일에스티엠_4억9천)_설계내역서" xfId="7504"/>
    <cellStyle name="@_laroux_제트베인_1_광명_주정차시스템 견적서(한일에스티엠_4억9천)_성남시 불법주정차자동_견적서" xfId="7505"/>
    <cellStyle name="@_laroux_제트베인_1_광명_주정차시스템 견적서(한일에스티엠_4억9천)_성남시 불법주정차자동_견적서 2" xfId="7506"/>
    <cellStyle name="@_laroux_제트베인_1_광명_주정차시스템 견적서(한일에스티엠_4억9천)_성남시 불법주정차자동_견적서 3" xfId="7507"/>
    <cellStyle name="@_laroux_제트베인_1_광명_주정차시스템 견적서(한일에스티엠_4억9천)_성남시 불법주정차자동_견적서 4" xfId="7508"/>
    <cellStyle name="@_laroux_제트베인_1_광명_주정차시스템 견적서(한일에스티엠_4억9천)_성남시 불법주정차자동_견적서_견적서_ 한일에스티엠" xfId="7509"/>
    <cellStyle name="@_laroux_제트베인_1_광명_주정차시스템 견적서(한일에스티엠_4억9천)_성남시 불법주정차자동_견적서_견적서_ 한일에스티엠 2" xfId="7510"/>
    <cellStyle name="@_laroux_제트베인_1_광명_주정차시스템 견적서(한일에스티엠_4억9천)_성남시 불법주정차자동_견적서_견적서_ 한일에스티엠 3" xfId="7511"/>
    <cellStyle name="@_laroux_제트베인_1_광명_주정차시스템 견적서(한일에스티엠_4억9천)_성남시 불법주정차자동_견적서_견적서_ 한일에스티엠 4" xfId="7512"/>
    <cellStyle name="@_laroux_제트베인_1_광명_주정차시스템 견적서(한일에스티엠_4억9천)_성남시 불법주정차자동_견적서_견적서_ 한일에스티엠_설계내역서" xfId="7513"/>
    <cellStyle name="@_laroux_제트베인_1_광명_주정차시스템 견적서(한일에스티엠_4억9천)_성남시 불법주정차자동_견적서_설계내역서" xfId="7514"/>
    <cellStyle name="@_laroux_제트베인_1_광명_주정차시스템 견적서(한일에스티엠_수정본)" xfId="7515"/>
    <cellStyle name="@_laroux_제트베인_1_광명_주정차시스템 견적서(한일에스티엠_수정본) 2" xfId="7516"/>
    <cellStyle name="@_laroux_제트베인_1_광명_주정차시스템 견적서(한일에스티엠_수정본) 3" xfId="7517"/>
    <cellStyle name="@_laroux_제트베인_1_광명_주정차시스템 견적서(한일에스티엠_수정본) 4" xfId="7518"/>
    <cellStyle name="@_laroux_제트베인_1_광명_주정차시스템 견적서(한일에스티엠_수정본)_설계내역서" xfId="7519"/>
    <cellStyle name="@_laroux_제트베인_1_광명_주정차시스템 견적서(한일에스티엠_수정본)_성남시 불법주정차자동_견적서" xfId="7520"/>
    <cellStyle name="@_laroux_제트베인_1_광명_주정차시스템 견적서(한일에스티엠_수정본)_성남시 불법주정차자동_견적서 2" xfId="7521"/>
    <cellStyle name="@_laroux_제트베인_1_광명_주정차시스템 견적서(한일에스티엠_수정본)_성남시 불법주정차자동_견적서 3" xfId="7522"/>
    <cellStyle name="@_laroux_제트베인_1_광명_주정차시스템 견적서(한일에스티엠_수정본)_성남시 불법주정차자동_견적서 4" xfId="7523"/>
    <cellStyle name="@_laroux_제트베인_1_광명_주정차시스템 견적서(한일에스티엠_수정본)_성남시 불법주정차자동_견적서_견적서_ 한일에스티엠" xfId="7524"/>
    <cellStyle name="@_laroux_제트베인_1_광명_주정차시스템 견적서(한일에스티엠_수정본)_성남시 불법주정차자동_견적서_견적서_ 한일에스티엠 2" xfId="7525"/>
    <cellStyle name="@_laroux_제트베인_1_광명_주정차시스템 견적서(한일에스티엠_수정본)_성남시 불법주정차자동_견적서_견적서_ 한일에스티엠 3" xfId="7526"/>
    <cellStyle name="@_laroux_제트베인_1_광명_주정차시스템 견적서(한일에스티엠_수정본)_성남시 불법주정차자동_견적서_견적서_ 한일에스티엠 4" xfId="7527"/>
    <cellStyle name="@_laroux_제트베인_1_광명_주정차시스템 견적서(한일에스티엠_수정본)_성남시 불법주정차자동_견적서_견적서_ 한일에스티엠_설계내역서" xfId="7528"/>
    <cellStyle name="@_laroux_제트베인_1_광명_주정차시스템 견적서(한일에스티엠_수정본)_성남시 불법주정차자동_견적서_설계내역서" xfId="7529"/>
    <cellStyle name="@_laroux_제트베인_1_농협퇴비-음성한우리영농(보통,그린)" xfId="7530"/>
    <cellStyle name="@_laroux_제트베인_1_농협퇴비-음성한우리영농(보통,그린) 2" xfId="7531"/>
    <cellStyle name="@_laroux_제트베인_1_농협퇴비-음성한우리영농(보통,그린) 3" xfId="7532"/>
    <cellStyle name="@_laroux_제트베인_1_농협퇴비-음성한우리영농(보통,그린) 4" xfId="7533"/>
    <cellStyle name="@_laroux_제트베인_1_농협퇴비-음성한우리영농(보통,그린)_100%-2006신호-" xfId="7534"/>
    <cellStyle name="@_laroux_제트베인_1_농협퇴비-음성한우리영농(보통,그린)_100%-2006신호- 2" xfId="7535"/>
    <cellStyle name="@_laroux_제트베인_1_농협퇴비-음성한우리영농(보통,그린)_100%-2006신호- 3" xfId="7536"/>
    <cellStyle name="@_laroux_제트베인_1_농협퇴비-음성한우리영농(보통,그린)_100%-2006신호- 4" xfId="7537"/>
    <cellStyle name="@_laroux_제트베인_1_농협퇴비-음성한우리영농(보통,그린)_100%-2006신호-_LED - 개2" xfId="7538"/>
    <cellStyle name="@_laroux_제트베인_1_농협퇴비-음성한우리영농(보통,그린)_100%-2006신호-_LED - 개2 2" xfId="7539"/>
    <cellStyle name="@_laroux_제트베인_1_농협퇴비-음성한우리영농(보통,그린)_100%-2006신호-_LED - 개2 3" xfId="7540"/>
    <cellStyle name="@_laroux_제트베인_1_농협퇴비-음성한우리영농(보통,그린)_100%-2006신호-_LED - 개2 4" xfId="7541"/>
    <cellStyle name="@_laroux_제트베인_1_농협퇴비-음성한우리영농(보통,그린)_100%-2006신호-_LED - 개2_LED성동완" xfId="7542"/>
    <cellStyle name="@_laroux_제트베인_1_농협퇴비-음성한우리영농(보통,그린)_100%-2006신호-_LED - 개2_LED성동완 2" xfId="7543"/>
    <cellStyle name="@_laroux_제트베인_1_농협퇴비-음성한우리영농(보통,그린)_100%-2006신호-_LED - 개2_LED성동완 3" xfId="7544"/>
    <cellStyle name="@_laroux_제트베인_1_농협퇴비-음성한우리영농(보통,그린)_100%-2006신호-_LED - 개2_LED성동완 4" xfId="7545"/>
    <cellStyle name="@_laroux_제트베인_1_농협퇴비-음성한우리영농(보통,그린)_100%-2006신호-_LED - 개2_LED성동완_설계내역서" xfId="7546"/>
    <cellStyle name="@_laroux_제트베인_1_농협퇴비-음성한우리영농(보통,그린)_100%-2006신호-_LED - 개2_설계내역서" xfId="7547"/>
    <cellStyle name="@_laroux_제트베인_1_농협퇴비-음성한우리영농(보통,그린)_100%-2006신호-_사본 - LED - 개2" xfId="7548"/>
    <cellStyle name="@_laroux_제트베인_1_농협퇴비-음성한우리영농(보통,그린)_100%-2006신호-_사본 - LED - 개2 2" xfId="7549"/>
    <cellStyle name="@_laroux_제트베인_1_농협퇴비-음성한우리영농(보통,그린)_100%-2006신호-_사본 - LED - 개2 3" xfId="7550"/>
    <cellStyle name="@_laroux_제트베인_1_농협퇴비-음성한우리영농(보통,그린)_100%-2006신호-_사본 - LED - 개2 4" xfId="7551"/>
    <cellStyle name="@_laroux_제트베인_1_농협퇴비-음성한우리영농(보통,그린)_100%-2006신호-_사본 - LED - 개2_LED성동완" xfId="7552"/>
    <cellStyle name="@_laroux_제트베인_1_농협퇴비-음성한우리영농(보통,그린)_100%-2006신호-_사본 - LED - 개2_LED성동완 2" xfId="7553"/>
    <cellStyle name="@_laroux_제트베인_1_농협퇴비-음성한우리영농(보통,그린)_100%-2006신호-_사본 - LED - 개2_LED성동완 3" xfId="7554"/>
    <cellStyle name="@_laroux_제트베인_1_농협퇴비-음성한우리영농(보통,그린)_100%-2006신호-_사본 - LED - 개2_LED성동완 4" xfId="7555"/>
    <cellStyle name="@_laroux_제트베인_1_농협퇴비-음성한우리영농(보통,그린)_100%-2006신호-_사본 - LED - 개2_LED성동완_설계내역서" xfId="7556"/>
    <cellStyle name="@_laroux_제트베인_1_농협퇴비-음성한우리영농(보통,그린)_100%-2006신호-_사본 - LED - 개2_설계내역서" xfId="7557"/>
    <cellStyle name="@_laroux_제트베인_1_농협퇴비-음성한우리영농(보통,그린)_100%-2006신호-_사본 - LED성동 물량2" xfId="7558"/>
    <cellStyle name="@_laroux_제트베인_1_농협퇴비-음성한우리영농(보통,그린)_100%-2006신호-_사본 - LED성동 물량2 2" xfId="7559"/>
    <cellStyle name="@_laroux_제트베인_1_농협퇴비-음성한우리영농(보통,그린)_100%-2006신호-_사본 - LED성동 물량2 3" xfId="7560"/>
    <cellStyle name="@_laroux_제트베인_1_농협퇴비-음성한우리영농(보통,그린)_100%-2006신호-_사본 - LED성동 물량2 4" xfId="7561"/>
    <cellStyle name="@_laroux_제트베인_1_농협퇴비-음성한우리영농(보통,그린)_100%-2006신호-_사본 - LED성동 물량2_LED성동완" xfId="7562"/>
    <cellStyle name="@_laroux_제트베인_1_농협퇴비-음성한우리영농(보통,그린)_100%-2006신호-_사본 - LED성동 물량2_LED성동완 2" xfId="7563"/>
    <cellStyle name="@_laroux_제트베인_1_농협퇴비-음성한우리영농(보통,그린)_100%-2006신호-_사본 - LED성동 물량2_LED성동완 3" xfId="7564"/>
    <cellStyle name="@_laroux_제트베인_1_농협퇴비-음성한우리영농(보통,그린)_100%-2006신호-_사본 - LED성동 물량2_LED성동완 4" xfId="7565"/>
    <cellStyle name="@_laroux_제트베인_1_농협퇴비-음성한우리영농(보통,그린)_100%-2006신호-_사본 - LED성동 물량2_LED성동완_설계내역서" xfId="7566"/>
    <cellStyle name="@_laroux_제트베인_1_농협퇴비-음성한우리영농(보통,그린)_100%-2006신호-_사본 - LED성동 물량2_설계내역서" xfId="7567"/>
    <cellStyle name="@_laroux_제트베인_1_농협퇴비-음성한우리영농(보통,그린)_100%-2006신호-_설계내역서" xfId="7568"/>
    <cellStyle name="@_laroux_제트베인_1_농협퇴비-음성한우리영농(보통,그린)_2007 교통신호기 설치공사 설계내역서(제1지역)" xfId="7569"/>
    <cellStyle name="@_laroux_제트베인_1_농협퇴비-음성한우리영농(보통,그린)_2007 교통신호기 설치공사 설계내역서(제1지역) 2" xfId="7570"/>
    <cellStyle name="@_laroux_제트베인_1_농협퇴비-음성한우리영농(보통,그린)_2007 교통신호기 설치공사 설계내역서(제1지역) 3" xfId="7571"/>
    <cellStyle name="@_laroux_제트베인_1_농협퇴비-음성한우리영농(보통,그린)_2007 교통신호기 설치공사 설계내역서(제1지역) 4" xfId="7572"/>
    <cellStyle name="@_laroux_제트베인_1_농협퇴비-음성한우리영농(보통,그린)_2007 교통신호기 설치공사 설계내역서(제1지역)_07어린이보호구역내역서(신서외10개소)낙찰율(전기)" xfId="7573"/>
    <cellStyle name="@_laroux_제트베인_1_농협퇴비-음성한우리영농(보통,그린)_2007 교통신호기 설치공사 설계내역서(제1지역)_07어린이보호구역내역서(신서외10개소)낙찰율(전기) 2" xfId="7574"/>
    <cellStyle name="@_laroux_제트베인_1_농협퇴비-음성한우리영농(보통,그린)_2007 교통신호기 설치공사 설계내역서(제1지역)_07어린이보호구역내역서(신서외10개소)낙찰율(전기) 3" xfId="7575"/>
    <cellStyle name="@_laroux_제트베인_1_농협퇴비-음성한우리영농(보통,그린)_2007 교통신호기 설치공사 설계내역서(제1지역)_07어린이보호구역내역서(신서외10개소)낙찰율(전기) 4" xfId="7576"/>
    <cellStyle name="@_laroux_제트베인_1_농협퇴비-음성한우리영농(보통,그린)_2007 교통신호기 설치공사 설계내역서(제1지역)_07어린이보호구역내역서(신서외10개소)낙찰율(전기)_설계내역서" xfId="7577"/>
    <cellStyle name="@_laroux_제트베인_1_농협퇴비-음성한우리영농(보통,그린)_2007 교통신호기 설치공사 설계내역서(제1지역)_1111물량(교통사고잦은곳2차)" xfId="7578"/>
    <cellStyle name="@_laroux_제트베인_1_농협퇴비-음성한우리영농(보통,그린)_2007 교통신호기 설치공사 설계내역서(제1지역)_1111물량(교통사고잦은곳2차) 2" xfId="7579"/>
    <cellStyle name="@_laroux_제트베인_1_농협퇴비-음성한우리영농(보통,그린)_2007 교통신호기 설치공사 설계내역서(제1지역)_1111물량(교통사고잦은곳2차) 3" xfId="7580"/>
    <cellStyle name="@_laroux_제트베인_1_농협퇴비-음성한우리영농(보통,그린)_2007 교통신호기 설치공사 설계내역서(제1지역)_1111물량(교통사고잦은곳2차) 4" xfId="7581"/>
    <cellStyle name="@_laroux_제트베인_1_농협퇴비-음성한우리영농(보통,그린)_2007 교통신호기 설치공사 설계내역서(제1지역)_1111물량(교통사고잦은곳2차)_설계내역서" xfId="7582"/>
    <cellStyle name="@_laroux_제트베인_1_농협퇴비-음성한우리영농(보통,그린)_2007 교통신호기 설치공사 설계내역서(제1지역)_1어린이보호구역내역서(신서외10개소)낙찰율(전기통신포함)-최종수정본-2" xfId="7583"/>
    <cellStyle name="@_laroux_제트베인_1_농협퇴비-음성한우리영농(보통,그린)_2007 교통신호기 설치공사 설계내역서(제1지역)_1어린이보호구역내역서(신서외10개소)낙찰율(전기통신포함)-최종수정본-2 2" xfId="7584"/>
    <cellStyle name="@_laroux_제트베인_1_농협퇴비-음성한우리영농(보통,그린)_2007 교통신호기 설치공사 설계내역서(제1지역)_1어린이보호구역내역서(신서외10개소)낙찰율(전기통신포함)-최종수정본-2 3" xfId="7585"/>
    <cellStyle name="@_laroux_제트베인_1_농협퇴비-음성한우리영농(보통,그린)_2007 교통신호기 설치공사 설계내역서(제1지역)_1어린이보호구역내역서(신서외10개소)낙찰율(전기통신포함)-최종수정본-2 4" xfId="7586"/>
    <cellStyle name="@_laroux_제트베인_1_농협퇴비-음성한우리영농(보통,그린)_2007 교통신호기 설치공사 설계내역서(제1지역)_1어린이보호구역내역서(신서외10개소)낙찰율(전기통신포함)-최종수정본-2_설계내역서" xfId="7587"/>
    <cellStyle name="@_laroux_제트베인_1_농협퇴비-음성한우리영농(보통,그린)_2007 교통신호기 설치공사 설계내역서(제1지역)_2007 교통신호기 설치공사 설계내역서(제1지역)" xfId="7588"/>
    <cellStyle name="@_laroux_제트베인_1_농협퇴비-음성한우리영농(보통,그린)_2007 교통신호기 설치공사 설계내역서(제1지역)_2007 교통신호기 설치공사 설계내역서(제1지역) 2" xfId="7589"/>
    <cellStyle name="@_laroux_제트베인_1_농협퇴비-음성한우리영농(보통,그린)_2007 교통신호기 설치공사 설계내역서(제1지역)_2007 교통신호기 설치공사 설계내역서(제1지역) 3" xfId="7590"/>
    <cellStyle name="@_laroux_제트베인_1_농협퇴비-음성한우리영농(보통,그린)_2007 교통신호기 설치공사 설계내역서(제1지역)_2007 교통신호기 설치공사 설계내역서(제1지역) 4" xfId="7591"/>
    <cellStyle name="@_laroux_제트베인_1_농협퇴비-음성한우리영농(보통,그린)_2007 교통신호기 설치공사 설계내역서(제1지역)_2007 교통신호기 설치공사 설계내역서(제1지역)_1" xfId="7592"/>
    <cellStyle name="@_laroux_제트베인_1_농협퇴비-음성한우리영농(보통,그린)_2007 교통신호기 설치공사 설계내역서(제1지역)_2007 교통신호기 설치공사 설계내역서(제1지역)_1 2" xfId="7593"/>
    <cellStyle name="@_laroux_제트베인_1_농협퇴비-음성한우리영농(보통,그린)_2007 교통신호기 설치공사 설계내역서(제1지역)_2007 교통신호기 설치공사 설계내역서(제1지역)_1 3" xfId="7594"/>
    <cellStyle name="@_laroux_제트베인_1_농협퇴비-음성한우리영농(보통,그린)_2007 교통신호기 설치공사 설계내역서(제1지역)_2007 교통신호기 설치공사 설계내역서(제1지역)_1 4" xfId="7595"/>
    <cellStyle name="@_laroux_제트베인_1_농협퇴비-음성한우리영농(보통,그린)_2007 교통신호기 설치공사 설계내역서(제1지역)_2007 교통신호기 설치공사 설계내역서(제1지역)_1_LED - 개2" xfId="7596"/>
    <cellStyle name="@_laroux_제트베인_1_농협퇴비-음성한우리영농(보통,그린)_2007 교통신호기 설치공사 설계내역서(제1지역)_2007 교통신호기 설치공사 설계내역서(제1지역)_1_LED - 개2 2" xfId="7597"/>
    <cellStyle name="@_laroux_제트베인_1_농협퇴비-음성한우리영농(보통,그린)_2007 교통신호기 설치공사 설계내역서(제1지역)_2007 교통신호기 설치공사 설계내역서(제1지역)_1_LED - 개2 3" xfId="7598"/>
    <cellStyle name="@_laroux_제트베인_1_농협퇴비-음성한우리영농(보통,그린)_2007 교통신호기 설치공사 설계내역서(제1지역)_2007 교통신호기 설치공사 설계내역서(제1지역)_1_LED - 개2 4" xfId="7599"/>
    <cellStyle name="@_laroux_제트베인_1_농협퇴비-음성한우리영농(보통,그린)_2007 교통신호기 설치공사 설계내역서(제1지역)_2007 교통신호기 설치공사 설계내역서(제1지역)_1_LED - 개2_LED성동완" xfId="7600"/>
    <cellStyle name="@_laroux_제트베인_1_농협퇴비-음성한우리영농(보통,그린)_2007 교통신호기 설치공사 설계내역서(제1지역)_2007 교통신호기 설치공사 설계내역서(제1지역)_1_LED - 개2_LED성동완 2" xfId="7601"/>
    <cellStyle name="@_laroux_제트베인_1_농협퇴비-음성한우리영농(보통,그린)_2007 교통신호기 설치공사 설계내역서(제1지역)_2007 교통신호기 설치공사 설계내역서(제1지역)_1_LED - 개2_LED성동완 3" xfId="7602"/>
    <cellStyle name="@_laroux_제트베인_1_농협퇴비-음성한우리영농(보통,그린)_2007 교통신호기 설치공사 설계내역서(제1지역)_2007 교통신호기 설치공사 설계내역서(제1지역)_1_LED - 개2_LED성동완 4" xfId="7603"/>
    <cellStyle name="@_laroux_제트베인_1_농협퇴비-음성한우리영농(보통,그린)_2007 교통신호기 설치공사 설계내역서(제1지역)_2007 교통신호기 설치공사 설계내역서(제1지역)_1_LED - 개2_LED성동완_설계내역서" xfId="7604"/>
    <cellStyle name="@_laroux_제트베인_1_농협퇴비-음성한우리영농(보통,그린)_2007 교통신호기 설치공사 설계내역서(제1지역)_2007 교통신호기 설치공사 설계내역서(제1지역)_1_LED - 개2_설계내역서" xfId="7605"/>
    <cellStyle name="@_laroux_제트베인_1_농협퇴비-음성한우리영농(보통,그린)_2007 교통신호기 설치공사 설계내역서(제1지역)_2007 교통신호기 설치공사 설계내역서(제1지역)_1_북부-1지역" xfId="7606"/>
    <cellStyle name="@_laroux_제트베인_1_농협퇴비-음성한우리영농(보통,그린)_2007 교통신호기 설치공사 설계내역서(제1지역)_2007 교통신호기 설치공사 설계내역서(제1지역)_1_북부-1지역 2" xfId="7607"/>
    <cellStyle name="@_laroux_제트베인_1_농협퇴비-음성한우리영농(보통,그린)_2007 교통신호기 설치공사 설계내역서(제1지역)_2007 교통신호기 설치공사 설계내역서(제1지역)_1_북부-1지역 3" xfId="7608"/>
    <cellStyle name="@_laroux_제트베인_1_농협퇴비-음성한우리영농(보통,그린)_2007 교통신호기 설치공사 설계내역서(제1지역)_2007 교통신호기 설치공사 설계내역서(제1지역)_1_북부-1지역 4" xfId="7609"/>
    <cellStyle name="@_laroux_제트베인_1_농협퇴비-음성한우리영농(보통,그린)_2007 교통신호기 설치공사 설계내역서(제1지역)_2007 교통신호기 설치공사 설계내역서(제1지역)_1_북부-1지역_LED - 개2" xfId="7610"/>
    <cellStyle name="@_laroux_제트베인_1_농협퇴비-음성한우리영농(보통,그린)_2007 교통신호기 설치공사 설계내역서(제1지역)_2007 교통신호기 설치공사 설계내역서(제1지역)_1_북부-1지역_LED - 개2 2" xfId="7611"/>
    <cellStyle name="@_laroux_제트베인_1_농협퇴비-음성한우리영농(보통,그린)_2007 교통신호기 설치공사 설계내역서(제1지역)_2007 교통신호기 설치공사 설계내역서(제1지역)_1_북부-1지역_LED - 개2 3" xfId="7612"/>
    <cellStyle name="@_laroux_제트베인_1_농협퇴비-음성한우리영농(보통,그린)_2007 교통신호기 설치공사 설계내역서(제1지역)_2007 교통신호기 설치공사 설계내역서(제1지역)_1_북부-1지역_LED - 개2 4" xfId="7613"/>
    <cellStyle name="@_laroux_제트베인_1_농협퇴비-음성한우리영농(보통,그린)_2007 교통신호기 설치공사 설계내역서(제1지역)_2007 교통신호기 설치공사 설계내역서(제1지역)_1_북부-1지역_LED - 개2_LED성동완" xfId="7614"/>
    <cellStyle name="@_laroux_제트베인_1_농협퇴비-음성한우리영농(보통,그린)_2007 교통신호기 설치공사 설계내역서(제1지역)_2007 교통신호기 설치공사 설계내역서(제1지역)_1_북부-1지역_LED - 개2_LED성동완 2" xfId="7615"/>
    <cellStyle name="@_laroux_제트베인_1_농협퇴비-음성한우리영농(보통,그린)_2007 교통신호기 설치공사 설계내역서(제1지역)_2007 교통신호기 설치공사 설계내역서(제1지역)_1_북부-1지역_LED - 개2_LED성동완 3" xfId="7616"/>
    <cellStyle name="@_laroux_제트베인_1_농협퇴비-음성한우리영농(보통,그린)_2007 교통신호기 설치공사 설계내역서(제1지역)_2007 교통신호기 설치공사 설계내역서(제1지역)_1_북부-1지역_LED - 개2_LED성동완 4" xfId="7617"/>
    <cellStyle name="@_laroux_제트베인_1_농협퇴비-음성한우리영농(보통,그린)_2007 교통신호기 설치공사 설계내역서(제1지역)_2007 교통신호기 설치공사 설계내역서(제1지역)_1_북부-1지역_LED - 개2_LED성동완_설계내역서" xfId="7618"/>
    <cellStyle name="@_laroux_제트베인_1_농협퇴비-음성한우리영농(보통,그린)_2007 교통신호기 설치공사 설계내역서(제1지역)_2007 교통신호기 설치공사 설계내역서(제1지역)_1_북부-1지역_LED - 개2_설계내역서" xfId="7619"/>
    <cellStyle name="@_laroux_제트베인_1_농협퇴비-음성한우리영농(보통,그린)_2007 교통신호기 설치공사 설계내역서(제1지역)_2007 교통신호기 설치공사 설계내역서(제1지역)_1_북부-1지역_사본 - LED - 개2" xfId="7620"/>
    <cellStyle name="@_laroux_제트베인_1_농협퇴비-음성한우리영농(보통,그린)_2007 교통신호기 설치공사 설계내역서(제1지역)_2007 교통신호기 설치공사 설계내역서(제1지역)_1_북부-1지역_사본 - LED - 개2 2" xfId="7621"/>
    <cellStyle name="@_laroux_제트베인_1_농협퇴비-음성한우리영농(보통,그린)_2007 교통신호기 설치공사 설계내역서(제1지역)_2007 교통신호기 설치공사 설계내역서(제1지역)_1_북부-1지역_사본 - LED - 개2 3" xfId="7622"/>
    <cellStyle name="@_laroux_제트베인_1_농협퇴비-음성한우리영농(보통,그린)_2007 교통신호기 설치공사 설계내역서(제1지역)_2007 교통신호기 설치공사 설계내역서(제1지역)_1_북부-1지역_사본 - LED - 개2 4" xfId="7623"/>
    <cellStyle name="@_laroux_제트베인_1_농협퇴비-음성한우리영농(보통,그린)_2007 교통신호기 설치공사 설계내역서(제1지역)_2007 교통신호기 설치공사 설계내역서(제1지역)_1_북부-1지역_사본 - LED - 개2_LED성동완" xfId="7624"/>
    <cellStyle name="@_laroux_제트베인_1_농협퇴비-음성한우리영농(보통,그린)_2007 교통신호기 설치공사 설계내역서(제1지역)_2007 교통신호기 설치공사 설계내역서(제1지역)_1_북부-1지역_사본 - LED - 개2_LED성동완 2" xfId="7625"/>
    <cellStyle name="@_laroux_제트베인_1_농협퇴비-음성한우리영농(보통,그린)_2007 교통신호기 설치공사 설계내역서(제1지역)_2007 교통신호기 설치공사 설계내역서(제1지역)_1_북부-1지역_사본 - LED - 개2_LED성동완 3" xfId="7626"/>
    <cellStyle name="@_laroux_제트베인_1_농협퇴비-음성한우리영농(보통,그린)_2007 교통신호기 설치공사 설계내역서(제1지역)_2007 교통신호기 설치공사 설계내역서(제1지역)_1_북부-1지역_사본 - LED - 개2_LED성동완 4" xfId="7627"/>
    <cellStyle name="@_laroux_제트베인_1_농협퇴비-음성한우리영농(보통,그린)_2007 교통신호기 설치공사 설계내역서(제1지역)_2007 교통신호기 설치공사 설계내역서(제1지역)_1_북부-1지역_사본 - LED - 개2_LED성동완_설계내역서" xfId="7628"/>
    <cellStyle name="@_laroux_제트베인_1_농협퇴비-음성한우리영농(보통,그린)_2007 교통신호기 설치공사 설계내역서(제1지역)_2007 교통신호기 설치공사 설계내역서(제1지역)_1_북부-1지역_사본 - LED - 개2_설계내역서" xfId="7629"/>
    <cellStyle name="@_laroux_제트베인_1_농협퇴비-음성한우리영농(보통,그린)_2007 교통신호기 설치공사 설계내역서(제1지역)_2007 교통신호기 설치공사 설계내역서(제1지역)_1_북부-1지역_사본 - LED성동 물량2" xfId="7630"/>
    <cellStyle name="@_laroux_제트베인_1_농협퇴비-음성한우리영농(보통,그린)_2007 교통신호기 설치공사 설계내역서(제1지역)_2007 교통신호기 설치공사 설계내역서(제1지역)_1_북부-1지역_사본 - LED성동 물량2 2" xfId="7631"/>
    <cellStyle name="@_laroux_제트베인_1_농협퇴비-음성한우리영농(보통,그린)_2007 교통신호기 설치공사 설계내역서(제1지역)_2007 교통신호기 설치공사 설계내역서(제1지역)_1_북부-1지역_사본 - LED성동 물량2 3" xfId="7632"/>
    <cellStyle name="@_laroux_제트베인_1_농협퇴비-음성한우리영농(보통,그린)_2007 교통신호기 설치공사 설계내역서(제1지역)_2007 교통신호기 설치공사 설계내역서(제1지역)_1_북부-1지역_사본 - LED성동 물량2 4" xfId="7633"/>
    <cellStyle name="@_laroux_제트베인_1_농협퇴비-음성한우리영농(보통,그린)_2007 교통신호기 설치공사 설계내역서(제1지역)_2007 교통신호기 설치공사 설계내역서(제1지역)_1_북부-1지역_사본 - LED성동 물량2_LED성동완" xfId="7634"/>
    <cellStyle name="@_laroux_제트베인_1_농협퇴비-음성한우리영농(보통,그린)_2007 교통신호기 설치공사 설계내역서(제1지역)_2007 교통신호기 설치공사 설계내역서(제1지역)_1_북부-1지역_사본 - LED성동 물량2_LED성동완 2" xfId="7635"/>
    <cellStyle name="@_laroux_제트베인_1_농협퇴비-음성한우리영농(보통,그린)_2007 교통신호기 설치공사 설계내역서(제1지역)_2007 교통신호기 설치공사 설계내역서(제1지역)_1_북부-1지역_사본 - LED성동 물량2_LED성동완 3" xfId="7636"/>
    <cellStyle name="@_laroux_제트베인_1_농협퇴비-음성한우리영농(보통,그린)_2007 교통신호기 설치공사 설계내역서(제1지역)_2007 교통신호기 설치공사 설계내역서(제1지역)_1_북부-1지역_사본 - LED성동 물량2_LED성동완 4" xfId="7637"/>
    <cellStyle name="@_laroux_제트베인_1_농협퇴비-음성한우리영농(보통,그린)_2007 교통신호기 설치공사 설계내역서(제1지역)_2007 교통신호기 설치공사 설계내역서(제1지역)_1_북부-1지역_사본 - LED성동 물량2_LED성동완_설계내역서" xfId="7638"/>
    <cellStyle name="@_laroux_제트베인_1_농협퇴비-음성한우리영농(보통,그린)_2007 교통신호기 설치공사 설계내역서(제1지역)_2007 교통신호기 설치공사 설계내역서(제1지역)_1_북부-1지역_사본 - LED성동 물량2_설계내역서" xfId="7639"/>
    <cellStyle name="@_laroux_제트베인_1_농협퇴비-음성한우리영농(보통,그린)_2007 교통신호기 설치공사 설계내역서(제1지역)_2007 교통신호기 설치공사 설계내역서(제1지역)_1_북부-1지역_설계내역서" xfId="7640"/>
    <cellStyle name="@_laroux_제트베인_1_농협퇴비-음성한우리영농(보통,그린)_2007 교통신호기 설치공사 설계내역서(제1지역)_2007 교통신호기 설치공사 설계내역서(제1지역)_1_사본 - LED - 개2" xfId="7641"/>
    <cellStyle name="@_laroux_제트베인_1_농협퇴비-음성한우리영농(보통,그린)_2007 교통신호기 설치공사 설계내역서(제1지역)_2007 교통신호기 설치공사 설계내역서(제1지역)_1_사본 - LED - 개2 2" xfId="7642"/>
    <cellStyle name="@_laroux_제트베인_1_농협퇴비-음성한우리영농(보통,그린)_2007 교통신호기 설치공사 설계내역서(제1지역)_2007 교통신호기 설치공사 설계내역서(제1지역)_1_사본 - LED - 개2 3" xfId="7643"/>
    <cellStyle name="@_laroux_제트베인_1_농협퇴비-음성한우리영농(보통,그린)_2007 교통신호기 설치공사 설계내역서(제1지역)_2007 교통신호기 설치공사 설계내역서(제1지역)_1_사본 - LED - 개2 4" xfId="7644"/>
    <cellStyle name="@_laroux_제트베인_1_농협퇴비-음성한우리영농(보통,그린)_2007 교통신호기 설치공사 설계내역서(제1지역)_2007 교통신호기 설치공사 설계내역서(제1지역)_1_사본 - LED - 개2_LED성동완" xfId="7645"/>
    <cellStyle name="@_laroux_제트베인_1_농협퇴비-음성한우리영농(보통,그린)_2007 교통신호기 설치공사 설계내역서(제1지역)_2007 교통신호기 설치공사 설계내역서(제1지역)_1_사본 - LED - 개2_LED성동완 2" xfId="7646"/>
    <cellStyle name="@_laroux_제트베인_1_농협퇴비-음성한우리영농(보통,그린)_2007 교통신호기 설치공사 설계내역서(제1지역)_2007 교통신호기 설치공사 설계내역서(제1지역)_1_사본 - LED - 개2_LED성동완 3" xfId="7647"/>
    <cellStyle name="@_laroux_제트베인_1_농협퇴비-음성한우리영농(보통,그린)_2007 교통신호기 설치공사 설계내역서(제1지역)_2007 교통신호기 설치공사 설계내역서(제1지역)_1_사본 - LED - 개2_LED성동완 4" xfId="7648"/>
    <cellStyle name="@_laroux_제트베인_1_농협퇴비-음성한우리영농(보통,그린)_2007 교통신호기 설치공사 설계내역서(제1지역)_2007 교통신호기 설치공사 설계내역서(제1지역)_1_사본 - LED - 개2_LED성동완_설계내역서" xfId="7649"/>
    <cellStyle name="@_laroux_제트베인_1_농협퇴비-음성한우리영농(보통,그린)_2007 교통신호기 설치공사 설계내역서(제1지역)_2007 교통신호기 설치공사 설계내역서(제1지역)_1_사본 - LED - 개2_설계내역서" xfId="7650"/>
    <cellStyle name="@_laroux_제트베인_1_농협퇴비-음성한우리영농(보통,그린)_2007 교통신호기 설치공사 설계내역서(제1지역)_2007 교통신호기 설치공사 설계내역서(제1지역)_1_사본 - LED성동 물량2" xfId="7651"/>
    <cellStyle name="@_laroux_제트베인_1_농협퇴비-음성한우리영농(보통,그린)_2007 교통신호기 설치공사 설계내역서(제1지역)_2007 교통신호기 설치공사 설계내역서(제1지역)_1_사본 - LED성동 물량2 2" xfId="7652"/>
    <cellStyle name="@_laroux_제트베인_1_농협퇴비-음성한우리영농(보통,그린)_2007 교통신호기 설치공사 설계내역서(제1지역)_2007 교통신호기 설치공사 설계내역서(제1지역)_1_사본 - LED성동 물량2 3" xfId="7653"/>
    <cellStyle name="@_laroux_제트베인_1_농협퇴비-음성한우리영농(보통,그린)_2007 교통신호기 설치공사 설계내역서(제1지역)_2007 교통신호기 설치공사 설계내역서(제1지역)_1_사본 - LED성동 물량2 4" xfId="7654"/>
    <cellStyle name="@_laroux_제트베인_1_농협퇴비-음성한우리영농(보통,그린)_2007 교통신호기 설치공사 설계내역서(제1지역)_2007 교통신호기 설치공사 설계내역서(제1지역)_1_사본 - LED성동 물량2_LED성동완" xfId="7655"/>
    <cellStyle name="@_laroux_제트베인_1_농협퇴비-음성한우리영농(보통,그린)_2007 교통신호기 설치공사 설계내역서(제1지역)_2007 교통신호기 설치공사 설계내역서(제1지역)_1_사본 - LED성동 물량2_LED성동완 2" xfId="7656"/>
    <cellStyle name="@_laroux_제트베인_1_농협퇴비-음성한우리영농(보통,그린)_2007 교통신호기 설치공사 설계내역서(제1지역)_2007 교통신호기 설치공사 설계내역서(제1지역)_1_사본 - LED성동 물량2_LED성동완 3" xfId="7657"/>
    <cellStyle name="@_laroux_제트베인_1_농협퇴비-음성한우리영농(보통,그린)_2007 교통신호기 설치공사 설계내역서(제1지역)_2007 교통신호기 설치공사 설계내역서(제1지역)_1_사본 - LED성동 물량2_LED성동완 4" xfId="7658"/>
    <cellStyle name="@_laroux_제트베인_1_농협퇴비-음성한우리영농(보통,그린)_2007 교통신호기 설치공사 설계내역서(제1지역)_2007 교통신호기 설치공사 설계내역서(제1지역)_1_사본 - LED성동 물량2_LED성동완_설계내역서" xfId="7659"/>
    <cellStyle name="@_laroux_제트베인_1_농협퇴비-음성한우리영농(보통,그린)_2007 교통신호기 설치공사 설계내역서(제1지역)_2007 교통신호기 설치공사 설계내역서(제1지역)_1_사본 - LED성동 물량2_설계내역서" xfId="7660"/>
    <cellStyle name="@_laroux_제트베인_1_농협퇴비-음성한우리영농(보통,그린)_2007 교통신호기 설치공사 설계내역서(제1지역)_2007 교통신호기 설치공사 설계내역서(제1지역)_1_설계내역서" xfId="7661"/>
    <cellStyle name="@_laroux_제트베인_1_농협퇴비-음성한우리영농(보통,그린)_2007 교통신호기 설치공사 설계내역서(제1지역)_2007 교통신호기 설치공사 설계내역서(제1지역)_2" xfId="7662"/>
    <cellStyle name="@_laroux_제트베인_1_농협퇴비-음성한우리영농(보통,그린)_2007 교통신호기 설치공사 설계내역서(제1지역)_2007 교통신호기 설치공사 설계내역서(제1지역)_2 2" xfId="7663"/>
    <cellStyle name="@_laroux_제트베인_1_농협퇴비-음성한우리영농(보통,그린)_2007 교통신호기 설치공사 설계내역서(제1지역)_2007 교통신호기 설치공사 설계내역서(제1지역)_2 3" xfId="7664"/>
    <cellStyle name="@_laroux_제트베인_1_농협퇴비-음성한우리영농(보통,그린)_2007 교통신호기 설치공사 설계내역서(제1지역)_2007 교통신호기 설치공사 설계내역서(제1지역)_2 4" xfId="7665"/>
    <cellStyle name="@_laroux_제트베인_1_농협퇴비-음성한우리영농(보통,그린)_2007 교통신호기 설치공사 설계내역서(제1지역)_2007 교통신호기 설치공사 설계내역서(제1지역)_2_LED - 개2" xfId="7666"/>
    <cellStyle name="@_laroux_제트베인_1_농협퇴비-음성한우리영농(보통,그린)_2007 교통신호기 설치공사 설계내역서(제1지역)_2007 교통신호기 설치공사 설계내역서(제1지역)_2_LED - 개2 2" xfId="7667"/>
    <cellStyle name="@_laroux_제트베인_1_농협퇴비-음성한우리영농(보통,그린)_2007 교통신호기 설치공사 설계내역서(제1지역)_2007 교통신호기 설치공사 설계내역서(제1지역)_2_LED - 개2 3" xfId="7668"/>
    <cellStyle name="@_laroux_제트베인_1_농협퇴비-음성한우리영농(보통,그린)_2007 교통신호기 설치공사 설계내역서(제1지역)_2007 교통신호기 설치공사 설계내역서(제1지역)_2_LED - 개2 4" xfId="7669"/>
    <cellStyle name="@_laroux_제트베인_1_농협퇴비-음성한우리영농(보통,그린)_2007 교통신호기 설치공사 설계내역서(제1지역)_2007 교통신호기 설치공사 설계내역서(제1지역)_2_LED - 개2_LED성동완" xfId="7670"/>
    <cellStyle name="@_laroux_제트베인_1_농협퇴비-음성한우리영농(보통,그린)_2007 교통신호기 설치공사 설계내역서(제1지역)_2007 교통신호기 설치공사 설계내역서(제1지역)_2_LED - 개2_LED성동완 2" xfId="7671"/>
    <cellStyle name="@_laroux_제트베인_1_농협퇴비-음성한우리영농(보통,그린)_2007 교통신호기 설치공사 설계내역서(제1지역)_2007 교통신호기 설치공사 설계내역서(제1지역)_2_LED - 개2_LED성동완 3" xfId="7672"/>
    <cellStyle name="@_laroux_제트베인_1_농협퇴비-음성한우리영농(보통,그린)_2007 교통신호기 설치공사 설계내역서(제1지역)_2007 교통신호기 설치공사 설계내역서(제1지역)_2_LED - 개2_LED성동완 4" xfId="7673"/>
    <cellStyle name="@_laroux_제트베인_1_농협퇴비-음성한우리영농(보통,그린)_2007 교통신호기 설치공사 설계내역서(제1지역)_2007 교통신호기 설치공사 설계내역서(제1지역)_2_LED - 개2_LED성동완_설계내역서" xfId="7674"/>
    <cellStyle name="@_laroux_제트베인_1_농협퇴비-음성한우리영농(보통,그린)_2007 교통신호기 설치공사 설계내역서(제1지역)_2007 교통신호기 설치공사 설계내역서(제1지역)_2_LED - 개2_설계내역서" xfId="7675"/>
    <cellStyle name="@_laroux_제트베인_1_농협퇴비-음성한우리영농(보통,그린)_2007 교통신호기 설치공사 설계내역서(제1지역)_2007 교통신호기 설치공사 설계내역서(제1지역)_2_북부-1지역" xfId="7676"/>
    <cellStyle name="@_laroux_제트베인_1_농협퇴비-음성한우리영농(보통,그린)_2007 교통신호기 설치공사 설계내역서(제1지역)_2007 교통신호기 설치공사 설계내역서(제1지역)_2_북부-1지역 2" xfId="7677"/>
    <cellStyle name="@_laroux_제트베인_1_농협퇴비-음성한우리영농(보통,그린)_2007 교통신호기 설치공사 설계내역서(제1지역)_2007 교통신호기 설치공사 설계내역서(제1지역)_2_북부-1지역 3" xfId="7678"/>
    <cellStyle name="@_laroux_제트베인_1_농협퇴비-음성한우리영농(보통,그린)_2007 교통신호기 설치공사 설계내역서(제1지역)_2007 교통신호기 설치공사 설계내역서(제1지역)_2_북부-1지역 4" xfId="7679"/>
    <cellStyle name="@_laroux_제트베인_1_농협퇴비-음성한우리영농(보통,그린)_2007 교통신호기 설치공사 설계내역서(제1지역)_2007 교통신호기 설치공사 설계내역서(제1지역)_2_북부-1지역_LED - 개2" xfId="7680"/>
    <cellStyle name="@_laroux_제트베인_1_농협퇴비-음성한우리영농(보통,그린)_2007 교통신호기 설치공사 설계내역서(제1지역)_2007 교통신호기 설치공사 설계내역서(제1지역)_2_북부-1지역_LED - 개2 2" xfId="7681"/>
    <cellStyle name="@_laroux_제트베인_1_농협퇴비-음성한우리영농(보통,그린)_2007 교통신호기 설치공사 설계내역서(제1지역)_2007 교통신호기 설치공사 설계내역서(제1지역)_2_북부-1지역_LED - 개2 3" xfId="7682"/>
    <cellStyle name="@_laroux_제트베인_1_농협퇴비-음성한우리영농(보통,그린)_2007 교통신호기 설치공사 설계내역서(제1지역)_2007 교통신호기 설치공사 설계내역서(제1지역)_2_북부-1지역_LED - 개2 4" xfId="7683"/>
    <cellStyle name="@_laroux_제트베인_1_농협퇴비-음성한우리영농(보통,그린)_2007 교통신호기 설치공사 설계내역서(제1지역)_2007 교통신호기 설치공사 설계내역서(제1지역)_2_북부-1지역_LED - 개2_LED성동완" xfId="7684"/>
    <cellStyle name="@_laroux_제트베인_1_농협퇴비-음성한우리영농(보통,그린)_2007 교통신호기 설치공사 설계내역서(제1지역)_2007 교통신호기 설치공사 설계내역서(제1지역)_2_북부-1지역_LED - 개2_LED성동완 2" xfId="7685"/>
    <cellStyle name="@_laroux_제트베인_1_농협퇴비-음성한우리영농(보통,그린)_2007 교통신호기 설치공사 설계내역서(제1지역)_2007 교통신호기 설치공사 설계내역서(제1지역)_2_북부-1지역_LED - 개2_LED성동완 3" xfId="7686"/>
    <cellStyle name="@_laroux_제트베인_1_농협퇴비-음성한우리영농(보통,그린)_2007 교통신호기 설치공사 설계내역서(제1지역)_2007 교통신호기 설치공사 설계내역서(제1지역)_2_북부-1지역_LED - 개2_LED성동완 4" xfId="7687"/>
    <cellStyle name="@_laroux_제트베인_1_농협퇴비-음성한우리영농(보통,그린)_2007 교통신호기 설치공사 설계내역서(제1지역)_2007 교통신호기 설치공사 설계내역서(제1지역)_2_북부-1지역_LED - 개2_LED성동완_설계내역서" xfId="7688"/>
    <cellStyle name="@_laroux_제트베인_1_농협퇴비-음성한우리영농(보통,그린)_2007 교통신호기 설치공사 설계내역서(제1지역)_2007 교통신호기 설치공사 설계내역서(제1지역)_2_북부-1지역_LED - 개2_설계내역서" xfId="7689"/>
    <cellStyle name="@_laroux_제트베인_1_농협퇴비-음성한우리영농(보통,그린)_2007 교통신호기 설치공사 설계내역서(제1지역)_2007 교통신호기 설치공사 설계내역서(제1지역)_2_북부-1지역_사본 - LED - 개2" xfId="7690"/>
    <cellStyle name="@_laroux_제트베인_1_농협퇴비-음성한우리영농(보통,그린)_2007 교통신호기 설치공사 설계내역서(제1지역)_2007 교통신호기 설치공사 설계내역서(제1지역)_2_북부-1지역_사본 - LED - 개2 2" xfId="7691"/>
    <cellStyle name="@_laroux_제트베인_1_농협퇴비-음성한우리영농(보통,그린)_2007 교통신호기 설치공사 설계내역서(제1지역)_2007 교통신호기 설치공사 설계내역서(제1지역)_2_북부-1지역_사본 - LED - 개2 3" xfId="7692"/>
    <cellStyle name="@_laroux_제트베인_1_농협퇴비-음성한우리영농(보통,그린)_2007 교통신호기 설치공사 설계내역서(제1지역)_2007 교통신호기 설치공사 설계내역서(제1지역)_2_북부-1지역_사본 - LED - 개2 4" xfId="7693"/>
    <cellStyle name="@_laroux_제트베인_1_농협퇴비-음성한우리영농(보통,그린)_2007 교통신호기 설치공사 설계내역서(제1지역)_2007 교통신호기 설치공사 설계내역서(제1지역)_2_북부-1지역_사본 - LED - 개2_LED성동완" xfId="7694"/>
    <cellStyle name="@_laroux_제트베인_1_농협퇴비-음성한우리영농(보통,그린)_2007 교통신호기 설치공사 설계내역서(제1지역)_2007 교통신호기 설치공사 설계내역서(제1지역)_2_북부-1지역_사본 - LED - 개2_LED성동완 2" xfId="7695"/>
    <cellStyle name="@_laroux_제트베인_1_농협퇴비-음성한우리영농(보통,그린)_2007 교통신호기 설치공사 설계내역서(제1지역)_2007 교통신호기 설치공사 설계내역서(제1지역)_2_북부-1지역_사본 - LED - 개2_LED성동완 3" xfId="7696"/>
    <cellStyle name="@_laroux_제트베인_1_농협퇴비-음성한우리영농(보통,그린)_2007 교통신호기 설치공사 설계내역서(제1지역)_2007 교통신호기 설치공사 설계내역서(제1지역)_2_북부-1지역_사본 - LED - 개2_LED성동완 4" xfId="7697"/>
    <cellStyle name="@_laroux_제트베인_1_농협퇴비-음성한우리영농(보통,그린)_2007 교통신호기 설치공사 설계내역서(제1지역)_2007 교통신호기 설치공사 설계내역서(제1지역)_2_북부-1지역_사본 - LED - 개2_LED성동완_설계내역서" xfId="7698"/>
    <cellStyle name="@_laroux_제트베인_1_농협퇴비-음성한우리영농(보통,그린)_2007 교통신호기 설치공사 설계내역서(제1지역)_2007 교통신호기 설치공사 설계내역서(제1지역)_2_북부-1지역_사본 - LED - 개2_설계내역서" xfId="7699"/>
    <cellStyle name="@_laroux_제트베인_1_농협퇴비-음성한우리영농(보통,그린)_2007 교통신호기 설치공사 설계내역서(제1지역)_2007 교통신호기 설치공사 설계내역서(제1지역)_2_북부-1지역_사본 - LED성동 물량2" xfId="7700"/>
    <cellStyle name="@_laroux_제트베인_1_농협퇴비-음성한우리영농(보통,그린)_2007 교통신호기 설치공사 설계내역서(제1지역)_2007 교통신호기 설치공사 설계내역서(제1지역)_2_북부-1지역_사본 - LED성동 물량2 2" xfId="7701"/>
    <cellStyle name="@_laroux_제트베인_1_농협퇴비-음성한우리영농(보통,그린)_2007 교통신호기 설치공사 설계내역서(제1지역)_2007 교통신호기 설치공사 설계내역서(제1지역)_2_북부-1지역_사본 - LED성동 물량2 3" xfId="7702"/>
    <cellStyle name="@_laroux_제트베인_1_농협퇴비-음성한우리영농(보통,그린)_2007 교통신호기 설치공사 설계내역서(제1지역)_2007 교통신호기 설치공사 설계내역서(제1지역)_2_북부-1지역_사본 - LED성동 물량2 4" xfId="7703"/>
    <cellStyle name="@_laroux_제트베인_1_농협퇴비-음성한우리영농(보통,그린)_2007 교통신호기 설치공사 설계내역서(제1지역)_2007 교통신호기 설치공사 설계내역서(제1지역)_2_북부-1지역_사본 - LED성동 물량2_LED성동완" xfId="7704"/>
    <cellStyle name="@_laroux_제트베인_1_농협퇴비-음성한우리영농(보통,그린)_2007 교통신호기 설치공사 설계내역서(제1지역)_2007 교통신호기 설치공사 설계내역서(제1지역)_2_북부-1지역_사본 - LED성동 물량2_LED성동완 2" xfId="7705"/>
    <cellStyle name="@_laroux_제트베인_1_농협퇴비-음성한우리영농(보통,그린)_2007 교통신호기 설치공사 설계내역서(제1지역)_2007 교통신호기 설치공사 설계내역서(제1지역)_2_북부-1지역_사본 - LED성동 물량2_LED성동완 3" xfId="7706"/>
    <cellStyle name="@_laroux_제트베인_1_농협퇴비-음성한우리영농(보통,그린)_2007 교통신호기 설치공사 설계내역서(제1지역)_2007 교통신호기 설치공사 설계내역서(제1지역)_2_북부-1지역_사본 - LED성동 물량2_LED성동완 4" xfId="7707"/>
    <cellStyle name="@_laroux_제트베인_1_농협퇴비-음성한우리영농(보통,그린)_2007 교통신호기 설치공사 설계내역서(제1지역)_2007 교통신호기 설치공사 설계내역서(제1지역)_2_북부-1지역_사본 - LED성동 물량2_LED성동완_설계내역서" xfId="7708"/>
    <cellStyle name="@_laroux_제트베인_1_농협퇴비-음성한우리영농(보통,그린)_2007 교통신호기 설치공사 설계내역서(제1지역)_2007 교통신호기 설치공사 설계내역서(제1지역)_2_북부-1지역_사본 - LED성동 물량2_설계내역서" xfId="7709"/>
    <cellStyle name="@_laroux_제트베인_1_농협퇴비-음성한우리영농(보통,그린)_2007 교통신호기 설치공사 설계내역서(제1지역)_2007 교통신호기 설치공사 설계내역서(제1지역)_2_북부-1지역_설계내역서" xfId="7710"/>
    <cellStyle name="@_laroux_제트베인_1_농협퇴비-음성한우리영농(보통,그린)_2007 교통신호기 설치공사 설계내역서(제1지역)_2007 교통신호기 설치공사 설계내역서(제1지역)_2_사본 - LED - 개2" xfId="7711"/>
    <cellStyle name="@_laroux_제트베인_1_농협퇴비-음성한우리영농(보통,그린)_2007 교통신호기 설치공사 설계내역서(제1지역)_2007 교통신호기 설치공사 설계내역서(제1지역)_2_사본 - LED - 개2 2" xfId="7712"/>
    <cellStyle name="@_laroux_제트베인_1_농협퇴비-음성한우리영농(보통,그린)_2007 교통신호기 설치공사 설계내역서(제1지역)_2007 교통신호기 설치공사 설계내역서(제1지역)_2_사본 - LED - 개2 3" xfId="7713"/>
    <cellStyle name="@_laroux_제트베인_1_농협퇴비-음성한우리영농(보통,그린)_2007 교통신호기 설치공사 설계내역서(제1지역)_2007 교통신호기 설치공사 설계내역서(제1지역)_2_사본 - LED - 개2 4" xfId="7714"/>
    <cellStyle name="@_laroux_제트베인_1_농협퇴비-음성한우리영농(보통,그린)_2007 교통신호기 설치공사 설계내역서(제1지역)_2007 교통신호기 설치공사 설계내역서(제1지역)_2_사본 - LED - 개2_LED성동완" xfId="7715"/>
    <cellStyle name="@_laroux_제트베인_1_농협퇴비-음성한우리영농(보통,그린)_2007 교통신호기 설치공사 설계내역서(제1지역)_2007 교통신호기 설치공사 설계내역서(제1지역)_2_사본 - LED - 개2_LED성동완 2" xfId="7716"/>
    <cellStyle name="@_laroux_제트베인_1_농협퇴비-음성한우리영농(보통,그린)_2007 교통신호기 설치공사 설계내역서(제1지역)_2007 교통신호기 설치공사 설계내역서(제1지역)_2_사본 - LED - 개2_LED성동완 3" xfId="7717"/>
    <cellStyle name="@_laroux_제트베인_1_농협퇴비-음성한우리영농(보통,그린)_2007 교통신호기 설치공사 설계내역서(제1지역)_2007 교통신호기 설치공사 설계내역서(제1지역)_2_사본 - LED - 개2_LED성동완 4" xfId="7718"/>
    <cellStyle name="@_laroux_제트베인_1_농협퇴비-음성한우리영농(보통,그린)_2007 교통신호기 설치공사 설계내역서(제1지역)_2007 교통신호기 설치공사 설계내역서(제1지역)_2_사본 - LED - 개2_LED성동완_설계내역서" xfId="7719"/>
    <cellStyle name="@_laroux_제트베인_1_농협퇴비-음성한우리영농(보통,그린)_2007 교통신호기 설치공사 설계내역서(제1지역)_2007 교통신호기 설치공사 설계내역서(제1지역)_2_사본 - LED - 개2_설계내역서" xfId="7720"/>
    <cellStyle name="@_laroux_제트베인_1_농협퇴비-음성한우리영농(보통,그린)_2007 교통신호기 설치공사 설계내역서(제1지역)_2007 교통신호기 설치공사 설계내역서(제1지역)_2_사본 - LED성동 물량2" xfId="7721"/>
    <cellStyle name="@_laroux_제트베인_1_농협퇴비-음성한우리영농(보통,그린)_2007 교통신호기 설치공사 설계내역서(제1지역)_2007 교통신호기 설치공사 설계내역서(제1지역)_2_사본 - LED성동 물량2 2" xfId="7722"/>
    <cellStyle name="@_laroux_제트베인_1_농협퇴비-음성한우리영농(보통,그린)_2007 교통신호기 설치공사 설계내역서(제1지역)_2007 교통신호기 설치공사 설계내역서(제1지역)_2_사본 - LED성동 물량2 3" xfId="7723"/>
    <cellStyle name="@_laroux_제트베인_1_농협퇴비-음성한우리영농(보통,그린)_2007 교통신호기 설치공사 설계내역서(제1지역)_2007 교통신호기 설치공사 설계내역서(제1지역)_2_사본 - LED성동 물량2 4" xfId="7724"/>
    <cellStyle name="@_laroux_제트베인_1_농협퇴비-음성한우리영농(보통,그린)_2007 교통신호기 설치공사 설계내역서(제1지역)_2007 교통신호기 설치공사 설계내역서(제1지역)_2_사본 - LED성동 물량2_LED성동완" xfId="7725"/>
    <cellStyle name="@_laroux_제트베인_1_농협퇴비-음성한우리영농(보통,그린)_2007 교통신호기 설치공사 설계내역서(제1지역)_2007 교통신호기 설치공사 설계내역서(제1지역)_2_사본 - LED성동 물량2_LED성동완 2" xfId="7726"/>
    <cellStyle name="@_laroux_제트베인_1_농협퇴비-음성한우리영농(보통,그린)_2007 교통신호기 설치공사 설계내역서(제1지역)_2007 교통신호기 설치공사 설계내역서(제1지역)_2_사본 - LED성동 물량2_LED성동완 3" xfId="7727"/>
    <cellStyle name="@_laroux_제트베인_1_농협퇴비-음성한우리영농(보통,그린)_2007 교통신호기 설치공사 설계내역서(제1지역)_2007 교통신호기 설치공사 설계내역서(제1지역)_2_사본 - LED성동 물량2_LED성동완 4" xfId="7728"/>
    <cellStyle name="@_laroux_제트베인_1_농협퇴비-음성한우리영농(보통,그린)_2007 교통신호기 설치공사 설계내역서(제1지역)_2007 교통신호기 설치공사 설계내역서(제1지역)_2_사본 - LED성동 물량2_LED성동완_설계내역서" xfId="7729"/>
    <cellStyle name="@_laroux_제트베인_1_농협퇴비-음성한우리영농(보통,그린)_2007 교통신호기 설치공사 설계내역서(제1지역)_2007 교통신호기 설치공사 설계내역서(제1지역)_2_사본 - LED성동 물량2_설계내역서" xfId="7730"/>
    <cellStyle name="@_laroux_제트베인_1_농협퇴비-음성한우리영농(보통,그린)_2007 교통신호기 설치공사 설계내역서(제1지역)_2007 교통신호기 설치공사 설계내역서(제1지역)_2_설계내역서" xfId="7731"/>
    <cellStyle name="@_laroux_제트베인_1_농협퇴비-음성한우리영농(보통,그린)_2007 교통신호기 설치공사 설계내역서(제1지역)_2007 교통신호기 설치공사 설계내역서(제1지역)_LED - 개2" xfId="7732"/>
    <cellStyle name="@_laroux_제트베인_1_농협퇴비-음성한우리영농(보통,그린)_2007 교통신호기 설치공사 설계내역서(제1지역)_2007 교통신호기 설치공사 설계내역서(제1지역)_LED - 개2 2" xfId="7733"/>
    <cellStyle name="@_laroux_제트베인_1_농협퇴비-음성한우리영농(보통,그린)_2007 교통신호기 설치공사 설계내역서(제1지역)_2007 교통신호기 설치공사 설계내역서(제1지역)_LED - 개2 3" xfId="7734"/>
    <cellStyle name="@_laroux_제트베인_1_농협퇴비-음성한우리영농(보통,그린)_2007 교통신호기 설치공사 설계내역서(제1지역)_2007 교통신호기 설치공사 설계내역서(제1지역)_LED - 개2 4" xfId="7735"/>
    <cellStyle name="@_laroux_제트베인_1_농협퇴비-음성한우리영농(보통,그린)_2007 교통신호기 설치공사 설계내역서(제1지역)_2007 교통신호기 설치공사 설계내역서(제1지역)_LED - 개2_LED성동완" xfId="7736"/>
    <cellStyle name="@_laroux_제트베인_1_농협퇴비-음성한우리영농(보통,그린)_2007 교통신호기 설치공사 설계내역서(제1지역)_2007 교통신호기 설치공사 설계내역서(제1지역)_LED - 개2_LED성동완 2" xfId="7737"/>
    <cellStyle name="@_laroux_제트베인_1_농협퇴비-음성한우리영농(보통,그린)_2007 교통신호기 설치공사 설계내역서(제1지역)_2007 교통신호기 설치공사 설계내역서(제1지역)_LED - 개2_LED성동완 3" xfId="7738"/>
    <cellStyle name="@_laroux_제트베인_1_농협퇴비-음성한우리영농(보통,그린)_2007 교통신호기 설치공사 설계내역서(제1지역)_2007 교통신호기 설치공사 설계내역서(제1지역)_LED - 개2_LED성동완 4" xfId="7739"/>
    <cellStyle name="@_laroux_제트베인_1_농협퇴비-음성한우리영농(보통,그린)_2007 교통신호기 설치공사 설계내역서(제1지역)_2007 교통신호기 설치공사 설계내역서(제1지역)_LED - 개2_LED성동완_설계내역서" xfId="7740"/>
    <cellStyle name="@_laroux_제트베인_1_농협퇴비-음성한우리영농(보통,그린)_2007 교통신호기 설치공사 설계내역서(제1지역)_2007 교통신호기 설치공사 설계내역서(제1지역)_LED - 개2_설계내역서" xfId="7741"/>
    <cellStyle name="@_laroux_제트베인_1_농협퇴비-음성한우리영농(보통,그린)_2007 교통신호기 설치공사 설계내역서(제1지역)_2007 교통신호기 설치공사 설계내역서(제1지역)_북부-1지역" xfId="7742"/>
    <cellStyle name="@_laroux_제트베인_1_농협퇴비-음성한우리영농(보통,그린)_2007 교통신호기 설치공사 설계내역서(제1지역)_2007 교통신호기 설치공사 설계내역서(제1지역)_북부-1지역 2" xfId="7743"/>
    <cellStyle name="@_laroux_제트베인_1_농협퇴비-음성한우리영농(보통,그린)_2007 교통신호기 설치공사 설계내역서(제1지역)_2007 교통신호기 설치공사 설계내역서(제1지역)_북부-1지역 3" xfId="7744"/>
    <cellStyle name="@_laroux_제트베인_1_농협퇴비-음성한우리영농(보통,그린)_2007 교통신호기 설치공사 설계내역서(제1지역)_2007 교통신호기 설치공사 설계내역서(제1지역)_북부-1지역 4" xfId="7745"/>
    <cellStyle name="@_laroux_제트베인_1_농협퇴비-음성한우리영농(보통,그린)_2007 교통신호기 설치공사 설계내역서(제1지역)_2007 교통신호기 설치공사 설계내역서(제1지역)_북부-1지역_LED - 개2" xfId="7746"/>
    <cellStyle name="@_laroux_제트베인_1_농협퇴비-음성한우리영농(보통,그린)_2007 교통신호기 설치공사 설계내역서(제1지역)_2007 교통신호기 설치공사 설계내역서(제1지역)_북부-1지역_LED - 개2 2" xfId="7747"/>
    <cellStyle name="@_laroux_제트베인_1_농협퇴비-음성한우리영농(보통,그린)_2007 교통신호기 설치공사 설계내역서(제1지역)_2007 교통신호기 설치공사 설계내역서(제1지역)_북부-1지역_LED - 개2 3" xfId="7748"/>
    <cellStyle name="@_laroux_제트베인_1_농협퇴비-음성한우리영농(보통,그린)_2007 교통신호기 설치공사 설계내역서(제1지역)_2007 교통신호기 설치공사 설계내역서(제1지역)_북부-1지역_LED - 개2 4" xfId="7749"/>
    <cellStyle name="@_laroux_제트베인_1_농협퇴비-음성한우리영농(보통,그린)_2007 교통신호기 설치공사 설계내역서(제1지역)_2007 교통신호기 설치공사 설계내역서(제1지역)_북부-1지역_LED - 개2_LED성동완" xfId="7750"/>
    <cellStyle name="@_laroux_제트베인_1_농협퇴비-음성한우리영농(보통,그린)_2007 교통신호기 설치공사 설계내역서(제1지역)_2007 교통신호기 설치공사 설계내역서(제1지역)_북부-1지역_LED - 개2_LED성동완 2" xfId="7751"/>
    <cellStyle name="@_laroux_제트베인_1_농협퇴비-음성한우리영농(보통,그린)_2007 교통신호기 설치공사 설계내역서(제1지역)_2007 교통신호기 설치공사 설계내역서(제1지역)_북부-1지역_LED - 개2_LED성동완 3" xfId="7752"/>
    <cellStyle name="@_laroux_제트베인_1_농협퇴비-음성한우리영농(보통,그린)_2007 교통신호기 설치공사 설계내역서(제1지역)_2007 교통신호기 설치공사 설계내역서(제1지역)_북부-1지역_LED - 개2_LED성동완 4" xfId="7753"/>
    <cellStyle name="@_laroux_제트베인_1_농협퇴비-음성한우리영농(보통,그린)_2007 교통신호기 설치공사 설계내역서(제1지역)_2007 교통신호기 설치공사 설계내역서(제1지역)_북부-1지역_LED - 개2_LED성동완_설계내역서" xfId="7754"/>
    <cellStyle name="@_laroux_제트베인_1_농협퇴비-음성한우리영농(보통,그린)_2007 교통신호기 설치공사 설계내역서(제1지역)_2007 교통신호기 설치공사 설계내역서(제1지역)_북부-1지역_LED - 개2_설계내역서" xfId="7755"/>
    <cellStyle name="@_laroux_제트베인_1_농협퇴비-음성한우리영농(보통,그린)_2007 교통신호기 설치공사 설계내역서(제1지역)_2007 교통신호기 설치공사 설계내역서(제1지역)_북부-1지역_사본 - LED - 개2" xfId="7756"/>
    <cellStyle name="@_laroux_제트베인_1_농협퇴비-음성한우리영농(보통,그린)_2007 교통신호기 설치공사 설계내역서(제1지역)_2007 교통신호기 설치공사 설계내역서(제1지역)_북부-1지역_사본 - LED - 개2 2" xfId="7757"/>
    <cellStyle name="@_laroux_제트베인_1_농협퇴비-음성한우리영농(보통,그린)_2007 교통신호기 설치공사 설계내역서(제1지역)_2007 교통신호기 설치공사 설계내역서(제1지역)_북부-1지역_사본 - LED - 개2 3" xfId="7758"/>
    <cellStyle name="@_laroux_제트베인_1_농협퇴비-음성한우리영농(보통,그린)_2007 교통신호기 설치공사 설계내역서(제1지역)_2007 교통신호기 설치공사 설계내역서(제1지역)_북부-1지역_사본 - LED - 개2 4" xfId="7759"/>
    <cellStyle name="@_laroux_제트베인_1_농협퇴비-음성한우리영농(보통,그린)_2007 교통신호기 설치공사 설계내역서(제1지역)_2007 교통신호기 설치공사 설계내역서(제1지역)_북부-1지역_사본 - LED - 개2_LED성동완" xfId="7760"/>
    <cellStyle name="@_laroux_제트베인_1_농협퇴비-음성한우리영농(보통,그린)_2007 교통신호기 설치공사 설계내역서(제1지역)_2007 교통신호기 설치공사 설계내역서(제1지역)_북부-1지역_사본 - LED - 개2_LED성동완 2" xfId="7761"/>
    <cellStyle name="@_laroux_제트베인_1_농협퇴비-음성한우리영농(보통,그린)_2007 교통신호기 설치공사 설계내역서(제1지역)_2007 교통신호기 설치공사 설계내역서(제1지역)_북부-1지역_사본 - LED - 개2_LED성동완 3" xfId="7762"/>
    <cellStyle name="@_laroux_제트베인_1_농협퇴비-음성한우리영농(보통,그린)_2007 교통신호기 설치공사 설계내역서(제1지역)_2007 교통신호기 설치공사 설계내역서(제1지역)_북부-1지역_사본 - LED - 개2_LED성동완 4" xfId="7763"/>
    <cellStyle name="@_laroux_제트베인_1_농협퇴비-음성한우리영농(보통,그린)_2007 교통신호기 설치공사 설계내역서(제1지역)_2007 교통신호기 설치공사 설계내역서(제1지역)_북부-1지역_사본 - LED - 개2_LED성동완_설계내역서" xfId="7764"/>
    <cellStyle name="@_laroux_제트베인_1_농협퇴비-음성한우리영농(보통,그린)_2007 교통신호기 설치공사 설계내역서(제1지역)_2007 교통신호기 설치공사 설계내역서(제1지역)_북부-1지역_사본 - LED - 개2_설계내역서" xfId="7765"/>
    <cellStyle name="@_laroux_제트베인_1_농협퇴비-음성한우리영농(보통,그린)_2007 교통신호기 설치공사 설계내역서(제1지역)_2007 교통신호기 설치공사 설계내역서(제1지역)_북부-1지역_사본 - LED성동 물량2" xfId="7766"/>
    <cellStyle name="@_laroux_제트베인_1_농협퇴비-음성한우리영농(보통,그린)_2007 교통신호기 설치공사 설계내역서(제1지역)_2007 교통신호기 설치공사 설계내역서(제1지역)_북부-1지역_사본 - LED성동 물량2 2" xfId="7767"/>
    <cellStyle name="@_laroux_제트베인_1_농협퇴비-음성한우리영농(보통,그린)_2007 교통신호기 설치공사 설계내역서(제1지역)_2007 교통신호기 설치공사 설계내역서(제1지역)_북부-1지역_사본 - LED성동 물량2 3" xfId="7768"/>
    <cellStyle name="@_laroux_제트베인_1_농협퇴비-음성한우리영농(보통,그린)_2007 교통신호기 설치공사 설계내역서(제1지역)_2007 교통신호기 설치공사 설계내역서(제1지역)_북부-1지역_사본 - LED성동 물량2 4" xfId="7769"/>
    <cellStyle name="@_laroux_제트베인_1_농협퇴비-음성한우리영농(보통,그린)_2007 교통신호기 설치공사 설계내역서(제1지역)_2007 교통신호기 설치공사 설계내역서(제1지역)_북부-1지역_사본 - LED성동 물량2_LED성동완" xfId="7770"/>
    <cellStyle name="@_laroux_제트베인_1_농협퇴비-음성한우리영농(보통,그린)_2007 교통신호기 설치공사 설계내역서(제1지역)_2007 교통신호기 설치공사 설계내역서(제1지역)_북부-1지역_사본 - LED성동 물량2_LED성동완 2" xfId="7771"/>
    <cellStyle name="@_laroux_제트베인_1_농협퇴비-음성한우리영농(보통,그린)_2007 교통신호기 설치공사 설계내역서(제1지역)_2007 교통신호기 설치공사 설계내역서(제1지역)_북부-1지역_사본 - LED성동 물량2_LED성동완 3" xfId="7772"/>
    <cellStyle name="@_laroux_제트베인_1_농협퇴비-음성한우리영농(보통,그린)_2007 교통신호기 설치공사 설계내역서(제1지역)_2007 교통신호기 설치공사 설계내역서(제1지역)_북부-1지역_사본 - LED성동 물량2_LED성동완 4" xfId="7773"/>
    <cellStyle name="@_laroux_제트베인_1_농협퇴비-음성한우리영농(보통,그린)_2007 교통신호기 설치공사 설계내역서(제1지역)_2007 교통신호기 설치공사 설계내역서(제1지역)_북부-1지역_사본 - LED성동 물량2_LED성동완_설계내역서" xfId="7774"/>
    <cellStyle name="@_laroux_제트베인_1_농협퇴비-음성한우리영농(보통,그린)_2007 교통신호기 설치공사 설계내역서(제1지역)_2007 교통신호기 설치공사 설계내역서(제1지역)_북부-1지역_사본 - LED성동 물량2_설계내역서" xfId="7775"/>
    <cellStyle name="@_laroux_제트베인_1_농협퇴비-음성한우리영농(보통,그린)_2007 교통신호기 설치공사 설계내역서(제1지역)_2007 교통신호기 설치공사 설계내역서(제1지역)_북부-1지역_설계내역서" xfId="7776"/>
    <cellStyle name="@_laroux_제트베인_1_농협퇴비-음성한우리영농(보통,그린)_2007 교통신호기 설치공사 설계내역서(제1지역)_2007 교통신호기 설치공사 설계내역서(제1지역)_사본 - LED - 개2" xfId="7777"/>
    <cellStyle name="@_laroux_제트베인_1_농협퇴비-음성한우리영농(보통,그린)_2007 교통신호기 설치공사 설계내역서(제1지역)_2007 교통신호기 설치공사 설계내역서(제1지역)_사본 - LED - 개2 2" xfId="7778"/>
    <cellStyle name="@_laroux_제트베인_1_농협퇴비-음성한우리영농(보통,그린)_2007 교통신호기 설치공사 설계내역서(제1지역)_2007 교통신호기 설치공사 설계내역서(제1지역)_사본 - LED - 개2 3" xfId="7779"/>
    <cellStyle name="@_laroux_제트베인_1_농협퇴비-음성한우리영농(보통,그린)_2007 교통신호기 설치공사 설계내역서(제1지역)_2007 교통신호기 설치공사 설계내역서(제1지역)_사본 - LED - 개2 4" xfId="7780"/>
    <cellStyle name="@_laroux_제트베인_1_농협퇴비-음성한우리영농(보통,그린)_2007 교통신호기 설치공사 설계내역서(제1지역)_2007 교통신호기 설치공사 설계내역서(제1지역)_사본 - LED - 개2_LED성동완" xfId="7781"/>
    <cellStyle name="@_laroux_제트베인_1_농협퇴비-음성한우리영농(보통,그린)_2007 교통신호기 설치공사 설계내역서(제1지역)_2007 교통신호기 설치공사 설계내역서(제1지역)_사본 - LED - 개2_LED성동완 2" xfId="7782"/>
    <cellStyle name="@_laroux_제트베인_1_농협퇴비-음성한우리영농(보통,그린)_2007 교통신호기 설치공사 설계내역서(제1지역)_2007 교통신호기 설치공사 설계내역서(제1지역)_사본 - LED - 개2_LED성동완 3" xfId="7783"/>
    <cellStyle name="@_laroux_제트베인_1_농협퇴비-음성한우리영농(보통,그린)_2007 교통신호기 설치공사 설계내역서(제1지역)_2007 교통신호기 설치공사 설계내역서(제1지역)_사본 - LED - 개2_LED성동완 4" xfId="7784"/>
    <cellStyle name="@_laroux_제트베인_1_농협퇴비-음성한우리영농(보통,그린)_2007 교통신호기 설치공사 설계내역서(제1지역)_2007 교통신호기 설치공사 설계내역서(제1지역)_사본 - LED - 개2_LED성동완_설계내역서" xfId="7785"/>
    <cellStyle name="@_laroux_제트베인_1_농협퇴비-음성한우리영농(보통,그린)_2007 교통신호기 설치공사 설계내역서(제1지역)_2007 교통신호기 설치공사 설계내역서(제1지역)_사본 - LED - 개2_설계내역서" xfId="7786"/>
    <cellStyle name="@_laroux_제트베인_1_농협퇴비-음성한우리영농(보통,그린)_2007 교통신호기 설치공사 설계내역서(제1지역)_2007 교통신호기 설치공사 설계내역서(제1지역)_사본 - LED성동 물량2" xfId="7787"/>
    <cellStyle name="@_laroux_제트베인_1_농협퇴비-음성한우리영농(보통,그린)_2007 교통신호기 설치공사 설계내역서(제1지역)_2007 교통신호기 설치공사 설계내역서(제1지역)_사본 - LED성동 물량2 2" xfId="7788"/>
    <cellStyle name="@_laroux_제트베인_1_농협퇴비-음성한우리영농(보통,그린)_2007 교통신호기 설치공사 설계내역서(제1지역)_2007 교통신호기 설치공사 설계내역서(제1지역)_사본 - LED성동 물량2 3" xfId="7789"/>
    <cellStyle name="@_laroux_제트베인_1_농협퇴비-음성한우리영농(보통,그린)_2007 교통신호기 설치공사 설계내역서(제1지역)_2007 교통신호기 설치공사 설계내역서(제1지역)_사본 - LED성동 물량2 4" xfId="7790"/>
    <cellStyle name="@_laroux_제트베인_1_농협퇴비-음성한우리영농(보통,그린)_2007 교통신호기 설치공사 설계내역서(제1지역)_2007 교통신호기 설치공사 설계내역서(제1지역)_사본 - LED성동 물량2_LED성동완" xfId="7791"/>
    <cellStyle name="@_laroux_제트베인_1_농협퇴비-음성한우리영농(보통,그린)_2007 교통신호기 설치공사 설계내역서(제1지역)_2007 교통신호기 설치공사 설계내역서(제1지역)_사본 - LED성동 물량2_LED성동완 2" xfId="7792"/>
    <cellStyle name="@_laroux_제트베인_1_농협퇴비-음성한우리영농(보통,그린)_2007 교통신호기 설치공사 설계내역서(제1지역)_2007 교통신호기 설치공사 설계내역서(제1지역)_사본 - LED성동 물량2_LED성동완 3" xfId="7793"/>
    <cellStyle name="@_laroux_제트베인_1_농협퇴비-음성한우리영농(보통,그린)_2007 교통신호기 설치공사 설계내역서(제1지역)_2007 교통신호기 설치공사 설계내역서(제1지역)_사본 - LED성동 물량2_LED성동완 4" xfId="7794"/>
    <cellStyle name="@_laroux_제트베인_1_농협퇴비-음성한우리영농(보통,그린)_2007 교통신호기 설치공사 설계내역서(제1지역)_2007 교통신호기 설치공사 설계내역서(제1지역)_사본 - LED성동 물량2_LED성동완_설계내역서" xfId="7795"/>
    <cellStyle name="@_laroux_제트베인_1_농협퇴비-음성한우리영농(보통,그린)_2007 교통신호기 설치공사 설계내역서(제1지역)_2007 교통신호기 설치공사 설계내역서(제1지역)_사본 - LED성동 물량2_설계내역서" xfId="7796"/>
    <cellStyle name="@_laroux_제트베인_1_농협퇴비-음성한우리영농(보통,그린)_2007 교통신호기 설치공사 설계내역서(제1지역)_2007 교통신호기 설치공사 설계내역서(제1지역)_설계내역서" xfId="7797"/>
    <cellStyle name="@_laroux_제트베인_1_농협퇴비-음성한우리영농(보통,그린)_2007 교통신호기 설치공사 설계내역서(제1지역)_2어린이보호구역내역서(신서외10개소)낙찰율(전기)" xfId="7798"/>
    <cellStyle name="@_laroux_제트베인_1_농협퇴비-음성한우리영농(보통,그린)_2007 교통신호기 설치공사 설계내역서(제1지역)_2어린이보호구역내역서(신서외10개소)낙찰율(전기) 2" xfId="7799"/>
    <cellStyle name="@_laroux_제트베인_1_농협퇴비-음성한우리영농(보통,그린)_2007 교통신호기 설치공사 설계내역서(제1지역)_2어린이보호구역내역서(신서외10개소)낙찰율(전기) 3" xfId="7800"/>
    <cellStyle name="@_laroux_제트베인_1_농협퇴비-음성한우리영농(보통,그린)_2007 교통신호기 설치공사 설계내역서(제1지역)_2어린이보호구역내역서(신서외10개소)낙찰율(전기) 4" xfId="7801"/>
    <cellStyle name="@_laroux_제트베인_1_농협퇴비-음성한우리영농(보통,그린)_2007 교통신호기 설치공사 설계내역서(제1지역)_2어린이보호구역내역서(신서외10개소)낙찰율(전기)_설계내역서" xfId="7802"/>
    <cellStyle name="@_laroux_제트베인_1_농협퇴비-음성한우리영농(보통,그린)_2007 교통신호기 설치공사 설계내역서(제1지역)_3어린이보호구역내역서(신서외10개소)낙찰율(통신)" xfId="7803"/>
    <cellStyle name="@_laroux_제트베인_1_농협퇴비-음성한우리영농(보통,그린)_2007 교통신호기 설치공사 설계내역서(제1지역)_3어린이보호구역내역서(신서외10개소)낙찰율(통신) 2" xfId="7804"/>
    <cellStyle name="@_laroux_제트베인_1_농협퇴비-음성한우리영농(보통,그린)_2007 교통신호기 설치공사 설계내역서(제1지역)_3어린이보호구역내역서(신서외10개소)낙찰율(통신) 3" xfId="7805"/>
    <cellStyle name="@_laroux_제트베인_1_농협퇴비-음성한우리영농(보통,그린)_2007 교통신호기 설치공사 설계내역서(제1지역)_3어린이보호구역내역서(신서외10개소)낙찰율(통신) 4" xfId="7806"/>
    <cellStyle name="@_laroux_제트베인_1_농협퇴비-음성한우리영농(보통,그린)_2007 교통신호기 설치공사 설계내역서(제1지역)_3어린이보호구역내역서(신서외10개소)낙찰율(통신)_설계내역서" xfId="7807"/>
    <cellStyle name="@_laroux_제트베인_1_농협퇴비-음성한우리영농(보통,그린)_2007 교통신호기 설치공사 설계내역서(제1지역)_6.신서초교(교통신호기)" xfId="7808"/>
    <cellStyle name="@_laroux_제트베인_1_농협퇴비-음성한우리영농(보통,그린)_2007 교통신호기 설치공사 설계내역서(제1지역)_6.신서초교(교통신호기) 2" xfId="7809"/>
    <cellStyle name="@_laroux_제트베인_1_농협퇴비-음성한우리영농(보통,그린)_2007 교통신호기 설치공사 설계내역서(제1지역)_6.신서초교(교통신호기) 3" xfId="7810"/>
    <cellStyle name="@_laroux_제트베인_1_농협퇴비-음성한우리영농(보통,그린)_2007 교통신호기 설치공사 설계내역서(제1지역)_6.신서초교(교통신호기) 4" xfId="7811"/>
    <cellStyle name="@_laroux_제트베인_1_농협퇴비-음성한우리영농(보통,그린)_2007 교통신호기 설치공사 설계내역서(제1지역)_6.신서초교(교통신호기)_설계내역서" xfId="7812"/>
    <cellStyle name="@_laroux_제트베인_1_농협퇴비-음성한우리영농(보통,그린)_2007 교통신호기 설치공사 설계내역서(제1지역)_LED - 개2" xfId="7813"/>
    <cellStyle name="@_laroux_제트베인_1_농협퇴비-음성한우리영농(보통,그린)_2007 교통신호기 설치공사 설계내역서(제1지역)_LED - 개2 2" xfId="7814"/>
    <cellStyle name="@_laroux_제트베인_1_농협퇴비-음성한우리영농(보통,그린)_2007 교통신호기 설치공사 설계내역서(제1지역)_LED - 개2 3" xfId="7815"/>
    <cellStyle name="@_laroux_제트베인_1_농협퇴비-음성한우리영농(보통,그린)_2007 교통신호기 설치공사 설계내역서(제1지역)_LED - 개2 4" xfId="7816"/>
    <cellStyle name="@_laroux_제트베인_1_농협퇴비-음성한우리영농(보통,그린)_2007 교통신호기 설치공사 설계내역서(제1지역)_LED - 개2_LED성동완" xfId="7817"/>
    <cellStyle name="@_laroux_제트베인_1_농협퇴비-음성한우리영농(보통,그린)_2007 교통신호기 설치공사 설계내역서(제1지역)_LED - 개2_LED성동완 2" xfId="7818"/>
    <cellStyle name="@_laroux_제트베인_1_농협퇴비-음성한우리영농(보통,그린)_2007 교통신호기 설치공사 설계내역서(제1지역)_LED - 개2_LED성동완 3" xfId="7819"/>
    <cellStyle name="@_laroux_제트베인_1_농협퇴비-음성한우리영농(보통,그린)_2007 교통신호기 설치공사 설계내역서(제1지역)_LED - 개2_LED성동완 4" xfId="7820"/>
    <cellStyle name="@_laroux_제트베인_1_농협퇴비-음성한우리영농(보통,그린)_2007 교통신호기 설치공사 설계내역서(제1지역)_LED - 개2_LED성동완_설계내역서" xfId="7821"/>
    <cellStyle name="@_laroux_제트베인_1_농협퇴비-음성한우리영농(보통,그린)_2007 교통신호기 설치공사 설계내역서(제1지역)_LED - 개2_설계내역서" xfId="7822"/>
    <cellStyle name="@_laroux_제트베인_1_농협퇴비-음성한우리영농(보통,그린)_2007 교통신호기 설치공사 설계내역서(제1지역)_강서(신설개량)" xfId="7823"/>
    <cellStyle name="@_laroux_제트베인_1_농협퇴비-음성한우리영농(보통,그린)_2007 교통신호기 설치공사 설계내역서(제1지역)_강서(신설개량) 2" xfId="7824"/>
    <cellStyle name="@_laroux_제트베인_1_농협퇴비-음성한우리영농(보통,그린)_2007 교통신호기 설치공사 설계내역서(제1지역)_강서(신설개량) 3" xfId="7825"/>
    <cellStyle name="@_laroux_제트베인_1_농협퇴비-음성한우리영농(보통,그린)_2007 교통신호기 설치공사 설계내역서(제1지역)_강서(신설개량) 4" xfId="7826"/>
    <cellStyle name="@_laroux_제트베인_1_농협퇴비-음성한우리영농(보통,그린)_2007 교통신호기 설치공사 설계내역서(제1지역)_강서(신설개량)_설계내역서" xfId="7827"/>
    <cellStyle name="@_laroux_제트베인_1_농협퇴비-음성한우리영농(보통,그린)_2007 교통신호기 설치공사 설계내역서(제1지역)_강서(신설및개량)" xfId="7828"/>
    <cellStyle name="@_laroux_제트베인_1_농협퇴비-음성한우리영농(보통,그린)_2007 교통신호기 설치공사 설계내역서(제1지역)_강서(신설및개량) 2" xfId="7829"/>
    <cellStyle name="@_laroux_제트베인_1_농협퇴비-음성한우리영농(보통,그린)_2007 교통신호기 설치공사 설계내역서(제1지역)_강서(신설및개량) 3" xfId="7830"/>
    <cellStyle name="@_laroux_제트베인_1_농협퇴비-음성한우리영농(보통,그린)_2007 교통신호기 설치공사 설계내역서(제1지역)_강서(신설및개량) 4" xfId="7831"/>
    <cellStyle name="@_laroux_제트베인_1_농협퇴비-음성한우리영농(보통,그린)_2007 교통신호기 설치공사 설계내역서(제1지역)_강서(신설및개량)_설계내역서" xfId="7832"/>
    <cellStyle name="@_laroux_제트베인_1_농협퇴비-음성한우리영농(보통,그린)_2007 교통신호기 설치공사 설계내역서(제1지역)_강서(신설및개량)-3차(마곡역-잔토제외준공)" xfId="7833"/>
    <cellStyle name="@_laroux_제트베인_1_농협퇴비-음성한우리영농(보통,그린)_2007 교통신호기 설치공사 설계내역서(제1지역)_강서(신설및개량)-3차(마곡역-잔토제외준공) 2" xfId="7834"/>
    <cellStyle name="@_laroux_제트베인_1_농협퇴비-음성한우리영농(보통,그린)_2007 교통신호기 설치공사 설계내역서(제1지역)_강서(신설및개량)-3차(마곡역-잔토제외준공) 3" xfId="7835"/>
    <cellStyle name="@_laroux_제트베인_1_농협퇴비-음성한우리영농(보통,그린)_2007 교통신호기 설치공사 설계내역서(제1지역)_강서(신설및개량)-3차(마곡역-잔토제외준공) 4" xfId="7836"/>
    <cellStyle name="@_laroux_제트베인_1_농협퇴비-음성한우리영농(보통,그린)_2007 교통신호기 설치공사 설계내역서(제1지역)_강서(신설및개량)-3차(마곡역-잔토제외준공)_설계내역서" xfId="7837"/>
    <cellStyle name="@_laroux_제트베인_1_농협퇴비-음성한우리영농(보통,그린)_2007 교통신호기 설치공사 설계내역서(제1지역)_강서1지역" xfId="7838"/>
    <cellStyle name="@_laroux_제트베인_1_농협퇴비-음성한우리영농(보통,그린)_2007 교통신호기 설치공사 설계내역서(제1지역)_강서1지역 2" xfId="7839"/>
    <cellStyle name="@_laroux_제트베인_1_농협퇴비-음성한우리영농(보통,그린)_2007 교통신호기 설치공사 설계내역서(제1지역)_강서1지역 3" xfId="7840"/>
    <cellStyle name="@_laroux_제트베인_1_농협퇴비-음성한우리영농(보통,그린)_2007 교통신호기 설치공사 설계내역서(제1지역)_강서1지역 4" xfId="7841"/>
    <cellStyle name="@_laroux_제트베인_1_농협퇴비-음성한우리영농(보통,그린)_2007 교통신호기 설치공사 설계내역서(제1지역)_강서1지역(임시)" xfId="7842"/>
    <cellStyle name="@_laroux_제트베인_1_농협퇴비-음성한우리영농(보통,그린)_2007 교통신호기 설치공사 설계내역서(제1지역)_강서1지역(임시) 2" xfId="7843"/>
    <cellStyle name="@_laroux_제트베인_1_농협퇴비-음성한우리영농(보통,그린)_2007 교통신호기 설치공사 설계내역서(제1지역)_강서1지역(임시) 3" xfId="7844"/>
    <cellStyle name="@_laroux_제트베인_1_농협퇴비-음성한우리영농(보통,그린)_2007 교통신호기 설치공사 설계내역서(제1지역)_강서1지역(임시) 4" xfId="7845"/>
    <cellStyle name="@_laroux_제트베인_1_농협퇴비-음성한우리영농(보통,그린)_2007 교통신호기 설치공사 설계내역서(제1지역)_강서1지역(임시)_설계내역서" xfId="7846"/>
    <cellStyle name="@_laroux_제트베인_1_농협퇴비-음성한우리영농(보통,그린)_2007 교통신호기 설치공사 설계내역서(제1지역)_강서1지역_설계내역서" xfId="7847"/>
    <cellStyle name="@_laroux_제트베인_1_농협퇴비-음성한우리영농(보통,그린)_2007 교통신호기 설치공사 설계내역서(제1지역)_강서1지역-3차(마곡역)" xfId="7848"/>
    <cellStyle name="@_laroux_제트베인_1_농협퇴비-음성한우리영농(보통,그린)_2007 교통신호기 설치공사 설계내역서(제1지역)_강서1지역-3차(마곡역) 2" xfId="7849"/>
    <cellStyle name="@_laroux_제트베인_1_농협퇴비-음성한우리영농(보통,그린)_2007 교통신호기 설치공사 설계내역서(제1지역)_강서1지역-3차(마곡역) 3" xfId="7850"/>
    <cellStyle name="@_laroux_제트베인_1_농협퇴비-음성한우리영농(보통,그린)_2007 교통신호기 설치공사 설계내역서(제1지역)_강서1지역-3차(마곡역) 4" xfId="7851"/>
    <cellStyle name="@_laroux_제트베인_1_농협퇴비-음성한우리영농(보통,그린)_2007 교통신호기 설치공사 설계내역서(제1지역)_강서1지역-3차(마곡역)_설계내역서" xfId="7852"/>
    <cellStyle name="@_laroux_제트베인_1_농협퇴비-음성한우리영농(보통,그린)_2007 교통신호기 설치공사 설계내역서(제1지역)_강서2지역(임시)" xfId="7853"/>
    <cellStyle name="@_laroux_제트베인_1_농협퇴비-음성한우리영농(보통,그린)_2007 교통신호기 설치공사 설계내역서(제1지역)_강서2지역(임시) 2" xfId="7854"/>
    <cellStyle name="@_laroux_제트베인_1_농협퇴비-음성한우리영농(보통,그린)_2007 교통신호기 설치공사 설계내역서(제1지역)_강서2지역(임시) 3" xfId="7855"/>
    <cellStyle name="@_laroux_제트베인_1_농협퇴비-음성한우리영농(보통,그린)_2007 교통신호기 설치공사 설계내역서(제1지역)_강서2지역(임시) 4" xfId="7856"/>
    <cellStyle name="@_laroux_제트베인_1_농협퇴비-음성한우리영농(보통,그린)_2007 교통신호기 설치공사 설계내역서(제1지역)_강서2지역(임시)_설계내역서" xfId="7857"/>
    <cellStyle name="@_laroux_제트베인_1_농협퇴비-음성한우리영농(보통,그린)_2007 교통신호기 설치공사 설계내역서(제1지역)_강서어린이보호구역 설계변경내역(등양,등명 신호등 포함) 080630" xfId="7858"/>
    <cellStyle name="@_laroux_제트베인_1_농협퇴비-음성한우리영농(보통,그린)_2007 교통신호기 설치공사 설계내역서(제1지역)_강서어린이보호구역 설계변경내역(등양,등명 신호등 포함) 080630 2" xfId="7859"/>
    <cellStyle name="@_laroux_제트베인_1_농협퇴비-음성한우리영농(보통,그린)_2007 교통신호기 설치공사 설계내역서(제1지역)_강서어린이보호구역 설계변경내역(등양,등명 신호등 포함) 080630 3" xfId="7860"/>
    <cellStyle name="@_laroux_제트베인_1_농협퇴비-음성한우리영농(보통,그린)_2007 교통신호기 설치공사 설계내역서(제1지역)_강서어린이보호구역 설계변경내역(등양,등명 신호등 포함) 080630 4" xfId="7861"/>
    <cellStyle name="@_laroux_제트베인_1_농협퇴비-음성한우리영농(보통,그린)_2007 교통신호기 설치공사 설계내역서(제1지역)_강서어린이보호구역 설계변경내역(등양,등명 신호등 포함) 080630_설계내역서" xfId="7862"/>
    <cellStyle name="@_laroux_제트베인_1_농협퇴비-음성한우리영농(보통,그린)_2007 교통신호기 설치공사 설계내역서(제1지역)_강서어린이보호구역역설계-완성04291" xfId="7863"/>
    <cellStyle name="@_laroux_제트베인_1_농협퇴비-음성한우리영농(보통,그린)_2007 교통신호기 설치공사 설계내역서(제1지역)_강서어린이보호구역역설계-완성04291 2" xfId="7864"/>
    <cellStyle name="@_laroux_제트베인_1_농협퇴비-음성한우리영농(보통,그린)_2007 교통신호기 설치공사 설계내역서(제1지역)_강서어린이보호구역역설계-완성04291 3" xfId="7865"/>
    <cellStyle name="@_laroux_제트베인_1_농협퇴비-음성한우리영농(보통,그린)_2007 교통신호기 설치공사 설계내역서(제1지역)_강서어린이보호구역역설계-완성04291 4" xfId="7866"/>
    <cellStyle name="@_laroux_제트베인_1_농협퇴비-음성한우리영농(보통,그린)_2007 교통신호기 설치공사 설계내역서(제1지역)_강서어린이보호구역역설계-완성04291_설계내역서" xfId="7867"/>
    <cellStyle name="@_laroux_제트베인_1_농협퇴비-음성한우리영농(보통,그린)_2007 교통신호기 설치공사 설계내역서(제1지역)_강서어린이보호구역역설계-완성04291-222" xfId="7868"/>
    <cellStyle name="@_laroux_제트베인_1_농협퇴비-음성한우리영농(보통,그린)_2007 교통신호기 설치공사 설계내역서(제1지역)_강서어린이보호구역역설계-완성04291-222 2" xfId="7869"/>
    <cellStyle name="@_laroux_제트베인_1_농협퇴비-음성한우리영농(보통,그린)_2007 교통신호기 설치공사 설계내역서(제1지역)_강서어린이보호구역역설계-완성04291-222 3" xfId="7870"/>
    <cellStyle name="@_laroux_제트베인_1_농협퇴비-음성한우리영농(보통,그린)_2007 교통신호기 설치공사 설계내역서(제1지역)_강서어린이보호구역역설계-완성04291-222 4" xfId="7871"/>
    <cellStyle name="@_laroux_제트베인_1_농협퇴비-음성한우리영농(보통,그린)_2007 교통신호기 설치공사 설계내역서(제1지역)_강서어린이보호구역역설계-완성04291-222_설계내역서" xfId="7872"/>
    <cellStyle name="@_laroux_제트베인_1_농협퇴비-음성한우리영농(보통,그린)_2007 교통신호기 설치공사 설계내역서(제1지역)_교통신호기 설치공사(어린이보호구역)" xfId="7873"/>
    <cellStyle name="@_laroux_제트베인_1_농협퇴비-음성한우리영농(보통,그린)_2007 교통신호기 설치공사 설계내역서(제1지역)_교통신호기 설치공사(어린이보호구역) 2" xfId="7874"/>
    <cellStyle name="@_laroux_제트베인_1_농협퇴비-음성한우리영농(보통,그린)_2007 교통신호기 설치공사 설계내역서(제1지역)_교통신호기 설치공사(어린이보호구역) 3" xfId="7875"/>
    <cellStyle name="@_laroux_제트베인_1_농협퇴비-음성한우리영농(보통,그린)_2007 교통신호기 설치공사 설계내역서(제1지역)_교통신호기 설치공사(어린이보호구역) 4" xfId="7876"/>
    <cellStyle name="@_laroux_제트베인_1_농협퇴비-음성한우리영농(보통,그린)_2007 교통신호기 설치공사 설계내역서(제1지역)_교통신호기 설치공사(어린이보호구역)(1)" xfId="7877"/>
    <cellStyle name="@_laroux_제트베인_1_농협퇴비-음성한우리영농(보통,그린)_2007 교통신호기 설치공사 설계내역서(제1지역)_교통신호기 설치공사(어린이보호구역)(1) 2" xfId="7878"/>
    <cellStyle name="@_laroux_제트베인_1_농협퇴비-음성한우리영농(보통,그린)_2007 교통신호기 설치공사 설계내역서(제1지역)_교통신호기 설치공사(어린이보호구역)(1) 3" xfId="7879"/>
    <cellStyle name="@_laroux_제트베인_1_농협퇴비-음성한우리영농(보통,그린)_2007 교통신호기 설치공사 설계내역서(제1지역)_교통신호기 설치공사(어린이보호구역)(1) 4" xfId="7880"/>
    <cellStyle name="@_laroux_제트베인_1_농협퇴비-음성한우리영농(보통,그린)_2007 교통신호기 설치공사 설계내역서(제1지역)_교통신호기 설치공사(어린이보호구역)(1)_설계내역서" xfId="7881"/>
    <cellStyle name="@_laroux_제트베인_1_농협퇴비-음성한우리영농(보통,그린)_2007 교통신호기 설치공사 설계내역서(제1지역)_교통신호기 설치공사(어린이보호구역)_설계내역서" xfId="7882"/>
    <cellStyle name="@_laroux_제트베인_1_농협퇴비-음성한우리영농(보통,그린)_2007 교통신호기 설치공사 설계내역서(제1지역)_기획3차성동-준공내역서(5.29)" xfId="7883"/>
    <cellStyle name="@_laroux_제트베인_1_농협퇴비-음성한우리영농(보통,그린)_2007 교통신호기 설치공사 설계내역서(제1지역)_기획3차성동-준공내역서(5.29) 2" xfId="7884"/>
    <cellStyle name="@_laroux_제트베인_1_농협퇴비-음성한우리영농(보통,그린)_2007 교통신호기 설치공사 설계내역서(제1지역)_기획3차성동-준공내역서(5.29) 3" xfId="7885"/>
    <cellStyle name="@_laroux_제트베인_1_농협퇴비-음성한우리영농(보통,그린)_2007 교통신호기 설치공사 설계내역서(제1지역)_기획3차성동-준공내역서(5.29) 4" xfId="7886"/>
    <cellStyle name="@_laroux_제트베인_1_농협퇴비-음성한우리영농(보통,그린)_2007 교통신호기 설치공사 설계내역서(제1지역)_기획3차성동-준공내역서(5.29)_설계내역서" xfId="7887"/>
    <cellStyle name="@_laroux_제트베인_1_농협퇴비-음성한우리영농(보통,그린)_2007 교통신호기 설치공사 설계내역서(제1지역)_남부2지역-1차(2사급자재)" xfId="7888"/>
    <cellStyle name="@_laroux_제트베인_1_농협퇴비-음성한우리영농(보통,그린)_2007 교통신호기 설치공사 설계내역서(제1지역)_남부2지역-1차(2사급자재) 2" xfId="7889"/>
    <cellStyle name="@_laroux_제트베인_1_농협퇴비-음성한우리영농(보통,그린)_2007 교통신호기 설치공사 설계내역서(제1지역)_남부2지역-1차(2사급자재) 3" xfId="7890"/>
    <cellStyle name="@_laroux_제트베인_1_농협퇴비-음성한우리영농(보통,그린)_2007 교통신호기 설치공사 설계내역서(제1지역)_남부2지역-1차(2사급자재) 4" xfId="7891"/>
    <cellStyle name="@_laroux_제트베인_1_농협퇴비-음성한우리영농(보통,그린)_2007 교통신호기 설치공사 설계내역서(제1지역)_남부2지역-1차(2사급자재)_설계내역서" xfId="7892"/>
    <cellStyle name="@_laroux_제트베인_1_농협퇴비-음성한우리영농(보통,그린)_2007 교통신호기 설치공사 설계내역서(제1지역)_내역서(강서신호기신설 및 개량)" xfId="7893"/>
    <cellStyle name="@_laroux_제트베인_1_농협퇴비-음성한우리영농(보통,그린)_2007 교통신호기 설치공사 설계내역서(제1지역)_내역서(강서신호기신설 및 개량) 2" xfId="7894"/>
    <cellStyle name="@_laroux_제트베인_1_농협퇴비-음성한우리영농(보통,그린)_2007 교통신호기 설치공사 설계내역서(제1지역)_내역서(강서신호기신설 및 개량) 3" xfId="7895"/>
    <cellStyle name="@_laroux_제트베인_1_농협퇴비-음성한우리영농(보통,그린)_2007 교통신호기 설치공사 설계내역서(제1지역)_내역서(강서신호기신설 및 개량) 4" xfId="7896"/>
    <cellStyle name="@_laroux_제트베인_1_농협퇴비-음성한우리영농(보통,그린)_2007 교통신호기 설치공사 설계내역서(제1지역)_내역서(강서신호기신설 및 개량)_설계내역서" xfId="7897"/>
    <cellStyle name="@_laroux_제트베인_1_농협퇴비-음성한우리영농(보통,그린)_2007 교통신호기 설치공사 설계내역서(제1지역)_동부2지역" xfId="7898"/>
    <cellStyle name="@_laroux_제트베인_1_농협퇴비-음성한우리영농(보통,그린)_2007 교통신호기 설치공사 설계내역서(제1지역)_동부2지역 2" xfId="7899"/>
    <cellStyle name="@_laroux_제트베인_1_농협퇴비-음성한우리영농(보통,그린)_2007 교통신호기 설치공사 설계내역서(제1지역)_동부2지역 3" xfId="7900"/>
    <cellStyle name="@_laroux_제트베인_1_농협퇴비-음성한우리영농(보통,그린)_2007 교통신호기 설치공사 설계내역서(제1지역)_동부2지역 4" xfId="7901"/>
    <cellStyle name="@_laroux_제트베인_1_농협퇴비-음성한우리영농(보통,그린)_2007 교통신호기 설치공사 설계내역서(제1지역)_동부2지역_설계내역서" xfId="7902"/>
    <cellStyle name="@_laroux_제트베인_1_농협퇴비-음성한우리영농(보통,그린)_2007 교통신호기 설치공사 설계내역서(제1지역)_물량(교통사고잦은곳2차)" xfId="7903"/>
    <cellStyle name="@_laroux_제트베인_1_농협퇴비-음성한우리영농(보통,그린)_2007 교통신호기 설치공사 설계내역서(제1지역)_물량(교통사고잦은곳2차) 2" xfId="7904"/>
    <cellStyle name="@_laroux_제트베인_1_농협퇴비-음성한우리영농(보통,그린)_2007 교통신호기 설치공사 설계내역서(제1지역)_물량(교통사고잦은곳2차) 3" xfId="7905"/>
    <cellStyle name="@_laroux_제트베인_1_농협퇴비-음성한우리영농(보통,그린)_2007 교통신호기 설치공사 설계내역서(제1지역)_물량(교통사고잦은곳2차) 4" xfId="7906"/>
    <cellStyle name="@_laroux_제트베인_1_농협퇴비-음성한우리영농(보통,그린)_2007 교통신호기 설치공사 설계내역서(제1지역)_물량(교통사고잦은곳2차)_설계내역서" xfId="7907"/>
    <cellStyle name="@_laroux_제트베인_1_농협퇴비-음성한우리영농(보통,그린)_2007 교통신호기 설치공사 설계내역서(제1지역)_북부-1지역" xfId="7908"/>
    <cellStyle name="@_laroux_제트베인_1_농협퇴비-음성한우리영농(보통,그린)_2007 교통신호기 설치공사 설계내역서(제1지역)_북부-1지역 2" xfId="7909"/>
    <cellStyle name="@_laroux_제트베인_1_농협퇴비-음성한우리영농(보통,그린)_2007 교통신호기 설치공사 설계내역서(제1지역)_북부-1지역 3" xfId="7910"/>
    <cellStyle name="@_laroux_제트베인_1_농협퇴비-음성한우리영농(보통,그린)_2007 교통신호기 설치공사 설계내역서(제1지역)_북부-1지역 4" xfId="7911"/>
    <cellStyle name="@_laroux_제트베인_1_농협퇴비-음성한우리영농(보통,그린)_2007 교통신호기 설치공사 설계내역서(제1지역)_북부-1지역_LED - 개2" xfId="7912"/>
    <cellStyle name="@_laroux_제트베인_1_농협퇴비-음성한우리영농(보통,그린)_2007 교통신호기 설치공사 설계내역서(제1지역)_북부-1지역_LED - 개2 2" xfId="7913"/>
    <cellStyle name="@_laroux_제트베인_1_농협퇴비-음성한우리영농(보통,그린)_2007 교통신호기 설치공사 설계내역서(제1지역)_북부-1지역_LED - 개2 3" xfId="7914"/>
    <cellStyle name="@_laroux_제트베인_1_농협퇴비-음성한우리영농(보통,그린)_2007 교통신호기 설치공사 설계내역서(제1지역)_북부-1지역_LED - 개2 4" xfId="7915"/>
    <cellStyle name="@_laroux_제트베인_1_농협퇴비-음성한우리영농(보통,그린)_2007 교통신호기 설치공사 설계내역서(제1지역)_북부-1지역_LED - 개2_LED성동완" xfId="7916"/>
    <cellStyle name="@_laroux_제트베인_1_농협퇴비-음성한우리영농(보통,그린)_2007 교통신호기 설치공사 설계내역서(제1지역)_북부-1지역_LED - 개2_LED성동완 2" xfId="7917"/>
    <cellStyle name="@_laroux_제트베인_1_농협퇴비-음성한우리영농(보통,그린)_2007 교통신호기 설치공사 설계내역서(제1지역)_북부-1지역_LED - 개2_LED성동완 3" xfId="7918"/>
    <cellStyle name="@_laroux_제트베인_1_농협퇴비-음성한우리영농(보통,그린)_2007 교통신호기 설치공사 설계내역서(제1지역)_북부-1지역_LED - 개2_LED성동완 4" xfId="7919"/>
    <cellStyle name="@_laroux_제트베인_1_농협퇴비-음성한우리영농(보통,그린)_2007 교통신호기 설치공사 설계내역서(제1지역)_북부-1지역_LED - 개2_LED성동완_설계내역서" xfId="7920"/>
    <cellStyle name="@_laroux_제트베인_1_농협퇴비-음성한우리영농(보통,그린)_2007 교통신호기 설치공사 설계내역서(제1지역)_북부-1지역_LED - 개2_설계내역서" xfId="7921"/>
    <cellStyle name="@_laroux_제트베인_1_농협퇴비-음성한우리영농(보통,그린)_2007 교통신호기 설치공사 설계내역서(제1지역)_북부-1지역_북부-1지역" xfId="7922"/>
    <cellStyle name="@_laroux_제트베인_1_농협퇴비-음성한우리영농(보통,그린)_2007 교통신호기 설치공사 설계내역서(제1지역)_북부-1지역_북부-1지역 2" xfId="7923"/>
    <cellStyle name="@_laroux_제트베인_1_농협퇴비-음성한우리영농(보통,그린)_2007 교통신호기 설치공사 설계내역서(제1지역)_북부-1지역_북부-1지역 3" xfId="7924"/>
    <cellStyle name="@_laroux_제트베인_1_농협퇴비-음성한우리영농(보통,그린)_2007 교통신호기 설치공사 설계내역서(제1지역)_북부-1지역_북부-1지역 4" xfId="7925"/>
    <cellStyle name="@_laroux_제트베인_1_농협퇴비-음성한우리영농(보통,그린)_2007 교통신호기 설치공사 설계내역서(제1지역)_북부-1지역_북부-1지역_LED - 개2" xfId="7926"/>
    <cellStyle name="@_laroux_제트베인_1_농협퇴비-음성한우리영농(보통,그린)_2007 교통신호기 설치공사 설계내역서(제1지역)_북부-1지역_북부-1지역_LED - 개2 2" xfId="7927"/>
    <cellStyle name="@_laroux_제트베인_1_농협퇴비-음성한우리영농(보통,그린)_2007 교통신호기 설치공사 설계내역서(제1지역)_북부-1지역_북부-1지역_LED - 개2 3" xfId="7928"/>
    <cellStyle name="@_laroux_제트베인_1_농협퇴비-음성한우리영농(보통,그린)_2007 교통신호기 설치공사 설계내역서(제1지역)_북부-1지역_북부-1지역_LED - 개2 4" xfId="7929"/>
    <cellStyle name="@_laroux_제트베인_1_농협퇴비-음성한우리영농(보통,그린)_2007 교통신호기 설치공사 설계내역서(제1지역)_북부-1지역_북부-1지역_LED - 개2_LED성동완" xfId="7930"/>
    <cellStyle name="@_laroux_제트베인_1_농협퇴비-음성한우리영농(보통,그린)_2007 교통신호기 설치공사 설계내역서(제1지역)_북부-1지역_북부-1지역_LED - 개2_LED성동완 2" xfId="7931"/>
    <cellStyle name="@_laroux_제트베인_1_농협퇴비-음성한우리영농(보통,그린)_2007 교통신호기 설치공사 설계내역서(제1지역)_북부-1지역_북부-1지역_LED - 개2_LED성동완 3" xfId="7932"/>
    <cellStyle name="@_laroux_제트베인_1_농협퇴비-음성한우리영농(보통,그린)_2007 교통신호기 설치공사 설계내역서(제1지역)_북부-1지역_북부-1지역_LED - 개2_LED성동완 4" xfId="7933"/>
    <cellStyle name="@_laroux_제트베인_1_농협퇴비-음성한우리영농(보통,그린)_2007 교통신호기 설치공사 설계내역서(제1지역)_북부-1지역_북부-1지역_LED - 개2_LED성동완_설계내역서" xfId="7934"/>
    <cellStyle name="@_laroux_제트베인_1_농협퇴비-음성한우리영농(보통,그린)_2007 교통신호기 설치공사 설계내역서(제1지역)_북부-1지역_북부-1지역_LED - 개2_설계내역서" xfId="7935"/>
    <cellStyle name="@_laroux_제트베인_1_농협퇴비-음성한우리영농(보통,그린)_2007 교통신호기 설치공사 설계내역서(제1지역)_북부-1지역_북부-1지역_사본 - LED - 개2" xfId="7936"/>
    <cellStyle name="@_laroux_제트베인_1_농협퇴비-음성한우리영농(보통,그린)_2007 교통신호기 설치공사 설계내역서(제1지역)_북부-1지역_북부-1지역_사본 - LED - 개2 2" xfId="7937"/>
    <cellStyle name="@_laroux_제트베인_1_농협퇴비-음성한우리영농(보통,그린)_2007 교통신호기 설치공사 설계내역서(제1지역)_북부-1지역_북부-1지역_사본 - LED - 개2 3" xfId="7938"/>
    <cellStyle name="@_laroux_제트베인_1_농협퇴비-음성한우리영농(보통,그린)_2007 교통신호기 설치공사 설계내역서(제1지역)_북부-1지역_북부-1지역_사본 - LED - 개2 4" xfId="7939"/>
    <cellStyle name="@_laroux_제트베인_1_농협퇴비-음성한우리영농(보통,그린)_2007 교통신호기 설치공사 설계내역서(제1지역)_북부-1지역_북부-1지역_사본 - LED - 개2_LED성동완" xfId="7940"/>
    <cellStyle name="@_laroux_제트베인_1_농협퇴비-음성한우리영농(보통,그린)_2007 교통신호기 설치공사 설계내역서(제1지역)_북부-1지역_북부-1지역_사본 - LED - 개2_LED성동완 2" xfId="7941"/>
    <cellStyle name="@_laroux_제트베인_1_농협퇴비-음성한우리영농(보통,그린)_2007 교통신호기 설치공사 설계내역서(제1지역)_북부-1지역_북부-1지역_사본 - LED - 개2_LED성동완 3" xfId="7942"/>
    <cellStyle name="@_laroux_제트베인_1_농협퇴비-음성한우리영농(보통,그린)_2007 교통신호기 설치공사 설계내역서(제1지역)_북부-1지역_북부-1지역_사본 - LED - 개2_LED성동완 4" xfId="7943"/>
    <cellStyle name="@_laroux_제트베인_1_농협퇴비-음성한우리영농(보통,그린)_2007 교통신호기 설치공사 설계내역서(제1지역)_북부-1지역_북부-1지역_사본 - LED - 개2_LED성동완_설계내역서" xfId="7944"/>
    <cellStyle name="@_laroux_제트베인_1_농협퇴비-음성한우리영농(보통,그린)_2007 교통신호기 설치공사 설계내역서(제1지역)_북부-1지역_북부-1지역_사본 - LED - 개2_설계내역서" xfId="7945"/>
    <cellStyle name="@_laroux_제트베인_1_농협퇴비-음성한우리영농(보통,그린)_2007 교통신호기 설치공사 설계내역서(제1지역)_북부-1지역_북부-1지역_사본 - LED성동 물량2" xfId="7946"/>
    <cellStyle name="@_laroux_제트베인_1_농협퇴비-음성한우리영농(보통,그린)_2007 교통신호기 설치공사 설계내역서(제1지역)_북부-1지역_북부-1지역_사본 - LED성동 물량2 2" xfId="7947"/>
    <cellStyle name="@_laroux_제트베인_1_농협퇴비-음성한우리영농(보통,그린)_2007 교통신호기 설치공사 설계내역서(제1지역)_북부-1지역_북부-1지역_사본 - LED성동 물량2 3" xfId="7948"/>
    <cellStyle name="@_laroux_제트베인_1_농협퇴비-음성한우리영농(보통,그린)_2007 교통신호기 설치공사 설계내역서(제1지역)_북부-1지역_북부-1지역_사본 - LED성동 물량2 4" xfId="7949"/>
    <cellStyle name="@_laroux_제트베인_1_농협퇴비-음성한우리영농(보통,그린)_2007 교통신호기 설치공사 설계내역서(제1지역)_북부-1지역_북부-1지역_사본 - LED성동 물량2_LED성동완" xfId="7950"/>
    <cellStyle name="@_laroux_제트베인_1_농협퇴비-음성한우리영농(보통,그린)_2007 교통신호기 설치공사 설계내역서(제1지역)_북부-1지역_북부-1지역_사본 - LED성동 물량2_LED성동완 2" xfId="7951"/>
    <cellStyle name="@_laroux_제트베인_1_농협퇴비-음성한우리영농(보통,그린)_2007 교통신호기 설치공사 설계내역서(제1지역)_북부-1지역_북부-1지역_사본 - LED성동 물량2_LED성동완 3" xfId="7952"/>
    <cellStyle name="@_laroux_제트베인_1_농협퇴비-음성한우리영농(보통,그린)_2007 교통신호기 설치공사 설계내역서(제1지역)_북부-1지역_북부-1지역_사본 - LED성동 물량2_LED성동완 4" xfId="7953"/>
    <cellStyle name="@_laroux_제트베인_1_농협퇴비-음성한우리영농(보통,그린)_2007 교통신호기 설치공사 설계내역서(제1지역)_북부-1지역_북부-1지역_사본 - LED성동 물량2_LED성동완_설계내역서" xfId="7954"/>
    <cellStyle name="@_laroux_제트베인_1_농협퇴비-음성한우리영농(보통,그린)_2007 교통신호기 설치공사 설계내역서(제1지역)_북부-1지역_북부-1지역_사본 - LED성동 물량2_설계내역서" xfId="7955"/>
    <cellStyle name="@_laroux_제트베인_1_농협퇴비-음성한우리영농(보통,그린)_2007 교통신호기 설치공사 설계내역서(제1지역)_북부-1지역_북부-1지역_설계내역서" xfId="7956"/>
    <cellStyle name="@_laroux_제트베인_1_농협퇴비-음성한우리영농(보통,그린)_2007 교통신호기 설치공사 설계내역서(제1지역)_북부-1지역_사본 - LED - 개2" xfId="7957"/>
    <cellStyle name="@_laroux_제트베인_1_농협퇴비-음성한우리영농(보통,그린)_2007 교통신호기 설치공사 설계내역서(제1지역)_북부-1지역_사본 - LED - 개2 2" xfId="7958"/>
    <cellStyle name="@_laroux_제트베인_1_농협퇴비-음성한우리영농(보통,그린)_2007 교통신호기 설치공사 설계내역서(제1지역)_북부-1지역_사본 - LED - 개2 3" xfId="7959"/>
    <cellStyle name="@_laroux_제트베인_1_농협퇴비-음성한우리영농(보통,그린)_2007 교통신호기 설치공사 설계내역서(제1지역)_북부-1지역_사본 - LED - 개2 4" xfId="7960"/>
    <cellStyle name="@_laroux_제트베인_1_농협퇴비-음성한우리영농(보통,그린)_2007 교통신호기 설치공사 설계내역서(제1지역)_북부-1지역_사본 - LED - 개2_LED성동완" xfId="7961"/>
    <cellStyle name="@_laroux_제트베인_1_농협퇴비-음성한우리영농(보통,그린)_2007 교통신호기 설치공사 설계내역서(제1지역)_북부-1지역_사본 - LED - 개2_LED성동완 2" xfId="7962"/>
    <cellStyle name="@_laroux_제트베인_1_농협퇴비-음성한우리영농(보통,그린)_2007 교통신호기 설치공사 설계내역서(제1지역)_북부-1지역_사본 - LED - 개2_LED성동완 3" xfId="7963"/>
    <cellStyle name="@_laroux_제트베인_1_농협퇴비-음성한우리영농(보통,그린)_2007 교통신호기 설치공사 설계내역서(제1지역)_북부-1지역_사본 - LED - 개2_LED성동완 4" xfId="7964"/>
    <cellStyle name="@_laroux_제트베인_1_농협퇴비-음성한우리영농(보통,그린)_2007 교통신호기 설치공사 설계내역서(제1지역)_북부-1지역_사본 - LED - 개2_LED성동완_설계내역서" xfId="7965"/>
    <cellStyle name="@_laroux_제트베인_1_농협퇴비-음성한우리영농(보통,그린)_2007 교통신호기 설치공사 설계내역서(제1지역)_북부-1지역_사본 - LED - 개2_설계내역서" xfId="7966"/>
    <cellStyle name="@_laroux_제트베인_1_농협퇴비-음성한우리영농(보통,그린)_2007 교통신호기 설치공사 설계내역서(제1지역)_북부-1지역_사본 - LED성동 물량2" xfId="7967"/>
    <cellStyle name="@_laroux_제트베인_1_농협퇴비-음성한우리영농(보통,그린)_2007 교통신호기 설치공사 설계내역서(제1지역)_북부-1지역_사본 - LED성동 물량2 2" xfId="7968"/>
    <cellStyle name="@_laroux_제트베인_1_농협퇴비-음성한우리영농(보통,그린)_2007 교통신호기 설치공사 설계내역서(제1지역)_북부-1지역_사본 - LED성동 물량2 3" xfId="7969"/>
    <cellStyle name="@_laroux_제트베인_1_농협퇴비-음성한우리영농(보통,그린)_2007 교통신호기 설치공사 설계내역서(제1지역)_북부-1지역_사본 - LED성동 물량2 4" xfId="7970"/>
    <cellStyle name="@_laroux_제트베인_1_농협퇴비-음성한우리영농(보통,그린)_2007 교통신호기 설치공사 설계내역서(제1지역)_북부-1지역_사본 - LED성동 물량2_LED성동완" xfId="7971"/>
    <cellStyle name="@_laroux_제트베인_1_농협퇴비-음성한우리영농(보통,그린)_2007 교통신호기 설치공사 설계내역서(제1지역)_북부-1지역_사본 - LED성동 물량2_LED성동완 2" xfId="7972"/>
    <cellStyle name="@_laroux_제트베인_1_농협퇴비-음성한우리영농(보통,그린)_2007 교통신호기 설치공사 설계내역서(제1지역)_북부-1지역_사본 - LED성동 물량2_LED성동완 3" xfId="7973"/>
    <cellStyle name="@_laroux_제트베인_1_농협퇴비-음성한우리영농(보통,그린)_2007 교통신호기 설치공사 설계내역서(제1지역)_북부-1지역_사본 - LED성동 물량2_LED성동완 4" xfId="7974"/>
    <cellStyle name="@_laroux_제트베인_1_농협퇴비-음성한우리영농(보통,그린)_2007 교통신호기 설치공사 설계내역서(제1지역)_북부-1지역_사본 - LED성동 물량2_LED성동완_설계내역서" xfId="7975"/>
    <cellStyle name="@_laroux_제트베인_1_농협퇴비-음성한우리영농(보통,그린)_2007 교통신호기 설치공사 설계내역서(제1지역)_북부-1지역_사본 - LED성동 물량2_설계내역서" xfId="7976"/>
    <cellStyle name="@_laroux_제트베인_1_농협퇴비-음성한우리영농(보통,그린)_2007 교통신호기 설치공사 설계내역서(제1지역)_북부-1지역_설계내역서" xfId="7977"/>
    <cellStyle name="@_laroux_제트베인_1_농협퇴비-음성한우리영농(보통,그린)_2007 교통신호기 설치공사 설계내역서(제1지역)_사본 - LED - 개2" xfId="7978"/>
    <cellStyle name="@_laroux_제트베인_1_농협퇴비-음성한우리영농(보통,그린)_2007 교통신호기 설치공사 설계내역서(제1지역)_사본 - LED - 개2 2" xfId="7979"/>
    <cellStyle name="@_laroux_제트베인_1_농협퇴비-음성한우리영농(보통,그린)_2007 교통신호기 설치공사 설계내역서(제1지역)_사본 - LED - 개2 3" xfId="7980"/>
    <cellStyle name="@_laroux_제트베인_1_농협퇴비-음성한우리영농(보통,그린)_2007 교통신호기 설치공사 설계내역서(제1지역)_사본 - LED - 개2 4" xfId="7981"/>
    <cellStyle name="@_laroux_제트베인_1_농협퇴비-음성한우리영농(보통,그린)_2007 교통신호기 설치공사 설계내역서(제1지역)_사본 - LED - 개2_LED성동완" xfId="7982"/>
    <cellStyle name="@_laroux_제트베인_1_농협퇴비-음성한우리영농(보통,그린)_2007 교통신호기 설치공사 설계내역서(제1지역)_사본 - LED - 개2_LED성동완 2" xfId="7983"/>
    <cellStyle name="@_laroux_제트베인_1_농협퇴비-음성한우리영농(보통,그린)_2007 교통신호기 설치공사 설계내역서(제1지역)_사본 - LED - 개2_LED성동완 3" xfId="7984"/>
    <cellStyle name="@_laroux_제트베인_1_농협퇴비-음성한우리영농(보통,그린)_2007 교통신호기 설치공사 설계내역서(제1지역)_사본 - LED - 개2_LED성동완 4" xfId="7985"/>
    <cellStyle name="@_laroux_제트베인_1_농협퇴비-음성한우리영농(보통,그린)_2007 교통신호기 설치공사 설계내역서(제1지역)_사본 - LED - 개2_LED성동완_설계내역서" xfId="7986"/>
    <cellStyle name="@_laroux_제트베인_1_농협퇴비-음성한우리영농(보통,그린)_2007 교통신호기 설치공사 설계내역서(제1지역)_사본 - LED - 개2_설계내역서" xfId="7987"/>
    <cellStyle name="@_laroux_제트베인_1_농협퇴비-음성한우리영농(보통,그린)_2007 교통신호기 설치공사 설계내역서(제1지역)_사본 - LED성동 물량2" xfId="7988"/>
    <cellStyle name="@_laroux_제트베인_1_농협퇴비-음성한우리영농(보통,그린)_2007 교통신호기 설치공사 설계내역서(제1지역)_사본 - LED성동 물량2 2" xfId="7989"/>
    <cellStyle name="@_laroux_제트베인_1_농협퇴비-음성한우리영농(보통,그린)_2007 교통신호기 설치공사 설계내역서(제1지역)_사본 - LED성동 물량2 3" xfId="7990"/>
    <cellStyle name="@_laroux_제트베인_1_농협퇴비-음성한우리영농(보통,그린)_2007 교통신호기 설치공사 설계내역서(제1지역)_사본 - LED성동 물량2 4" xfId="7991"/>
    <cellStyle name="@_laroux_제트베인_1_농협퇴비-음성한우리영농(보통,그린)_2007 교통신호기 설치공사 설계내역서(제1지역)_사본 - LED성동 물량2_LED성동완" xfId="7992"/>
    <cellStyle name="@_laroux_제트베인_1_농협퇴비-음성한우리영농(보통,그린)_2007 교통신호기 설치공사 설계내역서(제1지역)_사본 - LED성동 물량2_LED성동완 2" xfId="7993"/>
    <cellStyle name="@_laroux_제트베인_1_농협퇴비-음성한우리영농(보통,그린)_2007 교통신호기 설치공사 설계내역서(제1지역)_사본 - LED성동 물량2_LED성동완 3" xfId="7994"/>
    <cellStyle name="@_laroux_제트베인_1_농협퇴비-음성한우리영농(보통,그린)_2007 교통신호기 설치공사 설계내역서(제1지역)_사본 - LED성동 물량2_LED성동완 4" xfId="7995"/>
    <cellStyle name="@_laroux_제트베인_1_농협퇴비-음성한우리영농(보통,그린)_2007 교통신호기 설치공사 설계내역서(제1지역)_사본 - LED성동 물량2_LED성동완_설계내역서" xfId="7996"/>
    <cellStyle name="@_laroux_제트베인_1_농협퇴비-음성한우리영농(보통,그린)_2007 교통신호기 설치공사 설계내역서(제1지역)_사본 - LED성동 물량2_설계내역서" xfId="7997"/>
    <cellStyle name="@_laroux_제트베인_1_농협퇴비-음성한우리영농(보통,그린)_2007 교통신호기 설치공사 설계내역서(제1지역)_사본 - 강서1지역(임시)" xfId="7998"/>
    <cellStyle name="@_laroux_제트베인_1_농협퇴비-음성한우리영농(보통,그린)_2007 교통신호기 설치공사 설계내역서(제1지역)_사본 - 강서1지역(임시) 2" xfId="7999"/>
    <cellStyle name="@_laroux_제트베인_1_농협퇴비-음성한우리영농(보통,그린)_2007 교통신호기 설치공사 설계내역서(제1지역)_사본 - 강서1지역(임시) 3" xfId="8000"/>
    <cellStyle name="@_laroux_제트베인_1_농협퇴비-음성한우리영농(보통,그린)_2007 교통신호기 설치공사 설계내역서(제1지역)_사본 - 강서1지역(임시) 4" xfId="8001"/>
    <cellStyle name="@_laroux_제트베인_1_농협퇴비-음성한우리영농(보통,그린)_2007 교통신호기 설치공사 설계내역서(제1지역)_사본 - 강서1지역(임시)_설계내역서" xfId="8002"/>
    <cellStyle name="@_laroux_제트베인_1_농협퇴비-음성한우리영농(보통,그린)_2007 교통신호기 설치공사 설계내역서(제1지역)_설계내역서" xfId="8003"/>
    <cellStyle name="@_laroux_제트베인_1_농협퇴비-음성한우리영농(보통,그린)_2007 교통신호기 설치공사 설계내역서(제1지역)_설계서" xfId="8004"/>
    <cellStyle name="@_laroux_제트베인_1_농협퇴비-음성한우리영농(보통,그린)_2007 교통신호기 설치공사 설계내역서(제1지역)_설계서 2" xfId="8005"/>
    <cellStyle name="@_laroux_제트베인_1_농협퇴비-음성한우리영농(보통,그린)_2007 교통신호기 설치공사 설계내역서(제1지역)_설계서 3" xfId="8006"/>
    <cellStyle name="@_laroux_제트베인_1_농협퇴비-음성한우리영농(보통,그린)_2007 교통신호기 설치공사 설계내역서(제1지역)_설계서 4" xfId="8007"/>
    <cellStyle name="@_laroux_제트베인_1_농협퇴비-음성한우리영농(보통,그린)_2007 교통신호기 설치공사 설계내역서(제1지역)_설계서(세척및도장)" xfId="8008"/>
    <cellStyle name="@_laroux_제트베인_1_농협퇴비-음성한우리영농(보통,그린)_2007 교통신호기 설치공사 설계내역서(제1지역)_설계서(세척및도장) 2" xfId="8009"/>
    <cellStyle name="@_laroux_제트베인_1_농협퇴비-음성한우리영농(보통,그린)_2007 교통신호기 설치공사 설계내역서(제1지역)_설계서(세척및도장) 3" xfId="8010"/>
    <cellStyle name="@_laroux_제트베인_1_농협퇴비-음성한우리영농(보통,그린)_2007 교통신호기 설치공사 설계내역서(제1지역)_설계서(세척및도장) 4" xfId="8011"/>
    <cellStyle name="@_laroux_제트베인_1_농협퇴비-음성한우리영농(보통,그린)_2007 교통신호기 설치공사 설계내역서(제1지역)_설계서(세척및도장)_설계내역서" xfId="8012"/>
    <cellStyle name="@_laroux_제트베인_1_농협퇴비-음성한우리영농(보통,그린)_2007 교통신호기 설치공사 설계내역서(제1지역)_설계서_LED - 개2" xfId="8013"/>
    <cellStyle name="@_laroux_제트베인_1_농협퇴비-음성한우리영농(보통,그린)_2007 교통신호기 설치공사 설계내역서(제1지역)_설계서_LED - 개2 2" xfId="8014"/>
    <cellStyle name="@_laroux_제트베인_1_농협퇴비-음성한우리영농(보통,그린)_2007 교통신호기 설치공사 설계내역서(제1지역)_설계서_LED - 개2 3" xfId="8015"/>
    <cellStyle name="@_laroux_제트베인_1_농협퇴비-음성한우리영농(보통,그린)_2007 교통신호기 설치공사 설계내역서(제1지역)_설계서_LED - 개2 4" xfId="8016"/>
    <cellStyle name="@_laroux_제트베인_1_농협퇴비-음성한우리영농(보통,그린)_2007 교통신호기 설치공사 설계내역서(제1지역)_설계서_LED - 개2_LED성동완" xfId="8017"/>
    <cellStyle name="@_laroux_제트베인_1_농협퇴비-음성한우리영농(보통,그린)_2007 교통신호기 설치공사 설계내역서(제1지역)_설계서_LED - 개2_LED성동완 2" xfId="8018"/>
    <cellStyle name="@_laroux_제트베인_1_농협퇴비-음성한우리영농(보통,그린)_2007 교통신호기 설치공사 설계내역서(제1지역)_설계서_LED - 개2_LED성동완 3" xfId="8019"/>
    <cellStyle name="@_laroux_제트베인_1_농협퇴비-음성한우리영농(보통,그린)_2007 교통신호기 설치공사 설계내역서(제1지역)_설계서_LED - 개2_LED성동완 4" xfId="8020"/>
    <cellStyle name="@_laroux_제트베인_1_농협퇴비-음성한우리영농(보통,그린)_2007 교통신호기 설치공사 설계내역서(제1지역)_설계서_LED - 개2_LED성동완_설계내역서" xfId="8021"/>
    <cellStyle name="@_laroux_제트베인_1_농협퇴비-음성한우리영농(보통,그린)_2007 교통신호기 설치공사 설계내역서(제1지역)_설계서_LED - 개2_설계내역서" xfId="8022"/>
    <cellStyle name="@_laroux_제트베인_1_농협퇴비-음성한우리영농(보통,그린)_2007 교통신호기 설치공사 설계내역서(제1지역)_설계서_북부-1지역" xfId="8023"/>
    <cellStyle name="@_laroux_제트베인_1_농협퇴비-음성한우리영농(보통,그린)_2007 교통신호기 설치공사 설계내역서(제1지역)_설계서_북부-1지역 2" xfId="8024"/>
    <cellStyle name="@_laroux_제트베인_1_농협퇴비-음성한우리영농(보통,그린)_2007 교통신호기 설치공사 설계내역서(제1지역)_설계서_북부-1지역 3" xfId="8025"/>
    <cellStyle name="@_laroux_제트베인_1_농협퇴비-음성한우리영농(보통,그린)_2007 교통신호기 설치공사 설계내역서(제1지역)_설계서_북부-1지역 4" xfId="8026"/>
    <cellStyle name="@_laroux_제트베인_1_농협퇴비-음성한우리영농(보통,그린)_2007 교통신호기 설치공사 설계내역서(제1지역)_설계서_북부-1지역_LED - 개2" xfId="8027"/>
    <cellStyle name="@_laroux_제트베인_1_농협퇴비-음성한우리영농(보통,그린)_2007 교통신호기 설치공사 설계내역서(제1지역)_설계서_북부-1지역_LED - 개2 2" xfId="8028"/>
    <cellStyle name="@_laroux_제트베인_1_농협퇴비-음성한우리영농(보통,그린)_2007 교통신호기 설치공사 설계내역서(제1지역)_설계서_북부-1지역_LED - 개2 3" xfId="8029"/>
    <cellStyle name="@_laroux_제트베인_1_농협퇴비-음성한우리영농(보통,그린)_2007 교통신호기 설치공사 설계내역서(제1지역)_설계서_북부-1지역_LED - 개2 4" xfId="8030"/>
    <cellStyle name="@_laroux_제트베인_1_농협퇴비-음성한우리영농(보통,그린)_2007 교통신호기 설치공사 설계내역서(제1지역)_설계서_북부-1지역_LED - 개2_LED성동완" xfId="8031"/>
    <cellStyle name="@_laroux_제트베인_1_농협퇴비-음성한우리영농(보통,그린)_2007 교통신호기 설치공사 설계내역서(제1지역)_설계서_북부-1지역_LED - 개2_LED성동완 2" xfId="8032"/>
    <cellStyle name="@_laroux_제트베인_1_농협퇴비-음성한우리영농(보통,그린)_2007 교통신호기 설치공사 설계내역서(제1지역)_설계서_북부-1지역_LED - 개2_LED성동완 3" xfId="8033"/>
    <cellStyle name="@_laroux_제트베인_1_농협퇴비-음성한우리영농(보통,그린)_2007 교통신호기 설치공사 설계내역서(제1지역)_설계서_북부-1지역_LED - 개2_LED성동완 4" xfId="8034"/>
    <cellStyle name="@_laroux_제트베인_1_농협퇴비-음성한우리영농(보통,그린)_2007 교통신호기 설치공사 설계내역서(제1지역)_설계서_북부-1지역_LED - 개2_LED성동완_설계내역서" xfId="8035"/>
    <cellStyle name="@_laroux_제트베인_1_농협퇴비-음성한우리영농(보통,그린)_2007 교통신호기 설치공사 설계내역서(제1지역)_설계서_북부-1지역_LED - 개2_설계내역서" xfId="8036"/>
    <cellStyle name="@_laroux_제트베인_1_농협퇴비-음성한우리영농(보통,그린)_2007 교통신호기 설치공사 설계내역서(제1지역)_설계서_북부-1지역_사본 - LED - 개2" xfId="8037"/>
    <cellStyle name="@_laroux_제트베인_1_농협퇴비-음성한우리영농(보통,그린)_2007 교통신호기 설치공사 설계내역서(제1지역)_설계서_북부-1지역_사본 - LED - 개2 2" xfId="8038"/>
    <cellStyle name="@_laroux_제트베인_1_농협퇴비-음성한우리영농(보통,그린)_2007 교통신호기 설치공사 설계내역서(제1지역)_설계서_북부-1지역_사본 - LED - 개2 3" xfId="8039"/>
    <cellStyle name="@_laroux_제트베인_1_농협퇴비-음성한우리영농(보통,그린)_2007 교통신호기 설치공사 설계내역서(제1지역)_설계서_북부-1지역_사본 - LED - 개2 4" xfId="8040"/>
    <cellStyle name="@_laroux_제트베인_1_농협퇴비-음성한우리영농(보통,그린)_2007 교통신호기 설치공사 설계내역서(제1지역)_설계서_북부-1지역_사본 - LED - 개2_LED성동완" xfId="8041"/>
    <cellStyle name="@_laroux_제트베인_1_농협퇴비-음성한우리영농(보통,그린)_2007 교통신호기 설치공사 설계내역서(제1지역)_설계서_북부-1지역_사본 - LED - 개2_LED성동완 2" xfId="8042"/>
    <cellStyle name="@_laroux_제트베인_1_농협퇴비-음성한우리영농(보통,그린)_2007 교통신호기 설치공사 설계내역서(제1지역)_설계서_북부-1지역_사본 - LED - 개2_LED성동완 3" xfId="8043"/>
    <cellStyle name="@_laroux_제트베인_1_농협퇴비-음성한우리영농(보통,그린)_2007 교통신호기 설치공사 설계내역서(제1지역)_설계서_북부-1지역_사본 - LED - 개2_LED성동완 4" xfId="8044"/>
    <cellStyle name="@_laroux_제트베인_1_농협퇴비-음성한우리영농(보통,그린)_2007 교통신호기 설치공사 설계내역서(제1지역)_설계서_북부-1지역_사본 - LED - 개2_LED성동완_설계내역서" xfId="8045"/>
    <cellStyle name="@_laroux_제트베인_1_농협퇴비-음성한우리영농(보통,그린)_2007 교통신호기 설치공사 설계내역서(제1지역)_설계서_북부-1지역_사본 - LED - 개2_설계내역서" xfId="8046"/>
    <cellStyle name="@_laroux_제트베인_1_농협퇴비-음성한우리영농(보통,그린)_2007 교통신호기 설치공사 설계내역서(제1지역)_설계서_북부-1지역_사본 - LED성동 물량2" xfId="8047"/>
    <cellStyle name="@_laroux_제트베인_1_농협퇴비-음성한우리영농(보통,그린)_2007 교통신호기 설치공사 설계내역서(제1지역)_설계서_북부-1지역_사본 - LED성동 물량2 2" xfId="8048"/>
    <cellStyle name="@_laroux_제트베인_1_농협퇴비-음성한우리영농(보통,그린)_2007 교통신호기 설치공사 설계내역서(제1지역)_설계서_북부-1지역_사본 - LED성동 물량2 3" xfId="8049"/>
    <cellStyle name="@_laroux_제트베인_1_농협퇴비-음성한우리영농(보통,그린)_2007 교통신호기 설치공사 설계내역서(제1지역)_설계서_북부-1지역_사본 - LED성동 물량2 4" xfId="8050"/>
    <cellStyle name="@_laroux_제트베인_1_농협퇴비-음성한우리영농(보통,그린)_2007 교통신호기 설치공사 설계내역서(제1지역)_설계서_북부-1지역_사본 - LED성동 물량2_LED성동완" xfId="8051"/>
    <cellStyle name="@_laroux_제트베인_1_농협퇴비-음성한우리영농(보통,그린)_2007 교통신호기 설치공사 설계내역서(제1지역)_설계서_북부-1지역_사본 - LED성동 물량2_LED성동완 2" xfId="8052"/>
    <cellStyle name="@_laroux_제트베인_1_농협퇴비-음성한우리영농(보통,그린)_2007 교통신호기 설치공사 설계내역서(제1지역)_설계서_북부-1지역_사본 - LED성동 물량2_LED성동완 3" xfId="8053"/>
    <cellStyle name="@_laroux_제트베인_1_농협퇴비-음성한우리영농(보통,그린)_2007 교통신호기 설치공사 설계내역서(제1지역)_설계서_북부-1지역_사본 - LED성동 물량2_LED성동완 4" xfId="8054"/>
    <cellStyle name="@_laroux_제트베인_1_농협퇴비-음성한우리영농(보통,그린)_2007 교통신호기 설치공사 설계내역서(제1지역)_설계서_북부-1지역_사본 - LED성동 물량2_LED성동완_설계내역서" xfId="8055"/>
    <cellStyle name="@_laroux_제트베인_1_농협퇴비-음성한우리영농(보통,그린)_2007 교통신호기 설치공사 설계내역서(제1지역)_설계서_북부-1지역_사본 - LED성동 물량2_설계내역서" xfId="8056"/>
    <cellStyle name="@_laroux_제트베인_1_농협퇴비-음성한우리영농(보통,그린)_2007 교통신호기 설치공사 설계내역서(제1지역)_설계서_북부-1지역_설계내역서" xfId="8057"/>
    <cellStyle name="@_laroux_제트베인_1_농협퇴비-음성한우리영농(보통,그린)_2007 교통신호기 설치공사 설계내역서(제1지역)_설계서_사본 - LED - 개2" xfId="8058"/>
    <cellStyle name="@_laroux_제트베인_1_농협퇴비-음성한우리영농(보통,그린)_2007 교통신호기 설치공사 설계내역서(제1지역)_설계서_사본 - LED - 개2 2" xfId="8059"/>
    <cellStyle name="@_laroux_제트베인_1_농협퇴비-음성한우리영농(보통,그린)_2007 교통신호기 설치공사 설계내역서(제1지역)_설계서_사본 - LED - 개2 3" xfId="8060"/>
    <cellStyle name="@_laroux_제트베인_1_농협퇴비-음성한우리영농(보통,그린)_2007 교통신호기 설치공사 설계내역서(제1지역)_설계서_사본 - LED - 개2 4" xfId="8061"/>
    <cellStyle name="@_laroux_제트베인_1_농협퇴비-음성한우리영농(보통,그린)_2007 교통신호기 설치공사 설계내역서(제1지역)_설계서_사본 - LED - 개2_LED성동완" xfId="8062"/>
    <cellStyle name="@_laroux_제트베인_1_농협퇴비-음성한우리영농(보통,그린)_2007 교통신호기 설치공사 설계내역서(제1지역)_설계서_사본 - LED - 개2_LED성동완 2" xfId="8063"/>
    <cellStyle name="@_laroux_제트베인_1_농협퇴비-음성한우리영농(보통,그린)_2007 교통신호기 설치공사 설계내역서(제1지역)_설계서_사본 - LED - 개2_LED성동완 3" xfId="8064"/>
    <cellStyle name="@_laroux_제트베인_1_농협퇴비-음성한우리영농(보통,그린)_2007 교통신호기 설치공사 설계내역서(제1지역)_설계서_사본 - LED - 개2_LED성동완 4" xfId="8065"/>
    <cellStyle name="@_laroux_제트베인_1_농협퇴비-음성한우리영농(보통,그린)_2007 교통신호기 설치공사 설계내역서(제1지역)_설계서_사본 - LED - 개2_LED성동완_설계내역서" xfId="8066"/>
    <cellStyle name="@_laroux_제트베인_1_농협퇴비-음성한우리영농(보통,그린)_2007 교통신호기 설치공사 설계내역서(제1지역)_설계서_사본 - LED - 개2_설계내역서" xfId="8067"/>
    <cellStyle name="@_laroux_제트베인_1_농협퇴비-음성한우리영농(보통,그린)_2007 교통신호기 설치공사 설계내역서(제1지역)_설계서_사본 - LED성동 물량2" xfId="8068"/>
    <cellStyle name="@_laroux_제트베인_1_농협퇴비-음성한우리영농(보통,그린)_2007 교통신호기 설치공사 설계내역서(제1지역)_설계서_사본 - LED성동 물량2 2" xfId="8069"/>
    <cellStyle name="@_laroux_제트베인_1_농협퇴비-음성한우리영농(보통,그린)_2007 교통신호기 설치공사 설계내역서(제1지역)_설계서_사본 - LED성동 물량2 3" xfId="8070"/>
    <cellStyle name="@_laroux_제트베인_1_농협퇴비-음성한우리영농(보통,그린)_2007 교통신호기 설치공사 설계내역서(제1지역)_설계서_사본 - LED성동 물량2 4" xfId="8071"/>
    <cellStyle name="@_laroux_제트베인_1_농협퇴비-음성한우리영농(보통,그린)_2007 교통신호기 설치공사 설계내역서(제1지역)_설계서_사본 - LED성동 물량2_LED성동완" xfId="8072"/>
    <cellStyle name="@_laroux_제트베인_1_농협퇴비-음성한우리영농(보통,그린)_2007 교통신호기 설치공사 설계내역서(제1지역)_설계서_사본 - LED성동 물량2_LED성동완 2" xfId="8073"/>
    <cellStyle name="@_laroux_제트베인_1_농협퇴비-음성한우리영농(보통,그린)_2007 교통신호기 설치공사 설계내역서(제1지역)_설계서_사본 - LED성동 물량2_LED성동완 3" xfId="8074"/>
    <cellStyle name="@_laroux_제트베인_1_농협퇴비-음성한우리영농(보통,그린)_2007 교통신호기 설치공사 설계내역서(제1지역)_설계서_사본 - LED성동 물량2_LED성동완 4" xfId="8075"/>
    <cellStyle name="@_laroux_제트베인_1_농협퇴비-음성한우리영농(보통,그린)_2007 교통신호기 설치공사 설계내역서(제1지역)_설계서_사본 - LED성동 물량2_LED성동완_설계내역서" xfId="8076"/>
    <cellStyle name="@_laroux_제트베인_1_농협퇴비-음성한우리영농(보통,그린)_2007 교통신호기 설치공사 설계내역서(제1지역)_설계서_사본 - LED성동 물량2_설계내역서" xfId="8077"/>
    <cellStyle name="@_laroux_제트베인_1_농협퇴비-음성한우리영농(보통,그린)_2007 교통신호기 설치공사 설계내역서(제1지역)_설계서_설계내역서" xfId="8078"/>
    <cellStyle name="@_laroux_제트베인_1_농협퇴비-음성한우리영농(보통,그린)_2007 교통신호기 설치공사 설계내역서(제1지역)_어린이보호구역 내역서(낙찰율적용-수정)" xfId="8079"/>
    <cellStyle name="@_laroux_제트베인_1_농협퇴비-음성한우리영농(보통,그린)_2007 교통신호기 설치공사 설계내역서(제1지역)_어린이보호구역 내역서(낙찰율적용-수정) 2" xfId="8080"/>
    <cellStyle name="@_laroux_제트베인_1_농협퇴비-음성한우리영농(보통,그린)_2007 교통신호기 설치공사 설계내역서(제1지역)_어린이보호구역 내역서(낙찰율적용-수정) 3" xfId="8081"/>
    <cellStyle name="@_laroux_제트베인_1_농협퇴비-음성한우리영농(보통,그린)_2007 교통신호기 설치공사 설계내역서(제1지역)_어린이보호구역 내역서(낙찰율적용-수정) 4" xfId="8082"/>
    <cellStyle name="@_laroux_제트베인_1_농협퇴비-음성한우리영농(보통,그린)_2007 교통신호기 설치공사 설계내역서(제1지역)_어린이보호구역 내역서(낙찰율적용-수정)_설계내역서" xfId="8083"/>
    <cellStyle name="@_laroux_제트베인_1_농협퇴비-음성한우리영농(보통,그린)_2007 교통신호기 설치공사 설계내역서(제1지역)_어린이보호구역신호기설치공사(신서초교외 11개소)" xfId="8084"/>
    <cellStyle name="@_laroux_제트베인_1_농협퇴비-음성한우리영농(보통,그린)_2007 교통신호기 설치공사 설계내역서(제1지역)_어린이보호구역신호기설치공사(신서초교외 11개소) 2" xfId="8085"/>
    <cellStyle name="@_laroux_제트베인_1_농협퇴비-음성한우리영농(보통,그린)_2007 교통신호기 설치공사 설계내역서(제1지역)_어린이보호구역신호기설치공사(신서초교외 11개소) 3" xfId="8086"/>
    <cellStyle name="@_laroux_제트베인_1_농협퇴비-음성한우리영농(보통,그린)_2007 교통신호기 설치공사 설계내역서(제1지역)_어린이보호구역신호기설치공사(신서초교외 11개소) 4" xfId="8087"/>
    <cellStyle name="@_laroux_제트베인_1_농협퇴비-음성한우리영농(보통,그린)_2007 교통신호기 설치공사 설계내역서(제1지역)_어린이보호구역신호기설치공사(신서초교외 11개소)_설계내역서" xfId="8088"/>
    <cellStyle name="@_laroux_제트베인_1_농협퇴비-음성한우리영농(보통,그린)_2007 교통신호기 설치공사 설계내역서(제1지역)_일위대가표2" xfId="8089"/>
    <cellStyle name="@_laroux_제트베인_1_농협퇴비-음성한우리영농(보통,그린)_2007 교통신호기 설치공사 설계내역서(제1지역)_일위대가표2 2" xfId="8090"/>
    <cellStyle name="@_laroux_제트베인_1_농협퇴비-음성한우리영농(보통,그린)_2007 교통신호기 설치공사 설계내역서(제1지역)_일위대가표2 3" xfId="8091"/>
    <cellStyle name="@_laroux_제트베인_1_농협퇴비-음성한우리영농(보통,그린)_2007 교통신호기 설치공사 설계내역서(제1지역)_일위대가표2 4" xfId="8092"/>
    <cellStyle name="@_laroux_제트베인_1_농협퇴비-음성한우리영농(보통,그린)_2007 교통신호기 설치공사 설계내역서(제1지역)_일위대가표2_설계내역서" xfId="8093"/>
    <cellStyle name="@_laroux_제트베인_1_농협퇴비-음성한우리영농(보통,그린)_LED - 개2" xfId="8094"/>
    <cellStyle name="@_laroux_제트베인_1_농협퇴비-음성한우리영농(보통,그린)_LED - 개2 2" xfId="8095"/>
    <cellStyle name="@_laroux_제트베인_1_농협퇴비-음성한우리영농(보통,그린)_LED - 개2 3" xfId="8096"/>
    <cellStyle name="@_laroux_제트베인_1_농협퇴비-음성한우리영농(보통,그린)_LED - 개2 4" xfId="8097"/>
    <cellStyle name="@_laroux_제트베인_1_농협퇴비-음성한우리영농(보통,그린)_LED - 개2_LED성동완" xfId="8098"/>
    <cellStyle name="@_laroux_제트베인_1_농협퇴비-음성한우리영농(보통,그린)_LED - 개2_LED성동완 2" xfId="8099"/>
    <cellStyle name="@_laroux_제트베인_1_농협퇴비-음성한우리영농(보통,그린)_LED - 개2_LED성동완 3" xfId="8100"/>
    <cellStyle name="@_laroux_제트베인_1_농협퇴비-음성한우리영농(보통,그린)_LED - 개2_LED성동완 4" xfId="8101"/>
    <cellStyle name="@_laroux_제트베인_1_농협퇴비-음성한우리영농(보통,그린)_LED - 개2_LED성동완_설계내역서" xfId="8102"/>
    <cellStyle name="@_laroux_제트베인_1_농협퇴비-음성한우리영농(보통,그린)_LED - 개2_설계내역서" xfId="8103"/>
    <cellStyle name="@_laroux_제트베인_1_농협퇴비-음성한우리영농(보통,그린)_롯데백화점미아점신호물량-가공" xfId="8104"/>
    <cellStyle name="@_laroux_제트베인_1_농협퇴비-음성한우리영농(보통,그린)_롯데백화점미아점신호물량-가공 2" xfId="8105"/>
    <cellStyle name="@_laroux_제트베인_1_농협퇴비-음성한우리영농(보통,그린)_롯데백화점미아점신호물량-가공 3" xfId="8106"/>
    <cellStyle name="@_laroux_제트베인_1_농협퇴비-음성한우리영농(보통,그린)_롯데백화점미아점신호물량-가공 4" xfId="8107"/>
    <cellStyle name="@_laroux_제트베인_1_농협퇴비-음성한우리영농(보통,그린)_롯데백화점미아점신호물량-가공_설계내역서" xfId="8108"/>
    <cellStyle name="@_laroux_제트베인_1_농협퇴비-음성한우리영농(보통,그린)_북부-1지역" xfId="8109"/>
    <cellStyle name="@_laroux_제트베인_1_농협퇴비-음성한우리영농(보통,그린)_북부-1지역 2" xfId="8110"/>
    <cellStyle name="@_laroux_제트베인_1_농협퇴비-음성한우리영농(보통,그린)_북부-1지역 3" xfId="8111"/>
    <cellStyle name="@_laroux_제트베인_1_농협퇴비-음성한우리영농(보통,그린)_북부-1지역 4" xfId="8112"/>
    <cellStyle name="@_laroux_제트베인_1_농협퇴비-음성한우리영농(보통,그린)_북부-1지역_LED - 개2" xfId="8113"/>
    <cellStyle name="@_laroux_제트베인_1_농협퇴비-음성한우리영농(보통,그린)_북부-1지역_LED - 개2 2" xfId="8114"/>
    <cellStyle name="@_laroux_제트베인_1_농협퇴비-음성한우리영농(보통,그린)_북부-1지역_LED - 개2 3" xfId="8115"/>
    <cellStyle name="@_laroux_제트베인_1_농협퇴비-음성한우리영농(보통,그린)_북부-1지역_LED - 개2 4" xfId="8116"/>
    <cellStyle name="@_laroux_제트베인_1_농협퇴비-음성한우리영농(보통,그린)_북부-1지역_LED - 개2_LED성동완" xfId="8117"/>
    <cellStyle name="@_laroux_제트베인_1_농협퇴비-음성한우리영농(보통,그린)_북부-1지역_LED - 개2_LED성동완 2" xfId="8118"/>
    <cellStyle name="@_laroux_제트베인_1_농협퇴비-음성한우리영농(보통,그린)_북부-1지역_LED - 개2_LED성동완 3" xfId="8119"/>
    <cellStyle name="@_laroux_제트베인_1_농협퇴비-음성한우리영농(보통,그린)_북부-1지역_LED - 개2_LED성동완 4" xfId="8120"/>
    <cellStyle name="@_laroux_제트베인_1_농협퇴비-음성한우리영농(보통,그린)_북부-1지역_LED - 개2_LED성동완_설계내역서" xfId="8121"/>
    <cellStyle name="@_laroux_제트베인_1_농협퇴비-음성한우리영농(보통,그린)_북부-1지역_LED - 개2_설계내역서" xfId="8122"/>
    <cellStyle name="@_laroux_제트베인_1_농협퇴비-음성한우리영농(보통,그린)_북부-1지역_사본 - LED - 개2" xfId="8123"/>
    <cellStyle name="@_laroux_제트베인_1_농협퇴비-음성한우리영농(보통,그린)_북부-1지역_사본 - LED - 개2 2" xfId="8124"/>
    <cellStyle name="@_laroux_제트베인_1_농협퇴비-음성한우리영농(보통,그린)_북부-1지역_사본 - LED - 개2 3" xfId="8125"/>
    <cellStyle name="@_laroux_제트베인_1_농협퇴비-음성한우리영농(보통,그린)_북부-1지역_사본 - LED - 개2 4" xfId="8126"/>
    <cellStyle name="@_laroux_제트베인_1_농협퇴비-음성한우리영농(보통,그린)_북부-1지역_사본 - LED - 개2_LED성동완" xfId="8127"/>
    <cellStyle name="@_laroux_제트베인_1_농협퇴비-음성한우리영농(보통,그린)_북부-1지역_사본 - LED - 개2_LED성동완 2" xfId="8128"/>
    <cellStyle name="@_laroux_제트베인_1_농협퇴비-음성한우리영농(보통,그린)_북부-1지역_사본 - LED - 개2_LED성동완 3" xfId="8129"/>
    <cellStyle name="@_laroux_제트베인_1_농협퇴비-음성한우리영농(보통,그린)_북부-1지역_사본 - LED - 개2_LED성동완 4" xfId="8130"/>
    <cellStyle name="@_laroux_제트베인_1_농협퇴비-음성한우리영농(보통,그린)_북부-1지역_사본 - LED - 개2_LED성동완_설계내역서" xfId="8131"/>
    <cellStyle name="@_laroux_제트베인_1_농협퇴비-음성한우리영농(보통,그린)_북부-1지역_사본 - LED - 개2_설계내역서" xfId="8132"/>
    <cellStyle name="@_laroux_제트베인_1_농협퇴비-음성한우리영농(보통,그린)_북부-1지역_사본 - LED성동 물량2" xfId="8133"/>
    <cellStyle name="@_laroux_제트베인_1_농협퇴비-음성한우리영농(보통,그린)_북부-1지역_사본 - LED성동 물량2 2" xfId="8134"/>
    <cellStyle name="@_laroux_제트베인_1_농협퇴비-음성한우리영농(보통,그린)_북부-1지역_사본 - LED성동 물량2 3" xfId="8135"/>
    <cellStyle name="@_laroux_제트베인_1_농협퇴비-음성한우리영농(보통,그린)_북부-1지역_사본 - LED성동 물량2 4" xfId="8136"/>
    <cellStyle name="@_laroux_제트베인_1_농협퇴비-음성한우리영농(보통,그린)_북부-1지역_사본 - LED성동 물량2_LED성동완" xfId="8137"/>
    <cellStyle name="@_laroux_제트베인_1_농협퇴비-음성한우리영농(보통,그린)_북부-1지역_사본 - LED성동 물량2_LED성동완 2" xfId="8138"/>
    <cellStyle name="@_laroux_제트베인_1_농협퇴비-음성한우리영농(보통,그린)_북부-1지역_사본 - LED성동 물량2_LED성동완 3" xfId="8139"/>
    <cellStyle name="@_laroux_제트베인_1_농협퇴비-음성한우리영농(보통,그린)_북부-1지역_사본 - LED성동 물량2_LED성동완 4" xfId="8140"/>
    <cellStyle name="@_laroux_제트베인_1_농협퇴비-음성한우리영농(보통,그린)_북부-1지역_사본 - LED성동 물량2_LED성동완_설계내역서" xfId="8141"/>
    <cellStyle name="@_laroux_제트베인_1_농협퇴비-음성한우리영농(보통,그린)_북부-1지역_사본 - LED성동 물량2_설계내역서" xfId="8142"/>
    <cellStyle name="@_laroux_제트베인_1_농협퇴비-음성한우리영농(보통,그린)_북부-1지역_설계내역서" xfId="8143"/>
    <cellStyle name="@_laroux_제트베인_1_농협퇴비-음성한우리영농(보통,그린)_사본 - LED - 개2" xfId="8144"/>
    <cellStyle name="@_laroux_제트베인_1_농협퇴비-음성한우리영농(보통,그린)_사본 - LED - 개2 2" xfId="8145"/>
    <cellStyle name="@_laroux_제트베인_1_농협퇴비-음성한우리영농(보통,그린)_사본 - LED - 개2 3" xfId="8146"/>
    <cellStyle name="@_laroux_제트베인_1_농협퇴비-음성한우리영농(보통,그린)_사본 - LED - 개2 4" xfId="8147"/>
    <cellStyle name="@_laroux_제트베인_1_농협퇴비-음성한우리영농(보통,그린)_사본 - LED - 개2_LED성동완" xfId="8148"/>
    <cellStyle name="@_laroux_제트베인_1_농협퇴비-음성한우리영농(보통,그린)_사본 - LED - 개2_LED성동완 2" xfId="8149"/>
    <cellStyle name="@_laroux_제트베인_1_농협퇴비-음성한우리영농(보통,그린)_사본 - LED - 개2_LED성동완 3" xfId="8150"/>
    <cellStyle name="@_laroux_제트베인_1_농협퇴비-음성한우리영농(보통,그린)_사본 - LED - 개2_LED성동완 4" xfId="8151"/>
    <cellStyle name="@_laroux_제트베인_1_농협퇴비-음성한우리영농(보통,그린)_사본 - LED - 개2_LED성동완_설계내역서" xfId="8152"/>
    <cellStyle name="@_laroux_제트베인_1_농협퇴비-음성한우리영농(보통,그린)_사본 - LED - 개2_설계내역서" xfId="8153"/>
    <cellStyle name="@_laroux_제트베인_1_농협퇴비-음성한우리영농(보통,그린)_사본 - LED성동 물량2" xfId="8154"/>
    <cellStyle name="@_laroux_제트베인_1_농협퇴비-음성한우리영농(보통,그린)_사본 - LED성동 물량2 2" xfId="8155"/>
    <cellStyle name="@_laroux_제트베인_1_농협퇴비-음성한우리영농(보통,그린)_사본 - LED성동 물량2 3" xfId="8156"/>
    <cellStyle name="@_laroux_제트베인_1_농협퇴비-음성한우리영농(보통,그린)_사본 - LED성동 물량2 4" xfId="8157"/>
    <cellStyle name="@_laroux_제트베인_1_농협퇴비-음성한우리영농(보통,그린)_사본 - LED성동 물량2_LED성동완" xfId="8158"/>
    <cellStyle name="@_laroux_제트베인_1_농협퇴비-음성한우리영농(보통,그린)_사본 - LED성동 물량2_LED성동완 2" xfId="8159"/>
    <cellStyle name="@_laroux_제트베인_1_농협퇴비-음성한우리영농(보통,그린)_사본 - LED성동 물량2_LED성동완 3" xfId="8160"/>
    <cellStyle name="@_laroux_제트베인_1_농협퇴비-음성한우리영농(보통,그린)_사본 - LED성동 물량2_LED성동완 4" xfId="8161"/>
    <cellStyle name="@_laroux_제트베인_1_농협퇴비-음성한우리영농(보통,그린)_사본 - LED성동 물량2_LED성동완_설계내역서" xfId="8162"/>
    <cellStyle name="@_laroux_제트베인_1_농협퇴비-음성한우리영농(보통,그린)_사본 - LED성동 물량2_설계내역서" xfId="8163"/>
    <cellStyle name="@_laroux_제트베인_1_농협퇴비-음성한우리영농(보통,그린)_설계내역서" xfId="8164"/>
    <cellStyle name="@_laroux_제트베인_1_농협퇴비-음성한우리영농(보통,그린)_신호일위내역서2007굴착(설변)" xfId="8165"/>
    <cellStyle name="@_laroux_제트베인_1_농협퇴비-음성한우리영농(보통,그린)_신호일위내역서2007굴착(설변) 2" xfId="8166"/>
    <cellStyle name="@_laroux_제트베인_1_농협퇴비-음성한우리영농(보통,그린)_신호일위내역서2007굴착(설변) 3" xfId="8167"/>
    <cellStyle name="@_laroux_제트베인_1_농협퇴비-음성한우리영농(보통,그린)_신호일위내역서2007굴착(설변) 4" xfId="8168"/>
    <cellStyle name="@_laroux_제트베인_1_농협퇴비-음성한우리영농(보통,그린)_신호일위내역서2007굴착(설변)_설계내역서" xfId="8169"/>
    <cellStyle name="@_laroux_제트베인_1_농협퇴비-음성한우리영농(보통,그린)_통신15%(최종)" xfId="8170"/>
    <cellStyle name="@_laroux_제트베인_1_농협퇴비-음성한우리영농(보통,그린)_통신15%(최종) 2" xfId="8171"/>
    <cellStyle name="@_laroux_제트베인_1_농협퇴비-음성한우리영농(보통,그린)_통신15%(최종) 3" xfId="8172"/>
    <cellStyle name="@_laroux_제트베인_1_농협퇴비-음성한우리영농(보통,그린)_통신15%(최종) 4" xfId="8173"/>
    <cellStyle name="@_laroux_제트베인_1_농협퇴비-음성한우리영농(보통,그린)_통신15%(최종)_설계내역서" xfId="8174"/>
    <cellStyle name="@_laroux_제트베인_1_농협퇴비-함양(보통)" xfId="8175"/>
    <cellStyle name="@_laroux_제트베인_1_농협퇴비-함양(보통) 2" xfId="8176"/>
    <cellStyle name="@_laroux_제트베인_1_농협퇴비-함양(보통) 3" xfId="8177"/>
    <cellStyle name="@_laroux_제트베인_1_농협퇴비-함양(보통) 4" xfId="8178"/>
    <cellStyle name="@_laroux_제트베인_1_농협퇴비-함양(보통)_100%-2006신호-" xfId="8179"/>
    <cellStyle name="@_laroux_제트베인_1_농협퇴비-함양(보통)_100%-2006신호- 2" xfId="8180"/>
    <cellStyle name="@_laroux_제트베인_1_농협퇴비-함양(보통)_100%-2006신호- 3" xfId="8181"/>
    <cellStyle name="@_laroux_제트베인_1_농협퇴비-함양(보통)_100%-2006신호- 4" xfId="8182"/>
    <cellStyle name="@_laroux_제트베인_1_농협퇴비-함양(보통)_100%-2006신호-_LED - 개2" xfId="8183"/>
    <cellStyle name="@_laroux_제트베인_1_농협퇴비-함양(보통)_100%-2006신호-_LED - 개2 2" xfId="8184"/>
    <cellStyle name="@_laroux_제트베인_1_농협퇴비-함양(보통)_100%-2006신호-_LED - 개2 3" xfId="8185"/>
    <cellStyle name="@_laroux_제트베인_1_농협퇴비-함양(보통)_100%-2006신호-_LED - 개2 4" xfId="8186"/>
    <cellStyle name="@_laroux_제트베인_1_농협퇴비-함양(보통)_100%-2006신호-_LED - 개2_LED성동완" xfId="8187"/>
    <cellStyle name="@_laroux_제트베인_1_농협퇴비-함양(보통)_100%-2006신호-_LED - 개2_LED성동완 2" xfId="8188"/>
    <cellStyle name="@_laroux_제트베인_1_농협퇴비-함양(보통)_100%-2006신호-_LED - 개2_LED성동완 3" xfId="8189"/>
    <cellStyle name="@_laroux_제트베인_1_농협퇴비-함양(보통)_100%-2006신호-_LED - 개2_LED성동완 4" xfId="8190"/>
    <cellStyle name="@_laroux_제트베인_1_농협퇴비-함양(보통)_100%-2006신호-_LED - 개2_LED성동완_설계내역서" xfId="8191"/>
    <cellStyle name="@_laroux_제트베인_1_농협퇴비-함양(보통)_100%-2006신호-_LED - 개2_설계내역서" xfId="8192"/>
    <cellStyle name="@_laroux_제트베인_1_농협퇴비-함양(보통)_100%-2006신호-_사본 - LED - 개2" xfId="8193"/>
    <cellStyle name="@_laroux_제트베인_1_농협퇴비-함양(보통)_100%-2006신호-_사본 - LED - 개2 2" xfId="8194"/>
    <cellStyle name="@_laroux_제트베인_1_농협퇴비-함양(보통)_100%-2006신호-_사본 - LED - 개2 3" xfId="8195"/>
    <cellStyle name="@_laroux_제트베인_1_농협퇴비-함양(보통)_100%-2006신호-_사본 - LED - 개2 4" xfId="8196"/>
    <cellStyle name="@_laroux_제트베인_1_농협퇴비-함양(보통)_100%-2006신호-_사본 - LED - 개2_LED성동완" xfId="8197"/>
    <cellStyle name="@_laroux_제트베인_1_농협퇴비-함양(보통)_100%-2006신호-_사본 - LED - 개2_LED성동완 2" xfId="8198"/>
    <cellStyle name="@_laroux_제트베인_1_농협퇴비-함양(보통)_100%-2006신호-_사본 - LED - 개2_LED성동완 3" xfId="8199"/>
    <cellStyle name="@_laroux_제트베인_1_농협퇴비-함양(보통)_100%-2006신호-_사본 - LED - 개2_LED성동완 4" xfId="8200"/>
    <cellStyle name="@_laroux_제트베인_1_농협퇴비-함양(보통)_100%-2006신호-_사본 - LED - 개2_LED성동완_설계내역서" xfId="8201"/>
    <cellStyle name="@_laroux_제트베인_1_농협퇴비-함양(보통)_100%-2006신호-_사본 - LED - 개2_설계내역서" xfId="8202"/>
    <cellStyle name="@_laroux_제트베인_1_농협퇴비-함양(보통)_100%-2006신호-_사본 - LED성동 물량2" xfId="8203"/>
    <cellStyle name="@_laroux_제트베인_1_농협퇴비-함양(보통)_100%-2006신호-_사본 - LED성동 물량2 2" xfId="8204"/>
    <cellStyle name="@_laroux_제트베인_1_농협퇴비-함양(보통)_100%-2006신호-_사본 - LED성동 물량2 3" xfId="8205"/>
    <cellStyle name="@_laroux_제트베인_1_농협퇴비-함양(보통)_100%-2006신호-_사본 - LED성동 물량2 4" xfId="8206"/>
    <cellStyle name="@_laroux_제트베인_1_농협퇴비-함양(보통)_100%-2006신호-_사본 - LED성동 물량2_LED성동완" xfId="8207"/>
    <cellStyle name="@_laroux_제트베인_1_농협퇴비-함양(보통)_100%-2006신호-_사본 - LED성동 물량2_LED성동완 2" xfId="8208"/>
    <cellStyle name="@_laroux_제트베인_1_농협퇴비-함양(보통)_100%-2006신호-_사본 - LED성동 물량2_LED성동완 3" xfId="8209"/>
    <cellStyle name="@_laroux_제트베인_1_농협퇴비-함양(보통)_100%-2006신호-_사본 - LED성동 물량2_LED성동완 4" xfId="8210"/>
    <cellStyle name="@_laroux_제트베인_1_농협퇴비-함양(보통)_100%-2006신호-_사본 - LED성동 물량2_LED성동완_설계내역서" xfId="8211"/>
    <cellStyle name="@_laroux_제트베인_1_농협퇴비-함양(보통)_100%-2006신호-_사본 - LED성동 물량2_설계내역서" xfId="8212"/>
    <cellStyle name="@_laroux_제트베인_1_농협퇴비-함양(보통)_100%-2006신호-_설계내역서" xfId="8213"/>
    <cellStyle name="@_laroux_제트베인_1_농협퇴비-함양(보통)_2007 교통신호기 설치공사 설계내역서(제1지역)" xfId="8214"/>
    <cellStyle name="@_laroux_제트베인_1_농협퇴비-함양(보통)_2007 교통신호기 설치공사 설계내역서(제1지역) 2" xfId="8215"/>
    <cellStyle name="@_laroux_제트베인_1_농협퇴비-함양(보통)_2007 교통신호기 설치공사 설계내역서(제1지역) 3" xfId="8216"/>
    <cellStyle name="@_laroux_제트베인_1_농협퇴비-함양(보통)_2007 교통신호기 설치공사 설계내역서(제1지역) 4" xfId="8217"/>
    <cellStyle name="@_laroux_제트베인_1_농협퇴비-함양(보통)_2007 교통신호기 설치공사 설계내역서(제1지역)_07어린이보호구역내역서(신서외10개소)낙찰율(전기)" xfId="8218"/>
    <cellStyle name="@_laroux_제트베인_1_농협퇴비-함양(보통)_2007 교통신호기 설치공사 설계내역서(제1지역)_07어린이보호구역내역서(신서외10개소)낙찰율(전기) 2" xfId="8219"/>
    <cellStyle name="@_laroux_제트베인_1_농협퇴비-함양(보통)_2007 교통신호기 설치공사 설계내역서(제1지역)_07어린이보호구역내역서(신서외10개소)낙찰율(전기) 3" xfId="8220"/>
    <cellStyle name="@_laroux_제트베인_1_농협퇴비-함양(보통)_2007 교통신호기 설치공사 설계내역서(제1지역)_07어린이보호구역내역서(신서외10개소)낙찰율(전기) 4" xfId="8221"/>
    <cellStyle name="@_laroux_제트베인_1_농협퇴비-함양(보통)_2007 교통신호기 설치공사 설계내역서(제1지역)_07어린이보호구역내역서(신서외10개소)낙찰율(전기)_설계내역서" xfId="8222"/>
    <cellStyle name="@_laroux_제트베인_1_농협퇴비-함양(보통)_2007 교통신호기 설치공사 설계내역서(제1지역)_1111물량(교통사고잦은곳2차)" xfId="8223"/>
    <cellStyle name="@_laroux_제트베인_1_농협퇴비-함양(보통)_2007 교통신호기 설치공사 설계내역서(제1지역)_1111물량(교통사고잦은곳2차) 2" xfId="8224"/>
    <cellStyle name="@_laroux_제트베인_1_농협퇴비-함양(보통)_2007 교통신호기 설치공사 설계내역서(제1지역)_1111물량(교통사고잦은곳2차) 3" xfId="8225"/>
    <cellStyle name="@_laroux_제트베인_1_농협퇴비-함양(보통)_2007 교통신호기 설치공사 설계내역서(제1지역)_1111물량(교통사고잦은곳2차) 4" xfId="8226"/>
    <cellStyle name="@_laroux_제트베인_1_농협퇴비-함양(보통)_2007 교통신호기 설치공사 설계내역서(제1지역)_1111물량(교통사고잦은곳2차)_설계내역서" xfId="8227"/>
    <cellStyle name="@_laroux_제트베인_1_농협퇴비-함양(보통)_2007 교통신호기 설치공사 설계내역서(제1지역)_1어린이보호구역내역서(신서외10개소)낙찰율(전기통신포함)-최종수정본-2" xfId="8228"/>
    <cellStyle name="@_laroux_제트베인_1_농협퇴비-함양(보통)_2007 교통신호기 설치공사 설계내역서(제1지역)_1어린이보호구역내역서(신서외10개소)낙찰율(전기통신포함)-최종수정본-2 2" xfId="8229"/>
    <cellStyle name="@_laroux_제트베인_1_농협퇴비-함양(보통)_2007 교통신호기 설치공사 설계내역서(제1지역)_1어린이보호구역내역서(신서외10개소)낙찰율(전기통신포함)-최종수정본-2 3" xfId="8230"/>
    <cellStyle name="@_laroux_제트베인_1_농협퇴비-함양(보통)_2007 교통신호기 설치공사 설계내역서(제1지역)_1어린이보호구역내역서(신서외10개소)낙찰율(전기통신포함)-최종수정본-2 4" xfId="8231"/>
    <cellStyle name="@_laroux_제트베인_1_농협퇴비-함양(보통)_2007 교통신호기 설치공사 설계내역서(제1지역)_1어린이보호구역내역서(신서외10개소)낙찰율(전기통신포함)-최종수정본-2_설계내역서" xfId="8232"/>
    <cellStyle name="@_laroux_제트베인_1_농협퇴비-함양(보통)_2007 교통신호기 설치공사 설계내역서(제1지역)_2007 교통신호기 설치공사 설계내역서(제1지역)" xfId="8233"/>
    <cellStyle name="@_laroux_제트베인_1_농협퇴비-함양(보통)_2007 교통신호기 설치공사 설계내역서(제1지역)_2007 교통신호기 설치공사 설계내역서(제1지역) 2" xfId="8234"/>
    <cellStyle name="@_laroux_제트베인_1_농협퇴비-함양(보통)_2007 교통신호기 설치공사 설계내역서(제1지역)_2007 교통신호기 설치공사 설계내역서(제1지역) 3" xfId="8235"/>
    <cellStyle name="@_laroux_제트베인_1_농협퇴비-함양(보통)_2007 교통신호기 설치공사 설계내역서(제1지역)_2007 교통신호기 설치공사 설계내역서(제1지역) 4" xfId="8236"/>
    <cellStyle name="@_laroux_제트베인_1_농협퇴비-함양(보통)_2007 교통신호기 설치공사 설계내역서(제1지역)_2007 교통신호기 설치공사 설계내역서(제1지역)_1" xfId="8237"/>
    <cellStyle name="@_laroux_제트베인_1_농협퇴비-함양(보통)_2007 교통신호기 설치공사 설계내역서(제1지역)_2007 교통신호기 설치공사 설계내역서(제1지역)_1 2" xfId="8238"/>
    <cellStyle name="@_laroux_제트베인_1_농협퇴비-함양(보통)_2007 교통신호기 설치공사 설계내역서(제1지역)_2007 교통신호기 설치공사 설계내역서(제1지역)_1 3" xfId="8239"/>
    <cellStyle name="@_laroux_제트베인_1_농협퇴비-함양(보통)_2007 교통신호기 설치공사 설계내역서(제1지역)_2007 교통신호기 설치공사 설계내역서(제1지역)_1 4" xfId="8240"/>
    <cellStyle name="@_laroux_제트베인_1_농협퇴비-함양(보통)_2007 교통신호기 설치공사 설계내역서(제1지역)_2007 교통신호기 설치공사 설계내역서(제1지역)_1_LED - 개2" xfId="8241"/>
    <cellStyle name="@_laroux_제트베인_1_농협퇴비-함양(보통)_2007 교통신호기 설치공사 설계내역서(제1지역)_2007 교통신호기 설치공사 설계내역서(제1지역)_1_LED - 개2 2" xfId="8242"/>
    <cellStyle name="@_laroux_제트베인_1_농협퇴비-함양(보통)_2007 교통신호기 설치공사 설계내역서(제1지역)_2007 교통신호기 설치공사 설계내역서(제1지역)_1_LED - 개2 3" xfId="8243"/>
    <cellStyle name="@_laroux_제트베인_1_농협퇴비-함양(보통)_2007 교통신호기 설치공사 설계내역서(제1지역)_2007 교통신호기 설치공사 설계내역서(제1지역)_1_LED - 개2 4" xfId="8244"/>
    <cellStyle name="@_laroux_제트베인_1_농협퇴비-함양(보통)_2007 교통신호기 설치공사 설계내역서(제1지역)_2007 교통신호기 설치공사 설계내역서(제1지역)_1_LED - 개2_LED성동완" xfId="8245"/>
    <cellStyle name="@_laroux_제트베인_1_농협퇴비-함양(보통)_2007 교통신호기 설치공사 설계내역서(제1지역)_2007 교통신호기 설치공사 설계내역서(제1지역)_1_LED - 개2_LED성동완 2" xfId="8246"/>
    <cellStyle name="@_laroux_제트베인_1_농협퇴비-함양(보통)_2007 교통신호기 설치공사 설계내역서(제1지역)_2007 교통신호기 설치공사 설계내역서(제1지역)_1_LED - 개2_LED성동완 3" xfId="8247"/>
    <cellStyle name="@_laroux_제트베인_1_농협퇴비-함양(보통)_2007 교통신호기 설치공사 설계내역서(제1지역)_2007 교통신호기 설치공사 설계내역서(제1지역)_1_LED - 개2_LED성동완 4" xfId="8248"/>
    <cellStyle name="@_laroux_제트베인_1_농협퇴비-함양(보통)_2007 교통신호기 설치공사 설계내역서(제1지역)_2007 교통신호기 설치공사 설계내역서(제1지역)_1_LED - 개2_LED성동완_설계내역서" xfId="8249"/>
    <cellStyle name="@_laroux_제트베인_1_농협퇴비-함양(보통)_2007 교통신호기 설치공사 설계내역서(제1지역)_2007 교통신호기 설치공사 설계내역서(제1지역)_1_LED - 개2_설계내역서" xfId="8250"/>
    <cellStyle name="@_laroux_제트베인_1_농협퇴비-함양(보통)_2007 교통신호기 설치공사 설계내역서(제1지역)_2007 교통신호기 설치공사 설계내역서(제1지역)_1_북부-1지역" xfId="8251"/>
    <cellStyle name="@_laroux_제트베인_1_농협퇴비-함양(보통)_2007 교통신호기 설치공사 설계내역서(제1지역)_2007 교통신호기 설치공사 설계내역서(제1지역)_1_북부-1지역 2" xfId="8252"/>
    <cellStyle name="@_laroux_제트베인_1_농협퇴비-함양(보통)_2007 교통신호기 설치공사 설계내역서(제1지역)_2007 교통신호기 설치공사 설계내역서(제1지역)_1_북부-1지역 3" xfId="8253"/>
    <cellStyle name="@_laroux_제트베인_1_농협퇴비-함양(보통)_2007 교통신호기 설치공사 설계내역서(제1지역)_2007 교통신호기 설치공사 설계내역서(제1지역)_1_북부-1지역 4" xfId="8254"/>
    <cellStyle name="@_laroux_제트베인_1_농협퇴비-함양(보통)_2007 교통신호기 설치공사 설계내역서(제1지역)_2007 교통신호기 설치공사 설계내역서(제1지역)_1_북부-1지역_LED - 개2" xfId="8255"/>
    <cellStyle name="@_laroux_제트베인_1_농협퇴비-함양(보통)_2007 교통신호기 설치공사 설계내역서(제1지역)_2007 교통신호기 설치공사 설계내역서(제1지역)_1_북부-1지역_LED - 개2 2" xfId="8256"/>
    <cellStyle name="@_laroux_제트베인_1_농협퇴비-함양(보통)_2007 교통신호기 설치공사 설계내역서(제1지역)_2007 교통신호기 설치공사 설계내역서(제1지역)_1_북부-1지역_LED - 개2 3" xfId="8257"/>
    <cellStyle name="@_laroux_제트베인_1_농협퇴비-함양(보통)_2007 교통신호기 설치공사 설계내역서(제1지역)_2007 교통신호기 설치공사 설계내역서(제1지역)_1_북부-1지역_LED - 개2 4" xfId="8258"/>
    <cellStyle name="@_laroux_제트베인_1_농협퇴비-함양(보통)_2007 교통신호기 설치공사 설계내역서(제1지역)_2007 교통신호기 설치공사 설계내역서(제1지역)_1_북부-1지역_LED - 개2_LED성동완" xfId="8259"/>
    <cellStyle name="@_laroux_제트베인_1_농협퇴비-함양(보통)_2007 교통신호기 설치공사 설계내역서(제1지역)_2007 교통신호기 설치공사 설계내역서(제1지역)_1_북부-1지역_LED - 개2_LED성동완 2" xfId="8260"/>
    <cellStyle name="@_laroux_제트베인_1_농협퇴비-함양(보통)_2007 교통신호기 설치공사 설계내역서(제1지역)_2007 교통신호기 설치공사 설계내역서(제1지역)_1_북부-1지역_LED - 개2_LED성동완 3" xfId="8261"/>
    <cellStyle name="@_laroux_제트베인_1_농협퇴비-함양(보통)_2007 교통신호기 설치공사 설계내역서(제1지역)_2007 교통신호기 설치공사 설계내역서(제1지역)_1_북부-1지역_LED - 개2_LED성동완 4" xfId="8262"/>
    <cellStyle name="@_laroux_제트베인_1_농협퇴비-함양(보통)_2007 교통신호기 설치공사 설계내역서(제1지역)_2007 교통신호기 설치공사 설계내역서(제1지역)_1_북부-1지역_LED - 개2_LED성동완_설계내역서" xfId="8263"/>
    <cellStyle name="@_laroux_제트베인_1_농협퇴비-함양(보통)_2007 교통신호기 설치공사 설계내역서(제1지역)_2007 교통신호기 설치공사 설계내역서(제1지역)_1_북부-1지역_LED - 개2_설계내역서" xfId="8264"/>
    <cellStyle name="@_laroux_제트베인_1_농협퇴비-함양(보통)_2007 교통신호기 설치공사 설계내역서(제1지역)_2007 교통신호기 설치공사 설계내역서(제1지역)_1_북부-1지역_사본 - LED - 개2" xfId="8265"/>
    <cellStyle name="@_laroux_제트베인_1_농협퇴비-함양(보통)_2007 교통신호기 설치공사 설계내역서(제1지역)_2007 교통신호기 설치공사 설계내역서(제1지역)_1_북부-1지역_사본 - LED - 개2 2" xfId="8266"/>
    <cellStyle name="@_laroux_제트베인_1_농협퇴비-함양(보통)_2007 교통신호기 설치공사 설계내역서(제1지역)_2007 교통신호기 설치공사 설계내역서(제1지역)_1_북부-1지역_사본 - LED - 개2 3" xfId="8267"/>
    <cellStyle name="@_laroux_제트베인_1_농협퇴비-함양(보통)_2007 교통신호기 설치공사 설계내역서(제1지역)_2007 교통신호기 설치공사 설계내역서(제1지역)_1_북부-1지역_사본 - LED - 개2 4" xfId="8268"/>
    <cellStyle name="@_laroux_제트베인_1_농협퇴비-함양(보통)_2007 교통신호기 설치공사 설계내역서(제1지역)_2007 교통신호기 설치공사 설계내역서(제1지역)_1_북부-1지역_사본 - LED - 개2_LED성동완" xfId="8269"/>
    <cellStyle name="@_laroux_제트베인_1_농협퇴비-함양(보통)_2007 교통신호기 설치공사 설계내역서(제1지역)_2007 교통신호기 설치공사 설계내역서(제1지역)_1_북부-1지역_사본 - LED - 개2_LED성동완 2" xfId="8270"/>
    <cellStyle name="@_laroux_제트베인_1_농협퇴비-함양(보통)_2007 교통신호기 설치공사 설계내역서(제1지역)_2007 교통신호기 설치공사 설계내역서(제1지역)_1_북부-1지역_사본 - LED - 개2_LED성동완 3" xfId="8271"/>
    <cellStyle name="@_laroux_제트베인_1_농협퇴비-함양(보통)_2007 교통신호기 설치공사 설계내역서(제1지역)_2007 교통신호기 설치공사 설계내역서(제1지역)_1_북부-1지역_사본 - LED - 개2_LED성동완 4" xfId="8272"/>
    <cellStyle name="@_laroux_제트베인_1_농협퇴비-함양(보통)_2007 교통신호기 설치공사 설계내역서(제1지역)_2007 교통신호기 설치공사 설계내역서(제1지역)_1_북부-1지역_사본 - LED - 개2_LED성동완_설계내역서" xfId="8273"/>
    <cellStyle name="@_laroux_제트베인_1_농협퇴비-함양(보통)_2007 교통신호기 설치공사 설계내역서(제1지역)_2007 교통신호기 설치공사 설계내역서(제1지역)_1_북부-1지역_사본 - LED - 개2_설계내역서" xfId="8274"/>
    <cellStyle name="@_laroux_제트베인_1_농협퇴비-함양(보통)_2007 교통신호기 설치공사 설계내역서(제1지역)_2007 교통신호기 설치공사 설계내역서(제1지역)_1_북부-1지역_사본 - LED성동 물량2" xfId="8275"/>
    <cellStyle name="@_laroux_제트베인_1_농협퇴비-함양(보통)_2007 교통신호기 설치공사 설계내역서(제1지역)_2007 교통신호기 설치공사 설계내역서(제1지역)_1_북부-1지역_사본 - LED성동 물량2 2" xfId="8276"/>
    <cellStyle name="@_laroux_제트베인_1_농협퇴비-함양(보통)_2007 교통신호기 설치공사 설계내역서(제1지역)_2007 교통신호기 설치공사 설계내역서(제1지역)_1_북부-1지역_사본 - LED성동 물량2 3" xfId="8277"/>
    <cellStyle name="@_laroux_제트베인_1_농협퇴비-함양(보통)_2007 교통신호기 설치공사 설계내역서(제1지역)_2007 교통신호기 설치공사 설계내역서(제1지역)_1_북부-1지역_사본 - LED성동 물량2 4" xfId="8278"/>
    <cellStyle name="@_laroux_제트베인_1_농협퇴비-함양(보통)_2007 교통신호기 설치공사 설계내역서(제1지역)_2007 교통신호기 설치공사 설계내역서(제1지역)_1_북부-1지역_사본 - LED성동 물량2_LED성동완" xfId="8279"/>
    <cellStyle name="@_laroux_제트베인_1_농협퇴비-함양(보통)_2007 교통신호기 설치공사 설계내역서(제1지역)_2007 교통신호기 설치공사 설계내역서(제1지역)_1_북부-1지역_사본 - LED성동 물량2_LED성동완 2" xfId="8280"/>
    <cellStyle name="@_laroux_제트베인_1_농협퇴비-함양(보통)_2007 교통신호기 설치공사 설계내역서(제1지역)_2007 교통신호기 설치공사 설계내역서(제1지역)_1_북부-1지역_사본 - LED성동 물량2_LED성동완 3" xfId="8281"/>
    <cellStyle name="@_laroux_제트베인_1_농협퇴비-함양(보통)_2007 교통신호기 설치공사 설계내역서(제1지역)_2007 교통신호기 설치공사 설계내역서(제1지역)_1_북부-1지역_사본 - LED성동 물량2_LED성동완 4" xfId="8282"/>
    <cellStyle name="@_laroux_제트베인_1_농협퇴비-함양(보통)_2007 교통신호기 설치공사 설계내역서(제1지역)_2007 교통신호기 설치공사 설계내역서(제1지역)_1_북부-1지역_사본 - LED성동 물량2_LED성동완_설계내역서" xfId="8283"/>
    <cellStyle name="@_laroux_제트베인_1_농협퇴비-함양(보통)_2007 교통신호기 설치공사 설계내역서(제1지역)_2007 교통신호기 설치공사 설계내역서(제1지역)_1_북부-1지역_사본 - LED성동 물량2_설계내역서" xfId="8284"/>
    <cellStyle name="@_laroux_제트베인_1_농협퇴비-함양(보통)_2007 교통신호기 설치공사 설계내역서(제1지역)_2007 교통신호기 설치공사 설계내역서(제1지역)_1_북부-1지역_설계내역서" xfId="8285"/>
    <cellStyle name="@_laroux_제트베인_1_농협퇴비-함양(보통)_2007 교통신호기 설치공사 설계내역서(제1지역)_2007 교통신호기 설치공사 설계내역서(제1지역)_1_사본 - LED - 개2" xfId="8286"/>
    <cellStyle name="@_laroux_제트베인_1_농협퇴비-함양(보통)_2007 교통신호기 설치공사 설계내역서(제1지역)_2007 교통신호기 설치공사 설계내역서(제1지역)_1_사본 - LED - 개2 2" xfId="8287"/>
    <cellStyle name="@_laroux_제트베인_1_농협퇴비-함양(보통)_2007 교통신호기 설치공사 설계내역서(제1지역)_2007 교통신호기 설치공사 설계내역서(제1지역)_1_사본 - LED - 개2 3" xfId="8288"/>
    <cellStyle name="@_laroux_제트베인_1_농협퇴비-함양(보통)_2007 교통신호기 설치공사 설계내역서(제1지역)_2007 교통신호기 설치공사 설계내역서(제1지역)_1_사본 - LED - 개2 4" xfId="8289"/>
    <cellStyle name="@_laroux_제트베인_1_농협퇴비-함양(보통)_2007 교통신호기 설치공사 설계내역서(제1지역)_2007 교통신호기 설치공사 설계내역서(제1지역)_1_사본 - LED - 개2_LED성동완" xfId="8290"/>
    <cellStyle name="@_laroux_제트베인_1_농협퇴비-함양(보통)_2007 교통신호기 설치공사 설계내역서(제1지역)_2007 교통신호기 설치공사 설계내역서(제1지역)_1_사본 - LED - 개2_LED성동완 2" xfId="8291"/>
    <cellStyle name="@_laroux_제트베인_1_농협퇴비-함양(보통)_2007 교통신호기 설치공사 설계내역서(제1지역)_2007 교통신호기 설치공사 설계내역서(제1지역)_1_사본 - LED - 개2_LED성동완 3" xfId="8292"/>
    <cellStyle name="@_laroux_제트베인_1_농협퇴비-함양(보통)_2007 교통신호기 설치공사 설계내역서(제1지역)_2007 교통신호기 설치공사 설계내역서(제1지역)_1_사본 - LED - 개2_LED성동완 4" xfId="8293"/>
    <cellStyle name="@_laroux_제트베인_1_농협퇴비-함양(보통)_2007 교통신호기 설치공사 설계내역서(제1지역)_2007 교통신호기 설치공사 설계내역서(제1지역)_1_사본 - LED - 개2_LED성동완_설계내역서" xfId="8294"/>
    <cellStyle name="@_laroux_제트베인_1_농협퇴비-함양(보통)_2007 교통신호기 설치공사 설계내역서(제1지역)_2007 교통신호기 설치공사 설계내역서(제1지역)_1_사본 - LED - 개2_설계내역서" xfId="8295"/>
    <cellStyle name="@_laroux_제트베인_1_농협퇴비-함양(보통)_2007 교통신호기 설치공사 설계내역서(제1지역)_2007 교통신호기 설치공사 설계내역서(제1지역)_1_사본 - LED성동 물량2" xfId="8296"/>
    <cellStyle name="@_laroux_제트베인_1_농협퇴비-함양(보통)_2007 교통신호기 설치공사 설계내역서(제1지역)_2007 교통신호기 설치공사 설계내역서(제1지역)_1_사본 - LED성동 물량2 2" xfId="8297"/>
    <cellStyle name="@_laroux_제트베인_1_농협퇴비-함양(보통)_2007 교통신호기 설치공사 설계내역서(제1지역)_2007 교통신호기 설치공사 설계내역서(제1지역)_1_사본 - LED성동 물량2 3" xfId="8298"/>
    <cellStyle name="@_laroux_제트베인_1_농협퇴비-함양(보통)_2007 교통신호기 설치공사 설계내역서(제1지역)_2007 교통신호기 설치공사 설계내역서(제1지역)_1_사본 - LED성동 물량2 4" xfId="8299"/>
    <cellStyle name="@_laroux_제트베인_1_농협퇴비-함양(보통)_2007 교통신호기 설치공사 설계내역서(제1지역)_2007 교통신호기 설치공사 설계내역서(제1지역)_1_사본 - LED성동 물량2_LED성동완" xfId="8300"/>
    <cellStyle name="@_laroux_제트베인_1_농협퇴비-함양(보통)_2007 교통신호기 설치공사 설계내역서(제1지역)_2007 교통신호기 설치공사 설계내역서(제1지역)_1_사본 - LED성동 물량2_LED성동완 2" xfId="8301"/>
    <cellStyle name="@_laroux_제트베인_1_농협퇴비-함양(보통)_2007 교통신호기 설치공사 설계내역서(제1지역)_2007 교통신호기 설치공사 설계내역서(제1지역)_1_사본 - LED성동 물량2_LED성동완 3" xfId="8302"/>
    <cellStyle name="@_laroux_제트베인_1_농협퇴비-함양(보통)_2007 교통신호기 설치공사 설계내역서(제1지역)_2007 교통신호기 설치공사 설계내역서(제1지역)_1_사본 - LED성동 물량2_LED성동완 4" xfId="8303"/>
    <cellStyle name="@_laroux_제트베인_1_농협퇴비-함양(보통)_2007 교통신호기 설치공사 설계내역서(제1지역)_2007 교통신호기 설치공사 설계내역서(제1지역)_1_사본 - LED성동 물량2_LED성동완_설계내역서" xfId="8304"/>
    <cellStyle name="@_laroux_제트베인_1_농협퇴비-함양(보통)_2007 교통신호기 설치공사 설계내역서(제1지역)_2007 교통신호기 설치공사 설계내역서(제1지역)_1_사본 - LED성동 물량2_설계내역서" xfId="8305"/>
    <cellStyle name="@_laroux_제트베인_1_농협퇴비-함양(보통)_2007 교통신호기 설치공사 설계내역서(제1지역)_2007 교통신호기 설치공사 설계내역서(제1지역)_1_설계내역서" xfId="8306"/>
    <cellStyle name="@_laroux_제트베인_1_농협퇴비-함양(보통)_2007 교통신호기 설치공사 설계내역서(제1지역)_2007 교통신호기 설치공사 설계내역서(제1지역)_2" xfId="8307"/>
    <cellStyle name="@_laroux_제트베인_1_농협퇴비-함양(보통)_2007 교통신호기 설치공사 설계내역서(제1지역)_2007 교통신호기 설치공사 설계내역서(제1지역)_2 2" xfId="8308"/>
    <cellStyle name="@_laroux_제트베인_1_농협퇴비-함양(보통)_2007 교통신호기 설치공사 설계내역서(제1지역)_2007 교통신호기 설치공사 설계내역서(제1지역)_2 3" xfId="8309"/>
    <cellStyle name="@_laroux_제트베인_1_농협퇴비-함양(보통)_2007 교통신호기 설치공사 설계내역서(제1지역)_2007 교통신호기 설치공사 설계내역서(제1지역)_2 4" xfId="8310"/>
    <cellStyle name="@_laroux_제트베인_1_농협퇴비-함양(보통)_2007 교통신호기 설치공사 설계내역서(제1지역)_2007 교통신호기 설치공사 설계내역서(제1지역)_2_LED - 개2" xfId="8311"/>
    <cellStyle name="@_laroux_제트베인_1_농협퇴비-함양(보통)_2007 교통신호기 설치공사 설계내역서(제1지역)_2007 교통신호기 설치공사 설계내역서(제1지역)_2_LED - 개2 2" xfId="8312"/>
    <cellStyle name="@_laroux_제트베인_1_농협퇴비-함양(보통)_2007 교통신호기 설치공사 설계내역서(제1지역)_2007 교통신호기 설치공사 설계내역서(제1지역)_2_LED - 개2 3" xfId="8313"/>
    <cellStyle name="@_laroux_제트베인_1_농협퇴비-함양(보통)_2007 교통신호기 설치공사 설계내역서(제1지역)_2007 교통신호기 설치공사 설계내역서(제1지역)_2_LED - 개2 4" xfId="8314"/>
    <cellStyle name="@_laroux_제트베인_1_농협퇴비-함양(보통)_2007 교통신호기 설치공사 설계내역서(제1지역)_2007 교통신호기 설치공사 설계내역서(제1지역)_2_LED - 개2_LED성동완" xfId="8315"/>
    <cellStyle name="@_laroux_제트베인_1_농협퇴비-함양(보통)_2007 교통신호기 설치공사 설계내역서(제1지역)_2007 교통신호기 설치공사 설계내역서(제1지역)_2_LED - 개2_LED성동완 2" xfId="8316"/>
    <cellStyle name="@_laroux_제트베인_1_농협퇴비-함양(보통)_2007 교통신호기 설치공사 설계내역서(제1지역)_2007 교통신호기 설치공사 설계내역서(제1지역)_2_LED - 개2_LED성동완 3" xfId="8317"/>
    <cellStyle name="@_laroux_제트베인_1_농협퇴비-함양(보통)_2007 교통신호기 설치공사 설계내역서(제1지역)_2007 교통신호기 설치공사 설계내역서(제1지역)_2_LED - 개2_LED성동완 4" xfId="8318"/>
    <cellStyle name="@_laroux_제트베인_1_농협퇴비-함양(보통)_2007 교통신호기 설치공사 설계내역서(제1지역)_2007 교통신호기 설치공사 설계내역서(제1지역)_2_LED - 개2_LED성동완_설계내역서" xfId="8319"/>
    <cellStyle name="@_laroux_제트베인_1_농협퇴비-함양(보통)_2007 교통신호기 설치공사 설계내역서(제1지역)_2007 교통신호기 설치공사 설계내역서(제1지역)_2_LED - 개2_설계내역서" xfId="8320"/>
    <cellStyle name="@_laroux_제트베인_1_농협퇴비-함양(보통)_2007 교통신호기 설치공사 설계내역서(제1지역)_2007 교통신호기 설치공사 설계내역서(제1지역)_2_북부-1지역" xfId="8321"/>
    <cellStyle name="@_laroux_제트베인_1_농협퇴비-함양(보통)_2007 교통신호기 설치공사 설계내역서(제1지역)_2007 교통신호기 설치공사 설계내역서(제1지역)_2_북부-1지역 2" xfId="8322"/>
    <cellStyle name="@_laroux_제트베인_1_농협퇴비-함양(보통)_2007 교통신호기 설치공사 설계내역서(제1지역)_2007 교통신호기 설치공사 설계내역서(제1지역)_2_북부-1지역 3" xfId="8323"/>
    <cellStyle name="@_laroux_제트베인_1_농협퇴비-함양(보통)_2007 교통신호기 설치공사 설계내역서(제1지역)_2007 교통신호기 설치공사 설계내역서(제1지역)_2_북부-1지역 4" xfId="8324"/>
    <cellStyle name="@_laroux_제트베인_1_농협퇴비-함양(보통)_2007 교통신호기 설치공사 설계내역서(제1지역)_2007 교통신호기 설치공사 설계내역서(제1지역)_2_북부-1지역_LED - 개2" xfId="8325"/>
    <cellStyle name="@_laroux_제트베인_1_농협퇴비-함양(보통)_2007 교통신호기 설치공사 설계내역서(제1지역)_2007 교통신호기 설치공사 설계내역서(제1지역)_2_북부-1지역_LED - 개2 2" xfId="8326"/>
    <cellStyle name="@_laroux_제트베인_1_농협퇴비-함양(보통)_2007 교통신호기 설치공사 설계내역서(제1지역)_2007 교통신호기 설치공사 설계내역서(제1지역)_2_북부-1지역_LED - 개2 3" xfId="8327"/>
    <cellStyle name="@_laroux_제트베인_1_농협퇴비-함양(보통)_2007 교통신호기 설치공사 설계내역서(제1지역)_2007 교통신호기 설치공사 설계내역서(제1지역)_2_북부-1지역_LED - 개2 4" xfId="8328"/>
    <cellStyle name="@_laroux_제트베인_1_농협퇴비-함양(보통)_2007 교통신호기 설치공사 설계내역서(제1지역)_2007 교통신호기 설치공사 설계내역서(제1지역)_2_북부-1지역_LED - 개2_LED성동완" xfId="8329"/>
    <cellStyle name="@_laroux_제트베인_1_농협퇴비-함양(보통)_2007 교통신호기 설치공사 설계내역서(제1지역)_2007 교통신호기 설치공사 설계내역서(제1지역)_2_북부-1지역_LED - 개2_LED성동완 2" xfId="8330"/>
    <cellStyle name="@_laroux_제트베인_1_농협퇴비-함양(보통)_2007 교통신호기 설치공사 설계내역서(제1지역)_2007 교통신호기 설치공사 설계내역서(제1지역)_2_북부-1지역_LED - 개2_LED성동완 3" xfId="8331"/>
    <cellStyle name="@_laroux_제트베인_1_농협퇴비-함양(보통)_2007 교통신호기 설치공사 설계내역서(제1지역)_2007 교통신호기 설치공사 설계내역서(제1지역)_2_북부-1지역_LED - 개2_LED성동완 4" xfId="8332"/>
    <cellStyle name="@_laroux_제트베인_1_농협퇴비-함양(보통)_2007 교통신호기 설치공사 설계내역서(제1지역)_2007 교통신호기 설치공사 설계내역서(제1지역)_2_북부-1지역_LED - 개2_LED성동완_설계내역서" xfId="8333"/>
    <cellStyle name="@_laroux_제트베인_1_농협퇴비-함양(보통)_2007 교통신호기 설치공사 설계내역서(제1지역)_2007 교통신호기 설치공사 설계내역서(제1지역)_2_북부-1지역_LED - 개2_설계내역서" xfId="8334"/>
    <cellStyle name="@_laroux_제트베인_1_농협퇴비-함양(보통)_2007 교통신호기 설치공사 설계내역서(제1지역)_2007 교통신호기 설치공사 설계내역서(제1지역)_2_북부-1지역_사본 - LED - 개2" xfId="8335"/>
    <cellStyle name="@_laroux_제트베인_1_농협퇴비-함양(보통)_2007 교통신호기 설치공사 설계내역서(제1지역)_2007 교통신호기 설치공사 설계내역서(제1지역)_2_북부-1지역_사본 - LED - 개2 2" xfId="8336"/>
    <cellStyle name="@_laroux_제트베인_1_농협퇴비-함양(보통)_2007 교통신호기 설치공사 설계내역서(제1지역)_2007 교통신호기 설치공사 설계내역서(제1지역)_2_북부-1지역_사본 - LED - 개2 3" xfId="8337"/>
    <cellStyle name="@_laroux_제트베인_1_농협퇴비-함양(보통)_2007 교통신호기 설치공사 설계내역서(제1지역)_2007 교통신호기 설치공사 설계내역서(제1지역)_2_북부-1지역_사본 - LED - 개2 4" xfId="8338"/>
    <cellStyle name="@_laroux_제트베인_1_농협퇴비-함양(보통)_2007 교통신호기 설치공사 설계내역서(제1지역)_2007 교통신호기 설치공사 설계내역서(제1지역)_2_북부-1지역_사본 - LED - 개2_LED성동완" xfId="8339"/>
    <cellStyle name="@_laroux_제트베인_1_농협퇴비-함양(보통)_2007 교통신호기 설치공사 설계내역서(제1지역)_2007 교통신호기 설치공사 설계내역서(제1지역)_2_북부-1지역_사본 - LED - 개2_LED성동완 2" xfId="8340"/>
    <cellStyle name="@_laroux_제트베인_1_농협퇴비-함양(보통)_2007 교통신호기 설치공사 설계내역서(제1지역)_2007 교통신호기 설치공사 설계내역서(제1지역)_2_북부-1지역_사본 - LED - 개2_LED성동완 3" xfId="8341"/>
    <cellStyle name="@_laroux_제트베인_1_농협퇴비-함양(보통)_2007 교통신호기 설치공사 설계내역서(제1지역)_2007 교통신호기 설치공사 설계내역서(제1지역)_2_북부-1지역_사본 - LED - 개2_LED성동완 4" xfId="8342"/>
    <cellStyle name="@_laroux_제트베인_1_농협퇴비-함양(보통)_2007 교통신호기 설치공사 설계내역서(제1지역)_2007 교통신호기 설치공사 설계내역서(제1지역)_2_북부-1지역_사본 - LED - 개2_LED성동완_설계내역서" xfId="8343"/>
    <cellStyle name="@_laroux_제트베인_1_농협퇴비-함양(보통)_2007 교통신호기 설치공사 설계내역서(제1지역)_2007 교통신호기 설치공사 설계내역서(제1지역)_2_북부-1지역_사본 - LED - 개2_설계내역서" xfId="8344"/>
    <cellStyle name="@_laroux_제트베인_1_농협퇴비-함양(보통)_2007 교통신호기 설치공사 설계내역서(제1지역)_2007 교통신호기 설치공사 설계내역서(제1지역)_2_북부-1지역_사본 - LED성동 물량2" xfId="8345"/>
    <cellStyle name="@_laroux_제트베인_1_농협퇴비-함양(보통)_2007 교통신호기 설치공사 설계내역서(제1지역)_2007 교통신호기 설치공사 설계내역서(제1지역)_2_북부-1지역_사본 - LED성동 물량2 2" xfId="8346"/>
    <cellStyle name="@_laroux_제트베인_1_농협퇴비-함양(보통)_2007 교통신호기 설치공사 설계내역서(제1지역)_2007 교통신호기 설치공사 설계내역서(제1지역)_2_북부-1지역_사본 - LED성동 물량2 3" xfId="8347"/>
    <cellStyle name="@_laroux_제트베인_1_농협퇴비-함양(보통)_2007 교통신호기 설치공사 설계내역서(제1지역)_2007 교통신호기 설치공사 설계내역서(제1지역)_2_북부-1지역_사본 - LED성동 물량2 4" xfId="8348"/>
    <cellStyle name="@_laroux_제트베인_1_농협퇴비-함양(보통)_2007 교통신호기 설치공사 설계내역서(제1지역)_2007 교통신호기 설치공사 설계내역서(제1지역)_2_북부-1지역_사본 - LED성동 물량2_LED성동완" xfId="8349"/>
    <cellStyle name="@_laroux_제트베인_1_농협퇴비-함양(보통)_2007 교통신호기 설치공사 설계내역서(제1지역)_2007 교통신호기 설치공사 설계내역서(제1지역)_2_북부-1지역_사본 - LED성동 물량2_LED성동완 2" xfId="8350"/>
    <cellStyle name="@_laroux_제트베인_1_농협퇴비-함양(보통)_2007 교통신호기 설치공사 설계내역서(제1지역)_2007 교통신호기 설치공사 설계내역서(제1지역)_2_북부-1지역_사본 - LED성동 물량2_LED성동완 3" xfId="8351"/>
    <cellStyle name="@_laroux_제트베인_1_농협퇴비-함양(보통)_2007 교통신호기 설치공사 설계내역서(제1지역)_2007 교통신호기 설치공사 설계내역서(제1지역)_2_북부-1지역_사본 - LED성동 물량2_LED성동완 4" xfId="8352"/>
    <cellStyle name="@_laroux_제트베인_1_농협퇴비-함양(보통)_2007 교통신호기 설치공사 설계내역서(제1지역)_2007 교통신호기 설치공사 설계내역서(제1지역)_2_북부-1지역_사본 - LED성동 물량2_LED성동완_설계내역서" xfId="8353"/>
    <cellStyle name="@_laroux_제트베인_1_농협퇴비-함양(보통)_2007 교통신호기 설치공사 설계내역서(제1지역)_2007 교통신호기 설치공사 설계내역서(제1지역)_2_북부-1지역_사본 - LED성동 물량2_설계내역서" xfId="8354"/>
    <cellStyle name="@_laroux_제트베인_1_농협퇴비-함양(보통)_2007 교통신호기 설치공사 설계내역서(제1지역)_2007 교통신호기 설치공사 설계내역서(제1지역)_2_북부-1지역_설계내역서" xfId="8355"/>
    <cellStyle name="@_laroux_제트베인_1_농협퇴비-함양(보통)_2007 교통신호기 설치공사 설계내역서(제1지역)_2007 교통신호기 설치공사 설계내역서(제1지역)_2_사본 - LED - 개2" xfId="8356"/>
    <cellStyle name="@_laroux_제트베인_1_농협퇴비-함양(보통)_2007 교통신호기 설치공사 설계내역서(제1지역)_2007 교통신호기 설치공사 설계내역서(제1지역)_2_사본 - LED - 개2 2" xfId="8357"/>
    <cellStyle name="@_laroux_제트베인_1_농협퇴비-함양(보통)_2007 교통신호기 설치공사 설계내역서(제1지역)_2007 교통신호기 설치공사 설계내역서(제1지역)_2_사본 - LED - 개2 3" xfId="8358"/>
    <cellStyle name="@_laroux_제트베인_1_농협퇴비-함양(보통)_2007 교통신호기 설치공사 설계내역서(제1지역)_2007 교통신호기 설치공사 설계내역서(제1지역)_2_사본 - LED - 개2 4" xfId="8359"/>
    <cellStyle name="@_laroux_제트베인_1_농협퇴비-함양(보통)_2007 교통신호기 설치공사 설계내역서(제1지역)_2007 교통신호기 설치공사 설계내역서(제1지역)_2_사본 - LED - 개2_LED성동완" xfId="8360"/>
    <cellStyle name="@_laroux_제트베인_1_농협퇴비-함양(보통)_2007 교통신호기 설치공사 설계내역서(제1지역)_2007 교통신호기 설치공사 설계내역서(제1지역)_2_사본 - LED - 개2_LED성동완 2" xfId="8361"/>
    <cellStyle name="@_laroux_제트베인_1_농협퇴비-함양(보통)_2007 교통신호기 설치공사 설계내역서(제1지역)_2007 교통신호기 설치공사 설계내역서(제1지역)_2_사본 - LED - 개2_LED성동완 3" xfId="8362"/>
    <cellStyle name="@_laroux_제트베인_1_농협퇴비-함양(보통)_2007 교통신호기 설치공사 설계내역서(제1지역)_2007 교통신호기 설치공사 설계내역서(제1지역)_2_사본 - LED - 개2_LED성동완 4" xfId="8363"/>
    <cellStyle name="@_laroux_제트베인_1_농협퇴비-함양(보통)_2007 교통신호기 설치공사 설계내역서(제1지역)_2007 교통신호기 설치공사 설계내역서(제1지역)_2_사본 - LED - 개2_LED성동완_설계내역서" xfId="8364"/>
    <cellStyle name="@_laroux_제트베인_1_농협퇴비-함양(보통)_2007 교통신호기 설치공사 설계내역서(제1지역)_2007 교통신호기 설치공사 설계내역서(제1지역)_2_사본 - LED - 개2_설계내역서" xfId="8365"/>
    <cellStyle name="@_laroux_제트베인_1_농협퇴비-함양(보통)_2007 교통신호기 설치공사 설계내역서(제1지역)_2007 교통신호기 설치공사 설계내역서(제1지역)_2_사본 - LED성동 물량2" xfId="8366"/>
    <cellStyle name="@_laroux_제트베인_1_농협퇴비-함양(보통)_2007 교통신호기 설치공사 설계내역서(제1지역)_2007 교통신호기 설치공사 설계내역서(제1지역)_2_사본 - LED성동 물량2 2" xfId="8367"/>
    <cellStyle name="@_laroux_제트베인_1_농협퇴비-함양(보통)_2007 교통신호기 설치공사 설계내역서(제1지역)_2007 교통신호기 설치공사 설계내역서(제1지역)_2_사본 - LED성동 물량2 3" xfId="8368"/>
    <cellStyle name="@_laroux_제트베인_1_농협퇴비-함양(보통)_2007 교통신호기 설치공사 설계내역서(제1지역)_2007 교통신호기 설치공사 설계내역서(제1지역)_2_사본 - LED성동 물량2 4" xfId="8369"/>
    <cellStyle name="@_laroux_제트베인_1_농협퇴비-함양(보통)_2007 교통신호기 설치공사 설계내역서(제1지역)_2007 교통신호기 설치공사 설계내역서(제1지역)_2_사본 - LED성동 물량2_LED성동완" xfId="8370"/>
    <cellStyle name="@_laroux_제트베인_1_농협퇴비-함양(보통)_2007 교통신호기 설치공사 설계내역서(제1지역)_2007 교통신호기 설치공사 설계내역서(제1지역)_2_사본 - LED성동 물량2_LED성동완 2" xfId="8371"/>
    <cellStyle name="@_laroux_제트베인_1_농협퇴비-함양(보통)_2007 교통신호기 설치공사 설계내역서(제1지역)_2007 교통신호기 설치공사 설계내역서(제1지역)_2_사본 - LED성동 물량2_LED성동완 3" xfId="8372"/>
    <cellStyle name="@_laroux_제트베인_1_농협퇴비-함양(보통)_2007 교통신호기 설치공사 설계내역서(제1지역)_2007 교통신호기 설치공사 설계내역서(제1지역)_2_사본 - LED성동 물량2_LED성동완 4" xfId="8373"/>
    <cellStyle name="@_laroux_제트베인_1_농협퇴비-함양(보통)_2007 교통신호기 설치공사 설계내역서(제1지역)_2007 교통신호기 설치공사 설계내역서(제1지역)_2_사본 - LED성동 물량2_LED성동완_설계내역서" xfId="8374"/>
    <cellStyle name="@_laroux_제트베인_1_농협퇴비-함양(보통)_2007 교통신호기 설치공사 설계내역서(제1지역)_2007 교통신호기 설치공사 설계내역서(제1지역)_2_사본 - LED성동 물량2_설계내역서" xfId="8375"/>
    <cellStyle name="@_laroux_제트베인_1_농협퇴비-함양(보통)_2007 교통신호기 설치공사 설계내역서(제1지역)_2007 교통신호기 설치공사 설계내역서(제1지역)_2_설계내역서" xfId="8376"/>
    <cellStyle name="@_laroux_제트베인_1_농협퇴비-함양(보통)_2007 교통신호기 설치공사 설계내역서(제1지역)_2007 교통신호기 설치공사 설계내역서(제1지역)_LED - 개2" xfId="8377"/>
    <cellStyle name="@_laroux_제트베인_1_농협퇴비-함양(보통)_2007 교통신호기 설치공사 설계내역서(제1지역)_2007 교통신호기 설치공사 설계내역서(제1지역)_LED - 개2 2" xfId="8378"/>
    <cellStyle name="@_laroux_제트베인_1_농협퇴비-함양(보통)_2007 교통신호기 설치공사 설계내역서(제1지역)_2007 교통신호기 설치공사 설계내역서(제1지역)_LED - 개2 3" xfId="8379"/>
    <cellStyle name="@_laroux_제트베인_1_농협퇴비-함양(보통)_2007 교통신호기 설치공사 설계내역서(제1지역)_2007 교통신호기 설치공사 설계내역서(제1지역)_LED - 개2 4" xfId="8380"/>
    <cellStyle name="@_laroux_제트베인_1_농협퇴비-함양(보통)_2007 교통신호기 설치공사 설계내역서(제1지역)_2007 교통신호기 설치공사 설계내역서(제1지역)_LED - 개2_LED성동완" xfId="8381"/>
    <cellStyle name="@_laroux_제트베인_1_농협퇴비-함양(보통)_2007 교통신호기 설치공사 설계내역서(제1지역)_2007 교통신호기 설치공사 설계내역서(제1지역)_LED - 개2_LED성동완 2" xfId="8382"/>
    <cellStyle name="@_laroux_제트베인_1_농협퇴비-함양(보통)_2007 교통신호기 설치공사 설계내역서(제1지역)_2007 교통신호기 설치공사 설계내역서(제1지역)_LED - 개2_LED성동완 3" xfId="8383"/>
    <cellStyle name="@_laroux_제트베인_1_농협퇴비-함양(보통)_2007 교통신호기 설치공사 설계내역서(제1지역)_2007 교통신호기 설치공사 설계내역서(제1지역)_LED - 개2_LED성동완 4" xfId="8384"/>
    <cellStyle name="@_laroux_제트베인_1_농협퇴비-함양(보통)_2007 교통신호기 설치공사 설계내역서(제1지역)_2007 교통신호기 설치공사 설계내역서(제1지역)_LED - 개2_LED성동완_설계내역서" xfId="8385"/>
    <cellStyle name="@_laroux_제트베인_1_농협퇴비-함양(보통)_2007 교통신호기 설치공사 설계내역서(제1지역)_2007 교통신호기 설치공사 설계내역서(제1지역)_LED - 개2_설계내역서" xfId="8386"/>
    <cellStyle name="@_laroux_제트베인_1_농협퇴비-함양(보통)_2007 교통신호기 설치공사 설계내역서(제1지역)_2007 교통신호기 설치공사 설계내역서(제1지역)_북부-1지역" xfId="8387"/>
    <cellStyle name="@_laroux_제트베인_1_농협퇴비-함양(보통)_2007 교통신호기 설치공사 설계내역서(제1지역)_2007 교통신호기 설치공사 설계내역서(제1지역)_북부-1지역 2" xfId="8388"/>
    <cellStyle name="@_laroux_제트베인_1_농협퇴비-함양(보통)_2007 교통신호기 설치공사 설계내역서(제1지역)_2007 교통신호기 설치공사 설계내역서(제1지역)_북부-1지역 3" xfId="8389"/>
    <cellStyle name="@_laroux_제트베인_1_농협퇴비-함양(보통)_2007 교통신호기 설치공사 설계내역서(제1지역)_2007 교통신호기 설치공사 설계내역서(제1지역)_북부-1지역 4" xfId="8390"/>
    <cellStyle name="@_laroux_제트베인_1_농협퇴비-함양(보통)_2007 교통신호기 설치공사 설계내역서(제1지역)_2007 교통신호기 설치공사 설계내역서(제1지역)_북부-1지역_LED - 개2" xfId="8391"/>
    <cellStyle name="@_laroux_제트베인_1_농협퇴비-함양(보통)_2007 교통신호기 설치공사 설계내역서(제1지역)_2007 교통신호기 설치공사 설계내역서(제1지역)_북부-1지역_LED - 개2 2" xfId="8392"/>
    <cellStyle name="@_laroux_제트베인_1_농협퇴비-함양(보통)_2007 교통신호기 설치공사 설계내역서(제1지역)_2007 교통신호기 설치공사 설계내역서(제1지역)_북부-1지역_LED - 개2 3" xfId="8393"/>
    <cellStyle name="@_laroux_제트베인_1_농협퇴비-함양(보통)_2007 교통신호기 설치공사 설계내역서(제1지역)_2007 교통신호기 설치공사 설계내역서(제1지역)_북부-1지역_LED - 개2 4" xfId="8394"/>
    <cellStyle name="@_laroux_제트베인_1_농협퇴비-함양(보통)_2007 교통신호기 설치공사 설계내역서(제1지역)_2007 교통신호기 설치공사 설계내역서(제1지역)_북부-1지역_LED - 개2_LED성동완" xfId="8395"/>
    <cellStyle name="@_laroux_제트베인_1_농협퇴비-함양(보통)_2007 교통신호기 설치공사 설계내역서(제1지역)_2007 교통신호기 설치공사 설계내역서(제1지역)_북부-1지역_LED - 개2_LED성동완 2" xfId="8396"/>
    <cellStyle name="@_laroux_제트베인_1_농협퇴비-함양(보통)_2007 교통신호기 설치공사 설계내역서(제1지역)_2007 교통신호기 설치공사 설계내역서(제1지역)_북부-1지역_LED - 개2_LED성동완 3" xfId="8397"/>
    <cellStyle name="@_laroux_제트베인_1_농협퇴비-함양(보통)_2007 교통신호기 설치공사 설계내역서(제1지역)_2007 교통신호기 설치공사 설계내역서(제1지역)_북부-1지역_LED - 개2_LED성동완 4" xfId="8398"/>
    <cellStyle name="@_laroux_제트베인_1_농협퇴비-함양(보통)_2007 교통신호기 설치공사 설계내역서(제1지역)_2007 교통신호기 설치공사 설계내역서(제1지역)_북부-1지역_LED - 개2_LED성동완_설계내역서" xfId="8399"/>
    <cellStyle name="@_laroux_제트베인_1_농협퇴비-함양(보통)_2007 교통신호기 설치공사 설계내역서(제1지역)_2007 교통신호기 설치공사 설계내역서(제1지역)_북부-1지역_LED - 개2_설계내역서" xfId="8400"/>
    <cellStyle name="@_laroux_제트베인_1_농협퇴비-함양(보통)_2007 교통신호기 설치공사 설계내역서(제1지역)_2007 교통신호기 설치공사 설계내역서(제1지역)_북부-1지역_사본 - LED - 개2" xfId="8401"/>
    <cellStyle name="@_laroux_제트베인_1_농협퇴비-함양(보통)_2007 교통신호기 설치공사 설계내역서(제1지역)_2007 교통신호기 설치공사 설계내역서(제1지역)_북부-1지역_사본 - LED - 개2 2" xfId="8402"/>
    <cellStyle name="@_laroux_제트베인_1_농협퇴비-함양(보통)_2007 교통신호기 설치공사 설계내역서(제1지역)_2007 교통신호기 설치공사 설계내역서(제1지역)_북부-1지역_사본 - LED - 개2 3" xfId="8403"/>
    <cellStyle name="@_laroux_제트베인_1_농협퇴비-함양(보통)_2007 교통신호기 설치공사 설계내역서(제1지역)_2007 교통신호기 설치공사 설계내역서(제1지역)_북부-1지역_사본 - LED - 개2 4" xfId="8404"/>
    <cellStyle name="@_laroux_제트베인_1_농협퇴비-함양(보통)_2007 교통신호기 설치공사 설계내역서(제1지역)_2007 교통신호기 설치공사 설계내역서(제1지역)_북부-1지역_사본 - LED - 개2_LED성동완" xfId="8405"/>
    <cellStyle name="@_laroux_제트베인_1_농협퇴비-함양(보통)_2007 교통신호기 설치공사 설계내역서(제1지역)_2007 교통신호기 설치공사 설계내역서(제1지역)_북부-1지역_사본 - LED - 개2_LED성동완 2" xfId="8406"/>
    <cellStyle name="@_laroux_제트베인_1_농협퇴비-함양(보통)_2007 교통신호기 설치공사 설계내역서(제1지역)_2007 교통신호기 설치공사 설계내역서(제1지역)_북부-1지역_사본 - LED - 개2_LED성동완 3" xfId="8407"/>
    <cellStyle name="@_laroux_제트베인_1_농협퇴비-함양(보통)_2007 교통신호기 설치공사 설계내역서(제1지역)_2007 교통신호기 설치공사 설계내역서(제1지역)_북부-1지역_사본 - LED - 개2_LED성동완 4" xfId="8408"/>
    <cellStyle name="@_laroux_제트베인_1_농협퇴비-함양(보통)_2007 교통신호기 설치공사 설계내역서(제1지역)_2007 교통신호기 설치공사 설계내역서(제1지역)_북부-1지역_사본 - LED - 개2_LED성동완_설계내역서" xfId="8409"/>
    <cellStyle name="@_laroux_제트베인_1_농협퇴비-함양(보통)_2007 교통신호기 설치공사 설계내역서(제1지역)_2007 교통신호기 설치공사 설계내역서(제1지역)_북부-1지역_사본 - LED - 개2_설계내역서" xfId="8410"/>
    <cellStyle name="@_laroux_제트베인_1_농협퇴비-함양(보통)_2007 교통신호기 설치공사 설계내역서(제1지역)_2007 교통신호기 설치공사 설계내역서(제1지역)_북부-1지역_사본 - LED성동 물량2" xfId="8411"/>
    <cellStyle name="@_laroux_제트베인_1_농협퇴비-함양(보통)_2007 교통신호기 설치공사 설계내역서(제1지역)_2007 교통신호기 설치공사 설계내역서(제1지역)_북부-1지역_사본 - LED성동 물량2 2" xfId="8412"/>
    <cellStyle name="@_laroux_제트베인_1_농협퇴비-함양(보통)_2007 교통신호기 설치공사 설계내역서(제1지역)_2007 교통신호기 설치공사 설계내역서(제1지역)_북부-1지역_사본 - LED성동 물량2 3" xfId="8413"/>
    <cellStyle name="@_laroux_제트베인_1_농협퇴비-함양(보통)_2007 교통신호기 설치공사 설계내역서(제1지역)_2007 교통신호기 설치공사 설계내역서(제1지역)_북부-1지역_사본 - LED성동 물량2 4" xfId="8414"/>
    <cellStyle name="@_laroux_제트베인_1_농협퇴비-함양(보통)_2007 교통신호기 설치공사 설계내역서(제1지역)_2007 교통신호기 설치공사 설계내역서(제1지역)_북부-1지역_사본 - LED성동 물량2_LED성동완" xfId="8415"/>
    <cellStyle name="@_laroux_제트베인_1_농협퇴비-함양(보통)_2007 교통신호기 설치공사 설계내역서(제1지역)_2007 교통신호기 설치공사 설계내역서(제1지역)_북부-1지역_사본 - LED성동 물량2_LED성동완 2" xfId="8416"/>
    <cellStyle name="@_laroux_제트베인_1_농협퇴비-함양(보통)_2007 교통신호기 설치공사 설계내역서(제1지역)_2007 교통신호기 설치공사 설계내역서(제1지역)_북부-1지역_사본 - LED성동 물량2_LED성동완 3" xfId="8417"/>
    <cellStyle name="@_laroux_제트베인_1_농협퇴비-함양(보통)_2007 교통신호기 설치공사 설계내역서(제1지역)_2007 교통신호기 설치공사 설계내역서(제1지역)_북부-1지역_사본 - LED성동 물량2_LED성동완 4" xfId="8418"/>
    <cellStyle name="@_laroux_제트베인_1_농협퇴비-함양(보통)_2007 교통신호기 설치공사 설계내역서(제1지역)_2007 교통신호기 설치공사 설계내역서(제1지역)_북부-1지역_사본 - LED성동 물량2_LED성동완_설계내역서" xfId="8419"/>
    <cellStyle name="@_laroux_제트베인_1_농협퇴비-함양(보통)_2007 교통신호기 설치공사 설계내역서(제1지역)_2007 교통신호기 설치공사 설계내역서(제1지역)_북부-1지역_사본 - LED성동 물량2_설계내역서" xfId="8420"/>
    <cellStyle name="@_laroux_제트베인_1_농협퇴비-함양(보통)_2007 교통신호기 설치공사 설계내역서(제1지역)_2007 교통신호기 설치공사 설계내역서(제1지역)_북부-1지역_설계내역서" xfId="8421"/>
    <cellStyle name="@_laroux_제트베인_1_농협퇴비-함양(보통)_2007 교통신호기 설치공사 설계내역서(제1지역)_2007 교통신호기 설치공사 설계내역서(제1지역)_사본 - LED - 개2" xfId="8422"/>
    <cellStyle name="@_laroux_제트베인_1_농협퇴비-함양(보통)_2007 교통신호기 설치공사 설계내역서(제1지역)_2007 교통신호기 설치공사 설계내역서(제1지역)_사본 - LED - 개2 2" xfId="8423"/>
    <cellStyle name="@_laroux_제트베인_1_농협퇴비-함양(보통)_2007 교통신호기 설치공사 설계내역서(제1지역)_2007 교통신호기 설치공사 설계내역서(제1지역)_사본 - LED - 개2 3" xfId="8424"/>
    <cellStyle name="@_laroux_제트베인_1_농협퇴비-함양(보통)_2007 교통신호기 설치공사 설계내역서(제1지역)_2007 교통신호기 설치공사 설계내역서(제1지역)_사본 - LED - 개2 4" xfId="8425"/>
    <cellStyle name="@_laroux_제트베인_1_농협퇴비-함양(보통)_2007 교통신호기 설치공사 설계내역서(제1지역)_2007 교통신호기 설치공사 설계내역서(제1지역)_사본 - LED - 개2_LED성동완" xfId="8426"/>
    <cellStyle name="@_laroux_제트베인_1_농협퇴비-함양(보통)_2007 교통신호기 설치공사 설계내역서(제1지역)_2007 교통신호기 설치공사 설계내역서(제1지역)_사본 - LED - 개2_LED성동완 2" xfId="8427"/>
    <cellStyle name="@_laroux_제트베인_1_농협퇴비-함양(보통)_2007 교통신호기 설치공사 설계내역서(제1지역)_2007 교통신호기 설치공사 설계내역서(제1지역)_사본 - LED - 개2_LED성동완 3" xfId="8428"/>
    <cellStyle name="@_laroux_제트베인_1_농협퇴비-함양(보통)_2007 교통신호기 설치공사 설계내역서(제1지역)_2007 교통신호기 설치공사 설계내역서(제1지역)_사본 - LED - 개2_LED성동완 4" xfId="8429"/>
    <cellStyle name="@_laroux_제트베인_1_농협퇴비-함양(보통)_2007 교통신호기 설치공사 설계내역서(제1지역)_2007 교통신호기 설치공사 설계내역서(제1지역)_사본 - LED - 개2_LED성동완_설계내역서" xfId="8430"/>
    <cellStyle name="@_laroux_제트베인_1_농협퇴비-함양(보통)_2007 교통신호기 설치공사 설계내역서(제1지역)_2007 교통신호기 설치공사 설계내역서(제1지역)_사본 - LED - 개2_설계내역서" xfId="8431"/>
    <cellStyle name="@_laroux_제트베인_1_농협퇴비-함양(보통)_2007 교통신호기 설치공사 설계내역서(제1지역)_2007 교통신호기 설치공사 설계내역서(제1지역)_사본 - LED성동 물량2" xfId="8432"/>
    <cellStyle name="@_laroux_제트베인_1_농협퇴비-함양(보통)_2007 교통신호기 설치공사 설계내역서(제1지역)_2007 교통신호기 설치공사 설계내역서(제1지역)_사본 - LED성동 물량2 2" xfId="8433"/>
    <cellStyle name="@_laroux_제트베인_1_농협퇴비-함양(보통)_2007 교통신호기 설치공사 설계내역서(제1지역)_2007 교통신호기 설치공사 설계내역서(제1지역)_사본 - LED성동 물량2 3" xfId="8434"/>
    <cellStyle name="@_laroux_제트베인_1_농협퇴비-함양(보통)_2007 교통신호기 설치공사 설계내역서(제1지역)_2007 교통신호기 설치공사 설계내역서(제1지역)_사본 - LED성동 물량2 4" xfId="8435"/>
    <cellStyle name="@_laroux_제트베인_1_농협퇴비-함양(보통)_2007 교통신호기 설치공사 설계내역서(제1지역)_2007 교통신호기 설치공사 설계내역서(제1지역)_사본 - LED성동 물량2_LED성동완" xfId="8436"/>
    <cellStyle name="@_laroux_제트베인_1_농협퇴비-함양(보통)_2007 교통신호기 설치공사 설계내역서(제1지역)_2007 교통신호기 설치공사 설계내역서(제1지역)_사본 - LED성동 물량2_LED성동완 2" xfId="8437"/>
    <cellStyle name="@_laroux_제트베인_1_농협퇴비-함양(보통)_2007 교통신호기 설치공사 설계내역서(제1지역)_2007 교통신호기 설치공사 설계내역서(제1지역)_사본 - LED성동 물량2_LED성동완 3" xfId="8438"/>
    <cellStyle name="@_laroux_제트베인_1_농협퇴비-함양(보통)_2007 교통신호기 설치공사 설계내역서(제1지역)_2007 교통신호기 설치공사 설계내역서(제1지역)_사본 - LED성동 물량2_LED성동완 4" xfId="8439"/>
    <cellStyle name="@_laroux_제트베인_1_농협퇴비-함양(보통)_2007 교통신호기 설치공사 설계내역서(제1지역)_2007 교통신호기 설치공사 설계내역서(제1지역)_사본 - LED성동 물량2_LED성동완_설계내역서" xfId="8440"/>
    <cellStyle name="@_laroux_제트베인_1_농협퇴비-함양(보통)_2007 교통신호기 설치공사 설계내역서(제1지역)_2007 교통신호기 설치공사 설계내역서(제1지역)_사본 - LED성동 물량2_설계내역서" xfId="8441"/>
    <cellStyle name="@_laroux_제트베인_1_농협퇴비-함양(보통)_2007 교통신호기 설치공사 설계내역서(제1지역)_2007 교통신호기 설치공사 설계내역서(제1지역)_설계내역서" xfId="8442"/>
    <cellStyle name="@_laroux_제트베인_1_농협퇴비-함양(보통)_2007 교통신호기 설치공사 설계내역서(제1지역)_2어린이보호구역내역서(신서외10개소)낙찰율(전기)" xfId="8443"/>
    <cellStyle name="@_laroux_제트베인_1_농협퇴비-함양(보통)_2007 교통신호기 설치공사 설계내역서(제1지역)_2어린이보호구역내역서(신서외10개소)낙찰율(전기) 2" xfId="8444"/>
    <cellStyle name="@_laroux_제트베인_1_농협퇴비-함양(보통)_2007 교통신호기 설치공사 설계내역서(제1지역)_2어린이보호구역내역서(신서외10개소)낙찰율(전기) 3" xfId="8445"/>
    <cellStyle name="@_laroux_제트베인_1_농협퇴비-함양(보통)_2007 교통신호기 설치공사 설계내역서(제1지역)_2어린이보호구역내역서(신서외10개소)낙찰율(전기) 4" xfId="8446"/>
    <cellStyle name="@_laroux_제트베인_1_농협퇴비-함양(보통)_2007 교통신호기 설치공사 설계내역서(제1지역)_2어린이보호구역내역서(신서외10개소)낙찰율(전기)_설계내역서" xfId="8447"/>
    <cellStyle name="@_laroux_제트베인_1_농협퇴비-함양(보통)_2007 교통신호기 설치공사 설계내역서(제1지역)_3어린이보호구역내역서(신서외10개소)낙찰율(통신)" xfId="8448"/>
    <cellStyle name="@_laroux_제트베인_1_농협퇴비-함양(보통)_2007 교통신호기 설치공사 설계내역서(제1지역)_3어린이보호구역내역서(신서외10개소)낙찰율(통신) 2" xfId="8449"/>
    <cellStyle name="@_laroux_제트베인_1_농협퇴비-함양(보통)_2007 교통신호기 설치공사 설계내역서(제1지역)_3어린이보호구역내역서(신서외10개소)낙찰율(통신) 3" xfId="8450"/>
    <cellStyle name="@_laroux_제트베인_1_농협퇴비-함양(보통)_2007 교통신호기 설치공사 설계내역서(제1지역)_3어린이보호구역내역서(신서외10개소)낙찰율(통신) 4" xfId="8451"/>
    <cellStyle name="@_laroux_제트베인_1_농협퇴비-함양(보통)_2007 교통신호기 설치공사 설계내역서(제1지역)_3어린이보호구역내역서(신서외10개소)낙찰율(통신)_설계내역서" xfId="8452"/>
    <cellStyle name="@_laroux_제트베인_1_농협퇴비-함양(보통)_2007 교통신호기 설치공사 설계내역서(제1지역)_6.신서초교(교통신호기)" xfId="8453"/>
    <cellStyle name="@_laroux_제트베인_1_농협퇴비-함양(보통)_2007 교통신호기 설치공사 설계내역서(제1지역)_6.신서초교(교통신호기) 2" xfId="8454"/>
    <cellStyle name="@_laroux_제트베인_1_농협퇴비-함양(보통)_2007 교통신호기 설치공사 설계내역서(제1지역)_6.신서초교(교통신호기) 3" xfId="8455"/>
    <cellStyle name="@_laroux_제트베인_1_농협퇴비-함양(보통)_2007 교통신호기 설치공사 설계내역서(제1지역)_6.신서초교(교통신호기) 4" xfId="8456"/>
    <cellStyle name="@_laroux_제트베인_1_농협퇴비-함양(보통)_2007 교통신호기 설치공사 설계내역서(제1지역)_6.신서초교(교통신호기)_설계내역서" xfId="8457"/>
    <cellStyle name="@_laroux_제트베인_1_농협퇴비-함양(보통)_2007 교통신호기 설치공사 설계내역서(제1지역)_LED - 개2" xfId="8458"/>
    <cellStyle name="@_laroux_제트베인_1_농협퇴비-함양(보통)_2007 교통신호기 설치공사 설계내역서(제1지역)_LED - 개2 2" xfId="8459"/>
    <cellStyle name="@_laroux_제트베인_1_농협퇴비-함양(보통)_2007 교통신호기 설치공사 설계내역서(제1지역)_LED - 개2 3" xfId="8460"/>
    <cellStyle name="@_laroux_제트베인_1_농협퇴비-함양(보통)_2007 교통신호기 설치공사 설계내역서(제1지역)_LED - 개2 4" xfId="8461"/>
    <cellStyle name="@_laroux_제트베인_1_농협퇴비-함양(보통)_2007 교통신호기 설치공사 설계내역서(제1지역)_LED - 개2_LED성동완" xfId="8462"/>
    <cellStyle name="@_laroux_제트베인_1_농협퇴비-함양(보통)_2007 교통신호기 설치공사 설계내역서(제1지역)_LED - 개2_LED성동완 2" xfId="8463"/>
    <cellStyle name="@_laroux_제트베인_1_농협퇴비-함양(보통)_2007 교통신호기 설치공사 설계내역서(제1지역)_LED - 개2_LED성동완 3" xfId="8464"/>
    <cellStyle name="@_laroux_제트베인_1_농협퇴비-함양(보통)_2007 교통신호기 설치공사 설계내역서(제1지역)_LED - 개2_LED성동완 4" xfId="8465"/>
    <cellStyle name="@_laroux_제트베인_1_농협퇴비-함양(보통)_2007 교통신호기 설치공사 설계내역서(제1지역)_LED - 개2_LED성동완_설계내역서" xfId="8466"/>
    <cellStyle name="@_laroux_제트베인_1_농협퇴비-함양(보통)_2007 교통신호기 설치공사 설계내역서(제1지역)_LED - 개2_설계내역서" xfId="8467"/>
    <cellStyle name="@_laroux_제트베인_1_농협퇴비-함양(보통)_2007 교통신호기 설치공사 설계내역서(제1지역)_강서(신설개량)" xfId="8468"/>
    <cellStyle name="@_laroux_제트베인_1_농협퇴비-함양(보통)_2007 교통신호기 설치공사 설계내역서(제1지역)_강서(신설개량) 2" xfId="8469"/>
    <cellStyle name="@_laroux_제트베인_1_농협퇴비-함양(보통)_2007 교통신호기 설치공사 설계내역서(제1지역)_강서(신설개량) 3" xfId="8470"/>
    <cellStyle name="@_laroux_제트베인_1_농협퇴비-함양(보통)_2007 교통신호기 설치공사 설계내역서(제1지역)_강서(신설개량) 4" xfId="8471"/>
    <cellStyle name="@_laroux_제트베인_1_농협퇴비-함양(보통)_2007 교통신호기 설치공사 설계내역서(제1지역)_강서(신설개량)_설계내역서" xfId="8472"/>
    <cellStyle name="@_laroux_제트베인_1_농협퇴비-함양(보통)_2007 교통신호기 설치공사 설계내역서(제1지역)_강서(신설및개량)" xfId="8473"/>
    <cellStyle name="@_laroux_제트베인_1_농협퇴비-함양(보통)_2007 교통신호기 설치공사 설계내역서(제1지역)_강서(신설및개량) 2" xfId="8474"/>
    <cellStyle name="@_laroux_제트베인_1_농협퇴비-함양(보통)_2007 교통신호기 설치공사 설계내역서(제1지역)_강서(신설및개량) 3" xfId="8475"/>
    <cellStyle name="@_laroux_제트베인_1_농협퇴비-함양(보통)_2007 교통신호기 설치공사 설계내역서(제1지역)_강서(신설및개량) 4" xfId="8476"/>
    <cellStyle name="@_laroux_제트베인_1_농협퇴비-함양(보통)_2007 교통신호기 설치공사 설계내역서(제1지역)_강서(신설및개량)_설계내역서" xfId="8477"/>
    <cellStyle name="@_laroux_제트베인_1_농협퇴비-함양(보통)_2007 교통신호기 설치공사 설계내역서(제1지역)_강서(신설및개량)-3차(마곡역-잔토제외준공)" xfId="8478"/>
    <cellStyle name="@_laroux_제트베인_1_농협퇴비-함양(보통)_2007 교통신호기 설치공사 설계내역서(제1지역)_강서(신설및개량)-3차(마곡역-잔토제외준공) 2" xfId="8479"/>
    <cellStyle name="@_laroux_제트베인_1_농협퇴비-함양(보통)_2007 교통신호기 설치공사 설계내역서(제1지역)_강서(신설및개량)-3차(마곡역-잔토제외준공) 3" xfId="8480"/>
    <cellStyle name="@_laroux_제트베인_1_농협퇴비-함양(보통)_2007 교통신호기 설치공사 설계내역서(제1지역)_강서(신설및개량)-3차(마곡역-잔토제외준공) 4" xfId="8481"/>
    <cellStyle name="@_laroux_제트베인_1_농협퇴비-함양(보통)_2007 교통신호기 설치공사 설계내역서(제1지역)_강서(신설및개량)-3차(마곡역-잔토제외준공)_설계내역서" xfId="8482"/>
    <cellStyle name="@_laroux_제트베인_1_농협퇴비-함양(보통)_2007 교통신호기 설치공사 설계내역서(제1지역)_강서1지역" xfId="8483"/>
    <cellStyle name="@_laroux_제트베인_1_농협퇴비-함양(보통)_2007 교통신호기 설치공사 설계내역서(제1지역)_강서1지역 2" xfId="8484"/>
    <cellStyle name="@_laroux_제트베인_1_농협퇴비-함양(보통)_2007 교통신호기 설치공사 설계내역서(제1지역)_강서1지역 3" xfId="8485"/>
    <cellStyle name="@_laroux_제트베인_1_농협퇴비-함양(보통)_2007 교통신호기 설치공사 설계내역서(제1지역)_강서1지역 4" xfId="8486"/>
    <cellStyle name="@_laroux_제트베인_1_농협퇴비-함양(보통)_2007 교통신호기 설치공사 설계내역서(제1지역)_강서1지역(임시)" xfId="8487"/>
    <cellStyle name="@_laroux_제트베인_1_농협퇴비-함양(보통)_2007 교통신호기 설치공사 설계내역서(제1지역)_강서1지역(임시) 2" xfId="8488"/>
    <cellStyle name="@_laroux_제트베인_1_농협퇴비-함양(보통)_2007 교통신호기 설치공사 설계내역서(제1지역)_강서1지역(임시) 3" xfId="8489"/>
    <cellStyle name="@_laroux_제트베인_1_농협퇴비-함양(보통)_2007 교통신호기 설치공사 설계내역서(제1지역)_강서1지역(임시) 4" xfId="8490"/>
    <cellStyle name="@_laroux_제트베인_1_농협퇴비-함양(보통)_2007 교통신호기 설치공사 설계내역서(제1지역)_강서1지역(임시)_설계내역서" xfId="8491"/>
    <cellStyle name="@_laroux_제트베인_1_농협퇴비-함양(보통)_2007 교통신호기 설치공사 설계내역서(제1지역)_강서1지역_설계내역서" xfId="8492"/>
    <cellStyle name="@_laroux_제트베인_1_농협퇴비-함양(보통)_2007 교통신호기 설치공사 설계내역서(제1지역)_강서1지역-3차(마곡역)" xfId="8493"/>
    <cellStyle name="@_laroux_제트베인_1_농협퇴비-함양(보통)_2007 교통신호기 설치공사 설계내역서(제1지역)_강서1지역-3차(마곡역) 2" xfId="8494"/>
    <cellStyle name="@_laroux_제트베인_1_농협퇴비-함양(보통)_2007 교통신호기 설치공사 설계내역서(제1지역)_강서1지역-3차(마곡역) 3" xfId="8495"/>
    <cellStyle name="@_laroux_제트베인_1_농협퇴비-함양(보통)_2007 교통신호기 설치공사 설계내역서(제1지역)_강서1지역-3차(마곡역) 4" xfId="8496"/>
    <cellStyle name="@_laroux_제트베인_1_농협퇴비-함양(보통)_2007 교통신호기 설치공사 설계내역서(제1지역)_강서1지역-3차(마곡역)_설계내역서" xfId="8497"/>
    <cellStyle name="@_laroux_제트베인_1_농협퇴비-함양(보통)_2007 교통신호기 설치공사 설계내역서(제1지역)_강서2지역(임시)" xfId="8498"/>
    <cellStyle name="@_laroux_제트베인_1_농협퇴비-함양(보통)_2007 교통신호기 설치공사 설계내역서(제1지역)_강서2지역(임시) 2" xfId="8499"/>
    <cellStyle name="@_laroux_제트베인_1_농협퇴비-함양(보통)_2007 교통신호기 설치공사 설계내역서(제1지역)_강서2지역(임시) 3" xfId="8500"/>
    <cellStyle name="@_laroux_제트베인_1_농협퇴비-함양(보통)_2007 교통신호기 설치공사 설계내역서(제1지역)_강서2지역(임시) 4" xfId="8501"/>
    <cellStyle name="@_laroux_제트베인_1_농협퇴비-함양(보통)_2007 교통신호기 설치공사 설계내역서(제1지역)_강서2지역(임시)_설계내역서" xfId="8502"/>
    <cellStyle name="@_laroux_제트베인_1_농협퇴비-함양(보통)_2007 교통신호기 설치공사 설계내역서(제1지역)_강서어린이보호구역 설계변경내역(등양,등명 신호등 포함) 080630" xfId="8503"/>
    <cellStyle name="@_laroux_제트베인_1_농협퇴비-함양(보통)_2007 교통신호기 설치공사 설계내역서(제1지역)_강서어린이보호구역 설계변경내역(등양,등명 신호등 포함) 080630 2" xfId="8504"/>
    <cellStyle name="@_laroux_제트베인_1_농협퇴비-함양(보통)_2007 교통신호기 설치공사 설계내역서(제1지역)_강서어린이보호구역 설계변경내역(등양,등명 신호등 포함) 080630 3" xfId="8505"/>
    <cellStyle name="@_laroux_제트베인_1_농협퇴비-함양(보통)_2007 교통신호기 설치공사 설계내역서(제1지역)_강서어린이보호구역 설계변경내역(등양,등명 신호등 포함) 080630 4" xfId="8506"/>
    <cellStyle name="@_laroux_제트베인_1_농협퇴비-함양(보통)_2007 교통신호기 설치공사 설계내역서(제1지역)_강서어린이보호구역 설계변경내역(등양,등명 신호등 포함) 080630_설계내역서" xfId="8507"/>
    <cellStyle name="@_laroux_제트베인_1_농협퇴비-함양(보통)_2007 교통신호기 설치공사 설계내역서(제1지역)_강서어린이보호구역역설계-완성04291" xfId="8508"/>
    <cellStyle name="@_laroux_제트베인_1_농협퇴비-함양(보통)_2007 교통신호기 설치공사 설계내역서(제1지역)_강서어린이보호구역역설계-완성04291 2" xfId="8509"/>
    <cellStyle name="@_laroux_제트베인_1_농협퇴비-함양(보통)_2007 교통신호기 설치공사 설계내역서(제1지역)_강서어린이보호구역역설계-완성04291 3" xfId="8510"/>
    <cellStyle name="@_laroux_제트베인_1_농협퇴비-함양(보통)_2007 교통신호기 설치공사 설계내역서(제1지역)_강서어린이보호구역역설계-완성04291 4" xfId="8511"/>
    <cellStyle name="@_laroux_제트베인_1_농협퇴비-함양(보통)_2007 교통신호기 설치공사 설계내역서(제1지역)_강서어린이보호구역역설계-완성04291_설계내역서" xfId="8512"/>
    <cellStyle name="@_laroux_제트베인_1_농협퇴비-함양(보통)_2007 교통신호기 설치공사 설계내역서(제1지역)_강서어린이보호구역역설계-완성04291-222" xfId="8513"/>
    <cellStyle name="@_laroux_제트베인_1_농협퇴비-함양(보통)_2007 교통신호기 설치공사 설계내역서(제1지역)_강서어린이보호구역역설계-완성04291-222 2" xfId="8514"/>
    <cellStyle name="@_laroux_제트베인_1_농협퇴비-함양(보통)_2007 교통신호기 설치공사 설계내역서(제1지역)_강서어린이보호구역역설계-완성04291-222 3" xfId="8515"/>
    <cellStyle name="@_laroux_제트베인_1_농협퇴비-함양(보통)_2007 교통신호기 설치공사 설계내역서(제1지역)_강서어린이보호구역역설계-완성04291-222 4" xfId="8516"/>
    <cellStyle name="@_laroux_제트베인_1_농협퇴비-함양(보통)_2007 교통신호기 설치공사 설계내역서(제1지역)_강서어린이보호구역역설계-완성04291-222_설계내역서" xfId="8517"/>
    <cellStyle name="@_laroux_제트베인_1_농협퇴비-함양(보통)_2007 교통신호기 설치공사 설계내역서(제1지역)_교통신호기 설치공사(어린이보호구역)" xfId="8518"/>
    <cellStyle name="@_laroux_제트베인_1_농협퇴비-함양(보통)_2007 교통신호기 설치공사 설계내역서(제1지역)_교통신호기 설치공사(어린이보호구역) 2" xfId="8519"/>
    <cellStyle name="@_laroux_제트베인_1_농협퇴비-함양(보통)_2007 교통신호기 설치공사 설계내역서(제1지역)_교통신호기 설치공사(어린이보호구역) 3" xfId="8520"/>
    <cellStyle name="@_laroux_제트베인_1_농협퇴비-함양(보통)_2007 교통신호기 설치공사 설계내역서(제1지역)_교통신호기 설치공사(어린이보호구역) 4" xfId="8521"/>
    <cellStyle name="@_laroux_제트베인_1_농협퇴비-함양(보통)_2007 교통신호기 설치공사 설계내역서(제1지역)_교통신호기 설치공사(어린이보호구역)(1)" xfId="8522"/>
    <cellStyle name="@_laroux_제트베인_1_농협퇴비-함양(보통)_2007 교통신호기 설치공사 설계내역서(제1지역)_교통신호기 설치공사(어린이보호구역)(1) 2" xfId="8523"/>
    <cellStyle name="@_laroux_제트베인_1_농협퇴비-함양(보통)_2007 교통신호기 설치공사 설계내역서(제1지역)_교통신호기 설치공사(어린이보호구역)(1) 3" xfId="8524"/>
    <cellStyle name="@_laroux_제트베인_1_농협퇴비-함양(보통)_2007 교통신호기 설치공사 설계내역서(제1지역)_교통신호기 설치공사(어린이보호구역)(1) 4" xfId="8525"/>
    <cellStyle name="@_laroux_제트베인_1_농협퇴비-함양(보통)_2007 교통신호기 설치공사 설계내역서(제1지역)_교통신호기 설치공사(어린이보호구역)(1)_설계내역서" xfId="8526"/>
    <cellStyle name="@_laroux_제트베인_1_농협퇴비-함양(보통)_2007 교통신호기 설치공사 설계내역서(제1지역)_교통신호기 설치공사(어린이보호구역)_설계내역서" xfId="8527"/>
    <cellStyle name="@_laroux_제트베인_1_농협퇴비-함양(보통)_2007 교통신호기 설치공사 설계내역서(제1지역)_기획3차성동-준공내역서(5.29)" xfId="8528"/>
    <cellStyle name="@_laroux_제트베인_1_농협퇴비-함양(보통)_2007 교통신호기 설치공사 설계내역서(제1지역)_기획3차성동-준공내역서(5.29) 2" xfId="8529"/>
    <cellStyle name="@_laroux_제트베인_1_농협퇴비-함양(보통)_2007 교통신호기 설치공사 설계내역서(제1지역)_기획3차성동-준공내역서(5.29) 3" xfId="8530"/>
    <cellStyle name="@_laroux_제트베인_1_농협퇴비-함양(보통)_2007 교통신호기 설치공사 설계내역서(제1지역)_기획3차성동-준공내역서(5.29) 4" xfId="8531"/>
    <cellStyle name="@_laroux_제트베인_1_농협퇴비-함양(보통)_2007 교통신호기 설치공사 설계내역서(제1지역)_기획3차성동-준공내역서(5.29)_설계내역서" xfId="8532"/>
    <cellStyle name="@_laroux_제트베인_1_농협퇴비-함양(보통)_2007 교통신호기 설치공사 설계내역서(제1지역)_남부2지역-1차(2사급자재)" xfId="8533"/>
    <cellStyle name="@_laroux_제트베인_1_농협퇴비-함양(보통)_2007 교통신호기 설치공사 설계내역서(제1지역)_남부2지역-1차(2사급자재) 2" xfId="8534"/>
    <cellStyle name="@_laroux_제트베인_1_농협퇴비-함양(보통)_2007 교통신호기 설치공사 설계내역서(제1지역)_남부2지역-1차(2사급자재) 3" xfId="8535"/>
    <cellStyle name="@_laroux_제트베인_1_농협퇴비-함양(보통)_2007 교통신호기 설치공사 설계내역서(제1지역)_남부2지역-1차(2사급자재) 4" xfId="8536"/>
    <cellStyle name="@_laroux_제트베인_1_농협퇴비-함양(보통)_2007 교통신호기 설치공사 설계내역서(제1지역)_남부2지역-1차(2사급자재)_설계내역서" xfId="8537"/>
    <cellStyle name="@_laroux_제트베인_1_농협퇴비-함양(보통)_2007 교통신호기 설치공사 설계내역서(제1지역)_내역서(강서신호기신설 및 개량)" xfId="8538"/>
    <cellStyle name="@_laroux_제트베인_1_농협퇴비-함양(보통)_2007 교통신호기 설치공사 설계내역서(제1지역)_내역서(강서신호기신설 및 개량) 2" xfId="8539"/>
    <cellStyle name="@_laroux_제트베인_1_농협퇴비-함양(보통)_2007 교통신호기 설치공사 설계내역서(제1지역)_내역서(강서신호기신설 및 개량) 3" xfId="8540"/>
    <cellStyle name="@_laroux_제트베인_1_농협퇴비-함양(보통)_2007 교통신호기 설치공사 설계내역서(제1지역)_내역서(강서신호기신설 및 개량) 4" xfId="8541"/>
    <cellStyle name="@_laroux_제트베인_1_농협퇴비-함양(보통)_2007 교통신호기 설치공사 설계내역서(제1지역)_내역서(강서신호기신설 및 개량)_설계내역서" xfId="8542"/>
    <cellStyle name="@_laroux_제트베인_1_농협퇴비-함양(보통)_2007 교통신호기 설치공사 설계내역서(제1지역)_동부2지역" xfId="8543"/>
    <cellStyle name="@_laroux_제트베인_1_농협퇴비-함양(보통)_2007 교통신호기 설치공사 설계내역서(제1지역)_동부2지역 2" xfId="8544"/>
    <cellStyle name="@_laroux_제트베인_1_농협퇴비-함양(보통)_2007 교통신호기 설치공사 설계내역서(제1지역)_동부2지역 3" xfId="8545"/>
    <cellStyle name="@_laroux_제트베인_1_농협퇴비-함양(보통)_2007 교통신호기 설치공사 설계내역서(제1지역)_동부2지역 4" xfId="8546"/>
    <cellStyle name="@_laroux_제트베인_1_농협퇴비-함양(보통)_2007 교통신호기 설치공사 설계내역서(제1지역)_동부2지역_설계내역서" xfId="8547"/>
    <cellStyle name="@_laroux_제트베인_1_농협퇴비-함양(보통)_2007 교통신호기 설치공사 설계내역서(제1지역)_물량(교통사고잦은곳2차)" xfId="8548"/>
    <cellStyle name="@_laroux_제트베인_1_농협퇴비-함양(보통)_2007 교통신호기 설치공사 설계내역서(제1지역)_물량(교통사고잦은곳2차) 2" xfId="8549"/>
    <cellStyle name="@_laroux_제트베인_1_농협퇴비-함양(보통)_2007 교통신호기 설치공사 설계내역서(제1지역)_물량(교통사고잦은곳2차) 3" xfId="8550"/>
    <cellStyle name="@_laroux_제트베인_1_농협퇴비-함양(보통)_2007 교통신호기 설치공사 설계내역서(제1지역)_물량(교통사고잦은곳2차) 4" xfId="8551"/>
    <cellStyle name="@_laroux_제트베인_1_농협퇴비-함양(보통)_2007 교통신호기 설치공사 설계내역서(제1지역)_물량(교통사고잦은곳2차)_설계내역서" xfId="8552"/>
    <cellStyle name="@_laroux_제트베인_1_농협퇴비-함양(보통)_2007 교통신호기 설치공사 설계내역서(제1지역)_북부-1지역" xfId="8553"/>
    <cellStyle name="@_laroux_제트베인_1_농협퇴비-함양(보통)_2007 교통신호기 설치공사 설계내역서(제1지역)_북부-1지역 2" xfId="8554"/>
    <cellStyle name="@_laroux_제트베인_1_농협퇴비-함양(보통)_2007 교통신호기 설치공사 설계내역서(제1지역)_북부-1지역 3" xfId="8555"/>
    <cellStyle name="@_laroux_제트베인_1_농협퇴비-함양(보통)_2007 교통신호기 설치공사 설계내역서(제1지역)_북부-1지역 4" xfId="8556"/>
    <cellStyle name="@_laroux_제트베인_1_농협퇴비-함양(보통)_2007 교통신호기 설치공사 설계내역서(제1지역)_북부-1지역_LED - 개2" xfId="8557"/>
    <cellStyle name="@_laroux_제트베인_1_농협퇴비-함양(보통)_2007 교통신호기 설치공사 설계내역서(제1지역)_북부-1지역_LED - 개2 2" xfId="8558"/>
    <cellStyle name="@_laroux_제트베인_1_농협퇴비-함양(보통)_2007 교통신호기 설치공사 설계내역서(제1지역)_북부-1지역_LED - 개2 3" xfId="8559"/>
    <cellStyle name="@_laroux_제트베인_1_농협퇴비-함양(보통)_2007 교통신호기 설치공사 설계내역서(제1지역)_북부-1지역_LED - 개2 4" xfId="8560"/>
    <cellStyle name="@_laroux_제트베인_1_농협퇴비-함양(보통)_2007 교통신호기 설치공사 설계내역서(제1지역)_북부-1지역_LED - 개2_LED성동완" xfId="8561"/>
    <cellStyle name="@_laroux_제트베인_1_농협퇴비-함양(보통)_2007 교통신호기 설치공사 설계내역서(제1지역)_북부-1지역_LED - 개2_LED성동완 2" xfId="8562"/>
    <cellStyle name="@_laroux_제트베인_1_농협퇴비-함양(보통)_2007 교통신호기 설치공사 설계내역서(제1지역)_북부-1지역_LED - 개2_LED성동완 3" xfId="8563"/>
    <cellStyle name="@_laroux_제트베인_1_농협퇴비-함양(보통)_2007 교통신호기 설치공사 설계내역서(제1지역)_북부-1지역_LED - 개2_LED성동완 4" xfId="8564"/>
    <cellStyle name="@_laroux_제트베인_1_농협퇴비-함양(보통)_2007 교통신호기 설치공사 설계내역서(제1지역)_북부-1지역_LED - 개2_LED성동완_설계내역서" xfId="8565"/>
    <cellStyle name="@_laroux_제트베인_1_농협퇴비-함양(보통)_2007 교통신호기 설치공사 설계내역서(제1지역)_북부-1지역_LED - 개2_설계내역서" xfId="8566"/>
    <cellStyle name="@_laroux_제트베인_1_농협퇴비-함양(보통)_2007 교통신호기 설치공사 설계내역서(제1지역)_북부-1지역_북부-1지역" xfId="8567"/>
    <cellStyle name="@_laroux_제트베인_1_농협퇴비-함양(보통)_2007 교통신호기 설치공사 설계내역서(제1지역)_북부-1지역_북부-1지역 2" xfId="8568"/>
    <cellStyle name="@_laroux_제트베인_1_농협퇴비-함양(보통)_2007 교통신호기 설치공사 설계내역서(제1지역)_북부-1지역_북부-1지역 3" xfId="8569"/>
    <cellStyle name="@_laroux_제트베인_1_농협퇴비-함양(보통)_2007 교통신호기 설치공사 설계내역서(제1지역)_북부-1지역_북부-1지역 4" xfId="8570"/>
    <cellStyle name="@_laroux_제트베인_1_농협퇴비-함양(보통)_2007 교통신호기 설치공사 설계내역서(제1지역)_북부-1지역_북부-1지역_LED - 개2" xfId="8571"/>
    <cellStyle name="@_laroux_제트베인_1_농협퇴비-함양(보통)_2007 교통신호기 설치공사 설계내역서(제1지역)_북부-1지역_북부-1지역_LED - 개2 2" xfId="8572"/>
    <cellStyle name="@_laroux_제트베인_1_농협퇴비-함양(보통)_2007 교통신호기 설치공사 설계내역서(제1지역)_북부-1지역_북부-1지역_LED - 개2 3" xfId="8573"/>
    <cellStyle name="@_laroux_제트베인_1_농협퇴비-함양(보통)_2007 교통신호기 설치공사 설계내역서(제1지역)_북부-1지역_북부-1지역_LED - 개2 4" xfId="8574"/>
    <cellStyle name="@_laroux_제트베인_1_농협퇴비-함양(보통)_2007 교통신호기 설치공사 설계내역서(제1지역)_북부-1지역_북부-1지역_LED - 개2_LED성동완" xfId="8575"/>
    <cellStyle name="@_laroux_제트베인_1_농협퇴비-함양(보통)_2007 교통신호기 설치공사 설계내역서(제1지역)_북부-1지역_북부-1지역_LED - 개2_LED성동완 2" xfId="8576"/>
    <cellStyle name="@_laroux_제트베인_1_농협퇴비-함양(보통)_2007 교통신호기 설치공사 설계내역서(제1지역)_북부-1지역_북부-1지역_LED - 개2_LED성동완 3" xfId="8577"/>
    <cellStyle name="@_laroux_제트베인_1_농협퇴비-함양(보통)_2007 교통신호기 설치공사 설계내역서(제1지역)_북부-1지역_북부-1지역_LED - 개2_LED성동완 4" xfId="8578"/>
    <cellStyle name="@_laroux_제트베인_1_농협퇴비-함양(보통)_2007 교통신호기 설치공사 설계내역서(제1지역)_북부-1지역_북부-1지역_LED - 개2_LED성동완_설계내역서" xfId="8579"/>
    <cellStyle name="@_laroux_제트베인_1_농협퇴비-함양(보통)_2007 교통신호기 설치공사 설계내역서(제1지역)_북부-1지역_북부-1지역_LED - 개2_설계내역서" xfId="8580"/>
    <cellStyle name="@_laroux_제트베인_1_농협퇴비-함양(보통)_2007 교통신호기 설치공사 설계내역서(제1지역)_북부-1지역_북부-1지역_사본 - LED - 개2" xfId="8581"/>
    <cellStyle name="@_laroux_제트베인_1_농협퇴비-함양(보통)_2007 교통신호기 설치공사 설계내역서(제1지역)_북부-1지역_북부-1지역_사본 - LED - 개2 2" xfId="8582"/>
    <cellStyle name="@_laroux_제트베인_1_농협퇴비-함양(보통)_2007 교통신호기 설치공사 설계내역서(제1지역)_북부-1지역_북부-1지역_사본 - LED - 개2 3" xfId="8583"/>
    <cellStyle name="@_laroux_제트베인_1_농협퇴비-함양(보통)_2007 교통신호기 설치공사 설계내역서(제1지역)_북부-1지역_북부-1지역_사본 - LED - 개2 4" xfId="8584"/>
    <cellStyle name="@_laroux_제트베인_1_농협퇴비-함양(보통)_2007 교통신호기 설치공사 설계내역서(제1지역)_북부-1지역_북부-1지역_사본 - LED - 개2_LED성동완" xfId="8585"/>
    <cellStyle name="@_laroux_제트베인_1_농협퇴비-함양(보통)_2007 교통신호기 설치공사 설계내역서(제1지역)_북부-1지역_북부-1지역_사본 - LED - 개2_LED성동완 2" xfId="8586"/>
    <cellStyle name="@_laroux_제트베인_1_농협퇴비-함양(보통)_2007 교통신호기 설치공사 설계내역서(제1지역)_북부-1지역_북부-1지역_사본 - LED - 개2_LED성동완 3" xfId="8587"/>
    <cellStyle name="@_laroux_제트베인_1_농협퇴비-함양(보통)_2007 교통신호기 설치공사 설계내역서(제1지역)_북부-1지역_북부-1지역_사본 - LED - 개2_LED성동완 4" xfId="8588"/>
    <cellStyle name="@_laroux_제트베인_1_농협퇴비-함양(보통)_2007 교통신호기 설치공사 설계내역서(제1지역)_북부-1지역_북부-1지역_사본 - LED - 개2_LED성동완_설계내역서" xfId="8589"/>
    <cellStyle name="@_laroux_제트베인_1_농협퇴비-함양(보통)_2007 교통신호기 설치공사 설계내역서(제1지역)_북부-1지역_북부-1지역_사본 - LED - 개2_설계내역서" xfId="8590"/>
    <cellStyle name="@_laroux_제트베인_1_농협퇴비-함양(보통)_2007 교통신호기 설치공사 설계내역서(제1지역)_북부-1지역_북부-1지역_사본 - LED성동 물량2" xfId="8591"/>
    <cellStyle name="@_laroux_제트베인_1_농협퇴비-함양(보통)_2007 교통신호기 설치공사 설계내역서(제1지역)_북부-1지역_북부-1지역_사본 - LED성동 물량2 2" xfId="8592"/>
    <cellStyle name="@_laroux_제트베인_1_농협퇴비-함양(보통)_2007 교통신호기 설치공사 설계내역서(제1지역)_북부-1지역_북부-1지역_사본 - LED성동 물량2 3" xfId="8593"/>
    <cellStyle name="@_laroux_제트베인_1_농협퇴비-함양(보통)_2007 교통신호기 설치공사 설계내역서(제1지역)_북부-1지역_북부-1지역_사본 - LED성동 물량2 4" xfId="8594"/>
    <cellStyle name="@_laroux_제트베인_1_농협퇴비-함양(보통)_2007 교통신호기 설치공사 설계내역서(제1지역)_북부-1지역_북부-1지역_사본 - LED성동 물량2_LED성동완" xfId="8595"/>
    <cellStyle name="@_laroux_제트베인_1_농협퇴비-함양(보통)_2007 교통신호기 설치공사 설계내역서(제1지역)_북부-1지역_북부-1지역_사본 - LED성동 물량2_LED성동완 2" xfId="8596"/>
    <cellStyle name="@_laroux_제트베인_1_농협퇴비-함양(보통)_2007 교통신호기 설치공사 설계내역서(제1지역)_북부-1지역_북부-1지역_사본 - LED성동 물량2_LED성동완 3" xfId="8597"/>
    <cellStyle name="@_laroux_제트베인_1_농협퇴비-함양(보통)_2007 교통신호기 설치공사 설계내역서(제1지역)_북부-1지역_북부-1지역_사본 - LED성동 물량2_LED성동완 4" xfId="8598"/>
    <cellStyle name="@_laroux_제트베인_1_농협퇴비-함양(보통)_2007 교통신호기 설치공사 설계내역서(제1지역)_북부-1지역_북부-1지역_사본 - LED성동 물량2_LED성동완_설계내역서" xfId="8599"/>
    <cellStyle name="@_laroux_제트베인_1_농협퇴비-함양(보통)_2007 교통신호기 설치공사 설계내역서(제1지역)_북부-1지역_북부-1지역_사본 - LED성동 물량2_설계내역서" xfId="8600"/>
    <cellStyle name="@_laroux_제트베인_1_농협퇴비-함양(보통)_2007 교통신호기 설치공사 설계내역서(제1지역)_북부-1지역_북부-1지역_설계내역서" xfId="8601"/>
    <cellStyle name="@_laroux_제트베인_1_농협퇴비-함양(보통)_2007 교통신호기 설치공사 설계내역서(제1지역)_북부-1지역_사본 - LED - 개2" xfId="8602"/>
    <cellStyle name="@_laroux_제트베인_1_농협퇴비-함양(보통)_2007 교통신호기 설치공사 설계내역서(제1지역)_북부-1지역_사본 - LED - 개2 2" xfId="8603"/>
    <cellStyle name="@_laroux_제트베인_1_농협퇴비-함양(보통)_2007 교통신호기 설치공사 설계내역서(제1지역)_북부-1지역_사본 - LED - 개2 3" xfId="8604"/>
    <cellStyle name="@_laroux_제트베인_1_농협퇴비-함양(보통)_2007 교통신호기 설치공사 설계내역서(제1지역)_북부-1지역_사본 - LED - 개2 4" xfId="8605"/>
    <cellStyle name="@_laroux_제트베인_1_농협퇴비-함양(보통)_2007 교통신호기 설치공사 설계내역서(제1지역)_북부-1지역_사본 - LED - 개2_LED성동완" xfId="8606"/>
    <cellStyle name="@_laroux_제트베인_1_농협퇴비-함양(보통)_2007 교통신호기 설치공사 설계내역서(제1지역)_북부-1지역_사본 - LED - 개2_LED성동완 2" xfId="8607"/>
    <cellStyle name="@_laroux_제트베인_1_농협퇴비-함양(보통)_2007 교통신호기 설치공사 설계내역서(제1지역)_북부-1지역_사본 - LED - 개2_LED성동완 3" xfId="8608"/>
    <cellStyle name="@_laroux_제트베인_1_농협퇴비-함양(보통)_2007 교통신호기 설치공사 설계내역서(제1지역)_북부-1지역_사본 - LED - 개2_LED성동완 4" xfId="8609"/>
    <cellStyle name="@_laroux_제트베인_1_농협퇴비-함양(보통)_2007 교통신호기 설치공사 설계내역서(제1지역)_북부-1지역_사본 - LED - 개2_LED성동완_설계내역서" xfId="8610"/>
    <cellStyle name="@_laroux_제트베인_1_농협퇴비-함양(보통)_2007 교통신호기 설치공사 설계내역서(제1지역)_북부-1지역_사본 - LED - 개2_설계내역서" xfId="8611"/>
    <cellStyle name="@_laroux_제트베인_1_농협퇴비-함양(보통)_2007 교통신호기 설치공사 설계내역서(제1지역)_북부-1지역_사본 - LED성동 물량2" xfId="8612"/>
    <cellStyle name="@_laroux_제트베인_1_농협퇴비-함양(보통)_2007 교통신호기 설치공사 설계내역서(제1지역)_북부-1지역_사본 - LED성동 물량2 2" xfId="8613"/>
    <cellStyle name="@_laroux_제트베인_1_농협퇴비-함양(보통)_2007 교통신호기 설치공사 설계내역서(제1지역)_북부-1지역_사본 - LED성동 물량2 3" xfId="8614"/>
    <cellStyle name="@_laroux_제트베인_1_농협퇴비-함양(보통)_2007 교통신호기 설치공사 설계내역서(제1지역)_북부-1지역_사본 - LED성동 물량2 4" xfId="8615"/>
    <cellStyle name="@_laroux_제트베인_1_농협퇴비-함양(보통)_2007 교통신호기 설치공사 설계내역서(제1지역)_북부-1지역_사본 - LED성동 물량2_LED성동완" xfId="8616"/>
    <cellStyle name="@_laroux_제트베인_1_농협퇴비-함양(보통)_2007 교통신호기 설치공사 설계내역서(제1지역)_북부-1지역_사본 - LED성동 물량2_LED성동완 2" xfId="8617"/>
    <cellStyle name="@_laroux_제트베인_1_농협퇴비-함양(보통)_2007 교통신호기 설치공사 설계내역서(제1지역)_북부-1지역_사본 - LED성동 물량2_LED성동완 3" xfId="8618"/>
    <cellStyle name="@_laroux_제트베인_1_농협퇴비-함양(보통)_2007 교통신호기 설치공사 설계내역서(제1지역)_북부-1지역_사본 - LED성동 물량2_LED성동완 4" xfId="8619"/>
    <cellStyle name="@_laroux_제트베인_1_농협퇴비-함양(보통)_2007 교통신호기 설치공사 설계내역서(제1지역)_북부-1지역_사본 - LED성동 물량2_LED성동완_설계내역서" xfId="8620"/>
    <cellStyle name="@_laroux_제트베인_1_농협퇴비-함양(보통)_2007 교통신호기 설치공사 설계내역서(제1지역)_북부-1지역_사본 - LED성동 물량2_설계내역서" xfId="8621"/>
    <cellStyle name="@_laroux_제트베인_1_농협퇴비-함양(보통)_2007 교통신호기 설치공사 설계내역서(제1지역)_북부-1지역_설계내역서" xfId="8622"/>
    <cellStyle name="@_laroux_제트베인_1_농협퇴비-함양(보통)_2007 교통신호기 설치공사 설계내역서(제1지역)_사본 - LED - 개2" xfId="8623"/>
    <cellStyle name="@_laroux_제트베인_1_농협퇴비-함양(보통)_2007 교통신호기 설치공사 설계내역서(제1지역)_사본 - LED - 개2 2" xfId="8624"/>
    <cellStyle name="@_laroux_제트베인_1_농협퇴비-함양(보통)_2007 교통신호기 설치공사 설계내역서(제1지역)_사본 - LED - 개2 3" xfId="8625"/>
    <cellStyle name="@_laroux_제트베인_1_농협퇴비-함양(보통)_2007 교통신호기 설치공사 설계내역서(제1지역)_사본 - LED - 개2 4" xfId="8626"/>
    <cellStyle name="@_laroux_제트베인_1_농협퇴비-함양(보통)_2007 교통신호기 설치공사 설계내역서(제1지역)_사본 - LED - 개2_LED성동완" xfId="8627"/>
    <cellStyle name="@_laroux_제트베인_1_농협퇴비-함양(보통)_2007 교통신호기 설치공사 설계내역서(제1지역)_사본 - LED - 개2_LED성동완 2" xfId="8628"/>
    <cellStyle name="@_laroux_제트베인_1_농협퇴비-함양(보통)_2007 교통신호기 설치공사 설계내역서(제1지역)_사본 - LED - 개2_LED성동완 3" xfId="8629"/>
    <cellStyle name="@_laroux_제트베인_1_농협퇴비-함양(보통)_2007 교통신호기 설치공사 설계내역서(제1지역)_사본 - LED - 개2_LED성동완 4" xfId="8630"/>
    <cellStyle name="@_laroux_제트베인_1_농협퇴비-함양(보통)_2007 교통신호기 설치공사 설계내역서(제1지역)_사본 - LED - 개2_LED성동완_설계내역서" xfId="8631"/>
    <cellStyle name="@_laroux_제트베인_1_농협퇴비-함양(보통)_2007 교통신호기 설치공사 설계내역서(제1지역)_사본 - LED - 개2_설계내역서" xfId="8632"/>
    <cellStyle name="@_laroux_제트베인_1_농협퇴비-함양(보통)_2007 교통신호기 설치공사 설계내역서(제1지역)_사본 - LED성동 물량2" xfId="8633"/>
    <cellStyle name="@_laroux_제트베인_1_농협퇴비-함양(보통)_2007 교통신호기 설치공사 설계내역서(제1지역)_사본 - LED성동 물량2 2" xfId="8634"/>
    <cellStyle name="@_laroux_제트베인_1_농협퇴비-함양(보통)_2007 교통신호기 설치공사 설계내역서(제1지역)_사본 - LED성동 물량2 3" xfId="8635"/>
    <cellStyle name="@_laroux_제트베인_1_농협퇴비-함양(보통)_2007 교통신호기 설치공사 설계내역서(제1지역)_사본 - LED성동 물량2 4" xfId="8636"/>
    <cellStyle name="@_laroux_제트베인_1_농협퇴비-함양(보통)_2007 교통신호기 설치공사 설계내역서(제1지역)_사본 - LED성동 물량2_LED성동완" xfId="8637"/>
    <cellStyle name="@_laroux_제트베인_1_농협퇴비-함양(보통)_2007 교통신호기 설치공사 설계내역서(제1지역)_사본 - LED성동 물량2_LED성동완 2" xfId="8638"/>
    <cellStyle name="@_laroux_제트베인_1_농협퇴비-함양(보통)_2007 교통신호기 설치공사 설계내역서(제1지역)_사본 - LED성동 물량2_LED성동완 3" xfId="8639"/>
    <cellStyle name="@_laroux_제트베인_1_농협퇴비-함양(보통)_2007 교통신호기 설치공사 설계내역서(제1지역)_사본 - LED성동 물량2_LED성동완 4" xfId="8640"/>
    <cellStyle name="@_laroux_제트베인_1_농협퇴비-함양(보통)_2007 교통신호기 설치공사 설계내역서(제1지역)_사본 - LED성동 물량2_LED성동완_설계내역서" xfId="8641"/>
    <cellStyle name="@_laroux_제트베인_1_농협퇴비-함양(보통)_2007 교통신호기 설치공사 설계내역서(제1지역)_사본 - LED성동 물량2_설계내역서" xfId="8642"/>
    <cellStyle name="@_laroux_제트베인_1_농협퇴비-함양(보통)_2007 교통신호기 설치공사 설계내역서(제1지역)_사본 - 강서1지역(임시)" xfId="8643"/>
    <cellStyle name="@_laroux_제트베인_1_농협퇴비-함양(보통)_2007 교통신호기 설치공사 설계내역서(제1지역)_사본 - 강서1지역(임시) 2" xfId="8644"/>
    <cellStyle name="@_laroux_제트베인_1_농협퇴비-함양(보통)_2007 교통신호기 설치공사 설계내역서(제1지역)_사본 - 강서1지역(임시) 3" xfId="8645"/>
    <cellStyle name="@_laroux_제트베인_1_농협퇴비-함양(보통)_2007 교통신호기 설치공사 설계내역서(제1지역)_사본 - 강서1지역(임시) 4" xfId="8646"/>
    <cellStyle name="@_laroux_제트베인_1_농협퇴비-함양(보통)_2007 교통신호기 설치공사 설계내역서(제1지역)_사본 - 강서1지역(임시)_설계내역서" xfId="8647"/>
    <cellStyle name="@_laroux_제트베인_1_농협퇴비-함양(보통)_2007 교통신호기 설치공사 설계내역서(제1지역)_설계내역서" xfId="8648"/>
    <cellStyle name="@_laroux_제트베인_1_농협퇴비-함양(보통)_2007 교통신호기 설치공사 설계내역서(제1지역)_설계서" xfId="8649"/>
    <cellStyle name="@_laroux_제트베인_1_농협퇴비-함양(보통)_2007 교통신호기 설치공사 설계내역서(제1지역)_설계서 2" xfId="8650"/>
    <cellStyle name="@_laroux_제트베인_1_농협퇴비-함양(보통)_2007 교통신호기 설치공사 설계내역서(제1지역)_설계서 3" xfId="8651"/>
    <cellStyle name="@_laroux_제트베인_1_농협퇴비-함양(보통)_2007 교통신호기 설치공사 설계내역서(제1지역)_설계서 4" xfId="8652"/>
    <cellStyle name="@_laroux_제트베인_1_농협퇴비-함양(보통)_2007 교통신호기 설치공사 설계내역서(제1지역)_설계서(세척및도장)" xfId="8653"/>
    <cellStyle name="@_laroux_제트베인_1_농협퇴비-함양(보통)_2007 교통신호기 설치공사 설계내역서(제1지역)_설계서(세척및도장) 2" xfId="8654"/>
    <cellStyle name="@_laroux_제트베인_1_농협퇴비-함양(보통)_2007 교통신호기 설치공사 설계내역서(제1지역)_설계서(세척및도장) 3" xfId="8655"/>
    <cellStyle name="@_laroux_제트베인_1_농협퇴비-함양(보통)_2007 교통신호기 설치공사 설계내역서(제1지역)_설계서(세척및도장) 4" xfId="8656"/>
    <cellStyle name="@_laroux_제트베인_1_농협퇴비-함양(보통)_2007 교통신호기 설치공사 설계내역서(제1지역)_설계서(세척및도장)_설계내역서" xfId="8657"/>
    <cellStyle name="@_laroux_제트베인_1_농협퇴비-함양(보통)_2007 교통신호기 설치공사 설계내역서(제1지역)_설계서_LED - 개2" xfId="8658"/>
    <cellStyle name="@_laroux_제트베인_1_농협퇴비-함양(보통)_2007 교통신호기 설치공사 설계내역서(제1지역)_설계서_LED - 개2 2" xfId="8659"/>
    <cellStyle name="@_laroux_제트베인_1_농협퇴비-함양(보통)_2007 교통신호기 설치공사 설계내역서(제1지역)_설계서_LED - 개2 3" xfId="8660"/>
    <cellStyle name="@_laroux_제트베인_1_농협퇴비-함양(보통)_2007 교통신호기 설치공사 설계내역서(제1지역)_설계서_LED - 개2 4" xfId="8661"/>
    <cellStyle name="@_laroux_제트베인_1_농협퇴비-함양(보통)_2007 교통신호기 설치공사 설계내역서(제1지역)_설계서_LED - 개2_LED성동완" xfId="8662"/>
    <cellStyle name="@_laroux_제트베인_1_농협퇴비-함양(보통)_2007 교통신호기 설치공사 설계내역서(제1지역)_설계서_LED - 개2_LED성동완 2" xfId="8663"/>
    <cellStyle name="@_laroux_제트베인_1_농협퇴비-함양(보통)_2007 교통신호기 설치공사 설계내역서(제1지역)_설계서_LED - 개2_LED성동완 3" xfId="8664"/>
    <cellStyle name="@_laroux_제트베인_1_농협퇴비-함양(보통)_2007 교통신호기 설치공사 설계내역서(제1지역)_설계서_LED - 개2_LED성동완 4" xfId="8665"/>
    <cellStyle name="@_laroux_제트베인_1_농협퇴비-함양(보통)_2007 교통신호기 설치공사 설계내역서(제1지역)_설계서_LED - 개2_LED성동완_설계내역서" xfId="8666"/>
    <cellStyle name="@_laroux_제트베인_1_농협퇴비-함양(보통)_2007 교통신호기 설치공사 설계내역서(제1지역)_설계서_LED - 개2_설계내역서" xfId="8667"/>
    <cellStyle name="@_laroux_제트베인_1_농협퇴비-함양(보통)_2007 교통신호기 설치공사 설계내역서(제1지역)_설계서_북부-1지역" xfId="8668"/>
    <cellStyle name="@_laroux_제트베인_1_농협퇴비-함양(보통)_2007 교통신호기 설치공사 설계내역서(제1지역)_설계서_북부-1지역 2" xfId="8669"/>
    <cellStyle name="@_laroux_제트베인_1_농협퇴비-함양(보통)_2007 교통신호기 설치공사 설계내역서(제1지역)_설계서_북부-1지역 3" xfId="8670"/>
    <cellStyle name="@_laroux_제트베인_1_농협퇴비-함양(보통)_2007 교통신호기 설치공사 설계내역서(제1지역)_설계서_북부-1지역 4" xfId="8671"/>
    <cellStyle name="@_laroux_제트베인_1_농협퇴비-함양(보통)_2007 교통신호기 설치공사 설계내역서(제1지역)_설계서_북부-1지역_LED - 개2" xfId="8672"/>
    <cellStyle name="@_laroux_제트베인_1_농협퇴비-함양(보통)_2007 교통신호기 설치공사 설계내역서(제1지역)_설계서_북부-1지역_LED - 개2 2" xfId="8673"/>
    <cellStyle name="@_laroux_제트베인_1_농협퇴비-함양(보통)_2007 교통신호기 설치공사 설계내역서(제1지역)_설계서_북부-1지역_LED - 개2 3" xfId="8674"/>
    <cellStyle name="@_laroux_제트베인_1_농협퇴비-함양(보통)_2007 교통신호기 설치공사 설계내역서(제1지역)_설계서_북부-1지역_LED - 개2 4" xfId="8675"/>
    <cellStyle name="@_laroux_제트베인_1_농협퇴비-함양(보통)_2007 교통신호기 설치공사 설계내역서(제1지역)_설계서_북부-1지역_LED - 개2_LED성동완" xfId="8676"/>
    <cellStyle name="@_laroux_제트베인_1_농협퇴비-함양(보통)_2007 교통신호기 설치공사 설계내역서(제1지역)_설계서_북부-1지역_LED - 개2_LED성동완 2" xfId="8677"/>
    <cellStyle name="@_laroux_제트베인_1_농협퇴비-함양(보통)_2007 교통신호기 설치공사 설계내역서(제1지역)_설계서_북부-1지역_LED - 개2_LED성동완 3" xfId="8678"/>
    <cellStyle name="@_laroux_제트베인_1_농협퇴비-함양(보통)_2007 교통신호기 설치공사 설계내역서(제1지역)_설계서_북부-1지역_LED - 개2_LED성동완 4" xfId="8679"/>
    <cellStyle name="@_laroux_제트베인_1_농협퇴비-함양(보통)_2007 교통신호기 설치공사 설계내역서(제1지역)_설계서_북부-1지역_LED - 개2_LED성동완_설계내역서" xfId="8680"/>
    <cellStyle name="@_laroux_제트베인_1_농협퇴비-함양(보통)_2007 교통신호기 설치공사 설계내역서(제1지역)_설계서_북부-1지역_LED - 개2_설계내역서" xfId="8681"/>
    <cellStyle name="@_laroux_제트베인_1_농협퇴비-함양(보통)_2007 교통신호기 설치공사 설계내역서(제1지역)_설계서_북부-1지역_사본 - LED - 개2" xfId="8682"/>
    <cellStyle name="@_laroux_제트베인_1_농협퇴비-함양(보통)_2007 교통신호기 설치공사 설계내역서(제1지역)_설계서_북부-1지역_사본 - LED - 개2 2" xfId="8683"/>
    <cellStyle name="@_laroux_제트베인_1_농협퇴비-함양(보통)_2007 교통신호기 설치공사 설계내역서(제1지역)_설계서_북부-1지역_사본 - LED - 개2 3" xfId="8684"/>
    <cellStyle name="@_laroux_제트베인_1_농협퇴비-함양(보통)_2007 교통신호기 설치공사 설계내역서(제1지역)_설계서_북부-1지역_사본 - LED - 개2 4" xfId="8685"/>
    <cellStyle name="@_laroux_제트베인_1_농협퇴비-함양(보통)_2007 교통신호기 설치공사 설계내역서(제1지역)_설계서_북부-1지역_사본 - LED - 개2_LED성동완" xfId="8686"/>
    <cellStyle name="@_laroux_제트베인_1_농협퇴비-함양(보통)_2007 교통신호기 설치공사 설계내역서(제1지역)_설계서_북부-1지역_사본 - LED - 개2_LED성동완 2" xfId="8687"/>
    <cellStyle name="@_laroux_제트베인_1_농협퇴비-함양(보통)_2007 교통신호기 설치공사 설계내역서(제1지역)_설계서_북부-1지역_사본 - LED - 개2_LED성동완 3" xfId="8688"/>
    <cellStyle name="@_laroux_제트베인_1_농협퇴비-함양(보통)_2007 교통신호기 설치공사 설계내역서(제1지역)_설계서_북부-1지역_사본 - LED - 개2_LED성동완 4" xfId="8689"/>
    <cellStyle name="@_laroux_제트베인_1_농협퇴비-함양(보통)_2007 교통신호기 설치공사 설계내역서(제1지역)_설계서_북부-1지역_사본 - LED - 개2_LED성동완_설계내역서" xfId="8690"/>
    <cellStyle name="@_laroux_제트베인_1_농협퇴비-함양(보통)_2007 교통신호기 설치공사 설계내역서(제1지역)_설계서_북부-1지역_사본 - LED - 개2_설계내역서" xfId="8691"/>
    <cellStyle name="@_laroux_제트베인_1_농협퇴비-함양(보통)_2007 교통신호기 설치공사 설계내역서(제1지역)_설계서_북부-1지역_사본 - LED성동 물량2" xfId="8692"/>
    <cellStyle name="@_laroux_제트베인_1_농협퇴비-함양(보통)_2007 교통신호기 설치공사 설계내역서(제1지역)_설계서_북부-1지역_사본 - LED성동 물량2 2" xfId="8693"/>
    <cellStyle name="@_laroux_제트베인_1_농협퇴비-함양(보통)_2007 교통신호기 설치공사 설계내역서(제1지역)_설계서_북부-1지역_사본 - LED성동 물량2 3" xfId="8694"/>
    <cellStyle name="@_laroux_제트베인_1_농협퇴비-함양(보통)_2007 교통신호기 설치공사 설계내역서(제1지역)_설계서_북부-1지역_사본 - LED성동 물량2 4" xfId="8695"/>
    <cellStyle name="@_laroux_제트베인_1_농협퇴비-함양(보통)_2007 교통신호기 설치공사 설계내역서(제1지역)_설계서_북부-1지역_사본 - LED성동 물량2_LED성동완" xfId="8696"/>
    <cellStyle name="@_laroux_제트베인_1_농협퇴비-함양(보통)_2007 교통신호기 설치공사 설계내역서(제1지역)_설계서_북부-1지역_사본 - LED성동 물량2_LED성동완 2" xfId="8697"/>
    <cellStyle name="@_laroux_제트베인_1_농협퇴비-함양(보통)_2007 교통신호기 설치공사 설계내역서(제1지역)_설계서_북부-1지역_사본 - LED성동 물량2_LED성동완 3" xfId="8698"/>
    <cellStyle name="@_laroux_제트베인_1_농협퇴비-함양(보통)_2007 교통신호기 설치공사 설계내역서(제1지역)_설계서_북부-1지역_사본 - LED성동 물량2_LED성동완 4" xfId="8699"/>
    <cellStyle name="@_laroux_제트베인_1_농협퇴비-함양(보통)_2007 교통신호기 설치공사 설계내역서(제1지역)_설계서_북부-1지역_사본 - LED성동 물량2_LED성동완_설계내역서" xfId="8700"/>
    <cellStyle name="@_laroux_제트베인_1_농협퇴비-함양(보통)_2007 교통신호기 설치공사 설계내역서(제1지역)_설계서_북부-1지역_사본 - LED성동 물량2_설계내역서" xfId="8701"/>
    <cellStyle name="@_laroux_제트베인_1_농협퇴비-함양(보통)_2007 교통신호기 설치공사 설계내역서(제1지역)_설계서_북부-1지역_설계내역서" xfId="8702"/>
    <cellStyle name="@_laroux_제트베인_1_농협퇴비-함양(보통)_2007 교통신호기 설치공사 설계내역서(제1지역)_설계서_사본 - LED - 개2" xfId="8703"/>
    <cellStyle name="@_laroux_제트베인_1_농협퇴비-함양(보통)_2007 교통신호기 설치공사 설계내역서(제1지역)_설계서_사본 - LED - 개2 2" xfId="8704"/>
    <cellStyle name="@_laroux_제트베인_1_농협퇴비-함양(보통)_2007 교통신호기 설치공사 설계내역서(제1지역)_설계서_사본 - LED - 개2 3" xfId="8705"/>
    <cellStyle name="@_laroux_제트베인_1_농협퇴비-함양(보통)_2007 교통신호기 설치공사 설계내역서(제1지역)_설계서_사본 - LED - 개2 4" xfId="8706"/>
    <cellStyle name="@_laroux_제트베인_1_농협퇴비-함양(보통)_2007 교통신호기 설치공사 설계내역서(제1지역)_설계서_사본 - LED - 개2_LED성동완" xfId="8707"/>
    <cellStyle name="@_laroux_제트베인_1_농협퇴비-함양(보통)_2007 교통신호기 설치공사 설계내역서(제1지역)_설계서_사본 - LED - 개2_LED성동완 2" xfId="8708"/>
    <cellStyle name="@_laroux_제트베인_1_농협퇴비-함양(보통)_2007 교통신호기 설치공사 설계내역서(제1지역)_설계서_사본 - LED - 개2_LED성동완 3" xfId="8709"/>
    <cellStyle name="@_laroux_제트베인_1_농협퇴비-함양(보통)_2007 교통신호기 설치공사 설계내역서(제1지역)_설계서_사본 - LED - 개2_LED성동완 4" xfId="8710"/>
    <cellStyle name="@_laroux_제트베인_1_농협퇴비-함양(보통)_2007 교통신호기 설치공사 설계내역서(제1지역)_설계서_사본 - LED - 개2_LED성동완_설계내역서" xfId="8711"/>
    <cellStyle name="@_laroux_제트베인_1_농협퇴비-함양(보통)_2007 교통신호기 설치공사 설계내역서(제1지역)_설계서_사본 - LED - 개2_설계내역서" xfId="8712"/>
    <cellStyle name="@_laroux_제트베인_1_농협퇴비-함양(보통)_2007 교통신호기 설치공사 설계내역서(제1지역)_설계서_사본 - LED성동 물량2" xfId="8713"/>
    <cellStyle name="@_laroux_제트베인_1_농협퇴비-함양(보통)_2007 교통신호기 설치공사 설계내역서(제1지역)_설계서_사본 - LED성동 물량2 2" xfId="8714"/>
    <cellStyle name="@_laroux_제트베인_1_농협퇴비-함양(보통)_2007 교통신호기 설치공사 설계내역서(제1지역)_설계서_사본 - LED성동 물량2 3" xfId="8715"/>
    <cellStyle name="@_laroux_제트베인_1_농협퇴비-함양(보통)_2007 교통신호기 설치공사 설계내역서(제1지역)_설계서_사본 - LED성동 물량2 4" xfId="8716"/>
    <cellStyle name="@_laroux_제트베인_1_농협퇴비-함양(보통)_2007 교통신호기 설치공사 설계내역서(제1지역)_설계서_사본 - LED성동 물량2_LED성동완" xfId="8717"/>
    <cellStyle name="@_laroux_제트베인_1_농협퇴비-함양(보통)_2007 교통신호기 설치공사 설계내역서(제1지역)_설계서_사본 - LED성동 물량2_LED성동완 2" xfId="8718"/>
    <cellStyle name="@_laroux_제트베인_1_농협퇴비-함양(보통)_2007 교통신호기 설치공사 설계내역서(제1지역)_설계서_사본 - LED성동 물량2_LED성동완 3" xfId="8719"/>
    <cellStyle name="@_laroux_제트베인_1_농협퇴비-함양(보통)_2007 교통신호기 설치공사 설계내역서(제1지역)_설계서_사본 - LED성동 물량2_LED성동완 4" xfId="8720"/>
    <cellStyle name="@_laroux_제트베인_1_농협퇴비-함양(보통)_2007 교통신호기 설치공사 설계내역서(제1지역)_설계서_사본 - LED성동 물량2_LED성동완_설계내역서" xfId="8721"/>
    <cellStyle name="@_laroux_제트베인_1_농협퇴비-함양(보통)_2007 교통신호기 설치공사 설계내역서(제1지역)_설계서_사본 - LED성동 물량2_설계내역서" xfId="8722"/>
    <cellStyle name="@_laroux_제트베인_1_농협퇴비-함양(보통)_2007 교통신호기 설치공사 설계내역서(제1지역)_설계서_설계내역서" xfId="8723"/>
    <cellStyle name="@_laroux_제트베인_1_농협퇴비-함양(보통)_2007 교통신호기 설치공사 설계내역서(제1지역)_어린이보호구역 내역서(낙찰율적용-수정)" xfId="8724"/>
    <cellStyle name="@_laroux_제트베인_1_농협퇴비-함양(보통)_2007 교통신호기 설치공사 설계내역서(제1지역)_어린이보호구역 내역서(낙찰율적용-수정) 2" xfId="8725"/>
    <cellStyle name="@_laroux_제트베인_1_농협퇴비-함양(보통)_2007 교통신호기 설치공사 설계내역서(제1지역)_어린이보호구역 내역서(낙찰율적용-수정) 3" xfId="8726"/>
    <cellStyle name="@_laroux_제트베인_1_농협퇴비-함양(보통)_2007 교통신호기 설치공사 설계내역서(제1지역)_어린이보호구역 내역서(낙찰율적용-수정) 4" xfId="8727"/>
    <cellStyle name="@_laroux_제트베인_1_농협퇴비-함양(보통)_2007 교통신호기 설치공사 설계내역서(제1지역)_어린이보호구역 내역서(낙찰율적용-수정)_설계내역서" xfId="8728"/>
    <cellStyle name="@_laroux_제트베인_1_농협퇴비-함양(보통)_2007 교통신호기 설치공사 설계내역서(제1지역)_어린이보호구역신호기설치공사(신서초교외 11개소)" xfId="8729"/>
    <cellStyle name="@_laroux_제트베인_1_농협퇴비-함양(보통)_2007 교통신호기 설치공사 설계내역서(제1지역)_어린이보호구역신호기설치공사(신서초교외 11개소) 2" xfId="8730"/>
    <cellStyle name="@_laroux_제트베인_1_농협퇴비-함양(보통)_2007 교통신호기 설치공사 설계내역서(제1지역)_어린이보호구역신호기설치공사(신서초교외 11개소) 3" xfId="8731"/>
    <cellStyle name="@_laroux_제트베인_1_농협퇴비-함양(보통)_2007 교통신호기 설치공사 설계내역서(제1지역)_어린이보호구역신호기설치공사(신서초교외 11개소) 4" xfId="8732"/>
    <cellStyle name="@_laroux_제트베인_1_농협퇴비-함양(보통)_2007 교통신호기 설치공사 설계내역서(제1지역)_어린이보호구역신호기설치공사(신서초교외 11개소)_설계내역서" xfId="8733"/>
    <cellStyle name="@_laroux_제트베인_1_농협퇴비-함양(보통)_2007 교통신호기 설치공사 설계내역서(제1지역)_일위대가표2" xfId="8734"/>
    <cellStyle name="@_laroux_제트베인_1_농협퇴비-함양(보통)_2007 교통신호기 설치공사 설계내역서(제1지역)_일위대가표2 2" xfId="8735"/>
    <cellStyle name="@_laroux_제트베인_1_농협퇴비-함양(보통)_2007 교통신호기 설치공사 설계내역서(제1지역)_일위대가표2 3" xfId="8736"/>
    <cellStyle name="@_laroux_제트베인_1_농협퇴비-함양(보통)_2007 교통신호기 설치공사 설계내역서(제1지역)_일위대가표2 4" xfId="8737"/>
    <cellStyle name="@_laroux_제트베인_1_농협퇴비-함양(보통)_2007 교통신호기 설치공사 설계내역서(제1지역)_일위대가표2_설계내역서" xfId="8738"/>
    <cellStyle name="@_laroux_제트베인_1_농협퇴비-함양(보통)_LED - 개2" xfId="8739"/>
    <cellStyle name="@_laroux_제트베인_1_농협퇴비-함양(보통)_LED - 개2 2" xfId="8740"/>
    <cellStyle name="@_laroux_제트베인_1_농협퇴비-함양(보통)_LED - 개2 3" xfId="8741"/>
    <cellStyle name="@_laroux_제트베인_1_농협퇴비-함양(보통)_LED - 개2 4" xfId="8742"/>
    <cellStyle name="@_laroux_제트베인_1_농협퇴비-함양(보통)_LED - 개2_LED성동완" xfId="8743"/>
    <cellStyle name="@_laroux_제트베인_1_농협퇴비-함양(보통)_LED - 개2_LED성동완 2" xfId="8744"/>
    <cellStyle name="@_laroux_제트베인_1_농협퇴비-함양(보통)_LED - 개2_LED성동완 3" xfId="8745"/>
    <cellStyle name="@_laroux_제트베인_1_농협퇴비-함양(보통)_LED - 개2_LED성동완 4" xfId="8746"/>
    <cellStyle name="@_laroux_제트베인_1_농협퇴비-함양(보통)_LED - 개2_LED성동완_설계내역서" xfId="8747"/>
    <cellStyle name="@_laroux_제트베인_1_농협퇴비-함양(보통)_LED - 개2_설계내역서" xfId="8748"/>
    <cellStyle name="@_laroux_제트베인_1_농협퇴비-함양(보통)_롯데백화점미아점신호물량-가공" xfId="8749"/>
    <cellStyle name="@_laroux_제트베인_1_농협퇴비-함양(보통)_롯데백화점미아점신호물량-가공 2" xfId="8750"/>
    <cellStyle name="@_laroux_제트베인_1_농협퇴비-함양(보통)_롯데백화점미아점신호물량-가공 3" xfId="8751"/>
    <cellStyle name="@_laroux_제트베인_1_농협퇴비-함양(보통)_롯데백화점미아점신호물량-가공 4" xfId="8752"/>
    <cellStyle name="@_laroux_제트베인_1_농협퇴비-함양(보통)_롯데백화점미아점신호물량-가공_설계내역서" xfId="8753"/>
    <cellStyle name="@_laroux_제트베인_1_농협퇴비-함양(보통)_북부-1지역" xfId="8754"/>
    <cellStyle name="@_laroux_제트베인_1_농협퇴비-함양(보통)_북부-1지역 2" xfId="8755"/>
    <cellStyle name="@_laroux_제트베인_1_농협퇴비-함양(보통)_북부-1지역 3" xfId="8756"/>
    <cellStyle name="@_laroux_제트베인_1_농협퇴비-함양(보통)_북부-1지역 4" xfId="8757"/>
    <cellStyle name="@_laroux_제트베인_1_농협퇴비-함양(보통)_북부-1지역_LED - 개2" xfId="8758"/>
    <cellStyle name="@_laroux_제트베인_1_농협퇴비-함양(보통)_북부-1지역_LED - 개2 2" xfId="8759"/>
    <cellStyle name="@_laroux_제트베인_1_농협퇴비-함양(보통)_북부-1지역_LED - 개2 3" xfId="8760"/>
    <cellStyle name="@_laroux_제트베인_1_농협퇴비-함양(보통)_북부-1지역_LED - 개2 4" xfId="8761"/>
    <cellStyle name="@_laroux_제트베인_1_농협퇴비-함양(보통)_북부-1지역_LED - 개2_LED성동완" xfId="8762"/>
    <cellStyle name="@_laroux_제트베인_1_농협퇴비-함양(보통)_북부-1지역_LED - 개2_LED성동완 2" xfId="8763"/>
    <cellStyle name="@_laroux_제트베인_1_농협퇴비-함양(보통)_북부-1지역_LED - 개2_LED성동완 3" xfId="8764"/>
    <cellStyle name="@_laroux_제트베인_1_농협퇴비-함양(보통)_북부-1지역_LED - 개2_LED성동완 4" xfId="8765"/>
    <cellStyle name="@_laroux_제트베인_1_농협퇴비-함양(보통)_북부-1지역_LED - 개2_LED성동완_설계내역서" xfId="8766"/>
    <cellStyle name="@_laroux_제트베인_1_농협퇴비-함양(보통)_북부-1지역_LED - 개2_설계내역서" xfId="8767"/>
    <cellStyle name="@_laroux_제트베인_1_농협퇴비-함양(보통)_북부-1지역_사본 - LED - 개2" xfId="8768"/>
    <cellStyle name="@_laroux_제트베인_1_농협퇴비-함양(보통)_북부-1지역_사본 - LED - 개2 2" xfId="8769"/>
    <cellStyle name="@_laroux_제트베인_1_농협퇴비-함양(보통)_북부-1지역_사본 - LED - 개2 3" xfId="8770"/>
    <cellStyle name="@_laroux_제트베인_1_농협퇴비-함양(보통)_북부-1지역_사본 - LED - 개2 4" xfId="8771"/>
    <cellStyle name="@_laroux_제트베인_1_농협퇴비-함양(보통)_북부-1지역_사본 - LED - 개2_LED성동완" xfId="8772"/>
    <cellStyle name="@_laroux_제트베인_1_농협퇴비-함양(보통)_북부-1지역_사본 - LED - 개2_LED성동완 2" xfId="8773"/>
    <cellStyle name="@_laroux_제트베인_1_농협퇴비-함양(보통)_북부-1지역_사본 - LED - 개2_LED성동완 3" xfId="8774"/>
    <cellStyle name="@_laroux_제트베인_1_농협퇴비-함양(보통)_북부-1지역_사본 - LED - 개2_LED성동완 4" xfId="8775"/>
    <cellStyle name="@_laroux_제트베인_1_농협퇴비-함양(보통)_북부-1지역_사본 - LED - 개2_LED성동완_설계내역서" xfId="8776"/>
    <cellStyle name="@_laroux_제트베인_1_농협퇴비-함양(보통)_북부-1지역_사본 - LED - 개2_설계내역서" xfId="8777"/>
    <cellStyle name="@_laroux_제트베인_1_농협퇴비-함양(보통)_북부-1지역_사본 - LED성동 물량2" xfId="8778"/>
    <cellStyle name="@_laroux_제트베인_1_농협퇴비-함양(보통)_북부-1지역_사본 - LED성동 물량2 2" xfId="8779"/>
    <cellStyle name="@_laroux_제트베인_1_농협퇴비-함양(보통)_북부-1지역_사본 - LED성동 물량2 3" xfId="8780"/>
    <cellStyle name="@_laroux_제트베인_1_농협퇴비-함양(보통)_북부-1지역_사본 - LED성동 물량2 4" xfId="8781"/>
    <cellStyle name="@_laroux_제트베인_1_농협퇴비-함양(보통)_북부-1지역_사본 - LED성동 물량2_LED성동완" xfId="8782"/>
    <cellStyle name="@_laroux_제트베인_1_농협퇴비-함양(보통)_북부-1지역_사본 - LED성동 물량2_LED성동완 2" xfId="8783"/>
    <cellStyle name="@_laroux_제트베인_1_농협퇴비-함양(보통)_북부-1지역_사본 - LED성동 물량2_LED성동완 3" xfId="8784"/>
    <cellStyle name="@_laroux_제트베인_1_농협퇴비-함양(보통)_북부-1지역_사본 - LED성동 물량2_LED성동완 4" xfId="8785"/>
    <cellStyle name="@_laroux_제트베인_1_농협퇴비-함양(보통)_북부-1지역_사본 - LED성동 물량2_LED성동완_설계내역서" xfId="8786"/>
    <cellStyle name="@_laroux_제트베인_1_농협퇴비-함양(보통)_북부-1지역_사본 - LED성동 물량2_설계내역서" xfId="8787"/>
    <cellStyle name="@_laroux_제트베인_1_농협퇴비-함양(보통)_북부-1지역_설계내역서" xfId="8788"/>
    <cellStyle name="@_laroux_제트베인_1_농협퇴비-함양(보통)_사본 - LED - 개2" xfId="8789"/>
    <cellStyle name="@_laroux_제트베인_1_농협퇴비-함양(보통)_사본 - LED - 개2 2" xfId="8790"/>
    <cellStyle name="@_laroux_제트베인_1_농협퇴비-함양(보통)_사본 - LED - 개2 3" xfId="8791"/>
    <cellStyle name="@_laroux_제트베인_1_농협퇴비-함양(보통)_사본 - LED - 개2 4" xfId="8792"/>
    <cellStyle name="@_laroux_제트베인_1_농협퇴비-함양(보통)_사본 - LED - 개2_LED성동완" xfId="8793"/>
    <cellStyle name="@_laroux_제트베인_1_농협퇴비-함양(보통)_사본 - LED - 개2_LED성동완 2" xfId="8794"/>
    <cellStyle name="@_laroux_제트베인_1_농협퇴비-함양(보통)_사본 - LED - 개2_LED성동완 3" xfId="8795"/>
    <cellStyle name="@_laroux_제트베인_1_농협퇴비-함양(보통)_사본 - LED - 개2_LED성동완 4" xfId="8796"/>
    <cellStyle name="@_laroux_제트베인_1_농협퇴비-함양(보통)_사본 - LED - 개2_LED성동완_설계내역서" xfId="8797"/>
    <cellStyle name="@_laroux_제트베인_1_농협퇴비-함양(보통)_사본 - LED - 개2_설계내역서" xfId="8798"/>
    <cellStyle name="@_laroux_제트베인_1_농협퇴비-함양(보통)_사본 - LED성동 물량2" xfId="8799"/>
    <cellStyle name="@_laroux_제트베인_1_농협퇴비-함양(보통)_사본 - LED성동 물량2 2" xfId="8800"/>
    <cellStyle name="@_laroux_제트베인_1_농협퇴비-함양(보통)_사본 - LED성동 물량2 3" xfId="8801"/>
    <cellStyle name="@_laroux_제트베인_1_농협퇴비-함양(보통)_사본 - LED성동 물량2 4" xfId="8802"/>
    <cellStyle name="@_laroux_제트베인_1_농협퇴비-함양(보통)_사본 - LED성동 물량2_LED성동완" xfId="8803"/>
    <cellStyle name="@_laroux_제트베인_1_농협퇴비-함양(보통)_사본 - LED성동 물량2_LED성동완 2" xfId="8804"/>
    <cellStyle name="@_laroux_제트베인_1_농협퇴비-함양(보통)_사본 - LED성동 물량2_LED성동완 3" xfId="8805"/>
    <cellStyle name="@_laroux_제트베인_1_농협퇴비-함양(보통)_사본 - LED성동 물량2_LED성동완 4" xfId="8806"/>
    <cellStyle name="@_laroux_제트베인_1_농협퇴비-함양(보통)_사본 - LED성동 물량2_LED성동완_설계내역서" xfId="8807"/>
    <cellStyle name="@_laroux_제트베인_1_농협퇴비-함양(보통)_사본 - LED성동 물량2_설계내역서" xfId="8808"/>
    <cellStyle name="@_laroux_제트베인_1_농협퇴비-함양(보통)_설계내역서" xfId="8809"/>
    <cellStyle name="@_laroux_제트베인_1_농협퇴비-함양(보통)_신호일위내역서2007굴착(설변)" xfId="8810"/>
    <cellStyle name="@_laroux_제트베인_1_농협퇴비-함양(보통)_신호일위내역서2007굴착(설변) 2" xfId="8811"/>
    <cellStyle name="@_laroux_제트베인_1_농협퇴비-함양(보통)_신호일위내역서2007굴착(설변) 3" xfId="8812"/>
    <cellStyle name="@_laroux_제트베인_1_농협퇴비-함양(보통)_신호일위내역서2007굴착(설변) 4" xfId="8813"/>
    <cellStyle name="@_laroux_제트베인_1_농협퇴비-함양(보통)_신호일위내역서2007굴착(설변)_설계내역서" xfId="8814"/>
    <cellStyle name="@_laroux_제트베인_1_농협퇴비-함양(보통)_통신15%(최종)" xfId="8815"/>
    <cellStyle name="@_laroux_제트베인_1_농협퇴비-함양(보통)_통신15%(최종) 2" xfId="8816"/>
    <cellStyle name="@_laroux_제트베인_1_농협퇴비-함양(보통)_통신15%(최종) 3" xfId="8817"/>
    <cellStyle name="@_laroux_제트베인_1_농협퇴비-함양(보통)_통신15%(최종) 4" xfId="8818"/>
    <cellStyle name="@_laroux_제트베인_1_농협퇴비-함양(보통)_통신15%(최종)_설계내역서" xfId="8819"/>
    <cellStyle name="@_laroux_제트베인_1_롯데백화점미아점신호물량-가공" xfId="8820"/>
    <cellStyle name="@_laroux_제트베인_1_롯데백화점미아점신호물량-가공 2" xfId="8821"/>
    <cellStyle name="@_laroux_제트베인_1_롯데백화점미아점신호물량-가공 3" xfId="8822"/>
    <cellStyle name="@_laroux_제트베인_1_롯데백화점미아점신호물량-가공 4" xfId="8823"/>
    <cellStyle name="@_laroux_제트베인_1_롯데백화점미아점신호물량-가공_설계내역서" xfId="8824"/>
    <cellStyle name="@_laroux_제트베인_1_마창VMS1EA" xfId="8825"/>
    <cellStyle name="@_laroux_제트베인_1_마창VMS1EA 2" xfId="8826"/>
    <cellStyle name="@_laroux_제트베인_1_마창VMS1EA 3" xfId="8827"/>
    <cellStyle name="@_laroux_제트베인_1_마창VMS1EA 4" xfId="8828"/>
    <cellStyle name="@_laroux_제트베인_1_마창VMS1EA_광명_주정차시스템 견적서(한일에스티엠_4억9천)" xfId="8829"/>
    <cellStyle name="@_laroux_제트베인_1_마창VMS1EA_광명_주정차시스템 견적서(한일에스티엠_4억9천) 2" xfId="8830"/>
    <cellStyle name="@_laroux_제트베인_1_마창VMS1EA_광명_주정차시스템 견적서(한일에스티엠_4억9천) 3" xfId="8831"/>
    <cellStyle name="@_laroux_제트베인_1_마창VMS1EA_광명_주정차시스템 견적서(한일에스티엠_4억9천) 4" xfId="8832"/>
    <cellStyle name="@_laroux_제트베인_1_마창VMS1EA_광명_주정차시스템 견적서(한일에스티엠_4억9천)_설계내역서" xfId="8833"/>
    <cellStyle name="@_laroux_제트베인_1_마창VMS1EA_광명_주정차시스템 견적서(한일에스티엠_4억9천)_성남시 불법주정차자동_견적서" xfId="8834"/>
    <cellStyle name="@_laroux_제트베인_1_마창VMS1EA_광명_주정차시스템 견적서(한일에스티엠_4억9천)_성남시 불법주정차자동_견적서 2" xfId="8835"/>
    <cellStyle name="@_laroux_제트베인_1_마창VMS1EA_광명_주정차시스템 견적서(한일에스티엠_4억9천)_성남시 불법주정차자동_견적서 3" xfId="8836"/>
    <cellStyle name="@_laroux_제트베인_1_마창VMS1EA_광명_주정차시스템 견적서(한일에스티엠_4억9천)_성남시 불법주정차자동_견적서 4" xfId="8837"/>
    <cellStyle name="@_laroux_제트베인_1_마창VMS1EA_광명_주정차시스템 견적서(한일에스티엠_4억9천)_성남시 불법주정차자동_견적서_견적서_ 한일에스티엠" xfId="8838"/>
    <cellStyle name="@_laroux_제트베인_1_마창VMS1EA_광명_주정차시스템 견적서(한일에스티엠_4억9천)_성남시 불법주정차자동_견적서_견적서_ 한일에스티엠 2" xfId="8839"/>
    <cellStyle name="@_laroux_제트베인_1_마창VMS1EA_광명_주정차시스템 견적서(한일에스티엠_4억9천)_성남시 불법주정차자동_견적서_견적서_ 한일에스티엠 3" xfId="8840"/>
    <cellStyle name="@_laroux_제트베인_1_마창VMS1EA_광명_주정차시스템 견적서(한일에스티엠_4억9천)_성남시 불법주정차자동_견적서_견적서_ 한일에스티엠 4" xfId="8841"/>
    <cellStyle name="@_laroux_제트베인_1_마창VMS1EA_광명_주정차시스템 견적서(한일에스티엠_4억9천)_성남시 불법주정차자동_견적서_견적서_ 한일에스티엠_설계내역서" xfId="8842"/>
    <cellStyle name="@_laroux_제트베인_1_마창VMS1EA_광명_주정차시스템 견적서(한일에스티엠_4억9천)_성남시 불법주정차자동_견적서_설계내역서" xfId="8843"/>
    <cellStyle name="@_laroux_제트베인_1_마창VMS1EA_광명_주정차시스템 견적서(한일에스티엠_수정본)" xfId="8844"/>
    <cellStyle name="@_laroux_제트베인_1_마창VMS1EA_광명_주정차시스템 견적서(한일에스티엠_수정본) 2" xfId="8845"/>
    <cellStyle name="@_laroux_제트베인_1_마창VMS1EA_광명_주정차시스템 견적서(한일에스티엠_수정본) 3" xfId="8846"/>
    <cellStyle name="@_laroux_제트베인_1_마창VMS1EA_광명_주정차시스템 견적서(한일에스티엠_수정본) 4" xfId="8847"/>
    <cellStyle name="@_laroux_제트베인_1_마창VMS1EA_광명_주정차시스템 견적서(한일에스티엠_수정본)_설계내역서" xfId="8848"/>
    <cellStyle name="@_laroux_제트베인_1_마창VMS1EA_광명_주정차시스템 견적서(한일에스티엠_수정본)_성남시 불법주정차자동_견적서" xfId="8849"/>
    <cellStyle name="@_laroux_제트베인_1_마창VMS1EA_광명_주정차시스템 견적서(한일에스티엠_수정본)_성남시 불법주정차자동_견적서 2" xfId="8850"/>
    <cellStyle name="@_laroux_제트베인_1_마창VMS1EA_광명_주정차시스템 견적서(한일에스티엠_수정본)_성남시 불법주정차자동_견적서 3" xfId="8851"/>
    <cellStyle name="@_laroux_제트베인_1_마창VMS1EA_광명_주정차시스템 견적서(한일에스티엠_수정본)_성남시 불법주정차자동_견적서 4" xfId="8852"/>
    <cellStyle name="@_laroux_제트베인_1_마창VMS1EA_광명_주정차시스템 견적서(한일에스티엠_수정본)_성남시 불법주정차자동_견적서_견적서_ 한일에스티엠" xfId="8853"/>
    <cellStyle name="@_laroux_제트베인_1_마창VMS1EA_광명_주정차시스템 견적서(한일에스티엠_수정본)_성남시 불법주정차자동_견적서_견적서_ 한일에스티엠 2" xfId="8854"/>
    <cellStyle name="@_laroux_제트베인_1_마창VMS1EA_광명_주정차시스템 견적서(한일에스티엠_수정본)_성남시 불법주정차자동_견적서_견적서_ 한일에스티엠 3" xfId="8855"/>
    <cellStyle name="@_laroux_제트베인_1_마창VMS1EA_광명_주정차시스템 견적서(한일에스티엠_수정본)_성남시 불법주정차자동_견적서_견적서_ 한일에스티엠 4" xfId="8856"/>
    <cellStyle name="@_laroux_제트베인_1_마창VMS1EA_광명_주정차시스템 견적서(한일에스티엠_수정본)_성남시 불법주정차자동_견적서_견적서_ 한일에스티엠_설계내역서" xfId="8857"/>
    <cellStyle name="@_laroux_제트베인_1_마창VMS1EA_광명_주정차시스템 견적서(한일에스티엠_수정본)_성남시 불법주정차자동_견적서_설계내역서" xfId="8858"/>
    <cellStyle name="@_laroux_제트베인_1_마창VMS1EA_설계내역서" xfId="8859"/>
    <cellStyle name="@_laroux_제트베인_1_마창VMS1EA_성남시 불법주정차자동_견적서" xfId="8860"/>
    <cellStyle name="@_laroux_제트베인_1_마창VMS1EA_성남시 불법주정차자동_견적서 2" xfId="8861"/>
    <cellStyle name="@_laroux_제트베인_1_마창VMS1EA_성남시 불법주정차자동_견적서 3" xfId="8862"/>
    <cellStyle name="@_laroux_제트베인_1_마창VMS1EA_성남시 불법주정차자동_견적서 4" xfId="8863"/>
    <cellStyle name="@_laroux_제트베인_1_마창VMS1EA_성남시 불법주정차자동_견적서_견적서_ 한일에스티엠" xfId="8864"/>
    <cellStyle name="@_laroux_제트베인_1_마창VMS1EA_성남시 불법주정차자동_견적서_견적서_ 한일에스티엠 2" xfId="8865"/>
    <cellStyle name="@_laroux_제트베인_1_마창VMS1EA_성남시 불법주정차자동_견적서_견적서_ 한일에스티엠 3" xfId="8866"/>
    <cellStyle name="@_laroux_제트베인_1_마창VMS1EA_성남시 불법주정차자동_견적서_견적서_ 한일에스티엠 4" xfId="8867"/>
    <cellStyle name="@_laroux_제트베인_1_마창VMS1EA_성남시 불법주정차자동_견적서_견적서_ 한일에스티엠_설계내역서" xfId="8868"/>
    <cellStyle name="@_laroux_제트베인_1_마창VMS1EA_성남시 불법주정차자동_견적서_설계내역서" xfId="8869"/>
    <cellStyle name="@_laroux_제트베인_1_마창VMS1EA-2" xfId="8870"/>
    <cellStyle name="@_laroux_제트베인_1_마창VMS1EA-2 2" xfId="8871"/>
    <cellStyle name="@_laroux_제트베인_1_마창VMS1EA-2 3" xfId="8872"/>
    <cellStyle name="@_laroux_제트베인_1_마창VMS1EA-2 4" xfId="8873"/>
    <cellStyle name="@_laroux_제트베인_1_마창VMS1EA-2_광명_주정차시스템 견적서(한일에스티엠_4억9천)" xfId="8874"/>
    <cellStyle name="@_laroux_제트베인_1_마창VMS1EA-2_광명_주정차시스템 견적서(한일에스티엠_4억9천) 2" xfId="8875"/>
    <cellStyle name="@_laroux_제트베인_1_마창VMS1EA-2_광명_주정차시스템 견적서(한일에스티엠_4억9천) 3" xfId="8876"/>
    <cellStyle name="@_laroux_제트베인_1_마창VMS1EA-2_광명_주정차시스템 견적서(한일에스티엠_4억9천) 4" xfId="8877"/>
    <cellStyle name="@_laroux_제트베인_1_마창VMS1EA-2_광명_주정차시스템 견적서(한일에스티엠_4억9천)_설계내역서" xfId="8878"/>
    <cellStyle name="@_laroux_제트베인_1_마창VMS1EA-2_광명_주정차시스템 견적서(한일에스티엠_4억9천)_성남시 불법주정차자동_견적서" xfId="8879"/>
    <cellStyle name="@_laroux_제트베인_1_마창VMS1EA-2_광명_주정차시스템 견적서(한일에스티엠_4억9천)_성남시 불법주정차자동_견적서 2" xfId="8880"/>
    <cellStyle name="@_laroux_제트베인_1_마창VMS1EA-2_광명_주정차시스템 견적서(한일에스티엠_4억9천)_성남시 불법주정차자동_견적서 3" xfId="8881"/>
    <cellStyle name="@_laroux_제트베인_1_마창VMS1EA-2_광명_주정차시스템 견적서(한일에스티엠_4억9천)_성남시 불법주정차자동_견적서 4" xfId="8882"/>
    <cellStyle name="@_laroux_제트베인_1_마창VMS1EA-2_광명_주정차시스템 견적서(한일에스티엠_4억9천)_성남시 불법주정차자동_견적서_견적서_ 한일에스티엠" xfId="8883"/>
    <cellStyle name="@_laroux_제트베인_1_마창VMS1EA-2_광명_주정차시스템 견적서(한일에스티엠_4억9천)_성남시 불법주정차자동_견적서_견적서_ 한일에스티엠 2" xfId="8884"/>
    <cellStyle name="@_laroux_제트베인_1_마창VMS1EA-2_광명_주정차시스템 견적서(한일에스티엠_4억9천)_성남시 불법주정차자동_견적서_견적서_ 한일에스티엠 3" xfId="8885"/>
    <cellStyle name="@_laroux_제트베인_1_마창VMS1EA-2_광명_주정차시스템 견적서(한일에스티엠_4억9천)_성남시 불법주정차자동_견적서_견적서_ 한일에스티엠 4" xfId="8886"/>
    <cellStyle name="@_laroux_제트베인_1_마창VMS1EA-2_광명_주정차시스템 견적서(한일에스티엠_4억9천)_성남시 불법주정차자동_견적서_견적서_ 한일에스티엠_설계내역서" xfId="8887"/>
    <cellStyle name="@_laroux_제트베인_1_마창VMS1EA-2_광명_주정차시스템 견적서(한일에스티엠_4억9천)_성남시 불법주정차자동_견적서_설계내역서" xfId="8888"/>
    <cellStyle name="@_laroux_제트베인_1_마창VMS1EA-2_광명_주정차시스템 견적서(한일에스티엠_수정본)" xfId="8889"/>
    <cellStyle name="@_laroux_제트베인_1_마창VMS1EA-2_광명_주정차시스템 견적서(한일에스티엠_수정본) 2" xfId="8890"/>
    <cellStyle name="@_laroux_제트베인_1_마창VMS1EA-2_광명_주정차시스템 견적서(한일에스티엠_수정본) 3" xfId="8891"/>
    <cellStyle name="@_laroux_제트베인_1_마창VMS1EA-2_광명_주정차시스템 견적서(한일에스티엠_수정본) 4" xfId="8892"/>
    <cellStyle name="@_laroux_제트베인_1_마창VMS1EA-2_광명_주정차시스템 견적서(한일에스티엠_수정본)_설계내역서" xfId="8893"/>
    <cellStyle name="@_laroux_제트베인_1_마창VMS1EA-2_광명_주정차시스템 견적서(한일에스티엠_수정본)_성남시 불법주정차자동_견적서" xfId="8894"/>
    <cellStyle name="@_laroux_제트베인_1_마창VMS1EA-2_광명_주정차시스템 견적서(한일에스티엠_수정본)_성남시 불법주정차자동_견적서 2" xfId="8895"/>
    <cellStyle name="@_laroux_제트베인_1_마창VMS1EA-2_광명_주정차시스템 견적서(한일에스티엠_수정본)_성남시 불법주정차자동_견적서 3" xfId="8896"/>
    <cellStyle name="@_laroux_제트베인_1_마창VMS1EA-2_광명_주정차시스템 견적서(한일에스티엠_수정본)_성남시 불법주정차자동_견적서 4" xfId="8897"/>
    <cellStyle name="@_laroux_제트베인_1_마창VMS1EA-2_광명_주정차시스템 견적서(한일에스티엠_수정본)_성남시 불법주정차자동_견적서_견적서_ 한일에스티엠" xfId="8898"/>
    <cellStyle name="@_laroux_제트베인_1_마창VMS1EA-2_광명_주정차시스템 견적서(한일에스티엠_수정본)_성남시 불법주정차자동_견적서_견적서_ 한일에스티엠 2" xfId="8899"/>
    <cellStyle name="@_laroux_제트베인_1_마창VMS1EA-2_광명_주정차시스템 견적서(한일에스티엠_수정본)_성남시 불법주정차자동_견적서_견적서_ 한일에스티엠 3" xfId="8900"/>
    <cellStyle name="@_laroux_제트베인_1_마창VMS1EA-2_광명_주정차시스템 견적서(한일에스티엠_수정본)_성남시 불법주정차자동_견적서_견적서_ 한일에스티엠 4" xfId="8901"/>
    <cellStyle name="@_laroux_제트베인_1_마창VMS1EA-2_광명_주정차시스템 견적서(한일에스티엠_수정본)_성남시 불법주정차자동_견적서_견적서_ 한일에스티엠_설계내역서" xfId="8902"/>
    <cellStyle name="@_laroux_제트베인_1_마창VMS1EA-2_광명_주정차시스템 견적서(한일에스티엠_수정본)_성남시 불법주정차자동_견적서_설계내역서" xfId="8903"/>
    <cellStyle name="@_laroux_제트베인_1_마창VMS1EA-2_설계내역서" xfId="8904"/>
    <cellStyle name="@_laroux_제트베인_1_마창VMS1EA-2_성남시 불법주정차자동_견적서" xfId="8905"/>
    <cellStyle name="@_laroux_제트베인_1_마창VMS1EA-2_성남시 불법주정차자동_견적서 2" xfId="8906"/>
    <cellStyle name="@_laroux_제트베인_1_마창VMS1EA-2_성남시 불법주정차자동_견적서 3" xfId="8907"/>
    <cellStyle name="@_laroux_제트베인_1_마창VMS1EA-2_성남시 불법주정차자동_견적서 4" xfId="8908"/>
    <cellStyle name="@_laroux_제트베인_1_마창VMS1EA-2_성남시 불법주정차자동_견적서_견적서_ 한일에스티엠" xfId="8909"/>
    <cellStyle name="@_laroux_제트베인_1_마창VMS1EA-2_성남시 불법주정차자동_견적서_견적서_ 한일에스티엠 2" xfId="8910"/>
    <cellStyle name="@_laroux_제트베인_1_마창VMS1EA-2_성남시 불법주정차자동_견적서_견적서_ 한일에스티엠 3" xfId="8911"/>
    <cellStyle name="@_laroux_제트베인_1_마창VMS1EA-2_성남시 불법주정차자동_견적서_견적서_ 한일에스티엠 4" xfId="8912"/>
    <cellStyle name="@_laroux_제트베인_1_마창VMS1EA-2_성남시 불법주정차자동_견적서_견적서_ 한일에스티엠_설계내역서" xfId="8913"/>
    <cellStyle name="@_laroux_제트베인_1_마창VMS1EA-2_성남시 불법주정차자동_견적서_설계내역서" xfId="8914"/>
    <cellStyle name="@_laroux_제트베인_1_북부-1지역" xfId="8915"/>
    <cellStyle name="@_laroux_제트베인_1_북부-1지역 2" xfId="8916"/>
    <cellStyle name="@_laroux_제트베인_1_북부-1지역 3" xfId="8917"/>
    <cellStyle name="@_laroux_제트베인_1_북부-1지역 4" xfId="8918"/>
    <cellStyle name="@_laroux_제트베인_1_북부-1지역_LED - 개2" xfId="8919"/>
    <cellStyle name="@_laroux_제트베인_1_북부-1지역_LED - 개2 2" xfId="8920"/>
    <cellStyle name="@_laroux_제트베인_1_북부-1지역_LED - 개2 3" xfId="8921"/>
    <cellStyle name="@_laroux_제트베인_1_북부-1지역_LED - 개2 4" xfId="8922"/>
    <cellStyle name="@_laroux_제트베인_1_북부-1지역_LED - 개2_LED성동완" xfId="8923"/>
    <cellStyle name="@_laroux_제트베인_1_북부-1지역_LED - 개2_LED성동완 2" xfId="8924"/>
    <cellStyle name="@_laroux_제트베인_1_북부-1지역_LED - 개2_LED성동완 3" xfId="8925"/>
    <cellStyle name="@_laroux_제트베인_1_북부-1지역_LED - 개2_LED성동완 4" xfId="8926"/>
    <cellStyle name="@_laroux_제트베인_1_북부-1지역_LED - 개2_LED성동완_설계내역서" xfId="8927"/>
    <cellStyle name="@_laroux_제트베인_1_북부-1지역_LED - 개2_설계내역서" xfId="8928"/>
    <cellStyle name="@_laroux_제트베인_1_북부-1지역_사본 - LED - 개2" xfId="8929"/>
    <cellStyle name="@_laroux_제트베인_1_북부-1지역_사본 - LED - 개2 2" xfId="8930"/>
    <cellStyle name="@_laroux_제트베인_1_북부-1지역_사본 - LED - 개2 3" xfId="8931"/>
    <cellStyle name="@_laroux_제트베인_1_북부-1지역_사본 - LED - 개2 4" xfId="8932"/>
    <cellStyle name="@_laroux_제트베인_1_북부-1지역_사본 - LED - 개2_LED성동완" xfId="8933"/>
    <cellStyle name="@_laroux_제트베인_1_북부-1지역_사본 - LED - 개2_LED성동완 2" xfId="8934"/>
    <cellStyle name="@_laroux_제트베인_1_북부-1지역_사본 - LED - 개2_LED성동완 3" xfId="8935"/>
    <cellStyle name="@_laroux_제트베인_1_북부-1지역_사본 - LED - 개2_LED성동완 4" xfId="8936"/>
    <cellStyle name="@_laroux_제트베인_1_북부-1지역_사본 - LED - 개2_LED성동완_설계내역서" xfId="8937"/>
    <cellStyle name="@_laroux_제트베인_1_북부-1지역_사본 - LED - 개2_설계내역서" xfId="8938"/>
    <cellStyle name="@_laroux_제트베인_1_북부-1지역_사본 - LED성동 물량2" xfId="8939"/>
    <cellStyle name="@_laroux_제트베인_1_북부-1지역_사본 - LED성동 물량2 2" xfId="8940"/>
    <cellStyle name="@_laroux_제트베인_1_북부-1지역_사본 - LED성동 물량2 3" xfId="8941"/>
    <cellStyle name="@_laroux_제트베인_1_북부-1지역_사본 - LED성동 물량2 4" xfId="8942"/>
    <cellStyle name="@_laroux_제트베인_1_북부-1지역_사본 - LED성동 물량2_LED성동완" xfId="8943"/>
    <cellStyle name="@_laroux_제트베인_1_북부-1지역_사본 - LED성동 물량2_LED성동완 2" xfId="8944"/>
    <cellStyle name="@_laroux_제트베인_1_북부-1지역_사본 - LED성동 물량2_LED성동완 3" xfId="8945"/>
    <cellStyle name="@_laroux_제트베인_1_북부-1지역_사본 - LED성동 물량2_LED성동완 4" xfId="8946"/>
    <cellStyle name="@_laroux_제트베인_1_북부-1지역_사본 - LED성동 물량2_LED성동완_설계내역서" xfId="8947"/>
    <cellStyle name="@_laroux_제트베인_1_북부-1지역_사본 - LED성동 물량2_설계내역서" xfId="8948"/>
    <cellStyle name="@_laroux_제트베인_1_북부-1지역_설계내역서" xfId="8949"/>
    <cellStyle name="@_laroux_제트베인_1_사본 - LED - 개2" xfId="8950"/>
    <cellStyle name="@_laroux_제트베인_1_사본 - LED - 개2 2" xfId="8951"/>
    <cellStyle name="@_laroux_제트베인_1_사본 - LED - 개2 3" xfId="8952"/>
    <cellStyle name="@_laroux_제트베인_1_사본 - LED - 개2 4" xfId="8953"/>
    <cellStyle name="@_laroux_제트베인_1_사본 - LED - 개2_LED성동완" xfId="8954"/>
    <cellStyle name="@_laroux_제트베인_1_사본 - LED - 개2_LED성동완 2" xfId="8955"/>
    <cellStyle name="@_laroux_제트베인_1_사본 - LED - 개2_LED성동완 3" xfId="8956"/>
    <cellStyle name="@_laroux_제트베인_1_사본 - LED - 개2_LED성동완 4" xfId="8957"/>
    <cellStyle name="@_laroux_제트베인_1_사본 - LED - 개2_LED성동완_설계내역서" xfId="8958"/>
    <cellStyle name="@_laroux_제트베인_1_사본 - LED - 개2_설계내역서" xfId="8959"/>
    <cellStyle name="@_laroux_제트베인_1_사본 - LED성동 물량2" xfId="8960"/>
    <cellStyle name="@_laroux_제트베인_1_사본 - LED성동 물량2 2" xfId="8961"/>
    <cellStyle name="@_laroux_제트베인_1_사본 - LED성동 물량2 3" xfId="8962"/>
    <cellStyle name="@_laroux_제트베인_1_사본 - LED성동 물량2 4" xfId="8963"/>
    <cellStyle name="@_laroux_제트베인_1_사본 - LED성동 물량2_LED성동완" xfId="8964"/>
    <cellStyle name="@_laroux_제트베인_1_사본 - LED성동 물량2_LED성동완 2" xfId="8965"/>
    <cellStyle name="@_laroux_제트베인_1_사본 - LED성동 물량2_LED성동완 3" xfId="8966"/>
    <cellStyle name="@_laroux_제트베인_1_사본 - LED성동 물량2_LED성동완 4" xfId="8967"/>
    <cellStyle name="@_laroux_제트베인_1_사본 - LED성동 물량2_LED성동완_설계내역서" xfId="8968"/>
    <cellStyle name="@_laroux_제트베인_1_사본 - LED성동 물량2_설계내역서" xfId="8969"/>
    <cellStyle name="@_laroux_제트베인_1_설계내역서" xfId="8970"/>
    <cellStyle name="@_laroux_제트베인_1_성남시 불법주정차자동_견적서" xfId="8971"/>
    <cellStyle name="@_laroux_제트베인_1_성남시 불법주정차자동_견적서 2" xfId="8972"/>
    <cellStyle name="@_laroux_제트베인_1_성남시 불법주정차자동_견적서 3" xfId="8973"/>
    <cellStyle name="@_laroux_제트베인_1_성남시 불법주정차자동_견적서 4" xfId="8974"/>
    <cellStyle name="@_laroux_제트베인_1_성남시 불법주정차자동_견적서_견적서_ 한일에스티엠" xfId="8975"/>
    <cellStyle name="@_laroux_제트베인_1_성남시 불법주정차자동_견적서_견적서_ 한일에스티엠 2" xfId="8976"/>
    <cellStyle name="@_laroux_제트베인_1_성남시 불법주정차자동_견적서_견적서_ 한일에스티엠 3" xfId="8977"/>
    <cellStyle name="@_laroux_제트베인_1_성남시 불법주정차자동_견적서_견적서_ 한일에스티엠 4" xfId="8978"/>
    <cellStyle name="@_laroux_제트베인_1_성남시 불법주정차자동_견적서_견적서_ 한일에스티엠_설계내역서" xfId="8979"/>
    <cellStyle name="@_laroux_제트베인_1_성남시 불법주정차자동_견적서_설계내역서" xfId="8980"/>
    <cellStyle name="@_laroux_제트베인_1_신호일위내역서2007굴착(설변)" xfId="8981"/>
    <cellStyle name="@_laroux_제트베인_1_신호일위내역서2007굴착(설변) 2" xfId="8982"/>
    <cellStyle name="@_laroux_제트베인_1_신호일위내역서2007굴착(설변) 3" xfId="8983"/>
    <cellStyle name="@_laroux_제트베인_1_신호일위내역서2007굴착(설변) 4" xfId="8984"/>
    <cellStyle name="@_laroux_제트베인_1_신호일위내역서2007굴착(설변)_설계내역서" xfId="8985"/>
    <cellStyle name="@_laroux_제트베인_1_통신15%(최종)" xfId="8986"/>
    <cellStyle name="@_laroux_제트베인_1_통신15%(최종) 2" xfId="8987"/>
    <cellStyle name="@_laroux_제트베인_1_통신15%(최종) 3" xfId="8988"/>
    <cellStyle name="@_laroux_제트베인_1_통신15%(최종) 4" xfId="8989"/>
    <cellStyle name="@_laroux_제트베인_1_통신15%(최종)_설계내역서" xfId="8990"/>
    <cellStyle name="_(01-14)광양항인건비" xfId="28"/>
    <cellStyle name="_00 단가산출서 9호선,공항,공용" xfId="29"/>
    <cellStyle name="_000" xfId="8991"/>
    <cellStyle name="_000 2" xfId="8992"/>
    <cellStyle name="_001.처리장시설" xfId="11446"/>
    <cellStyle name="_004.구조물공" xfId="11447"/>
    <cellStyle name="_007-2. 기계공사" xfId="11448"/>
    <cellStyle name="_01" xfId="8993"/>
    <cellStyle name="_01 2" xfId="8994"/>
    <cellStyle name="_01 원가계산 및 총괄표(4호선)" xfId="5159"/>
    <cellStyle name="_01_강동내역(9.28" xfId="8995"/>
    <cellStyle name="_01_강동내역(9.28 2" xfId="8996"/>
    <cellStyle name="_01_강동내역(9.28_T05-D03-004D(울산터널-조명제어-안소장님1003)" xfId="8997"/>
    <cellStyle name="_01_강동내역(9.28_T05-D03-004D(울산터널-조명제어-안소장님1003) 2" xfId="8998"/>
    <cellStyle name="_01_강동내역(9.28_T05-D03-004D(울산터널-조명제어-안소장님1003)_설계내역서" xfId="8999"/>
    <cellStyle name="_01_강동내역(9.28_T05-D03-004D(울산터널-환기-구성설비0930)" xfId="9000"/>
    <cellStyle name="_01_강동내역(9.28_T05-D03-004D(울산터널-환기-구성설비0930) 2" xfId="9001"/>
    <cellStyle name="_01_강동내역(9.28_T05-D03-004D(울산터널-환기-구성설비0930)_설계내역서" xfId="9002"/>
    <cellStyle name="_01_강동내역(9.28_설계내역서" xfId="9003"/>
    <cellStyle name="_01_강동내역(9.28_울산강동내역최종(20051101)" xfId="9004"/>
    <cellStyle name="_01_강동내역(9.28_울산강동내역최종(20051101) 2" xfId="9005"/>
    <cellStyle name="_01_강동내역(9.28_울산강동내역최종(20051101)_설계내역서" xfId="9006"/>
    <cellStyle name="_01_설계내역서" xfId="9007"/>
    <cellStyle name="_01~02 1-1A,1B 구간 공사용 임시전력공사 내역서" xfId="30"/>
    <cellStyle name="_01년하반기계획" xfId="9008"/>
    <cellStyle name="_01년하반기계획 2" xfId="9009"/>
    <cellStyle name="_01년하반기계획_강동내역(9.28" xfId="9010"/>
    <cellStyle name="_01년하반기계획_강동내역(9.28 2" xfId="9011"/>
    <cellStyle name="_01년하반기계획_강동내역(9.28_T05-D03-004D(울산터널-조명제어-안소장님1003)" xfId="9012"/>
    <cellStyle name="_01년하반기계획_강동내역(9.28_T05-D03-004D(울산터널-조명제어-안소장님1003) 2" xfId="9013"/>
    <cellStyle name="_01년하반기계획_강동내역(9.28_T05-D03-004D(울산터널-조명제어-안소장님1003)_설계내역서" xfId="9014"/>
    <cellStyle name="_01년하반기계획_강동내역(9.28_T05-D03-004D(울산터널-환기-구성설비0930)" xfId="9015"/>
    <cellStyle name="_01년하반기계획_강동내역(9.28_T05-D03-004D(울산터널-환기-구성설비0930) 2" xfId="9016"/>
    <cellStyle name="_01년하반기계획_강동내역(9.28_T05-D03-004D(울산터널-환기-구성설비0930)_설계내역서" xfId="9017"/>
    <cellStyle name="_01년하반기계획_강동내역(9.28_설계내역서" xfId="9018"/>
    <cellStyle name="_01년하반기계획_강동내역(9.28_울산강동내역최종(20051101)" xfId="9019"/>
    <cellStyle name="_01년하반기계획_강동내역(9.28_울산강동내역최종(20051101) 2" xfId="9020"/>
    <cellStyle name="_01년하반기계획_강동내역(9.28_울산강동내역최종(20051101)_설계내역서" xfId="9021"/>
    <cellStyle name="_01년하반기계획_설계내역서" xfId="9022"/>
    <cellStyle name="_0402우포식생호안블럭(일부)" xfId="9023"/>
    <cellStyle name="_0402진흥콘크리트-호안블럭3종(일부)" xfId="9024"/>
    <cellStyle name="_0402피아산업-학생용책걸상10종" xfId="9025"/>
    <cellStyle name="_05가로등연간단(서대문구)" xfId="9026"/>
    <cellStyle name="_06.내역서(경관설비공사)-설계비 변경(9월14일)" xfId="31"/>
    <cellStyle name="_06부대공" xfId="11449"/>
    <cellStyle name="_06부대공_01폐기물수량수정" xfId="11450"/>
    <cellStyle name="_06부대공_01폐기물수량수정_설계설명서" xfId="11451"/>
    <cellStyle name="_06부대공_05. 휴게시설" xfId="11452"/>
    <cellStyle name="_06부대공_05. 휴게시설_04.인공폭포" xfId="11453"/>
    <cellStyle name="_06부대공_05. 휴게시설_디딤돌포장" xfId="11454"/>
    <cellStyle name="_06부대공_06.인공폭포" xfId="11455"/>
    <cellStyle name="_06부대공_06.인공폭포_04.인공폭포" xfId="11456"/>
    <cellStyle name="_06부대공_06.인공폭포_디딤돌포장" xfId="11457"/>
    <cellStyle name="_06부대공_설계설명서" xfId="11458"/>
    <cellStyle name="_06월소장단회의" xfId="9027"/>
    <cellStyle name="_1.내역서" xfId="5160"/>
    <cellStyle name="_10 가로등 단가설계(작업중)" xfId="9028"/>
    <cellStyle name="_10 가로등 단가설계(작업중) 2" xfId="9029"/>
    <cellStyle name="_10 가로등 단가설계(작업중)_2010 가로등 단가설계" xfId="9030"/>
    <cellStyle name="_10 가로등 단가설계(작업중)_2010 가로등 단가설계 2" xfId="9031"/>
    <cellStyle name="_10 가로등 단가설계(작업중)_2010 가로등 단가설계(작업중)" xfId="9032"/>
    <cellStyle name="_10 가로등 단가설계(작업중)_2010 가로등 단가설계(작업중) 2" xfId="9033"/>
    <cellStyle name="_10 가로등 단가설계(작업중)_2010 가로등 단가설계(작업중)_2010 가로등 단가설계" xfId="9034"/>
    <cellStyle name="_10 가로등 단가설계(작업중)_2010 가로등 단가설계(작업중)_2010 가로등 단가설계 2" xfId="9035"/>
    <cellStyle name="_10 가로등 단가설계(작업중)_2010 가로등 단가설계(작업중)_2010 가로등 단가설계_설계내역서" xfId="9036"/>
    <cellStyle name="_10 가로등 단가설계(작업중)_설계내역서" xfId="9037"/>
    <cellStyle name="_1220-원가조사-전자지불" xfId="9038"/>
    <cellStyle name="_1공구 참고용(가로등)-2007-06" xfId="5161"/>
    <cellStyle name="_1원가계산,2총괄내역서xls" xfId="9039"/>
    <cellStyle name="_2.가로등내역서" xfId="5162"/>
    <cellStyle name="_2.실시설계총괄내역서_vds(loop)_최종_이상훈" xfId="9040"/>
    <cellStyle name="_2.실시설계총괄내역서_교통정보수집" xfId="9041"/>
    <cellStyle name="_2.실시설계총괄내역서_신호제어" xfId="9042"/>
    <cellStyle name="_2000-10회의" xfId="9043"/>
    <cellStyle name="_2001 장애조치" xfId="9044"/>
    <cellStyle name="_2001년분 실행" xfId="9045"/>
    <cellStyle name="_2001년스케쥴" xfId="9046"/>
    <cellStyle name="_2001년업무(재조정)" xfId="9047"/>
    <cellStyle name="_2002결과표1" xfId="9048"/>
    <cellStyle name="_2005년 가로등 시설물 복구공사(송파)" xfId="9049"/>
    <cellStyle name="_2005년 가로등(연간단가)원본" xfId="9050"/>
    <cellStyle name="_2005년 가로등공사(공통대가)" xfId="9051"/>
    <cellStyle name="_2009 가로등 기성청구-3회샘플" xfId="9052"/>
    <cellStyle name="_2009 삼청동길 가로등 내역서(0224)" xfId="5163"/>
    <cellStyle name="_2010 가로등 단가설계" xfId="9053"/>
    <cellStyle name="_2010 가로등 단가설계 2" xfId="9054"/>
    <cellStyle name="_2010 가로등 단가설계(작업중)" xfId="9055"/>
    <cellStyle name="_2010 가로등 단가설계(작업중) 2" xfId="9056"/>
    <cellStyle name="_2010 가로등 단가설계(작업중)_2010 가로등 단가설계" xfId="9057"/>
    <cellStyle name="_2010 가로등 단가설계(작업중)_2010 가로등 단가설계 2" xfId="9058"/>
    <cellStyle name="_2010 가로등 단가설계(작업중)_2010 가로등 단가설계_설계내역서" xfId="9059"/>
    <cellStyle name="_2010 가로등 단가설계_1" xfId="9060"/>
    <cellStyle name="_2010 가로등 단가설계_1 2" xfId="9061"/>
    <cellStyle name="_2010 가로등 단가설계_1_설계내역서" xfId="9062"/>
    <cellStyle name="_2010 가로등 단가설계_2010 가로등 단가설계" xfId="9063"/>
    <cellStyle name="_2010 가로등 단가설계_2010 가로등 단가설계 2" xfId="9064"/>
    <cellStyle name="_2010 가로등 단가설계_2010 가로등 단가설계_설계내역서" xfId="9065"/>
    <cellStyle name="_2010년 가로등 단가설계" xfId="9066"/>
    <cellStyle name="_22043282000_이포대교 차량방호울타리설치-02" xfId="32"/>
    <cellStyle name="_2-소방산출" xfId="33"/>
    <cellStyle name="_2차 변경 - 임곡도급내역서" xfId="11459"/>
    <cellStyle name="_3)시설공사총괄(version 1)" xfId="9067"/>
    <cellStyle name="_3.가로등계산서" xfId="5164"/>
    <cellStyle name="_3.설계내역서_060718_0" xfId="9068"/>
    <cellStyle name="_3-8.동력산출서" xfId="34"/>
    <cellStyle name="_3차 최종신호 내역서0519" xfId="9069"/>
    <cellStyle name="_4공구-도급계약(전체분)내역" xfId="11460"/>
    <cellStyle name="_4공구-도급계약(전체분)내역_변경대곡천1내역서" xfId="11461"/>
    <cellStyle name="_5옹벽공" xfId="9070"/>
    <cellStyle name="_5옹벽공 2" xfId="9071"/>
    <cellStyle name="_5옹벽공_설계내역서" xfId="9072"/>
    <cellStyle name="_5옹벽공_수량산출서" xfId="9073"/>
    <cellStyle name="_5옹벽공_수량산출서 2" xfId="9074"/>
    <cellStyle name="_5옹벽공_수량산출서_설계내역서" xfId="9075"/>
    <cellStyle name="_5옹벽공_수량산출서_수량산출서" xfId="9076"/>
    <cellStyle name="_5옹벽공_수량산출서_수량산출서 2" xfId="9077"/>
    <cellStyle name="_5옹벽공_수량산출서_수량산출서_설계내역서" xfId="9078"/>
    <cellStyle name="_5옹벽공_수량산출서_수량산출서_수량산출서" xfId="9079"/>
    <cellStyle name="_5옹벽공_수량산출서_수량산출서_수량산출서 2" xfId="9080"/>
    <cellStyle name="_5옹벽공_수량산출서_수량산출서_수량산출서_설계내역서" xfId="9081"/>
    <cellStyle name="_5옹벽공_수량산출서_수량산출서2" xfId="9082"/>
    <cellStyle name="_5옹벽공_수량산출서_수량산출서2 2" xfId="9083"/>
    <cellStyle name="_5옹벽공_수량산출서_수량산출서2_설계내역서" xfId="9084"/>
    <cellStyle name="_6.무선통신" xfId="35"/>
    <cellStyle name="_7.수량산출서" xfId="9085"/>
    <cellStyle name="_7-1 오수처리장구체" xfId="11462"/>
    <cellStyle name="_7-2 기계공사" xfId="11463"/>
    <cellStyle name="_7월예정공정표" xfId="9086"/>
    <cellStyle name="_8월공무정산(서동조정)" xfId="9087"/>
    <cellStyle name="_99-07-P003 서초쉐르빌설변-2" xfId="9088"/>
    <cellStyle name="_9월소장단회의" xfId="9089"/>
    <cellStyle name="_A,C부지 예산서" xfId="36"/>
    <cellStyle name="_BIS내역서 안형기 작성지원" xfId="9090"/>
    <cellStyle name="_Book1" xfId="37"/>
    <cellStyle name="_Book1 2" xfId="5165"/>
    <cellStyle name="_Book1 2 2" xfId="11156"/>
    <cellStyle name="_BOOK1_경관조명 내역서" xfId="38"/>
    <cellStyle name="_BOOK1_미수동 해안변 수변 산책로 및 경관조명 설비공사 (전기)-금회공사(2009.08.17)" xfId="39"/>
    <cellStyle name="_Book3" xfId="9091"/>
    <cellStyle name="_Book3 2" xfId="9092"/>
    <cellStyle name="_Book3_강동내역(9.28" xfId="9093"/>
    <cellStyle name="_Book3_강동내역(9.28 2" xfId="9094"/>
    <cellStyle name="_Book3_강동내역(9.28_T05-D03-004D(울산터널-조명제어-안소장님1003)" xfId="9095"/>
    <cellStyle name="_Book3_강동내역(9.28_T05-D03-004D(울산터널-조명제어-안소장님1003) 2" xfId="9096"/>
    <cellStyle name="_Book3_강동내역(9.28_T05-D03-004D(울산터널-조명제어-안소장님1003)_설계내역서" xfId="9097"/>
    <cellStyle name="_Book3_강동내역(9.28_T05-D03-004D(울산터널-환기-구성설비0930)" xfId="9098"/>
    <cellStyle name="_Book3_강동내역(9.28_T05-D03-004D(울산터널-환기-구성설비0930) 2" xfId="9099"/>
    <cellStyle name="_Book3_강동내역(9.28_T05-D03-004D(울산터널-환기-구성설비0930)_설계내역서" xfId="9100"/>
    <cellStyle name="_Book3_강동내역(9.28_설계내역서" xfId="9101"/>
    <cellStyle name="_Book3_강동내역(9.28_울산강동내역최종(20051101)" xfId="9102"/>
    <cellStyle name="_Book3_강동내역(9.28_울산강동내역최종(20051101) 2" xfId="9103"/>
    <cellStyle name="_Book3_강동내역(9.28_울산강동내역최종(20051101)_설계내역서" xfId="9104"/>
    <cellStyle name="_Book3_설계내역서" xfId="9105"/>
    <cellStyle name="_CCTV 내역시작11.21" xfId="5166"/>
    <cellStyle name="_CCTV내역1" xfId="5167"/>
    <cellStyle name="_cover" xfId="40"/>
    <cellStyle name="_C앤C" xfId="9106"/>
    <cellStyle name="_C앤C(네트웍)" xfId="9107"/>
    <cellStyle name="_C앤C원가계산" xfId="9108"/>
    <cellStyle name="_FCST (2)" xfId="41"/>
    <cellStyle name="_MSP정산초안1" xfId="5168"/>
    <cellStyle name="_NEW_부산 해운대 및 달맞이길 내역서" xfId="42"/>
    <cellStyle name="_PLC" xfId="5169"/>
    <cellStyle name="_RESULTS" xfId="43"/>
    <cellStyle name="_RTU프로그램산출근거(환기1003)" xfId="9109"/>
    <cellStyle name="_Sheet3" xfId="9110"/>
    <cellStyle name="_Sheet3 2" xfId="9111"/>
    <cellStyle name="_Sheet3_2010 가로등 단가설계" xfId="9112"/>
    <cellStyle name="_Sheet3_2010 가로등 단가설계 2" xfId="9113"/>
    <cellStyle name="_Sheet3_2010 가로등 단가설계(작업중)" xfId="9114"/>
    <cellStyle name="_Sheet3_2010 가로등 단가설계(작업중) 2" xfId="9115"/>
    <cellStyle name="_Sheet3_2010 가로등 단가설계(작업중)_2010 가로등 단가설계" xfId="9116"/>
    <cellStyle name="_Sheet3_2010 가로등 단가설계(작업중)_2010 가로등 단가설계 2" xfId="9117"/>
    <cellStyle name="_Sheet3_2010 가로등 단가설계(작업중)_2010 가로등 단가설계_설계내역서" xfId="9118"/>
    <cellStyle name="_Sheet3_설계내역서" xfId="9119"/>
    <cellStyle name="_T05-D03-004D(울산터널-조명제어-안소장님1003)" xfId="9120"/>
    <cellStyle name="_T05-D03-004D(울산터널-환기-구성설비0930)" xfId="9121"/>
    <cellStyle name="_UTILITY-계약B" xfId="9122"/>
    <cellStyle name="_VMS" xfId="9123"/>
    <cellStyle name="_VMS내역서" xfId="9124"/>
    <cellStyle name="_가격산출조서" xfId="9125"/>
    <cellStyle name="_가로등+점검등산출" xfId="5170"/>
    <cellStyle name="_가로등3차공사전체분" xfId="44"/>
    <cellStyle name="_가로등3차공사전체분 2" xfId="9126"/>
    <cellStyle name="_가로등3차공사전체분_CCTV 내역시작11.21" xfId="5171"/>
    <cellStyle name="_가로등3차공사전체분_삼청로길(내역서04월07일)" xfId="5172"/>
    <cellStyle name="_가로등3차공사전체분_삼청로길(인공)" xfId="5173"/>
    <cellStyle name="_가로등3차공사전체분_삼청로길(최종 내역서)" xfId="5174"/>
    <cellStyle name="_가로등3차공사전체분_설계내역서" xfId="9127"/>
    <cellStyle name="_가로등계산(노송천)" xfId="11464"/>
    <cellStyle name="_가로등수량산출(REV1)" xfId="9128"/>
    <cellStyle name="_가로등정비공사 설계내역서-작성후" xfId="9129"/>
    <cellStyle name="_가로등중량" xfId="45"/>
    <cellStyle name="_가실행 최종본사분" xfId="46"/>
    <cellStyle name="_가양-화곡내역(일위대가)" xfId="9130"/>
    <cellStyle name="_가양-화곡내역(일위대가) 2" xfId="9131"/>
    <cellStyle name="_가양-화곡내역(일위대가)_5옹벽공" xfId="9132"/>
    <cellStyle name="_가양-화곡내역(일위대가)_5옹벽공 2" xfId="9133"/>
    <cellStyle name="_가양-화곡내역(일위대가)_5옹벽공_설계내역서" xfId="9134"/>
    <cellStyle name="_가양-화곡내역(일위대가)_5옹벽공_수량산출서" xfId="9135"/>
    <cellStyle name="_가양-화곡내역(일위대가)_5옹벽공_수량산출서 2" xfId="9136"/>
    <cellStyle name="_가양-화곡내역(일위대가)_5옹벽공_수량산출서_설계내역서" xfId="9137"/>
    <cellStyle name="_가양-화곡내역(일위대가)_5옹벽공_수량산출서_수량산출서" xfId="9138"/>
    <cellStyle name="_가양-화곡내역(일위대가)_5옹벽공_수량산출서_수량산출서 2" xfId="9139"/>
    <cellStyle name="_가양-화곡내역(일위대가)_5옹벽공_수량산출서_수량산출서_설계내역서" xfId="9140"/>
    <cellStyle name="_가양-화곡내역(일위대가)_5옹벽공_수량산출서_수량산출서_수량산출서" xfId="9141"/>
    <cellStyle name="_가양-화곡내역(일위대가)_5옹벽공_수량산출서_수량산출서_수량산출서 2" xfId="9142"/>
    <cellStyle name="_가양-화곡내역(일위대가)_5옹벽공_수량산출서_수량산출서_수량산출서_설계내역서" xfId="9143"/>
    <cellStyle name="_가양-화곡내역(일위대가)_5옹벽공_수량산출서_수량산출서2" xfId="9144"/>
    <cellStyle name="_가양-화곡내역(일위대가)_5옹벽공_수량산출서_수량산출서2 2" xfId="9145"/>
    <cellStyle name="_가양-화곡내역(일위대가)_5옹벽공_수량산출서_수량산출서2_설계내역서" xfId="9146"/>
    <cellStyle name="_가양-화곡내역(일위대가)_가양-화곡내역(토형100M)" xfId="9147"/>
    <cellStyle name="_가양-화곡내역(일위대가)_가양-화곡내역(토형100M) 2" xfId="9148"/>
    <cellStyle name="_가양-화곡내역(일위대가)_가양-화곡내역(토형100M)_5옹벽공" xfId="9149"/>
    <cellStyle name="_가양-화곡내역(일위대가)_가양-화곡내역(토형100M)_5옹벽공 2" xfId="9150"/>
    <cellStyle name="_가양-화곡내역(일위대가)_가양-화곡내역(토형100M)_5옹벽공_설계내역서" xfId="9151"/>
    <cellStyle name="_가양-화곡내역(일위대가)_가양-화곡내역(토형100M)_5옹벽공_수량산출서" xfId="9152"/>
    <cellStyle name="_가양-화곡내역(일위대가)_가양-화곡내역(토형100M)_5옹벽공_수량산출서 2" xfId="9153"/>
    <cellStyle name="_가양-화곡내역(일위대가)_가양-화곡내역(토형100M)_5옹벽공_수량산출서_설계내역서" xfId="9154"/>
    <cellStyle name="_가양-화곡내역(일위대가)_가양-화곡내역(토형100M)_5옹벽공_수량산출서_수량산출서" xfId="9155"/>
    <cellStyle name="_가양-화곡내역(일위대가)_가양-화곡내역(토형100M)_5옹벽공_수량산출서_수량산출서 2" xfId="9156"/>
    <cellStyle name="_가양-화곡내역(일위대가)_가양-화곡내역(토형100M)_5옹벽공_수량산출서_수량산출서_설계내역서" xfId="9157"/>
    <cellStyle name="_가양-화곡내역(일위대가)_가양-화곡내역(토형100M)_5옹벽공_수량산출서_수량산출서_수량산출서" xfId="9158"/>
    <cellStyle name="_가양-화곡내역(일위대가)_가양-화곡내역(토형100M)_5옹벽공_수량산출서_수량산출서_수량산출서 2" xfId="9159"/>
    <cellStyle name="_가양-화곡내역(일위대가)_가양-화곡내역(토형100M)_5옹벽공_수량산출서_수량산출서_수량산출서_설계내역서" xfId="9160"/>
    <cellStyle name="_가양-화곡내역(일위대가)_가양-화곡내역(토형100M)_5옹벽공_수량산출서_수량산출서2" xfId="9161"/>
    <cellStyle name="_가양-화곡내역(일위대가)_가양-화곡내역(토형100M)_5옹벽공_수량산출서_수량산출서2 2" xfId="9162"/>
    <cellStyle name="_가양-화곡내역(일위대가)_가양-화곡내역(토형100M)_5옹벽공_수량산출서_수량산출서2_설계내역서" xfId="9163"/>
    <cellStyle name="_가양-화곡내역(일위대가)_가양-화곡내역(토형100M)_설계내역서" xfId="9164"/>
    <cellStyle name="_가양-화곡내역(일위대가)_가양-화곡내역(토형100M)_수량산출" xfId="9165"/>
    <cellStyle name="_가양-화곡내역(일위대가)_가양-화곡내역(토형100M)_수량산출 2" xfId="9166"/>
    <cellStyle name="_가양-화곡내역(일위대가)_가양-화곡내역(토형100M)_수량산출_5옹벽공" xfId="9167"/>
    <cellStyle name="_가양-화곡내역(일위대가)_가양-화곡내역(토형100M)_수량산출_5옹벽공 2" xfId="9168"/>
    <cellStyle name="_가양-화곡내역(일위대가)_가양-화곡내역(토형100M)_수량산출_5옹벽공_설계내역서" xfId="9169"/>
    <cellStyle name="_가양-화곡내역(일위대가)_가양-화곡내역(토형100M)_수량산출_5옹벽공_수량산출서" xfId="9170"/>
    <cellStyle name="_가양-화곡내역(일위대가)_가양-화곡내역(토형100M)_수량산출_5옹벽공_수량산출서 2" xfId="9171"/>
    <cellStyle name="_가양-화곡내역(일위대가)_가양-화곡내역(토형100M)_수량산출_5옹벽공_수량산출서_설계내역서" xfId="9172"/>
    <cellStyle name="_가양-화곡내역(일위대가)_가양-화곡내역(토형100M)_수량산출_5옹벽공_수량산출서_수량산출서" xfId="9173"/>
    <cellStyle name="_가양-화곡내역(일위대가)_가양-화곡내역(토형100M)_수량산출_5옹벽공_수량산출서_수량산출서 2" xfId="9174"/>
    <cellStyle name="_가양-화곡내역(일위대가)_가양-화곡내역(토형100M)_수량산출_5옹벽공_수량산출서_수량산출서_설계내역서" xfId="9175"/>
    <cellStyle name="_가양-화곡내역(일위대가)_가양-화곡내역(토형100M)_수량산출_5옹벽공_수량산출서_수량산출서_수량산출서" xfId="9176"/>
    <cellStyle name="_가양-화곡내역(일위대가)_가양-화곡내역(토형100M)_수량산출_5옹벽공_수량산출서_수량산출서_수량산출서 2" xfId="9177"/>
    <cellStyle name="_가양-화곡내역(일위대가)_가양-화곡내역(토형100M)_수량산출_5옹벽공_수량산출서_수량산출서_수량산출서_설계내역서" xfId="9178"/>
    <cellStyle name="_가양-화곡내역(일위대가)_가양-화곡내역(토형100M)_수량산출_5옹벽공_수량산출서_수량산출서2" xfId="9179"/>
    <cellStyle name="_가양-화곡내역(일위대가)_가양-화곡내역(토형100M)_수량산출_5옹벽공_수량산출서_수량산출서2 2" xfId="9180"/>
    <cellStyle name="_가양-화곡내역(일위대가)_가양-화곡내역(토형100M)_수량산출_5옹벽공_수량산출서_수량산출서2_설계내역서" xfId="9181"/>
    <cellStyle name="_가양-화곡내역(일위대가)_가양-화곡내역(토형100M)_수량산출_설계내역서" xfId="9182"/>
    <cellStyle name="_가양-화곡내역(일위대가)_가양-화곡내역(토형100M)_수량산출_수량산출서" xfId="9183"/>
    <cellStyle name="_가양-화곡내역(일위대가)_가양-화곡내역(토형100M)_수량산출_수량산출서 2" xfId="9184"/>
    <cellStyle name="_가양-화곡내역(일위대가)_가양-화곡내역(토형100M)_수량산출_수량산출서_설계내역서" xfId="9185"/>
    <cellStyle name="_가양-화곡내역(일위대가)_가양-화곡내역(토형100M)_수량산출_수량산출서_수량산출서" xfId="9186"/>
    <cellStyle name="_가양-화곡내역(일위대가)_가양-화곡내역(토형100M)_수량산출_수량산출서_수량산출서 2" xfId="9187"/>
    <cellStyle name="_가양-화곡내역(일위대가)_가양-화곡내역(토형100M)_수량산출_수량산출서_수량산출서_설계내역서" xfId="9188"/>
    <cellStyle name="_가양-화곡내역(일위대가)_가양-화곡내역(토형100M)_수량산출_수량산출서_수량산출서_수량산출서" xfId="9189"/>
    <cellStyle name="_가양-화곡내역(일위대가)_가양-화곡내역(토형100M)_수량산출_수량산출서_수량산출서_수량산출서 2" xfId="9190"/>
    <cellStyle name="_가양-화곡내역(일위대가)_가양-화곡내역(토형100M)_수량산출_수량산출서_수량산출서_수량산출서_설계내역서" xfId="9191"/>
    <cellStyle name="_가양-화곡내역(일위대가)_가양-화곡내역(토형100M)_수량산출_수량산출서_수량산출서2" xfId="9192"/>
    <cellStyle name="_가양-화곡내역(일위대가)_가양-화곡내역(토형100M)_수량산출_수량산출서_수량산출서2 2" xfId="9193"/>
    <cellStyle name="_가양-화곡내역(일위대가)_가양-화곡내역(토형100M)_수량산출_수량산출서_수량산출서2_설계내역서" xfId="9194"/>
    <cellStyle name="_가양-화곡내역(일위대가)_가양-화곡내역(토형100M)_수량산출_옹벽공" xfId="9195"/>
    <cellStyle name="_가양-화곡내역(일위대가)_가양-화곡내역(토형100M)_수량산출_옹벽공 2" xfId="9196"/>
    <cellStyle name="_가양-화곡내역(일위대가)_가양-화곡내역(토형100M)_수량산출_옹벽공_설계내역서" xfId="9197"/>
    <cellStyle name="_가양-화곡내역(일위대가)_가양-화곡내역(토형100M)_수량산출_옹벽공_수량산출서" xfId="9198"/>
    <cellStyle name="_가양-화곡내역(일위대가)_가양-화곡내역(토형100M)_수량산출_옹벽공_수량산출서 2" xfId="9199"/>
    <cellStyle name="_가양-화곡내역(일위대가)_가양-화곡내역(토형100M)_수량산출_옹벽공_수량산출서_설계내역서" xfId="9200"/>
    <cellStyle name="_가양-화곡내역(일위대가)_가양-화곡내역(토형100M)_수량산출_옹벽공_수량산출서_수량산출서" xfId="9201"/>
    <cellStyle name="_가양-화곡내역(일위대가)_가양-화곡내역(토형100M)_수량산출_옹벽공_수량산출서_수량산출서 2" xfId="9202"/>
    <cellStyle name="_가양-화곡내역(일위대가)_가양-화곡내역(토형100M)_수량산출_옹벽공_수량산출서_수량산출서_설계내역서" xfId="9203"/>
    <cellStyle name="_가양-화곡내역(일위대가)_설계내역서" xfId="9204"/>
    <cellStyle name="_가입자(정산자료)" xfId="9205"/>
    <cellStyle name="_가평교육청상천초전기공사" xfId="5175"/>
    <cellStyle name="_간선망(정산자료)" xfId="9206"/>
    <cellStyle name="_간접부대공+공통" xfId="47"/>
    <cellStyle name="_간접부대공+공통_견적 방문 제출시-SAMPLE" xfId="48"/>
    <cellStyle name="_간접부대공+공통_견적 방문 제출시-SAMPLE_신호등견적서" xfId="49"/>
    <cellStyle name="_간접부대공+공통_신호등견적서" xfId="50"/>
    <cellStyle name="_간지,목차,페이지,표지" xfId="9207"/>
    <cellStyle name="_감가상각(01년도) (2)" xfId="9208"/>
    <cellStyle name="_감가상각(01년도) (2) 2" xfId="9209"/>
    <cellStyle name="_감가상각(01년도) (3)" xfId="9210"/>
    <cellStyle name="_감가상각(01년도) (3) 2" xfId="9211"/>
    <cellStyle name="_갑지" xfId="9212"/>
    <cellStyle name="_갑지(1221)" xfId="51"/>
    <cellStyle name="_갑지(총)" xfId="52"/>
    <cellStyle name="_갑지양식" xfId="9213"/>
    <cellStyle name="_강과장(Fronnix,설계가1126)" xfId="53"/>
    <cellStyle name="_강동내역(9.28)" xfId="9214"/>
    <cellStyle name="_강릉e-mart" xfId="9215"/>
    <cellStyle name="_강산FRP" xfId="9216"/>
    <cellStyle name="_개요" xfId="5176"/>
    <cellStyle name="_개요(봉림)-참고용" xfId="5177"/>
    <cellStyle name="_개요(봉림)-최종" xfId="5178"/>
    <cellStyle name="_개요(주안-인천)" xfId="5179"/>
    <cellStyle name="_거마상산공원 전기내역(전)" xfId="54"/>
    <cellStyle name="_거명하이텍(ML350G4,_ML150G2)-1" xfId="9217"/>
    <cellStyle name="_거제도 명명식장 1차 가실행(20020718)" xfId="9218"/>
    <cellStyle name="_검지기일위대가 (version 2)" xfId="9219"/>
    <cellStyle name="_견적 방문 제출시-SAMPLE" xfId="55"/>
    <cellStyle name="_견적 방문 제출시-SAMPLE_신호등견적서" xfId="56"/>
    <cellStyle name="_견적서(1014)" xfId="57"/>
    <cellStyle name="_견적서-0213-CACC" xfId="58"/>
    <cellStyle name="_견적서갑지양식" xfId="9220"/>
    <cellStyle name="_견적서-순창지구" xfId="11465"/>
    <cellStyle name="_견적서양식" xfId="59"/>
    <cellStyle name="_견적서양식 2" xfId="9221"/>
    <cellStyle name="_견적서양식 3" xfId="9222"/>
    <cellStyle name="_견적서-제출용0325-서울시" xfId="60"/>
    <cellStyle name="_경관조명" xfId="61"/>
    <cellStyle name="_경북031002" xfId="5180"/>
    <cellStyle name="_계산서" xfId="62"/>
    <cellStyle name="_계산서(분전반2EA)" xfId="63"/>
    <cellStyle name="_계산서(서변대교)" xfId="64"/>
    <cellStyle name="_계약내역" xfId="65"/>
    <cellStyle name="_고가차도산출서" xfId="66"/>
    <cellStyle name="_고덕 E-MART" xfId="9223"/>
    <cellStyle name="_고려-수원미네시티(작업)" xfId="9224"/>
    <cellStyle name="_고련지2제당" xfId="11466"/>
    <cellStyle name="_고련지추가변경(우치곡)" xfId="11467"/>
    <cellStyle name="_고련지추가변경(우치곡)_고련지2제당" xfId="11468"/>
    <cellStyle name="_고련지추가변경(우치곡)_고련지2제당_고련지2제당" xfId="11469"/>
    <cellStyle name="_고수대교내역서" xfId="17022"/>
    <cellStyle name="_고양BRT내역서" xfId="9225"/>
    <cellStyle name="_고양BRT일위대가" xfId="9226"/>
    <cellStyle name="_곡산 견적서" xfId="5181"/>
    <cellStyle name="_곡산역사-통신3" xfId="67"/>
    <cellStyle name="_공군0601시공계획서(통신설비)" xfId="9227"/>
    <cellStyle name="_공량단가산출서" xfId="68"/>
    <cellStyle name="_공량단가산출서r1" xfId="69"/>
    <cellStyle name="_공무월간보고" xfId="9228"/>
    <cellStyle name="_공무월간보고 2" xfId="9229"/>
    <cellStyle name="_공무월간보고_강동내역(9.28" xfId="9230"/>
    <cellStyle name="_공무월간보고_강동내역(9.28 2" xfId="9231"/>
    <cellStyle name="_공무월간보고_강동내역(9.28_T05-D03-004D(울산터널-조명제어-안소장님1003)" xfId="9232"/>
    <cellStyle name="_공무월간보고_강동내역(9.28_T05-D03-004D(울산터널-조명제어-안소장님1003) 2" xfId="9233"/>
    <cellStyle name="_공무월간보고_강동내역(9.28_T05-D03-004D(울산터널-조명제어-안소장님1003)_설계내역서" xfId="9234"/>
    <cellStyle name="_공무월간보고_강동내역(9.28_T05-D03-004D(울산터널-환기-구성설비0930)" xfId="9235"/>
    <cellStyle name="_공무월간보고_강동내역(9.28_T05-D03-004D(울산터널-환기-구성설비0930) 2" xfId="9236"/>
    <cellStyle name="_공무월간보고_강동내역(9.28_T05-D03-004D(울산터널-환기-구성설비0930)_설계내역서" xfId="9237"/>
    <cellStyle name="_공무월간보고_강동내역(9.28_설계내역서" xfId="9238"/>
    <cellStyle name="_공무월간보고_강동내역(9.28_울산강동내역최종(20051101)" xfId="9239"/>
    <cellStyle name="_공무월간보고_강동내역(9.28_울산강동내역최종(20051101) 2" xfId="9240"/>
    <cellStyle name="_공무월간보고_강동내역(9.28_울산강동내역최종(20051101)_설계내역서" xfId="9241"/>
    <cellStyle name="_공무월간보고_공무정산양식(10월초)" xfId="9242"/>
    <cellStyle name="_공무월간보고_공무정산양식(10월초) 2" xfId="9243"/>
    <cellStyle name="_공무월간보고_공무정산양식(10월초)_강동내역(9.28" xfId="9244"/>
    <cellStyle name="_공무월간보고_공무정산양식(10월초)_강동내역(9.28 2" xfId="9245"/>
    <cellStyle name="_공무월간보고_공무정산양식(10월초)_강동내역(9.28_T05-D03-004D(울산터널-조명제어-안소장님1003)" xfId="9246"/>
    <cellStyle name="_공무월간보고_공무정산양식(10월초)_강동내역(9.28_T05-D03-004D(울산터널-조명제어-안소장님1003) 2" xfId="9247"/>
    <cellStyle name="_공무월간보고_공무정산양식(10월초)_강동내역(9.28_T05-D03-004D(울산터널-조명제어-안소장님1003)_설계내역서" xfId="9248"/>
    <cellStyle name="_공무월간보고_공무정산양식(10월초)_강동내역(9.28_T05-D03-004D(울산터널-환기-구성설비0930)" xfId="9249"/>
    <cellStyle name="_공무월간보고_공무정산양식(10월초)_강동내역(9.28_T05-D03-004D(울산터널-환기-구성설비0930) 2" xfId="9250"/>
    <cellStyle name="_공무월간보고_공무정산양식(10월초)_강동내역(9.28_T05-D03-004D(울산터널-환기-구성설비0930)_설계내역서" xfId="9251"/>
    <cellStyle name="_공무월간보고_공무정산양식(10월초)_강동내역(9.28_설계내역서" xfId="9252"/>
    <cellStyle name="_공무월간보고_공무정산양식(10월초)_강동내역(9.28_울산강동내역최종(20051101)" xfId="9253"/>
    <cellStyle name="_공무월간보고_공무정산양식(10월초)_강동내역(9.28_울산강동내역최종(20051101) 2" xfId="9254"/>
    <cellStyle name="_공무월간보고_공무정산양식(10월초)_강동내역(9.28_울산강동내역최종(20051101)_설계내역서" xfId="9255"/>
    <cellStyle name="_공무월간보고_공무정산양식(10월초)_기성내역서" xfId="9256"/>
    <cellStyle name="_공무월간보고_공무정산양식(10월초)_기성내역서 2" xfId="9257"/>
    <cellStyle name="_공무월간보고_공무정산양식(10월초)_기성내역서_강동내역(9.28" xfId="9258"/>
    <cellStyle name="_공무월간보고_공무정산양식(10월초)_기성내역서_강동내역(9.28 2" xfId="9259"/>
    <cellStyle name="_공무월간보고_공무정산양식(10월초)_기성내역서_강동내역(9.28_T05-D03-004D(울산터널-조명제어-안소장님1003)" xfId="9260"/>
    <cellStyle name="_공무월간보고_공무정산양식(10월초)_기성내역서_강동내역(9.28_T05-D03-004D(울산터널-조명제어-안소장님1003) 2" xfId="9261"/>
    <cellStyle name="_공무월간보고_공무정산양식(10월초)_기성내역서_강동내역(9.28_T05-D03-004D(울산터널-조명제어-안소장님1003)_설계내역서" xfId="9262"/>
    <cellStyle name="_공무월간보고_공무정산양식(10월초)_기성내역서_강동내역(9.28_T05-D03-004D(울산터널-환기-구성설비0930)" xfId="9263"/>
    <cellStyle name="_공무월간보고_공무정산양식(10월초)_기성내역서_강동내역(9.28_T05-D03-004D(울산터널-환기-구성설비0930) 2" xfId="9264"/>
    <cellStyle name="_공무월간보고_공무정산양식(10월초)_기성내역서_강동내역(9.28_T05-D03-004D(울산터널-환기-구성설비0930)_설계내역서" xfId="9265"/>
    <cellStyle name="_공무월간보고_공무정산양식(10월초)_기성내역서_강동내역(9.28_설계내역서" xfId="9266"/>
    <cellStyle name="_공무월간보고_공무정산양식(10월초)_기성내역서_강동내역(9.28_울산강동내역최종(20051101)" xfId="9267"/>
    <cellStyle name="_공무월간보고_공무정산양식(10월초)_기성내역서_강동내역(9.28_울산강동내역최종(20051101) 2" xfId="9268"/>
    <cellStyle name="_공무월간보고_공무정산양식(10월초)_기성내역서_강동내역(9.28_울산강동내역최종(20051101)_설계내역서" xfId="9269"/>
    <cellStyle name="_공무월간보고_공무정산양식(10월초)_기성내역서_설계내역서" xfId="9270"/>
    <cellStyle name="_공무월간보고_공무정산양식(10월초)_기성내역서_전체계약변경(03)" xfId="9271"/>
    <cellStyle name="_공무월간보고_공무정산양식(10월초)_기성내역서_전체계약변경(03) 2" xfId="9272"/>
    <cellStyle name="_공무월간보고_공무정산양식(10월초)_기성내역서_전체계약변경(03)_강동내역(9.28" xfId="9273"/>
    <cellStyle name="_공무월간보고_공무정산양식(10월초)_기성내역서_전체계약변경(03)_강동내역(9.28 2" xfId="9274"/>
    <cellStyle name="_공무월간보고_공무정산양식(10월초)_기성내역서_전체계약변경(03)_강동내역(9.28_T05-D03-004D(울산터널-조명제어-안소장님1003)" xfId="9275"/>
    <cellStyle name="_공무월간보고_공무정산양식(10월초)_기성내역서_전체계약변경(03)_강동내역(9.28_T05-D03-004D(울산터널-조명제어-안소장님1003) 2" xfId="9276"/>
    <cellStyle name="_공무월간보고_공무정산양식(10월초)_기성내역서_전체계약변경(03)_강동내역(9.28_T05-D03-004D(울산터널-조명제어-안소장님1003)_설계내역서" xfId="9277"/>
    <cellStyle name="_공무월간보고_공무정산양식(10월초)_기성내역서_전체계약변경(03)_강동내역(9.28_T05-D03-004D(울산터널-환기-구성설비0930)" xfId="9278"/>
    <cellStyle name="_공무월간보고_공무정산양식(10월초)_기성내역서_전체계약변경(03)_강동내역(9.28_T05-D03-004D(울산터널-환기-구성설비0930) 2" xfId="9279"/>
    <cellStyle name="_공무월간보고_공무정산양식(10월초)_기성내역서_전체계약변경(03)_강동내역(9.28_T05-D03-004D(울산터널-환기-구성설비0930)_설계내역서" xfId="9280"/>
    <cellStyle name="_공무월간보고_공무정산양식(10월초)_기성내역서_전체계약변경(03)_강동내역(9.28_설계내역서" xfId="9281"/>
    <cellStyle name="_공무월간보고_공무정산양식(10월초)_기성내역서_전체계약변경(03)_강동내역(9.28_울산강동내역최종(20051101)" xfId="9282"/>
    <cellStyle name="_공무월간보고_공무정산양식(10월초)_기성내역서_전체계약변경(03)_강동내역(9.28_울산강동내역최종(20051101) 2" xfId="9283"/>
    <cellStyle name="_공무월간보고_공무정산양식(10월초)_기성내역서_전체계약변경(03)_강동내역(9.28_울산강동내역최종(20051101)_설계내역서" xfId="9284"/>
    <cellStyle name="_공무월간보고_공무정산양식(10월초)_기성내역서_전체계약변경(03)_설계내역서" xfId="9285"/>
    <cellStyle name="_공무월간보고_공무정산양식(10월초)_설계내역서" xfId="9286"/>
    <cellStyle name="_공무월간보고_공무정산양식(10월초)_전체계약변경(03)" xfId="9287"/>
    <cellStyle name="_공무월간보고_공무정산양식(10월초)_전체계약변경(03) 2" xfId="9288"/>
    <cellStyle name="_공무월간보고_공무정산양식(10월초)_전체계약변경(03)_강동내역(9.28" xfId="9289"/>
    <cellStyle name="_공무월간보고_공무정산양식(10월초)_전체계약변경(03)_강동내역(9.28 2" xfId="9290"/>
    <cellStyle name="_공무월간보고_공무정산양식(10월초)_전체계약변경(03)_강동내역(9.28_T05-D03-004D(울산터널-조명제어-안소장님1003)" xfId="9291"/>
    <cellStyle name="_공무월간보고_공무정산양식(10월초)_전체계약변경(03)_강동내역(9.28_T05-D03-004D(울산터널-조명제어-안소장님1003) 2" xfId="9292"/>
    <cellStyle name="_공무월간보고_공무정산양식(10월초)_전체계약변경(03)_강동내역(9.28_T05-D03-004D(울산터널-조명제어-안소장님1003)_설계내역서" xfId="9293"/>
    <cellStyle name="_공무월간보고_공무정산양식(10월초)_전체계약변경(03)_강동내역(9.28_T05-D03-004D(울산터널-환기-구성설비0930)" xfId="9294"/>
    <cellStyle name="_공무월간보고_공무정산양식(10월초)_전체계약변경(03)_강동내역(9.28_T05-D03-004D(울산터널-환기-구성설비0930) 2" xfId="9295"/>
    <cellStyle name="_공무월간보고_공무정산양식(10월초)_전체계약변경(03)_강동내역(9.28_T05-D03-004D(울산터널-환기-구성설비0930)_설계내역서" xfId="9296"/>
    <cellStyle name="_공무월간보고_공무정산양식(10월초)_전체계약변경(03)_강동내역(9.28_설계내역서" xfId="9297"/>
    <cellStyle name="_공무월간보고_공무정산양식(10월초)_전체계약변경(03)_강동내역(9.28_울산강동내역최종(20051101)" xfId="9298"/>
    <cellStyle name="_공무월간보고_공무정산양식(10월초)_전체계약변경(03)_강동내역(9.28_울산강동내역최종(20051101) 2" xfId="9299"/>
    <cellStyle name="_공무월간보고_공무정산양식(10월초)_전체계약변경(03)_강동내역(9.28_울산강동내역최종(20051101)_설계내역서" xfId="9300"/>
    <cellStyle name="_공무월간보고_공무정산양식(10월초)_전체계약변경(03)_설계내역서" xfId="9301"/>
    <cellStyle name="_공무월간보고_공무정산양식(10월초)_포장외건(최종)" xfId="9302"/>
    <cellStyle name="_공무월간보고_공무정산양식(10월초)_포장외건(최종) 2" xfId="9303"/>
    <cellStyle name="_공무월간보고_공무정산양식(10월초)_포장외건(최종)_강동내역(9.28" xfId="9304"/>
    <cellStyle name="_공무월간보고_공무정산양식(10월초)_포장외건(최종)_강동내역(9.28 2" xfId="9305"/>
    <cellStyle name="_공무월간보고_공무정산양식(10월초)_포장외건(최종)_강동내역(9.28_T05-D03-004D(울산터널-조명제어-안소장님1003)" xfId="9306"/>
    <cellStyle name="_공무월간보고_공무정산양식(10월초)_포장외건(최종)_강동내역(9.28_T05-D03-004D(울산터널-조명제어-안소장님1003) 2" xfId="9307"/>
    <cellStyle name="_공무월간보고_공무정산양식(10월초)_포장외건(최종)_강동내역(9.28_T05-D03-004D(울산터널-조명제어-안소장님1003)_설계내역서" xfId="9308"/>
    <cellStyle name="_공무월간보고_공무정산양식(10월초)_포장외건(최종)_강동내역(9.28_T05-D03-004D(울산터널-환기-구성설비0930)" xfId="9309"/>
    <cellStyle name="_공무월간보고_공무정산양식(10월초)_포장외건(최종)_강동내역(9.28_T05-D03-004D(울산터널-환기-구성설비0930) 2" xfId="9310"/>
    <cellStyle name="_공무월간보고_공무정산양식(10월초)_포장외건(최종)_강동내역(9.28_T05-D03-004D(울산터널-환기-구성설비0930)_설계내역서" xfId="9311"/>
    <cellStyle name="_공무월간보고_공무정산양식(10월초)_포장외건(최종)_강동내역(9.28_설계내역서" xfId="9312"/>
    <cellStyle name="_공무월간보고_공무정산양식(10월초)_포장외건(최종)_강동내역(9.28_울산강동내역최종(20051101)" xfId="9313"/>
    <cellStyle name="_공무월간보고_공무정산양식(10월초)_포장외건(최종)_강동내역(9.28_울산강동내역최종(20051101) 2" xfId="9314"/>
    <cellStyle name="_공무월간보고_공무정산양식(10월초)_포장외건(최종)_강동내역(9.28_울산강동내역최종(20051101)_설계내역서" xfId="9315"/>
    <cellStyle name="_공무월간보고_공무정산양식(10월초)_포장외건(최종)_설계내역서" xfId="9316"/>
    <cellStyle name="_공무월간보고_기성내역서" xfId="9317"/>
    <cellStyle name="_공무월간보고_기성내역서 2" xfId="9318"/>
    <cellStyle name="_공무월간보고_기성내역서_강동내역(9.28" xfId="9319"/>
    <cellStyle name="_공무월간보고_기성내역서_강동내역(9.28 2" xfId="9320"/>
    <cellStyle name="_공무월간보고_기성내역서_강동내역(9.28_T05-D03-004D(울산터널-조명제어-안소장님1003)" xfId="9321"/>
    <cellStyle name="_공무월간보고_기성내역서_강동내역(9.28_T05-D03-004D(울산터널-조명제어-안소장님1003) 2" xfId="9322"/>
    <cellStyle name="_공무월간보고_기성내역서_강동내역(9.28_T05-D03-004D(울산터널-조명제어-안소장님1003)_설계내역서" xfId="9323"/>
    <cellStyle name="_공무월간보고_기성내역서_강동내역(9.28_T05-D03-004D(울산터널-환기-구성설비0930)" xfId="9324"/>
    <cellStyle name="_공무월간보고_기성내역서_강동내역(9.28_T05-D03-004D(울산터널-환기-구성설비0930) 2" xfId="9325"/>
    <cellStyle name="_공무월간보고_기성내역서_강동내역(9.28_T05-D03-004D(울산터널-환기-구성설비0930)_설계내역서" xfId="9326"/>
    <cellStyle name="_공무월간보고_기성내역서_강동내역(9.28_설계내역서" xfId="9327"/>
    <cellStyle name="_공무월간보고_기성내역서_강동내역(9.28_울산강동내역최종(20051101)" xfId="9328"/>
    <cellStyle name="_공무월간보고_기성내역서_강동내역(9.28_울산강동내역최종(20051101) 2" xfId="9329"/>
    <cellStyle name="_공무월간보고_기성내역서_강동내역(9.28_울산강동내역최종(20051101)_설계내역서" xfId="9330"/>
    <cellStyle name="_공무월간보고_기성내역서_설계내역서" xfId="9331"/>
    <cellStyle name="_공무월간보고_기성내역서_전체계약변경(03)" xfId="9332"/>
    <cellStyle name="_공무월간보고_기성내역서_전체계약변경(03) 2" xfId="9333"/>
    <cellStyle name="_공무월간보고_기성내역서_전체계약변경(03)_강동내역(9.28" xfId="9334"/>
    <cellStyle name="_공무월간보고_기성내역서_전체계약변경(03)_강동내역(9.28 2" xfId="9335"/>
    <cellStyle name="_공무월간보고_기성내역서_전체계약변경(03)_강동내역(9.28_T05-D03-004D(울산터널-조명제어-안소장님1003)" xfId="9336"/>
    <cellStyle name="_공무월간보고_기성내역서_전체계약변경(03)_강동내역(9.28_T05-D03-004D(울산터널-조명제어-안소장님1003) 2" xfId="9337"/>
    <cellStyle name="_공무월간보고_기성내역서_전체계약변경(03)_강동내역(9.28_T05-D03-004D(울산터널-조명제어-안소장님1003)_설계내역서" xfId="9338"/>
    <cellStyle name="_공무월간보고_기성내역서_전체계약변경(03)_강동내역(9.28_T05-D03-004D(울산터널-환기-구성설비0930)" xfId="9339"/>
    <cellStyle name="_공무월간보고_기성내역서_전체계약변경(03)_강동내역(9.28_T05-D03-004D(울산터널-환기-구성설비0930) 2" xfId="9340"/>
    <cellStyle name="_공무월간보고_기성내역서_전체계약변경(03)_강동내역(9.28_T05-D03-004D(울산터널-환기-구성설비0930)_설계내역서" xfId="9341"/>
    <cellStyle name="_공무월간보고_기성내역서_전체계약변경(03)_강동내역(9.28_설계내역서" xfId="9342"/>
    <cellStyle name="_공무월간보고_기성내역서_전체계약변경(03)_강동내역(9.28_울산강동내역최종(20051101)" xfId="9343"/>
    <cellStyle name="_공무월간보고_기성내역서_전체계약변경(03)_강동내역(9.28_울산강동내역최종(20051101) 2" xfId="9344"/>
    <cellStyle name="_공무월간보고_기성내역서_전체계약변경(03)_강동내역(9.28_울산강동내역최종(20051101)_설계내역서" xfId="9345"/>
    <cellStyle name="_공무월간보고_기성내역서_전체계약변경(03)_설계내역서" xfId="9346"/>
    <cellStyle name="_공무월간보고_설계내역서" xfId="9347"/>
    <cellStyle name="_공무월간보고_전체계약변경(03)" xfId="9348"/>
    <cellStyle name="_공무월간보고_전체계약변경(03) 2" xfId="9349"/>
    <cellStyle name="_공무월간보고_전체계약변경(03)_강동내역(9.28" xfId="9350"/>
    <cellStyle name="_공무월간보고_전체계약변경(03)_강동내역(9.28 2" xfId="9351"/>
    <cellStyle name="_공무월간보고_전체계약변경(03)_강동내역(9.28_T05-D03-004D(울산터널-조명제어-안소장님1003)" xfId="9352"/>
    <cellStyle name="_공무월간보고_전체계약변경(03)_강동내역(9.28_T05-D03-004D(울산터널-조명제어-안소장님1003) 2" xfId="9353"/>
    <cellStyle name="_공무월간보고_전체계약변경(03)_강동내역(9.28_T05-D03-004D(울산터널-조명제어-안소장님1003)_설계내역서" xfId="9354"/>
    <cellStyle name="_공무월간보고_전체계약변경(03)_강동내역(9.28_T05-D03-004D(울산터널-환기-구성설비0930)" xfId="9355"/>
    <cellStyle name="_공무월간보고_전체계약변경(03)_강동내역(9.28_T05-D03-004D(울산터널-환기-구성설비0930) 2" xfId="9356"/>
    <cellStyle name="_공무월간보고_전체계약변경(03)_강동내역(9.28_T05-D03-004D(울산터널-환기-구성설비0930)_설계내역서" xfId="9357"/>
    <cellStyle name="_공무월간보고_전체계약변경(03)_강동내역(9.28_설계내역서" xfId="9358"/>
    <cellStyle name="_공무월간보고_전체계약변경(03)_강동내역(9.28_울산강동내역최종(20051101)" xfId="9359"/>
    <cellStyle name="_공무월간보고_전체계약변경(03)_강동내역(9.28_울산강동내역최종(20051101) 2" xfId="9360"/>
    <cellStyle name="_공무월간보고_전체계약변경(03)_강동내역(9.28_울산강동내역최종(20051101)_설계내역서" xfId="9361"/>
    <cellStyle name="_공무월간보고_전체계약변경(03)_설계내역서" xfId="9362"/>
    <cellStyle name="_공무월간보고_포장외건(최종)" xfId="9363"/>
    <cellStyle name="_공무월간보고_포장외건(최종) 2" xfId="9364"/>
    <cellStyle name="_공무월간보고_포장외건(최종)_강동내역(9.28" xfId="9365"/>
    <cellStyle name="_공무월간보고_포장외건(최종)_강동내역(9.28 2" xfId="9366"/>
    <cellStyle name="_공무월간보고_포장외건(최종)_강동내역(9.28_T05-D03-004D(울산터널-조명제어-안소장님1003)" xfId="9367"/>
    <cellStyle name="_공무월간보고_포장외건(최종)_강동내역(9.28_T05-D03-004D(울산터널-조명제어-안소장님1003) 2" xfId="9368"/>
    <cellStyle name="_공무월간보고_포장외건(최종)_강동내역(9.28_T05-D03-004D(울산터널-조명제어-안소장님1003)_설계내역서" xfId="9369"/>
    <cellStyle name="_공무월간보고_포장외건(최종)_강동내역(9.28_T05-D03-004D(울산터널-환기-구성설비0930)" xfId="9370"/>
    <cellStyle name="_공무월간보고_포장외건(최종)_강동내역(9.28_T05-D03-004D(울산터널-환기-구성설비0930) 2" xfId="9371"/>
    <cellStyle name="_공무월간보고_포장외건(최종)_강동내역(9.28_T05-D03-004D(울산터널-환기-구성설비0930)_설계내역서" xfId="9372"/>
    <cellStyle name="_공무월간보고_포장외건(최종)_강동내역(9.28_설계내역서" xfId="9373"/>
    <cellStyle name="_공무월간보고_포장외건(최종)_강동내역(9.28_울산강동내역최종(20051101)" xfId="9374"/>
    <cellStyle name="_공무월간보고_포장외건(최종)_강동내역(9.28_울산강동내역최종(20051101) 2" xfId="9375"/>
    <cellStyle name="_공무월간보고_포장외건(최종)_강동내역(9.28_울산강동내역최종(20051101)_설계내역서" xfId="9376"/>
    <cellStyle name="_공무월간보고_포장외건(최종)_설계내역서" xfId="9377"/>
    <cellStyle name="_공무정산0104" xfId="9378"/>
    <cellStyle name="_공무정산0104 2" xfId="9379"/>
    <cellStyle name="_공무정산0104_강동내역(9.28" xfId="9380"/>
    <cellStyle name="_공무정산0104_강동내역(9.28 2" xfId="9381"/>
    <cellStyle name="_공무정산0104_강동내역(9.28_T05-D03-004D(울산터널-조명제어-안소장님1003)" xfId="9382"/>
    <cellStyle name="_공무정산0104_강동내역(9.28_T05-D03-004D(울산터널-조명제어-안소장님1003) 2" xfId="9383"/>
    <cellStyle name="_공무정산0104_강동내역(9.28_T05-D03-004D(울산터널-조명제어-안소장님1003)_설계내역서" xfId="9384"/>
    <cellStyle name="_공무정산0104_강동내역(9.28_T05-D03-004D(울산터널-환기-구성설비0930)" xfId="9385"/>
    <cellStyle name="_공무정산0104_강동내역(9.28_T05-D03-004D(울산터널-환기-구성설비0930) 2" xfId="9386"/>
    <cellStyle name="_공무정산0104_강동내역(9.28_T05-D03-004D(울산터널-환기-구성설비0930)_설계내역서" xfId="9387"/>
    <cellStyle name="_공무정산0104_강동내역(9.28_설계내역서" xfId="9388"/>
    <cellStyle name="_공무정산0104_강동내역(9.28_울산강동내역최종(20051101)" xfId="9389"/>
    <cellStyle name="_공무정산0104_강동내역(9.28_울산강동내역최종(20051101) 2" xfId="9390"/>
    <cellStyle name="_공무정산0104_강동내역(9.28_울산강동내역최종(20051101)_설계내역서" xfId="9391"/>
    <cellStyle name="_공무정산0104_공무정산양식(10월초)" xfId="9392"/>
    <cellStyle name="_공무정산0104_공무정산양식(10월초) 2" xfId="9393"/>
    <cellStyle name="_공무정산0104_공무정산양식(10월초)_강동내역(9.28" xfId="9394"/>
    <cellStyle name="_공무정산0104_공무정산양식(10월초)_강동내역(9.28 2" xfId="9395"/>
    <cellStyle name="_공무정산0104_공무정산양식(10월초)_강동내역(9.28_T05-D03-004D(울산터널-조명제어-안소장님1003)" xfId="9396"/>
    <cellStyle name="_공무정산0104_공무정산양식(10월초)_강동내역(9.28_T05-D03-004D(울산터널-조명제어-안소장님1003) 2" xfId="9397"/>
    <cellStyle name="_공무정산0104_공무정산양식(10월초)_강동내역(9.28_T05-D03-004D(울산터널-조명제어-안소장님1003)_설계내역서" xfId="9398"/>
    <cellStyle name="_공무정산0104_공무정산양식(10월초)_강동내역(9.28_T05-D03-004D(울산터널-환기-구성설비0930)" xfId="9399"/>
    <cellStyle name="_공무정산0104_공무정산양식(10월초)_강동내역(9.28_T05-D03-004D(울산터널-환기-구성설비0930) 2" xfId="9400"/>
    <cellStyle name="_공무정산0104_공무정산양식(10월초)_강동내역(9.28_T05-D03-004D(울산터널-환기-구성설비0930)_설계내역서" xfId="9401"/>
    <cellStyle name="_공무정산0104_공무정산양식(10월초)_강동내역(9.28_설계내역서" xfId="9402"/>
    <cellStyle name="_공무정산0104_공무정산양식(10월초)_강동내역(9.28_울산강동내역최종(20051101)" xfId="9403"/>
    <cellStyle name="_공무정산0104_공무정산양식(10월초)_강동내역(9.28_울산강동내역최종(20051101) 2" xfId="9404"/>
    <cellStyle name="_공무정산0104_공무정산양식(10월초)_강동내역(9.28_울산강동내역최종(20051101)_설계내역서" xfId="9405"/>
    <cellStyle name="_공무정산0104_공무정산양식(10월초)_기성내역서" xfId="9406"/>
    <cellStyle name="_공무정산0104_공무정산양식(10월초)_기성내역서 2" xfId="9407"/>
    <cellStyle name="_공무정산0104_공무정산양식(10월초)_기성내역서_강동내역(9.28" xfId="9408"/>
    <cellStyle name="_공무정산0104_공무정산양식(10월초)_기성내역서_강동내역(9.28 2" xfId="9409"/>
    <cellStyle name="_공무정산0104_공무정산양식(10월초)_기성내역서_강동내역(9.28_T05-D03-004D(울산터널-조명제어-안소장님1003)" xfId="9410"/>
    <cellStyle name="_공무정산0104_공무정산양식(10월초)_기성내역서_강동내역(9.28_T05-D03-004D(울산터널-조명제어-안소장님1003) 2" xfId="9411"/>
    <cellStyle name="_공무정산0104_공무정산양식(10월초)_기성내역서_강동내역(9.28_T05-D03-004D(울산터널-조명제어-안소장님1003)_설계내역서" xfId="9412"/>
    <cellStyle name="_공무정산0104_공무정산양식(10월초)_기성내역서_강동내역(9.28_T05-D03-004D(울산터널-환기-구성설비0930)" xfId="9413"/>
    <cellStyle name="_공무정산0104_공무정산양식(10월초)_기성내역서_강동내역(9.28_T05-D03-004D(울산터널-환기-구성설비0930) 2" xfId="9414"/>
    <cellStyle name="_공무정산0104_공무정산양식(10월초)_기성내역서_강동내역(9.28_T05-D03-004D(울산터널-환기-구성설비0930)_설계내역서" xfId="9415"/>
    <cellStyle name="_공무정산0104_공무정산양식(10월초)_기성내역서_강동내역(9.28_설계내역서" xfId="9416"/>
    <cellStyle name="_공무정산0104_공무정산양식(10월초)_기성내역서_강동내역(9.28_울산강동내역최종(20051101)" xfId="9417"/>
    <cellStyle name="_공무정산0104_공무정산양식(10월초)_기성내역서_강동내역(9.28_울산강동내역최종(20051101) 2" xfId="9418"/>
    <cellStyle name="_공무정산0104_공무정산양식(10월초)_기성내역서_강동내역(9.28_울산강동내역최종(20051101)_설계내역서" xfId="9419"/>
    <cellStyle name="_공무정산0104_공무정산양식(10월초)_기성내역서_설계내역서" xfId="9420"/>
    <cellStyle name="_공무정산0104_공무정산양식(10월초)_기성내역서_전체계약변경(03)" xfId="9421"/>
    <cellStyle name="_공무정산0104_공무정산양식(10월초)_기성내역서_전체계약변경(03) 2" xfId="9422"/>
    <cellStyle name="_공무정산0104_공무정산양식(10월초)_기성내역서_전체계약변경(03)_강동내역(9.28" xfId="9423"/>
    <cellStyle name="_공무정산0104_공무정산양식(10월초)_기성내역서_전체계약변경(03)_강동내역(9.28 2" xfId="9424"/>
    <cellStyle name="_공무정산0104_공무정산양식(10월초)_기성내역서_전체계약변경(03)_강동내역(9.28_T05-D03-004D(울산터널-조명제어-안소장님1003)" xfId="9425"/>
    <cellStyle name="_공무정산0104_공무정산양식(10월초)_기성내역서_전체계약변경(03)_강동내역(9.28_T05-D03-004D(울산터널-조명제어-안소장님1003) 2" xfId="9426"/>
    <cellStyle name="_공무정산0104_공무정산양식(10월초)_기성내역서_전체계약변경(03)_강동내역(9.28_T05-D03-004D(울산터널-조명제어-안소장님1003)_설계내역서" xfId="9427"/>
    <cellStyle name="_공무정산0104_공무정산양식(10월초)_기성내역서_전체계약변경(03)_강동내역(9.28_T05-D03-004D(울산터널-환기-구성설비0930)" xfId="9428"/>
    <cellStyle name="_공무정산0104_공무정산양식(10월초)_기성내역서_전체계약변경(03)_강동내역(9.28_T05-D03-004D(울산터널-환기-구성설비0930) 2" xfId="9429"/>
    <cellStyle name="_공무정산0104_공무정산양식(10월초)_기성내역서_전체계약변경(03)_강동내역(9.28_T05-D03-004D(울산터널-환기-구성설비0930)_설계내역서" xfId="9430"/>
    <cellStyle name="_공무정산0104_공무정산양식(10월초)_기성내역서_전체계약변경(03)_강동내역(9.28_설계내역서" xfId="9431"/>
    <cellStyle name="_공무정산0104_공무정산양식(10월초)_기성내역서_전체계약변경(03)_강동내역(9.28_울산강동내역최종(20051101)" xfId="9432"/>
    <cellStyle name="_공무정산0104_공무정산양식(10월초)_기성내역서_전체계약변경(03)_강동내역(9.28_울산강동내역최종(20051101) 2" xfId="9433"/>
    <cellStyle name="_공무정산0104_공무정산양식(10월초)_기성내역서_전체계약변경(03)_강동내역(9.28_울산강동내역최종(20051101)_설계내역서" xfId="9434"/>
    <cellStyle name="_공무정산0104_공무정산양식(10월초)_기성내역서_전체계약변경(03)_설계내역서" xfId="9435"/>
    <cellStyle name="_공무정산0104_공무정산양식(10월초)_설계내역서" xfId="9436"/>
    <cellStyle name="_공무정산0104_공무정산양식(10월초)_전체계약변경(03)" xfId="9437"/>
    <cellStyle name="_공무정산0104_공무정산양식(10월초)_전체계약변경(03) 2" xfId="9438"/>
    <cellStyle name="_공무정산0104_공무정산양식(10월초)_전체계약변경(03)_강동내역(9.28" xfId="9439"/>
    <cellStyle name="_공무정산0104_공무정산양식(10월초)_전체계약변경(03)_강동내역(9.28 2" xfId="9440"/>
    <cellStyle name="_공무정산0104_공무정산양식(10월초)_전체계약변경(03)_강동내역(9.28_T05-D03-004D(울산터널-조명제어-안소장님1003)" xfId="9441"/>
    <cellStyle name="_공무정산0104_공무정산양식(10월초)_전체계약변경(03)_강동내역(9.28_T05-D03-004D(울산터널-조명제어-안소장님1003) 2" xfId="9442"/>
    <cellStyle name="_공무정산0104_공무정산양식(10월초)_전체계약변경(03)_강동내역(9.28_T05-D03-004D(울산터널-조명제어-안소장님1003)_설계내역서" xfId="9443"/>
    <cellStyle name="_공무정산0104_공무정산양식(10월초)_전체계약변경(03)_강동내역(9.28_T05-D03-004D(울산터널-환기-구성설비0930)" xfId="9444"/>
    <cellStyle name="_공무정산0104_공무정산양식(10월초)_전체계약변경(03)_강동내역(9.28_T05-D03-004D(울산터널-환기-구성설비0930) 2" xfId="9445"/>
    <cellStyle name="_공무정산0104_공무정산양식(10월초)_전체계약변경(03)_강동내역(9.28_T05-D03-004D(울산터널-환기-구성설비0930)_설계내역서" xfId="9446"/>
    <cellStyle name="_공무정산0104_공무정산양식(10월초)_전체계약변경(03)_강동내역(9.28_설계내역서" xfId="9447"/>
    <cellStyle name="_공무정산0104_공무정산양식(10월초)_전체계약변경(03)_강동내역(9.28_울산강동내역최종(20051101)" xfId="9448"/>
    <cellStyle name="_공무정산0104_공무정산양식(10월초)_전체계약변경(03)_강동내역(9.28_울산강동내역최종(20051101) 2" xfId="9449"/>
    <cellStyle name="_공무정산0104_공무정산양식(10월초)_전체계약변경(03)_강동내역(9.28_울산강동내역최종(20051101)_설계내역서" xfId="9450"/>
    <cellStyle name="_공무정산0104_공무정산양식(10월초)_전체계약변경(03)_설계내역서" xfId="9451"/>
    <cellStyle name="_공무정산0104_공무정산양식(10월초)_포장외건(최종)" xfId="9452"/>
    <cellStyle name="_공무정산0104_공무정산양식(10월초)_포장외건(최종) 2" xfId="9453"/>
    <cellStyle name="_공무정산0104_공무정산양식(10월초)_포장외건(최종)_강동내역(9.28" xfId="9454"/>
    <cellStyle name="_공무정산0104_공무정산양식(10월초)_포장외건(최종)_강동내역(9.28 2" xfId="9455"/>
    <cellStyle name="_공무정산0104_공무정산양식(10월초)_포장외건(최종)_강동내역(9.28_T05-D03-004D(울산터널-조명제어-안소장님1003)" xfId="9456"/>
    <cellStyle name="_공무정산0104_공무정산양식(10월초)_포장외건(최종)_강동내역(9.28_T05-D03-004D(울산터널-조명제어-안소장님1003) 2" xfId="9457"/>
    <cellStyle name="_공무정산0104_공무정산양식(10월초)_포장외건(최종)_강동내역(9.28_T05-D03-004D(울산터널-조명제어-안소장님1003)_설계내역서" xfId="9458"/>
    <cellStyle name="_공무정산0104_공무정산양식(10월초)_포장외건(최종)_강동내역(9.28_T05-D03-004D(울산터널-환기-구성설비0930)" xfId="9459"/>
    <cellStyle name="_공무정산0104_공무정산양식(10월초)_포장외건(최종)_강동내역(9.28_T05-D03-004D(울산터널-환기-구성설비0930) 2" xfId="9460"/>
    <cellStyle name="_공무정산0104_공무정산양식(10월초)_포장외건(최종)_강동내역(9.28_T05-D03-004D(울산터널-환기-구성설비0930)_설계내역서" xfId="9461"/>
    <cellStyle name="_공무정산0104_공무정산양식(10월초)_포장외건(최종)_강동내역(9.28_설계내역서" xfId="9462"/>
    <cellStyle name="_공무정산0104_공무정산양식(10월초)_포장외건(최종)_강동내역(9.28_울산강동내역최종(20051101)" xfId="9463"/>
    <cellStyle name="_공무정산0104_공무정산양식(10월초)_포장외건(최종)_강동내역(9.28_울산강동내역최종(20051101) 2" xfId="9464"/>
    <cellStyle name="_공무정산0104_공무정산양식(10월초)_포장외건(최종)_강동내역(9.28_울산강동내역최종(20051101)_설계내역서" xfId="9465"/>
    <cellStyle name="_공무정산0104_공무정산양식(10월초)_포장외건(최종)_설계내역서" xfId="9466"/>
    <cellStyle name="_공무정산0104_기성내역서" xfId="9467"/>
    <cellStyle name="_공무정산0104_기성내역서 2" xfId="9468"/>
    <cellStyle name="_공무정산0104_기성내역서_강동내역(9.28" xfId="9469"/>
    <cellStyle name="_공무정산0104_기성내역서_강동내역(9.28 2" xfId="9470"/>
    <cellStyle name="_공무정산0104_기성내역서_강동내역(9.28_T05-D03-004D(울산터널-조명제어-안소장님1003)" xfId="9471"/>
    <cellStyle name="_공무정산0104_기성내역서_강동내역(9.28_T05-D03-004D(울산터널-조명제어-안소장님1003) 2" xfId="9472"/>
    <cellStyle name="_공무정산0104_기성내역서_강동내역(9.28_T05-D03-004D(울산터널-조명제어-안소장님1003)_설계내역서" xfId="9473"/>
    <cellStyle name="_공무정산0104_기성내역서_강동내역(9.28_T05-D03-004D(울산터널-환기-구성설비0930)" xfId="9474"/>
    <cellStyle name="_공무정산0104_기성내역서_강동내역(9.28_T05-D03-004D(울산터널-환기-구성설비0930) 2" xfId="9475"/>
    <cellStyle name="_공무정산0104_기성내역서_강동내역(9.28_T05-D03-004D(울산터널-환기-구성설비0930)_설계내역서" xfId="9476"/>
    <cellStyle name="_공무정산0104_기성내역서_강동내역(9.28_설계내역서" xfId="9477"/>
    <cellStyle name="_공무정산0104_기성내역서_강동내역(9.28_울산강동내역최종(20051101)" xfId="9478"/>
    <cellStyle name="_공무정산0104_기성내역서_강동내역(9.28_울산강동내역최종(20051101) 2" xfId="9479"/>
    <cellStyle name="_공무정산0104_기성내역서_강동내역(9.28_울산강동내역최종(20051101)_설계내역서" xfId="9480"/>
    <cellStyle name="_공무정산0104_기성내역서_설계내역서" xfId="9481"/>
    <cellStyle name="_공무정산0104_기성내역서_전체계약변경(03)" xfId="9482"/>
    <cellStyle name="_공무정산0104_기성내역서_전체계약변경(03) 2" xfId="9483"/>
    <cellStyle name="_공무정산0104_기성내역서_전체계약변경(03)_강동내역(9.28" xfId="9484"/>
    <cellStyle name="_공무정산0104_기성내역서_전체계약변경(03)_강동내역(9.28 2" xfId="9485"/>
    <cellStyle name="_공무정산0104_기성내역서_전체계약변경(03)_강동내역(9.28_T05-D03-004D(울산터널-조명제어-안소장님1003)" xfId="9486"/>
    <cellStyle name="_공무정산0104_기성내역서_전체계약변경(03)_강동내역(9.28_T05-D03-004D(울산터널-조명제어-안소장님1003) 2" xfId="9487"/>
    <cellStyle name="_공무정산0104_기성내역서_전체계약변경(03)_강동내역(9.28_T05-D03-004D(울산터널-조명제어-안소장님1003)_설계내역서" xfId="9488"/>
    <cellStyle name="_공무정산0104_기성내역서_전체계약변경(03)_강동내역(9.28_T05-D03-004D(울산터널-환기-구성설비0930)" xfId="9489"/>
    <cellStyle name="_공무정산0104_기성내역서_전체계약변경(03)_강동내역(9.28_T05-D03-004D(울산터널-환기-구성설비0930) 2" xfId="9490"/>
    <cellStyle name="_공무정산0104_기성내역서_전체계약변경(03)_강동내역(9.28_T05-D03-004D(울산터널-환기-구성설비0930)_설계내역서" xfId="9491"/>
    <cellStyle name="_공무정산0104_기성내역서_전체계약변경(03)_강동내역(9.28_설계내역서" xfId="9492"/>
    <cellStyle name="_공무정산0104_기성내역서_전체계약변경(03)_강동내역(9.28_울산강동내역최종(20051101)" xfId="9493"/>
    <cellStyle name="_공무정산0104_기성내역서_전체계약변경(03)_강동내역(9.28_울산강동내역최종(20051101) 2" xfId="9494"/>
    <cellStyle name="_공무정산0104_기성내역서_전체계약변경(03)_강동내역(9.28_울산강동내역최종(20051101)_설계내역서" xfId="9495"/>
    <cellStyle name="_공무정산0104_기성내역서_전체계약변경(03)_설계내역서" xfId="9496"/>
    <cellStyle name="_공무정산0104_설계내역서" xfId="9497"/>
    <cellStyle name="_공무정산0104_전체계약변경(03)" xfId="9498"/>
    <cellStyle name="_공무정산0104_전체계약변경(03) 2" xfId="9499"/>
    <cellStyle name="_공무정산0104_전체계약변경(03)_강동내역(9.28" xfId="9500"/>
    <cellStyle name="_공무정산0104_전체계약변경(03)_강동내역(9.28 2" xfId="9501"/>
    <cellStyle name="_공무정산0104_전체계약변경(03)_강동내역(9.28_T05-D03-004D(울산터널-조명제어-안소장님1003)" xfId="9502"/>
    <cellStyle name="_공무정산0104_전체계약변경(03)_강동내역(9.28_T05-D03-004D(울산터널-조명제어-안소장님1003) 2" xfId="9503"/>
    <cellStyle name="_공무정산0104_전체계약변경(03)_강동내역(9.28_T05-D03-004D(울산터널-조명제어-안소장님1003)_설계내역서" xfId="9504"/>
    <cellStyle name="_공무정산0104_전체계약변경(03)_강동내역(9.28_T05-D03-004D(울산터널-환기-구성설비0930)" xfId="9505"/>
    <cellStyle name="_공무정산0104_전체계약변경(03)_강동내역(9.28_T05-D03-004D(울산터널-환기-구성설비0930) 2" xfId="9506"/>
    <cellStyle name="_공무정산0104_전체계약변경(03)_강동내역(9.28_T05-D03-004D(울산터널-환기-구성설비0930)_설계내역서" xfId="9507"/>
    <cellStyle name="_공무정산0104_전체계약변경(03)_강동내역(9.28_설계내역서" xfId="9508"/>
    <cellStyle name="_공무정산0104_전체계약변경(03)_강동내역(9.28_울산강동내역최종(20051101)" xfId="9509"/>
    <cellStyle name="_공무정산0104_전체계약변경(03)_강동내역(9.28_울산강동내역최종(20051101) 2" xfId="9510"/>
    <cellStyle name="_공무정산0104_전체계약변경(03)_강동내역(9.28_울산강동내역최종(20051101)_설계내역서" xfId="9511"/>
    <cellStyle name="_공무정산0104_전체계약변경(03)_설계내역서" xfId="9512"/>
    <cellStyle name="_공무정산0104_포장외건(최종)" xfId="9513"/>
    <cellStyle name="_공무정산0104_포장외건(최종) 2" xfId="9514"/>
    <cellStyle name="_공무정산0104_포장외건(최종)_강동내역(9.28" xfId="9515"/>
    <cellStyle name="_공무정산0104_포장외건(최종)_강동내역(9.28 2" xfId="9516"/>
    <cellStyle name="_공무정산0104_포장외건(최종)_강동내역(9.28_T05-D03-004D(울산터널-조명제어-안소장님1003)" xfId="9517"/>
    <cellStyle name="_공무정산0104_포장외건(최종)_강동내역(9.28_T05-D03-004D(울산터널-조명제어-안소장님1003) 2" xfId="9518"/>
    <cellStyle name="_공무정산0104_포장외건(최종)_강동내역(9.28_T05-D03-004D(울산터널-조명제어-안소장님1003)_설계내역서" xfId="9519"/>
    <cellStyle name="_공무정산0104_포장외건(최종)_강동내역(9.28_T05-D03-004D(울산터널-환기-구성설비0930)" xfId="9520"/>
    <cellStyle name="_공무정산0104_포장외건(최종)_강동내역(9.28_T05-D03-004D(울산터널-환기-구성설비0930) 2" xfId="9521"/>
    <cellStyle name="_공무정산0104_포장외건(최종)_강동내역(9.28_T05-D03-004D(울산터널-환기-구성설비0930)_설계내역서" xfId="9522"/>
    <cellStyle name="_공무정산0104_포장외건(최종)_강동내역(9.28_설계내역서" xfId="9523"/>
    <cellStyle name="_공무정산0104_포장외건(최종)_강동내역(9.28_울산강동내역최종(20051101)" xfId="9524"/>
    <cellStyle name="_공무정산0104_포장외건(최종)_강동내역(9.28_울산강동내역최종(20051101) 2" xfId="9525"/>
    <cellStyle name="_공무정산0104_포장외건(최종)_강동내역(9.28_울산강동내역최종(20051101)_설계내역서" xfId="9526"/>
    <cellStyle name="_공무정산0104_포장외건(최종)_설계내역서" xfId="9527"/>
    <cellStyle name="_공사시행계획서" xfId="9528"/>
    <cellStyle name="_공사원각서" xfId="9529"/>
    <cellStyle name="_과천 ITS 2사전원가내역(1차)" xfId="9530"/>
    <cellStyle name="_과천시 ITS 2단계 1차 구축사업(20041021설계최종)" xfId="9531"/>
    <cellStyle name="_광가입자전송장비(FLC)삼성" xfId="9532"/>
    <cellStyle name="_광링크" xfId="9533"/>
    <cellStyle name="_광안리내역서(구도)" xfId="9534"/>
    <cellStyle name="_광주증설교체" xfId="70"/>
    <cellStyle name="_광주천 설계예산서" xfId="71"/>
    <cellStyle name="_광주천 설계예산서(갑지)" xfId="72"/>
    <cellStyle name="_광주퇴촌면주택" xfId="9535"/>
    <cellStyle name="_교통정보설계내역서" xfId="11470"/>
    <cellStyle name="_교통표지판" xfId="11471"/>
    <cellStyle name="_교학대 전기내역서" xfId="73"/>
    <cellStyle name="_구이우체국 전기통신내역" xfId="74"/>
    <cellStyle name="_군산CC(기계설비공내역)" xfId="75"/>
    <cellStyle name="_군산ITS 설계 원가 조사20031224" xfId="9536"/>
    <cellStyle name="_기계공고수량1지구최종" xfId="11472"/>
    <cellStyle name="_기계설비내역(0207)" xfId="5182"/>
    <cellStyle name="_기본설계1" xfId="9537"/>
    <cellStyle name="_기본정보제공시스템" xfId="9538"/>
    <cellStyle name="_기상부분_태민" xfId="9539"/>
    <cellStyle name="_기성내역서" xfId="9540"/>
    <cellStyle name="_기지국(정산자료)" xfId="9541"/>
    <cellStyle name="_기초공사" xfId="9542"/>
    <cellStyle name="_기초일위대가" xfId="76"/>
    <cellStyle name="_기타경비" xfId="5183"/>
    <cellStyle name="_김제만경 전기내역(남북로)R" xfId="77"/>
    <cellStyle name="_김포ER(세종)" xfId="78"/>
    <cellStyle name="_나노엔텍(임금)" xfId="9543"/>
    <cellStyle name="_나주 한국3M공장" xfId="79"/>
    <cellStyle name="_나주공공도서관 평생교육시설 증축 전기공사-최종" xfId="80"/>
    <cellStyle name="_남대천 야간 경관조명 내역서 (통합본)" xfId="81"/>
    <cellStyle name="_남부기별" xfId="9544"/>
    <cellStyle name="_남부기별 2" xfId="9545"/>
    <cellStyle name="_남부영업부기별" xfId="9546"/>
    <cellStyle name="_남부영업부기별 2" xfId="9547"/>
    <cellStyle name="_남지교(071108)" xfId="17023"/>
    <cellStyle name="_남희정사장님20050617-1" xfId="9548"/>
    <cellStyle name="_내역(2_개방형)" xfId="82"/>
    <cellStyle name="_내역(2_개방형) 2" xfId="9549"/>
    <cellStyle name="_내역(2_개방형)_2010 가로등 단가설계" xfId="9550"/>
    <cellStyle name="_내역(2_개방형)_2010 가로등 단가설계 2" xfId="9551"/>
    <cellStyle name="_내역(2_개방형)_2010 가로등 단가설계(작업중)" xfId="9552"/>
    <cellStyle name="_내역(2_개방형)_2010 가로등 단가설계(작업중) 2" xfId="9553"/>
    <cellStyle name="_내역(2_개방형)_2010 가로등 단가설계(작업중)_2010 가로등 단가설계" xfId="9554"/>
    <cellStyle name="_내역(2_개방형)_2010 가로등 단가설계(작업중)_2010 가로등 단가설계 2" xfId="9555"/>
    <cellStyle name="_내역(2_개방형)_2010 가로등 단가설계(작업중)_2010 가로등 단가설계_설계내역서" xfId="9556"/>
    <cellStyle name="_내역(2_개방형)_설계내역서" xfId="9557"/>
    <cellStyle name="_내역(2_개방형)_신정호-제작납품(설치포함)" xfId="83"/>
    <cellStyle name="_내역(2_개방형)_신정호-제작납품(설치포함)_Book1" xfId="84"/>
    <cellStyle name="_내역(2_개방형)_신정호-제작납품(설치포함)_보행3교 경관조형물 설계서" xfId="85"/>
    <cellStyle name="_내역(2_개방형)_신정호-제작납품(설치포함)_신천육교 경관조형물 설계서" xfId="86"/>
    <cellStyle name="_내역(2_개방형)_신정호-제작납품(설치포함)_신현제2교 리모델링 설계서" xfId="87"/>
    <cellStyle name="_내역(2_개방형)_신정호-제작납품(설치포함)_실행예산서9.6" xfId="88"/>
    <cellStyle name="_내역(5_개방형변형)" xfId="89"/>
    <cellStyle name="_내역(5_개방형변형) 2" xfId="9558"/>
    <cellStyle name="_내역(5_개방형변형)_2010 가로등 단가설계" xfId="9559"/>
    <cellStyle name="_내역(5_개방형변형)_2010 가로등 단가설계 2" xfId="9560"/>
    <cellStyle name="_내역(5_개방형변형)_2010 가로등 단가설계(작업중)" xfId="9561"/>
    <cellStyle name="_내역(5_개방형변형)_2010 가로등 단가설계(작업중) 2" xfId="9562"/>
    <cellStyle name="_내역(5_개방형변형)_2010 가로등 단가설계(작업중)_2010 가로등 단가설계" xfId="9563"/>
    <cellStyle name="_내역(5_개방형변형)_2010 가로등 단가설계(작업중)_2010 가로등 단가설계 2" xfId="9564"/>
    <cellStyle name="_내역(5_개방형변형)_2010 가로등 단가설계(작업중)_2010 가로등 단가설계_설계내역서" xfId="9565"/>
    <cellStyle name="_내역(5_개방형변형)_설계내역서" xfId="9566"/>
    <cellStyle name="_내역(5_개방형변형)_신정호-제작납품(설치포함)" xfId="90"/>
    <cellStyle name="_내역(5_개방형변형)_신정호-제작납품(설치포함)_Book1" xfId="91"/>
    <cellStyle name="_내역(5_개방형변형)_신정호-제작납품(설치포함)_보행3교 경관조형물 설계서" xfId="92"/>
    <cellStyle name="_내역(5_개방형변형)_신정호-제작납품(설치포함)_신천육교 경관조형물 설계서" xfId="93"/>
    <cellStyle name="_내역(5_개방형변형)_신정호-제작납품(설치포함)_신현제2교 리모델링 설계서" xfId="94"/>
    <cellStyle name="_내역(5_개방형변형)_신정호-제작납품(설치포함)_실행예산서9.6" xfId="95"/>
    <cellStyle name="_내역(991895-7)" xfId="5184"/>
    <cellStyle name="_내역(991895-7)-01" xfId="5185"/>
    <cellStyle name="_내역(991895-7)-12-3일작업" xfId="5186"/>
    <cellStyle name="_내역서" xfId="96"/>
    <cellStyle name="_내역서 및 설계참고자료" xfId="5187"/>
    <cellStyle name="_내역서(0408)" xfId="5188"/>
    <cellStyle name="_내역서(06)" xfId="5189"/>
    <cellStyle name="_내역서(07.03.02)" xfId="97"/>
    <cellStyle name="_내역서(2.2)" xfId="9567"/>
    <cellStyle name="_내역서(밀양시)" xfId="5190"/>
    <cellStyle name="_내역서(설계변경_상하단)" xfId="98"/>
    <cellStyle name="_내역서(센터_하드웨어_v1)" xfId="9568"/>
    <cellStyle name="_내역서(센터_하드웨어_통합_V2)" xfId="9569"/>
    <cellStyle name="_내역서(제출용)" xfId="5191"/>
    <cellStyle name="_내역서(종운,교대)" xfId="5192"/>
    <cellStyle name="_내역서(한성대수정)" xfId="5193"/>
    <cellStyle name="_내역서_1" xfId="5194"/>
    <cellStyle name="_내역서_VDS(최신11-07)" xfId="9570"/>
    <cellStyle name="_내역서_내역서(가산동진입육교)" xfId="9571"/>
    <cellStyle name="_내역서+개요(월배통신)" xfId="5195"/>
    <cellStyle name="_내역서+개요(전기)-6.7(최종)" xfId="5196"/>
    <cellStyle name="_내역서+개요(통신)" xfId="5197"/>
    <cellStyle name="_내역서2" xfId="99"/>
    <cellStyle name="_내역서-노임수정3(수정)" xfId="5198"/>
    <cellStyle name="_내역서및설계서" xfId="100"/>
    <cellStyle name="_내역서-철주교체" xfId="101"/>
    <cellStyle name="_내역서피뢰및접지" xfId="9572"/>
    <cellStyle name="_노임단가" xfId="9573"/>
    <cellStyle name="_노임단가 2" xfId="9574"/>
    <cellStyle name="_논산탑정호" xfId="102"/>
    <cellStyle name="_농수로3종외-최종" xfId="9575"/>
    <cellStyle name="_다목적실 전기내역R" xfId="11473"/>
    <cellStyle name="_단가비교표" xfId="103"/>
    <cellStyle name="_단가산출서(엄기성 작업분)" xfId="104"/>
    <cellStyle name="_단가산출서(합)" xfId="105"/>
    <cellStyle name="_단가표" xfId="106"/>
    <cellStyle name="_단양내역서" xfId="107"/>
    <cellStyle name="_단위수량" xfId="11474"/>
    <cellStyle name="_대갑견적" xfId="9576"/>
    <cellStyle name="_대갑견적1" xfId="9577"/>
    <cellStyle name="_대구용산APT(견적)" xfId="9578"/>
    <cellStyle name="_대성1111" xfId="17024"/>
    <cellStyle name="_대전망운용국 대수선 전기공사+개요" xfId="5199"/>
    <cellStyle name="_대초 전기내역시방" xfId="108"/>
    <cellStyle name="_덕수궁 외2길 경관조명 내역서" xfId="109"/>
    <cellStyle name="_도로공사분전반-내역" xfId="110"/>
    <cellStyle name="_도리4공구수량" xfId="11475"/>
    <cellStyle name="_동목포전화국제4회기성청구서" xfId="5200"/>
    <cellStyle name="_동부2지역" xfId="9579"/>
    <cellStyle name="_동부지점  정보통신실 정비공사" xfId="9580"/>
    <cellStyle name="_동월농로" xfId="11476"/>
    <cellStyle name="_동월농로(변경)" xfId="11477"/>
    <cellStyle name="_동월농로1" xfId="11478"/>
    <cellStyle name="_둔전~삼계리내역서(가로등)-수정" xfId="5201"/>
    <cellStyle name="_등촌동 어린이집" xfId="111"/>
    <cellStyle name="_롯데백화점미아점신호정산물량-가공(1월)" xfId="9581"/>
    <cellStyle name="_마창VMS1EA-2_2" xfId="9582"/>
    <cellStyle name="_말띠고개(수정)" xfId="9583"/>
    <cellStyle name="_명지지구 연결통행로 계산서" xfId="112"/>
    <cellStyle name="_민자부문설계내역서" xfId="11479"/>
    <cellStyle name="_발산지구내역서" xfId="113"/>
    <cellStyle name="_밤재터널" xfId="114"/>
    <cellStyle name="_백마역사-단가산출서 및 설계참고자료(전기)-EMS-1.JH" xfId="115"/>
    <cellStyle name="_변경계약분실행및2001년실행(견적비교포함)" xfId="9584"/>
    <cellStyle name="_변경계약분실행및2001년실행(견적비교포함) 2" xfId="9585"/>
    <cellStyle name="_변경계약분실행및2001년실행(견적비교포함)_강동내역(9.28" xfId="9586"/>
    <cellStyle name="_변경계약분실행및2001년실행(견적비교포함)_강동내역(9.28 2" xfId="9587"/>
    <cellStyle name="_변경계약분실행및2001년실행(견적비교포함)_강동내역(9.28_T05-D03-004D(울산터널-조명제어-안소장님1003)" xfId="9588"/>
    <cellStyle name="_변경계약분실행및2001년실행(견적비교포함)_강동내역(9.28_T05-D03-004D(울산터널-조명제어-안소장님1003) 2" xfId="9589"/>
    <cellStyle name="_변경계약분실행및2001년실행(견적비교포함)_강동내역(9.28_T05-D03-004D(울산터널-조명제어-안소장님1003)_설계내역서" xfId="9590"/>
    <cellStyle name="_변경계약분실행및2001년실행(견적비교포함)_강동내역(9.28_T05-D03-004D(울산터널-환기-구성설비0930)" xfId="9591"/>
    <cellStyle name="_변경계약분실행및2001년실행(견적비교포함)_강동내역(9.28_T05-D03-004D(울산터널-환기-구성설비0930) 2" xfId="9592"/>
    <cellStyle name="_변경계약분실행및2001년실행(견적비교포함)_강동내역(9.28_T05-D03-004D(울산터널-환기-구성설비0930)_설계내역서" xfId="9593"/>
    <cellStyle name="_변경계약분실행및2001년실행(견적비교포함)_강동내역(9.28_설계내역서" xfId="9594"/>
    <cellStyle name="_변경계약분실행및2001년실행(견적비교포함)_강동내역(9.28_울산강동내역최종(20051101)" xfId="9595"/>
    <cellStyle name="_변경계약분실행및2001년실행(견적비교포함)_강동내역(9.28_울산강동내역최종(20051101) 2" xfId="9596"/>
    <cellStyle name="_변경계약분실행및2001년실행(견적비교포함)_강동내역(9.28_울산강동내역최종(20051101)_설계내역서" xfId="9597"/>
    <cellStyle name="_변경계약분실행및2001년실행(견적비교포함)_공무정산양식(10월초)" xfId="9598"/>
    <cellStyle name="_변경계약분실행및2001년실행(견적비교포함)_공무정산양식(10월초) 2" xfId="9599"/>
    <cellStyle name="_변경계약분실행및2001년실행(견적비교포함)_공무정산양식(10월초)_강동내역(9.28" xfId="9600"/>
    <cellStyle name="_변경계약분실행및2001년실행(견적비교포함)_공무정산양식(10월초)_강동내역(9.28 2" xfId="9601"/>
    <cellStyle name="_변경계약분실행및2001년실행(견적비교포함)_공무정산양식(10월초)_강동내역(9.28_T05-D03-004D(울산터널-조명제어-안소장님1003)" xfId="9602"/>
    <cellStyle name="_변경계약분실행및2001년실행(견적비교포함)_공무정산양식(10월초)_강동내역(9.28_T05-D03-004D(울산터널-조명제어-안소장님1003) 2" xfId="9603"/>
    <cellStyle name="_변경계약분실행및2001년실행(견적비교포함)_공무정산양식(10월초)_강동내역(9.28_T05-D03-004D(울산터널-조명제어-안소장님1003)_설계내역서" xfId="9604"/>
    <cellStyle name="_변경계약분실행및2001년실행(견적비교포함)_공무정산양식(10월초)_강동내역(9.28_T05-D03-004D(울산터널-환기-구성설비0930)" xfId="9605"/>
    <cellStyle name="_변경계약분실행및2001년실행(견적비교포함)_공무정산양식(10월초)_강동내역(9.28_T05-D03-004D(울산터널-환기-구성설비0930) 2" xfId="9606"/>
    <cellStyle name="_변경계약분실행및2001년실행(견적비교포함)_공무정산양식(10월초)_강동내역(9.28_T05-D03-004D(울산터널-환기-구성설비0930)_설계내역서" xfId="9607"/>
    <cellStyle name="_변경계약분실행및2001년실행(견적비교포함)_공무정산양식(10월초)_강동내역(9.28_설계내역서" xfId="9608"/>
    <cellStyle name="_변경계약분실행및2001년실행(견적비교포함)_공무정산양식(10월초)_강동내역(9.28_울산강동내역최종(20051101)" xfId="9609"/>
    <cellStyle name="_변경계약분실행및2001년실행(견적비교포함)_공무정산양식(10월초)_강동내역(9.28_울산강동내역최종(20051101) 2" xfId="9610"/>
    <cellStyle name="_변경계약분실행및2001년실행(견적비교포함)_공무정산양식(10월초)_강동내역(9.28_울산강동내역최종(20051101)_설계내역서" xfId="9611"/>
    <cellStyle name="_변경계약분실행및2001년실행(견적비교포함)_공무정산양식(10월초)_기성내역서" xfId="9612"/>
    <cellStyle name="_변경계약분실행및2001년실행(견적비교포함)_공무정산양식(10월초)_기성내역서 2" xfId="9613"/>
    <cellStyle name="_변경계약분실행및2001년실행(견적비교포함)_공무정산양식(10월초)_기성내역서_강동내역(9.28" xfId="9614"/>
    <cellStyle name="_변경계약분실행및2001년실행(견적비교포함)_공무정산양식(10월초)_기성내역서_강동내역(9.28 2" xfId="9615"/>
    <cellStyle name="_변경계약분실행및2001년실행(견적비교포함)_공무정산양식(10월초)_기성내역서_강동내역(9.28_T05-D03-004D(울산터널-조명제어-안소장님1003)" xfId="9616"/>
    <cellStyle name="_변경계약분실행및2001년실행(견적비교포함)_공무정산양식(10월초)_기성내역서_강동내역(9.28_T05-D03-004D(울산터널-조명제어-안소장님1003) 2" xfId="9617"/>
    <cellStyle name="_변경계약분실행및2001년실행(견적비교포함)_공무정산양식(10월초)_기성내역서_강동내역(9.28_T05-D03-004D(울산터널-조명제어-안소장님1003)_설계내역서" xfId="9618"/>
    <cellStyle name="_변경계약분실행및2001년실행(견적비교포함)_공무정산양식(10월초)_기성내역서_강동내역(9.28_T05-D03-004D(울산터널-환기-구성설비0930)" xfId="9619"/>
    <cellStyle name="_변경계약분실행및2001년실행(견적비교포함)_공무정산양식(10월초)_기성내역서_강동내역(9.28_T05-D03-004D(울산터널-환기-구성설비0930) 2" xfId="9620"/>
    <cellStyle name="_변경계약분실행및2001년실행(견적비교포함)_공무정산양식(10월초)_기성내역서_강동내역(9.28_T05-D03-004D(울산터널-환기-구성설비0930)_설계내역서" xfId="9621"/>
    <cellStyle name="_변경계약분실행및2001년실행(견적비교포함)_공무정산양식(10월초)_기성내역서_강동내역(9.28_설계내역서" xfId="9622"/>
    <cellStyle name="_변경계약분실행및2001년실행(견적비교포함)_공무정산양식(10월초)_기성내역서_강동내역(9.28_울산강동내역최종(20051101)" xfId="9623"/>
    <cellStyle name="_변경계약분실행및2001년실행(견적비교포함)_공무정산양식(10월초)_기성내역서_강동내역(9.28_울산강동내역최종(20051101) 2" xfId="9624"/>
    <cellStyle name="_변경계약분실행및2001년실행(견적비교포함)_공무정산양식(10월초)_기성내역서_강동내역(9.28_울산강동내역최종(20051101)_설계내역서" xfId="9625"/>
    <cellStyle name="_변경계약분실행및2001년실행(견적비교포함)_공무정산양식(10월초)_기성내역서_설계내역서" xfId="9626"/>
    <cellStyle name="_변경계약분실행및2001년실행(견적비교포함)_공무정산양식(10월초)_기성내역서_전체계약변경(03)" xfId="9627"/>
    <cellStyle name="_변경계약분실행및2001년실행(견적비교포함)_공무정산양식(10월초)_기성내역서_전체계약변경(03) 2" xfId="9628"/>
    <cellStyle name="_변경계약분실행및2001년실행(견적비교포함)_공무정산양식(10월초)_기성내역서_전체계약변경(03)_강동내역(9.28" xfId="9629"/>
    <cellStyle name="_변경계약분실행및2001년실행(견적비교포함)_공무정산양식(10월초)_기성내역서_전체계약변경(03)_강동내역(9.28 2" xfId="9630"/>
    <cellStyle name="_변경계약분실행및2001년실행(견적비교포함)_공무정산양식(10월초)_기성내역서_전체계약변경(03)_강동내역(9.28_T05-D03-004D(울산터널-조명제어-안소장님1003)" xfId="9631"/>
    <cellStyle name="_변경계약분실행및2001년실행(견적비교포함)_공무정산양식(10월초)_기성내역서_전체계약변경(03)_강동내역(9.28_T05-D03-004D(울산터널-조명제어-안소장님1003) 2" xfId="9632"/>
    <cellStyle name="_변경계약분실행및2001년실행(견적비교포함)_공무정산양식(10월초)_기성내역서_전체계약변경(03)_강동내역(9.28_T05-D03-004D(울산터널-조명제어-안소장님1003)_설계내역서" xfId="9633"/>
    <cellStyle name="_변경계약분실행및2001년실행(견적비교포함)_공무정산양식(10월초)_기성내역서_전체계약변경(03)_강동내역(9.28_T05-D03-004D(울산터널-환기-구성설비0930)" xfId="9634"/>
    <cellStyle name="_변경계약분실행및2001년실행(견적비교포함)_공무정산양식(10월초)_기성내역서_전체계약변경(03)_강동내역(9.28_T05-D03-004D(울산터널-환기-구성설비0930) 2" xfId="9635"/>
    <cellStyle name="_변경계약분실행및2001년실행(견적비교포함)_공무정산양식(10월초)_기성내역서_전체계약변경(03)_강동내역(9.28_T05-D03-004D(울산터널-환기-구성설비0930)_설계내역서" xfId="9636"/>
    <cellStyle name="_변경계약분실행및2001년실행(견적비교포함)_공무정산양식(10월초)_기성내역서_전체계약변경(03)_강동내역(9.28_설계내역서" xfId="9637"/>
    <cellStyle name="_변경계약분실행및2001년실행(견적비교포함)_공무정산양식(10월초)_기성내역서_전체계약변경(03)_강동내역(9.28_울산강동내역최종(20051101)" xfId="9638"/>
    <cellStyle name="_변경계약분실행및2001년실행(견적비교포함)_공무정산양식(10월초)_기성내역서_전체계약변경(03)_강동내역(9.28_울산강동내역최종(20051101) 2" xfId="9639"/>
    <cellStyle name="_변경계약분실행및2001년실행(견적비교포함)_공무정산양식(10월초)_기성내역서_전체계약변경(03)_강동내역(9.28_울산강동내역최종(20051101)_설계내역서" xfId="9640"/>
    <cellStyle name="_변경계약분실행및2001년실행(견적비교포함)_공무정산양식(10월초)_기성내역서_전체계약변경(03)_설계내역서" xfId="9641"/>
    <cellStyle name="_변경계약분실행및2001년실행(견적비교포함)_공무정산양식(10월초)_설계내역서" xfId="9642"/>
    <cellStyle name="_변경계약분실행및2001년실행(견적비교포함)_공무정산양식(10월초)_전체계약변경(03)" xfId="9643"/>
    <cellStyle name="_변경계약분실행및2001년실행(견적비교포함)_공무정산양식(10월초)_전체계약변경(03) 2" xfId="9644"/>
    <cellStyle name="_변경계약분실행및2001년실행(견적비교포함)_공무정산양식(10월초)_전체계약변경(03)_강동내역(9.28" xfId="9645"/>
    <cellStyle name="_변경계약분실행및2001년실행(견적비교포함)_공무정산양식(10월초)_전체계약변경(03)_강동내역(9.28 2" xfId="9646"/>
    <cellStyle name="_변경계약분실행및2001년실행(견적비교포함)_공무정산양식(10월초)_전체계약변경(03)_강동내역(9.28_T05-D03-004D(울산터널-조명제어-안소장님1003)" xfId="9647"/>
    <cellStyle name="_변경계약분실행및2001년실행(견적비교포함)_공무정산양식(10월초)_전체계약변경(03)_강동내역(9.28_T05-D03-004D(울산터널-조명제어-안소장님1003) 2" xfId="9648"/>
    <cellStyle name="_변경계약분실행및2001년실행(견적비교포함)_공무정산양식(10월초)_전체계약변경(03)_강동내역(9.28_T05-D03-004D(울산터널-조명제어-안소장님1003)_설계내역서" xfId="9649"/>
    <cellStyle name="_변경계약분실행및2001년실행(견적비교포함)_공무정산양식(10월초)_전체계약변경(03)_강동내역(9.28_T05-D03-004D(울산터널-환기-구성설비0930)" xfId="9650"/>
    <cellStyle name="_변경계약분실행및2001년실행(견적비교포함)_공무정산양식(10월초)_전체계약변경(03)_강동내역(9.28_T05-D03-004D(울산터널-환기-구성설비0930) 2" xfId="9651"/>
    <cellStyle name="_변경계약분실행및2001년실행(견적비교포함)_공무정산양식(10월초)_전체계약변경(03)_강동내역(9.28_T05-D03-004D(울산터널-환기-구성설비0930)_설계내역서" xfId="9652"/>
    <cellStyle name="_변경계약분실행및2001년실행(견적비교포함)_공무정산양식(10월초)_전체계약변경(03)_강동내역(9.28_설계내역서" xfId="9653"/>
    <cellStyle name="_변경계약분실행및2001년실행(견적비교포함)_공무정산양식(10월초)_전체계약변경(03)_강동내역(9.28_울산강동내역최종(20051101)" xfId="9654"/>
    <cellStyle name="_변경계약분실행및2001년실행(견적비교포함)_공무정산양식(10월초)_전체계약변경(03)_강동내역(9.28_울산강동내역최종(20051101) 2" xfId="9655"/>
    <cellStyle name="_변경계약분실행및2001년실행(견적비교포함)_공무정산양식(10월초)_전체계약변경(03)_강동내역(9.28_울산강동내역최종(20051101)_설계내역서" xfId="9656"/>
    <cellStyle name="_변경계약분실행및2001년실행(견적비교포함)_공무정산양식(10월초)_전체계약변경(03)_설계내역서" xfId="9657"/>
    <cellStyle name="_변경계약분실행및2001년실행(견적비교포함)_공무정산양식(10월초)_포장외건(최종)" xfId="9658"/>
    <cellStyle name="_변경계약분실행및2001년실행(견적비교포함)_공무정산양식(10월초)_포장외건(최종) 2" xfId="9659"/>
    <cellStyle name="_변경계약분실행및2001년실행(견적비교포함)_공무정산양식(10월초)_포장외건(최종)_강동내역(9.28" xfId="9660"/>
    <cellStyle name="_변경계약분실행및2001년실행(견적비교포함)_공무정산양식(10월초)_포장외건(최종)_강동내역(9.28 2" xfId="9661"/>
    <cellStyle name="_변경계약분실행및2001년실행(견적비교포함)_공무정산양식(10월초)_포장외건(최종)_강동내역(9.28_T05-D03-004D(울산터널-조명제어-안소장님1003)" xfId="9662"/>
    <cellStyle name="_변경계약분실행및2001년실행(견적비교포함)_공무정산양식(10월초)_포장외건(최종)_강동내역(9.28_T05-D03-004D(울산터널-조명제어-안소장님1003) 2" xfId="9663"/>
    <cellStyle name="_변경계약분실행및2001년실행(견적비교포함)_공무정산양식(10월초)_포장외건(최종)_강동내역(9.28_T05-D03-004D(울산터널-조명제어-안소장님1003)_설계내역서" xfId="9664"/>
    <cellStyle name="_변경계약분실행및2001년실행(견적비교포함)_공무정산양식(10월초)_포장외건(최종)_강동내역(9.28_T05-D03-004D(울산터널-환기-구성설비0930)" xfId="9665"/>
    <cellStyle name="_변경계약분실행및2001년실행(견적비교포함)_공무정산양식(10월초)_포장외건(최종)_강동내역(9.28_T05-D03-004D(울산터널-환기-구성설비0930) 2" xfId="9666"/>
    <cellStyle name="_변경계약분실행및2001년실행(견적비교포함)_공무정산양식(10월초)_포장외건(최종)_강동내역(9.28_T05-D03-004D(울산터널-환기-구성설비0930)_설계내역서" xfId="9667"/>
    <cellStyle name="_변경계약분실행및2001년실행(견적비교포함)_공무정산양식(10월초)_포장외건(최종)_강동내역(9.28_설계내역서" xfId="9668"/>
    <cellStyle name="_변경계약분실행및2001년실행(견적비교포함)_공무정산양식(10월초)_포장외건(최종)_강동내역(9.28_울산강동내역최종(20051101)" xfId="9669"/>
    <cellStyle name="_변경계약분실행및2001년실행(견적비교포함)_공무정산양식(10월초)_포장외건(최종)_강동내역(9.28_울산강동내역최종(20051101) 2" xfId="9670"/>
    <cellStyle name="_변경계약분실행및2001년실행(견적비교포함)_공무정산양식(10월초)_포장외건(최종)_강동내역(9.28_울산강동내역최종(20051101)_설계내역서" xfId="9671"/>
    <cellStyle name="_변경계약분실행및2001년실행(견적비교포함)_공무정산양식(10월초)_포장외건(최종)_설계내역서" xfId="9672"/>
    <cellStyle name="_변경계약분실행및2001년실행(견적비교포함)_기성내역서" xfId="9673"/>
    <cellStyle name="_변경계약분실행및2001년실행(견적비교포함)_기성내역서 2" xfId="9674"/>
    <cellStyle name="_변경계약분실행및2001년실행(견적비교포함)_기성내역서_강동내역(9.28" xfId="9675"/>
    <cellStyle name="_변경계약분실행및2001년실행(견적비교포함)_기성내역서_강동내역(9.28 2" xfId="9676"/>
    <cellStyle name="_변경계약분실행및2001년실행(견적비교포함)_기성내역서_강동내역(9.28_T05-D03-004D(울산터널-조명제어-안소장님1003)" xfId="9677"/>
    <cellStyle name="_변경계약분실행및2001년실행(견적비교포함)_기성내역서_강동내역(9.28_T05-D03-004D(울산터널-조명제어-안소장님1003) 2" xfId="9678"/>
    <cellStyle name="_변경계약분실행및2001년실행(견적비교포함)_기성내역서_강동내역(9.28_T05-D03-004D(울산터널-조명제어-안소장님1003)_설계내역서" xfId="9679"/>
    <cellStyle name="_변경계약분실행및2001년실행(견적비교포함)_기성내역서_강동내역(9.28_T05-D03-004D(울산터널-환기-구성설비0930)" xfId="9680"/>
    <cellStyle name="_변경계약분실행및2001년실행(견적비교포함)_기성내역서_강동내역(9.28_T05-D03-004D(울산터널-환기-구성설비0930) 2" xfId="9681"/>
    <cellStyle name="_변경계약분실행및2001년실행(견적비교포함)_기성내역서_강동내역(9.28_T05-D03-004D(울산터널-환기-구성설비0930)_설계내역서" xfId="9682"/>
    <cellStyle name="_변경계약분실행및2001년실행(견적비교포함)_기성내역서_강동내역(9.28_설계내역서" xfId="9683"/>
    <cellStyle name="_변경계약분실행및2001년실행(견적비교포함)_기성내역서_강동내역(9.28_울산강동내역최종(20051101)" xfId="9684"/>
    <cellStyle name="_변경계약분실행및2001년실행(견적비교포함)_기성내역서_강동내역(9.28_울산강동내역최종(20051101) 2" xfId="9685"/>
    <cellStyle name="_변경계약분실행및2001년실행(견적비교포함)_기성내역서_강동내역(9.28_울산강동내역최종(20051101)_설계내역서" xfId="9686"/>
    <cellStyle name="_변경계약분실행및2001년실행(견적비교포함)_기성내역서_설계내역서" xfId="9687"/>
    <cellStyle name="_변경계약분실행및2001년실행(견적비교포함)_기성내역서_전체계약변경(03)" xfId="9688"/>
    <cellStyle name="_변경계약분실행및2001년실행(견적비교포함)_기성내역서_전체계약변경(03) 2" xfId="9689"/>
    <cellStyle name="_변경계약분실행및2001년실행(견적비교포함)_기성내역서_전체계약변경(03)_강동내역(9.28" xfId="9690"/>
    <cellStyle name="_변경계약분실행및2001년실행(견적비교포함)_기성내역서_전체계약변경(03)_강동내역(9.28 2" xfId="9691"/>
    <cellStyle name="_변경계약분실행및2001년실행(견적비교포함)_기성내역서_전체계약변경(03)_강동내역(9.28_T05-D03-004D(울산터널-조명제어-안소장님1003)" xfId="9692"/>
    <cellStyle name="_변경계약분실행및2001년실행(견적비교포함)_기성내역서_전체계약변경(03)_강동내역(9.28_T05-D03-004D(울산터널-조명제어-안소장님1003) 2" xfId="9693"/>
    <cellStyle name="_변경계약분실행및2001년실행(견적비교포함)_기성내역서_전체계약변경(03)_강동내역(9.28_T05-D03-004D(울산터널-조명제어-안소장님1003)_설계내역서" xfId="9694"/>
    <cellStyle name="_변경계약분실행및2001년실행(견적비교포함)_기성내역서_전체계약변경(03)_강동내역(9.28_T05-D03-004D(울산터널-환기-구성설비0930)" xfId="9695"/>
    <cellStyle name="_변경계약분실행및2001년실행(견적비교포함)_기성내역서_전체계약변경(03)_강동내역(9.28_T05-D03-004D(울산터널-환기-구성설비0930) 2" xfId="9696"/>
    <cellStyle name="_변경계약분실행및2001년실행(견적비교포함)_기성내역서_전체계약변경(03)_강동내역(9.28_T05-D03-004D(울산터널-환기-구성설비0930)_설계내역서" xfId="9697"/>
    <cellStyle name="_변경계약분실행및2001년실행(견적비교포함)_기성내역서_전체계약변경(03)_강동내역(9.28_설계내역서" xfId="9698"/>
    <cellStyle name="_변경계약분실행및2001년실행(견적비교포함)_기성내역서_전체계약변경(03)_강동내역(9.28_울산강동내역최종(20051101)" xfId="9699"/>
    <cellStyle name="_변경계약분실행및2001년실행(견적비교포함)_기성내역서_전체계약변경(03)_강동내역(9.28_울산강동내역최종(20051101) 2" xfId="9700"/>
    <cellStyle name="_변경계약분실행및2001년실행(견적비교포함)_기성내역서_전체계약변경(03)_강동내역(9.28_울산강동내역최종(20051101)_설계내역서" xfId="9701"/>
    <cellStyle name="_변경계약분실행및2001년실행(견적비교포함)_기성내역서_전체계약변경(03)_설계내역서" xfId="9702"/>
    <cellStyle name="_변경계약분실행및2001년실행(견적비교포함)_설계내역서" xfId="9703"/>
    <cellStyle name="_변경계약분실행및2001년실행(견적비교포함)_전체계약변경(03)" xfId="9704"/>
    <cellStyle name="_변경계약분실행및2001년실행(견적비교포함)_전체계약변경(03) 2" xfId="9705"/>
    <cellStyle name="_변경계약분실행및2001년실행(견적비교포함)_전체계약변경(03)_강동내역(9.28" xfId="9706"/>
    <cellStyle name="_변경계약분실행및2001년실행(견적비교포함)_전체계약변경(03)_강동내역(9.28 2" xfId="9707"/>
    <cellStyle name="_변경계약분실행및2001년실행(견적비교포함)_전체계약변경(03)_강동내역(9.28_T05-D03-004D(울산터널-조명제어-안소장님1003)" xfId="9708"/>
    <cellStyle name="_변경계약분실행및2001년실행(견적비교포함)_전체계약변경(03)_강동내역(9.28_T05-D03-004D(울산터널-조명제어-안소장님1003) 2" xfId="9709"/>
    <cellStyle name="_변경계약분실행및2001년실행(견적비교포함)_전체계약변경(03)_강동내역(9.28_T05-D03-004D(울산터널-조명제어-안소장님1003)_설계내역서" xfId="9710"/>
    <cellStyle name="_변경계약분실행및2001년실행(견적비교포함)_전체계약변경(03)_강동내역(9.28_T05-D03-004D(울산터널-환기-구성설비0930)" xfId="9711"/>
    <cellStyle name="_변경계약분실행및2001년실행(견적비교포함)_전체계약변경(03)_강동내역(9.28_T05-D03-004D(울산터널-환기-구성설비0930) 2" xfId="9712"/>
    <cellStyle name="_변경계약분실행및2001년실행(견적비교포함)_전체계약변경(03)_강동내역(9.28_T05-D03-004D(울산터널-환기-구성설비0930)_설계내역서" xfId="9713"/>
    <cellStyle name="_변경계약분실행및2001년실행(견적비교포함)_전체계약변경(03)_강동내역(9.28_설계내역서" xfId="9714"/>
    <cellStyle name="_변경계약분실행및2001년실행(견적비교포함)_전체계약변경(03)_강동내역(9.28_울산강동내역최종(20051101)" xfId="9715"/>
    <cellStyle name="_변경계약분실행및2001년실행(견적비교포함)_전체계약변경(03)_강동내역(9.28_울산강동내역최종(20051101) 2" xfId="9716"/>
    <cellStyle name="_변경계약분실행및2001년실행(견적비교포함)_전체계약변경(03)_강동내역(9.28_울산강동내역최종(20051101)_설계내역서" xfId="9717"/>
    <cellStyle name="_변경계약분실행및2001년실행(견적비교포함)_전체계약변경(03)_설계내역서" xfId="9718"/>
    <cellStyle name="_변경계약분실행및2001년실행(견적비교포함)_포장외건(최종)" xfId="9719"/>
    <cellStyle name="_변경계약분실행및2001년실행(견적비교포함)_포장외건(최종) 2" xfId="9720"/>
    <cellStyle name="_변경계약분실행및2001년실행(견적비교포함)_포장외건(최종)_강동내역(9.28" xfId="9721"/>
    <cellStyle name="_변경계약분실행및2001년실행(견적비교포함)_포장외건(최종)_강동내역(9.28 2" xfId="9722"/>
    <cellStyle name="_변경계약분실행및2001년실행(견적비교포함)_포장외건(최종)_강동내역(9.28_T05-D03-004D(울산터널-조명제어-안소장님1003)" xfId="9723"/>
    <cellStyle name="_변경계약분실행및2001년실행(견적비교포함)_포장외건(최종)_강동내역(9.28_T05-D03-004D(울산터널-조명제어-안소장님1003) 2" xfId="9724"/>
    <cellStyle name="_변경계약분실행및2001년실행(견적비교포함)_포장외건(최종)_강동내역(9.28_T05-D03-004D(울산터널-조명제어-안소장님1003)_설계내역서" xfId="9725"/>
    <cellStyle name="_변경계약분실행및2001년실행(견적비교포함)_포장외건(최종)_강동내역(9.28_T05-D03-004D(울산터널-환기-구성설비0930)" xfId="9726"/>
    <cellStyle name="_변경계약분실행및2001년실행(견적비교포함)_포장외건(최종)_강동내역(9.28_T05-D03-004D(울산터널-환기-구성설비0930) 2" xfId="9727"/>
    <cellStyle name="_변경계약분실행및2001년실행(견적비교포함)_포장외건(최종)_강동내역(9.28_T05-D03-004D(울산터널-환기-구성설비0930)_설계내역서" xfId="9728"/>
    <cellStyle name="_변경계약분실행및2001년실행(견적비교포함)_포장외건(최종)_강동내역(9.28_설계내역서" xfId="9729"/>
    <cellStyle name="_변경계약분실행및2001년실행(견적비교포함)_포장외건(최종)_강동내역(9.28_울산강동내역최종(20051101)" xfId="9730"/>
    <cellStyle name="_변경계약분실행및2001년실행(견적비교포함)_포장외건(최종)_강동내역(9.28_울산강동내역최종(20051101) 2" xfId="9731"/>
    <cellStyle name="_변경계약분실행및2001년실행(견적비교포함)_포장외건(최종)_강동내역(9.28_울산강동내역최종(20051101)_설계내역서" xfId="9732"/>
    <cellStyle name="_변경계약분실행및2001년실행(견적비교포함)_포장외건(최종)_설계내역서" xfId="9733"/>
    <cellStyle name="_변경내역서" xfId="116"/>
    <cellStyle name="_변경대곡천1내역서" xfId="11480"/>
    <cellStyle name="_변경설계서" xfId="11481"/>
    <cellStyle name="_변경설계서(스라브13.5M)" xfId="11482"/>
    <cellStyle name="_보행3교 경관조형물 설계서" xfId="117"/>
    <cellStyle name="_복사본 (인천-캐노피(총괄))(04.10)" xfId="118"/>
    <cellStyle name="_복사본 (인천-캐노피(총괄))(04.10) 2" xfId="9734"/>
    <cellStyle name="_복사본 (인천-캐노피(총괄))(04.10)_2010 가로등 단가설계" xfId="9735"/>
    <cellStyle name="_복사본 (인천-캐노피(총괄))(04.10)_2010 가로등 단가설계 2" xfId="9736"/>
    <cellStyle name="_복사본 (인천-캐노피(총괄))(04.10)_2010 가로등 단가설계(작업중)" xfId="9737"/>
    <cellStyle name="_복사본 (인천-캐노피(총괄))(04.10)_2010 가로등 단가설계(작업중) 2" xfId="9738"/>
    <cellStyle name="_복사본 (인천-캐노피(총괄))(04.10)_2010 가로등 단가설계(작업중)_2010 가로등 단가설계" xfId="9739"/>
    <cellStyle name="_복사본 (인천-캐노피(총괄))(04.10)_2010 가로등 단가설계(작업중)_2010 가로등 단가설계 2" xfId="9740"/>
    <cellStyle name="_복사본 (인천-캐노피(총괄))(04.10)_2010 가로등 단가설계(작업중)_2010 가로등 단가설계_설계내역서" xfId="9741"/>
    <cellStyle name="_복사본 (인천-캐노피(총괄))(04.10)_갑지" xfId="9742"/>
    <cellStyle name="_복사본 (인천-캐노피(총괄))(04.10)_갑지 2" xfId="9743"/>
    <cellStyle name="_복사본 (인천-캐노피(총괄))(04.10)_갑지_2010 가로등 단가설계" xfId="9744"/>
    <cellStyle name="_복사본 (인천-캐노피(총괄))(04.10)_갑지_2010 가로등 단가설계 2" xfId="9745"/>
    <cellStyle name="_복사본 (인천-캐노피(총괄))(04.10)_갑지_2010 가로등 단가설계(작업중)" xfId="9746"/>
    <cellStyle name="_복사본 (인천-캐노피(총괄))(04.10)_갑지_2010 가로등 단가설계(작업중) 2" xfId="9747"/>
    <cellStyle name="_복사본 (인천-캐노피(총괄))(04.10)_갑지_2010 가로등 단가설계(작업중)_2010 가로등 단가설계" xfId="9748"/>
    <cellStyle name="_복사본 (인천-캐노피(총괄))(04.10)_갑지_2010 가로등 단가설계(작업중)_2010 가로등 단가설계 2" xfId="9749"/>
    <cellStyle name="_복사본 (인천-캐노피(총괄))(04.10)_갑지_2010 가로등 단가설계(작업중)_2010 가로등 단가설계_설계내역서" xfId="9750"/>
    <cellStyle name="_복사본 (인천-캐노피(총괄))(04.10)_갑지_Sheet3" xfId="9751"/>
    <cellStyle name="_복사본 (인천-캐노피(총괄))(04.10)_갑지_Sheet3 2" xfId="9752"/>
    <cellStyle name="_복사본 (인천-캐노피(총괄))(04.10)_갑지_Sheet3_2010 가로등 단가설계" xfId="9753"/>
    <cellStyle name="_복사본 (인천-캐노피(총괄))(04.10)_갑지_Sheet3_2010 가로등 단가설계 2" xfId="9754"/>
    <cellStyle name="_복사본 (인천-캐노피(총괄))(04.10)_갑지_Sheet3_2010 가로등 단가설계(작업중)" xfId="9755"/>
    <cellStyle name="_복사본 (인천-캐노피(총괄))(04.10)_갑지_Sheet3_2010 가로등 단가설계(작업중) 2" xfId="9756"/>
    <cellStyle name="_복사본 (인천-캐노피(총괄))(04.10)_갑지_Sheet3_2010 가로등 단가설계(작업중)_2010 가로등 단가설계" xfId="9757"/>
    <cellStyle name="_복사본 (인천-캐노피(총괄))(04.10)_갑지_Sheet3_2010 가로등 단가설계(작업중)_2010 가로등 단가설계 2" xfId="9758"/>
    <cellStyle name="_복사본 (인천-캐노피(총괄))(04.10)_갑지_Sheet3_2010 가로등 단가설계(작업중)_2010 가로등 단가설계_설계내역서" xfId="9759"/>
    <cellStyle name="_복사본 (인천-캐노피(총괄))(04.10)_갑지_Sheet3_설계내역서" xfId="9760"/>
    <cellStyle name="_복사본 (인천-캐노피(총괄))(04.10)_갑지_설계내역서" xfId="9761"/>
    <cellStyle name="_복사본 (인천-캐노피(총괄))(04.10)_설계내역서" xfId="9762"/>
    <cellStyle name="_복사본 (인천-캐노피(총괄))(04.10)_신정호-제작납품(설치포함)" xfId="119"/>
    <cellStyle name="_복사본 (인천-캐노피(총괄))(04.10)_신정호-제작납품(설치포함)_Book1" xfId="120"/>
    <cellStyle name="_복사본 (인천-캐노피(총괄))(04.10)_신정호-제작납품(설치포함)_보행3교 경관조형물 설계서" xfId="121"/>
    <cellStyle name="_복사본 (인천-캐노피(총괄))(04.10)_신정호-제작납품(설치포함)_신천육교 경관조형물 설계서" xfId="122"/>
    <cellStyle name="_복사본 (인천-캐노피(총괄))(04.10)_신정호-제작납품(설치포함)_신현제2교 리모델링 설계서" xfId="123"/>
    <cellStyle name="_복사본 (인천-캐노피(총괄))(04.10)_신정호-제작납품(설치포함)_실행예산서9.6" xfId="124"/>
    <cellStyle name="_본선토공수량" xfId="9763"/>
    <cellStyle name="_본선토공수량 2" xfId="9764"/>
    <cellStyle name="_본선토공수량_설계내역서" xfId="9765"/>
    <cellStyle name="_봉림고교 교사신축(최종)" xfId="5202"/>
    <cellStyle name="_봉림고교 교사신축(최종)-참고용" xfId="5203"/>
    <cellStyle name="_부산소방 제출용 200407" xfId="9766"/>
    <cellStyle name="_부산어린이공원 내역서_진짜" xfId="125"/>
    <cellStyle name="_부산원가1014_최종" xfId="9767"/>
    <cellStyle name="_부하계산서" xfId="126"/>
    <cellStyle name="_부하계산서(수정)" xfId="127"/>
    <cellStyle name="_부하계산서_1" xfId="128"/>
    <cellStyle name="_북부수정" xfId="9768"/>
    <cellStyle name="_북부수정 2" xfId="9769"/>
    <cellStyle name="_사본 - 계산서" xfId="129"/>
    <cellStyle name="_사본 - 고가차도(전력)" xfId="130"/>
    <cellStyle name="_사천배춘 실행예산서-1" xfId="11483"/>
    <cellStyle name="_산출(신현터널 일운)" xfId="9770"/>
    <cellStyle name="_산출기초조사서(050921최종)" xfId="9771"/>
    <cellStyle name="_산출내역관련참고(한전중부)" xfId="9772"/>
    <cellStyle name="_산출내역관련참고(한전중부) 2" xfId="9773"/>
    <cellStyle name="_산출내역서1" xfId="131"/>
    <cellStyle name="_산출내역서1 2" xfId="9774"/>
    <cellStyle name="_산출내역서1_CCTV 내역시작11.21" xfId="5204"/>
    <cellStyle name="_산출내역서1_삼청로길(내역서04월07일)" xfId="5205"/>
    <cellStyle name="_산출내역서1_삼청로길(인공)" xfId="5206"/>
    <cellStyle name="_산출내역서1_삼청로길(최종 내역서)" xfId="5207"/>
    <cellStyle name="_산출내역서1_설계내역서" xfId="9775"/>
    <cellStyle name="_삼천교 전기내역R(최종)" xfId="11484"/>
    <cellStyle name="_생태이동통로토공" xfId="9776"/>
    <cellStyle name="_생태이동통로토공 2" xfId="9777"/>
    <cellStyle name="_생태이동통로토공_설계내역서" xfId="9778"/>
    <cellStyle name="_서울 지하철 7호선 연장 내역서" xfId="132"/>
    <cellStyle name="_서울과학관의장" xfId="9779"/>
    <cellStyle name="_서울여대(20020516)" xfId="133"/>
    <cellStyle name="_석수대림" xfId="9780"/>
    <cellStyle name="_석수대림 2" xfId="9781"/>
    <cellStyle name="_선도전기(실적기준)" xfId="9782"/>
    <cellStyle name="_선바위길가로등개량공사 설계내역서" xfId="9783"/>
    <cellStyle name="_선변아파트진입 전기내역R" xfId="11485"/>
    <cellStyle name="_선수촌 스포츠 센터 환경개선 공사(내역서)" xfId="5208"/>
    <cellStyle name="_설계내역(전기)" xfId="134"/>
    <cellStyle name="_설계내역서" xfId="135"/>
    <cellStyle name="_설계내역서 2" xfId="9784"/>
    <cellStyle name="_설계내역서_1" xfId="9785"/>
    <cellStyle name="_설계내역서_2010 가로등 단가설계" xfId="9786"/>
    <cellStyle name="_설계내역서_2010 가로등 단가설계 2" xfId="9787"/>
    <cellStyle name="_설계내역서_2010 가로등 단가설계(작업중)" xfId="9788"/>
    <cellStyle name="_설계내역서_2010 가로등 단가설계(작업중) 2" xfId="9789"/>
    <cellStyle name="_설계내역서_2010 가로등 단가설계(작업중)_2010 가로등 단가설계" xfId="9790"/>
    <cellStyle name="_설계내역서_2010 가로등 단가설계(작업중)_2010 가로등 단가설계 2" xfId="9791"/>
    <cellStyle name="_설계내역서_2010 가로등 단가설계(작업중)_2010 가로등 단가설계_설계내역서" xfId="9792"/>
    <cellStyle name="_설계내역서_설계내역서" xfId="9793"/>
    <cellStyle name="_설계내역서_신정호-제작납품(설치포함)" xfId="136"/>
    <cellStyle name="_설계내역서_신정호-제작납품(설치포함)_Book1" xfId="137"/>
    <cellStyle name="_설계내역서_신정호-제작납품(설치포함)_보행3교 경관조형물 설계서" xfId="138"/>
    <cellStyle name="_설계내역서_신정호-제작납품(설치포함)_신천육교 경관조형물 설계서" xfId="139"/>
    <cellStyle name="_설계내역서_신정호-제작납품(설치포함)_신현제2교 리모델링 설계서" xfId="140"/>
    <cellStyle name="_설계내역서_신정호-제작납품(설치포함)_실행예산서9.6" xfId="141"/>
    <cellStyle name="_설계내역서-2" xfId="9794"/>
    <cellStyle name="_설계내역서-2 2" xfId="9795"/>
    <cellStyle name="_설계내역서-2_2010 가로등 단가설계" xfId="9796"/>
    <cellStyle name="_설계내역서-2_2010 가로등 단가설계 2" xfId="9797"/>
    <cellStyle name="_설계내역서-2_2010 가로등 단가설계(작업중)" xfId="9798"/>
    <cellStyle name="_설계내역서-2_2010 가로등 단가설계(작업중) 2" xfId="9799"/>
    <cellStyle name="_설계내역서-2_2010 가로등 단가설계(작업중)_2010 가로등 단가설계" xfId="9800"/>
    <cellStyle name="_설계내역서-2_2010 가로등 단가설계(작업중)_2010 가로등 단가설계 2" xfId="9801"/>
    <cellStyle name="_설계내역서-2_2010 가로등 단가설계(작업중)_2010 가로등 단가설계_설계내역서" xfId="9802"/>
    <cellStyle name="_설계내역서-2_설계내역서" xfId="9803"/>
    <cellStyle name="_설계서(수정)" xfId="5209"/>
    <cellStyle name="_설계서(시흥동 산118~218-14간 도로개설 전기공사)" xfId="9804"/>
    <cellStyle name="_설계서-광산로" xfId="142"/>
    <cellStyle name="_설계예산서(동광주)" xfId="143"/>
    <cellStyle name="_설계예산서(몽탄)" xfId="144"/>
    <cellStyle name="_설계원가 및 손익계산서(극장)" xfId="145"/>
    <cellStyle name="_설계원가 및 손익계산서(백화점)" xfId="146"/>
    <cellStyle name="_설계원가 및 손익계산서(이광환)" xfId="147"/>
    <cellStyle name="_설계참고자료1" xfId="5210"/>
    <cellStyle name="_설비(1218)" xfId="148"/>
    <cellStyle name="_설치위치별세부내역(VMS)-0323" xfId="9805"/>
    <cellStyle name="_설치위치별세부내역_AVI_1(new)" xfId="9806"/>
    <cellStyle name="_섬진강내역서" xfId="149"/>
    <cellStyle name="_성리2배수1공구" xfId="11486"/>
    <cellStyle name="_성북_성북로_설계서060620" xfId="9807"/>
    <cellStyle name="_센터시스템_견적" xfId="9808"/>
    <cellStyle name="_소방설비내역" xfId="5211"/>
    <cellStyle name="_소프트웨어개발비_1106" xfId="9809"/>
    <cellStyle name="_송현실행내역" xfId="9810"/>
    <cellStyle name="_수도사업소(삼중산업)비교" xfId="5212"/>
    <cellStyle name="_수량산출서(전기)" xfId="5213"/>
    <cellStyle name="_수량산출서(포장공)" xfId="11487"/>
    <cellStyle name="_수량산출서2" xfId="11488"/>
    <cellStyle name="_수량표(아주포함)" xfId="9811"/>
    <cellStyle name="_수배전반" xfId="150"/>
    <cellStyle name="_수정설계내역서-2" xfId="9812"/>
    <cellStyle name="_수정설계내역서-2 2" xfId="9813"/>
    <cellStyle name="_수정설계내역서-2_2010 가로등 단가설계" xfId="9814"/>
    <cellStyle name="_수정설계내역서-2_2010 가로등 단가설계 2" xfId="9815"/>
    <cellStyle name="_수정설계내역서-2_2010 가로등 단가설계(작업중)" xfId="9816"/>
    <cellStyle name="_수정설계내역서-2_2010 가로등 단가설계(작업중) 2" xfId="9817"/>
    <cellStyle name="_수정설계내역서-2_2010 가로등 단가설계(작업중)_2010 가로등 단가설계" xfId="9818"/>
    <cellStyle name="_수정설계내역서-2_2010 가로등 단가설계(작업중)_2010 가로등 단가설계 2" xfId="9819"/>
    <cellStyle name="_수정설계내역서-2_2010 가로등 단가설계(작업중)_2010 가로등 단가설계_설계내역서" xfId="9820"/>
    <cellStyle name="_수정설계내역서-2_설계내역서" xfId="9821"/>
    <cellStyle name="_수정이여2003.05.19xls" xfId="151"/>
    <cellStyle name="_순창구림유사 전기내역" xfId="152"/>
    <cellStyle name="_순창운암전기내역서" xfId="5214"/>
    <cellStyle name="_순천역사(동경)" xfId="153"/>
    <cellStyle name="_승강장-수정내역(05.07)" xfId="154"/>
    <cellStyle name="_승강장-수정내역(05.07) 2" xfId="9822"/>
    <cellStyle name="_승강장-수정내역(05.07)_2010 가로등 단가설계" xfId="9823"/>
    <cellStyle name="_승강장-수정내역(05.07)_2010 가로등 단가설계 2" xfId="9824"/>
    <cellStyle name="_승강장-수정내역(05.07)_2010 가로등 단가설계(작업중)" xfId="9825"/>
    <cellStyle name="_승강장-수정내역(05.07)_2010 가로등 단가설계(작업중) 2" xfId="9826"/>
    <cellStyle name="_승강장-수정내역(05.07)_2010 가로등 단가설계(작업중)_2010 가로등 단가설계" xfId="9827"/>
    <cellStyle name="_승강장-수정내역(05.07)_2010 가로등 단가설계(작업중)_2010 가로등 단가설계 2" xfId="9828"/>
    <cellStyle name="_승강장-수정내역(05.07)_2010 가로등 단가설계(작업중)_2010 가로등 단가설계_설계내역서" xfId="9829"/>
    <cellStyle name="_승강장-수정내역(05.07)_설계내역서" xfId="9830"/>
    <cellStyle name="_승강장-수정내역(05.07)_신정호-제작납품(설치포함)" xfId="155"/>
    <cellStyle name="_승강장-수정내역(05.07)_신정호-제작납품(설치포함)_Book1" xfId="156"/>
    <cellStyle name="_승강장-수정내역(05.07)_신정호-제작납품(설치포함)_보행3교 경관조형물 설계서" xfId="157"/>
    <cellStyle name="_승강장-수정내역(05.07)_신정호-제작납품(설치포함)_신천육교 경관조형물 설계서" xfId="158"/>
    <cellStyle name="_승강장-수정내역(05.07)_신정호-제작납품(설치포함)_신현제2교 리모델링 설계서" xfId="159"/>
    <cellStyle name="_승강장-수정내역(05.07)_신정호-제작납품(설치포함)_실행예산서9.6" xfId="160"/>
    <cellStyle name="_시공계획서(광주천)9.1" xfId="161"/>
    <cellStyle name="_시내버스시스템설계내역서" xfId="11489"/>
    <cellStyle name="_시내버스시스템설계내역서(전액민자)" xfId="11490"/>
    <cellStyle name="_시설 언더패스 견적-40202" xfId="162"/>
    <cellStyle name="_시설 언더패스 견적-40204" xfId="163"/>
    <cellStyle name="_시설 언더패스 견적-40225" xfId="164"/>
    <cellStyle name="_신경주역사전기내역서(1단계0427)" xfId="5215"/>
    <cellStyle name="_신세계연수점" xfId="9831"/>
    <cellStyle name="_신정호-제작납품" xfId="165"/>
    <cellStyle name="_신정호-제작납품_신정호-제작납품(설치포함)" xfId="166"/>
    <cellStyle name="_신정호-제작납품_신정호-제작납품(설치포함)_Book1" xfId="167"/>
    <cellStyle name="_신정호-제작납품_신정호-제작납품(설치포함)_보행3교 경관조형물 설계서" xfId="168"/>
    <cellStyle name="_신정호-제작납품_신정호-제작납품(설치포함)_신천육교 경관조형물 설계서" xfId="169"/>
    <cellStyle name="_신정호-제작납품_신정호-제작납품(설치포함)_신현제2교 리모델링 설계서" xfId="170"/>
    <cellStyle name="_신정호-제작납품_신정호-제작납품(설치포함)_실행예산서9.6" xfId="171"/>
    <cellStyle name="_신정호-토목+설치" xfId="172"/>
    <cellStyle name="_신정호-토목+설치_신정호-제작납품(설치포함)" xfId="173"/>
    <cellStyle name="_신정호-토목+설치_신정호-제작납품(설치포함)_Book1" xfId="174"/>
    <cellStyle name="_신정호-토목+설치_신정호-제작납품(설치포함)_보행3교 경관조형물 설계서" xfId="175"/>
    <cellStyle name="_신정호-토목+설치_신정호-제작납품(설치포함)_신천육교 경관조형물 설계서" xfId="176"/>
    <cellStyle name="_신정호-토목+설치_신정호-제작납품(설치포함)_신현제2교 리모델링 설계서" xfId="177"/>
    <cellStyle name="_신정호-토목+설치_신정호-제작납품(설치포함)_실행예산서9.6" xfId="178"/>
    <cellStyle name="_신천육교 경관조형물 설계서" xfId="179"/>
    <cellStyle name="_신현제2교 리모델링 설계서" xfId="180"/>
    <cellStyle name="_신호등견적서" xfId="181"/>
    <cellStyle name="_신호제어_무선전송장치_내역서" xfId="9832"/>
    <cellStyle name="_실행예산서9.6" xfId="182"/>
    <cellStyle name="_안산 홈플러스 건축 가실행(0301-최종)" xfId="9833"/>
    <cellStyle name="_안산신도시2단계 미관광장 조명 제조구매설치" xfId="183"/>
    <cellStyle name="_여산초 급식소 전통소내역" xfId="184"/>
    <cellStyle name="_여수우회" xfId="9834"/>
    <cellStyle name="_영산강-금호(부대내역)" xfId="9835"/>
    <cellStyle name="_영산강-금호(부대내역) 2" xfId="9836"/>
    <cellStyle name="_영산강-금호(부대내역)_강동내역(9.28" xfId="9837"/>
    <cellStyle name="_영산강-금호(부대내역)_강동내역(9.28 2" xfId="9838"/>
    <cellStyle name="_영산강-금호(부대내역)_강동내역(9.28_T05-D03-004D(울산터널-조명제어-안소장님1003)" xfId="9839"/>
    <cellStyle name="_영산강-금호(부대내역)_강동내역(9.28_T05-D03-004D(울산터널-조명제어-안소장님1003) 2" xfId="9840"/>
    <cellStyle name="_영산강-금호(부대내역)_강동내역(9.28_T05-D03-004D(울산터널-조명제어-안소장님1003)_설계내역서" xfId="9841"/>
    <cellStyle name="_영산강-금호(부대내역)_강동내역(9.28_T05-D03-004D(울산터널-환기-구성설비0930)" xfId="9842"/>
    <cellStyle name="_영산강-금호(부대내역)_강동내역(9.28_T05-D03-004D(울산터널-환기-구성설비0930) 2" xfId="9843"/>
    <cellStyle name="_영산강-금호(부대내역)_강동내역(9.28_T05-D03-004D(울산터널-환기-구성설비0930)_설계내역서" xfId="9844"/>
    <cellStyle name="_영산강-금호(부대내역)_강동내역(9.28_설계내역서" xfId="9845"/>
    <cellStyle name="_영산강-금호(부대내역)_강동내역(9.28_울산강동내역최종(20051101)" xfId="9846"/>
    <cellStyle name="_영산강-금호(부대내역)_강동내역(9.28_울산강동내역최종(20051101) 2" xfId="9847"/>
    <cellStyle name="_영산강-금호(부대내역)_강동내역(9.28_울산강동내역최종(20051101)_설계내역서" xfId="9848"/>
    <cellStyle name="_영산강-금호(부대내역)_공무정산양식(10월초)" xfId="9849"/>
    <cellStyle name="_영산강-금호(부대내역)_공무정산양식(10월초) 2" xfId="9850"/>
    <cellStyle name="_영산강-금호(부대내역)_공무정산양식(10월초)_강동내역(9.28" xfId="9851"/>
    <cellStyle name="_영산강-금호(부대내역)_공무정산양식(10월초)_강동내역(9.28 2" xfId="9852"/>
    <cellStyle name="_영산강-금호(부대내역)_공무정산양식(10월초)_강동내역(9.28_T05-D03-004D(울산터널-조명제어-안소장님1003)" xfId="9853"/>
    <cellStyle name="_영산강-금호(부대내역)_공무정산양식(10월초)_강동내역(9.28_T05-D03-004D(울산터널-조명제어-안소장님1003) 2" xfId="9854"/>
    <cellStyle name="_영산강-금호(부대내역)_공무정산양식(10월초)_강동내역(9.28_T05-D03-004D(울산터널-조명제어-안소장님1003)_설계내역서" xfId="9855"/>
    <cellStyle name="_영산강-금호(부대내역)_공무정산양식(10월초)_강동내역(9.28_T05-D03-004D(울산터널-환기-구성설비0930)" xfId="9856"/>
    <cellStyle name="_영산강-금호(부대내역)_공무정산양식(10월초)_강동내역(9.28_T05-D03-004D(울산터널-환기-구성설비0930) 2" xfId="9857"/>
    <cellStyle name="_영산강-금호(부대내역)_공무정산양식(10월초)_강동내역(9.28_T05-D03-004D(울산터널-환기-구성설비0930)_설계내역서" xfId="9858"/>
    <cellStyle name="_영산강-금호(부대내역)_공무정산양식(10월초)_강동내역(9.28_설계내역서" xfId="9859"/>
    <cellStyle name="_영산강-금호(부대내역)_공무정산양식(10월초)_강동내역(9.28_울산강동내역최종(20051101)" xfId="9860"/>
    <cellStyle name="_영산강-금호(부대내역)_공무정산양식(10월초)_강동내역(9.28_울산강동내역최종(20051101) 2" xfId="9861"/>
    <cellStyle name="_영산강-금호(부대내역)_공무정산양식(10월초)_강동내역(9.28_울산강동내역최종(20051101)_설계내역서" xfId="9862"/>
    <cellStyle name="_영산강-금호(부대내역)_공무정산양식(10월초)_기성내역서" xfId="9863"/>
    <cellStyle name="_영산강-금호(부대내역)_공무정산양식(10월초)_기성내역서 2" xfId="9864"/>
    <cellStyle name="_영산강-금호(부대내역)_공무정산양식(10월초)_기성내역서_강동내역(9.28" xfId="9865"/>
    <cellStyle name="_영산강-금호(부대내역)_공무정산양식(10월초)_기성내역서_강동내역(9.28 2" xfId="9866"/>
    <cellStyle name="_영산강-금호(부대내역)_공무정산양식(10월초)_기성내역서_강동내역(9.28_T05-D03-004D(울산터널-조명제어-안소장님1003)" xfId="9867"/>
    <cellStyle name="_영산강-금호(부대내역)_공무정산양식(10월초)_기성내역서_강동내역(9.28_T05-D03-004D(울산터널-조명제어-안소장님1003) 2" xfId="9868"/>
    <cellStyle name="_영산강-금호(부대내역)_공무정산양식(10월초)_기성내역서_강동내역(9.28_T05-D03-004D(울산터널-조명제어-안소장님1003)_설계내역서" xfId="9869"/>
    <cellStyle name="_영산강-금호(부대내역)_공무정산양식(10월초)_기성내역서_강동내역(9.28_T05-D03-004D(울산터널-환기-구성설비0930)" xfId="9870"/>
    <cellStyle name="_영산강-금호(부대내역)_공무정산양식(10월초)_기성내역서_강동내역(9.28_T05-D03-004D(울산터널-환기-구성설비0930) 2" xfId="9871"/>
    <cellStyle name="_영산강-금호(부대내역)_공무정산양식(10월초)_기성내역서_강동내역(9.28_T05-D03-004D(울산터널-환기-구성설비0930)_설계내역서" xfId="9872"/>
    <cellStyle name="_영산강-금호(부대내역)_공무정산양식(10월초)_기성내역서_강동내역(9.28_설계내역서" xfId="9873"/>
    <cellStyle name="_영산강-금호(부대내역)_공무정산양식(10월초)_기성내역서_강동내역(9.28_울산강동내역최종(20051101)" xfId="9874"/>
    <cellStyle name="_영산강-금호(부대내역)_공무정산양식(10월초)_기성내역서_강동내역(9.28_울산강동내역최종(20051101) 2" xfId="9875"/>
    <cellStyle name="_영산강-금호(부대내역)_공무정산양식(10월초)_기성내역서_강동내역(9.28_울산강동내역최종(20051101)_설계내역서" xfId="9876"/>
    <cellStyle name="_영산강-금호(부대내역)_공무정산양식(10월초)_기성내역서_설계내역서" xfId="9877"/>
    <cellStyle name="_영산강-금호(부대내역)_공무정산양식(10월초)_기성내역서_전체계약변경(03)" xfId="9878"/>
    <cellStyle name="_영산강-금호(부대내역)_공무정산양식(10월초)_기성내역서_전체계약변경(03) 2" xfId="9879"/>
    <cellStyle name="_영산강-금호(부대내역)_공무정산양식(10월초)_기성내역서_전체계약변경(03)_강동내역(9.28" xfId="9880"/>
    <cellStyle name="_영산강-금호(부대내역)_공무정산양식(10월초)_기성내역서_전체계약변경(03)_강동내역(9.28 2" xfId="9881"/>
    <cellStyle name="_영산강-금호(부대내역)_공무정산양식(10월초)_기성내역서_전체계약변경(03)_강동내역(9.28_T05-D03-004D(울산터널-조명제어-안소장님1003)" xfId="9882"/>
    <cellStyle name="_영산강-금호(부대내역)_공무정산양식(10월초)_기성내역서_전체계약변경(03)_강동내역(9.28_T05-D03-004D(울산터널-조명제어-안소장님1003) 2" xfId="9883"/>
    <cellStyle name="_영산강-금호(부대내역)_공무정산양식(10월초)_기성내역서_전체계약변경(03)_강동내역(9.28_T05-D03-004D(울산터널-조명제어-안소장님1003)_설계내역서" xfId="9884"/>
    <cellStyle name="_영산강-금호(부대내역)_공무정산양식(10월초)_기성내역서_전체계약변경(03)_강동내역(9.28_T05-D03-004D(울산터널-환기-구성설비0930)" xfId="9885"/>
    <cellStyle name="_영산강-금호(부대내역)_공무정산양식(10월초)_기성내역서_전체계약변경(03)_강동내역(9.28_T05-D03-004D(울산터널-환기-구성설비0930) 2" xfId="9886"/>
    <cellStyle name="_영산강-금호(부대내역)_공무정산양식(10월초)_기성내역서_전체계약변경(03)_강동내역(9.28_T05-D03-004D(울산터널-환기-구성설비0930)_설계내역서" xfId="9887"/>
    <cellStyle name="_영산강-금호(부대내역)_공무정산양식(10월초)_기성내역서_전체계약변경(03)_강동내역(9.28_설계내역서" xfId="9888"/>
    <cellStyle name="_영산강-금호(부대내역)_공무정산양식(10월초)_기성내역서_전체계약변경(03)_강동내역(9.28_울산강동내역최종(20051101)" xfId="9889"/>
    <cellStyle name="_영산강-금호(부대내역)_공무정산양식(10월초)_기성내역서_전체계약변경(03)_강동내역(9.28_울산강동내역최종(20051101) 2" xfId="9890"/>
    <cellStyle name="_영산강-금호(부대내역)_공무정산양식(10월초)_기성내역서_전체계약변경(03)_강동내역(9.28_울산강동내역최종(20051101)_설계내역서" xfId="9891"/>
    <cellStyle name="_영산강-금호(부대내역)_공무정산양식(10월초)_기성내역서_전체계약변경(03)_설계내역서" xfId="9892"/>
    <cellStyle name="_영산강-금호(부대내역)_공무정산양식(10월초)_설계내역서" xfId="9893"/>
    <cellStyle name="_영산강-금호(부대내역)_공무정산양식(10월초)_전체계약변경(03)" xfId="9894"/>
    <cellStyle name="_영산강-금호(부대내역)_공무정산양식(10월초)_전체계약변경(03) 2" xfId="9895"/>
    <cellStyle name="_영산강-금호(부대내역)_공무정산양식(10월초)_전체계약변경(03)_강동내역(9.28" xfId="9896"/>
    <cellStyle name="_영산강-금호(부대내역)_공무정산양식(10월초)_전체계약변경(03)_강동내역(9.28 2" xfId="9897"/>
    <cellStyle name="_영산강-금호(부대내역)_공무정산양식(10월초)_전체계약변경(03)_강동내역(9.28_T05-D03-004D(울산터널-조명제어-안소장님1003)" xfId="9898"/>
    <cellStyle name="_영산강-금호(부대내역)_공무정산양식(10월초)_전체계약변경(03)_강동내역(9.28_T05-D03-004D(울산터널-조명제어-안소장님1003) 2" xfId="9899"/>
    <cellStyle name="_영산강-금호(부대내역)_공무정산양식(10월초)_전체계약변경(03)_강동내역(9.28_T05-D03-004D(울산터널-조명제어-안소장님1003)_설계내역서" xfId="9900"/>
    <cellStyle name="_영산강-금호(부대내역)_공무정산양식(10월초)_전체계약변경(03)_강동내역(9.28_T05-D03-004D(울산터널-환기-구성설비0930)" xfId="9901"/>
    <cellStyle name="_영산강-금호(부대내역)_공무정산양식(10월초)_전체계약변경(03)_강동내역(9.28_T05-D03-004D(울산터널-환기-구성설비0930) 2" xfId="9902"/>
    <cellStyle name="_영산강-금호(부대내역)_공무정산양식(10월초)_전체계약변경(03)_강동내역(9.28_T05-D03-004D(울산터널-환기-구성설비0930)_설계내역서" xfId="9903"/>
    <cellStyle name="_영산강-금호(부대내역)_공무정산양식(10월초)_전체계약변경(03)_강동내역(9.28_설계내역서" xfId="9904"/>
    <cellStyle name="_영산강-금호(부대내역)_공무정산양식(10월초)_전체계약변경(03)_강동내역(9.28_울산강동내역최종(20051101)" xfId="9905"/>
    <cellStyle name="_영산강-금호(부대내역)_공무정산양식(10월초)_전체계약변경(03)_강동내역(9.28_울산강동내역최종(20051101) 2" xfId="9906"/>
    <cellStyle name="_영산강-금호(부대내역)_공무정산양식(10월초)_전체계약변경(03)_강동내역(9.28_울산강동내역최종(20051101)_설계내역서" xfId="9907"/>
    <cellStyle name="_영산강-금호(부대내역)_공무정산양식(10월초)_전체계약변경(03)_설계내역서" xfId="9908"/>
    <cellStyle name="_영산강-금호(부대내역)_공무정산양식(10월초)_포장외건(최종)" xfId="9909"/>
    <cellStyle name="_영산강-금호(부대내역)_공무정산양식(10월초)_포장외건(최종) 2" xfId="9910"/>
    <cellStyle name="_영산강-금호(부대내역)_공무정산양식(10월초)_포장외건(최종)_강동내역(9.28" xfId="9911"/>
    <cellStyle name="_영산강-금호(부대내역)_공무정산양식(10월초)_포장외건(최종)_강동내역(9.28 2" xfId="9912"/>
    <cellStyle name="_영산강-금호(부대내역)_공무정산양식(10월초)_포장외건(최종)_강동내역(9.28_T05-D03-004D(울산터널-조명제어-안소장님1003)" xfId="9913"/>
    <cellStyle name="_영산강-금호(부대내역)_공무정산양식(10월초)_포장외건(최종)_강동내역(9.28_T05-D03-004D(울산터널-조명제어-안소장님1003) 2" xfId="9914"/>
    <cellStyle name="_영산강-금호(부대내역)_공무정산양식(10월초)_포장외건(최종)_강동내역(9.28_T05-D03-004D(울산터널-조명제어-안소장님1003)_설계내역서" xfId="9915"/>
    <cellStyle name="_영산강-금호(부대내역)_공무정산양식(10월초)_포장외건(최종)_강동내역(9.28_T05-D03-004D(울산터널-환기-구성설비0930)" xfId="9916"/>
    <cellStyle name="_영산강-금호(부대내역)_공무정산양식(10월초)_포장외건(최종)_강동내역(9.28_T05-D03-004D(울산터널-환기-구성설비0930) 2" xfId="9917"/>
    <cellStyle name="_영산강-금호(부대내역)_공무정산양식(10월초)_포장외건(최종)_강동내역(9.28_T05-D03-004D(울산터널-환기-구성설비0930)_설계내역서" xfId="9918"/>
    <cellStyle name="_영산강-금호(부대내역)_공무정산양식(10월초)_포장외건(최종)_강동내역(9.28_설계내역서" xfId="9919"/>
    <cellStyle name="_영산강-금호(부대내역)_공무정산양식(10월초)_포장외건(최종)_강동내역(9.28_울산강동내역최종(20051101)" xfId="9920"/>
    <cellStyle name="_영산강-금호(부대내역)_공무정산양식(10월초)_포장외건(최종)_강동내역(9.28_울산강동내역최종(20051101) 2" xfId="9921"/>
    <cellStyle name="_영산강-금호(부대내역)_공무정산양식(10월초)_포장외건(최종)_강동내역(9.28_울산강동내역최종(20051101)_설계내역서" xfId="9922"/>
    <cellStyle name="_영산강-금호(부대내역)_공무정산양식(10월초)_포장외건(최종)_설계내역서" xfId="9923"/>
    <cellStyle name="_영산강-금호(부대내역)_기성내역서" xfId="9924"/>
    <cellStyle name="_영산강-금호(부대내역)_기성내역서 2" xfId="9925"/>
    <cellStyle name="_영산강-금호(부대내역)_기성내역서_강동내역(9.28" xfId="9926"/>
    <cellStyle name="_영산강-금호(부대내역)_기성내역서_강동내역(9.28 2" xfId="9927"/>
    <cellStyle name="_영산강-금호(부대내역)_기성내역서_강동내역(9.28_T05-D03-004D(울산터널-조명제어-안소장님1003)" xfId="9928"/>
    <cellStyle name="_영산강-금호(부대내역)_기성내역서_강동내역(9.28_T05-D03-004D(울산터널-조명제어-안소장님1003) 2" xfId="9929"/>
    <cellStyle name="_영산강-금호(부대내역)_기성내역서_강동내역(9.28_T05-D03-004D(울산터널-조명제어-안소장님1003)_설계내역서" xfId="9930"/>
    <cellStyle name="_영산강-금호(부대내역)_기성내역서_강동내역(9.28_T05-D03-004D(울산터널-환기-구성설비0930)" xfId="9931"/>
    <cellStyle name="_영산강-금호(부대내역)_기성내역서_강동내역(9.28_T05-D03-004D(울산터널-환기-구성설비0930) 2" xfId="9932"/>
    <cellStyle name="_영산강-금호(부대내역)_기성내역서_강동내역(9.28_T05-D03-004D(울산터널-환기-구성설비0930)_설계내역서" xfId="9933"/>
    <cellStyle name="_영산강-금호(부대내역)_기성내역서_강동내역(9.28_설계내역서" xfId="9934"/>
    <cellStyle name="_영산강-금호(부대내역)_기성내역서_강동내역(9.28_울산강동내역최종(20051101)" xfId="9935"/>
    <cellStyle name="_영산강-금호(부대내역)_기성내역서_강동내역(9.28_울산강동내역최종(20051101) 2" xfId="9936"/>
    <cellStyle name="_영산강-금호(부대내역)_기성내역서_강동내역(9.28_울산강동내역최종(20051101)_설계내역서" xfId="9937"/>
    <cellStyle name="_영산강-금호(부대내역)_기성내역서_설계내역서" xfId="9938"/>
    <cellStyle name="_영산강-금호(부대내역)_기성내역서_전체계약변경(03)" xfId="9939"/>
    <cellStyle name="_영산강-금호(부대내역)_기성내역서_전체계약변경(03) 2" xfId="9940"/>
    <cellStyle name="_영산강-금호(부대내역)_기성내역서_전체계약변경(03)_강동내역(9.28" xfId="9941"/>
    <cellStyle name="_영산강-금호(부대내역)_기성내역서_전체계약변경(03)_강동내역(9.28 2" xfId="9942"/>
    <cellStyle name="_영산강-금호(부대내역)_기성내역서_전체계약변경(03)_강동내역(9.28_T05-D03-004D(울산터널-조명제어-안소장님1003)" xfId="9943"/>
    <cellStyle name="_영산강-금호(부대내역)_기성내역서_전체계약변경(03)_강동내역(9.28_T05-D03-004D(울산터널-조명제어-안소장님1003) 2" xfId="9944"/>
    <cellStyle name="_영산강-금호(부대내역)_기성내역서_전체계약변경(03)_강동내역(9.28_T05-D03-004D(울산터널-조명제어-안소장님1003)_설계내역서" xfId="9945"/>
    <cellStyle name="_영산강-금호(부대내역)_기성내역서_전체계약변경(03)_강동내역(9.28_T05-D03-004D(울산터널-환기-구성설비0930)" xfId="9946"/>
    <cellStyle name="_영산강-금호(부대내역)_기성내역서_전체계약변경(03)_강동내역(9.28_T05-D03-004D(울산터널-환기-구성설비0930) 2" xfId="9947"/>
    <cellStyle name="_영산강-금호(부대내역)_기성내역서_전체계약변경(03)_강동내역(9.28_T05-D03-004D(울산터널-환기-구성설비0930)_설계내역서" xfId="9948"/>
    <cellStyle name="_영산강-금호(부대내역)_기성내역서_전체계약변경(03)_강동내역(9.28_설계내역서" xfId="9949"/>
    <cellStyle name="_영산강-금호(부대내역)_기성내역서_전체계약변경(03)_강동내역(9.28_울산강동내역최종(20051101)" xfId="9950"/>
    <cellStyle name="_영산강-금호(부대내역)_기성내역서_전체계약변경(03)_강동내역(9.28_울산강동내역최종(20051101) 2" xfId="9951"/>
    <cellStyle name="_영산강-금호(부대내역)_기성내역서_전체계약변경(03)_강동내역(9.28_울산강동내역최종(20051101)_설계내역서" xfId="9952"/>
    <cellStyle name="_영산강-금호(부대내역)_기성내역서_전체계약변경(03)_설계내역서" xfId="9953"/>
    <cellStyle name="_영산강-금호(부대내역)_설계내역서" xfId="9954"/>
    <cellStyle name="_영산강-금호(부대내역)_전체계약변경(03)" xfId="9955"/>
    <cellStyle name="_영산강-금호(부대내역)_전체계약변경(03) 2" xfId="9956"/>
    <cellStyle name="_영산강-금호(부대내역)_전체계약변경(03)_강동내역(9.28" xfId="9957"/>
    <cellStyle name="_영산강-금호(부대내역)_전체계약변경(03)_강동내역(9.28 2" xfId="9958"/>
    <cellStyle name="_영산강-금호(부대내역)_전체계약변경(03)_강동내역(9.28_T05-D03-004D(울산터널-조명제어-안소장님1003)" xfId="9959"/>
    <cellStyle name="_영산강-금호(부대내역)_전체계약변경(03)_강동내역(9.28_T05-D03-004D(울산터널-조명제어-안소장님1003) 2" xfId="9960"/>
    <cellStyle name="_영산강-금호(부대내역)_전체계약변경(03)_강동내역(9.28_T05-D03-004D(울산터널-조명제어-안소장님1003)_설계내역서" xfId="9961"/>
    <cellStyle name="_영산강-금호(부대내역)_전체계약변경(03)_강동내역(9.28_T05-D03-004D(울산터널-환기-구성설비0930)" xfId="9962"/>
    <cellStyle name="_영산강-금호(부대내역)_전체계약변경(03)_강동내역(9.28_T05-D03-004D(울산터널-환기-구성설비0930) 2" xfId="9963"/>
    <cellStyle name="_영산강-금호(부대내역)_전체계약변경(03)_강동내역(9.28_T05-D03-004D(울산터널-환기-구성설비0930)_설계내역서" xfId="9964"/>
    <cellStyle name="_영산강-금호(부대내역)_전체계약변경(03)_강동내역(9.28_설계내역서" xfId="9965"/>
    <cellStyle name="_영산강-금호(부대내역)_전체계약변경(03)_강동내역(9.28_울산강동내역최종(20051101)" xfId="9966"/>
    <cellStyle name="_영산강-금호(부대내역)_전체계약변경(03)_강동내역(9.28_울산강동내역최종(20051101) 2" xfId="9967"/>
    <cellStyle name="_영산강-금호(부대내역)_전체계약변경(03)_강동내역(9.28_울산강동내역최종(20051101)_설계내역서" xfId="9968"/>
    <cellStyle name="_영산강-금호(부대내역)_전체계약변경(03)_설계내역서" xfId="9969"/>
    <cellStyle name="_영산강-금호(부대내역)_포장외건(최종)" xfId="9970"/>
    <cellStyle name="_영산강-금호(부대내역)_포장외건(최종) 2" xfId="9971"/>
    <cellStyle name="_영산강-금호(부대내역)_포장외건(최종)_강동내역(9.28" xfId="9972"/>
    <cellStyle name="_영산강-금호(부대내역)_포장외건(최종)_강동내역(9.28 2" xfId="9973"/>
    <cellStyle name="_영산강-금호(부대내역)_포장외건(최종)_강동내역(9.28_T05-D03-004D(울산터널-조명제어-안소장님1003)" xfId="9974"/>
    <cellStyle name="_영산강-금호(부대내역)_포장외건(최종)_강동내역(9.28_T05-D03-004D(울산터널-조명제어-안소장님1003) 2" xfId="9975"/>
    <cellStyle name="_영산강-금호(부대내역)_포장외건(최종)_강동내역(9.28_T05-D03-004D(울산터널-조명제어-안소장님1003)_설계내역서" xfId="9976"/>
    <cellStyle name="_영산강-금호(부대내역)_포장외건(최종)_강동내역(9.28_T05-D03-004D(울산터널-환기-구성설비0930)" xfId="9977"/>
    <cellStyle name="_영산강-금호(부대내역)_포장외건(최종)_강동내역(9.28_T05-D03-004D(울산터널-환기-구성설비0930) 2" xfId="9978"/>
    <cellStyle name="_영산강-금호(부대내역)_포장외건(최종)_강동내역(9.28_T05-D03-004D(울산터널-환기-구성설비0930)_설계내역서" xfId="9979"/>
    <cellStyle name="_영산강-금호(부대내역)_포장외건(최종)_강동내역(9.28_설계내역서" xfId="9980"/>
    <cellStyle name="_영산강-금호(부대내역)_포장외건(최종)_강동내역(9.28_울산강동내역최종(20051101)" xfId="9981"/>
    <cellStyle name="_영산강-금호(부대내역)_포장외건(최종)_강동내역(9.28_울산강동내역최종(20051101) 2" xfId="9982"/>
    <cellStyle name="_영산강-금호(부대내역)_포장외건(최종)_강동내역(9.28_울산강동내역최종(20051101)_설계내역서" xfId="9983"/>
    <cellStyle name="_영산강-금호(부대내역)_포장외건(최종)_설계내역서" xfId="9984"/>
    <cellStyle name="_예림교(가실행)-수정" xfId="11491"/>
    <cellStyle name="_예산내역서(해운대+달맞이)" xfId="185"/>
    <cellStyle name="_예산내역서(해운대+달맞이) 2" xfId="9985"/>
    <cellStyle name="_예산내역서(해운대+달맞이)-도급공사분일위대가수정(09.06)" xfId="186"/>
    <cellStyle name="_예산내역서(해운대+달맞이)-도급공사분일위대가수정(09.06) 2" xfId="9986"/>
    <cellStyle name="_예산서(이화철교)" xfId="187"/>
    <cellStyle name="_예정공정표" xfId="9987"/>
    <cellStyle name="_예정공정표2" xfId="9988"/>
    <cellStyle name="_오수처리장 수량산출서" xfId="11492"/>
    <cellStyle name="_올림픽공원주변내역서(1,2,3,5,6,8)" xfId="9989"/>
    <cellStyle name="_왕숙천 둔치내 조명시설 내역서" xfId="188"/>
    <cellStyle name="_왕숙천 조명기구 구매설치" xfId="189"/>
    <cellStyle name="_왕숙천내역서(선발주)" xfId="190"/>
    <cellStyle name="_왕숙천내역서(선발주)-최종" xfId="191"/>
    <cellStyle name="_왕숙천내역서수정(06.03.31)-3억-2" xfId="192"/>
    <cellStyle name="_용인동천APT" xfId="9990"/>
    <cellStyle name="_운남~송정2교 2차설변" xfId="193"/>
    <cellStyle name="_울산강동교차로계산서(최종)06.07(wp)" xfId="9991"/>
    <cellStyle name="_울산강동터널계산서(수정본2)" xfId="5216"/>
    <cellStyle name="_울산강동터널계산서(최종)REV2" xfId="9992"/>
    <cellStyle name="_울산실시설계내역서(하이테콤)-B" xfId="194"/>
    <cellStyle name="_울산지(본)" xfId="9993"/>
    <cellStyle name="_원가계산" xfId="195"/>
    <cellStyle name="_원가계산서" xfId="9994"/>
    <cellStyle name="_원가계산서(총괄)" xfId="9995"/>
    <cellStyle name="_원가계산서-12공구(전기)" xfId="5217"/>
    <cellStyle name="_원가분석(1217)" xfId="196"/>
    <cellStyle name="_원가분석(아이0208)" xfId="197"/>
    <cellStyle name="_원가세부내역" xfId="9996"/>
    <cellStyle name="_월예정공정표" xfId="9997"/>
    <cellStyle name="_웹및디비" xfId="5218"/>
    <cellStyle name="_이계1공구수량" xfId="11493"/>
    <cellStyle name="_인원계획표 " xfId="198"/>
    <cellStyle name="_인원계획표 _견적 방문 제출시-SAMPLE" xfId="199"/>
    <cellStyle name="_인원계획표 _견적 방문 제출시-SAMPLE_신호등견적서" xfId="200"/>
    <cellStyle name="_인원계획표 _신호등견적서" xfId="201"/>
    <cellStyle name="_인원계획표 _적격 " xfId="202"/>
    <cellStyle name="_인원계획표 _적격 _견적 방문 제출시-SAMPLE" xfId="203"/>
    <cellStyle name="_인원계획표 _적격 _견적 방문 제출시-SAMPLE_신호등견적서" xfId="204"/>
    <cellStyle name="_인원계획표 _적격 _신호등견적서" xfId="205"/>
    <cellStyle name="_인정전 내역서--" xfId="206"/>
    <cellStyle name="_인후서낭로 전기내역" xfId="207"/>
    <cellStyle name="_일위(김천)" xfId="208"/>
    <cellStyle name="_일위(포천)" xfId="209"/>
    <cellStyle name="_임금(진흥콘크리트)" xfId="5219"/>
    <cellStyle name="_임실치즈 전기내역R" xfId="11494"/>
    <cellStyle name="_입찰표지 " xfId="210"/>
    <cellStyle name="_입찰표지 _견적 방문 제출시-SAMPLE" xfId="211"/>
    <cellStyle name="_입찰표지 _견적 방문 제출시-SAMPLE_신호등견적서" xfId="212"/>
    <cellStyle name="_입찰표지 _신호등견적서" xfId="213"/>
    <cellStyle name="_작업내역(전기,통신)" xfId="9998"/>
    <cellStyle name="_장계중동로2공구개설공사내역서" xfId="214"/>
    <cellStyle name="_장성(영)외 1개소 비상발전기 단가산출서-최종" xfId="215"/>
    <cellStyle name="_장현중(내역서+개요)" xfId="5220"/>
    <cellStyle name="_재료비" xfId="9999"/>
    <cellStyle name="_적격 " xfId="216"/>
    <cellStyle name="_적격 _견적 방문 제출시-SAMPLE" xfId="217"/>
    <cellStyle name="_적격 _견적 방문 제출시-SAMPLE_신호등견적서" xfId="218"/>
    <cellStyle name="_적격 _신호등견적서" xfId="219"/>
    <cellStyle name="_적격 _집행갑지 " xfId="220"/>
    <cellStyle name="_적격 _집행갑지 _견적 방문 제출시-SAMPLE" xfId="221"/>
    <cellStyle name="_적격 _집행갑지 _견적 방문 제출시-SAMPLE_신호등견적서" xfId="222"/>
    <cellStyle name="_적격 _집행갑지 _신호등견적서" xfId="223"/>
    <cellStyle name="_적격(화산) " xfId="224"/>
    <cellStyle name="_적격(화산) _견적 방문 제출시-SAMPLE" xfId="225"/>
    <cellStyle name="_적격(화산) _견적 방문 제출시-SAMPLE_신호등견적서" xfId="226"/>
    <cellStyle name="_적격(화산) _신호등견적서" xfId="227"/>
    <cellStyle name="_전기계산서" xfId="17025"/>
    <cellStyle name="_전기공사실정보고내역" xfId="10000"/>
    <cellStyle name="_전기내역4-부안송정" xfId="228"/>
    <cellStyle name="_전기내역-금붕동R" xfId="229"/>
    <cellStyle name="_전기내역-노송천전기R" xfId="11495"/>
    <cellStyle name="_전기내역-무주개선R" xfId="230"/>
    <cellStyle name="_전기내역-백제로R" xfId="11496"/>
    <cellStyle name="_전기내역서-한강로3가-결재(1)" xfId="5221"/>
    <cellStyle name="_전기내역-은행로전기R" xfId="11497"/>
    <cellStyle name="_전기설계심사내역서" xfId="5222"/>
    <cellStyle name="_전기수량산출서-대덕터널(상행선)주간작업" xfId="231"/>
    <cellStyle name="_전기수량산출서-대덕터널(하행선)주간작업" xfId="232"/>
    <cellStyle name="_전기수량산출서-순천1터널(상행선)주간작업" xfId="233"/>
    <cellStyle name="_전기수량산출서-순천1터널(하행선)주간작업" xfId="234"/>
    <cellStyle name="_전기수량산출서-호남터널(상행선)주간작업" xfId="235"/>
    <cellStyle name="_전농로 가로등 개량공사심사결과" xfId="5223"/>
    <cellStyle name="_전력자동제어(안소장님1003)" xfId="10001"/>
    <cellStyle name="_전압강하계산서 (판교)" xfId="236"/>
    <cellStyle name="_전압강하계산서 양식" xfId="237"/>
    <cellStyle name="_전자지불(삼성SDS)" xfId="10002"/>
    <cellStyle name="_전자지불-(케이비)" xfId="10003"/>
    <cellStyle name="_전주교육청사 소방내역R" xfId="238"/>
    <cellStyle name="_전체 개괄 내역(삼성SDS)" xfId="10004"/>
    <cellStyle name="_전체실행(현장)(자재비포함)" xfId="10005"/>
    <cellStyle name="_정문전기공사최종" xfId="239"/>
    <cellStyle name="_정산분총괄정리" xfId="10006"/>
    <cellStyle name="_정읍마을하수도 전기내역R" xfId="240"/>
    <cellStyle name="_조양문외 2개소 경관조명 내역서" xfId="241"/>
    <cellStyle name="_조직도" xfId="10007"/>
    <cellStyle name="_조직도 2" xfId="10008"/>
    <cellStyle name="_주간공정신예정공정표" xfId="10009"/>
    <cellStyle name="_중앙감시반" xfId="5224"/>
    <cellStyle name="_지수천1수해(전석)" xfId="11498"/>
    <cellStyle name="_지역본부 정보통신실정비공사" xfId="10010"/>
    <cellStyle name="_지하철3호선 을지로3가역사-최종" xfId="5225"/>
    <cellStyle name="_지하철4호선 동대문역사-최종" xfId="5226"/>
    <cellStyle name="_직접경비" xfId="10011"/>
    <cellStyle name="_진북연동소류지" xfId="11499"/>
    <cellStyle name="_진안군 방범CCTV내역서R" xfId="11500"/>
    <cellStyle name="_진안솔밭공원 전기내역R" xfId="242"/>
    <cellStyle name="_진짜수평내역서틀" xfId="10012"/>
    <cellStyle name="_진흥콘크리트 원가" xfId="5227"/>
    <cellStyle name="_집계표" xfId="243"/>
    <cellStyle name="_집행갑지 " xfId="244"/>
    <cellStyle name="_집행갑지 _견적 방문 제출시-SAMPLE" xfId="245"/>
    <cellStyle name="_집행갑지 _견적 방문 제출시-SAMPLE_신호등견적서" xfId="246"/>
    <cellStyle name="_집행갑지 _신호등견적서" xfId="247"/>
    <cellStyle name="_착공계1" xfId="10013"/>
    <cellStyle name="_창(에리트(설치제외)" xfId="10014"/>
    <cellStyle name="_창동차량기지 궤도전원 내역서" xfId="5228"/>
    <cellStyle name="_천안_견적서(V&amp;I)" xfId="10015"/>
    <cellStyle name="_천안시산출내역서_제출" xfId="10016"/>
    <cellStyle name="_청주우회(남면-북면)" xfId="11501"/>
    <cellStyle name="_청주우회(남면-북면)_4공구-도급계약(전체분)내역" xfId="11502"/>
    <cellStyle name="_청주우회(남면-북면)_4공구-도급계약(전체분)내역_변경대곡천1내역서" xfId="11503"/>
    <cellStyle name="_청주우회(남면-북면)_변경대곡천1내역서" xfId="11504"/>
    <cellStyle name="_총괄표(가로등)" xfId="10017"/>
    <cellStyle name="_총괄표_2001설변1" xfId="10018"/>
    <cellStyle name="_추동소하천정비공사(설계내역서)" xfId="11505"/>
    <cellStyle name="_춘천전화국증축통신+개요" xfId="5229"/>
    <cellStyle name="_춘천합동내역+개요(수정한최종)" xfId="5230"/>
    <cellStyle name="_충장길 설계변경s" xfId="248"/>
    <cellStyle name="_측구공" xfId="11506"/>
    <cellStyle name="_칠서도로2000-1225" xfId="10019"/>
    <cellStyle name="_칠서영산" xfId="10020"/>
    <cellStyle name="_칠서영산 2" xfId="10021"/>
    <cellStyle name="_칠서영산_강동내역(9.28" xfId="10022"/>
    <cellStyle name="_칠서영산_강동내역(9.28 2" xfId="10023"/>
    <cellStyle name="_칠서영산_강동내역(9.28_T05-D03-004D(울산터널-조명제어-안소장님1003)" xfId="10024"/>
    <cellStyle name="_칠서영산_강동내역(9.28_T05-D03-004D(울산터널-조명제어-안소장님1003) 2" xfId="10025"/>
    <cellStyle name="_칠서영산_강동내역(9.28_T05-D03-004D(울산터널-조명제어-안소장님1003)_설계내역서" xfId="10026"/>
    <cellStyle name="_칠서영산_강동내역(9.28_T05-D03-004D(울산터널-환기-구성설비0930)" xfId="10027"/>
    <cellStyle name="_칠서영산_강동내역(9.28_T05-D03-004D(울산터널-환기-구성설비0930) 2" xfId="10028"/>
    <cellStyle name="_칠서영산_강동내역(9.28_T05-D03-004D(울산터널-환기-구성설비0930)_설계내역서" xfId="10029"/>
    <cellStyle name="_칠서영산_강동내역(9.28_설계내역서" xfId="10030"/>
    <cellStyle name="_칠서영산_강동내역(9.28_울산강동내역최종(20051101)" xfId="10031"/>
    <cellStyle name="_칠서영산_강동내역(9.28_울산강동내역최종(20051101) 2" xfId="10032"/>
    <cellStyle name="_칠서영산_강동내역(9.28_울산강동내역최종(20051101)_설계내역서" xfId="10033"/>
    <cellStyle name="_칠서영산_공무정산양식(10월초)" xfId="10034"/>
    <cellStyle name="_칠서영산_공무정산양식(10월초) 2" xfId="10035"/>
    <cellStyle name="_칠서영산_공무정산양식(10월초)_강동내역(9.28" xfId="10036"/>
    <cellStyle name="_칠서영산_공무정산양식(10월초)_강동내역(9.28 2" xfId="10037"/>
    <cellStyle name="_칠서영산_공무정산양식(10월초)_강동내역(9.28_T05-D03-004D(울산터널-조명제어-안소장님1003)" xfId="10038"/>
    <cellStyle name="_칠서영산_공무정산양식(10월초)_강동내역(9.28_T05-D03-004D(울산터널-조명제어-안소장님1003) 2" xfId="10039"/>
    <cellStyle name="_칠서영산_공무정산양식(10월초)_강동내역(9.28_T05-D03-004D(울산터널-조명제어-안소장님1003)_설계내역서" xfId="10040"/>
    <cellStyle name="_칠서영산_공무정산양식(10월초)_강동내역(9.28_T05-D03-004D(울산터널-환기-구성설비0930)" xfId="10041"/>
    <cellStyle name="_칠서영산_공무정산양식(10월초)_강동내역(9.28_T05-D03-004D(울산터널-환기-구성설비0930) 2" xfId="10042"/>
    <cellStyle name="_칠서영산_공무정산양식(10월초)_강동내역(9.28_T05-D03-004D(울산터널-환기-구성설비0930)_설계내역서" xfId="10043"/>
    <cellStyle name="_칠서영산_공무정산양식(10월초)_강동내역(9.28_설계내역서" xfId="10044"/>
    <cellStyle name="_칠서영산_공무정산양식(10월초)_강동내역(9.28_울산강동내역최종(20051101)" xfId="10045"/>
    <cellStyle name="_칠서영산_공무정산양식(10월초)_강동내역(9.28_울산강동내역최종(20051101) 2" xfId="10046"/>
    <cellStyle name="_칠서영산_공무정산양식(10월초)_강동내역(9.28_울산강동내역최종(20051101)_설계내역서" xfId="10047"/>
    <cellStyle name="_칠서영산_공무정산양식(10월초)_기성내역서" xfId="10048"/>
    <cellStyle name="_칠서영산_공무정산양식(10월초)_기성내역서 2" xfId="10049"/>
    <cellStyle name="_칠서영산_공무정산양식(10월초)_기성내역서_강동내역(9.28" xfId="10050"/>
    <cellStyle name="_칠서영산_공무정산양식(10월초)_기성내역서_강동내역(9.28 2" xfId="10051"/>
    <cellStyle name="_칠서영산_공무정산양식(10월초)_기성내역서_강동내역(9.28_T05-D03-004D(울산터널-조명제어-안소장님1003)" xfId="10052"/>
    <cellStyle name="_칠서영산_공무정산양식(10월초)_기성내역서_강동내역(9.28_T05-D03-004D(울산터널-조명제어-안소장님1003) 2" xfId="10053"/>
    <cellStyle name="_칠서영산_공무정산양식(10월초)_기성내역서_강동내역(9.28_T05-D03-004D(울산터널-조명제어-안소장님1003)_설계내역서" xfId="10054"/>
    <cellStyle name="_칠서영산_공무정산양식(10월초)_기성내역서_강동내역(9.28_T05-D03-004D(울산터널-환기-구성설비0930)" xfId="10055"/>
    <cellStyle name="_칠서영산_공무정산양식(10월초)_기성내역서_강동내역(9.28_T05-D03-004D(울산터널-환기-구성설비0930) 2" xfId="10056"/>
    <cellStyle name="_칠서영산_공무정산양식(10월초)_기성내역서_강동내역(9.28_T05-D03-004D(울산터널-환기-구성설비0930)_설계내역서" xfId="10057"/>
    <cellStyle name="_칠서영산_공무정산양식(10월초)_기성내역서_강동내역(9.28_설계내역서" xfId="10058"/>
    <cellStyle name="_칠서영산_공무정산양식(10월초)_기성내역서_강동내역(9.28_울산강동내역최종(20051101)" xfId="10059"/>
    <cellStyle name="_칠서영산_공무정산양식(10월초)_기성내역서_강동내역(9.28_울산강동내역최종(20051101) 2" xfId="10060"/>
    <cellStyle name="_칠서영산_공무정산양식(10월초)_기성내역서_강동내역(9.28_울산강동내역최종(20051101)_설계내역서" xfId="10061"/>
    <cellStyle name="_칠서영산_공무정산양식(10월초)_기성내역서_설계내역서" xfId="10062"/>
    <cellStyle name="_칠서영산_공무정산양식(10월초)_기성내역서_전체계약변경(03)" xfId="10063"/>
    <cellStyle name="_칠서영산_공무정산양식(10월초)_기성내역서_전체계약변경(03) 2" xfId="10064"/>
    <cellStyle name="_칠서영산_공무정산양식(10월초)_기성내역서_전체계약변경(03)_강동내역(9.28" xfId="10065"/>
    <cellStyle name="_칠서영산_공무정산양식(10월초)_기성내역서_전체계약변경(03)_강동내역(9.28 2" xfId="10066"/>
    <cellStyle name="_칠서영산_공무정산양식(10월초)_기성내역서_전체계약변경(03)_강동내역(9.28_T05-D03-004D(울산터널-조명제어-안소장님1003)" xfId="10067"/>
    <cellStyle name="_칠서영산_공무정산양식(10월초)_기성내역서_전체계약변경(03)_강동내역(9.28_T05-D03-004D(울산터널-조명제어-안소장님1003) 2" xfId="10068"/>
    <cellStyle name="_칠서영산_공무정산양식(10월초)_기성내역서_전체계약변경(03)_강동내역(9.28_T05-D03-004D(울산터널-조명제어-안소장님1003)_설계내역서" xfId="10069"/>
    <cellStyle name="_칠서영산_공무정산양식(10월초)_기성내역서_전체계약변경(03)_강동내역(9.28_T05-D03-004D(울산터널-환기-구성설비0930)" xfId="10070"/>
    <cellStyle name="_칠서영산_공무정산양식(10월초)_기성내역서_전체계약변경(03)_강동내역(9.28_T05-D03-004D(울산터널-환기-구성설비0930) 2" xfId="10071"/>
    <cellStyle name="_칠서영산_공무정산양식(10월초)_기성내역서_전체계약변경(03)_강동내역(9.28_T05-D03-004D(울산터널-환기-구성설비0930)_설계내역서" xfId="10072"/>
    <cellStyle name="_칠서영산_공무정산양식(10월초)_기성내역서_전체계약변경(03)_강동내역(9.28_설계내역서" xfId="10073"/>
    <cellStyle name="_칠서영산_공무정산양식(10월초)_기성내역서_전체계약변경(03)_강동내역(9.28_울산강동내역최종(20051101)" xfId="10074"/>
    <cellStyle name="_칠서영산_공무정산양식(10월초)_기성내역서_전체계약변경(03)_강동내역(9.28_울산강동내역최종(20051101) 2" xfId="10075"/>
    <cellStyle name="_칠서영산_공무정산양식(10월초)_기성내역서_전체계약변경(03)_강동내역(9.28_울산강동내역최종(20051101)_설계내역서" xfId="10076"/>
    <cellStyle name="_칠서영산_공무정산양식(10월초)_기성내역서_전체계약변경(03)_설계내역서" xfId="10077"/>
    <cellStyle name="_칠서영산_공무정산양식(10월초)_설계내역서" xfId="10078"/>
    <cellStyle name="_칠서영산_공무정산양식(10월초)_전체계약변경(03)" xfId="10079"/>
    <cellStyle name="_칠서영산_공무정산양식(10월초)_전체계약변경(03) 2" xfId="10080"/>
    <cellStyle name="_칠서영산_공무정산양식(10월초)_전체계약변경(03)_강동내역(9.28" xfId="10081"/>
    <cellStyle name="_칠서영산_공무정산양식(10월초)_전체계약변경(03)_강동내역(9.28 2" xfId="10082"/>
    <cellStyle name="_칠서영산_공무정산양식(10월초)_전체계약변경(03)_강동내역(9.28_T05-D03-004D(울산터널-조명제어-안소장님1003)" xfId="10083"/>
    <cellStyle name="_칠서영산_공무정산양식(10월초)_전체계약변경(03)_강동내역(9.28_T05-D03-004D(울산터널-조명제어-안소장님1003) 2" xfId="10084"/>
    <cellStyle name="_칠서영산_공무정산양식(10월초)_전체계약변경(03)_강동내역(9.28_T05-D03-004D(울산터널-조명제어-안소장님1003)_설계내역서" xfId="10085"/>
    <cellStyle name="_칠서영산_공무정산양식(10월초)_전체계약변경(03)_강동내역(9.28_T05-D03-004D(울산터널-환기-구성설비0930)" xfId="10086"/>
    <cellStyle name="_칠서영산_공무정산양식(10월초)_전체계약변경(03)_강동내역(9.28_T05-D03-004D(울산터널-환기-구성설비0930) 2" xfId="10087"/>
    <cellStyle name="_칠서영산_공무정산양식(10월초)_전체계약변경(03)_강동내역(9.28_T05-D03-004D(울산터널-환기-구성설비0930)_설계내역서" xfId="10088"/>
    <cellStyle name="_칠서영산_공무정산양식(10월초)_전체계약변경(03)_강동내역(9.28_설계내역서" xfId="10089"/>
    <cellStyle name="_칠서영산_공무정산양식(10월초)_전체계약변경(03)_강동내역(9.28_울산강동내역최종(20051101)" xfId="10090"/>
    <cellStyle name="_칠서영산_공무정산양식(10월초)_전체계약변경(03)_강동내역(9.28_울산강동내역최종(20051101) 2" xfId="10091"/>
    <cellStyle name="_칠서영산_공무정산양식(10월초)_전체계약변경(03)_강동내역(9.28_울산강동내역최종(20051101)_설계내역서" xfId="10092"/>
    <cellStyle name="_칠서영산_공무정산양식(10월초)_전체계약변경(03)_설계내역서" xfId="10093"/>
    <cellStyle name="_칠서영산_공무정산양식(10월초)_포장외건(최종)" xfId="10094"/>
    <cellStyle name="_칠서영산_공무정산양식(10월초)_포장외건(최종) 2" xfId="10095"/>
    <cellStyle name="_칠서영산_공무정산양식(10월초)_포장외건(최종)_강동내역(9.28" xfId="10096"/>
    <cellStyle name="_칠서영산_공무정산양식(10월초)_포장외건(최종)_강동내역(9.28 2" xfId="10097"/>
    <cellStyle name="_칠서영산_공무정산양식(10월초)_포장외건(최종)_강동내역(9.28_T05-D03-004D(울산터널-조명제어-안소장님1003)" xfId="10098"/>
    <cellStyle name="_칠서영산_공무정산양식(10월초)_포장외건(최종)_강동내역(9.28_T05-D03-004D(울산터널-조명제어-안소장님1003) 2" xfId="10099"/>
    <cellStyle name="_칠서영산_공무정산양식(10월초)_포장외건(최종)_강동내역(9.28_T05-D03-004D(울산터널-조명제어-안소장님1003)_설계내역서" xfId="10100"/>
    <cellStyle name="_칠서영산_공무정산양식(10월초)_포장외건(최종)_강동내역(9.28_T05-D03-004D(울산터널-환기-구성설비0930)" xfId="10101"/>
    <cellStyle name="_칠서영산_공무정산양식(10월초)_포장외건(최종)_강동내역(9.28_T05-D03-004D(울산터널-환기-구성설비0930) 2" xfId="10102"/>
    <cellStyle name="_칠서영산_공무정산양식(10월초)_포장외건(최종)_강동내역(9.28_T05-D03-004D(울산터널-환기-구성설비0930)_설계내역서" xfId="10103"/>
    <cellStyle name="_칠서영산_공무정산양식(10월초)_포장외건(최종)_강동내역(9.28_설계내역서" xfId="10104"/>
    <cellStyle name="_칠서영산_공무정산양식(10월초)_포장외건(최종)_강동내역(9.28_울산강동내역최종(20051101)" xfId="10105"/>
    <cellStyle name="_칠서영산_공무정산양식(10월초)_포장외건(최종)_강동내역(9.28_울산강동내역최종(20051101) 2" xfId="10106"/>
    <cellStyle name="_칠서영산_공무정산양식(10월초)_포장외건(최종)_강동내역(9.28_울산강동내역최종(20051101)_설계내역서" xfId="10107"/>
    <cellStyle name="_칠서영산_공무정산양식(10월초)_포장외건(최종)_설계내역서" xfId="10108"/>
    <cellStyle name="_칠서영산_기성내역서" xfId="10109"/>
    <cellStyle name="_칠서영산_기성내역서 2" xfId="10110"/>
    <cellStyle name="_칠서영산_기성내역서_강동내역(9.28" xfId="10111"/>
    <cellStyle name="_칠서영산_기성내역서_강동내역(9.28 2" xfId="10112"/>
    <cellStyle name="_칠서영산_기성내역서_강동내역(9.28_T05-D03-004D(울산터널-조명제어-안소장님1003)" xfId="10113"/>
    <cellStyle name="_칠서영산_기성내역서_강동내역(9.28_T05-D03-004D(울산터널-조명제어-안소장님1003) 2" xfId="10114"/>
    <cellStyle name="_칠서영산_기성내역서_강동내역(9.28_T05-D03-004D(울산터널-조명제어-안소장님1003)_설계내역서" xfId="10115"/>
    <cellStyle name="_칠서영산_기성내역서_강동내역(9.28_T05-D03-004D(울산터널-환기-구성설비0930)" xfId="10116"/>
    <cellStyle name="_칠서영산_기성내역서_강동내역(9.28_T05-D03-004D(울산터널-환기-구성설비0930) 2" xfId="10117"/>
    <cellStyle name="_칠서영산_기성내역서_강동내역(9.28_T05-D03-004D(울산터널-환기-구성설비0930)_설계내역서" xfId="10118"/>
    <cellStyle name="_칠서영산_기성내역서_강동내역(9.28_설계내역서" xfId="10119"/>
    <cellStyle name="_칠서영산_기성내역서_강동내역(9.28_울산강동내역최종(20051101)" xfId="10120"/>
    <cellStyle name="_칠서영산_기성내역서_강동내역(9.28_울산강동내역최종(20051101) 2" xfId="10121"/>
    <cellStyle name="_칠서영산_기성내역서_강동내역(9.28_울산강동내역최종(20051101)_설계내역서" xfId="10122"/>
    <cellStyle name="_칠서영산_기성내역서_설계내역서" xfId="10123"/>
    <cellStyle name="_칠서영산_기성내역서_전체계약변경(03)" xfId="10124"/>
    <cellStyle name="_칠서영산_기성내역서_전체계약변경(03) 2" xfId="10125"/>
    <cellStyle name="_칠서영산_기성내역서_전체계약변경(03)_강동내역(9.28" xfId="10126"/>
    <cellStyle name="_칠서영산_기성내역서_전체계약변경(03)_강동내역(9.28 2" xfId="10127"/>
    <cellStyle name="_칠서영산_기성내역서_전체계약변경(03)_강동내역(9.28_T05-D03-004D(울산터널-조명제어-안소장님1003)" xfId="10128"/>
    <cellStyle name="_칠서영산_기성내역서_전체계약변경(03)_강동내역(9.28_T05-D03-004D(울산터널-조명제어-안소장님1003) 2" xfId="10129"/>
    <cellStyle name="_칠서영산_기성내역서_전체계약변경(03)_강동내역(9.28_T05-D03-004D(울산터널-조명제어-안소장님1003)_설계내역서" xfId="10130"/>
    <cellStyle name="_칠서영산_기성내역서_전체계약변경(03)_강동내역(9.28_T05-D03-004D(울산터널-환기-구성설비0930)" xfId="10131"/>
    <cellStyle name="_칠서영산_기성내역서_전체계약변경(03)_강동내역(9.28_T05-D03-004D(울산터널-환기-구성설비0930) 2" xfId="10132"/>
    <cellStyle name="_칠서영산_기성내역서_전체계약변경(03)_강동내역(9.28_T05-D03-004D(울산터널-환기-구성설비0930)_설계내역서" xfId="10133"/>
    <cellStyle name="_칠서영산_기성내역서_전체계약변경(03)_강동내역(9.28_설계내역서" xfId="10134"/>
    <cellStyle name="_칠서영산_기성내역서_전체계약변경(03)_강동내역(9.28_울산강동내역최종(20051101)" xfId="10135"/>
    <cellStyle name="_칠서영산_기성내역서_전체계약변경(03)_강동내역(9.28_울산강동내역최종(20051101) 2" xfId="10136"/>
    <cellStyle name="_칠서영산_기성내역서_전체계약변경(03)_강동내역(9.28_울산강동내역최종(20051101)_설계내역서" xfId="10137"/>
    <cellStyle name="_칠서영산_기성내역서_전체계약변경(03)_설계내역서" xfId="10138"/>
    <cellStyle name="_칠서영산_설계내역서" xfId="10139"/>
    <cellStyle name="_칠서영산_전체계약변경(03)" xfId="10140"/>
    <cellStyle name="_칠서영산_전체계약변경(03) 2" xfId="10141"/>
    <cellStyle name="_칠서영산_전체계약변경(03)_강동내역(9.28" xfId="10142"/>
    <cellStyle name="_칠서영산_전체계약변경(03)_강동내역(9.28 2" xfId="10143"/>
    <cellStyle name="_칠서영산_전체계약변경(03)_강동내역(9.28_T05-D03-004D(울산터널-조명제어-안소장님1003)" xfId="10144"/>
    <cellStyle name="_칠서영산_전체계약변경(03)_강동내역(9.28_T05-D03-004D(울산터널-조명제어-안소장님1003) 2" xfId="10145"/>
    <cellStyle name="_칠서영산_전체계약변경(03)_강동내역(9.28_T05-D03-004D(울산터널-조명제어-안소장님1003)_설계내역서" xfId="10146"/>
    <cellStyle name="_칠서영산_전체계약변경(03)_강동내역(9.28_T05-D03-004D(울산터널-환기-구성설비0930)" xfId="10147"/>
    <cellStyle name="_칠서영산_전체계약변경(03)_강동내역(9.28_T05-D03-004D(울산터널-환기-구성설비0930) 2" xfId="10148"/>
    <cellStyle name="_칠서영산_전체계약변경(03)_강동내역(9.28_T05-D03-004D(울산터널-환기-구성설비0930)_설계내역서" xfId="10149"/>
    <cellStyle name="_칠서영산_전체계약변경(03)_강동내역(9.28_설계내역서" xfId="10150"/>
    <cellStyle name="_칠서영산_전체계약변경(03)_강동내역(9.28_울산강동내역최종(20051101)" xfId="10151"/>
    <cellStyle name="_칠서영산_전체계약변경(03)_강동내역(9.28_울산강동내역최종(20051101) 2" xfId="10152"/>
    <cellStyle name="_칠서영산_전체계약변경(03)_강동내역(9.28_울산강동내역최종(20051101)_설계내역서" xfId="10153"/>
    <cellStyle name="_칠서영산_전체계약변경(03)_설계내역서" xfId="10154"/>
    <cellStyle name="_칠서영산_포장외건(최종)" xfId="10155"/>
    <cellStyle name="_칠서영산_포장외건(최종) 2" xfId="10156"/>
    <cellStyle name="_칠서영산_포장외건(최종)_강동내역(9.28" xfId="10157"/>
    <cellStyle name="_칠서영산_포장외건(최종)_강동내역(9.28 2" xfId="10158"/>
    <cellStyle name="_칠서영산_포장외건(최종)_강동내역(9.28_T05-D03-004D(울산터널-조명제어-안소장님1003)" xfId="10159"/>
    <cellStyle name="_칠서영산_포장외건(최종)_강동내역(9.28_T05-D03-004D(울산터널-조명제어-안소장님1003) 2" xfId="10160"/>
    <cellStyle name="_칠서영산_포장외건(최종)_강동내역(9.28_T05-D03-004D(울산터널-조명제어-안소장님1003)_설계내역서" xfId="10161"/>
    <cellStyle name="_칠서영산_포장외건(최종)_강동내역(9.28_T05-D03-004D(울산터널-환기-구성설비0930)" xfId="10162"/>
    <cellStyle name="_칠서영산_포장외건(최종)_강동내역(9.28_T05-D03-004D(울산터널-환기-구성설비0930) 2" xfId="10163"/>
    <cellStyle name="_칠서영산_포장외건(최종)_강동내역(9.28_T05-D03-004D(울산터널-환기-구성설비0930)_설계내역서" xfId="10164"/>
    <cellStyle name="_칠서영산_포장외건(최종)_강동내역(9.28_설계내역서" xfId="10165"/>
    <cellStyle name="_칠서영산_포장외건(최종)_강동내역(9.28_울산강동내역최종(20051101)" xfId="10166"/>
    <cellStyle name="_칠서영산_포장외건(최종)_강동내역(9.28_울산강동내역최종(20051101) 2" xfId="10167"/>
    <cellStyle name="_칠서영산_포장외건(최종)_강동내역(9.28_울산강동내역최종(20051101)_설계내역서" xfId="10168"/>
    <cellStyle name="_칠서영산_포장외건(최종)_설계내역서" xfId="10169"/>
    <cellStyle name="_침입감시 견적서" xfId="249"/>
    <cellStyle name="_터널부하계산서(최종본)" xfId="10170"/>
    <cellStyle name="_테마공사새로03" xfId="10171"/>
    <cellStyle name="_토공１회변경" xfId="10172"/>
    <cellStyle name="_토공수량-4차로발주(유동만조금)" xfId="10173"/>
    <cellStyle name="_토공수량-4차로발주(유동만조금) 2" xfId="10174"/>
    <cellStyle name="_토공수량-4차로발주(유동만조금)_설계내역서" xfId="10175"/>
    <cellStyle name="_토공수량산출서(실정보고)" xfId="10176"/>
    <cellStyle name="_통광 폐수처리장(2002.5.24)" xfId="250"/>
    <cellStyle name="_통광정문공사(2002.5.22)" xfId="251"/>
    <cellStyle name="_통신(일위대가) 통신_(최종본)" xfId="10177"/>
    <cellStyle name="_펌프장" xfId="252"/>
    <cellStyle name="_평택이동" xfId="10178"/>
    <cellStyle name="_평화의댐내역서최종(OLD)" xfId="5231"/>
    <cellStyle name="_포장공(최종)" xfId="11507"/>
    <cellStyle name="_포장공(최종)_04.인공폭포" xfId="11508"/>
    <cellStyle name="_포장공(최종)_디딤돌포장" xfId="11509"/>
    <cellStyle name="_포장공(호서레미콘)" xfId="11510"/>
    <cellStyle name="_포장공(호서레미콘)_04.인공폭포" xfId="11511"/>
    <cellStyle name="_포장공(호서레미콘)_디딤돌포장" xfId="11512"/>
    <cellStyle name="_포장수량" xfId="253"/>
    <cellStyle name="_포항실행견적내역" xfId="10179"/>
    <cellStyle name="_표준 견적서 2003년" xfId="254"/>
    <cellStyle name="_하반기성과급인별LIST" xfId="10180"/>
    <cellStyle name="_한솔건설(주)" xfId="10181"/>
    <cellStyle name="_함지3공구수량" xfId="11513"/>
    <cellStyle name="_현장설비(1.VDS), 자재단가, 노임" xfId="10182"/>
    <cellStyle name="_현장설비(1.VDS)-0411" xfId="10183"/>
    <cellStyle name="_현장설비(3.CCTV)-0411" xfId="10184"/>
    <cellStyle name="_현장설비(4.VMS)-0411" xfId="10185"/>
    <cellStyle name="_현장장비_견적" xfId="10186"/>
    <cellStyle name="_호남터널 단가산출서-28" xfId="255"/>
    <cellStyle name="_호수공원 내역서" xfId="256"/>
    <cellStyle name="_홈플러스인천가좌점-수의계약용" xfId="10187"/>
    <cellStyle name="_흙막이공사(일위)" xfId="5232"/>
    <cellStyle name="¡E￠￥@?e_TEST-1 " xfId="257"/>
    <cellStyle name="´þ" xfId="11514"/>
    <cellStyle name="´Þ·?" xfId="258"/>
    <cellStyle name="´þ·? 2" xfId="5233"/>
    <cellStyle name="´Þ·¯" xfId="5234"/>
    <cellStyle name="´Þ·¯ 2" xfId="5235"/>
    <cellStyle name="´þ·¯ 3" xfId="10188"/>
    <cellStyle name="´þ·¯_설계내역서" xfId="10189"/>
    <cellStyle name="’E‰Y [0.00]_laroux" xfId="259"/>
    <cellStyle name="’E‰Y_laroux" xfId="260"/>
    <cellStyle name="¤@?e_TEST-1 " xfId="261"/>
    <cellStyle name="△ [0]" xfId="262"/>
    <cellStyle name="△백분율" xfId="263"/>
    <cellStyle name="△콤마" xfId="264"/>
    <cellStyle name="°ia¤¼o " xfId="11515"/>
    <cellStyle name="°iA¤¼O¼yA¡" xfId="265"/>
    <cellStyle name="°íÁ¤¼Ò¼ýÁ¡" xfId="5237"/>
    <cellStyle name="°ia¤¼o¼ya¡ 10" xfId="5238"/>
    <cellStyle name="°ia¤¼o¼ya¡ 11" xfId="5239"/>
    <cellStyle name="°ia¤¼o¼ya¡ 12" xfId="5240"/>
    <cellStyle name="°ia¤¼o¼ya¡ 13" xfId="5241"/>
    <cellStyle name="°ia¤¼o¼ya¡ 14" xfId="5242"/>
    <cellStyle name="°ia¤¼o¼ya¡ 15" xfId="5243"/>
    <cellStyle name="°ia¤¼o¼ya¡ 16" xfId="5244"/>
    <cellStyle name="°ia¤¼o¼ya¡ 17" xfId="5245"/>
    <cellStyle name="°ia¤¼o¼ya¡ 18" xfId="5246"/>
    <cellStyle name="°ia¤¼o¼ya¡ 19" xfId="5247"/>
    <cellStyle name="°iA¤¼O¼yA¡ 2" xfId="4555"/>
    <cellStyle name="°íá¤¼ò¼ýá¡ 2" xfId="10190"/>
    <cellStyle name="°ia¤¼o¼ya¡ 2 2" xfId="5248"/>
    <cellStyle name="°ia¤¼o¼ya¡ 20" xfId="5249"/>
    <cellStyle name="°ia¤¼o¼ya¡ 21" xfId="5250"/>
    <cellStyle name="°ia¤¼o¼ya¡ 22" xfId="5251"/>
    <cellStyle name="°ia¤¼o¼ya¡ 23" xfId="5252"/>
    <cellStyle name="°ia¤¼o¼ya¡ 24" xfId="5253"/>
    <cellStyle name="°ia¤¼o¼ya¡ 25" xfId="5236"/>
    <cellStyle name="°ia¤¼o¼ya¡ 3" xfId="5254"/>
    <cellStyle name="°íá¤¼ò¼ýá¡ 3" xfId="11173"/>
    <cellStyle name="°iA¤¼O¼yA¡ 3 2" xfId="11174"/>
    <cellStyle name="°iA¤¼O¼yA¡ 3 3" xfId="11139"/>
    <cellStyle name="°iA¤¼O¼yA¡ 3 4" xfId="10914"/>
    <cellStyle name="°iA¤¼O¼yA¡ 3 5" xfId="11154"/>
    <cellStyle name="°ia¤¼o¼ya¡ 4" xfId="5255"/>
    <cellStyle name="°íá¤¼ò¼ýá¡ 4" xfId="11140"/>
    <cellStyle name="°iA¤¼O¼yA¡ 4 2" xfId="11175"/>
    <cellStyle name="°iA¤¼O¼yA¡ 4 3" xfId="10915"/>
    <cellStyle name="°iA¤¼O¼yA¡ 4 4" xfId="11153"/>
    <cellStyle name="°ia¤¼o¼ya¡ 5" xfId="5256"/>
    <cellStyle name="°íá¤¼ò¼ýá¡ 5" xfId="10913"/>
    <cellStyle name="°ia¤¼o¼ya¡ 6" xfId="5257"/>
    <cellStyle name="°íá¤¼ò¼ýá¡ 6" xfId="11155"/>
    <cellStyle name="°ia¤¼o¼ya¡ 7" xfId="5258"/>
    <cellStyle name="°ia¤¼o¼ya¡ 8" xfId="5259"/>
    <cellStyle name="°ia¤¼o¼ya¡ 9" xfId="5260"/>
    <cellStyle name="°ia¤¼o¼ya¡_1.내역서" xfId="5261"/>
    <cellStyle name="°íá¤¼ò¼ýá¡_설계내역서" xfId="10191"/>
    <cellStyle name="°ia¤aa " xfId="11516"/>
    <cellStyle name="°iA¤Aa·A1" xfId="266"/>
    <cellStyle name="°íÁ¤Ãâ·Â1" xfId="5263"/>
    <cellStyle name="°ia¤aa·a1 10" xfId="5264"/>
    <cellStyle name="°ia¤aa·a1 11" xfId="5265"/>
    <cellStyle name="°ia¤aa·a1 12" xfId="5266"/>
    <cellStyle name="°ia¤aa·a1 13" xfId="5267"/>
    <cellStyle name="°ia¤aa·a1 14" xfId="5268"/>
    <cellStyle name="°ia¤aa·a1 15" xfId="5269"/>
    <cellStyle name="°ia¤aa·a1 16" xfId="5270"/>
    <cellStyle name="°ia¤aa·a1 17" xfId="5271"/>
    <cellStyle name="°ia¤aa·a1 18" xfId="5272"/>
    <cellStyle name="°ia¤aa·a1 19" xfId="5273"/>
    <cellStyle name="°ia¤aa·a1 2" xfId="5274"/>
    <cellStyle name="°íÁ¤Ãâ·Â1 2" xfId="5275"/>
    <cellStyle name="°iA¤Aa·A1 2 2" xfId="11176"/>
    <cellStyle name="°iA¤Aa·A1 2 3" xfId="11138"/>
    <cellStyle name="°iA¤Aa·A1 2 4" xfId="10916"/>
    <cellStyle name="°iA¤Aa·A1 2 5" xfId="11152"/>
    <cellStyle name="°ia¤aa·a1 20" xfId="5276"/>
    <cellStyle name="°ia¤aa·a1 21" xfId="5277"/>
    <cellStyle name="°ia¤aa·a1 22" xfId="5278"/>
    <cellStyle name="°ia¤aa·a1 23" xfId="5279"/>
    <cellStyle name="°ia¤aa·a1 24" xfId="5280"/>
    <cellStyle name="°ia¤aa·a1 25" xfId="5262"/>
    <cellStyle name="°ia¤aa·a1 3" xfId="5281"/>
    <cellStyle name="°íÁ¤Ãâ·Â1 3" xfId="5282"/>
    <cellStyle name="°iA¤Aa·A1 3 2" xfId="11177"/>
    <cellStyle name="°iA¤Aa·A1 3 3" xfId="11137"/>
    <cellStyle name="°iA¤Aa·A1 3 4" xfId="10917"/>
    <cellStyle name="°iA¤Aa·A1 3 5" xfId="11151"/>
    <cellStyle name="°ia¤aa·a1 4" xfId="5283"/>
    <cellStyle name="°íÁ¤Ãâ·Â1 4" xfId="6584"/>
    <cellStyle name="°iA¤Aa·A1 4 2" xfId="11178"/>
    <cellStyle name="°iA¤Aa·A1 4 3" xfId="11136"/>
    <cellStyle name="°iA¤Aa·A1 4 4" xfId="10918"/>
    <cellStyle name="°iA¤Aa·A1 4 5" xfId="11150"/>
    <cellStyle name="°ia¤aa·a1 5" xfId="5284"/>
    <cellStyle name="°íÁ¤Ãâ·Â1 5" xfId="6606"/>
    <cellStyle name="°ia¤aa·a1 6" xfId="5285"/>
    <cellStyle name="°íÁ¤Ãâ·Â1 6" xfId="6608"/>
    <cellStyle name="°ia¤aa·a1 7" xfId="5286"/>
    <cellStyle name="°íÁ¤Ãâ·Â1 7" xfId="6612"/>
    <cellStyle name="°ia¤aa·a1 8" xfId="5287"/>
    <cellStyle name="°íÁ¤Ãâ·Â1 8" xfId="6610"/>
    <cellStyle name="°ia¤aa·a1 9" xfId="5288"/>
    <cellStyle name="°ia¤aa·a1_1.내역서" xfId="5289"/>
    <cellStyle name="°iA¤Aa·A2" xfId="267"/>
    <cellStyle name="°íÁ¤Ãâ·Â2" xfId="5291"/>
    <cellStyle name="°ia¤aa·a2 10" xfId="5292"/>
    <cellStyle name="°ia¤aa·a2 11" xfId="5293"/>
    <cellStyle name="°ia¤aa·a2 12" xfId="5294"/>
    <cellStyle name="°ia¤aa·a2 13" xfId="5295"/>
    <cellStyle name="°ia¤aa·a2 14" xfId="5296"/>
    <cellStyle name="°ia¤aa·a2 15" xfId="5297"/>
    <cellStyle name="°ia¤aa·a2 16" xfId="5298"/>
    <cellStyle name="°ia¤aa·a2 17" xfId="5299"/>
    <cellStyle name="°ia¤aa·a2 18" xfId="5300"/>
    <cellStyle name="°ia¤aa·a2 19" xfId="5301"/>
    <cellStyle name="°ia¤aa·a2 2" xfId="5302"/>
    <cellStyle name="°íÁ¤Ãâ·Â2 2" xfId="5303"/>
    <cellStyle name="°iA¤Aa·A2 2 2" xfId="11179"/>
    <cellStyle name="°iA¤Aa·A2 2 3" xfId="11135"/>
    <cellStyle name="°iA¤Aa·A2 2 4" xfId="10919"/>
    <cellStyle name="°iA¤Aa·A2 2 5" xfId="11149"/>
    <cellStyle name="°ia¤aa·a2 20" xfId="5304"/>
    <cellStyle name="°ia¤aa·a2 21" xfId="5305"/>
    <cellStyle name="°ia¤aa·a2 22" xfId="5306"/>
    <cellStyle name="°ia¤aa·a2 23" xfId="5307"/>
    <cellStyle name="°ia¤aa·a2 24" xfId="5308"/>
    <cellStyle name="°ia¤aa·a2 25" xfId="5290"/>
    <cellStyle name="°ia¤aa·a2 3" xfId="5309"/>
    <cellStyle name="°íÁ¤Ãâ·Â2 3" xfId="5310"/>
    <cellStyle name="°iA¤Aa·A2 3 2" xfId="11180"/>
    <cellStyle name="°iA¤Aa·A2 3 3" xfId="11134"/>
    <cellStyle name="°iA¤Aa·A2 3 4" xfId="11157"/>
    <cellStyle name="°iA¤Aa·A2 3 5" xfId="11148"/>
    <cellStyle name="°ia¤aa·a2 4" xfId="5311"/>
    <cellStyle name="°íÁ¤Ãâ·Â2 4" xfId="6585"/>
    <cellStyle name="°iA¤Aa·A2 4 2" xfId="11181"/>
    <cellStyle name="°iA¤Aa·A2 4 3" xfId="11133"/>
    <cellStyle name="°iA¤Aa·A2 4 4" xfId="10920"/>
    <cellStyle name="°iA¤Aa·A2 4 5" xfId="11147"/>
    <cellStyle name="°ia¤aa·a2 5" xfId="5312"/>
    <cellStyle name="°íÁ¤Ãâ·Â2 5" xfId="6607"/>
    <cellStyle name="°ia¤aa·a2 6" xfId="5313"/>
    <cellStyle name="°íÁ¤Ãâ·Â2 6" xfId="6609"/>
    <cellStyle name="°ia¤aa·a2 7" xfId="5314"/>
    <cellStyle name="°íÁ¤Ãâ·Â2 7" xfId="6611"/>
    <cellStyle name="°ia¤aa·a2 8" xfId="5315"/>
    <cellStyle name="°íÁ¤Ãâ·Â2 8" xfId="6613"/>
    <cellStyle name="°ia¤aa·a2 9" xfId="5316"/>
    <cellStyle name="°ia¤aa·a2_1.내역서" xfId="5317"/>
    <cellStyle name="" xfId="5318"/>
    <cellStyle name=" 10" xfId="5319"/>
    <cellStyle name=" 11" xfId="5320"/>
    <cellStyle name=" 12" xfId="5321"/>
    <cellStyle name=" 13" xfId="5322"/>
    <cellStyle name=" 14" xfId="5323"/>
    <cellStyle name=" 15" xfId="5324"/>
    <cellStyle name=" 16" xfId="5325"/>
    <cellStyle name=" 17" xfId="5326"/>
    <cellStyle name=" 18" xfId="5327"/>
    <cellStyle name=" 19" xfId="5328"/>
    <cellStyle name=" 2" xfId="5329"/>
    <cellStyle name=" 20" xfId="5330"/>
    <cellStyle name=" 21" xfId="5331"/>
    <cellStyle name=" 22" xfId="5332"/>
    <cellStyle name=" 23" xfId="5333"/>
    <cellStyle name=" 24" xfId="5334"/>
    <cellStyle name=" 3" xfId="5335"/>
    <cellStyle name=" 4" xfId="5336"/>
    <cellStyle name=" 5" xfId="5337"/>
    <cellStyle name=" 6" xfId="5338"/>
    <cellStyle name=" 7" xfId="5339"/>
    <cellStyle name=" 8" xfId="5340"/>
    <cellStyle name=" 9" xfId="5341"/>
    <cellStyle name="_Book1" xfId="10192"/>
    <cellStyle name="_Book1_계산서_2축_포천시(이과장님)" xfId="10193"/>
    <cellStyle name="_Book1_계산서_2축_포천시_00" xfId="10194"/>
    <cellStyle name="_Book1_계산서_2축_포천시_01" xfId="10195"/>
    <cellStyle name="_Book1_계산서_2축_포천시_071006_0" xfId="10196"/>
    <cellStyle name="_Book1_계산서_3축_의정부시-(수정)" xfId="10197"/>
    <cellStyle name="_Book1_계산서_3축_의정부시_MAGU" xfId="10198"/>
    <cellStyle name="_고양BRT일위대가" xfId="10199"/>
    <cellStyle name="_고양BRT일위대가_계산서_2축_포천시(이과장님)" xfId="10200"/>
    <cellStyle name="_고양BRT일위대가_계산서_2축_포천시_00" xfId="10201"/>
    <cellStyle name="_고양BRT일위대가_계산서_2축_포천시_01" xfId="10202"/>
    <cellStyle name="_고양BRT일위대가_계산서_2축_포천시_071006_0" xfId="10203"/>
    <cellStyle name="_고양BRT일위대가_계산서_3축_의정부시-(수정)" xfId="10204"/>
    <cellStyle name="_고양BRT일위대가_계산서_3축_의정부시_MAGU" xfId="10205"/>
    <cellStyle name="_기계경비참고" xfId="5342"/>
    <cellStyle name="_기계경비참고 2" xfId="5343"/>
    <cellStyle name="_기획5차2지역낙찰율" xfId="10206"/>
    <cellStyle name="_전기내역서(망우종합처소)-2" xfId="5344"/>
    <cellStyle name="_전기내역서(망우종합처소)-2 2" xfId="5345"/>
    <cellStyle name="_전기내역서(망우종합처소)-2_용암경로당 전기내역서(최종)-5" xfId="5346"/>
    <cellStyle name="_전기내역서(망우종합처소)-2_용암경로당 전기내역서(최종)-5 2" xfId="5347"/>
    <cellStyle name="_전기내역서(망우종합처소)-2_용암경로당 통신내역서(최종)-5" xfId="5348"/>
    <cellStyle name="_전기내역서(망우종합처소)-2_용암경로당 통신내역서(최종)-5 2" xfId="5349"/>
    <cellStyle name="_전기내역서(망우종합처소)-2_전기내역서(최종)" xfId="5350"/>
    <cellStyle name="_전기내역서(망우종합처소)-2_전기내역서(최종) 2" xfId="5351"/>
    <cellStyle name="_전기내역서(망우종합처소)-2_통신내역서(최종)" xfId="5352"/>
    <cellStyle name="_전기내역서(망우종합처소)-2_통신내역서(최종) 2" xfId="5353"/>
    <cellStyle name="_한강접근도로 내역서(낙찰율)8.27(전체)" xfId="10207"/>
    <cellStyle name="_한강접근도로 내역서(낙찰율)8.27(전체)_2010 신호등 연간단가 내역서" xfId="10208"/>
    <cellStyle name="_한강접근도로 내역서(낙찰율)8.27(전체)_2010신호등연간단가(계약내역서)" xfId="10209"/>
    <cellStyle name="_한강접근도로 내역서(낙찰율)8.27(전체)_2011 신호등 연간단가 내역서(계약)111" xfId="10210"/>
    <cellStyle name="0" xfId="10211"/>
    <cellStyle name="0 2" xfId="10212"/>
    <cellStyle name="0 2 2" xfId="11183"/>
    <cellStyle name="0 2 2 10" xfId="13687"/>
    <cellStyle name="0 2 2 11" xfId="14599"/>
    <cellStyle name="0 2 2 11 2" xfId="27425"/>
    <cellStyle name="0 2 2 12" xfId="22866"/>
    <cellStyle name="0 2 2 12 2" xfId="35300"/>
    <cellStyle name="0 2 2 13" xfId="21291"/>
    <cellStyle name="0 2 2 13 2" xfId="33728"/>
    <cellStyle name="0 2 2 14" xfId="18461"/>
    <cellStyle name="0 2 2 14 2" xfId="31166"/>
    <cellStyle name="0 2 2 15" xfId="20702"/>
    <cellStyle name="0 2 2 15 2" xfId="33145"/>
    <cellStyle name="0 2 2 16" xfId="18981"/>
    <cellStyle name="0 2 2 16 2" xfId="31686"/>
    <cellStyle name="0 2 2 17" xfId="23789"/>
    <cellStyle name="0 2 2 17 2" xfId="36220"/>
    <cellStyle name="0 2 2 18" xfId="24571"/>
    <cellStyle name="0 2 2 18 2" xfId="37002"/>
    <cellStyle name="0 2 2 19" xfId="20602"/>
    <cellStyle name="0 2 2 19 2" xfId="33046"/>
    <cellStyle name="0 2 2 2" xfId="16395"/>
    <cellStyle name="0 2 2 2 2" xfId="29171"/>
    <cellStyle name="0 2 2 20" xfId="18666"/>
    <cellStyle name="0 2 2 20 2" xfId="31371"/>
    <cellStyle name="0 2 2 21" xfId="22035"/>
    <cellStyle name="0 2 2 21 2" xfId="34472"/>
    <cellStyle name="0 2 2 22" xfId="23097"/>
    <cellStyle name="0 2 2 22 2" xfId="35530"/>
    <cellStyle name="0 2 2 23" xfId="20241"/>
    <cellStyle name="0 2 2 23 2" xfId="32686"/>
    <cellStyle name="0 2 2 24" xfId="25125"/>
    <cellStyle name="0 2 2 3" xfId="15160"/>
    <cellStyle name="0 2 2 3 2" xfId="27979"/>
    <cellStyle name="0 2 2 4" xfId="15451"/>
    <cellStyle name="0 2 2 4 2" xfId="28260"/>
    <cellStyle name="0 2 2 5" xfId="15928"/>
    <cellStyle name="0 2 2 5 2" xfId="28726"/>
    <cellStyle name="0 2 2 6" xfId="17220"/>
    <cellStyle name="0 2 2 6 2" xfId="29954"/>
    <cellStyle name="0 2 2 7" xfId="13999"/>
    <cellStyle name="0 2 2 7 2" xfId="26855"/>
    <cellStyle name="0 2 2 8" xfId="13615"/>
    <cellStyle name="0 2 2 8 2" xfId="26483"/>
    <cellStyle name="0 2 2 9" xfId="17571"/>
    <cellStyle name="0 2 2 9 2" xfId="30289"/>
    <cellStyle name="0 3" xfId="10213"/>
    <cellStyle name="0 3 2" xfId="11184"/>
    <cellStyle name="0 3 2 10" xfId="14858"/>
    <cellStyle name="0 3 2 11" xfId="17106"/>
    <cellStyle name="0 3 2 11 2" xfId="29841"/>
    <cellStyle name="0 3 2 12" xfId="22867"/>
    <cellStyle name="0 3 2 12 2" xfId="35301"/>
    <cellStyle name="0 3 2 13" xfId="21290"/>
    <cellStyle name="0 3 2 13 2" xfId="33727"/>
    <cellStyle name="0 3 2 14" xfId="18462"/>
    <cellStyle name="0 3 2 14 2" xfId="31167"/>
    <cellStyle name="0 3 2 15" xfId="22256"/>
    <cellStyle name="0 3 2 15 2" xfId="34691"/>
    <cellStyle name="0 3 2 16" xfId="18276"/>
    <cellStyle name="0 3 2 16 2" xfId="30982"/>
    <cellStyle name="0 3 2 17" xfId="20852"/>
    <cellStyle name="0 3 2 17 2" xfId="33289"/>
    <cellStyle name="0 3 2 18" xfId="21632"/>
    <cellStyle name="0 3 2 18 2" xfId="34069"/>
    <cellStyle name="0 3 2 19" xfId="19015"/>
    <cellStyle name="0 3 2 19 2" xfId="31720"/>
    <cellStyle name="0 3 2 2" xfId="16396"/>
    <cellStyle name="0 3 2 2 2" xfId="29172"/>
    <cellStyle name="0 3 2 20" xfId="22429"/>
    <cellStyle name="0 3 2 20 2" xfId="34863"/>
    <cellStyle name="0 3 2 21" xfId="20246"/>
    <cellStyle name="0 3 2 21 2" xfId="32691"/>
    <cellStyle name="0 3 2 22" xfId="22030"/>
    <cellStyle name="0 3 2 22 2" xfId="34467"/>
    <cellStyle name="0 3 2 23" xfId="24408"/>
    <cellStyle name="0 3 2 23 2" xfId="36839"/>
    <cellStyle name="0 3 2 24" xfId="25126"/>
    <cellStyle name="0 3 2 3" xfId="15159"/>
    <cellStyle name="0 3 2 3 2" xfId="27978"/>
    <cellStyle name="0 3 2 4" xfId="16627"/>
    <cellStyle name="0 3 2 4 2" xfId="29403"/>
    <cellStyle name="0 3 2 5" xfId="16727"/>
    <cellStyle name="0 3 2 5 2" xfId="29503"/>
    <cellStyle name="0 3 2 6" xfId="13028"/>
    <cellStyle name="0 3 2 6 2" xfId="25903"/>
    <cellStyle name="0 3 2 7" xfId="14865"/>
    <cellStyle name="0 3 2 7 2" xfId="27687"/>
    <cellStyle name="0 3 2 8" xfId="12928"/>
    <cellStyle name="0 3 2 8 2" xfId="25804"/>
    <cellStyle name="0 3 2 9" xfId="12785"/>
    <cellStyle name="0 3 2 9 2" xfId="25661"/>
    <cellStyle name="0 4" xfId="10214"/>
    <cellStyle name="0 4 2" xfId="11185"/>
    <cellStyle name="0 4 2 10" xfId="13665"/>
    <cellStyle name="0 4 2 11" xfId="13053"/>
    <cellStyle name="0 4 2 11 2" xfId="25922"/>
    <cellStyle name="0 4 2 12" xfId="22868"/>
    <cellStyle name="0 4 2 12 2" xfId="35302"/>
    <cellStyle name="0 4 2 13" xfId="21289"/>
    <cellStyle name="0 4 2 13 2" xfId="33726"/>
    <cellStyle name="0 4 2 14" xfId="18463"/>
    <cellStyle name="0 4 2 14 2" xfId="31168"/>
    <cellStyle name="0 4 2 15" xfId="22257"/>
    <cellStyle name="0 4 2 15 2" xfId="34692"/>
    <cellStyle name="0 4 2 16" xfId="18982"/>
    <cellStyle name="0 4 2 16 2" xfId="31687"/>
    <cellStyle name="0 4 2 17" xfId="23788"/>
    <cellStyle name="0 4 2 17 2" xfId="36219"/>
    <cellStyle name="0 4 2 18" xfId="24365"/>
    <cellStyle name="0 4 2 18 2" xfId="36796"/>
    <cellStyle name="0 4 2 19" xfId="23535"/>
    <cellStyle name="0 4 2 19 2" xfId="35966"/>
    <cellStyle name="0 4 2 2" xfId="16397"/>
    <cellStyle name="0 4 2 2 2" xfId="29173"/>
    <cellStyle name="0 4 2 20" xfId="22131"/>
    <cellStyle name="0 4 2 20 2" xfId="34567"/>
    <cellStyle name="0 4 2 21" xfId="18679"/>
    <cellStyle name="0 4 2 21 2" xfId="31384"/>
    <cellStyle name="0 4 2 22" xfId="20868"/>
    <cellStyle name="0 4 2 22 2" xfId="33305"/>
    <cellStyle name="0 4 2 23" xfId="20785"/>
    <cellStyle name="0 4 2 23 2" xfId="33224"/>
    <cellStyle name="0 4 2 24" xfId="25127"/>
    <cellStyle name="0 4 2 3" xfId="15158"/>
    <cellStyle name="0 4 2 3 2" xfId="27977"/>
    <cellStyle name="0 4 2 4" xfId="16626"/>
    <cellStyle name="0 4 2 4 2" xfId="29402"/>
    <cellStyle name="0 4 2 5" xfId="14547"/>
    <cellStyle name="0 4 2 5 2" xfId="27375"/>
    <cellStyle name="0 4 2 6" xfId="14680"/>
    <cellStyle name="0 4 2 6 2" xfId="27506"/>
    <cellStyle name="0 4 2 7" xfId="13998"/>
    <cellStyle name="0 4 2 7 2" xfId="26854"/>
    <cellStyle name="0 4 2 8" xfId="16992"/>
    <cellStyle name="0 4 2 8 2" xfId="29767"/>
    <cellStyle name="0 4 2 9" xfId="15441"/>
    <cellStyle name="0 4 2 9 2" xfId="28250"/>
    <cellStyle name="0 5" xfId="10215"/>
    <cellStyle name="0 5 2" xfId="11186"/>
    <cellStyle name="0 5 2 10" xfId="14245"/>
    <cellStyle name="0 5 2 11" xfId="12947"/>
    <cellStyle name="0 5 2 11 2" xfId="25822"/>
    <cellStyle name="0 5 2 12" xfId="22869"/>
    <cellStyle name="0 5 2 12 2" xfId="35303"/>
    <cellStyle name="0 5 2 13" xfId="21288"/>
    <cellStyle name="0 5 2 13 2" xfId="33725"/>
    <cellStyle name="0 5 2 14" xfId="18464"/>
    <cellStyle name="0 5 2 14 2" xfId="31169"/>
    <cellStyle name="0 5 2 15" xfId="22258"/>
    <cellStyle name="0 5 2 15 2" xfId="34693"/>
    <cellStyle name="0 5 2 16" xfId="18983"/>
    <cellStyle name="0 5 2 16 2" xfId="31688"/>
    <cellStyle name="0 5 2 17" xfId="20951"/>
    <cellStyle name="0 5 2 17 2" xfId="33388"/>
    <cellStyle name="0 5 2 18" xfId="24387"/>
    <cellStyle name="0 5 2 18 2" xfId="36818"/>
    <cellStyle name="0 5 2 19" xfId="19784"/>
    <cellStyle name="0 5 2 19 2" xfId="32234"/>
    <cellStyle name="0 5 2 2" xfId="16398"/>
    <cellStyle name="0 5 2 2 2" xfId="29174"/>
    <cellStyle name="0 5 2 20" xfId="22428"/>
    <cellStyle name="0 5 2 20 2" xfId="34862"/>
    <cellStyle name="0 5 2 21" xfId="24494"/>
    <cellStyle name="0 5 2 21 2" xfId="36925"/>
    <cellStyle name="0 5 2 22" xfId="21989"/>
    <cellStyle name="0 5 2 22 2" xfId="34426"/>
    <cellStyle name="0 5 2 23" xfId="24654"/>
    <cellStyle name="0 5 2 23 2" xfId="37085"/>
    <cellStyle name="0 5 2 24" xfId="25128"/>
    <cellStyle name="0 5 2 3" xfId="15157"/>
    <cellStyle name="0 5 2 3 2" xfId="27976"/>
    <cellStyle name="0 5 2 4" xfId="15450"/>
    <cellStyle name="0 5 2 4 2" xfId="28259"/>
    <cellStyle name="0 5 2 5" xfId="16728"/>
    <cellStyle name="0 5 2 5 2" xfId="29504"/>
    <cellStyle name="0 5 2 6" xfId="15786"/>
    <cellStyle name="0 5 2 6 2" xfId="28585"/>
    <cellStyle name="0 5 2 7" xfId="15595"/>
    <cellStyle name="0 5 2 7 2" xfId="28404"/>
    <cellStyle name="0 5 2 8" xfId="12929"/>
    <cellStyle name="0 5 2 8 2" xfId="25805"/>
    <cellStyle name="0 5 2 9" xfId="15419"/>
    <cellStyle name="0 5 2 9 2" xfId="28233"/>
    <cellStyle name="0 6" xfId="10216"/>
    <cellStyle name="0 6 2" xfId="11187"/>
    <cellStyle name="0 6 2 10" xfId="17564"/>
    <cellStyle name="0 6 2 11" xfId="12889"/>
    <cellStyle name="0 6 2 11 2" xfId="25765"/>
    <cellStyle name="0 6 2 12" xfId="22870"/>
    <cellStyle name="0 6 2 12 2" xfId="35304"/>
    <cellStyle name="0 6 2 13" xfId="21287"/>
    <cellStyle name="0 6 2 13 2" xfId="33724"/>
    <cellStyle name="0 6 2 14" xfId="18465"/>
    <cellStyle name="0 6 2 14 2" xfId="31170"/>
    <cellStyle name="0 6 2 15" xfId="19190"/>
    <cellStyle name="0 6 2 15 2" xfId="31845"/>
    <cellStyle name="0 6 2 16" xfId="20508"/>
    <cellStyle name="0 6 2 16 2" xfId="32953"/>
    <cellStyle name="0 6 2 17" xfId="23787"/>
    <cellStyle name="0 6 2 17 2" xfId="36218"/>
    <cellStyle name="0 6 2 18" xfId="24386"/>
    <cellStyle name="0 6 2 18 2" xfId="36817"/>
    <cellStyle name="0 6 2 19" xfId="23103"/>
    <cellStyle name="0 6 2 19 2" xfId="35536"/>
    <cellStyle name="0 6 2 2" xfId="16399"/>
    <cellStyle name="0 6 2 2 2" xfId="29175"/>
    <cellStyle name="0 6 2 20" xfId="22130"/>
    <cellStyle name="0 6 2 20 2" xfId="34566"/>
    <cellStyle name="0 6 2 21" xfId="22036"/>
    <cellStyle name="0 6 2 21 2" xfId="34473"/>
    <cellStyle name="0 6 2 22" xfId="23482"/>
    <cellStyle name="0 6 2 22 2" xfId="35913"/>
    <cellStyle name="0 6 2 23" xfId="22303"/>
    <cellStyle name="0 6 2 23 2" xfId="34737"/>
    <cellStyle name="0 6 2 24" xfId="25129"/>
    <cellStyle name="0 6 2 3" xfId="15156"/>
    <cellStyle name="0 6 2 3 2" xfId="27975"/>
    <cellStyle name="0 6 2 4" xfId="15449"/>
    <cellStyle name="0 6 2 4 2" xfId="28258"/>
    <cellStyle name="0 6 2 5" xfId="14548"/>
    <cellStyle name="0 6 2 5 2" xfId="27376"/>
    <cellStyle name="0 6 2 6" xfId="15343"/>
    <cellStyle name="0 6 2 6 2" xfId="28160"/>
    <cellStyle name="0 6 2 7" xfId="13997"/>
    <cellStyle name="0 6 2 7 2" xfId="26853"/>
    <cellStyle name="0 6 2 8" xfId="12556"/>
    <cellStyle name="0 6 2 8 2" xfId="25436"/>
    <cellStyle name="0 6 2 9" xfId="12414"/>
    <cellStyle name="0 6 2 9 2" xfId="25294"/>
    <cellStyle name="0 7" xfId="11182"/>
    <cellStyle name="0 7 10" xfId="17101"/>
    <cellStyle name="0 7 11" xfId="15378"/>
    <cellStyle name="0 7 11 2" xfId="28195"/>
    <cellStyle name="0 7 12" xfId="22865"/>
    <cellStyle name="0 7 12 2" xfId="35299"/>
    <cellStyle name="0 7 13" xfId="21292"/>
    <cellStyle name="0 7 13 2" xfId="33729"/>
    <cellStyle name="0 7 14" xfId="18460"/>
    <cellStyle name="0 7 14 2" xfId="31165"/>
    <cellStyle name="0 7 15" xfId="20709"/>
    <cellStyle name="0 7 15 2" xfId="33152"/>
    <cellStyle name="0 7 16" xfId="18980"/>
    <cellStyle name="0 7 16 2" xfId="31685"/>
    <cellStyle name="0 7 17" xfId="20952"/>
    <cellStyle name="0 7 17 2" xfId="33389"/>
    <cellStyle name="0 7 18" xfId="24570"/>
    <cellStyle name="0 7 18 2" xfId="37001"/>
    <cellStyle name="0 7 19" xfId="20371"/>
    <cellStyle name="0 7 19 2" xfId="32816"/>
    <cellStyle name="0 7 2" xfId="16394"/>
    <cellStyle name="0 7 2 2" xfId="29170"/>
    <cellStyle name="0 7 20" xfId="22430"/>
    <cellStyle name="0 7 20 2" xfId="34864"/>
    <cellStyle name="0 7 21" xfId="24049"/>
    <cellStyle name="0 7 21 2" xfId="36480"/>
    <cellStyle name="0 7 22" xfId="23534"/>
    <cellStyle name="0 7 22 2" xfId="35965"/>
    <cellStyle name="0 7 23" xfId="24409"/>
    <cellStyle name="0 7 23 2" xfId="36840"/>
    <cellStyle name="0 7 24" xfId="25124"/>
    <cellStyle name="0 7 3" xfId="15161"/>
    <cellStyle name="0 7 3 2" xfId="27980"/>
    <cellStyle name="0 7 4" xfId="16628"/>
    <cellStyle name="0 7 4 2" xfId="29404"/>
    <cellStyle name="0 7 5" xfId="14640"/>
    <cellStyle name="0 7 5 2" xfId="27466"/>
    <cellStyle name="0 7 6" xfId="14667"/>
    <cellStyle name="0 7 6 2" xfId="27493"/>
    <cellStyle name="0 7 7" xfId="14866"/>
    <cellStyle name="0 7 7 2" xfId="27688"/>
    <cellStyle name="0 7 8" xfId="12927"/>
    <cellStyle name="0 7 8 2" xfId="25803"/>
    <cellStyle name="0 7 9" xfId="17728"/>
    <cellStyle name="0 7 9 2" xfId="30445"/>
    <cellStyle name="0%" xfId="268"/>
    <cellStyle name="0,0_x000d__x000a_NA_x000d__x000a_" xfId="5354"/>
    <cellStyle name="0,0_x000d__x000a_NA_x000d__x000a_ 2" xfId="11188"/>
    <cellStyle name="0,0_x000d__x000a_NA_x000d__x000a_ 3" xfId="11390"/>
    <cellStyle name="0,0_x000d__x000a_NA_x000d__x000a_ 3 10" xfId="15252"/>
    <cellStyle name="0,0_x000d__x000a_NA_x000d__x000a_ 3 10 2" xfId="28069"/>
    <cellStyle name="0,0_x000d__x000a_NA_x000d__x000a_ 3 11" xfId="17186"/>
    <cellStyle name="0,0_x000d__x000a_NA_x000d__x000a_ 3 11 2" xfId="29920"/>
    <cellStyle name="0,0_x000d__x000a_NA_x000d__x000a_ 3 12" xfId="23012"/>
    <cellStyle name="0,0_x000d__x000a_NA_x000d__x000a_ 3 12 2" xfId="35445"/>
    <cellStyle name="0,0_x000d__x000a_NA_x000d__x000a_ 3 13" xfId="21130"/>
    <cellStyle name="0,0_x000d__x000a_NA_x000d__x000a_ 3 13 2" xfId="33567"/>
    <cellStyle name="0,0_x000d__x000a_NA_x000d__x000a_ 3 14" xfId="20133"/>
    <cellStyle name="0,0_x000d__x000a_NA_x000d__x000a_ 3 14 2" xfId="32579"/>
    <cellStyle name="0,0_x000d__x000a_NA_x000d__x000a_ 3 15" xfId="20069"/>
    <cellStyle name="0,0_x000d__x000a_NA_x000d__x000a_ 3 15 2" xfId="32515"/>
    <cellStyle name="0,0_x000d__x000a_NA_x000d__x000a_ 3 16" xfId="21629"/>
    <cellStyle name="0,0_x000d__x000a_NA_x000d__x000a_ 3 16 2" xfId="34066"/>
    <cellStyle name="0,0_x000d__x000a_NA_x000d__x000a_ 3 17" xfId="20113"/>
    <cellStyle name="0,0_x000d__x000a_NA_x000d__x000a_ 3 17 2" xfId="32559"/>
    <cellStyle name="0,0_x000d__x000a_NA_x000d__x000a_ 3 18" xfId="24004"/>
    <cellStyle name="0,0_x000d__x000a_NA_x000d__x000a_ 3 18 2" xfId="36435"/>
    <cellStyle name="0,0_x000d__x000a_NA_x000d__x000a_ 3 19" xfId="19167"/>
    <cellStyle name="0,0_x000d__x000a_NA_x000d__x000a_ 3 19 2" xfId="31822"/>
    <cellStyle name="0,0_x000d__x000a_NA_x000d__x000a_ 3 2" xfId="16546"/>
    <cellStyle name="0,0_x000d__x000a_NA_x000d__x000a_ 3 2 2" xfId="29322"/>
    <cellStyle name="0,0_x000d__x000a_NA_x000d__x000a_ 3 20" xfId="19671"/>
    <cellStyle name="0,0_x000d__x000a_NA_x000d__x000a_ 3 20 2" xfId="32125"/>
    <cellStyle name="0,0_x000d__x000a_NA_x000d__x000a_ 3 21" xfId="23816"/>
    <cellStyle name="0,0_x000d__x000a_NA_x000d__x000a_ 3 21 2" xfId="36247"/>
    <cellStyle name="0,0_x000d__x000a_NA_x000d__x000a_ 3 22" xfId="24752"/>
    <cellStyle name="0,0_x000d__x000a_NA_x000d__x000a_ 3 22 2" xfId="37183"/>
    <cellStyle name="0,0_x000d__x000a_NA_x000d__x000a_ 3 23" xfId="24856"/>
    <cellStyle name="0,0_x000d__x000a_NA_x000d__x000a_ 3 23 2" xfId="37287"/>
    <cellStyle name="0,0_x000d__x000a_NA_x000d__x000a_ 3 24" xfId="25225"/>
    <cellStyle name="0,0_x000d__x000a_NA_x000d__x000a_ 3 3" xfId="12631"/>
    <cellStyle name="0,0_x000d__x000a_NA_x000d__x000a_ 3 3 2" xfId="25510"/>
    <cellStyle name="0,0_x000d__x000a_NA_x000d__x000a_ 3 4" xfId="14314"/>
    <cellStyle name="0,0_x000d__x000a_NA_x000d__x000a_ 3 4 2" xfId="27147"/>
    <cellStyle name="0,0_x000d__x000a_NA_x000d__x000a_ 3 5" xfId="12846"/>
    <cellStyle name="0,0_x000d__x000a_NA_x000d__x000a_ 3 5 2" xfId="25722"/>
    <cellStyle name="0,0_x000d__x000a_NA_x000d__x000a_ 3 6" xfId="12866"/>
    <cellStyle name="0,0_x000d__x000a_NA_x000d__x000a_ 3 6 2" xfId="25742"/>
    <cellStyle name="0,0_x000d__x000a_NA_x000d__x000a_ 3 7" xfId="17100"/>
    <cellStyle name="0,0_x000d__x000a_NA_x000d__x000a_ 3 7 2" xfId="29836"/>
    <cellStyle name="0,0_x000d__x000a_NA_x000d__x000a_ 3 8" xfId="14662"/>
    <cellStyle name="0,0_x000d__x000a_NA_x000d__x000a_ 3 8 2" xfId="27488"/>
    <cellStyle name="0,0_x000d__x000a_NA_x000d__x000a_ 3 9" xfId="15690"/>
    <cellStyle name="0,0_x000d__x000a_NA_x000d__x000a_ 3 9 2" xfId="28490"/>
    <cellStyle name="0.0" xfId="269"/>
    <cellStyle name="0.0 2" xfId="10217"/>
    <cellStyle name="0.0 2 2" xfId="11189"/>
    <cellStyle name="0.0 2 2 10" xfId="13666"/>
    <cellStyle name="0.0 2 2 11" xfId="15374"/>
    <cellStyle name="0.0 2 2 11 2" xfId="28191"/>
    <cellStyle name="0.0 2 2 12" xfId="22872"/>
    <cellStyle name="0.0 2 2 12 2" xfId="35306"/>
    <cellStyle name="0.0 2 2 13" xfId="21285"/>
    <cellStyle name="0.0 2 2 13 2" xfId="33722"/>
    <cellStyle name="0.0 2 2 14" xfId="18467"/>
    <cellStyle name="0.0 2 2 14 2" xfId="31172"/>
    <cellStyle name="0.0 2 2 15" xfId="21114"/>
    <cellStyle name="0.0 2 2 15 2" xfId="33551"/>
    <cellStyle name="0.0 2 2 16" xfId="20510"/>
    <cellStyle name="0.0 2 2 16 2" xfId="32955"/>
    <cellStyle name="0.0 2 2 17" xfId="23786"/>
    <cellStyle name="0.0 2 2 17 2" xfId="36217"/>
    <cellStyle name="0.0 2 2 18" xfId="19746"/>
    <cellStyle name="0.0 2 2 18 2" xfId="32199"/>
    <cellStyle name="0.0 2 2 19" xfId="22629"/>
    <cellStyle name="0.0 2 2 19 2" xfId="35063"/>
    <cellStyle name="0.0 2 2 2" xfId="16401"/>
    <cellStyle name="0.0 2 2 2 2" xfId="29177"/>
    <cellStyle name="0.0 2 2 20" xfId="22129"/>
    <cellStyle name="0.0 2 2 20 2" xfId="34565"/>
    <cellStyle name="0.0 2 2 21" xfId="24456"/>
    <cellStyle name="0.0 2 2 21 2" xfId="36887"/>
    <cellStyle name="0.0 2 2 22" xfId="22639"/>
    <cellStyle name="0.0 2 2 22 2" xfId="35073"/>
    <cellStyle name="0.0 2 2 23" xfId="21635"/>
    <cellStyle name="0.0 2 2 23 2" xfId="34072"/>
    <cellStyle name="0.0 2 2 24" xfId="25130"/>
    <cellStyle name="0.0 2 2 3" xfId="15155"/>
    <cellStyle name="0.0 2 2 3 2" xfId="27974"/>
    <cellStyle name="0.0 2 2 4" xfId="14172"/>
    <cellStyle name="0.0 2 2 4 2" xfId="27020"/>
    <cellStyle name="0.0 2 2 5" xfId="14549"/>
    <cellStyle name="0.0 2 2 5 2" xfId="27377"/>
    <cellStyle name="0.0 2 2 6" xfId="15344"/>
    <cellStyle name="0.0 2 2 6 2" xfId="28161"/>
    <cellStyle name="0.0 2 2 7" xfId="13996"/>
    <cellStyle name="0.0 2 2 7 2" xfId="26852"/>
    <cellStyle name="0.0 2 2 8" xfId="16993"/>
    <cellStyle name="0.0 2 2 8 2" xfId="29768"/>
    <cellStyle name="0.0 2 2 9" xfId="17570"/>
    <cellStyle name="0.0 2 2 9 2" xfId="30288"/>
    <cellStyle name="0.0 3" xfId="10218"/>
    <cellStyle name="0.0 3 2" xfId="11190"/>
    <cellStyle name="0.0 3 2 10" xfId="14246"/>
    <cellStyle name="0.0 3 2 11" xfId="15278"/>
    <cellStyle name="0.0 3 2 11 2" xfId="28095"/>
    <cellStyle name="0.0 3 2 12" xfId="22873"/>
    <cellStyle name="0.0 3 2 12 2" xfId="35307"/>
    <cellStyle name="0.0 3 2 13" xfId="21284"/>
    <cellStyle name="0.0 3 2 13 2" xfId="33721"/>
    <cellStyle name="0.0 3 2 14" xfId="18468"/>
    <cellStyle name="0.0 3 2 14 2" xfId="31173"/>
    <cellStyle name="0.0 3 2 15" xfId="22259"/>
    <cellStyle name="0.0 3 2 15 2" xfId="34694"/>
    <cellStyle name="0.0 3 2 16" xfId="20521"/>
    <cellStyle name="0.0 3 2 16 2" xfId="32966"/>
    <cellStyle name="0.0 3 2 17" xfId="20950"/>
    <cellStyle name="0.0 3 2 17 2" xfId="33387"/>
    <cellStyle name="0.0 3 2 18" xfId="18771"/>
    <cellStyle name="0.0 3 2 18 2" xfId="31476"/>
    <cellStyle name="0.0 3 2 19" xfId="21796"/>
    <cellStyle name="0.0 3 2 19 2" xfId="34233"/>
    <cellStyle name="0.0 3 2 2" xfId="16402"/>
    <cellStyle name="0.0 3 2 2 2" xfId="29178"/>
    <cellStyle name="0.0 3 2 20" xfId="19768"/>
    <cellStyle name="0.0 3 2 20 2" xfId="32219"/>
    <cellStyle name="0.0 3 2 21" xfId="19274"/>
    <cellStyle name="0.0 3 2 21 2" xfId="31929"/>
    <cellStyle name="0.0 3 2 22" xfId="22029"/>
    <cellStyle name="0.0 3 2 22 2" xfId="34466"/>
    <cellStyle name="0.0 3 2 23" xfId="24655"/>
    <cellStyle name="0.0 3 2 23 2" xfId="37086"/>
    <cellStyle name="0.0 3 2 24" xfId="25131"/>
    <cellStyle name="0.0 3 2 3" xfId="15154"/>
    <cellStyle name="0.0 3 2 3 2" xfId="27973"/>
    <cellStyle name="0.0 3 2 4" xfId="14368"/>
    <cellStyle name="0.0 3 2 4 2" xfId="27201"/>
    <cellStyle name="0.0 3 2 5" xfId="16729"/>
    <cellStyle name="0.0 3 2 5 2" xfId="29505"/>
    <cellStyle name="0.0 3 2 6" xfId="17470"/>
    <cellStyle name="0.0 3 2 6 2" xfId="30192"/>
    <cellStyle name="0.0 3 2 7" xfId="16383"/>
    <cellStyle name="0.0 3 2 7 2" xfId="29159"/>
    <cellStyle name="0.0 3 2 8" xfId="12930"/>
    <cellStyle name="0.0 3 2 8 2" xfId="25806"/>
    <cellStyle name="0.0 3 2 9" xfId="12784"/>
    <cellStyle name="0.0 3 2 9 2" xfId="25660"/>
    <cellStyle name="0.0 4" xfId="10219"/>
    <cellStyle name="0.0 4 2" xfId="11191"/>
    <cellStyle name="0.0 4 2 10" xfId="17565"/>
    <cellStyle name="0.0 4 2 11" xfId="14063"/>
    <cellStyle name="0.0 4 2 11 2" xfId="26911"/>
    <cellStyle name="0.0 4 2 12" xfId="22874"/>
    <cellStyle name="0.0 4 2 12 2" xfId="35308"/>
    <cellStyle name="0.0 4 2 13" xfId="21283"/>
    <cellStyle name="0.0 4 2 13 2" xfId="33720"/>
    <cellStyle name="0.0 4 2 14" xfId="18469"/>
    <cellStyle name="0.0 4 2 14 2" xfId="31174"/>
    <cellStyle name="0.0 4 2 15" xfId="21541"/>
    <cellStyle name="0.0 4 2 15 2" xfId="33978"/>
    <cellStyle name="0.0 4 2 16" xfId="23028"/>
    <cellStyle name="0.0 4 2 16 2" xfId="35461"/>
    <cellStyle name="0.0 4 2 17" xfId="23785"/>
    <cellStyle name="0.0 4 2 17 2" xfId="36216"/>
    <cellStyle name="0.0 4 2 18" xfId="21218"/>
    <cellStyle name="0.0 4 2 18 2" xfId="33655"/>
    <cellStyle name="0.0 4 2 19" xfId="23104"/>
    <cellStyle name="0.0 4 2 19 2" xfId="35537"/>
    <cellStyle name="0.0 4 2 2" xfId="16403"/>
    <cellStyle name="0.0 4 2 2 2" xfId="29179"/>
    <cellStyle name="0.0 4 2 20" xfId="19094"/>
    <cellStyle name="0.0 4 2 20 2" xfId="31799"/>
    <cellStyle name="0.0 4 2 21" xfId="24455"/>
    <cellStyle name="0.0 4 2 21 2" xfId="36886"/>
    <cellStyle name="0.0 4 2 22" xfId="20403"/>
    <cellStyle name="0.0 4 2 22 2" xfId="32848"/>
    <cellStyle name="0.0 4 2 23" xfId="20391"/>
    <cellStyle name="0.0 4 2 23 2" xfId="32836"/>
    <cellStyle name="0.0 4 2 24" xfId="25132"/>
    <cellStyle name="0.0 4 2 3" xfId="15153"/>
    <cellStyle name="0.0 4 2 3 2" xfId="27972"/>
    <cellStyle name="0.0 4 2 4" xfId="17074"/>
    <cellStyle name="0.0 4 2 4 2" xfId="29810"/>
    <cellStyle name="0.0 4 2 5" xfId="14550"/>
    <cellStyle name="0.0 4 2 5 2" xfId="27378"/>
    <cellStyle name="0.0 4 2 6" xfId="15345"/>
    <cellStyle name="0.0 4 2 6 2" xfId="28162"/>
    <cellStyle name="0.0 4 2 7" xfId="13995"/>
    <cellStyle name="0.0 4 2 7 2" xfId="26851"/>
    <cellStyle name="0.0 4 2 8" xfId="14400"/>
    <cellStyle name="0.0 4 2 8 2" xfId="27233"/>
    <cellStyle name="0.0 4 2 9" xfId="17569"/>
    <cellStyle name="0.0 4 2 9 2" xfId="30287"/>
    <cellStyle name="0.0 5" xfId="10220"/>
    <cellStyle name="0.0 5 2" xfId="11192"/>
    <cellStyle name="0.0 5 2 10" xfId="14032"/>
    <cellStyle name="0.0 5 2 11" xfId="14798"/>
    <cellStyle name="0.0 5 2 11 2" xfId="27621"/>
    <cellStyle name="0.0 5 2 12" xfId="22875"/>
    <cellStyle name="0.0 5 2 12 2" xfId="35309"/>
    <cellStyle name="0.0 5 2 13" xfId="21282"/>
    <cellStyle name="0.0 5 2 13 2" xfId="33719"/>
    <cellStyle name="0.0 5 2 14" xfId="18470"/>
    <cellStyle name="0.0 5 2 14 2" xfId="31175"/>
    <cellStyle name="0.0 5 2 15" xfId="19891"/>
    <cellStyle name="0.0 5 2 15 2" xfId="32341"/>
    <cellStyle name="0.0 5 2 16" xfId="19399"/>
    <cellStyle name="0.0 5 2 16 2" xfId="31955"/>
    <cellStyle name="0.0 5 2 17" xfId="20949"/>
    <cellStyle name="0.0 5 2 17 2" xfId="33386"/>
    <cellStyle name="0.0 5 2 18" xfId="21962"/>
    <cellStyle name="0.0 5 2 18 2" xfId="34399"/>
    <cellStyle name="0.0 5 2 19" xfId="20580"/>
    <cellStyle name="0.0 5 2 19 2" xfId="33024"/>
    <cellStyle name="0.0 5 2 2" xfId="16404"/>
    <cellStyle name="0.0 5 2 2 2" xfId="29180"/>
    <cellStyle name="0.0 5 2 20" xfId="19767"/>
    <cellStyle name="0.0 5 2 20 2" xfId="32218"/>
    <cellStyle name="0.0 5 2 21" xfId="18995"/>
    <cellStyle name="0.0 5 2 21 2" xfId="31700"/>
    <cellStyle name="0.0 5 2 22" xfId="22640"/>
    <cellStyle name="0.0 5 2 22 2" xfId="35074"/>
    <cellStyle name="0.0 5 2 23" xfId="24656"/>
    <cellStyle name="0.0 5 2 23 2" xfId="37087"/>
    <cellStyle name="0.0 5 2 24" xfId="25133"/>
    <cellStyle name="0.0 5 2 3" xfId="15152"/>
    <cellStyle name="0.0 5 2 3 2" xfId="27971"/>
    <cellStyle name="0.0 5 2 4" xfId="15448"/>
    <cellStyle name="0.0 5 2 4 2" xfId="28257"/>
    <cellStyle name="0.0 5 2 5" xfId="16730"/>
    <cellStyle name="0.0 5 2 5 2" xfId="29506"/>
    <cellStyle name="0.0 5 2 6" xfId="17471"/>
    <cellStyle name="0.0 5 2 6 2" xfId="30193"/>
    <cellStyle name="0.0 5 2 7" xfId="12701"/>
    <cellStyle name="0.0 5 2 7 2" xfId="25580"/>
    <cellStyle name="0.0 5 2 8" xfId="13969"/>
    <cellStyle name="0.0 5 2 8 2" xfId="26826"/>
    <cellStyle name="0.0 5 2 9" xfId="14201"/>
    <cellStyle name="0.0 5 2 9 2" xfId="27049"/>
    <cellStyle name="0.0 6" xfId="10221"/>
    <cellStyle name="0.0 6 2" xfId="11193"/>
    <cellStyle name="0.0 6 2 10" xfId="13704"/>
    <cellStyle name="0.0 6 2 11" xfId="17234"/>
    <cellStyle name="0.0 6 2 11 2" xfId="29968"/>
    <cellStyle name="0.0 6 2 12" xfId="22876"/>
    <cellStyle name="0.0 6 2 12 2" xfId="35310"/>
    <cellStyle name="0.0 6 2 13" xfId="21281"/>
    <cellStyle name="0.0 6 2 13 2" xfId="33718"/>
    <cellStyle name="0.0 6 2 14" xfId="18471"/>
    <cellStyle name="0.0 6 2 14 2" xfId="31176"/>
    <cellStyle name="0.0 6 2 15" xfId="22260"/>
    <cellStyle name="0.0 6 2 15 2" xfId="34695"/>
    <cellStyle name="0.0 6 2 16" xfId="18277"/>
    <cellStyle name="0.0 6 2 16 2" xfId="30983"/>
    <cellStyle name="0.0 6 2 17" xfId="23784"/>
    <cellStyle name="0.0 6 2 17 2" xfId="36215"/>
    <cellStyle name="0.0 6 2 18" xfId="21762"/>
    <cellStyle name="0.0 6 2 18 2" xfId="34199"/>
    <cellStyle name="0.0 6 2 19" xfId="22562"/>
    <cellStyle name="0.0 6 2 19 2" xfId="34996"/>
    <cellStyle name="0.0 6 2 2" xfId="16405"/>
    <cellStyle name="0.0 6 2 2 2" xfId="29181"/>
    <cellStyle name="0.0 6 2 20" xfId="23910"/>
    <cellStyle name="0.0 6 2 20 2" xfId="36341"/>
    <cellStyle name="0.0 6 2 21" xfId="24454"/>
    <cellStyle name="0.0 6 2 21 2" xfId="36885"/>
    <cellStyle name="0.0 6 2 22" xfId="20504"/>
    <cellStyle name="0.0 6 2 22 2" xfId="32949"/>
    <cellStyle name="0.0 6 2 23" xfId="22304"/>
    <cellStyle name="0.0 6 2 23 2" xfId="34738"/>
    <cellStyle name="0.0 6 2 24" xfId="25134"/>
    <cellStyle name="0.0 6 2 3" xfId="15151"/>
    <cellStyle name="0.0 6 2 3 2" xfId="27970"/>
    <cellStyle name="0.0 6 2 4" xfId="14171"/>
    <cellStyle name="0.0 6 2 4 2" xfId="27019"/>
    <cellStyle name="0.0 6 2 5" xfId="14551"/>
    <cellStyle name="0.0 6 2 5 2" xfId="27379"/>
    <cellStyle name="0.0 6 2 6" xfId="15346"/>
    <cellStyle name="0.0 6 2 6 2" xfId="28163"/>
    <cellStyle name="0.0 6 2 7" xfId="13994"/>
    <cellStyle name="0.0 6 2 7 2" xfId="26850"/>
    <cellStyle name="0.0 6 2 8" xfId="12749"/>
    <cellStyle name="0.0 6 2 8 2" xfId="25626"/>
    <cellStyle name="0.0 6 2 9" xfId="12660"/>
    <cellStyle name="0.0 6 2 9 2" xfId="25539"/>
    <cellStyle name="0.0 7" xfId="10222"/>
    <cellStyle name="0.0 7 2" xfId="11194"/>
    <cellStyle name="0.0 7 2 10" xfId="14247"/>
    <cellStyle name="0.0 7 2 11" xfId="12793"/>
    <cellStyle name="0.0 7 2 11 2" xfId="25669"/>
    <cellStyle name="0.0 7 2 12" xfId="22877"/>
    <cellStyle name="0.0 7 2 12 2" xfId="35311"/>
    <cellStyle name="0.0 7 2 13" xfId="21280"/>
    <cellStyle name="0.0 7 2 13 2" xfId="33717"/>
    <cellStyle name="0.0 7 2 14" xfId="18472"/>
    <cellStyle name="0.0 7 2 14 2" xfId="31177"/>
    <cellStyle name="0.0 7 2 15" xfId="21848"/>
    <cellStyle name="0.0 7 2 15 2" xfId="34285"/>
    <cellStyle name="0.0 7 2 16" xfId="18896"/>
    <cellStyle name="0.0 7 2 16 2" xfId="31601"/>
    <cellStyle name="0.0 7 2 17" xfId="18587"/>
    <cellStyle name="0.0 7 2 17 2" xfId="31292"/>
    <cellStyle name="0.0 7 2 18" xfId="18453"/>
    <cellStyle name="0.0 7 2 18 2" xfId="31158"/>
    <cellStyle name="0.0 7 2 19" xfId="21220"/>
    <cellStyle name="0.0 7 2 19 2" xfId="33657"/>
    <cellStyle name="0.0 7 2 2" xfId="16406"/>
    <cellStyle name="0.0 7 2 2 2" xfId="29182"/>
    <cellStyle name="0.0 7 2 20" xfId="20801"/>
    <cellStyle name="0.0 7 2 20 2" xfId="33239"/>
    <cellStyle name="0.0 7 2 21" xfId="24047"/>
    <cellStyle name="0.0 7 2 21 2" xfId="36478"/>
    <cellStyle name="0.0 7 2 22" xfId="23893"/>
    <cellStyle name="0.0 7 2 22 2" xfId="36324"/>
    <cellStyle name="0.0 7 2 23" xfId="24657"/>
    <cellStyle name="0.0 7 2 23 2" xfId="37088"/>
    <cellStyle name="0.0 7 2 24" xfId="25135"/>
    <cellStyle name="0.0 7 2 3" xfId="15150"/>
    <cellStyle name="0.0 7 2 3 2" xfId="27969"/>
    <cellStyle name="0.0 7 2 4" xfId="16625"/>
    <cellStyle name="0.0 7 2 4 2" xfId="29401"/>
    <cellStyle name="0.0 7 2 5" xfId="16731"/>
    <cellStyle name="0.0 7 2 5 2" xfId="29507"/>
    <cellStyle name="0.0 7 2 6" xfId="17472"/>
    <cellStyle name="0.0 7 2 6 2" xfId="30194"/>
    <cellStyle name="0.0 7 2 7" xfId="14152"/>
    <cellStyle name="0.0 7 2 7 2" xfId="27000"/>
    <cellStyle name="0.0 7 2 8" xfId="14298"/>
    <cellStyle name="0.0 7 2 8 2" xfId="27131"/>
    <cellStyle name="0.0 7 2 9" xfId="12973"/>
    <cellStyle name="0.0 7 2 9 2" xfId="25848"/>
    <cellStyle name="0.0 8" xfId="10921"/>
    <cellStyle name="0.0 8 10" xfId="14004"/>
    <cellStyle name="0.0 8 11" xfId="14373"/>
    <cellStyle name="0.0 8 11 2" xfId="27206"/>
    <cellStyle name="0.0 8 12" xfId="22647"/>
    <cellStyle name="0.0 8 12 2" xfId="35081"/>
    <cellStyle name="0.0 8 13" xfId="21516"/>
    <cellStyle name="0.0 8 13 2" xfId="33953"/>
    <cellStyle name="0.0 8 14" xfId="18349"/>
    <cellStyle name="0.0 8 14 2" xfId="31055"/>
    <cellStyle name="0.0 8 15" xfId="18774"/>
    <cellStyle name="0.0 8 15 2" xfId="31479"/>
    <cellStyle name="0.0 8 16" xfId="22398"/>
    <cellStyle name="0.0 8 16 2" xfId="34832"/>
    <cellStyle name="0.0 8 17" xfId="20300"/>
    <cellStyle name="0.0 8 17 2" xfId="32745"/>
    <cellStyle name="0.0 8 18" xfId="20665"/>
    <cellStyle name="0.0 8 18 2" xfId="33109"/>
    <cellStyle name="0.0 8 19" xfId="21968"/>
    <cellStyle name="0.0 8 19 2" xfId="34405"/>
    <cellStyle name="0.0 8 2" xfId="16187"/>
    <cellStyle name="0.0 8 2 2" xfId="28963"/>
    <cellStyle name="0.0 8 20" xfId="19008"/>
    <cellStyle name="0.0 8 20 2" xfId="31713"/>
    <cellStyle name="0.0 8 21" xfId="18861"/>
    <cellStyle name="0.0 8 21 2" xfId="31566"/>
    <cellStyle name="0.0 8 22" xfId="18791"/>
    <cellStyle name="0.0 8 22 2" xfId="31496"/>
    <cellStyle name="0.0 8 23" xfId="18660"/>
    <cellStyle name="0.0 8 23 2" xfId="31365"/>
    <cellStyle name="0.0 8 24" xfId="25106"/>
    <cellStyle name="0.0 8 3" xfId="15264"/>
    <cellStyle name="0.0 8 3 2" xfId="28081"/>
    <cellStyle name="0.0 8 4" xfId="17069"/>
    <cellStyle name="0.0 8 4 2" xfId="29805"/>
    <cellStyle name="0.0 8 5" xfId="12802"/>
    <cellStyle name="0.0 8 5 2" xfId="25678"/>
    <cellStyle name="0.0 8 6" xfId="12862"/>
    <cellStyle name="0.0 8 6 2" xfId="25738"/>
    <cellStyle name="0.0 8 7" xfId="15655"/>
    <cellStyle name="0.0 8 7 2" xfId="28462"/>
    <cellStyle name="0.0 8 8" xfId="12554"/>
    <cellStyle name="0.0 8 8 2" xfId="25434"/>
    <cellStyle name="0.0 8 9" xfId="17425"/>
    <cellStyle name="0.0 8 9 2" xfId="30148"/>
    <cellStyle name="0.0%" xfId="270"/>
    <cellStyle name="0.0% 2" xfId="5355"/>
    <cellStyle name="0.00" xfId="271"/>
    <cellStyle name="0.00 2" xfId="10223"/>
    <cellStyle name="0.00 2 2" xfId="11195"/>
    <cellStyle name="0.00 2 2 10" xfId="13705"/>
    <cellStyle name="0.00 2 2 11" xfId="13198"/>
    <cellStyle name="0.00 2 2 11 2" xfId="26066"/>
    <cellStyle name="0.00 2 2 12" xfId="22878"/>
    <cellStyle name="0.00 2 2 12 2" xfId="35312"/>
    <cellStyle name="0.00 2 2 13" xfId="21279"/>
    <cellStyle name="0.00 2 2 13 2" xfId="33716"/>
    <cellStyle name="0.00 2 2 14" xfId="18473"/>
    <cellStyle name="0.00 2 2 14 2" xfId="31178"/>
    <cellStyle name="0.00 2 2 15" xfId="19892"/>
    <cellStyle name="0.00 2 2 15 2" xfId="32342"/>
    <cellStyle name="0.00 2 2 16" xfId="18984"/>
    <cellStyle name="0.00 2 2 16 2" xfId="31689"/>
    <cellStyle name="0.00 2 2 17" xfId="20535"/>
    <cellStyle name="0.00 2 2 17 2" xfId="32980"/>
    <cellStyle name="0.00 2 2 18" xfId="22466"/>
    <cellStyle name="0.00 2 2 18 2" xfId="34900"/>
    <cellStyle name="0.00 2 2 19" xfId="22397"/>
    <cellStyle name="0.00 2 2 19 2" xfId="34831"/>
    <cellStyle name="0.00 2 2 2" xfId="16407"/>
    <cellStyle name="0.00 2 2 2 2" xfId="29183"/>
    <cellStyle name="0.00 2 2 20" xfId="22476"/>
    <cellStyle name="0.00 2 2 20 2" xfId="34910"/>
    <cellStyle name="0.00 2 2 21" xfId="24453"/>
    <cellStyle name="0.00 2 2 21 2" xfId="36884"/>
    <cellStyle name="0.00 2 2 22" xfId="19070"/>
    <cellStyle name="0.00 2 2 22 2" xfId="31775"/>
    <cellStyle name="0.00 2 2 23" xfId="21986"/>
    <cellStyle name="0.00 2 2 23 2" xfId="34423"/>
    <cellStyle name="0.00 2 2 24" xfId="25136"/>
    <cellStyle name="0.00 2 2 3" xfId="15149"/>
    <cellStyle name="0.00 2 2 3 2" xfId="27968"/>
    <cellStyle name="0.00 2 2 4" xfId="15447"/>
    <cellStyle name="0.00 2 2 4 2" xfId="28256"/>
    <cellStyle name="0.00 2 2 5" xfId="14552"/>
    <cellStyle name="0.00 2 2 5 2" xfId="27380"/>
    <cellStyle name="0.00 2 2 6" xfId="17219"/>
    <cellStyle name="0.00 2 2 6 2" xfId="29953"/>
    <cellStyle name="0.00 2 2 7" xfId="13993"/>
    <cellStyle name="0.00 2 2 7 2" xfId="26849"/>
    <cellStyle name="0.00 2 2 8" xfId="15399"/>
    <cellStyle name="0.00 2 2 8 2" xfId="28214"/>
    <cellStyle name="0.00 2 2 9" xfId="18036"/>
    <cellStyle name="0.00 2 2 9 2" xfId="30747"/>
    <cellStyle name="0.00 3" xfId="10224"/>
    <cellStyle name="0.00 3 2" xfId="11196"/>
    <cellStyle name="0.00 3 2 10" xfId="14033"/>
    <cellStyle name="0.00 3 2 11" xfId="14653"/>
    <cellStyle name="0.00 3 2 11 2" xfId="27479"/>
    <cellStyle name="0.00 3 2 12" xfId="22879"/>
    <cellStyle name="0.00 3 2 12 2" xfId="35313"/>
    <cellStyle name="0.00 3 2 13" xfId="21278"/>
    <cellStyle name="0.00 3 2 13 2" xfId="33715"/>
    <cellStyle name="0.00 3 2 14" xfId="18474"/>
    <cellStyle name="0.00 3 2 14 2" xfId="31179"/>
    <cellStyle name="0.00 3 2 15" xfId="21849"/>
    <cellStyle name="0.00 3 2 15 2" xfId="34286"/>
    <cellStyle name="0.00 3 2 16" xfId="20511"/>
    <cellStyle name="0.00 3 2 16 2" xfId="32956"/>
    <cellStyle name="0.00 3 2 17" xfId="23634"/>
    <cellStyle name="0.00 3 2 17 2" xfId="36065"/>
    <cellStyle name="0.00 3 2 18" xfId="20784"/>
    <cellStyle name="0.00 3 2 18 2" xfId="33223"/>
    <cellStyle name="0.00 3 2 19" xfId="22333"/>
    <cellStyle name="0.00 3 2 19 2" xfId="34767"/>
    <cellStyle name="0.00 3 2 2" xfId="16408"/>
    <cellStyle name="0.00 3 2 2 2" xfId="29184"/>
    <cellStyle name="0.00 3 2 20" xfId="23087"/>
    <cellStyle name="0.00 3 2 20 2" xfId="35520"/>
    <cellStyle name="0.00 3 2 21" xfId="24046"/>
    <cellStyle name="0.00 3 2 21 2" xfId="36477"/>
    <cellStyle name="0.00 3 2 22" xfId="23991"/>
    <cellStyle name="0.00 3 2 22 2" xfId="36422"/>
    <cellStyle name="0.00 3 2 23" xfId="24658"/>
    <cellStyle name="0.00 3 2 23 2" xfId="37089"/>
    <cellStyle name="0.00 3 2 24" xfId="25137"/>
    <cellStyle name="0.00 3 2 3" xfId="15148"/>
    <cellStyle name="0.00 3 2 3 2" xfId="27967"/>
    <cellStyle name="0.00 3 2 4" xfId="16624"/>
    <cellStyle name="0.00 3 2 4 2" xfId="29400"/>
    <cellStyle name="0.00 3 2 5" xfId="14641"/>
    <cellStyle name="0.00 3 2 5 2" xfId="27467"/>
    <cellStyle name="0.00 3 2 6" xfId="14252"/>
    <cellStyle name="0.00 3 2 6 2" xfId="27088"/>
    <cellStyle name="0.00 3 2 7" xfId="16183"/>
    <cellStyle name="0.00 3 2 7 2" xfId="28959"/>
    <cellStyle name="0.00 3 2 8" xfId="14892"/>
    <cellStyle name="0.00 3 2 8 2" xfId="27713"/>
    <cellStyle name="0.00 3 2 9" xfId="14644"/>
    <cellStyle name="0.00 3 2 9 2" xfId="27470"/>
    <cellStyle name="0.00 4" xfId="10225"/>
    <cellStyle name="0.00 4 2" xfId="11197"/>
    <cellStyle name="0.00 4 2 10" xfId="15380"/>
    <cellStyle name="0.00 4 2 11" xfId="15373"/>
    <cellStyle name="0.00 4 2 11 2" xfId="28190"/>
    <cellStyle name="0.00 4 2 12" xfId="22880"/>
    <cellStyle name="0.00 4 2 12 2" xfId="35314"/>
    <cellStyle name="0.00 4 2 13" xfId="21277"/>
    <cellStyle name="0.00 4 2 13 2" xfId="33714"/>
    <cellStyle name="0.00 4 2 14" xfId="18475"/>
    <cellStyle name="0.00 4 2 14 2" xfId="31180"/>
    <cellStyle name="0.00 4 2 15" xfId="23732"/>
    <cellStyle name="0.00 4 2 15 2" xfId="36163"/>
    <cellStyle name="0.00 4 2 16" xfId="18985"/>
    <cellStyle name="0.00 4 2 16 2" xfId="31690"/>
    <cellStyle name="0.00 4 2 17" xfId="20965"/>
    <cellStyle name="0.00 4 2 17 2" xfId="33402"/>
    <cellStyle name="0.00 4 2 18" xfId="21761"/>
    <cellStyle name="0.00 4 2 18 2" xfId="34198"/>
    <cellStyle name="0.00 4 2 19" xfId="19861"/>
    <cellStyle name="0.00 4 2 19 2" xfId="32311"/>
    <cellStyle name="0.00 4 2 2" xfId="16409"/>
    <cellStyle name="0.00 4 2 2 2" xfId="29185"/>
    <cellStyle name="0.00 4 2 20" xfId="23909"/>
    <cellStyle name="0.00 4 2 20 2" xfId="36340"/>
    <cellStyle name="0.00 4 2 21" xfId="24452"/>
    <cellStyle name="0.00 4 2 21 2" xfId="36883"/>
    <cellStyle name="0.00 4 2 22" xfId="20867"/>
    <cellStyle name="0.00 4 2 22 2" xfId="33304"/>
    <cellStyle name="0.00 4 2 23" xfId="24011"/>
    <cellStyle name="0.00 4 2 23 2" xfId="36442"/>
    <cellStyle name="0.00 4 2 24" xfId="25138"/>
    <cellStyle name="0.00 4 2 3" xfId="15147"/>
    <cellStyle name="0.00 4 2 3 2" xfId="27966"/>
    <cellStyle name="0.00 4 2 4" xfId="16623"/>
    <cellStyle name="0.00 4 2 4 2" xfId="29399"/>
    <cellStyle name="0.00 4 2 5" xfId="13318"/>
    <cellStyle name="0.00 4 2 5 2" xfId="26186"/>
    <cellStyle name="0.00 4 2 6" xfId="15347"/>
    <cellStyle name="0.00 4 2 6 2" xfId="28164"/>
    <cellStyle name="0.00 4 2 7" xfId="13992"/>
    <cellStyle name="0.00 4 2 7 2" xfId="26848"/>
    <cellStyle name="0.00 4 2 8" xfId="16772"/>
    <cellStyle name="0.00 4 2 8 2" xfId="29548"/>
    <cellStyle name="0.00 4 2 9" xfId="18037"/>
    <cellStyle name="0.00 4 2 9 2" xfId="30748"/>
    <cellStyle name="0.00 5" xfId="10226"/>
    <cellStyle name="0.00 5 2" xfId="11198"/>
    <cellStyle name="0.00 5 2 10" xfId="12576"/>
    <cellStyle name="0.00 5 2 11" xfId="12841"/>
    <cellStyle name="0.00 5 2 11 2" xfId="25717"/>
    <cellStyle name="0.00 5 2 12" xfId="22881"/>
    <cellStyle name="0.00 5 2 12 2" xfId="35315"/>
    <cellStyle name="0.00 5 2 13" xfId="21276"/>
    <cellStyle name="0.00 5 2 13 2" xfId="33713"/>
    <cellStyle name="0.00 5 2 14" xfId="18476"/>
    <cellStyle name="0.00 5 2 14 2" xfId="31181"/>
    <cellStyle name="0.00 5 2 15" xfId="23731"/>
    <cellStyle name="0.00 5 2 15 2" xfId="36162"/>
    <cellStyle name="0.00 5 2 16" xfId="18986"/>
    <cellStyle name="0.00 5 2 16 2" xfId="31691"/>
    <cellStyle name="0.00 5 2 17" xfId="23635"/>
    <cellStyle name="0.00 5 2 17 2" xfId="36066"/>
    <cellStyle name="0.00 5 2 18" xfId="22135"/>
    <cellStyle name="0.00 5 2 18 2" xfId="34571"/>
    <cellStyle name="0.00 5 2 19" xfId="20675"/>
    <cellStyle name="0.00 5 2 19 2" xfId="33119"/>
    <cellStyle name="0.00 5 2 2" xfId="16410"/>
    <cellStyle name="0.00 5 2 2 2" xfId="29186"/>
    <cellStyle name="0.00 5 2 20" xfId="23740"/>
    <cellStyle name="0.00 5 2 20 2" xfId="36171"/>
    <cellStyle name="0.00 5 2 21" xfId="24045"/>
    <cellStyle name="0.00 5 2 21 2" xfId="36476"/>
    <cellStyle name="0.00 5 2 22" xfId="19006"/>
    <cellStyle name="0.00 5 2 22 2" xfId="31711"/>
    <cellStyle name="0.00 5 2 23" xfId="24659"/>
    <cellStyle name="0.00 5 2 23 2" xfId="37090"/>
    <cellStyle name="0.00 5 2 24" xfId="25139"/>
    <cellStyle name="0.00 5 2 3" xfId="15146"/>
    <cellStyle name="0.00 5 2 3 2" xfId="27965"/>
    <cellStyle name="0.00 5 2 4" xfId="14508"/>
    <cellStyle name="0.00 5 2 4 2" xfId="27336"/>
    <cellStyle name="0.00 5 2 5" xfId="16732"/>
    <cellStyle name="0.00 5 2 5 2" xfId="29508"/>
    <cellStyle name="0.00 5 2 6" xfId="14668"/>
    <cellStyle name="0.00 5 2 6 2" xfId="27494"/>
    <cellStyle name="0.00 5 2 7" xfId="16389"/>
    <cellStyle name="0.00 5 2 7 2" xfId="29165"/>
    <cellStyle name="0.00 5 2 8" xfId="16994"/>
    <cellStyle name="0.00 5 2 8 2" xfId="29769"/>
    <cellStyle name="0.00 5 2 9" xfId="16701"/>
    <cellStyle name="0.00 5 2 9 2" xfId="29477"/>
    <cellStyle name="0.00 6" xfId="10227"/>
    <cellStyle name="0.00 6 2" xfId="11199"/>
    <cellStyle name="0.00 6 2 10" xfId="15381"/>
    <cellStyle name="0.00 6 2 11" xfId="14271"/>
    <cellStyle name="0.00 6 2 11 2" xfId="27106"/>
    <cellStyle name="0.00 6 2 12" xfId="22882"/>
    <cellStyle name="0.00 6 2 12 2" xfId="35316"/>
    <cellStyle name="0.00 6 2 13" xfId="21275"/>
    <cellStyle name="0.00 6 2 13 2" xfId="33712"/>
    <cellStyle name="0.00 6 2 14" xfId="18477"/>
    <cellStyle name="0.00 6 2 14 2" xfId="31182"/>
    <cellStyle name="0.00 6 2 15" xfId="20266"/>
    <cellStyle name="0.00 6 2 15 2" xfId="32711"/>
    <cellStyle name="0.00 6 2 16" xfId="18987"/>
    <cellStyle name="0.00 6 2 16 2" xfId="31692"/>
    <cellStyle name="0.00 6 2 17" xfId="20534"/>
    <cellStyle name="0.00 6 2 17 2" xfId="32979"/>
    <cellStyle name="0.00 6 2 18" xfId="21783"/>
    <cellStyle name="0.00 6 2 18 2" xfId="34220"/>
    <cellStyle name="0.00 6 2 19" xfId="18251"/>
    <cellStyle name="0.00 6 2 19 2" xfId="30958"/>
    <cellStyle name="0.00 6 2 2" xfId="16411"/>
    <cellStyle name="0.00 6 2 2 2" xfId="29187"/>
    <cellStyle name="0.00 6 2 20" xfId="22334"/>
    <cellStyle name="0.00 6 2 20 2" xfId="34768"/>
    <cellStyle name="0.00 6 2 21" xfId="24451"/>
    <cellStyle name="0.00 6 2 21 2" xfId="36882"/>
    <cellStyle name="0.00 6 2 22" xfId="20407"/>
    <cellStyle name="0.00 6 2 22 2" xfId="32852"/>
    <cellStyle name="0.00 6 2 23" xfId="24569"/>
    <cellStyle name="0.00 6 2 23 2" xfId="37000"/>
    <cellStyle name="0.00 6 2 24" xfId="25140"/>
    <cellStyle name="0.00 6 2 3" xfId="15145"/>
    <cellStyle name="0.00 6 2 3 2" xfId="27964"/>
    <cellStyle name="0.00 6 2 4" xfId="16622"/>
    <cellStyle name="0.00 6 2 4 2" xfId="29398"/>
    <cellStyle name="0.00 6 2 5" xfId="13319"/>
    <cellStyle name="0.00 6 2 5 2" xfId="26187"/>
    <cellStyle name="0.00 6 2 6" xfId="15348"/>
    <cellStyle name="0.00 6 2 6 2" xfId="28165"/>
    <cellStyle name="0.00 6 2 7" xfId="13991"/>
    <cellStyle name="0.00 6 2 7 2" xfId="26847"/>
    <cellStyle name="0.00 6 2 8" xfId="17156"/>
    <cellStyle name="0.00 6 2 8 2" xfId="29890"/>
    <cellStyle name="0.00 6 2 9" xfId="18038"/>
    <cellStyle name="0.00 6 2 9 2" xfId="30749"/>
    <cellStyle name="0.00 7" xfId="10228"/>
    <cellStyle name="0.00 7 2" xfId="11200"/>
    <cellStyle name="0.00 7 2 10" xfId="13706"/>
    <cellStyle name="0.00 7 2 11" xfId="17444"/>
    <cellStyle name="0.00 7 2 11 2" xfId="30166"/>
    <cellStyle name="0.00 7 2 12" xfId="22883"/>
    <cellStyle name="0.00 7 2 12 2" xfId="35317"/>
    <cellStyle name="0.00 7 2 13" xfId="21274"/>
    <cellStyle name="0.00 7 2 13 2" xfId="33711"/>
    <cellStyle name="0.00 7 2 14" xfId="18478"/>
    <cellStyle name="0.00 7 2 14 2" xfId="31183"/>
    <cellStyle name="0.00 7 2 15" xfId="20703"/>
    <cellStyle name="0.00 7 2 15 2" xfId="33146"/>
    <cellStyle name="0.00 7 2 16" xfId="18988"/>
    <cellStyle name="0.00 7 2 16 2" xfId="31693"/>
    <cellStyle name="0.00 7 2 17" xfId="18426"/>
    <cellStyle name="0.00 7 2 17 2" xfId="31131"/>
    <cellStyle name="0.00 7 2 18" xfId="21760"/>
    <cellStyle name="0.00 7 2 18 2" xfId="34197"/>
    <cellStyle name="0.00 7 2 19" xfId="20983"/>
    <cellStyle name="0.00 7 2 19 2" xfId="33420"/>
    <cellStyle name="0.00 7 2 2" xfId="16412"/>
    <cellStyle name="0.00 7 2 2 2" xfId="29188"/>
    <cellStyle name="0.00 7 2 20" xfId="19013"/>
    <cellStyle name="0.00 7 2 20 2" xfId="31718"/>
    <cellStyle name="0.00 7 2 21" xfId="18526"/>
    <cellStyle name="0.00 7 2 21 2" xfId="31231"/>
    <cellStyle name="0.00 7 2 22" xfId="20575"/>
    <cellStyle name="0.00 7 2 22 2" xfId="33020"/>
    <cellStyle name="0.00 7 2 23" xfId="24660"/>
    <cellStyle name="0.00 7 2 23 2" xfId="37091"/>
    <cellStyle name="0.00 7 2 24" xfId="25141"/>
    <cellStyle name="0.00 7 2 3" xfId="15144"/>
    <cellStyle name="0.00 7 2 3 2" xfId="27963"/>
    <cellStyle name="0.00 7 2 4" xfId="16621"/>
    <cellStyle name="0.00 7 2 4 2" xfId="29397"/>
    <cellStyle name="0.00 7 2 5" xfId="16733"/>
    <cellStyle name="0.00 7 2 5 2" xfId="29509"/>
    <cellStyle name="0.00 7 2 6" xfId="13919"/>
    <cellStyle name="0.00 7 2 6 2" xfId="26778"/>
    <cellStyle name="0.00 7 2 7" xfId="16380"/>
    <cellStyle name="0.00 7 2 7 2" xfId="29156"/>
    <cellStyle name="0.00 7 2 8" xfId="12625"/>
    <cellStyle name="0.00 7 2 8 2" xfId="25504"/>
    <cellStyle name="0.00 7 2 9" xfId="17202"/>
    <cellStyle name="0.00 7 2 9 2" xfId="29936"/>
    <cellStyle name="0.00 8" xfId="10922"/>
    <cellStyle name="0.00 8 10" xfId="13795"/>
    <cellStyle name="0.00 8 11" xfId="15801"/>
    <cellStyle name="0.00 8 11 2" xfId="28600"/>
    <cellStyle name="0.00 8 12" xfId="22648"/>
    <cellStyle name="0.00 8 12 2" xfId="35082"/>
    <cellStyle name="0.00 8 13" xfId="21515"/>
    <cellStyle name="0.00 8 13 2" xfId="33952"/>
    <cellStyle name="0.00 8 14" xfId="18350"/>
    <cellStyle name="0.00 8 14 2" xfId="31056"/>
    <cellStyle name="0.00 8 15" xfId="22230"/>
    <cellStyle name="0.00 8 15 2" xfId="34665"/>
    <cellStyle name="0.00 8 16" xfId="19248"/>
    <cellStyle name="0.00 8 16 2" xfId="31903"/>
    <cellStyle name="0.00 8 17" xfId="20052"/>
    <cellStyle name="0.00 8 17 2" xfId="32498"/>
    <cellStyle name="0.00 8 18" xfId="23646"/>
    <cellStyle name="0.00 8 18 2" xfId="36077"/>
    <cellStyle name="0.00 8 19" xfId="19869"/>
    <cellStyle name="0.00 8 19 2" xfId="32319"/>
    <cellStyle name="0.00 8 2" xfId="16188"/>
    <cellStyle name="0.00 8 2 2" xfId="28964"/>
    <cellStyle name="0.00 8 20" xfId="19579"/>
    <cellStyle name="0.00 8 20 2" xfId="32034"/>
    <cellStyle name="0.00 8 21" xfId="23792"/>
    <cellStyle name="0.00 8 21 2" xfId="36223"/>
    <cellStyle name="0.00 8 22" xfId="20880"/>
    <cellStyle name="0.00 8 22 2" xfId="33317"/>
    <cellStyle name="0.00 8 23" xfId="22346"/>
    <cellStyle name="0.00 8 23 2" xfId="34780"/>
    <cellStyle name="0.00 8 24" xfId="25107"/>
    <cellStyle name="0.00 8 3" xfId="15263"/>
    <cellStyle name="0.00 8 3 2" xfId="28080"/>
    <cellStyle name="0.00 8 4" xfId="17070"/>
    <cellStyle name="0.00 8 4 2" xfId="29806"/>
    <cellStyle name="0.00 8 5" xfId="12803"/>
    <cellStyle name="0.00 8 5 2" xfId="25679"/>
    <cellStyle name="0.00 8 6" xfId="14706"/>
    <cellStyle name="0.00 8 6 2" xfId="27532"/>
    <cellStyle name="0.00 8 7" xfId="12391"/>
    <cellStyle name="0.00 8 7 2" xfId="25271"/>
    <cellStyle name="0.00 8 8" xfId="13080"/>
    <cellStyle name="0.00 8 8 2" xfId="25949"/>
    <cellStyle name="0.00 8 9" xfId="14349"/>
    <cellStyle name="0.00 8 9 2" xfId="27182"/>
    <cellStyle name="0.00%" xfId="272"/>
    <cellStyle name="0.000%" xfId="273"/>
    <cellStyle name="0.000% 2" xfId="5356"/>
    <cellStyle name="0.0000%" xfId="274"/>
    <cellStyle name="0.0000% 2" xfId="5357"/>
    <cellStyle name="00" xfId="10229"/>
    <cellStyle name="0뾍R_x0005_?뾍b_x0005_" xfId="275"/>
    <cellStyle name="¼yAU(R)" xfId="276"/>
    <cellStyle name="¼yAU(R) 2" xfId="17026"/>
    <cellStyle name="¼yAU(R) 3" xfId="17027"/>
    <cellStyle name="¼yAU(R) 4" xfId="17028"/>
    <cellStyle name="¾È°ÇÈ¸°è¹ýÀÎ" xfId="11517"/>
    <cellStyle name="1" xfId="277"/>
    <cellStyle name="1 2" xfId="5358"/>
    <cellStyle name="1_1.내역서" xfId="5359"/>
    <cellStyle name="1_2007년(100%)2" xfId="10230"/>
    <cellStyle name="1_2009 삼청동길 가로등 내역서(0224)" xfId="5360"/>
    <cellStyle name="1_CCTV 내역시작11.21" xfId="5361"/>
    <cellStyle name="1_갑지" xfId="10231"/>
    <cellStyle name="1_교통신호기내역,물량(강서사업소)" xfId="10232"/>
    <cellStyle name="1_교통안전표지신설및교체공사" xfId="10233"/>
    <cellStyle name="1_굴전단일로외1개소(신)" xfId="278"/>
    <cellStyle name="1_귀인APT(보안)" xfId="279"/>
    <cellStyle name="1_기초공" xfId="11518"/>
    <cellStyle name="1_남부2지역-1차(2사급자재)" xfId="10234"/>
    <cellStyle name="1_내역서" xfId="280"/>
    <cellStyle name="1_내역서 2" xfId="5362"/>
    <cellStyle name="1_노면표시도색및제거공사" xfId="10235"/>
    <cellStyle name="1_단가조사표" xfId="5363"/>
    <cellStyle name="1_단가조사표_1011소각" xfId="5364"/>
    <cellStyle name="1_단가조사표_121내역" xfId="5365"/>
    <cellStyle name="1_단가조사표_객토량" xfId="5366"/>
    <cellStyle name="1_단가조사표_교통센~1" xfId="5367"/>
    <cellStyle name="1_단가조사표_구조물대가 (2)" xfId="5368"/>
    <cellStyle name="1_단가조사표_내역서 (2)" xfId="5369"/>
    <cellStyle name="1_단가조사표_부대시설" xfId="5370"/>
    <cellStyle name="1_단가조사표_소각수~1" xfId="5371"/>
    <cellStyle name="1_단가조사표_소각수내역서" xfId="5372"/>
    <cellStyle name="1_단가조사표_소각수목2" xfId="5373"/>
    <cellStyle name="1_단가조사표_수량산출서 (2)" xfId="5374"/>
    <cellStyle name="1_단가조사표_엑스포~1" xfId="5375"/>
    <cellStyle name="1_단가조사표_엑스포한빛1" xfId="5376"/>
    <cellStyle name="1_단가조사표_원가계~1" xfId="5377"/>
    <cellStyle name="1_단가조사표_유기질" xfId="5378"/>
    <cellStyle name="1_단가조사표_자재조서 (2)" xfId="5379"/>
    <cellStyle name="1_단가조사표_총괄내역" xfId="5380"/>
    <cellStyle name="1_단가조사표_총괄내역 (2)" xfId="5381"/>
    <cellStyle name="1_단가조사표_포장일위" xfId="5382"/>
    <cellStyle name="1_동부2지역" xfId="10236"/>
    <cellStyle name="1_동천동기성내역서" xfId="10237"/>
    <cellStyle name="1_부대공(최종분)" xfId="11519"/>
    <cellStyle name="1_석축찰쌓기" xfId="11520"/>
    <cellStyle name="1_수량" xfId="11521"/>
    <cellStyle name="1_수량(이전수량)" xfId="11522"/>
    <cellStyle name="1_시민계략공사" xfId="281"/>
    <cellStyle name="1_시민계략공사_2002년도각종계산서너릿제터널등7개소" xfId="282"/>
    <cellStyle name="1_시민계략공사_2002년도각종계산서하반기원본" xfId="283"/>
    <cellStyle name="1_시민계략공사_2002년도각종계산서하반기원본_CCTV 내역시작11.21" xfId="5383"/>
    <cellStyle name="1_시민계략공사_2002년도각종계산서하반기원본_CCTV구간 가로등 내역서" xfId="284"/>
    <cellStyle name="1_시민계략공사_2002년도각종계산서하반기원본_CCTV구간 가로등 내역서_CCTV구간 가로등 내역서(R)" xfId="285"/>
    <cellStyle name="1_시민계략공사_2002년도각종계산서하반기원본_CCTV구간 가로등 내역서_CCTV구간 가로등 내역서(원본)" xfId="286"/>
    <cellStyle name="1_시민계략공사_2002년도각종계산서하반기원본_군청사거리 외1개소LED신호등제작구매설치" xfId="287"/>
    <cellStyle name="1_시민계략공사_2002년도각종계산서하반기원본_군청사거리 외1개소LED신호등제작구매설치_CCTV구간 가로등 내역서" xfId="288"/>
    <cellStyle name="1_시민계략공사_2002년도각종계산서하반기원본_군청사거리 외1개소LED신호등제작구매설치_CCTV구간 가로등 내역서_CCTV구간 가로등 내역서(R)" xfId="289"/>
    <cellStyle name="1_시민계략공사_2002년도각종계산서하반기원본_군청사거리 외1개소LED신호등제작구매설치_CCTV구간 가로등 내역서_CCTV구간 가로등 내역서(원본)" xfId="290"/>
    <cellStyle name="1_시민계략공사_2002년도각종계산서하반기원본_군청사거리 외1개소LED신호등제작구매설치_정남진버섯배지,종균분센터신축전기공사-MCCA판넬삭제" xfId="291"/>
    <cellStyle name="1_시민계략공사_2002년도각종계산서하반기원본_군청사거리 외1개소LED신호등제작구매설치_정남진버섯배지,종균분센터신축전기공사-MCCA판넬삭제_CCTV구간 가로등 내역서" xfId="292"/>
    <cellStyle name="1_시민계략공사_2002년도각종계산서하반기원본_군청사거리 외1개소LED신호등제작구매설치_정남진버섯배지,종균분센터신축전기공사-MCCA판넬삭제_CCTV구간 가로등 내역서_CCTV구간 가로등 내역서(R)" xfId="293"/>
    <cellStyle name="1_시민계략공사_2002년도각종계산서하반기원본_군청사거리 외1개소LED신호등제작구매설치_정남진버섯배지,종균분센터신축전기공사-MCCA판넬삭제_CCTV구간 가로등 내역서_CCTV구간 가로등 내역서(원본)" xfId="294"/>
    <cellStyle name="1_시민계략공사_2002년도각종계산서하반기원본_군청사거리 외1개소LED신호등제작구매설치_정남진버섯배지,종균분센터신축통신공사" xfId="295"/>
    <cellStyle name="1_시민계략공사_2002년도각종계산서하반기원본_군청사거리 외1개소LED신호등제작구매설치_정남진버섯배지,종균분센터신축통신공사_CCTV구간 가로등 내역서" xfId="296"/>
    <cellStyle name="1_시민계략공사_2002년도각종계산서하반기원본_군청사거리 외1개소LED신호등제작구매설치_정남진버섯배지,종균분센터신축통신공사_CCTV구간 가로등 내역서_CCTV구간 가로등 내역서(R)" xfId="297"/>
    <cellStyle name="1_시민계략공사_2002년도각종계산서하반기원본_군청사거리 외1개소LED신호등제작구매설치_정남진버섯배지,종균분센터신축통신공사_CCTV구간 가로등 내역서_CCTV구간 가로등 내역서(원본)" xfId="298"/>
    <cellStyle name="1_시민계략공사_2002년도각종계산서하반기원본_군청사거리 외1개소LED신호등제작구매설치_정남진버섯배지,종균분센터신축통신공사_정남진버섯배지,종균분센터신축전기공사-MCCA판넬삭제" xfId="299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" xfId="300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_CCTV구간 가로등 내역서(R)" xfId="301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_CCTV구간 가로등 내역서(원본)" xfId="302"/>
    <cellStyle name="1_시민계략공사_2002년도각종계산서하반기원본_군청사거리 외1개소LED신호등제작구매설치_지원동증축예산안" xfId="303"/>
    <cellStyle name="1_시민계략공사_2002년도각종계산서하반기원본_군청사거리 외1개소LED신호등제작구매설치_지원동증축예산안_CCTV구간 가로등 내역서" xfId="304"/>
    <cellStyle name="1_시민계략공사_2002년도각종계산서하반기원본_군청사거리 외1개소LED신호등제작구매설치_지원동증축예산안_CCTV구간 가로등 내역서_CCTV구간 가로등 내역서(R)" xfId="305"/>
    <cellStyle name="1_시민계략공사_2002년도각종계산서하반기원본_군청사거리 외1개소LED신호등제작구매설치_지원동증축예산안_CCTV구간 가로등 내역서_CCTV구간 가로등 내역서(원본)" xfId="306"/>
    <cellStyle name="1_시민계략공사_2002년도각종계산서하반기원본_군청사거리 외1개소LED신호등제작구매설치_지원동증축예산안_정남진버섯배지,종균분센터신축전기공사-MCCA판넬삭제" xfId="307"/>
    <cellStyle name="1_시민계략공사_2002년도각종계산서하반기원본_군청사거리 외1개소LED신호등제작구매설치_지원동증축예산안_정남진버섯배지,종균분센터신축전기공사-MCCA판넬삭제_CCTV구간 가로등 내역서" xfId="308"/>
    <cellStyle name="1_시민계략공사_2002년도각종계산서하반기원본_군청사거리 외1개소LED신호등제작구매설치_지원동증축예산안_정남진버섯배지,종균분센터신축전기공사-MCCA판넬삭제_CCTV구간 가로등 내역서_CCTV구간 가로등 내역서(R)" xfId="309"/>
    <cellStyle name="1_시민계략공사_2002년도각종계산서하반기원본_군청사거리 외1개소LED신호등제작구매설치_지원동증축예산안_정남진버섯배지,종균분센터신축전기공사-MCCA판넬삭제_CCTV구간 가로등 내역서_CCTV구간 가로등 내역서(원본)" xfId="310"/>
    <cellStyle name="1_시민계략공사_2002년도각종계산서하반기원본_기산초냉난방시설공사(3월19일)" xfId="311"/>
    <cellStyle name="1_시민계략공사_2002년도각종계산서하반기원본_기산초냉난방시설공사(3월19일)_CCTV구간 가로등 내역서" xfId="312"/>
    <cellStyle name="1_시민계략공사_2002년도각종계산서하반기원본_기산초냉난방시설공사(3월19일)_CCTV구간 가로등 내역서_CCTV구간 가로등 내역서(R)" xfId="313"/>
    <cellStyle name="1_시민계략공사_2002년도각종계산서하반기원본_기산초냉난방시설공사(3월19일)_CCTV구간 가로등 내역서_CCTV구간 가로등 내역서(원본)" xfId="314"/>
    <cellStyle name="1_시민계략공사_2002년도각종계산서하반기원본_기산초냉난방시설공사(3월19일)_정남진버섯배지,종균분센터신축전기공사-MCCA판넬삭제" xfId="315"/>
    <cellStyle name="1_시민계략공사_2002년도각종계산서하반기원본_기산초냉난방시설공사(3월19일)_정남진버섯배지,종균분센터신축전기공사-MCCA판넬삭제_CCTV구간 가로등 내역서" xfId="316"/>
    <cellStyle name="1_시민계략공사_2002년도각종계산서하반기원본_기산초냉난방시설공사(3월19일)_정남진버섯배지,종균분센터신축전기공사-MCCA판넬삭제_CCTV구간 가로등 내역서_CCTV구간 가로등 내역서(R)" xfId="317"/>
    <cellStyle name="1_시민계략공사_2002년도각종계산서하반기원본_기산초냉난방시설공사(3월19일)_정남진버섯배지,종균분센터신축전기공사-MCCA판넬삭제_CCTV구간 가로등 내역서_CCTV구간 가로등 내역서(원본)" xfId="318"/>
    <cellStyle name="1_시민계략공사_2002년도각종계산서하반기원본_기산초냉난방시설공사(3월19일)_정남진버섯배지,종균분센터신축통신공사" xfId="319"/>
    <cellStyle name="1_시민계략공사_2002년도각종계산서하반기원본_기산초냉난방시설공사(3월19일)_정남진버섯배지,종균분센터신축통신공사_CCTV구간 가로등 내역서" xfId="320"/>
    <cellStyle name="1_시민계략공사_2002년도각종계산서하반기원본_기산초냉난방시설공사(3월19일)_정남진버섯배지,종균분센터신축통신공사_CCTV구간 가로등 내역서_CCTV구간 가로등 내역서(R)" xfId="321"/>
    <cellStyle name="1_시민계략공사_2002년도각종계산서하반기원본_기산초냉난방시설공사(3월19일)_정남진버섯배지,종균분센터신축통신공사_CCTV구간 가로등 내역서_CCTV구간 가로등 내역서(원본)" xfId="322"/>
    <cellStyle name="1_시민계략공사_2002년도각종계산서하반기원본_기산초냉난방시설공사(3월19일)_정남진버섯배지,종균분센터신축통신공사_정남진버섯배지,종균분센터신축전기공사-MCCA판넬삭제" xfId="323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" xfId="324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_CCTV구간 가로등 내역서(R)" xfId="325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_CCTV구간 가로등 내역서(원본)" xfId="326"/>
    <cellStyle name="1_시민계략공사_2002년도각종계산서하반기원본_기산초냉난방시설공사(3월19일)_지원동증축예산안" xfId="327"/>
    <cellStyle name="1_시민계략공사_2002년도각종계산서하반기원본_기산초냉난방시설공사(3월19일)_지원동증축예산안_CCTV구간 가로등 내역서" xfId="328"/>
    <cellStyle name="1_시민계략공사_2002년도각종계산서하반기원본_기산초냉난방시설공사(3월19일)_지원동증축예산안_CCTV구간 가로등 내역서_CCTV구간 가로등 내역서(R)" xfId="329"/>
    <cellStyle name="1_시민계략공사_2002년도각종계산서하반기원본_기산초냉난방시설공사(3월19일)_지원동증축예산안_CCTV구간 가로등 내역서_CCTV구간 가로등 내역서(원본)" xfId="330"/>
    <cellStyle name="1_시민계략공사_2002년도각종계산서하반기원본_기산초냉난방시설공사(3월19일)_지원동증축예산안_정남진버섯배지,종균분센터신축전기공사-MCCA판넬삭제" xfId="331"/>
    <cellStyle name="1_시민계략공사_2002년도각종계산서하반기원본_기산초냉난방시설공사(3월19일)_지원동증축예산안_정남진버섯배지,종균분센터신축전기공사-MCCA판넬삭제_CCTV구간 가로등 내역서" xfId="332"/>
    <cellStyle name="1_시민계략공사_2002년도각종계산서하반기원본_기산초냉난방시설공사(3월19일)_지원동증축예산안_정남진버섯배지,종균분센터신축전기공사-MCCA판넬삭제_CCTV구간 가로등 내역서_CCTV구간 가로등 내역서(R)" xfId="333"/>
    <cellStyle name="1_시민계략공사_2002년도각종계산서하반기원본_기산초냉난방시설공사(3월19일)_지원동증축예산안_정남진버섯배지,종균분센터신축전기공사-MCCA판넬삭제_CCTV구간 가로등 내역서_CCTV구간 가로등 내역서(원본)" xfId="334"/>
    <cellStyle name="1_시민계략공사_2002년도각종계산서하반기원본_기산초냉난방시설공사(3월19일)_청계초등학교수전설비및냉난방시설공사" xfId="335"/>
    <cellStyle name="1_시민계략공사_2002년도각종계산서하반기원본_기산초냉난방시설공사(3월19일)_청계초등학교수전설비및냉난방시설공사_CCTV구간 가로등 내역서" xfId="336"/>
    <cellStyle name="1_시민계략공사_2002년도각종계산서하반기원본_기산초냉난방시설공사(3월19일)_청계초등학교수전설비및냉난방시설공사_CCTV구간 가로등 내역서_CCTV구간 가로등 내역서(R)" xfId="337"/>
    <cellStyle name="1_시민계략공사_2002년도각종계산서하반기원본_기산초냉난방시설공사(3월19일)_청계초등학교수전설비및냉난방시설공사_CCTV구간 가로등 내역서_CCTV구간 가로등 내역서(원본)" xfId="338"/>
    <cellStyle name="1_시민계략공사_2002년도각종계산서하반기원본_기산초냉난방시설공사(3월19일)_청계초등학교수전설비및냉난방시설공사_정남진버섯배지,종균분센터신축전기공사-MCCA판넬삭제" xfId="339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" xfId="340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_CCTV구간 가로등 내역서(R)" xfId="341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_CCTV구간 가로등 내역서(원본)" xfId="342"/>
    <cellStyle name="1_시민계략공사_2002년도각종계산서하반기원본_기산초냉난방시설공사(3월19일)_청계초등학교수전설비및냉난방시설공사_정남진버섯배지,종균분센터신축통신공사" xfId="343"/>
    <cellStyle name="1_시민계략공사_2002년도각종계산서하반기원본_기산초냉난방시설공사(3월19일)_청계초등학교수전설비및냉난방시설공사_정남진버섯배지,종균분센터신축통신공사_CCTV구간 가로등 내역서" xfId="344"/>
    <cellStyle name="1_시민계략공사_2002년도각종계산서하반기원본_기산초냉난방시설공사(3월19일)_청계초등학교수전설비및냉난방시설공사_정남진버섯배지,종균분센터신축통신공사_CCTV구간 가로등 내역서_CCTV구간 가로등 내역서(R)" xfId="345"/>
    <cellStyle name="1_시민계략공사_2002년도각종계산서하반기원본_기산초냉난방시설공사(3월19일)_청계초등학교수전설비및냉난방시설공사_정남진버섯배지,종균분센터신축통신공사_CCTV구간 가로등 내역서_CCTV구간 가로등 내역서(원본)" xfId="346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" xfId="347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" xfId="348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_CCTV구간 가로등 내역서(R)" xfId="349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_CCTV구간 가로등 내역서(원본)" xfId="350"/>
    <cellStyle name="1_시민계략공사_2002년도각종계산서하반기원본_기산초냉난방시설공사(3월19일)_청계초등학교수전설비및냉난방시설공사_지원동증축예산안" xfId="351"/>
    <cellStyle name="1_시민계략공사_2002년도각종계산서하반기원본_기산초냉난방시설공사(3월19일)_청계초등학교수전설비및냉난방시설공사_지원동증축예산안_CCTV구간 가로등 내역서" xfId="352"/>
    <cellStyle name="1_시민계략공사_2002년도각종계산서하반기원본_기산초냉난방시설공사(3월19일)_청계초등학교수전설비및냉난방시설공사_지원동증축예산안_CCTV구간 가로등 내역서_CCTV구간 가로등 내역서(R)" xfId="353"/>
    <cellStyle name="1_시민계략공사_2002년도각종계산서하반기원본_기산초냉난방시설공사(3월19일)_청계초등학교수전설비및냉난방시설공사_지원동증축예산안_CCTV구간 가로등 내역서_CCTV구간 가로등 내역서(원본)" xfId="354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" xfId="355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" xfId="356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_CCTV구간 가로등 내역서(R)" xfId="357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_CCTV구간 가로등 내역서(원본)" xfId="358"/>
    <cellStyle name="1_시민계략공사_2002년도각종계산서하반기원본_기산초냉난방시설공사(3월19일)_청계초등학교수전설비및냉난방전기시설공사" xfId="359"/>
    <cellStyle name="1_시민계략공사_2002년도각종계산서하반기원본_기산초냉난방시설공사(3월19일)_청계초등학교수전설비및냉난방전기시설공사_CCTV구간 가로등 내역서" xfId="360"/>
    <cellStyle name="1_시민계략공사_2002년도각종계산서하반기원본_기산초냉난방시설공사(3월19일)_청계초등학교수전설비및냉난방전기시설공사_CCTV구간 가로등 내역서_CCTV구간 가로등 내역서(R)" xfId="361"/>
    <cellStyle name="1_시민계략공사_2002년도각종계산서하반기원본_기산초냉난방시설공사(3월19일)_청계초등학교수전설비및냉난방전기시설공사_CCTV구간 가로등 내역서_CCTV구간 가로등 내역서(원본)" xfId="362"/>
    <cellStyle name="1_시민계략공사_2002년도각종계산서하반기원본_기산초냉난방시설공사(3월19일)_청계초등학교수전설비및냉난방전기시설공사_정남진버섯배지,종균분센터신축전기공사-MCCA판넬삭제" xfId="363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" xfId="364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_CCTV구간 가로등 내역서(R)" xfId="365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_CCTV구간 가로등 내역서(원본)" xfId="366"/>
    <cellStyle name="1_시민계략공사_2002년도각종계산서하반기원본_기산초냉난방시설공사(3월19일)_청계초등학교수전설비및냉난방전기시설공사_정남진버섯배지,종균분센터신축통신공사" xfId="367"/>
    <cellStyle name="1_시민계략공사_2002년도각종계산서하반기원본_기산초냉난방시설공사(3월19일)_청계초등학교수전설비및냉난방전기시설공사_정남진버섯배지,종균분센터신축통신공사_CCTV구간 가로등 내역서" xfId="368"/>
    <cellStyle name="1_시민계략공사_2002년도각종계산서하반기원본_기산초냉난방시설공사(3월19일)_청계초등학교수전설비및냉난방전기시설공사_정남진버섯배지,종균분센터신축통신공사_CCTV구간 가로등 내역서_CCTV구간 가로등 내역서(R)" xfId="369"/>
    <cellStyle name="1_시민계략공사_2002년도각종계산서하반기원본_기산초냉난방시설공사(3월19일)_청계초등학교수전설비및냉난방전기시설공사_정남진버섯배지,종균분센터신축통신공사_CCTV구간 가로등 내역서_CCTV구간 가로등 내역서(원본)" xfId="370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" xfId="371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" xfId="372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_CCTV구간 가로등 내역서(R)" xfId="373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_CCTV구간 가로등 내역서(원본)" xfId="374"/>
    <cellStyle name="1_시민계략공사_2002년도각종계산서하반기원본_기산초냉난방시설공사(3월19일)_청계초등학교수전설비및냉난방전기시설공사_지원동증축예산안" xfId="375"/>
    <cellStyle name="1_시민계략공사_2002년도각종계산서하반기원본_기산초냉난방시설공사(3월19일)_청계초등학교수전설비및냉난방전기시설공사_지원동증축예산안_CCTV구간 가로등 내역서" xfId="376"/>
    <cellStyle name="1_시민계략공사_2002년도각종계산서하반기원본_기산초냉난방시설공사(3월19일)_청계초등학교수전설비및냉난방전기시설공사_지원동증축예산안_CCTV구간 가로등 내역서_CCTV구간 가로등 내역서(R)" xfId="377"/>
    <cellStyle name="1_시민계략공사_2002년도각종계산서하반기원본_기산초냉난방시설공사(3월19일)_청계초등학교수전설비및냉난방전기시설공사_지원동증축예산안_CCTV구간 가로등 내역서_CCTV구간 가로등 내역서(원본)" xfId="378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" xfId="379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" xfId="380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_CCTV구간 가로등 내역서(R)" xfId="381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_CCTV구간 가로등 내역서(원본)" xfId="382"/>
    <cellStyle name="1_시민계략공사_2002년도각종계산서하반기원본_기산초냉난방시설공사(3월19일)_함평교육청 전기시설 보수공사(냉,난방)-5월24일" xfId="383"/>
    <cellStyle name="1_시민계략공사_2002년도각종계산서하반기원본_기산초냉난방시설공사(3월19일)_함평교육청 전기시설 보수공사(냉,난방)-5월24일_CCTV구간 가로등 내역서" xfId="384"/>
    <cellStyle name="1_시민계략공사_2002년도각종계산서하반기원본_기산초냉난방시설공사(3월19일)_함평교육청 전기시설 보수공사(냉,난방)-5월24일_CCTV구간 가로등 내역서_CCTV구간 가로등 내역서(R)" xfId="385"/>
    <cellStyle name="1_시민계략공사_2002년도각종계산서하반기원본_기산초냉난방시설공사(3월19일)_함평교육청 전기시설 보수공사(냉,난방)-5월24일_CCTV구간 가로등 내역서_CCTV구간 가로등 내역서(원본)" xfId="386"/>
    <cellStyle name="1_시민계략공사_2002년도각종계산서하반기원본_기산초냉난방시설공사(3월19일)_함평교육청 전기시설 보수공사(냉,난방)-5월24일_정남진버섯배지,종균분센터신축전기공사-MCCA판넬삭제" xfId="387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" xfId="388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_CCTV구간 가로등 내역서(R)" xfId="389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_CCTV구간 가로등 내역서(원본)" xfId="390"/>
    <cellStyle name="1_시민계략공사_2002년도각종계산서하반기원본_기산초냉난방시설공사(3월19일)_함평교육청 전기시설 보수공사(냉,난방)-5월24일_정남진버섯배지,종균분센터신축통신공사" xfId="391"/>
    <cellStyle name="1_시민계략공사_2002년도각종계산서하반기원본_기산초냉난방시설공사(3월19일)_함평교육청 전기시설 보수공사(냉,난방)-5월24일_정남진버섯배지,종균분센터신축통신공사_CCTV구간 가로등 내역서" xfId="392"/>
    <cellStyle name="1_시민계략공사_2002년도각종계산서하반기원본_기산초냉난방시설공사(3월19일)_함평교육청 전기시설 보수공사(냉,난방)-5월24일_정남진버섯배지,종균분센터신축통신공사_CCTV구간 가로등 내역서_CCTV구간 가로등 내역서(R)" xfId="393"/>
    <cellStyle name="1_시민계략공사_2002년도각종계산서하반기원본_기산초냉난방시설공사(3월19일)_함평교육청 전기시설 보수공사(냉,난방)-5월24일_정남진버섯배지,종균분센터신축통신공사_CCTV구간 가로등 내역서_CCTV구간 가로등 내역서(원본)" xfId="394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" xfId="395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" xfId="396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_CCTV구간 가로등 내역서(R)" xfId="397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_CCTV구간 가로등 내역서(원본)" xfId="398"/>
    <cellStyle name="1_시민계략공사_2002년도각종계산서하반기원본_기산초냉난방시설공사(3월19일)_함평교육청 전기시설 보수공사(냉,난방)-5월24일_지원동증축예산안" xfId="399"/>
    <cellStyle name="1_시민계략공사_2002년도각종계산서하반기원본_기산초냉난방시설공사(3월19일)_함평교육청 전기시설 보수공사(냉,난방)-5월24일_지원동증축예산안_CCTV구간 가로등 내역서" xfId="400"/>
    <cellStyle name="1_시민계략공사_2002년도각종계산서하반기원본_기산초냉난방시설공사(3월19일)_함평교육청 전기시설 보수공사(냉,난방)-5월24일_지원동증축예산안_CCTV구간 가로등 내역서_CCTV구간 가로등 내역서(R)" xfId="401"/>
    <cellStyle name="1_시민계략공사_2002년도각종계산서하반기원본_기산초냉난방시설공사(3월19일)_함평교육청 전기시설 보수공사(냉,난방)-5월24일_지원동증축예산안_CCTV구간 가로등 내역서_CCTV구간 가로등 내역서(원본)" xfId="402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" xfId="403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" xfId="404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_CCTV구간 가로등 내역서(R)" xfId="405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_CCTV구간 가로등 내역서(원본)" xfId="406"/>
    <cellStyle name="1_시민계략공사_2002년도각종계산서하반기원본_냉난방 내역 샘플" xfId="407"/>
    <cellStyle name="1_시민계략공사_2002년도각종계산서하반기원본_냉난방 내역 샘플_CCTV구간 가로등 내역서" xfId="408"/>
    <cellStyle name="1_시민계략공사_2002년도각종계산서하반기원본_냉난방 내역 샘플_CCTV구간 가로등 내역서_CCTV구간 가로등 내역서(R)" xfId="409"/>
    <cellStyle name="1_시민계략공사_2002년도각종계산서하반기원본_냉난방 내역 샘플_CCTV구간 가로등 내역서_CCTV구간 가로등 내역서(원본)" xfId="410"/>
    <cellStyle name="1_시민계략공사_2002년도각종계산서하반기원본_냉난방 내역 샘플_정남진버섯배지,종균분센터신축전기공사-MCCA판넬삭제" xfId="411"/>
    <cellStyle name="1_시민계략공사_2002년도각종계산서하반기원본_냉난방 내역 샘플_정남진버섯배지,종균분센터신축전기공사-MCCA판넬삭제_CCTV구간 가로등 내역서" xfId="412"/>
    <cellStyle name="1_시민계략공사_2002년도각종계산서하반기원본_냉난방 내역 샘플_정남진버섯배지,종균분센터신축전기공사-MCCA판넬삭제_CCTV구간 가로등 내역서_CCTV구간 가로등 내역서(R)" xfId="413"/>
    <cellStyle name="1_시민계략공사_2002년도각종계산서하반기원본_냉난방 내역 샘플_정남진버섯배지,종균분센터신축전기공사-MCCA판넬삭제_CCTV구간 가로등 내역서_CCTV구간 가로등 내역서(원본)" xfId="414"/>
    <cellStyle name="1_시민계략공사_2002년도각종계산서하반기원본_냉난방 내역 샘플_정남진버섯배지,종균분센터신축통신공사" xfId="415"/>
    <cellStyle name="1_시민계략공사_2002년도각종계산서하반기원본_냉난방 내역 샘플_정남진버섯배지,종균분센터신축통신공사_CCTV구간 가로등 내역서" xfId="416"/>
    <cellStyle name="1_시민계략공사_2002년도각종계산서하반기원본_냉난방 내역 샘플_정남진버섯배지,종균분센터신축통신공사_CCTV구간 가로등 내역서_CCTV구간 가로등 내역서(R)" xfId="417"/>
    <cellStyle name="1_시민계략공사_2002년도각종계산서하반기원본_냉난방 내역 샘플_정남진버섯배지,종균분센터신축통신공사_CCTV구간 가로등 내역서_CCTV구간 가로등 내역서(원본)" xfId="418"/>
    <cellStyle name="1_시민계략공사_2002년도각종계산서하반기원본_냉난방 내역 샘플_정남진버섯배지,종균분센터신축통신공사_정남진버섯배지,종균분센터신축전기공사-MCCA판넬삭제" xfId="419"/>
    <cellStyle name="1_시민계략공사_2002년도각종계산서하반기원본_냉난방 내역 샘플_정남진버섯배지,종균분센터신축통신공사_정남진버섯배지,종균분센터신축전기공사-MCCA판넬삭제_CCTV구간 가로등 내역서" xfId="420"/>
    <cellStyle name="1_시민계략공사_2002년도각종계산서하반기원본_냉난방 내역 샘플_정남진버섯배지,종균분센터신축통신공사_정남진버섯배지,종균분센터신축전기공사-MCCA판넬삭제_CCTV구간 가로등 내역서_CCTV구간 가로등 내역서(R)" xfId="421"/>
    <cellStyle name="1_시민계략공사_2002년도각종계산서하반기원본_냉난방 내역 샘플_정남진버섯배지,종균분센터신축통신공사_정남진버섯배지,종균분센터신축전기공사-MCCA판넬삭제_CCTV구간 가로등 내역서_CCTV구간 가로등 내역서(원본)" xfId="422"/>
    <cellStyle name="1_시민계략공사_2002년도각종계산서하반기원본_냉난방 내역 샘플_지원동증축예산안" xfId="423"/>
    <cellStyle name="1_시민계략공사_2002년도각종계산서하반기원본_냉난방 내역 샘플_지원동증축예산안_CCTV구간 가로등 내역서" xfId="424"/>
    <cellStyle name="1_시민계략공사_2002년도각종계산서하반기원본_냉난방 내역 샘플_지원동증축예산안_CCTV구간 가로등 내역서_CCTV구간 가로등 내역서(R)" xfId="425"/>
    <cellStyle name="1_시민계략공사_2002년도각종계산서하반기원본_냉난방 내역 샘플_지원동증축예산안_CCTV구간 가로등 내역서_CCTV구간 가로등 내역서(원본)" xfId="426"/>
    <cellStyle name="1_시민계략공사_2002년도각종계산서하반기원본_냉난방 내역 샘플_지원동증축예산안_정남진버섯배지,종균분센터신축전기공사-MCCA판넬삭제" xfId="427"/>
    <cellStyle name="1_시민계략공사_2002년도각종계산서하반기원본_냉난방 내역 샘플_지원동증축예산안_정남진버섯배지,종균분센터신축전기공사-MCCA판넬삭제_CCTV구간 가로등 내역서" xfId="428"/>
    <cellStyle name="1_시민계략공사_2002년도각종계산서하반기원본_냉난방 내역 샘플_지원동증축예산안_정남진버섯배지,종균분센터신축전기공사-MCCA판넬삭제_CCTV구간 가로등 내역서_CCTV구간 가로등 내역서(R)" xfId="429"/>
    <cellStyle name="1_시민계략공사_2002년도각종계산서하반기원본_냉난방 내역 샘플_지원동증축예산안_정남진버섯배지,종균분센터신축전기공사-MCCA판넬삭제_CCTV구간 가로등 내역서_CCTV구간 가로등 내역서(원본)" xfId="430"/>
    <cellStyle name="1_시민계략공사_2002년도각종계산서하반기원본_삼청로길(내역서04월07일)" xfId="5384"/>
    <cellStyle name="1_시민계략공사_2002년도각종계산서하반기원본_삼청로길(인공)" xfId="5385"/>
    <cellStyle name="1_시민계략공사_2002년도각종계산서하반기원본_삼청로길(최종 내역서)" xfId="5386"/>
    <cellStyle name="1_시민계략공사_2002년도각종계산서하반기원본_신광중냉.난방시설공사(수정)" xfId="431"/>
    <cellStyle name="1_시민계략공사_2002년도각종계산서하반기원본_신광중냉.난방시설공사(수정)_CCTV구간 가로등 내역서" xfId="432"/>
    <cellStyle name="1_시민계략공사_2002년도각종계산서하반기원본_신광중냉.난방시설공사(수정)_CCTV구간 가로등 내역서_CCTV구간 가로등 내역서(R)" xfId="433"/>
    <cellStyle name="1_시민계략공사_2002년도각종계산서하반기원본_신광중냉.난방시설공사(수정)_CCTV구간 가로등 내역서_CCTV구간 가로등 내역서(원본)" xfId="434"/>
    <cellStyle name="1_시민계략공사_2002년도각종계산서하반기원본_신광중냉.난방시설공사(수정)_정남진버섯배지,종균분센터신축전기공사-MCCA판넬삭제" xfId="435"/>
    <cellStyle name="1_시민계략공사_2002년도각종계산서하반기원본_신광중냉.난방시설공사(수정)_정남진버섯배지,종균분센터신축전기공사-MCCA판넬삭제_CCTV구간 가로등 내역서" xfId="436"/>
    <cellStyle name="1_시민계략공사_2002년도각종계산서하반기원본_신광중냉.난방시설공사(수정)_정남진버섯배지,종균분센터신축전기공사-MCCA판넬삭제_CCTV구간 가로등 내역서_CCTV구간 가로등 내역서(R)" xfId="437"/>
    <cellStyle name="1_시민계략공사_2002년도각종계산서하반기원본_신광중냉.난방시설공사(수정)_정남진버섯배지,종균분센터신축전기공사-MCCA판넬삭제_CCTV구간 가로등 내역서_CCTV구간 가로등 내역서(원본)" xfId="438"/>
    <cellStyle name="1_시민계략공사_2002년도각종계산서하반기원본_신광중냉.난방시설공사(수정)_정남진버섯배지,종균분센터신축통신공사" xfId="439"/>
    <cellStyle name="1_시민계략공사_2002년도각종계산서하반기원본_신광중냉.난방시설공사(수정)_정남진버섯배지,종균분센터신축통신공사_CCTV구간 가로등 내역서" xfId="440"/>
    <cellStyle name="1_시민계략공사_2002년도각종계산서하반기원본_신광중냉.난방시설공사(수정)_정남진버섯배지,종균분센터신축통신공사_CCTV구간 가로등 내역서_CCTV구간 가로등 내역서(R)" xfId="441"/>
    <cellStyle name="1_시민계략공사_2002년도각종계산서하반기원본_신광중냉.난방시설공사(수정)_정남진버섯배지,종균분센터신축통신공사_CCTV구간 가로등 내역서_CCTV구간 가로등 내역서(원본)" xfId="442"/>
    <cellStyle name="1_시민계략공사_2002년도각종계산서하반기원본_신광중냉.난방시설공사(수정)_정남진버섯배지,종균분센터신축통신공사_정남진버섯배지,종균분센터신축전기공사-MCCA판넬삭제" xfId="443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" xfId="444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_CCTV구간 가로등 내역서(R)" xfId="445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_CCTV구간 가로등 내역서(원본)" xfId="446"/>
    <cellStyle name="1_시민계략공사_2002년도각종계산서하반기원본_신광중냉.난방시설공사(수정)_지원동증축예산안" xfId="447"/>
    <cellStyle name="1_시민계략공사_2002년도각종계산서하반기원본_신광중냉.난방시설공사(수정)_지원동증축예산안_CCTV구간 가로등 내역서" xfId="448"/>
    <cellStyle name="1_시민계략공사_2002년도각종계산서하반기원본_신광중냉.난방시설공사(수정)_지원동증축예산안_CCTV구간 가로등 내역서_CCTV구간 가로등 내역서(R)" xfId="449"/>
    <cellStyle name="1_시민계략공사_2002년도각종계산서하반기원본_신광중냉.난방시설공사(수정)_지원동증축예산안_CCTV구간 가로등 내역서_CCTV구간 가로등 내역서(원본)" xfId="450"/>
    <cellStyle name="1_시민계략공사_2002년도각종계산서하반기원본_신광중냉.난방시설공사(수정)_지원동증축예산안_정남진버섯배지,종균분센터신축전기공사-MCCA판넬삭제" xfId="451"/>
    <cellStyle name="1_시민계략공사_2002년도각종계산서하반기원본_신광중냉.난방시설공사(수정)_지원동증축예산안_정남진버섯배지,종균분센터신축전기공사-MCCA판넬삭제_CCTV구간 가로등 내역서" xfId="452"/>
    <cellStyle name="1_시민계략공사_2002년도각종계산서하반기원본_신광중냉.난방시설공사(수정)_지원동증축예산안_정남진버섯배지,종균분센터신축전기공사-MCCA판넬삭제_CCTV구간 가로등 내역서_CCTV구간 가로등 내역서(R)" xfId="453"/>
    <cellStyle name="1_시민계략공사_2002년도각종계산서하반기원본_신광중냉.난방시설공사(수정)_지원동증축예산안_정남진버섯배지,종균분센터신축전기공사-MCCA판넬삭제_CCTV구간 가로등 내역서_CCTV구간 가로등 내역서(원본)" xfId="454"/>
    <cellStyle name="1_시민계략공사_2002년도각종계산서하반기원본_영광서초등학교냉난방개선공사(11월16일)" xfId="455"/>
    <cellStyle name="1_시민계략공사_2002년도각종계산서하반기원본_영광서초등학교냉난방개선공사(11월16일)_1" xfId="456"/>
    <cellStyle name="1_시민계략공사_2002년도각종계산서하반기원본_영광서초등학교냉난방개선공사(11월16일)_1_CCTV구간 가로등 내역서" xfId="457"/>
    <cellStyle name="1_시민계략공사_2002년도각종계산서하반기원본_영광서초등학교냉난방개선공사(11월16일)_1_CCTV구간 가로등 내역서_CCTV구간 가로등 내역서(R)" xfId="458"/>
    <cellStyle name="1_시민계략공사_2002년도각종계산서하반기원본_영광서초등학교냉난방개선공사(11월16일)_1_CCTV구간 가로등 내역서_CCTV구간 가로등 내역서(원본)" xfId="459"/>
    <cellStyle name="1_시민계략공사_2002년도각종계산서하반기원본_영광서초등학교냉난방개선공사(11월16일)_1_정남진버섯배지,종균분센터신축전기공사-MCCA판넬삭제" xfId="460"/>
    <cellStyle name="1_시민계략공사_2002년도각종계산서하반기원본_영광서초등학교냉난방개선공사(11월16일)_1_정남진버섯배지,종균분센터신축전기공사-MCCA판넬삭제_CCTV구간 가로등 내역서" xfId="461"/>
    <cellStyle name="1_시민계략공사_2002년도각종계산서하반기원본_영광서초등학교냉난방개선공사(11월16일)_1_정남진버섯배지,종균분센터신축전기공사-MCCA판넬삭제_CCTV구간 가로등 내역서_CCTV구간 가로등 내역서(R)" xfId="462"/>
    <cellStyle name="1_시민계략공사_2002년도각종계산서하반기원본_영광서초등학교냉난방개선공사(11월16일)_1_정남진버섯배지,종균분센터신축전기공사-MCCA판넬삭제_CCTV구간 가로등 내역서_CCTV구간 가로등 내역서(원본)" xfId="463"/>
    <cellStyle name="1_시민계략공사_2002년도각종계산서하반기원본_영광서초등학교냉난방개선공사(11월16일)_1_정남진버섯배지,종균분센터신축통신공사" xfId="464"/>
    <cellStyle name="1_시민계략공사_2002년도각종계산서하반기원본_영광서초등학교냉난방개선공사(11월16일)_1_정남진버섯배지,종균분센터신축통신공사_CCTV구간 가로등 내역서" xfId="465"/>
    <cellStyle name="1_시민계략공사_2002년도각종계산서하반기원본_영광서초등학교냉난방개선공사(11월16일)_1_정남진버섯배지,종균분센터신축통신공사_CCTV구간 가로등 내역서_CCTV구간 가로등 내역서(R)" xfId="466"/>
    <cellStyle name="1_시민계략공사_2002년도각종계산서하반기원본_영광서초등학교냉난방개선공사(11월16일)_1_정남진버섯배지,종균분센터신축통신공사_CCTV구간 가로등 내역서_CCTV구간 가로등 내역서(원본)" xfId="467"/>
    <cellStyle name="1_시민계략공사_2002년도각종계산서하반기원본_영광서초등학교냉난방개선공사(11월16일)_1_정남진버섯배지,종균분센터신축통신공사_정남진버섯배지,종균분센터신축전기공사-MCCA판넬삭제" xfId="468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" xfId="469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_CCTV구간 가로등 내역서(R)" xfId="470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_CCTV구간 가로등 내역서(원본)" xfId="471"/>
    <cellStyle name="1_시민계략공사_2002년도각종계산서하반기원본_영광서초등학교냉난방개선공사(11월16일)_1_지원동증축예산안" xfId="472"/>
    <cellStyle name="1_시민계략공사_2002년도각종계산서하반기원본_영광서초등학교냉난방개선공사(11월16일)_1_지원동증축예산안_CCTV구간 가로등 내역서" xfId="473"/>
    <cellStyle name="1_시민계략공사_2002년도각종계산서하반기원본_영광서초등학교냉난방개선공사(11월16일)_1_지원동증축예산안_CCTV구간 가로등 내역서_CCTV구간 가로등 내역서(R)" xfId="474"/>
    <cellStyle name="1_시민계략공사_2002년도각종계산서하반기원본_영광서초등학교냉난방개선공사(11월16일)_1_지원동증축예산안_CCTV구간 가로등 내역서_CCTV구간 가로등 내역서(원본)" xfId="475"/>
    <cellStyle name="1_시민계략공사_2002년도각종계산서하반기원본_영광서초등학교냉난방개선공사(11월16일)_1_지원동증축예산안_정남진버섯배지,종균분센터신축전기공사-MCCA판넬삭제" xfId="476"/>
    <cellStyle name="1_시민계략공사_2002년도각종계산서하반기원본_영광서초등학교냉난방개선공사(11월16일)_1_지원동증축예산안_정남진버섯배지,종균분센터신축전기공사-MCCA판넬삭제_CCTV구간 가로등 내역서" xfId="477"/>
    <cellStyle name="1_시민계략공사_2002년도각종계산서하반기원본_영광서초등학교냉난방개선공사(11월16일)_1_지원동증축예산안_정남진버섯배지,종균분센터신축전기공사-MCCA판넬삭제_CCTV구간 가로등 내역서_CCTV구간 가로등 내역서(R)" xfId="478"/>
    <cellStyle name="1_시민계략공사_2002년도각종계산서하반기원본_영광서초등학교냉난방개선공사(11월16일)_1_지원동증축예산안_정남진버섯배지,종균분센터신축전기공사-MCCA판넬삭제_CCTV구간 가로등 내역서_CCTV구간 가로등 내역서(원본)" xfId="479"/>
    <cellStyle name="1_시민계략공사_2002년도각종계산서하반기원본_영광서초등학교냉난방개선공사(11월16일)_CCTV구간 가로등 내역서" xfId="480"/>
    <cellStyle name="1_시민계략공사_2002년도각종계산서하반기원본_영광서초등학교냉난방개선공사(11월16일)_CCTV구간 가로등 내역서_CCTV구간 가로등 내역서(R)" xfId="481"/>
    <cellStyle name="1_시민계략공사_2002년도각종계산서하반기원본_영광서초등학교냉난방개선공사(11월16일)_CCTV구간 가로등 내역서_CCTV구간 가로등 내역서(원본)" xfId="482"/>
    <cellStyle name="1_시민계략공사_2002년도각종계산서하반기원본_영광서초등학교냉난방개선공사(11월16일)_정남진버섯배지,종균분센터신축전기공사-MCCA판넬삭제" xfId="483"/>
    <cellStyle name="1_시민계략공사_2002년도각종계산서하반기원본_영광서초등학교냉난방개선공사(11월16일)_정남진버섯배지,종균분센터신축전기공사-MCCA판넬삭제_CCTV구간 가로등 내역서" xfId="484"/>
    <cellStyle name="1_시민계략공사_2002년도각종계산서하반기원본_영광서초등학교냉난방개선공사(11월16일)_정남진버섯배지,종균분센터신축전기공사-MCCA판넬삭제_CCTV구간 가로등 내역서_CCTV구간 가로등 내역서(R)" xfId="485"/>
    <cellStyle name="1_시민계략공사_2002년도각종계산서하반기원본_영광서초등학교냉난방개선공사(11월16일)_정남진버섯배지,종균분센터신축전기공사-MCCA판넬삭제_CCTV구간 가로등 내역서_CCTV구간 가로등 내역서(원본)" xfId="486"/>
    <cellStyle name="1_시민계략공사_2002년도각종계산서하반기원본_영광서초등학교냉난방개선공사(11월16일)_정남진버섯배지,종균분센터신축통신공사" xfId="487"/>
    <cellStyle name="1_시민계략공사_2002년도각종계산서하반기원본_영광서초등학교냉난방개선공사(11월16일)_정남진버섯배지,종균분센터신축통신공사_CCTV구간 가로등 내역서" xfId="488"/>
    <cellStyle name="1_시민계략공사_2002년도각종계산서하반기원본_영광서초등학교냉난방개선공사(11월16일)_정남진버섯배지,종균분센터신축통신공사_CCTV구간 가로등 내역서_CCTV구간 가로등 내역서(R)" xfId="489"/>
    <cellStyle name="1_시민계략공사_2002년도각종계산서하반기원본_영광서초등학교냉난방개선공사(11월16일)_정남진버섯배지,종균분센터신축통신공사_CCTV구간 가로등 내역서_CCTV구간 가로등 내역서(원본)" xfId="490"/>
    <cellStyle name="1_시민계략공사_2002년도각종계산서하반기원본_영광서초등학교냉난방개선공사(11월16일)_정남진버섯배지,종균분센터신축통신공사_정남진버섯배지,종균분센터신축전기공사-MCCA판넬삭제" xfId="491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" xfId="492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_CCTV구간 가로등 내역서(R)" xfId="493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_CCTV구간 가로등 내역서(원본)" xfId="494"/>
    <cellStyle name="1_시민계략공사_2002년도각종계산서하반기원본_영광서초등학교냉난방개선공사(11월16일)_지원동증축예산안" xfId="495"/>
    <cellStyle name="1_시민계략공사_2002년도각종계산서하반기원본_영광서초등학교냉난방개선공사(11월16일)_지원동증축예산안_CCTV구간 가로등 내역서" xfId="496"/>
    <cellStyle name="1_시민계략공사_2002년도각종계산서하반기원본_영광서초등학교냉난방개선공사(11월16일)_지원동증축예산안_CCTV구간 가로등 내역서_CCTV구간 가로등 내역서(R)" xfId="497"/>
    <cellStyle name="1_시민계략공사_2002년도각종계산서하반기원본_영광서초등학교냉난방개선공사(11월16일)_지원동증축예산안_CCTV구간 가로등 내역서_CCTV구간 가로등 내역서(원본)" xfId="498"/>
    <cellStyle name="1_시민계략공사_2002년도각종계산서하반기원본_영광서초등학교냉난방개선공사(11월16일)_지원동증축예산안_정남진버섯배지,종균분센터신축전기공사-MCCA판넬삭제" xfId="499"/>
    <cellStyle name="1_시민계략공사_2002년도각종계산서하반기원본_영광서초등학교냉난방개선공사(11월16일)_지원동증축예산안_정남진버섯배지,종균분센터신축전기공사-MCCA판넬삭제_CCTV구간 가로등 내역서" xfId="500"/>
    <cellStyle name="1_시민계략공사_2002년도각종계산서하반기원본_영광서초등학교냉난방개선공사(11월16일)_지원동증축예산안_정남진버섯배지,종균분센터신축전기공사-MCCA판넬삭제_CCTV구간 가로등 내역서_CCTV구간 가로등 내역서(R)" xfId="501"/>
    <cellStyle name="1_시민계략공사_2002년도각종계산서하반기원본_영광서초등학교냉난방개선공사(11월16일)_지원동증축예산안_정남진버섯배지,종균분센터신축전기공사-MCCA판넬삭제_CCTV구간 가로등 내역서_CCTV구간 가로등 내역서(원본)" xfId="502"/>
    <cellStyle name="1_시민계략공사_2002년도각종계산서하반기원본_영광서초등학교냉난방개선공사(11월16일)_청계초등학교수전설비및냉난방시설공사" xfId="503"/>
    <cellStyle name="1_시민계략공사_2002년도각종계산서하반기원본_영광서초등학교냉난방개선공사(11월16일)_청계초등학교수전설비및냉난방시설공사_CCTV구간 가로등 내역서" xfId="504"/>
    <cellStyle name="1_시민계략공사_2002년도각종계산서하반기원본_영광서초등학교냉난방개선공사(11월16일)_청계초등학교수전설비및냉난방시설공사_CCTV구간 가로등 내역서_CCTV구간 가로등 내역서(R)" xfId="505"/>
    <cellStyle name="1_시민계략공사_2002년도각종계산서하반기원본_영광서초등학교냉난방개선공사(11월16일)_청계초등학교수전설비및냉난방시설공사_CCTV구간 가로등 내역서_CCTV구간 가로등 내역서(원본)" xfId="506"/>
    <cellStyle name="1_시민계략공사_2002년도각종계산서하반기원본_영광서초등학교냉난방개선공사(11월16일)_청계초등학교수전설비및냉난방시설공사_정남진버섯배지,종균분센터신축전기공사-MCCA판넬삭제" xfId="507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" xfId="508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_CCTV구간 가로등 내역서(R)" xfId="509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_CCTV구간 가로등 내역서(원본)" xfId="510"/>
    <cellStyle name="1_시민계략공사_2002년도각종계산서하반기원본_영광서초등학교냉난방개선공사(11월16일)_청계초등학교수전설비및냉난방시설공사_정남진버섯배지,종균분센터신축통신공사" xfId="511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" xfId="512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_CCTV구간 가로등 내역서(R)" xfId="513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_CCTV구간 가로등 내역서(원본)" xfId="514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" xfId="515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" xfId="516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_CCTV구간 가로등 내역서(R)" xfId="517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_CCTV구간 가로등 내역서(원본)" xfId="518"/>
    <cellStyle name="1_시민계략공사_2002년도각종계산서하반기원본_영광서초등학교냉난방개선공사(11월16일)_청계초등학교수전설비및냉난방시설공사_지원동증축예산안" xfId="519"/>
    <cellStyle name="1_시민계략공사_2002년도각종계산서하반기원본_영광서초등학교냉난방개선공사(11월16일)_청계초등학교수전설비및냉난방시설공사_지원동증축예산안_CCTV구간 가로등 내역서" xfId="520"/>
    <cellStyle name="1_시민계략공사_2002년도각종계산서하반기원본_영광서초등학교냉난방개선공사(11월16일)_청계초등학교수전설비및냉난방시설공사_지원동증축예산안_CCTV구간 가로등 내역서_CCTV구간 가로등 내역서(R)" xfId="521"/>
    <cellStyle name="1_시민계략공사_2002년도각종계산서하반기원본_영광서초등학교냉난방개선공사(11월16일)_청계초등학교수전설비및냉난방시설공사_지원동증축예산안_CCTV구간 가로등 내역서_CCTV구간 가로등 내역서(원본)" xfId="522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" xfId="523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" xfId="524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_CCTV구간 가로등 내역서(R)" xfId="525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_CCTV구간 가로등 내역서(원본)" xfId="526"/>
    <cellStyle name="1_시민계략공사_2002년도각종계산서하반기원본_영광서초등학교냉난방개선공사(11월16일)_청계초등학교수전설비및냉난방전기시설공사" xfId="527"/>
    <cellStyle name="1_시민계략공사_2002년도각종계산서하반기원본_영광서초등학교냉난방개선공사(11월16일)_청계초등학교수전설비및냉난방전기시설공사_CCTV구간 가로등 내역서" xfId="528"/>
    <cellStyle name="1_시민계략공사_2002년도각종계산서하반기원본_영광서초등학교냉난방개선공사(11월16일)_청계초등학교수전설비및냉난방전기시설공사_CCTV구간 가로등 내역서_CCTV구간 가로등 내역서(R)" xfId="529"/>
    <cellStyle name="1_시민계략공사_2002년도각종계산서하반기원본_영광서초등학교냉난방개선공사(11월16일)_청계초등학교수전설비및냉난방전기시설공사_CCTV구간 가로등 내역서_CCTV구간 가로등 내역서(원본)" xfId="530"/>
    <cellStyle name="1_시민계략공사_2002년도각종계산서하반기원본_영광서초등학교냉난방개선공사(11월16일)_청계초등학교수전설비및냉난방전기시설공사_정남진버섯배지,종균분센터신축전기공사-MCCA판넬삭제" xfId="531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" xfId="532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_CCTV구간 가로등 내역서(R)" xfId="533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_CCTV구간 가로등 내역서(원본)" xfId="534"/>
    <cellStyle name="1_시민계략공사_2002년도각종계산서하반기원본_영광서초등학교냉난방개선공사(11월16일)_청계초등학교수전설비및냉난방전기시설공사_정남진버섯배지,종균분센터신축통신공사" xfId="535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" xfId="536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_CCTV구간 가로등 내역서(R)" xfId="537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_CCTV구간 가로등 내역서(원본)" xfId="538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" xfId="539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" xfId="540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_CCTV구간 가로등 내역서(R)" xfId="541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_CCTV구간 가로등 내역서(원본)" xfId="542"/>
    <cellStyle name="1_시민계략공사_2002년도각종계산서하반기원본_영광서초등학교냉난방개선공사(11월16일)_청계초등학교수전설비및냉난방전기시설공사_지원동증축예산안" xfId="543"/>
    <cellStyle name="1_시민계략공사_2002년도각종계산서하반기원본_영광서초등학교냉난방개선공사(11월16일)_청계초등학교수전설비및냉난방전기시설공사_지원동증축예산안_CCTV구간 가로등 내역서" xfId="544"/>
    <cellStyle name="1_시민계략공사_2002년도각종계산서하반기원본_영광서초등학교냉난방개선공사(11월16일)_청계초등학교수전설비및냉난방전기시설공사_지원동증축예산안_CCTV구간 가로등 내역서_CCTV구간 가로등 내역서(R)" xfId="545"/>
    <cellStyle name="1_시민계략공사_2002년도각종계산서하반기원본_영광서초등학교냉난방개선공사(11월16일)_청계초등학교수전설비및냉난방전기시설공사_지원동증축예산안_CCTV구간 가로등 내역서_CCTV구간 가로등 내역서(원본)" xfId="546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" xfId="547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" xfId="548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_CCTV구간 가로등 내역서(R)" xfId="549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_CCTV구간 가로등 내역서(원본)" xfId="550"/>
    <cellStyle name="1_시민계략공사_2002년도각종계산서하반기원본_영광서초등학교냉난방개선공사(11월16일)_함평교육청 전기시설 보수공사(냉,난방)-5월24일" xfId="551"/>
    <cellStyle name="1_시민계략공사_2002년도각종계산서하반기원본_영광서초등학교냉난방개선공사(11월16일)_함평교육청 전기시설 보수공사(냉,난방)-5월24일_CCTV구간 가로등 내역서" xfId="552"/>
    <cellStyle name="1_시민계략공사_2002년도각종계산서하반기원본_영광서초등학교냉난방개선공사(11월16일)_함평교육청 전기시설 보수공사(냉,난방)-5월24일_CCTV구간 가로등 내역서_CCTV구간 가로등 내역서(R)" xfId="553"/>
    <cellStyle name="1_시민계략공사_2002년도각종계산서하반기원본_영광서초등학교냉난방개선공사(11월16일)_함평교육청 전기시설 보수공사(냉,난방)-5월24일_CCTV구간 가로등 내역서_CCTV구간 가로등 내역서(원본)" xfId="554"/>
    <cellStyle name="1_시민계략공사_2002년도각종계산서하반기원본_영광서초등학교냉난방개선공사(11월16일)_함평교육청 전기시설 보수공사(냉,난방)-5월24일_정남진버섯배지,종균분센터신축전기공사-MCCA판넬삭제" xfId="555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" xfId="556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_CCTV구간 가로등 내역서(R)" xfId="557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_CCTV구간 가로등 내역서(원본)" xfId="558"/>
    <cellStyle name="1_시민계략공사_2002년도각종계산서하반기원본_영광서초등학교냉난방개선공사(11월16일)_함평교육청 전기시설 보수공사(냉,난방)-5월24일_정남진버섯배지,종균분센터신축통신공사" xfId="559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" xfId="560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_CCTV구간 가로등 내역서(R)" xfId="561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_CCTV구간 가로등 내역서(원본)" xfId="562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" xfId="563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" xfId="564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_CCTV구간 가로등 내역서(R)" xfId="565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_CCTV구간 가로등 내역서(원본)" xfId="566"/>
    <cellStyle name="1_시민계략공사_2002년도각종계산서하반기원본_영광서초등학교냉난방개선공사(11월16일)_함평교육청 전기시설 보수공사(냉,난방)-5월24일_지원동증축예산안" xfId="567"/>
    <cellStyle name="1_시민계략공사_2002년도각종계산서하반기원본_영광서초등학교냉난방개선공사(11월16일)_함평교육청 전기시설 보수공사(냉,난방)-5월24일_지원동증축예산안_CCTV구간 가로등 내역서" xfId="568"/>
    <cellStyle name="1_시민계략공사_2002년도각종계산서하반기원본_영광서초등학교냉난방개선공사(11월16일)_함평교육청 전기시설 보수공사(냉,난방)-5월24일_지원동증축예산안_CCTV구간 가로등 내역서_CCTV구간 가로등 내역서(R)" xfId="569"/>
    <cellStyle name="1_시민계략공사_2002년도각종계산서하반기원본_영광서초등학교냉난방개선공사(11월16일)_함평교육청 전기시설 보수공사(냉,난방)-5월24일_지원동증축예산안_CCTV구간 가로등 내역서_CCTV구간 가로등 내역서(원본)" xfId="570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" xfId="571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" xfId="572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_CCTV구간 가로등 내역서(R)" xfId="573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_CCTV구간 가로등 내역서(원본)" xfId="574"/>
    <cellStyle name="1_시민계략공사_2002년도각종계산서하반기원본_정남진버섯배지,종균분센터신축전기공사-MCCA판넬삭제" xfId="575"/>
    <cellStyle name="1_시민계략공사_2002년도각종계산서하반기원본_정남진버섯배지,종균분센터신축전기공사-MCCA판넬삭제_CCTV구간 가로등 내역서" xfId="576"/>
    <cellStyle name="1_시민계략공사_2002년도각종계산서하반기원본_정남진버섯배지,종균분센터신축전기공사-MCCA판넬삭제_CCTV구간 가로등 내역서_CCTV구간 가로등 내역서(R)" xfId="577"/>
    <cellStyle name="1_시민계략공사_2002년도각종계산서하반기원본_정남진버섯배지,종균분센터신축전기공사-MCCA판넬삭제_CCTV구간 가로등 내역서_CCTV구간 가로등 내역서(원본)" xfId="578"/>
    <cellStyle name="1_시민계략공사_2002년도각종계산서하반기원본_정남진버섯배지,종균분센터신축통신공사" xfId="579"/>
    <cellStyle name="1_시민계략공사_2002년도각종계산서하반기원본_정남진버섯배지,종균분센터신축통신공사_CCTV구간 가로등 내역서" xfId="580"/>
    <cellStyle name="1_시민계략공사_2002년도각종계산서하반기원본_정남진버섯배지,종균분센터신축통신공사_CCTV구간 가로등 내역서_CCTV구간 가로등 내역서(R)" xfId="581"/>
    <cellStyle name="1_시민계략공사_2002년도각종계산서하반기원본_정남진버섯배지,종균분센터신축통신공사_CCTV구간 가로등 내역서_CCTV구간 가로등 내역서(원본)" xfId="582"/>
    <cellStyle name="1_시민계략공사_2002년도각종계산서하반기원본_정남진버섯배지,종균분센터신축통신공사_정남진버섯배지,종균분센터신축전기공사-MCCA판넬삭제" xfId="583"/>
    <cellStyle name="1_시민계략공사_2002년도각종계산서하반기원본_정남진버섯배지,종균분센터신축통신공사_정남진버섯배지,종균분센터신축전기공사-MCCA판넬삭제_CCTV구간 가로등 내역서" xfId="584"/>
    <cellStyle name="1_시민계략공사_2002년도각종계산서하반기원본_정남진버섯배지,종균분센터신축통신공사_정남진버섯배지,종균분센터신축전기공사-MCCA판넬삭제_CCTV구간 가로등 내역서_CCTV구간 가로등 내역서(R)" xfId="585"/>
    <cellStyle name="1_시민계략공사_2002년도각종계산서하반기원본_정남진버섯배지,종균분센터신축통신공사_정남진버섯배지,종균분센터신축전기공사-MCCA판넬삭제_CCTV구간 가로등 내역서_CCTV구간 가로등 내역서(원본)" xfId="586"/>
    <cellStyle name="1_시민계략공사_2002년도각종계산서하반기원본_지원동증축예산안" xfId="587"/>
    <cellStyle name="1_시민계략공사_2002년도각종계산서하반기원본_지원동증축예산안_CCTV구간 가로등 내역서" xfId="588"/>
    <cellStyle name="1_시민계략공사_2002년도각종계산서하반기원본_지원동증축예산안_CCTV구간 가로등 내역서_CCTV구간 가로등 내역서(R)" xfId="589"/>
    <cellStyle name="1_시민계략공사_2002년도각종계산서하반기원본_지원동증축예산안_CCTV구간 가로등 내역서_CCTV구간 가로등 내역서(원본)" xfId="590"/>
    <cellStyle name="1_시민계략공사_2002년도각종계산서하반기원본_지원동증축예산안_정남진버섯배지,종균분센터신축전기공사-MCCA판넬삭제" xfId="591"/>
    <cellStyle name="1_시민계략공사_2002년도각종계산서하반기원본_지원동증축예산안_정남진버섯배지,종균분센터신축전기공사-MCCA판넬삭제_CCTV구간 가로등 내역서" xfId="592"/>
    <cellStyle name="1_시민계략공사_2002년도각종계산서하반기원본_지원동증축예산안_정남진버섯배지,종균분센터신축전기공사-MCCA판넬삭제_CCTV구간 가로등 내역서_CCTV구간 가로등 내역서(R)" xfId="593"/>
    <cellStyle name="1_시민계략공사_2002년도각종계산서하반기원본_지원동증축예산안_정남진버섯배지,종균분센터신축전기공사-MCCA판넬삭제_CCTV구간 가로등 내역서_CCTV구간 가로등 내역서(원본)" xfId="594"/>
    <cellStyle name="1_시민계략공사_2002년도각종계산서하반기원본_청계초등학교수전설비및냉난방시설공사" xfId="595"/>
    <cellStyle name="1_시민계략공사_2002년도각종계산서하반기원본_청계초등학교수전설비및냉난방시설공사_CCTV구간 가로등 내역서" xfId="596"/>
    <cellStyle name="1_시민계략공사_2002년도각종계산서하반기원본_청계초등학교수전설비및냉난방시설공사_CCTV구간 가로등 내역서_CCTV구간 가로등 내역서(R)" xfId="597"/>
    <cellStyle name="1_시민계략공사_2002년도각종계산서하반기원본_청계초등학교수전설비및냉난방시설공사_CCTV구간 가로등 내역서_CCTV구간 가로등 내역서(원본)" xfId="598"/>
    <cellStyle name="1_시민계략공사_2002년도각종계산서하반기원본_청계초등학교수전설비및냉난방시설공사_정남진버섯배지,종균분센터신축전기공사-MCCA판넬삭제" xfId="599"/>
    <cellStyle name="1_시민계략공사_2002년도각종계산서하반기원본_청계초등학교수전설비및냉난방시설공사_정남진버섯배지,종균분센터신축전기공사-MCCA판넬삭제_CCTV구간 가로등 내역서" xfId="600"/>
    <cellStyle name="1_시민계략공사_2002년도각종계산서하반기원본_청계초등학교수전설비및냉난방시설공사_정남진버섯배지,종균분센터신축전기공사-MCCA판넬삭제_CCTV구간 가로등 내역서_CCTV구간 가로등 내역서(R)" xfId="601"/>
    <cellStyle name="1_시민계략공사_2002년도각종계산서하반기원본_청계초등학교수전설비및냉난방시설공사_정남진버섯배지,종균분센터신축전기공사-MCCA판넬삭제_CCTV구간 가로등 내역서_CCTV구간 가로등 내역서(원본)" xfId="602"/>
    <cellStyle name="1_시민계략공사_2002년도각종계산서하반기원본_청계초등학교수전설비및냉난방시설공사_정남진버섯배지,종균분센터신축통신공사" xfId="603"/>
    <cellStyle name="1_시민계략공사_2002년도각종계산서하반기원본_청계초등학교수전설비및냉난방시설공사_정남진버섯배지,종균분센터신축통신공사_CCTV구간 가로등 내역서" xfId="604"/>
    <cellStyle name="1_시민계략공사_2002년도각종계산서하반기원본_청계초등학교수전설비및냉난방시설공사_정남진버섯배지,종균분센터신축통신공사_CCTV구간 가로등 내역서_CCTV구간 가로등 내역서(R)" xfId="605"/>
    <cellStyle name="1_시민계략공사_2002년도각종계산서하반기원본_청계초등학교수전설비및냉난방시설공사_정남진버섯배지,종균분센터신축통신공사_CCTV구간 가로등 내역서_CCTV구간 가로등 내역서(원본)" xfId="606"/>
    <cellStyle name="1_시민계략공사_2002년도각종계산서하반기원본_청계초등학교수전설비및냉난방시설공사_정남진버섯배지,종균분센터신축통신공사_정남진버섯배지,종균분센터신축전기공사-MCCA판넬삭제" xfId="607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" xfId="608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_CCTV구간 가로등 내역서(R)" xfId="609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_CCTV구간 가로등 내역서(원본)" xfId="610"/>
    <cellStyle name="1_시민계략공사_2002년도각종계산서하반기원본_청계초등학교수전설비및냉난방시설공사_지원동증축예산안" xfId="611"/>
    <cellStyle name="1_시민계략공사_2002년도각종계산서하반기원본_청계초등학교수전설비및냉난방시설공사_지원동증축예산안_CCTV구간 가로등 내역서" xfId="612"/>
    <cellStyle name="1_시민계략공사_2002년도각종계산서하반기원본_청계초등학교수전설비및냉난방시설공사_지원동증축예산안_CCTV구간 가로등 내역서_CCTV구간 가로등 내역서(R)" xfId="613"/>
    <cellStyle name="1_시민계략공사_2002년도각종계산서하반기원본_청계초등학교수전설비및냉난방시설공사_지원동증축예산안_CCTV구간 가로등 내역서_CCTV구간 가로등 내역서(원본)" xfId="614"/>
    <cellStyle name="1_시민계략공사_2002년도각종계산서하반기원본_청계초등학교수전설비및냉난방시설공사_지원동증축예산안_정남진버섯배지,종균분센터신축전기공사-MCCA판넬삭제" xfId="615"/>
    <cellStyle name="1_시민계략공사_2002년도각종계산서하반기원본_청계초등학교수전설비및냉난방시설공사_지원동증축예산안_정남진버섯배지,종균분센터신축전기공사-MCCA판넬삭제_CCTV구간 가로등 내역서" xfId="616"/>
    <cellStyle name="1_시민계략공사_2002년도각종계산서하반기원본_청계초등학교수전설비및냉난방시설공사_지원동증축예산안_정남진버섯배지,종균분센터신축전기공사-MCCA판넬삭제_CCTV구간 가로등 내역서_CCTV구간 가로등 내역서(R)" xfId="617"/>
    <cellStyle name="1_시민계략공사_2002년도각종계산서하반기원본_청계초등학교수전설비및냉난방시설공사_지원동증축예산안_정남진버섯배지,종균분센터신축전기공사-MCCA판넬삭제_CCTV구간 가로등 내역서_CCTV구간 가로등 내역서(원본)" xfId="618"/>
    <cellStyle name="1_시민계략공사_2002년도각종계산서하반기원본_청계초등학교수전설비및냉난방전기시설공사" xfId="619"/>
    <cellStyle name="1_시민계략공사_2002년도각종계산서하반기원본_청계초등학교수전설비및냉난방전기시설공사_CCTV구간 가로등 내역서" xfId="620"/>
    <cellStyle name="1_시민계략공사_2002년도각종계산서하반기원본_청계초등학교수전설비및냉난방전기시설공사_CCTV구간 가로등 내역서_CCTV구간 가로등 내역서(R)" xfId="621"/>
    <cellStyle name="1_시민계략공사_2002년도각종계산서하반기원본_청계초등학교수전설비및냉난방전기시설공사_CCTV구간 가로등 내역서_CCTV구간 가로등 내역서(원본)" xfId="622"/>
    <cellStyle name="1_시민계략공사_2002년도각종계산서하반기원본_청계초등학교수전설비및냉난방전기시설공사_정남진버섯배지,종균분센터신축전기공사-MCCA판넬삭제" xfId="623"/>
    <cellStyle name="1_시민계략공사_2002년도각종계산서하반기원본_청계초등학교수전설비및냉난방전기시설공사_정남진버섯배지,종균분센터신축전기공사-MCCA판넬삭제_CCTV구간 가로등 내역서" xfId="624"/>
    <cellStyle name="1_시민계략공사_2002년도각종계산서하반기원본_청계초등학교수전설비및냉난방전기시설공사_정남진버섯배지,종균분센터신축전기공사-MCCA판넬삭제_CCTV구간 가로등 내역서_CCTV구간 가로등 내역서(R)" xfId="625"/>
    <cellStyle name="1_시민계략공사_2002년도각종계산서하반기원본_청계초등학교수전설비및냉난방전기시설공사_정남진버섯배지,종균분센터신축전기공사-MCCA판넬삭제_CCTV구간 가로등 내역서_CCTV구간 가로등 내역서(원본)" xfId="626"/>
    <cellStyle name="1_시민계략공사_2002년도각종계산서하반기원본_청계초등학교수전설비및냉난방전기시설공사_정남진버섯배지,종균분센터신축통신공사" xfId="627"/>
    <cellStyle name="1_시민계략공사_2002년도각종계산서하반기원본_청계초등학교수전설비및냉난방전기시설공사_정남진버섯배지,종균분센터신축통신공사_CCTV구간 가로등 내역서" xfId="628"/>
    <cellStyle name="1_시민계략공사_2002년도각종계산서하반기원본_청계초등학교수전설비및냉난방전기시설공사_정남진버섯배지,종균분센터신축통신공사_CCTV구간 가로등 내역서_CCTV구간 가로등 내역서(R)" xfId="629"/>
    <cellStyle name="1_시민계략공사_2002년도각종계산서하반기원본_청계초등학교수전설비및냉난방전기시설공사_정남진버섯배지,종균분센터신축통신공사_CCTV구간 가로등 내역서_CCTV구간 가로등 내역서(원본)" xfId="630"/>
    <cellStyle name="1_시민계략공사_2002년도각종계산서하반기원본_청계초등학교수전설비및냉난방전기시설공사_정남진버섯배지,종균분센터신축통신공사_정남진버섯배지,종균분센터신축전기공사-MCCA판넬삭제" xfId="631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" xfId="632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_CCTV구간 가로등 내역서(R)" xfId="633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_CCTV구간 가로등 내역서(원본)" xfId="634"/>
    <cellStyle name="1_시민계략공사_2002년도각종계산서하반기원본_청계초등학교수전설비및냉난방전기시설공사_지원동증축예산안" xfId="635"/>
    <cellStyle name="1_시민계략공사_2002년도각종계산서하반기원본_청계초등학교수전설비및냉난방전기시설공사_지원동증축예산안_CCTV구간 가로등 내역서" xfId="636"/>
    <cellStyle name="1_시민계략공사_2002년도각종계산서하반기원본_청계초등학교수전설비및냉난방전기시설공사_지원동증축예산안_CCTV구간 가로등 내역서_CCTV구간 가로등 내역서(R)" xfId="637"/>
    <cellStyle name="1_시민계략공사_2002년도각종계산서하반기원본_청계초등학교수전설비및냉난방전기시설공사_지원동증축예산안_CCTV구간 가로등 내역서_CCTV구간 가로등 내역서(원본)" xfId="638"/>
    <cellStyle name="1_시민계략공사_2002년도각종계산서하반기원본_청계초등학교수전설비및냉난방전기시설공사_지원동증축예산안_정남진버섯배지,종균분센터신축전기공사-MCCA판넬삭제" xfId="639"/>
    <cellStyle name="1_시민계략공사_2002년도각종계산서하반기원본_청계초등학교수전설비및냉난방전기시설공사_지원동증축예산안_정남진버섯배지,종균분센터신축전기공사-MCCA판넬삭제_CCTV구간 가로등 내역서" xfId="640"/>
    <cellStyle name="1_시민계략공사_2002년도각종계산서하반기원본_청계초등학교수전설비및냉난방전기시설공사_지원동증축예산안_정남진버섯배지,종균분센터신축전기공사-MCCA판넬삭제_CCTV구간 가로등 내역서_CCTV구간 가로등 내역서(R)" xfId="641"/>
    <cellStyle name="1_시민계략공사_2002년도각종계산서하반기원본_청계초등학교수전설비및냉난방전기시설공사_지원동증축예산안_정남진버섯배지,종균분센터신축전기공사-MCCA판넬삭제_CCTV구간 가로등 내역서_CCTV구간 가로등 내역서(원본)" xfId="642"/>
    <cellStyle name="1_시민계략공사_2002년도각종계산서하반기원본_함평교육청 냉난방시설공사-5월24일" xfId="643"/>
    <cellStyle name="1_시민계략공사_2002년도각종계산서하반기원본_함평교육청 냉난방시설공사-5월24일_CCTV구간 가로등 내역서" xfId="644"/>
    <cellStyle name="1_시민계략공사_2002년도각종계산서하반기원본_함평교육청 냉난방시설공사-5월24일_CCTV구간 가로등 내역서_CCTV구간 가로등 내역서(R)" xfId="645"/>
    <cellStyle name="1_시민계략공사_2002년도각종계산서하반기원본_함평교육청 냉난방시설공사-5월24일_CCTV구간 가로등 내역서_CCTV구간 가로등 내역서(원본)" xfId="646"/>
    <cellStyle name="1_시민계략공사_2002년도각종계산서하반기원본_함평교육청 냉난방시설공사-5월24일_정남진버섯배지,종균분센터신축전기공사-MCCA판넬삭제" xfId="647"/>
    <cellStyle name="1_시민계략공사_2002년도각종계산서하반기원본_함평교육청 냉난방시설공사-5월24일_정남진버섯배지,종균분센터신축전기공사-MCCA판넬삭제_CCTV구간 가로등 내역서" xfId="648"/>
    <cellStyle name="1_시민계략공사_2002년도각종계산서하반기원본_함평교육청 냉난방시설공사-5월24일_정남진버섯배지,종균분센터신축전기공사-MCCA판넬삭제_CCTV구간 가로등 내역서_CCTV구간 가로등 내역서(R)" xfId="649"/>
    <cellStyle name="1_시민계략공사_2002년도각종계산서하반기원본_함평교육청 냉난방시설공사-5월24일_정남진버섯배지,종균분센터신축전기공사-MCCA판넬삭제_CCTV구간 가로등 내역서_CCTV구간 가로등 내역서(원본)" xfId="650"/>
    <cellStyle name="1_시민계략공사_2002년도각종계산서하반기원본_함평교육청 냉난방시설공사-5월24일_정남진버섯배지,종균분센터신축통신공사" xfId="651"/>
    <cellStyle name="1_시민계략공사_2002년도각종계산서하반기원본_함평교육청 냉난방시설공사-5월24일_정남진버섯배지,종균분센터신축통신공사_CCTV구간 가로등 내역서" xfId="652"/>
    <cellStyle name="1_시민계략공사_2002년도각종계산서하반기원본_함평교육청 냉난방시설공사-5월24일_정남진버섯배지,종균분센터신축통신공사_CCTV구간 가로등 내역서_CCTV구간 가로등 내역서(R)" xfId="653"/>
    <cellStyle name="1_시민계략공사_2002년도각종계산서하반기원본_함평교육청 냉난방시설공사-5월24일_정남진버섯배지,종균분센터신축통신공사_CCTV구간 가로등 내역서_CCTV구간 가로등 내역서(원본)" xfId="654"/>
    <cellStyle name="1_시민계략공사_2002년도각종계산서하반기원본_함평교육청 냉난방시설공사-5월24일_정남진버섯배지,종균분센터신축통신공사_정남진버섯배지,종균분센터신축전기공사-MCCA판넬삭제" xfId="655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" xfId="656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_CCTV구간 가로등 내역서(R)" xfId="657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_CCTV구간 가로등 내역서(원본)" xfId="658"/>
    <cellStyle name="1_시민계략공사_2002년도각종계산서하반기원본_함평교육청 냉난방시설공사-5월24일_지원동증축예산안" xfId="659"/>
    <cellStyle name="1_시민계략공사_2002년도각종계산서하반기원본_함평교육청 냉난방시설공사-5월24일_지원동증축예산안_CCTV구간 가로등 내역서" xfId="660"/>
    <cellStyle name="1_시민계략공사_2002년도각종계산서하반기원본_함평교육청 냉난방시설공사-5월24일_지원동증축예산안_CCTV구간 가로등 내역서_CCTV구간 가로등 내역서(R)" xfId="661"/>
    <cellStyle name="1_시민계략공사_2002년도각종계산서하반기원본_함평교육청 냉난방시설공사-5월24일_지원동증축예산안_CCTV구간 가로등 내역서_CCTV구간 가로등 내역서(원본)" xfId="662"/>
    <cellStyle name="1_시민계략공사_2002년도각종계산서하반기원본_함평교육청 냉난방시설공사-5월24일_지원동증축예산안_정남진버섯배지,종균분센터신축전기공사-MCCA판넬삭제" xfId="663"/>
    <cellStyle name="1_시민계략공사_2002년도각종계산서하반기원본_함평교육청 냉난방시설공사-5월24일_지원동증축예산안_정남진버섯배지,종균분센터신축전기공사-MCCA판넬삭제_CCTV구간 가로등 내역서" xfId="664"/>
    <cellStyle name="1_시민계략공사_2002년도각종계산서하반기원본_함평교육청 냉난방시설공사-5월24일_지원동증축예산안_정남진버섯배지,종균분센터신축전기공사-MCCA판넬삭제_CCTV구간 가로등 내역서_CCTV구간 가로등 내역서(R)" xfId="665"/>
    <cellStyle name="1_시민계략공사_2002년도각종계산서하반기원본_함평교육청 냉난방시설공사-5월24일_지원동증축예산안_정남진버섯배지,종균분센터신축전기공사-MCCA판넬삭제_CCTV구간 가로등 내역서_CCTV구간 가로등 내역서(원본)" xfId="666"/>
    <cellStyle name="1_시민계략공사_2002년도각종계산서하반기원본_함평교육청 전기시설 보수공사(냉,난방)-5월24일" xfId="667"/>
    <cellStyle name="1_시민계략공사_2002년도각종계산서하반기원본_함평교육청 전기시설 보수공사(냉,난방)-5월24일_CCTV구간 가로등 내역서" xfId="668"/>
    <cellStyle name="1_시민계략공사_2002년도각종계산서하반기원본_함평교육청 전기시설 보수공사(냉,난방)-5월24일_CCTV구간 가로등 내역서_CCTV구간 가로등 내역서(R)" xfId="669"/>
    <cellStyle name="1_시민계략공사_2002년도각종계산서하반기원본_함평교육청 전기시설 보수공사(냉,난방)-5월24일_CCTV구간 가로등 내역서_CCTV구간 가로등 내역서(원본)" xfId="670"/>
    <cellStyle name="1_시민계략공사_2002년도각종계산서하반기원본_함평교육청 전기시설 보수공사(냉,난방)-5월24일_정남진버섯배지,종균분센터신축전기공사-MCCA판넬삭제" xfId="671"/>
    <cellStyle name="1_시민계략공사_2002년도각종계산서하반기원본_함평교육청 전기시설 보수공사(냉,난방)-5월24일_정남진버섯배지,종균분센터신축전기공사-MCCA판넬삭제_CCTV구간 가로등 내역서" xfId="672"/>
    <cellStyle name="1_시민계략공사_2002년도각종계산서하반기원본_함평교육청 전기시설 보수공사(냉,난방)-5월24일_정남진버섯배지,종균분센터신축전기공사-MCCA판넬삭제_CCTV구간 가로등 내역서_CCTV구간 가로등 내역서(R)" xfId="673"/>
    <cellStyle name="1_시민계략공사_2002년도각종계산서하반기원본_함평교육청 전기시설 보수공사(냉,난방)-5월24일_정남진버섯배지,종균분센터신축전기공사-MCCA판넬삭제_CCTV구간 가로등 내역서_CCTV구간 가로등 내역서(원본)" xfId="674"/>
    <cellStyle name="1_시민계략공사_2002년도각종계산서하반기원본_함평교육청 전기시설 보수공사(냉,난방)-5월24일_정남진버섯배지,종균분센터신축통신공사" xfId="675"/>
    <cellStyle name="1_시민계략공사_2002년도각종계산서하반기원본_함평교육청 전기시설 보수공사(냉,난방)-5월24일_정남진버섯배지,종균분센터신축통신공사_CCTV구간 가로등 내역서" xfId="676"/>
    <cellStyle name="1_시민계략공사_2002년도각종계산서하반기원본_함평교육청 전기시설 보수공사(냉,난방)-5월24일_정남진버섯배지,종균분센터신축통신공사_CCTV구간 가로등 내역서_CCTV구간 가로등 내역서(R)" xfId="677"/>
    <cellStyle name="1_시민계략공사_2002년도각종계산서하반기원본_함평교육청 전기시설 보수공사(냉,난방)-5월24일_정남진버섯배지,종균분센터신축통신공사_CCTV구간 가로등 내역서_CCTV구간 가로등 내역서(원본)" xfId="678"/>
    <cellStyle name="1_시민계략공사_2002년도각종계산서하반기원본_함평교육청 전기시설 보수공사(냉,난방)-5월24일_정남진버섯배지,종균분센터신축통신공사_정남진버섯배지,종균분센터신축전기공사-MCCA판넬삭제" xfId="679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" xfId="680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_CCTV구간 가로등 내역서(R)" xfId="681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_CCTV구간 가로등 내역서(원본)" xfId="682"/>
    <cellStyle name="1_시민계략공사_2002년도각종계산서하반기원본_함평교육청 전기시설 보수공사(냉,난방)-5월24일_지원동증축예산안" xfId="683"/>
    <cellStyle name="1_시민계략공사_2002년도각종계산서하반기원본_함평교육청 전기시설 보수공사(냉,난방)-5월24일_지원동증축예산안_CCTV구간 가로등 내역서" xfId="684"/>
    <cellStyle name="1_시민계략공사_2002년도각종계산서하반기원본_함평교육청 전기시설 보수공사(냉,난방)-5월24일_지원동증축예산안_CCTV구간 가로등 내역서_CCTV구간 가로등 내역서(R)" xfId="685"/>
    <cellStyle name="1_시민계략공사_2002년도각종계산서하반기원본_함평교육청 전기시설 보수공사(냉,난방)-5월24일_지원동증축예산안_CCTV구간 가로등 내역서_CCTV구간 가로등 내역서(원본)" xfId="686"/>
    <cellStyle name="1_시민계략공사_2002년도각종계산서하반기원본_함평교육청 전기시설 보수공사(냉,난방)-5월24일_지원동증축예산안_정남진버섯배지,종균분센터신축전기공사-MCCA판넬삭제" xfId="687"/>
    <cellStyle name="1_시민계략공사_2002년도각종계산서하반기원본_함평교육청 전기시설 보수공사(냉,난방)-5월24일_지원동증축예산안_정남진버섯배지,종균분센터신축전기공사-MCCA판넬삭제_CCTV구간 가로등 내역서" xfId="688"/>
    <cellStyle name="1_시민계략공사_2002년도각종계산서하반기원본_함평교육청 전기시설 보수공사(냉,난방)-5월24일_지원동증축예산안_정남진버섯배지,종균분센터신축전기공사-MCCA판넬삭제_CCTV구간 가로등 내역서_CCTV구간 가로등 내역서(R)" xfId="689"/>
    <cellStyle name="1_시민계략공사_2002년도각종계산서하반기원본_함평교육청 전기시설 보수공사(냉,난방)-5월24일_지원동증축예산안_정남진버섯배지,종균분센터신축전기공사-MCCA판넬삭제_CCTV구간 가로등 내역서_CCTV구간 가로등 내역서(원본)" xfId="690"/>
    <cellStyle name="1_시민계략공사_2003년 각종계산서(읽기전용)" xfId="691"/>
    <cellStyle name="1_시민계략공사_2003년 각종계산서(읽기전용)_CCTV 내역시작11.21" xfId="5387"/>
    <cellStyle name="1_시민계략공사_2003년 각종계산서(읽기전용)_CCTV구간 가로등 내역서" xfId="692"/>
    <cellStyle name="1_시민계략공사_2003년 각종계산서(읽기전용)_CCTV구간 가로등 내역서_CCTV구간 가로등 내역서(R)" xfId="693"/>
    <cellStyle name="1_시민계략공사_2003년 각종계산서(읽기전용)_CCTV구간 가로등 내역서_CCTV구간 가로등 내역서(원본)" xfId="694"/>
    <cellStyle name="1_시민계략공사_2003년 각종계산서(읽기전용)_군청사거리 외1개소LED신호등제작구매설치" xfId="695"/>
    <cellStyle name="1_시민계략공사_2003년 각종계산서(읽기전용)_군청사거리 외1개소LED신호등제작구매설치_CCTV구간 가로등 내역서" xfId="696"/>
    <cellStyle name="1_시민계략공사_2003년 각종계산서(읽기전용)_군청사거리 외1개소LED신호등제작구매설치_CCTV구간 가로등 내역서_CCTV구간 가로등 내역서(R)" xfId="697"/>
    <cellStyle name="1_시민계략공사_2003년 각종계산서(읽기전용)_군청사거리 외1개소LED신호등제작구매설치_CCTV구간 가로등 내역서_CCTV구간 가로등 내역서(원본)" xfId="698"/>
    <cellStyle name="1_시민계략공사_2003년 각종계산서(읽기전용)_군청사거리 외1개소LED신호등제작구매설치_정남진버섯배지,종균분센터신축전기공사-MCCA판넬삭제" xfId="699"/>
    <cellStyle name="1_시민계략공사_2003년 각종계산서(읽기전용)_군청사거리 외1개소LED신호등제작구매설치_정남진버섯배지,종균분센터신축전기공사-MCCA판넬삭제_CCTV구간 가로등 내역서" xfId="700"/>
    <cellStyle name="1_시민계략공사_2003년 각종계산서(읽기전용)_군청사거리 외1개소LED신호등제작구매설치_정남진버섯배지,종균분센터신축전기공사-MCCA판넬삭제_CCTV구간 가로등 내역서_CCTV구간 가로등 내역서(R)" xfId="701"/>
    <cellStyle name="1_시민계략공사_2003년 각종계산서(읽기전용)_군청사거리 외1개소LED신호등제작구매설치_정남진버섯배지,종균분센터신축전기공사-MCCA판넬삭제_CCTV구간 가로등 내역서_CCTV구간 가로등 내역서(원본)" xfId="702"/>
    <cellStyle name="1_시민계략공사_2003년 각종계산서(읽기전용)_군청사거리 외1개소LED신호등제작구매설치_정남진버섯배지,종균분센터신축통신공사" xfId="703"/>
    <cellStyle name="1_시민계략공사_2003년 각종계산서(읽기전용)_군청사거리 외1개소LED신호등제작구매설치_정남진버섯배지,종균분센터신축통신공사_CCTV구간 가로등 내역서" xfId="704"/>
    <cellStyle name="1_시민계략공사_2003년 각종계산서(읽기전용)_군청사거리 외1개소LED신호등제작구매설치_정남진버섯배지,종균분센터신축통신공사_CCTV구간 가로등 내역서_CCTV구간 가로등 내역서(R)" xfId="705"/>
    <cellStyle name="1_시민계략공사_2003년 각종계산서(읽기전용)_군청사거리 외1개소LED신호등제작구매설치_정남진버섯배지,종균분센터신축통신공사_CCTV구간 가로등 내역서_CCTV구간 가로등 내역서(원본)" xfId="706"/>
    <cellStyle name="1_시민계략공사_2003년 각종계산서(읽기전용)_군청사거리 외1개소LED신호등제작구매설치_정남진버섯배지,종균분센터신축통신공사_정남진버섯배지,종균분센터신축전기공사-MCCA판넬삭제" xfId="707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" xfId="708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_CCTV구간 가로등 내역서(R)" xfId="709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_CCTV구간 가로등 내역서(원본)" xfId="710"/>
    <cellStyle name="1_시민계략공사_2003년 각종계산서(읽기전용)_군청사거리 외1개소LED신호등제작구매설치_지원동증축예산안" xfId="711"/>
    <cellStyle name="1_시민계략공사_2003년 각종계산서(읽기전용)_군청사거리 외1개소LED신호등제작구매설치_지원동증축예산안_CCTV구간 가로등 내역서" xfId="712"/>
    <cellStyle name="1_시민계략공사_2003년 각종계산서(읽기전용)_군청사거리 외1개소LED신호등제작구매설치_지원동증축예산안_CCTV구간 가로등 내역서_CCTV구간 가로등 내역서(R)" xfId="713"/>
    <cellStyle name="1_시민계략공사_2003년 각종계산서(읽기전용)_군청사거리 외1개소LED신호등제작구매설치_지원동증축예산안_CCTV구간 가로등 내역서_CCTV구간 가로등 내역서(원본)" xfId="714"/>
    <cellStyle name="1_시민계략공사_2003년 각종계산서(읽기전용)_군청사거리 외1개소LED신호등제작구매설치_지원동증축예산안_정남진버섯배지,종균분센터신축전기공사-MCCA판넬삭제" xfId="715"/>
    <cellStyle name="1_시민계략공사_2003년 각종계산서(읽기전용)_군청사거리 외1개소LED신호등제작구매설치_지원동증축예산안_정남진버섯배지,종균분센터신축전기공사-MCCA판넬삭제_CCTV구간 가로등 내역서" xfId="716"/>
    <cellStyle name="1_시민계략공사_2003년 각종계산서(읽기전용)_군청사거리 외1개소LED신호등제작구매설치_지원동증축예산안_정남진버섯배지,종균분센터신축전기공사-MCCA판넬삭제_CCTV구간 가로등 내역서_CCTV구간 가로등 내역서(R)" xfId="717"/>
    <cellStyle name="1_시민계략공사_2003년 각종계산서(읽기전용)_군청사거리 외1개소LED신호등제작구매설치_지원동증축예산안_정남진버섯배지,종균분센터신축전기공사-MCCA판넬삭제_CCTV구간 가로등 내역서_CCTV구간 가로등 내역서(원본)" xfId="718"/>
    <cellStyle name="1_시민계략공사_2003년 각종계산서(읽기전용)_내역서(전기)" xfId="719"/>
    <cellStyle name="1_시민계략공사_2003년 각종계산서(읽기전용)_내역서(전기)_CCTV 내역시작11.21" xfId="5388"/>
    <cellStyle name="1_시민계략공사_2003년 각종계산서(읽기전용)_내역서(전기)_CCTV구간 가로등 내역서" xfId="720"/>
    <cellStyle name="1_시민계략공사_2003년 각종계산서(읽기전용)_내역서(전기)_CCTV구간 가로등 내역서_CCTV구간 가로등 내역서(R)" xfId="721"/>
    <cellStyle name="1_시민계략공사_2003년 각종계산서(읽기전용)_내역서(전기)_CCTV구간 가로등 내역서_CCTV구간 가로등 내역서(원본)" xfId="722"/>
    <cellStyle name="1_시민계략공사_2003년 각종계산서(읽기전용)_내역서(전기)_군청사거리 외1개소LED신호등제작구매설치" xfId="723"/>
    <cellStyle name="1_시민계략공사_2003년 각종계산서(읽기전용)_내역서(전기)_군청사거리 외1개소LED신호등제작구매설치_CCTV구간 가로등 내역서" xfId="724"/>
    <cellStyle name="1_시민계략공사_2003년 각종계산서(읽기전용)_내역서(전기)_군청사거리 외1개소LED신호등제작구매설치_CCTV구간 가로등 내역서_CCTV구간 가로등 내역서(R)" xfId="725"/>
    <cellStyle name="1_시민계략공사_2003년 각종계산서(읽기전용)_내역서(전기)_군청사거리 외1개소LED신호등제작구매설치_CCTV구간 가로등 내역서_CCTV구간 가로등 내역서(원본)" xfId="726"/>
    <cellStyle name="1_시민계략공사_2003년 각종계산서(읽기전용)_내역서(전기)_군청사거리 외1개소LED신호등제작구매설치_정남진버섯배지,종균분센터신축전기공사-MCCA판넬삭제" xfId="727"/>
    <cellStyle name="1_시민계략공사_2003년 각종계산서(읽기전용)_내역서(전기)_군청사거리 외1개소LED신호등제작구매설치_정남진버섯배지,종균분센터신축전기공사-MCCA판넬삭제_CCTV구간 가로등 내역서" xfId="728"/>
    <cellStyle name="1_시민계략공사_2003년 각종계산서(읽기전용)_내역서(전기)_군청사거리 외1개소LED신호등제작구매설치_정남진버섯배지,종균분센터신축전기공사-MCCA판넬삭제_CCTV구간 가로등 내역서_CCTV구간 가로등 내역서(R)" xfId="729"/>
    <cellStyle name="1_시민계략공사_2003년 각종계산서(읽기전용)_내역서(전기)_군청사거리 외1개소LED신호등제작구매설치_정남진버섯배지,종균분센터신축전기공사-MCCA판넬삭제_CCTV구간 가로등 내역서_CCTV구간 가로등 내역서(원본)" xfId="730"/>
    <cellStyle name="1_시민계략공사_2003년 각종계산서(읽기전용)_내역서(전기)_군청사거리 외1개소LED신호등제작구매설치_정남진버섯배지,종균분센터신축통신공사" xfId="731"/>
    <cellStyle name="1_시민계략공사_2003년 각종계산서(읽기전용)_내역서(전기)_군청사거리 외1개소LED신호등제작구매설치_정남진버섯배지,종균분센터신축통신공사_CCTV구간 가로등 내역서" xfId="732"/>
    <cellStyle name="1_시민계략공사_2003년 각종계산서(읽기전용)_내역서(전기)_군청사거리 외1개소LED신호등제작구매설치_정남진버섯배지,종균분센터신축통신공사_CCTV구간 가로등 내역서_CCTV구간 가로등 내역서(R)" xfId="733"/>
    <cellStyle name="1_시민계략공사_2003년 각종계산서(읽기전용)_내역서(전기)_군청사거리 외1개소LED신호등제작구매설치_정남진버섯배지,종균분센터신축통신공사_CCTV구간 가로등 내역서_CCTV구간 가로등 내역서(원본)" xfId="734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" xfId="735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" xfId="736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_CCTV구간 가로등 내역서(R)" xfId="737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738"/>
    <cellStyle name="1_시민계략공사_2003년 각종계산서(읽기전용)_내역서(전기)_군청사거리 외1개소LED신호등제작구매설치_지원동증축예산안" xfId="739"/>
    <cellStyle name="1_시민계략공사_2003년 각종계산서(읽기전용)_내역서(전기)_군청사거리 외1개소LED신호등제작구매설치_지원동증축예산안_CCTV구간 가로등 내역서" xfId="740"/>
    <cellStyle name="1_시민계략공사_2003년 각종계산서(읽기전용)_내역서(전기)_군청사거리 외1개소LED신호등제작구매설치_지원동증축예산안_CCTV구간 가로등 내역서_CCTV구간 가로등 내역서(R)" xfId="741"/>
    <cellStyle name="1_시민계략공사_2003년 각종계산서(읽기전용)_내역서(전기)_군청사거리 외1개소LED신호등제작구매설치_지원동증축예산안_CCTV구간 가로등 내역서_CCTV구간 가로등 내역서(원본)" xfId="742"/>
    <cellStyle name="1_시민계략공사_2003년 각종계산서(읽기전용)_내역서(전기)_군청사거리 외1개소LED신호등제작구매설치_지원동증축예산안_정남진버섯배지,종균분센터신축전기공사-MCCA판넬삭제" xfId="743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" xfId="744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_CCTV구간 가로등 내역서(R)" xfId="745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_CCTV구간 가로등 내역서(원본)" xfId="746"/>
    <cellStyle name="1_시민계략공사_2003년 각종계산서(읽기전용)_내역서(전기)_삼청로길(내역서04월07일)" xfId="5389"/>
    <cellStyle name="1_시민계략공사_2003년 각종계산서(읽기전용)_내역서(전기)_삼청로길(인공)" xfId="5390"/>
    <cellStyle name="1_시민계략공사_2003년 각종계산서(읽기전용)_내역서(전기)_삼청로길(최종 내역서)" xfId="5391"/>
    <cellStyle name="1_시민계략공사_2003년 각종계산서(읽기전용)_내역서(전기)_수배전반 관급자재 (양지중)" xfId="747"/>
    <cellStyle name="1_시민계략공사_2003년 각종계산서(읽기전용)_내역서(전기)_수배전반 관급자재 (양지중)_CCTV구간 가로등 내역서" xfId="748"/>
    <cellStyle name="1_시민계략공사_2003년 각종계산서(읽기전용)_내역서(전기)_수배전반 관급자재 (양지중)_CCTV구간 가로등 내역서_CCTV구간 가로등 내역서(R)" xfId="749"/>
    <cellStyle name="1_시민계략공사_2003년 각종계산서(읽기전용)_내역서(전기)_수배전반 관급자재 (양지중)_CCTV구간 가로등 내역서_CCTV구간 가로등 내역서(원본)" xfId="750"/>
    <cellStyle name="1_시민계략공사_2003년 각종계산서(읽기전용)_내역서(전기)_수배전반 관급자재 (양지중)_정남진버섯배지,종균분센터신축전기공사-MCCA판넬삭제" xfId="751"/>
    <cellStyle name="1_시민계략공사_2003년 각종계산서(읽기전용)_내역서(전기)_수배전반 관급자재 (양지중)_정남진버섯배지,종균분센터신축전기공사-MCCA판넬삭제_CCTV구간 가로등 내역서" xfId="752"/>
    <cellStyle name="1_시민계략공사_2003년 각종계산서(읽기전용)_내역서(전기)_수배전반 관급자재 (양지중)_정남진버섯배지,종균분센터신축전기공사-MCCA판넬삭제_CCTV구간 가로등 내역서_CCTV구간 가로등 내역서(R)" xfId="753"/>
    <cellStyle name="1_시민계략공사_2003년 각종계산서(읽기전용)_내역서(전기)_수배전반 관급자재 (양지중)_정남진버섯배지,종균분센터신축전기공사-MCCA판넬삭제_CCTV구간 가로등 내역서_CCTV구간 가로등 내역서(원본)" xfId="754"/>
    <cellStyle name="1_시민계략공사_2003년 각종계산서(읽기전용)_내역서(전기)_수배전반 관급자재 (양지중)_정남진버섯배지,종균분센터신축통신공사" xfId="755"/>
    <cellStyle name="1_시민계략공사_2003년 각종계산서(읽기전용)_내역서(전기)_수배전반 관급자재 (양지중)_정남진버섯배지,종균분센터신축통신공사_CCTV구간 가로등 내역서" xfId="756"/>
    <cellStyle name="1_시민계략공사_2003년 각종계산서(읽기전용)_내역서(전기)_수배전반 관급자재 (양지중)_정남진버섯배지,종균분센터신축통신공사_CCTV구간 가로등 내역서_CCTV구간 가로등 내역서(R)" xfId="757"/>
    <cellStyle name="1_시민계략공사_2003년 각종계산서(읽기전용)_내역서(전기)_수배전반 관급자재 (양지중)_정남진버섯배지,종균분센터신축통신공사_CCTV구간 가로등 내역서_CCTV구간 가로등 내역서(원본)" xfId="758"/>
    <cellStyle name="1_시민계략공사_2003년 각종계산서(읽기전용)_내역서(전기)_수배전반 관급자재 (양지중)_정남진버섯배지,종균분센터신축통신공사_정남진버섯배지,종균분센터신축전기공사-MCCA판넬삭제" xfId="759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" xfId="760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_CCTV구간 가로등 내역서(R)" xfId="761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_CCTV구간 가로등 내역서(원본)" xfId="762"/>
    <cellStyle name="1_시민계략공사_2003년 각종계산서(읽기전용)_내역서(전기)_수배전반 관급자재 (양지중)_지원동증축예산안" xfId="763"/>
    <cellStyle name="1_시민계략공사_2003년 각종계산서(읽기전용)_내역서(전기)_수배전반 관급자재 (양지중)_지원동증축예산안_CCTV구간 가로등 내역서" xfId="764"/>
    <cellStyle name="1_시민계략공사_2003년 각종계산서(읽기전용)_내역서(전기)_수배전반 관급자재 (양지중)_지원동증축예산안_CCTV구간 가로등 내역서_CCTV구간 가로등 내역서(R)" xfId="765"/>
    <cellStyle name="1_시민계략공사_2003년 각종계산서(읽기전용)_내역서(전기)_수배전반 관급자재 (양지중)_지원동증축예산안_CCTV구간 가로등 내역서_CCTV구간 가로등 내역서(원본)" xfId="766"/>
    <cellStyle name="1_시민계략공사_2003년 각종계산서(읽기전용)_내역서(전기)_수배전반 관급자재 (양지중)_지원동증축예산안_정남진버섯배지,종균분센터신축전기공사-MCCA판넬삭제" xfId="767"/>
    <cellStyle name="1_시민계략공사_2003년 각종계산서(읽기전용)_내역서(전기)_수배전반 관급자재 (양지중)_지원동증축예산안_정남진버섯배지,종균분센터신축전기공사-MCCA판넬삭제_CCTV구간 가로등 내역서" xfId="768"/>
    <cellStyle name="1_시민계략공사_2003년 각종계산서(읽기전용)_내역서(전기)_수배전반 관급자재 (양지중)_지원동증축예산안_정남진버섯배지,종균분센터신축전기공사-MCCA판넬삭제_CCTV구간 가로등 내역서_CCTV구간 가로등 내역서(R)" xfId="769"/>
    <cellStyle name="1_시민계략공사_2003년 각종계산서(읽기전용)_내역서(전기)_수배전반 관급자재 (양지중)_지원동증축예산안_정남진버섯배지,종균분센터신축전기공사-MCCA판넬삭제_CCTV구간 가로등 내역서_CCTV구간 가로등 내역서(원본)" xfId="770"/>
    <cellStyle name="1_시민계략공사_2003년 각종계산서(읽기전용)_내역서(전기)_양지중교사신축전기공사(최종)" xfId="771"/>
    <cellStyle name="1_시민계략공사_2003년 각종계산서(읽기전용)_내역서(전기)_양지중교사신축전기공사(최종)_CCTV구간 가로등 내역서" xfId="772"/>
    <cellStyle name="1_시민계략공사_2003년 각종계산서(읽기전용)_내역서(전기)_양지중교사신축전기공사(최종)_CCTV구간 가로등 내역서_CCTV구간 가로등 내역서(R)" xfId="773"/>
    <cellStyle name="1_시민계략공사_2003년 각종계산서(읽기전용)_내역서(전기)_양지중교사신축전기공사(최종)_CCTV구간 가로등 내역서_CCTV구간 가로등 내역서(원본)" xfId="774"/>
    <cellStyle name="1_시민계략공사_2003년 각종계산서(읽기전용)_내역서(전기)_양지중교사신축전기공사(최종)_정남진버섯배지,종균분센터신축전기공사-MCCA판넬삭제" xfId="775"/>
    <cellStyle name="1_시민계략공사_2003년 각종계산서(읽기전용)_내역서(전기)_양지중교사신축전기공사(최종)_정남진버섯배지,종균분센터신축전기공사-MCCA판넬삭제_CCTV구간 가로등 내역서" xfId="776"/>
    <cellStyle name="1_시민계략공사_2003년 각종계산서(읽기전용)_내역서(전기)_양지중교사신축전기공사(최종)_정남진버섯배지,종균분센터신축전기공사-MCCA판넬삭제_CCTV구간 가로등 내역서_CCTV구간 가로등 내역서(R)" xfId="777"/>
    <cellStyle name="1_시민계략공사_2003년 각종계산서(읽기전용)_내역서(전기)_양지중교사신축전기공사(최종)_정남진버섯배지,종균분센터신축전기공사-MCCA판넬삭제_CCTV구간 가로등 내역서_CCTV구간 가로등 내역서(원본)" xfId="778"/>
    <cellStyle name="1_시민계략공사_2003년 각종계산서(읽기전용)_내역서(전기)_양지중교사신축전기공사(최종)_정남진버섯배지,종균분센터신축통신공사" xfId="779"/>
    <cellStyle name="1_시민계략공사_2003년 각종계산서(읽기전용)_내역서(전기)_양지중교사신축전기공사(최종)_정남진버섯배지,종균분센터신축통신공사_CCTV구간 가로등 내역서" xfId="780"/>
    <cellStyle name="1_시민계략공사_2003년 각종계산서(읽기전용)_내역서(전기)_양지중교사신축전기공사(최종)_정남진버섯배지,종균분센터신축통신공사_CCTV구간 가로등 내역서_CCTV구간 가로등 내역서(R)" xfId="781"/>
    <cellStyle name="1_시민계략공사_2003년 각종계산서(읽기전용)_내역서(전기)_양지중교사신축전기공사(최종)_정남진버섯배지,종균분센터신축통신공사_CCTV구간 가로등 내역서_CCTV구간 가로등 내역서(원본)" xfId="782"/>
    <cellStyle name="1_시민계략공사_2003년 각종계산서(읽기전용)_내역서(전기)_양지중교사신축전기공사(최종)_정남진버섯배지,종균분센터신축통신공사_정남진버섯배지,종균분센터신축전기공사-MCCA판넬삭제" xfId="783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" xfId="784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_CCTV구간 가로등 내역서(R)" xfId="785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_CCTV구간 가로등 내역서(원본)" xfId="786"/>
    <cellStyle name="1_시민계략공사_2003년 각종계산서(읽기전용)_내역서(전기)_양지중교사신축전기공사(최종)_지원동증축예산안" xfId="787"/>
    <cellStyle name="1_시민계략공사_2003년 각종계산서(읽기전용)_내역서(전기)_양지중교사신축전기공사(최종)_지원동증축예산안_CCTV구간 가로등 내역서" xfId="788"/>
    <cellStyle name="1_시민계략공사_2003년 각종계산서(읽기전용)_내역서(전기)_양지중교사신축전기공사(최종)_지원동증축예산안_CCTV구간 가로등 내역서_CCTV구간 가로등 내역서(R)" xfId="789"/>
    <cellStyle name="1_시민계략공사_2003년 각종계산서(읽기전용)_내역서(전기)_양지중교사신축전기공사(최종)_지원동증축예산안_CCTV구간 가로등 내역서_CCTV구간 가로등 내역서(원본)" xfId="790"/>
    <cellStyle name="1_시민계략공사_2003년 각종계산서(읽기전용)_내역서(전기)_양지중교사신축전기공사(최종)_지원동증축예산안_정남진버섯배지,종균분센터신축전기공사-MCCA판넬삭제" xfId="791"/>
    <cellStyle name="1_시민계략공사_2003년 각종계산서(읽기전용)_내역서(전기)_양지중교사신축전기공사(최종)_지원동증축예산안_정남진버섯배지,종균분센터신축전기공사-MCCA판넬삭제_CCTV구간 가로등 내역서" xfId="792"/>
    <cellStyle name="1_시민계략공사_2003년 각종계산서(읽기전용)_내역서(전기)_양지중교사신축전기공사(최종)_지원동증축예산안_정남진버섯배지,종균분센터신축전기공사-MCCA판넬삭제_CCTV구간 가로등 내역서_CCTV구간 가로등 내역서(R)" xfId="793"/>
    <cellStyle name="1_시민계략공사_2003년 각종계산서(읽기전용)_내역서(전기)_양지중교사신축전기공사(최종)_지원동증축예산안_정남진버섯배지,종균분센터신축전기공사-MCCA판넬삭제_CCTV구간 가로등 내역서_CCTV구간 가로등 내역서(원본)" xfId="794"/>
    <cellStyle name="1_시민계략공사_2003년 각종계산서(읽기전용)_내역서(전기)_정남진버섯배지,종균분센터신축전기공사-MCCA판넬삭제" xfId="795"/>
    <cellStyle name="1_시민계략공사_2003년 각종계산서(읽기전용)_내역서(전기)_정남진버섯배지,종균분센터신축전기공사-MCCA판넬삭제_CCTV구간 가로등 내역서" xfId="796"/>
    <cellStyle name="1_시민계략공사_2003년 각종계산서(읽기전용)_내역서(전기)_정남진버섯배지,종균분센터신축전기공사-MCCA판넬삭제_CCTV구간 가로등 내역서_CCTV구간 가로등 내역서(R)" xfId="797"/>
    <cellStyle name="1_시민계략공사_2003년 각종계산서(읽기전용)_내역서(전기)_정남진버섯배지,종균분센터신축전기공사-MCCA판넬삭제_CCTV구간 가로등 내역서_CCTV구간 가로등 내역서(원본)" xfId="798"/>
    <cellStyle name="1_시민계략공사_2003년 각종계산서(읽기전용)_내역서(전기)_정남진버섯배지,종균분센터신축통신공사" xfId="799"/>
    <cellStyle name="1_시민계략공사_2003년 각종계산서(읽기전용)_내역서(전기)_정남진버섯배지,종균분센터신축통신공사_CCTV구간 가로등 내역서" xfId="800"/>
    <cellStyle name="1_시민계략공사_2003년 각종계산서(읽기전용)_내역서(전기)_정남진버섯배지,종균분센터신축통신공사_CCTV구간 가로등 내역서_CCTV구간 가로등 내역서(R)" xfId="801"/>
    <cellStyle name="1_시민계략공사_2003년 각종계산서(읽기전용)_내역서(전기)_정남진버섯배지,종균분센터신축통신공사_CCTV구간 가로등 내역서_CCTV구간 가로등 내역서(원본)" xfId="802"/>
    <cellStyle name="1_시민계략공사_2003년 각종계산서(읽기전용)_내역서(전기)_정남진버섯배지,종균분센터신축통신공사_정남진버섯배지,종균분센터신축전기공사-MCCA판넬삭제" xfId="803"/>
    <cellStyle name="1_시민계략공사_2003년 각종계산서(읽기전용)_내역서(전기)_정남진버섯배지,종균분센터신축통신공사_정남진버섯배지,종균분센터신축전기공사-MCCA판넬삭제_CCTV구간 가로등 내역서" xfId="804"/>
    <cellStyle name="1_시민계략공사_2003년 각종계산서(읽기전용)_내역서(전기)_정남진버섯배지,종균분센터신축통신공사_정남진버섯배지,종균분센터신축전기공사-MCCA판넬삭제_CCTV구간 가로등 내역서_CCTV구간 가로등 내역서(R)" xfId="805"/>
    <cellStyle name="1_시민계략공사_2003년 각종계산서(읽기전용)_내역서(전기)_정남진버섯배지,종균분센터신축통신공사_정남진버섯배지,종균분센터신축전기공사-MCCA판넬삭제_CCTV구간 가로등 내역서_CCTV구간 가로등 내역서(원본)" xfId="806"/>
    <cellStyle name="1_시민계략공사_2003년 각종계산서(읽기전용)_내역서(전기)_지원동증축예산안" xfId="807"/>
    <cellStyle name="1_시민계략공사_2003년 각종계산서(읽기전용)_내역서(전기)_지원동증축예산안_CCTV구간 가로등 내역서" xfId="808"/>
    <cellStyle name="1_시민계략공사_2003년 각종계산서(읽기전용)_내역서(전기)_지원동증축예산안_CCTV구간 가로등 내역서_CCTV구간 가로등 내역서(R)" xfId="809"/>
    <cellStyle name="1_시민계략공사_2003년 각종계산서(읽기전용)_내역서(전기)_지원동증축예산안_CCTV구간 가로등 내역서_CCTV구간 가로등 내역서(원본)" xfId="810"/>
    <cellStyle name="1_시민계략공사_2003년 각종계산서(읽기전용)_내역서(전기)_지원동증축예산안_정남진버섯배지,종균분센터신축전기공사-MCCA판넬삭제" xfId="811"/>
    <cellStyle name="1_시민계략공사_2003년 각종계산서(읽기전용)_내역서(전기)_지원동증축예산안_정남진버섯배지,종균분센터신축전기공사-MCCA판넬삭제_CCTV구간 가로등 내역서" xfId="812"/>
    <cellStyle name="1_시민계략공사_2003년 각종계산서(읽기전용)_내역서(전기)_지원동증축예산안_정남진버섯배지,종균분센터신축전기공사-MCCA판넬삭제_CCTV구간 가로등 내역서_CCTV구간 가로등 내역서(R)" xfId="813"/>
    <cellStyle name="1_시민계략공사_2003년 각종계산서(읽기전용)_내역서(전기)_지원동증축예산안_정남진버섯배지,종균분센터신축전기공사-MCCA판넬삭제_CCTV구간 가로등 내역서_CCTV구간 가로등 내역서(원본)" xfId="814"/>
    <cellStyle name="1_시민계략공사_2003년 각종계산서(읽기전용)_내역서(전기)_청계초등학교수전설비및냉난방시설공사" xfId="815"/>
    <cellStyle name="1_시민계략공사_2003년 각종계산서(읽기전용)_내역서(전기)_청계초등학교수전설비및냉난방시설공사_CCTV구간 가로등 내역서" xfId="816"/>
    <cellStyle name="1_시민계략공사_2003년 각종계산서(읽기전용)_내역서(전기)_청계초등학교수전설비및냉난방시설공사_CCTV구간 가로등 내역서_CCTV구간 가로등 내역서(R)" xfId="817"/>
    <cellStyle name="1_시민계략공사_2003년 각종계산서(읽기전용)_내역서(전기)_청계초등학교수전설비및냉난방시설공사_CCTV구간 가로등 내역서_CCTV구간 가로등 내역서(원본)" xfId="818"/>
    <cellStyle name="1_시민계략공사_2003년 각종계산서(읽기전용)_내역서(전기)_청계초등학교수전설비및냉난방시설공사_정남진버섯배지,종균분센터신축전기공사-MCCA판넬삭제" xfId="819"/>
    <cellStyle name="1_시민계략공사_2003년 각종계산서(읽기전용)_내역서(전기)_청계초등학교수전설비및냉난방시설공사_정남진버섯배지,종균분센터신축전기공사-MCCA판넬삭제_CCTV구간 가로등 내역서" xfId="820"/>
    <cellStyle name="1_시민계략공사_2003년 각종계산서(읽기전용)_내역서(전기)_청계초등학교수전설비및냉난방시설공사_정남진버섯배지,종균분센터신축전기공사-MCCA판넬삭제_CCTV구간 가로등 내역서_CCTV구간 가로등 내역서(R)" xfId="821"/>
    <cellStyle name="1_시민계략공사_2003년 각종계산서(읽기전용)_내역서(전기)_청계초등학교수전설비및냉난방시설공사_정남진버섯배지,종균분센터신축전기공사-MCCA판넬삭제_CCTV구간 가로등 내역서_CCTV구간 가로등 내역서(원본)" xfId="822"/>
    <cellStyle name="1_시민계략공사_2003년 각종계산서(읽기전용)_내역서(전기)_청계초등학교수전설비및냉난방시설공사_정남진버섯배지,종균분센터신축통신공사" xfId="823"/>
    <cellStyle name="1_시민계략공사_2003년 각종계산서(읽기전용)_내역서(전기)_청계초등학교수전설비및냉난방시설공사_정남진버섯배지,종균분센터신축통신공사_CCTV구간 가로등 내역서" xfId="824"/>
    <cellStyle name="1_시민계략공사_2003년 각종계산서(읽기전용)_내역서(전기)_청계초등학교수전설비및냉난방시설공사_정남진버섯배지,종균분센터신축통신공사_CCTV구간 가로등 내역서_CCTV구간 가로등 내역서(R)" xfId="825"/>
    <cellStyle name="1_시민계략공사_2003년 각종계산서(읽기전용)_내역서(전기)_청계초등학교수전설비및냉난방시설공사_정남진버섯배지,종균분센터신축통신공사_CCTV구간 가로등 내역서_CCTV구간 가로등 내역서(원본)" xfId="826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" xfId="827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" xfId="828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_CCTV구간 가로등 내역서(R)" xfId="829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830"/>
    <cellStyle name="1_시민계략공사_2003년 각종계산서(읽기전용)_내역서(전기)_청계초등학교수전설비및냉난방시설공사_지원동증축예산안" xfId="831"/>
    <cellStyle name="1_시민계략공사_2003년 각종계산서(읽기전용)_내역서(전기)_청계초등학교수전설비및냉난방시설공사_지원동증축예산안_CCTV구간 가로등 내역서" xfId="832"/>
    <cellStyle name="1_시민계략공사_2003년 각종계산서(읽기전용)_내역서(전기)_청계초등학교수전설비및냉난방시설공사_지원동증축예산안_CCTV구간 가로등 내역서_CCTV구간 가로등 내역서(R)" xfId="833"/>
    <cellStyle name="1_시민계략공사_2003년 각종계산서(읽기전용)_내역서(전기)_청계초등학교수전설비및냉난방시설공사_지원동증축예산안_CCTV구간 가로등 내역서_CCTV구간 가로등 내역서(원본)" xfId="834"/>
    <cellStyle name="1_시민계략공사_2003년 각종계산서(읽기전용)_내역서(전기)_청계초등학교수전설비및냉난방시설공사_지원동증축예산안_정남진버섯배지,종균분센터신축전기공사-MCCA판넬삭제" xfId="835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" xfId="836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_CCTV구간 가로등 내역서(R)" xfId="837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_CCTV구간 가로등 내역서(원본)" xfId="838"/>
    <cellStyle name="1_시민계략공사_2003년 각종계산서(읽기전용)_내역서(전기)_청계초등학교수전설비및냉난방전기시설공사" xfId="839"/>
    <cellStyle name="1_시민계략공사_2003년 각종계산서(읽기전용)_내역서(전기)_청계초등학교수전설비및냉난방전기시설공사_CCTV구간 가로등 내역서" xfId="840"/>
    <cellStyle name="1_시민계략공사_2003년 각종계산서(읽기전용)_내역서(전기)_청계초등학교수전설비및냉난방전기시설공사_CCTV구간 가로등 내역서_CCTV구간 가로등 내역서(R)" xfId="841"/>
    <cellStyle name="1_시민계략공사_2003년 각종계산서(읽기전용)_내역서(전기)_청계초등학교수전설비및냉난방전기시설공사_CCTV구간 가로등 내역서_CCTV구간 가로등 내역서(원본)" xfId="842"/>
    <cellStyle name="1_시민계략공사_2003년 각종계산서(읽기전용)_내역서(전기)_청계초등학교수전설비및냉난방전기시설공사_정남진버섯배지,종균분센터신축전기공사-MCCA판넬삭제" xfId="843"/>
    <cellStyle name="1_시민계략공사_2003년 각종계산서(읽기전용)_내역서(전기)_청계초등학교수전설비및냉난방전기시설공사_정남진버섯배지,종균분센터신축전기공사-MCCA판넬삭제_CCTV구간 가로등 내역서" xfId="844"/>
    <cellStyle name="1_시민계략공사_2003년 각종계산서(읽기전용)_내역서(전기)_청계초등학교수전설비및냉난방전기시설공사_정남진버섯배지,종균분센터신축전기공사-MCCA판넬삭제_CCTV구간 가로등 내역서_CCTV구간 가로등 내역서(R)" xfId="845"/>
    <cellStyle name="1_시민계략공사_2003년 각종계산서(읽기전용)_내역서(전기)_청계초등학교수전설비및냉난방전기시설공사_정남진버섯배지,종균분센터신축전기공사-MCCA판넬삭제_CCTV구간 가로등 내역서_CCTV구간 가로등 내역서(원본)" xfId="846"/>
    <cellStyle name="1_시민계략공사_2003년 각종계산서(읽기전용)_내역서(전기)_청계초등학교수전설비및냉난방전기시설공사_정남진버섯배지,종균분센터신축통신공사" xfId="847"/>
    <cellStyle name="1_시민계략공사_2003년 각종계산서(읽기전용)_내역서(전기)_청계초등학교수전설비및냉난방전기시설공사_정남진버섯배지,종균분센터신축통신공사_CCTV구간 가로등 내역서" xfId="848"/>
    <cellStyle name="1_시민계략공사_2003년 각종계산서(읽기전용)_내역서(전기)_청계초등학교수전설비및냉난방전기시설공사_정남진버섯배지,종균분센터신축통신공사_CCTV구간 가로등 내역서_CCTV구간 가로등 내역서(R)" xfId="849"/>
    <cellStyle name="1_시민계략공사_2003년 각종계산서(읽기전용)_내역서(전기)_청계초등학교수전설비및냉난방전기시설공사_정남진버섯배지,종균분센터신축통신공사_CCTV구간 가로등 내역서_CCTV구간 가로등 내역서(원본)" xfId="850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" xfId="851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" xfId="852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853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854"/>
    <cellStyle name="1_시민계략공사_2003년 각종계산서(읽기전용)_내역서(전기)_청계초등학교수전설비및냉난방전기시설공사_지원동증축예산안" xfId="855"/>
    <cellStyle name="1_시민계략공사_2003년 각종계산서(읽기전용)_내역서(전기)_청계초등학교수전설비및냉난방전기시설공사_지원동증축예산안_CCTV구간 가로등 내역서" xfId="856"/>
    <cellStyle name="1_시민계략공사_2003년 각종계산서(읽기전용)_내역서(전기)_청계초등학교수전설비및냉난방전기시설공사_지원동증축예산안_CCTV구간 가로등 내역서_CCTV구간 가로등 내역서(R)" xfId="857"/>
    <cellStyle name="1_시민계략공사_2003년 각종계산서(읽기전용)_내역서(전기)_청계초등학교수전설비및냉난방전기시설공사_지원동증축예산안_CCTV구간 가로등 내역서_CCTV구간 가로등 내역서(원본)" xfId="858"/>
    <cellStyle name="1_시민계략공사_2003년 각종계산서(읽기전용)_내역서(전기)_청계초등학교수전설비및냉난방전기시설공사_지원동증축예산안_정남진버섯배지,종균분센터신축전기공사-MCCA판넬삭제" xfId="859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" xfId="860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_CCTV구간 가로등 내역서(R)" xfId="861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_CCTV구간 가로등 내역서(원본)" xfId="862"/>
    <cellStyle name="1_시민계략공사_2003년 각종계산서(읽기전용)_내역서(전기)_함평교육청 전기시설 보수공사(냉,난방)-5월24일" xfId="863"/>
    <cellStyle name="1_시민계략공사_2003년 각종계산서(읽기전용)_내역서(전기)_함평교육청 전기시설 보수공사(냉,난방)-5월24일_CCTV구간 가로등 내역서" xfId="864"/>
    <cellStyle name="1_시민계략공사_2003년 각종계산서(읽기전용)_내역서(전기)_함평교육청 전기시설 보수공사(냉,난방)-5월24일_CCTV구간 가로등 내역서_CCTV구간 가로등 내역서(R)" xfId="865"/>
    <cellStyle name="1_시민계략공사_2003년 각종계산서(읽기전용)_내역서(전기)_함평교육청 전기시설 보수공사(냉,난방)-5월24일_CCTV구간 가로등 내역서_CCTV구간 가로등 내역서(원본)" xfId="866"/>
    <cellStyle name="1_시민계략공사_2003년 각종계산서(읽기전용)_내역서(전기)_함평교육청 전기시설 보수공사(냉,난방)-5월24일_정남진버섯배지,종균분센터신축전기공사-MCCA판넬삭제" xfId="867"/>
    <cellStyle name="1_시민계략공사_2003년 각종계산서(읽기전용)_내역서(전기)_함평교육청 전기시설 보수공사(냉,난방)-5월24일_정남진버섯배지,종균분센터신축전기공사-MCCA판넬삭제_CCTV구간 가로등 내역서" xfId="868"/>
    <cellStyle name="1_시민계략공사_2003년 각종계산서(읽기전용)_내역서(전기)_함평교육청 전기시설 보수공사(냉,난방)-5월24일_정남진버섯배지,종균분센터신축전기공사-MCCA판넬삭제_CCTV구간 가로등 내역서_CCTV구간 가로등 내역서(R)" xfId="869"/>
    <cellStyle name="1_시민계략공사_2003년 각종계산서(읽기전용)_내역서(전기)_함평교육청 전기시설 보수공사(냉,난방)-5월24일_정남진버섯배지,종균분센터신축전기공사-MCCA판넬삭제_CCTV구간 가로등 내역서_CCTV구간 가로등 내역서(원본)" xfId="870"/>
    <cellStyle name="1_시민계략공사_2003년 각종계산서(읽기전용)_내역서(전기)_함평교육청 전기시설 보수공사(냉,난방)-5월24일_정남진버섯배지,종균분센터신축통신공사" xfId="871"/>
    <cellStyle name="1_시민계략공사_2003년 각종계산서(읽기전용)_내역서(전기)_함평교육청 전기시설 보수공사(냉,난방)-5월24일_정남진버섯배지,종균분센터신축통신공사_CCTV구간 가로등 내역서" xfId="872"/>
    <cellStyle name="1_시민계략공사_2003년 각종계산서(읽기전용)_내역서(전기)_함평교육청 전기시설 보수공사(냉,난방)-5월24일_정남진버섯배지,종균분센터신축통신공사_CCTV구간 가로등 내역서_CCTV구간 가로등 내역서(R)" xfId="873"/>
    <cellStyle name="1_시민계략공사_2003년 각종계산서(읽기전용)_내역서(전기)_함평교육청 전기시설 보수공사(냉,난방)-5월24일_정남진버섯배지,종균분센터신축통신공사_CCTV구간 가로등 내역서_CCTV구간 가로등 내역서(원본)" xfId="874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" xfId="875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" xfId="876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877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878"/>
    <cellStyle name="1_시민계략공사_2003년 각종계산서(읽기전용)_내역서(전기)_함평교육청 전기시설 보수공사(냉,난방)-5월24일_지원동증축예산안" xfId="879"/>
    <cellStyle name="1_시민계략공사_2003년 각종계산서(읽기전용)_내역서(전기)_함평교육청 전기시설 보수공사(냉,난방)-5월24일_지원동증축예산안_CCTV구간 가로등 내역서" xfId="880"/>
    <cellStyle name="1_시민계략공사_2003년 각종계산서(읽기전용)_내역서(전기)_함평교육청 전기시설 보수공사(냉,난방)-5월24일_지원동증축예산안_CCTV구간 가로등 내역서_CCTV구간 가로등 내역서(R)" xfId="881"/>
    <cellStyle name="1_시민계략공사_2003년 각종계산서(읽기전용)_내역서(전기)_함평교육청 전기시설 보수공사(냉,난방)-5월24일_지원동증축예산안_CCTV구간 가로등 내역서_CCTV구간 가로등 내역서(원본)" xfId="882"/>
    <cellStyle name="1_시민계략공사_2003년 각종계산서(읽기전용)_내역서(전기)_함평교육청 전기시설 보수공사(냉,난방)-5월24일_지원동증축예산안_정남진버섯배지,종균분센터신축전기공사-MCCA판넬삭제" xfId="883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" xfId="884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_CCTV구간 가로등 내역서(R)" xfId="885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_CCTV구간 가로등 내역서(원본)" xfId="886"/>
    <cellStyle name="1_시민계략공사_2003년 각종계산서(읽기전용)_삼청로길(내역서04월07일)" xfId="5392"/>
    <cellStyle name="1_시민계략공사_2003년 각종계산서(읽기전용)_삼청로길(인공)" xfId="5393"/>
    <cellStyle name="1_시민계략공사_2003년 각종계산서(읽기전용)_삼청로길(최종 내역서)" xfId="5394"/>
    <cellStyle name="1_시민계략공사_2003년 각종계산서(읽기전용)_수배전반 관급자재 (양지중)" xfId="887"/>
    <cellStyle name="1_시민계략공사_2003년 각종계산서(읽기전용)_수배전반 관급자재 (양지중)_CCTV구간 가로등 내역서" xfId="888"/>
    <cellStyle name="1_시민계략공사_2003년 각종계산서(읽기전용)_수배전반 관급자재 (양지중)_CCTV구간 가로등 내역서_CCTV구간 가로등 내역서(R)" xfId="889"/>
    <cellStyle name="1_시민계략공사_2003년 각종계산서(읽기전용)_수배전반 관급자재 (양지중)_CCTV구간 가로등 내역서_CCTV구간 가로등 내역서(원본)" xfId="890"/>
    <cellStyle name="1_시민계략공사_2003년 각종계산서(읽기전용)_수배전반 관급자재 (양지중)_정남진버섯배지,종균분센터신축전기공사-MCCA판넬삭제" xfId="891"/>
    <cellStyle name="1_시민계략공사_2003년 각종계산서(읽기전용)_수배전반 관급자재 (양지중)_정남진버섯배지,종균분센터신축전기공사-MCCA판넬삭제_CCTV구간 가로등 내역서" xfId="892"/>
    <cellStyle name="1_시민계략공사_2003년 각종계산서(읽기전용)_수배전반 관급자재 (양지중)_정남진버섯배지,종균분센터신축전기공사-MCCA판넬삭제_CCTV구간 가로등 내역서_CCTV구간 가로등 내역서(R)" xfId="893"/>
    <cellStyle name="1_시민계략공사_2003년 각종계산서(읽기전용)_수배전반 관급자재 (양지중)_정남진버섯배지,종균분센터신축전기공사-MCCA판넬삭제_CCTV구간 가로등 내역서_CCTV구간 가로등 내역서(원본)" xfId="894"/>
    <cellStyle name="1_시민계략공사_2003년 각종계산서(읽기전용)_수배전반 관급자재 (양지중)_정남진버섯배지,종균분센터신축통신공사" xfId="895"/>
    <cellStyle name="1_시민계략공사_2003년 각종계산서(읽기전용)_수배전반 관급자재 (양지중)_정남진버섯배지,종균분센터신축통신공사_CCTV구간 가로등 내역서" xfId="896"/>
    <cellStyle name="1_시민계략공사_2003년 각종계산서(읽기전용)_수배전반 관급자재 (양지중)_정남진버섯배지,종균분센터신축통신공사_CCTV구간 가로등 내역서_CCTV구간 가로등 내역서(R)" xfId="897"/>
    <cellStyle name="1_시민계략공사_2003년 각종계산서(읽기전용)_수배전반 관급자재 (양지중)_정남진버섯배지,종균분센터신축통신공사_CCTV구간 가로등 내역서_CCTV구간 가로등 내역서(원본)" xfId="898"/>
    <cellStyle name="1_시민계략공사_2003년 각종계산서(읽기전용)_수배전반 관급자재 (양지중)_정남진버섯배지,종균분센터신축통신공사_정남진버섯배지,종균분센터신축전기공사-MCCA판넬삭제" xfId="899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" xfId="900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_CCTV구간 가로등 내역서(R)" xfId="901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_CCTV구간 가로등 내역서(원본)" xfId="902"/>
    <cellStyle name="1_시민계략공사_2003년 각종계산서(읽기전용)_수배전반 관급자재 (양지중)_지원동증축예산안" xfId="903"/>
    <cellStyle name="1_시민계략공사_2003년 각종계산서(읽기전용)_수배전반 관급자재 (양지중)_지원동증축예산안_CCTV구간 가로등 내역서" xfId="904"/>
    <cellStyle name="1_시민계략공사_2003년 각종계산서(읽기전용)_수배전반 관급자재 (양지중)_지원동증축예산안_CCTV구간 가로등 내역서_CCTV구간 가로등 내역서(R)" xfId="905"/>
    <cellStyle name="1_시민계략공사_2003년 각종계산서(읽기전용)_수배전반 관급자재 (양지중)_지원동증축예산안_CCTV구간 가로등 내역서_CCTV구간 가로등 내역서(원본)" xfId="906"/>
    <cellStyle name="1_시민계략공사_2003년 각종계산서(읽기전용)_수배전반 관급자재 (양지중)_지원동증축예산안_정남진버섯배지,종균분센터신축전기공사-MCCA판넬삭제" xfId="907"/>
    <cellStyle name="1_시민계략공사_2003년 각종계산서(읽기전용)_수배전반 관급자재 (양지중)_지원동증축예산안_정남진버섯배지,종균분센터신축전기공사-MCCA판넬삭제_CCTV구간 가로등 내역서" xfId="908"/>
    <cellStyle name="1_시민계략공사_2003년 각종계산서(읽기전용)_수배전반 관급자재 (양지중)_지원동증축예산안_정남진버섯배지,종균분센터신축전기공사-MCCA판넬삭제_CCTV구간 가로등 내역서_CCTV구간 가로등 내역서(R)" xfId="909"/>
    <cellStyle name="1_시민계략공사_2003년 각종계산서(읽기전용)_수배전반 관급자재 (양지중)_지원동증축예산안_정남진버섯배지,종균분센터신축전기공사-MCCA판넬삭제_CCTV구간 가로등 내역서_CCTV구간 가로등 내역서(원본)" xfId="910"/>
    <cellStyle name="1_시민계략공사_2003년 각종계산서(읽기전용)_양지중교사신축전기공사(최종)" xfId="911"/>
    <cellStyle name="1_시민계략공사_2003년 각종계산서(읽기전용)_양지중교사신축전기공사(최종)_CCTV구간 가로등 내역서" xfId="912"/>
    <cellStyle name="1_시민계략공사_2003년 각종계산서(읽기전용)_양지중교사신축전기공사(최종)_CCTV구간 가로등 내역서_CCTV구간 가로등 내역서(R)" xfId="913"/>
    <cellStyle name="1_시민계략공사_2003년 각종계산서(읽기전용)_양지중교사신축전기공사(최종)_CCTV구간 가로등 내역서_CCTV구간 가로등 내역서(원본)" xfId="914"/>
    <cellStyle name="1_시민계략공사_2003년 각종계산서(읽기전용)_양지중교사신축전기공사(최종)_정남진버섯배지,종균분센터신축전기공사-MCCA판넬삭제" xfId="915"/>
    <cellStyle name="1_시민계략공사_2003년 각종계산서(읽기전용)_양지중교사신축전기공사(최종)_정남진버섯배지,종균분센터신축전기공사-MCCA판넬삭제_CCTV구간 가로등 내역서" xfId="916"/>
    <cellStyle name="1_시민계략공사_2003년 각종계산서(읽기전용)_양지중교사신축전기공사(최종)_정남진버섯배지,종균분센터신축전기공사-MCCA판넬삭제_CCTV구간 가로등 내역서_CCTV구간 가로등 내역서(R)" xfId="917"/>
    <cellStyle name="1_시민계략공사_2003년 각종계산서(읽기전용)_양지중교사신축전기공사(최종)_정남진버섯배지,종균분센터신축전기공사-MCCA판넬삭제_CCTV구간 가로등 내역서_CCTV구간 가로등 내역서(원본)" xfId="918"/>
    <cellStyle name="1_시민계략공사_2003년 각종계산서(읽기전용)_양지중교사신축전기공사(최종)_정남진버섯배지,종균분센터신축통신공사" xfId="919"/>
    <cellStyle name="1_시민계략공사_2003년 각종계산서(읽기전용)_양지중교사신축전기공사(최종)_정남진버섯배지,종균분센터신축통신공사_CCTV구간 가로등 내역서" xfId="920"/>
    <cellStyle name="1_시민계략공사_2003년 각종계산서(읽기전용)_양지중교사신축전기공사(최종)_정남진버섯배지,종균분센터신축통신공사_CCTV구간 가로등 내역서_CCTV구간 가로등 내역서(R)" xfId="921"/>
    <cellStyle name="1_시민계략공사_2003년 각종계산서(읽기전용)_양지중교사신축전기공사(최종)_정남진버섯배지,종균분센터신축통신공사_CCTV구간 가로등 내역서_CCTV구간 가로등 내역서(원본)" xfId="922"/>
    <cellStyle name="1_시민계략공사_2003년 각종계산서(읽기전용)_양지중교사신축전기공사(최종)_정남진버섯배지,종균분센터신축통신공사_정남진버섯배지,종균분센터신축전기공사-MCCA판넬삭제" xfId="923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" xfId="924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_CCTV구간 가로등 내역서(R)" xfId="925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_CCTV구간 가로등 내역서(원본)" xfId="926"/>
    <cellStyle name="1_시민계략공사_2003년 각종계산서(읽기전용)_양지중교사신축전기공사(최종)_지원동증축예산안" xfId="927"/>
    <cellStyle name="1_시민계략공사_2003년 각종계산서(읽기전용)_양지중교사신축전기공사(최종)_지원동증축예산안_CCTV구간 가로등 내역서" xfId="928"/>
    <cellStyle name="1_시민계략공사_2003년 각종계산서(읽기전용)_양지중교사신축전기공사(최종)_지원동증축예산안_CCTV구간 가로등 내역서_CCTV구간 가로등 내역서(R)" xfId="929"/>
    <cellStyle name="1_시민계략공사_2003년 각종계산서(읽기전용)_양지중교사신축전기공사(최종)_지원동증축예산안_CCTV구간 가로등 내역서_CCTV구간 가로등 내역서(원본)" xfId="930"/>
    <cellStyle name="1_시민계략공사_2003년 각종계산서(읽기전용)_양지중교사신축전기공사(최종)_지원동증축예산안_정남진버섯배지,종균분센터신축전기공사-MCCA판넬삭제" xfId="931"/>
    <cellStyle name="1_시민계략공사_2003년 각종계산서(읽기전용)_양지중교사신축전기공사(최종)_지원동증축예산안_정남진버섯배지,종균분센터신축전기공사-MCCA판넬삭제_CCTV구간 가로등 내역서" xfId="932"/>
    <cellStyle name="1_시민계략공사_2003년 각종계산서(읽기전용)_양지중교사신축전기공사(최종)_지원동증축예산안_정남진버섯배지,종균분센터신축전기공사-MCCA판넬삭제_CCTV구간 가로등 내역서_CCTV구간 가로등 내역서(R)" xfId="933"/>
    <cellStyle name="1_시민계략공사_2003년 각종계산서(읽기전용)_양지중교사신축전기공사(최종)_지원동증축예산안_정남진버섯배지,종균분센터신축전기공사-MCCA판넬삭제_CCTV구간 가로등 내역서_CCTV구간 가로등 내역서(원본)" xfId="934"/>
    <cellStyle name="1_시민계략공사_2003년 각종계산서(읽기전용)_정남진버섯배지,종균분센터신축전기공사-MCCA판넬삭제" xfId="935"/>
    <cellStyle name="1_시민계략공사_2003년 각종계산서(읽기전용)_정남진버섯배지,종균분센터신축전기공사-MCCA판넬삭제_CCTV구간 가로등 내역서" xfId="936"/>
    <cellStyle name="1_시민계략공사_2003년 각종계산서(읽기전용)_정남진버섯배지,종균분센터신축전기공사-MCCA판넬삭제_CCTV구간 가로등 내역서_CCTV구간 가로등 내역서(R)" xfId="937"/>
    <cellStyle name="1_시민계략공사_2003년 각종계산서(읽기전용)_정남진버섯배지,종균분센터신축전기공사-MCCA판넬삭제_CCTV구간 가로등 내역서_CCTV구간 가로등 내역서(원본)" xfId="938"/>
    <cellStyle name="1_시민계략공사_2003년 각종계산서(읽기전용)_정남진버섯배지,종균분센터신축통신공사" xfId="939"/>
    <cellStyle name="1_시민계략공사_2003년 각종계산서(읽기전용)_정남진버섯배지,종균분센터신축통신공사_CCTV구간 가로등 내역서" xfId="940"/>
    <cellStyle name="1_시민계략공사_2003년 각종계산서(읽기전용)_정남진버섯배지,종균분센터신축통신공사_CCTV구간 가로등 내역서_CCTV구간 가로등 내역서(R)" xfId="941"/>
    <cellStyle name="1_시민계략공사_2003년 각종계산서(읽기전용)_정남진버섯배지,종균분센터신축통신공사_CCTV구간 가로등 내역서_CCTV구간 가로등 내역서(원본)" xfId="942"/>
    <cellStyle name="1_시민계략공사_2003년 각종계산서(읽기전용)_정남진버섯배지,종균분센터신축통신공사_정남진버섯배지,종균분센터신축전기공사-MCCA판넬삭제" xfId="943"/>
    <cellStyle name="1_시민계략공사_2003년 각종계산서(읽기전용)_정남진버섯배지,종균분센터신축통신공사_정남진버섯배지,종균분센터신축전기공사-MCCA판넬삭제_CCTV구간 가로등 내역서" xfId="944"/>
    <cellStyle name="1_시민계략공사_2003년 각종계산서(읽기전용)_정남진버섯배지,종균분센터신축통신공사_정남진버섯배지,종균분센터신축전기공사-MCCA판넬삭제_CCTV구간 가로등 내역서_CCTV구간 가로등 내역서(R)" xfId="945"/>
    <cellStyle name="1_시민계략공사_2003년 각종계산서(읽기전용)_정남진버섯배지,종균분센터신축통신공사_정남진버섯배지,종균분센터신축전기공사-MCCA판넬삭제_CCTV구간 가로등 내역서_CCTV구간 가로등 내역서(원본)" xfId="946"/>
    <cellStyle name="1_시민계략공사_2003년 각종계산서(읽기전용)_지원동증축예산안" xfId="947"/>
    <cellStyle name="1_시민계략공사_2003년 각종계산서(읽기전용)_지원동증축예산안_CCTV구간 가로등 내역서" xfId="948"/>
    <cellStyle name="1_시민계략공사_2003년 각종계산서(읽기전용)_지원동증축예산안_CCTV구간 가로등 내역서_CCTV구간 가로등 내역서(R)" xfId="949"/>
    <cellStyle name="1_시민계략공사_2003년 각종계산서(읽기전용)_지원동증축예산안_CCTV구간 가로등 내역서_CCTV구간 가로등 내역서(원본)" xfId="950"/>
    <cellStyle name="1_시민계략공사_2003년 각종계산서(읽기전용)_지원동증축예산안_정남진버섯배지,종균분센터신축전기공사-MCCA판넬삭제" xfId="951"/>
    <cellStyle name="1_시민계략공사_2003년 각종계산서(읽기전용)_지원동증축예산안_정남진버섯배지,종균분센터신축전기공사-MCCA판넬삭제_CCTV구간 가로등 내역서" xfId="952"/>
    <cellStyle name="1_시민계략공사_2003년 각종계산서(읽기전용)_지원동증축예산안_정남진버섯배지,종균분센터신축전기공사-MCCA판넬삭제_CCTV구간 가로등 내역서_CCTV구간 가로등 내역서(R)" xfId="953"/>
    <cellStyle name="1_시민계략공사_2003년 각종계산서(읽기전용)_지원동증축예산안_정남진버섯배지,종균분센터신축전기공사-MCCA판넬삭제_CCTV구간 가로등 내역서_CCTV구간 가로등 내역서(원본)" xfId="954"/>
    <cellStyle name="1_시민계략공사_2003년 각종계산서(읽기전용)_청계초등학교수전설비및냉난방시설공사" xfId="955"/>
    <cellStyle name="1_시민계략공사_2003년 각종계산서(읽기전용)_청계초등학교수전설비및냉난방시설공사_CCTV구간 가로등 내역서" xfId="956"/>
    <cellStyle name="1_시민계략공사_2003년 각종계산서(읽기전용)_청계초등학교수전설비및냉난방시설공사_CCTV구간 가로등 내역서_CCTV구간 가로등 내역서(R)" xfId="957"/>
    <cellStyle name="1_시민계략공사_2003년 각종계산서(읽기전용)_청계초등학교수전설비및냉난방시설공사_CCTV구간 가로등 내역서_CCTV구간 가로등 내역서(원본)" xfId="958"/>
    <cellStyle name="1_시민계략공사_2003년 각종계산서(읽기전용)_청계초등학교수전설비및냉난방시설공사_정남진버섯배지,종균분센터신축전기공사-MCCA판넬삭제" xfId="959"/>
    <cellStyle name="1_시민계략공사_2003년 각종계산서(읽기전용)_청계초등학교수전설비및냉난방시설공사_정남진버섯배지,종균분센터신축전기공사-MCCA판넬삭제_CCTV구간 가로등 내역서" xfId="960"/>
    <cellStyle name="1_시민계략공사_2003년 각종계산서(읽기전용)_청계초등학교수전설비및냉난방시설공사_정남진버섯배지,종균분센터신축전기공사-MCCA판넬삭제_CCTV구간 가로등 내역서_CCTV구간 가로등 내역서(R)" xfId="961"/>
    <cellStyle name="1_시민계략공사_2003년 각종계산서(읽기전용)_청계초등학교수전설비및냉난방시설공사_정남진버섯배지,종균분센터신축전기공사-MCCA판넬삭제_CCTV구간 가로등 내역서_CCTV구간 가로등 내역서(원본)" xfId="962"/>
    <cellStyle name="1_시민계략공사_2003년 각종계산서(읽기전용)_청계초등학교수전설비및냉난방시설공사_정남진버섯배지,종균분센터신축통신공사" xfId="963"/>
    <cellStyle name="1_시민계략공사_2003년 각종계산서(읽기전용)_청계초등학교수전설비및냉난방시설공사_정남진버섯배지,종균분센터신축통신공사_CCTV구간 가로등 내역서" xfId="964"/>
    <cellStyle name="1_시민계략공사_2003년 각종계산서(읽기전용)_청계초등학교수전설비및냉난방시설공사_정남진버섯배지,종균분센터신축통신공사_CCTV구간 가로등 내역서_CCTV구간 가로등 내역서(R)" xfId="965"/>
    <cellStyle name="1_시민계략공사_2003년 각종계산서(읽기전용)_청계초등학교수전설비및냉난방시설공사_정남진버섯배지,종균분센터신축통신공사_CCTV구간 가로등 내역서_CCTV구간 가로등 내역서(원본)" xfId="966"/>
    <cellStyle name="1_시민계략공사_2003년 각종계산서(읽기전용)_청계초등학교수전설비및냉난방시설공사_정남진버섯배지,종균분센터신축통신공사_정남진버섯배지,종균분센터신축전기공사-MCCA판넬삭제" xfId="967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" xfId="968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_CCTV구간 가로등 내역서(R)" xfId="969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_CCTV구간 가로등 내역서(원본)" xfId="970"/>
    <cellStyle name="1_시민계략공사_2003년 각종계산서(읽기전용)_청계초등학교수전설비및냉난방시설공사_지원동증축예산안" xfId="971"/>
    <cellStyle name="1_시민계략공사_2003년 각종계산서(읽기전용)_청계초등학교수전설비및냉난방시설공사_지원동증축예산안_CCTV구간 가로등 내역서" xfId="972"/>
    <cellStyle name="1_시민계략공사_2003년 각종계산서(읽기전용)_청계초등학교수전설비및냉난방시설공사_지원동증축예산안_CCTV구간 가로등 내역서_CCTV구간 가로등 내역서(R)" xfId="973"/>
    <cellStyle name="1_시민계략공사_2003년 각종계산서(읽기전용)_청계초등학교수전설비및냉난방시설공사_지원동증축예산안_CCTV구간 가로등 내역서_CCTV구간 가로등 내역서(원본)" xfId="974"/>
    <cellStyle name="1_시민계략공사_2003년 각종계산서(읽기전용)_청계초등학교수전설비및냉난방시설공사_지원동증축예산안_정남진버섯배지,종균분센터신축전기공사-MCCA판넬삭제" xfId="975"/>
    <cellStyle name="1_시민계략공사_2003년 각종계산서(읽기전용)_청계초등학교수전설비및냉난방시설공사_지원동증축예산안_정남진버섯배지,종균분센터신축전기공사-MCCA판넬삭제_CCTV구간 가로등 내역서" xfId="976"/>
    <cellStyle name="1_시민계략공사_2003년 각종계산서(읽기전용)_청계초등학교수전설비및냉난방시설공사_지원동증축예산안_정남진버섯배지,종균분센터신축전기공사-MCCA판넬삭제_CCTV구간 가로등 내역서_CCTV구간 가로등 내역서(R)" xfId="977"/>
    <cellStyle name="1_시민계략공사_2003년 각종계산서(읽기전용)_청계초등학교수전설비및냉난방시설공사_지원동증축예산안_정남진버섯배지,종균분센터신축전기공사-MCCA판넬삭제_CCTV구간 가로등 내역서_CCTV구간 가로등 내역서(원본)" xfId="978"/>
    <cellStyle name="1_시민계략공사_2003년 각종계산서(읽기전용)_청계초등학교수전설비및냉난방전기시설공사" xfId="979"/>
    <cellStyle name="1_시민계략공사_2003년 각종계산서(읽기전용)_청계초등학교수전설비및냉난방전기시설공사_CCTV구간 가로등 내역서" xfId="980"/>
    <cellStyle name="1_시민계략공사_2003년 각종계산서(읽기전용)_청계초등학교수전설비및냉난방전기시설공사_CCTV구간 가로등 내역서_CCTV구간 가로등 내역서(R)" xfId="981"/>
    <cellStyle name="1_시민계략공사_2003년 각종계산서(읽기전용)_청계초등학교수전설비및냉난방전기시설공사_CCTV구간 가로등 내역서_CCTV구간 가로등 내역서(원본)" xfId="982"/>
    <cellStyle name="1_시민계략공사_2003년 각종계산서(읽기전용)_청계초등학교수전설비및냉난방전기시설공사_정남진버섯배지,종균분센터신축전기공사-MCCA판넬삭제" xfId="983"/>
    <cellStyle name="1_시민계략공사_2003년 각종계산서(읽기전용)_청계초등학교수전설비및냉난방전기시설공사_정남진버섯배지,종균분센터신축전기공사-MCCA판넬삭제_CCTV구간 가로등 내역서" xfId="984"/>
    <cellStyle name="1_시민계략공사_2003년 각종계산서(읽기전용)_청계초등학교수전설비및냉난방전기시설공사_정남진버섯배지,종균분센터신축전기공사-MCCA판넬삭제_CCTV구간 가로등 내역서_CCTV구간 가로등 내역서(R)" xfId="985"/>
    <cellStyle name="1_시민계략공사_2003년 각종계산서(읽기전용)_청계초등학교수전설비및냉난방전기시설공사_정남진버섯배지,종균분센터신축전기공사-MCCA판넬삭제_CCTV구간 가로등 내역서_CCTV구간 가로등 내역서(원본)" xfId="986"/>
    <cellStyle name="1_시민계략공사_2003년 각종계산서(읽기전용)_청계초등학교수전설비및냉난방전기시설공사_정남진버섯배지,종균분센터신축통신공사" xfId="987"/>
    <cellStyle name="1_시민계략공사_2003년 각종계산서(읽기전용)_청계초등학교수전설비및냉난방전기시설공사_정남진버섯배지,종균분센터신축통신공사_CCTV구간 가로등 내역서" xfId="988"/>
    <cellStyle name="1_시민계략공사_2003년 각종계산서(읽기전용)_청계초등학교수전설비및냉난방전기시설공사_정남진버섯배지,종균분센터신축통신공사_CCTV구간 가로등 내역서_CCTV구간 가로등 내역서(R)" xfId="989"/>
    <cellStyle name="1_시민계략공사_2003년 각종계산서(읽기전용)_청계초등학교수전설비및냉난방전기시설공사_정남진버섯배지,종균분센터신축통신공사_CCTV구간 가로등 내역서_CCTV구간 가로등 내역서(원본)" xfId="990"/>
    <cellStyle name="1_시민계략공사_2003년 각종계산서(읽기전용)_청계초등학교수전설비및냉난방전기시설공사_정남진버섯배지,종균분센터신축통신공사_정남진버섯배지,종균분센터신축전기공사-MCCA판넬삭제" xfId="991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" xfId="992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_CCTV구간 가로등 내역서(R)" xfId="993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_CCTV구간 가로등 내역서(원본)" xfId="994"/>
    <cellStyle name="1_시민계략공사_2003년 각종계산서(읽기전용)_청계초등학교수전설비및냉난방전기시설공사_지원동증축예산안" xfId="995"/>
    <cellStyle name="1_시민계략공사_2003년 각종계산서(읽기전용)_청계초등학교수전설비및냉난방전기시설공사_지원동증축예산안_CCTV구간 가로등 내역서" xfId="996"/>
    <cellStyle name="1_시민계략공사_2003년 각종계산서(읽기전용)_청계초등학교수전설비및냉난방전기시설공사_지원동증축예산안_CCTV구간 가로등 내역서_CCTV구간 가로등 내역서(R)" xfId="997"/>
    <cellStyle name="1_시민계략공사_2003년 각종계산서(읽기전용)_청계초등학교수전설비및냉난방전기시설공사_지원동증축예산안_CCTV구간 가로등 내역서_CCTV구간 가로등 내역서(원본)" xfId="998"/>
    <cellStyle name="1_시민계략공사_2003년 각종계산서(읽기전용)_청계초등학교수전설비및냉난방전기시설공사_지원동증축예산안_정남진버섯배지,종균분센터신축전기공사-MCCA판넬삭제" xfId="999"/>
    <cellStyle name="1_시민계략공사_2003년 각종계산서(읽기전용)_청계초등학교수전설비및냉난방전기시설공사_지원동증축예산안_정남진버섯배지,종균분센터신축전기공사-MCCA판넬삭제_CCTV구간 가로등 내역서" xfId="1000"/>
    <cellStyle name="1_시민계략공사_2003년 각종계산서(읽기전용)_청계초등학교수전설비및냉난방전기시설공사_지원동증축예산안_정남진버섯배지,종균분센터신축전기공사-MCCA판넬삭제_CCTV구간 가로등 내역서_CCTV구간 가로등 내역서(R)" xfId="1001"/>
    <cellStyle name="1_시민계략공사_2003년 각종계산서(읽기전용)_청계초등학교수전설비및냉난방전기시설공사_지원동증축예산안_정남진버섯배지,종균분센터신축전기공사-MCCA판넬삭제_CCTV구간 가로등 내역서_CCTV구간 가로등 내역서(원본)" xfId="1002"/>
    <cellStyle name="1_시민계략공사_2003년 각종계산서(읽기전용)_함평교육청 전기시설 보수공사(냉,난방)-5월24일" xfId="1003"/>
    <cellStyle name="1_시민계략공사_2003년 각종계산서(읽기전용)_함평교육청 전기시설 보수공사(냉,난방)-5월24일_CCTV구간 가로등 내역서" xfId="1004"/>
    <cellStyle name="1_시민계략공사_2003년 각종계산서(읽기전용)_함평교육청 전기시설 보수공사(냉,난방)-5월24일_CCTV구간 가로등 내역서_CCTV구간 가로등 내역서(R)" xfId="1005"/>
    <cellStyle name="1_시민계략공사_2003년 각종계산서(읽기전용)_함평교육청 전기시설 보수공사(냉,난방)-5월24일_CCTV구간 가로등 내역서_CCTV구간 가로등 내역서(원본)" xfId="1006"/>
    <cellStyle name="1_시민계략공사_2003년 각종계산서(읽기전용)_함평교육청 전기시설 보수공사(냉,난방)-5월24일_정남진버섯배지,종균분센터신축전기공사-MCCA판넬삭제" xfId="1007"/>
    <cellStyle name="1_시민계략공사_2003년 각종계산서(읽기전용)_함평교육청 전기시설 보수공사(냉,난방)-5월24일_정남진버섯배지,종균분센터신축전기공사-MCCA판넬삭제_CCTV구간 가로등 내역서" xfId="1008"/>
    <cellStyle name="1_시민계략공사_2003년 각종계산서(읽기전용)_함평교육청 전기시설 보수공사(냉,난방)-5월24일_정남진버섯배지,종균분센터신축전기공사-MCCA판넬삭제_CCTV구간 가로등 내역서_CCTV구간 가로등 내역서(R)" xfId="1009"/>
    <cellStyle name="1_시민계략공사_2003년 각종계산서(읽기전용)_함평교육청 전기시설 보수공사(냉,난방)-5월24일_정남진버섯배지,종균분센터신축전기공사-MCCA판넬삭제_CCTV구간 가로등 내역서_CCTV구간 가로등 내역서(원본)" xfId="1010"/>
    <cellStyle name="1_시민계략공사_2003년 각종계산서(읽기전용)_함평교육청 전기시설 보수공사(냉,난방)-5월24일_정남진버섯배지,종균분센터신축통신공사" xfId="1011"/>
    <cellStyle name="1_시민계략공사_2003년 각종계산서(읽기전용)_함평교육청 전기시설 보수공사(냉,난방)-5월24일_정남진버섯배지,종균분센터신축통신공사_CCTV구간 가로등 내역서" xfId="1012"/>
    <cellStyle name="1_시민계략공사_2003년 각종계산서(읽기전용)_함평교육청 전기시설 보수공사(냉,난방)-5월24일_정남진버섯배지,종균분센터신축통신공사_CCTV구간 가로등 내역서_CCTV구간 가로등 내역서(R)" xfId="1013"/>
    <cellStyle name="1_시민계략공사_2003년 각종계산서(읽기전용)_함평교육청 전기시설 보수공사(냉,난방)-5월24일_정남진버섯배지,종균분센터신축통신공사_CCTV구간 가로등 내역서_CCTV구간 가로등 내역서(원본)" xfId="1014"/>
    <cellStyle name="1_시민계략공사_2003년 각종계산서(읽기전용)_함평교육청 전기시설 보수공사(냉,난방)-5월24일_정남진버섯배지,종균분센터신축통신공사_정남진버섯배지,종균분센터신축전기공사-MCCA판넬삭제" xfId="1015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" xfId="1016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_CCTV구간 가로등 내역서(R)" xfId="1017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_CCTV구간 가로등 내역서(원본)" xfId="1018"/>
    <cellStyle name="1_시민계략공사_2003년 각종계산서(읽기전용)_함평교육청 전기시설 보수공사(냉,난방)-5월24일_지원동증축예산안" xfId="1019"/>
    <cellStyle name="1_시민계략공사_2003년 각종계산서(읽기전용)_함평교육청 전기시설 보수공사(냉,난방)-5월24일_지원동증축예산안_CCTV구간 가로등 내역서" xfId="1020"/>
    <cellStyle name="1_시민계략공사_2003년 각종계산서(읽기전용)_함평교육청 전기시설 보수공사(냉,난방)-5월24일_지원동증축예산안_CCTV구간 가로등 내역서_CCTV구간 가로등 내역서(R)" xfId="1021"/>
    <cellStyle name="1_시민계략공사_2003년 각종계산서(읽기전용)_함평교육청 전기시설 보수공사(냉,난방)-5월24일_지원동증축예산안_CCTV구간 가로등 내역서_CCTV구간 가로등 내역서(원본)" xfId="1022"/>
    <cellStyle name="1_시민계략공사_2003년 각종계산서(읽기전용)_함평교육청 전기시설 보수공사(냉,난방)-5월24일_지원동증축예산안_정남진버섯배지,종균분센터신축전기공사-MCCA판넬삭제" xfId="1023"/>
    <cellStyle name="1_시민계략공사_2003년 각종계산서(읽기전용)_함평교육청 전기시설 보수공사(냉,난방)-5월24일_지원동증축예산안_정남진버섯배지,종균분센터신축전기공사-MCCA판넬삭제_CCTV구간 가로등 내역서" xfId="1024"/>
    <cellStyle name="1_시민계략공사_2003년 각종계산서(읽기전용)_함평교육청 전기시설 보수공사(냉,난방)-5월24일_지원동증축예산안_정남진버섯배지,종균분센터신축전기공사-MCCA판넬삭제_CCTV구간 가로등 내역서_CCTV구간 가로등 내역서(R)" xfId="1025"/>
    <cellStyle name="1_시민계략공사_2003년 각종계산서(읽기전용)_함평교육청 전기시설 보수공사(냉,난방)-5월24일_지원동증축예산안_정남진버섯배지,종균분센터신축전기공사-MCCA판넬삭제_CCTV구간 가로등 내역서_CCTV구간 가로등 내역서(원본)" xfId="1026"/>
    <cellStyle name="1_시민계략공사_Book2" xfId="1027"/>
    <cellStyle name="1_시민계략공사_계산서" xfId="1028"/>
    <cellStyle name="1_시민계략공사_계산서_CCTV 내역시작11.21" xfId="5395"/>
    <cellStyle name="1_시민계략공사_계산서_CCTV구간 가로등 내역서" xfId="1029"/>
    <cellStyle name="1_시민계략공사_계산서_CCTV구간 가로등 내역서_CCTV구간 가로등 내역서(R)" xfId="1030"/>
    <cellStyle name="1_시민계략공사_계산서_CCTV구간 가로등 내역서_CCTV구간 가로등 내역서(원본)" xfId="1031"/>
    <cellStyle name="1_시민계략공사_계산서_삼청로길(내역서04월07일)" xfId="5396"/>
    <cellStyle name="1_시민계략공사_계산서_삼청로길(인공)" xfId="5397"/>
    <cellStyle name="1_시민계략공사_계산서_삼청로길(최종 내역서)" xfId="5398"/>
    <cellStyle name="1_시민계략공사_계산서_정남진버섯배지,종균분센터신축전기공사-MCCA판넬삭제" xfId="1032"/>
    <cellStyle name="1_시민계략공사_계산서_정남진버섯배지,종균분센터신축전기공사-MCCA판넬삭제_CCTV구간 가로등 내역서" xfId="1033"/>
    <cellStyle name="1_시민계략공사_계산서_정남진버섯배지,종균분센터신축전기공사-MCCA판넬삭제_CCTV구간 가로등 내역서_CCTV구간 가로등 내역서(R)" xfId="1034"/>
    <cellStyle name="1_시민계략공사_계산서_정남진버섯배지,종균분센터신축전기공사-MCCA판넬삭제_CCTV구간 가로등 내역서_CCTV구간 가로등 내역서(원본)" xfId="1035"/>
    <cellStyle name="1_시민계략공사_계산서_정남진버섯배지,종균분센터신축통신공사" xfId="1036"/>
    <cellStyle name="1_시민계략공사_계산서_정남진버섯배지,종균분센터신축통신공사_CCTV구간 가로등 내역서" xfId="1037"/>
    <cellStyle name="1_시민계략공사_계산서_정남진버섯배지,종균분센터신축통신공사_CCTV구간 가로등 내역서_CCTV구간 가로등 내역서(R)" xfId="1038"/>
    <cellStyle name="1_시민계략공사_계산서_정남진버섯배지,종균분센터신축통신공사_CCTV구간 가로등 내역서_CCTV구간 가로등 내역서(원본)" xfId="1039"/>
    <cellStyle name="1_시민계략공사_계산서_정남진버섯배지,종균분센터신축통신공사_정남진버섯배지,종균분센터신축전기공사-MCCA판넬삭제" xfId="1040"/>
    <cellStyle name="1_시민계략공사_계산서_정남진버섯배지,종균분센터신축통신공사_정남진버섯배지,종균분센터신축전기공사-MCCA판넬삭제_CCTV구간 가로등 내역서" xfId="1041"/>
    <cellStyle name="1_시민계략공사_계산서_정남진버섯배지,종균분센터신축통신공사_정남진버섯배지,종균분센터신축전기공사-MCCA판넬삭제_CCTV구간 가로등 내역서_CCTV구간 가로등 내역서(R)" xfId="1042"/>
    <cellStyle name="1_시민계략공사_계산서_정남진버섯배지,종균분센터신축통신공사_정남진버섯배지,종균분센터신축전기공사-MCCA판넬삭제_CCTV구간 가로등 내역서_CCTV구간 가로등 내역서(원본)" xfId="1043"/>
    <cellStyle name="1_시민계략공사_계산서_지원동증축예산안" xfId="1044"/>
    <cellStyle name="1_시민계략공사_계산서_지원동증축예산안_CCTV구간 가로등 내역서" xfId="1045"/>
    <cellStyle name="1_시민계략공사_계산서_지원동증축예산안_CCTV구간 가로등 내역서_CCTV구간 가로등 내역서(R)" xfId="1046"/>
    <cellStyle name="1_시민계략공사_계산서_지원동증축예산안_CCTV구간 가로등 내역서_CCTV구간 가로등 내역서(원본)" xfId="1047"/>
    <cellStyle name="1_시민계략공사_계산서_지원동증축예산안_정남진버섯배지,종균분센터신축전기공사-MCCA판넬삭제" xfId="1048"/>
    <cellStyle name="1_시민계략공사_계산서_지원동증축예산안_정남진버섯배지,종균분센터신축전기공사-MCCA판넬삭제_CCTV구간 가로등 내역서" xfId="1049"/>
    <cellStyle name="1_시민계략공사_계산서_지원동증축예산안_정남진버섯배지,종균분센터신축전기공사-MCCA판넬삭제_CCTV구간 가로등 내역서_CCTV구간 가로등 내역서(R)" xfId="1050"/>
    <cellStyle name="1_시민계략공사_계산서_지원동증축예산안_정남진버섯배지,종균분센터신축전기공사-MCCA판넬삭제_CCTV구간 가로등 내역서_CCTV구간 가로등 내역서(원본)" xfId="1051"/>
    <cellStyle name="1_시민계략공사_계산서및내역서5월15일변경" xfId="1052"/>
    <cellStyle name="1_시민계략공사_계산서및내역서5월9일변경" xfId="1053"/>
    <cellStyle name="1_시민계략공사_광양중동중학교실증축공사(전기)-4월10일한번더" xfId="1054"/>
    <cellStyle name="1_시민계략공사_무안연꽃방죽(4월9일)한번더" xfId="1055"/>
    <cellStyle name="1_시민계략공사_보일약국~순국비간 도로개설 가로등설치공사" xfId="1056"/>
    <cellStyle name="1_시민계략공사_복지관 부하계산서" xfId="1057"/>
    <cellStyle name="1_시민계략공사_복지관 부하계산서_CCTV 내역시작11.21" xfId="5399"/>
    <cellStyle name="1_시민계략공사_복지관 부하계산서_CCTV구간 가로등 내역서" xfId="1058"/>
    <cellStyle name="1_시민계략공사_복지관 부하계산서_CCTV구간 가로등 내역서_CCTV구간 가로등 내역서(R)" xfId="1059"/>
    <cellStyle name="1_시민계략공사_복지관 부하계산서_CCTV구간 가로등 내역서_CCTV구간 가로등 내역서(원본)" xfId="1060"/>
    <cellStyle name="1_시민계략공사_복지관 부하계산서_군청사거리 외1개소LED신호등제작구매설치" xfId="1061"/>
    <cellStyle name="1_시민계략공사_복지관 부하계산서_군청사거리 외1개소LED신호등제작구매설치_CCTV구간 가로등 내역서" xfId="1062"/>
    <cellStyle name="1_시민계략공사_복지관 부하계산서_군청사거리 외1개소LED신호등제작구매설치_CCTV구간 가로등 내역서_CCTV구간 가로등 내역서(R)" xfId="1063"/>
    <cellStyle name="1_시민계략공사_복지관 부하계산서_군청사거리 외1개소LED신호등제작구매설치_CCTV구간 가로등 내역서_CCTV구간 가로등 내역서(원본)" xfId="1064"/>
    <cellStyle name="1_시민계략공사_복지관 부하계산서_군청사거리 외1개소LED신호등제작구매설치_정남진버섯배지,종균분센터신축전기공사-MCCA판넬삭제" xfId="1065"/>
    <cellStyle name="1_시민계략공사_복지관 부하계산서_군청사거리 외1개소LED신호등제작구매설치_정남진버섯배지,종균분센터신축전기공사-MCCA판넬삭제_CCTV구간 가로등 내역서" xfId="1066"/>
    <cellStyle name="1_시민계략공사_복지관 부하계산서_군청사거리 외1개소LED신호등제작구매설치_정남진버섯배지,종균분센터신축전기공사-MCCA판넬삭제_CCTV구간 가로등 내역서_CCTV구간 가로등 내역서(R)" xfId="1067"/>
    <cellStyle name="1_시민계략공사_복지관 부하계산서_군청사거리 외1개소LED신호등제작구매설치_정남진버섯배지,종균분센터신축전기공사-MCCA판넬삭제_CCTV구간 가로등 내역서_CCTV구간 가로등 내역서(원본)" xfId="1068"/>
    <cellStyle name="1_시민계략공사_복지관 부하계산서_군청사거리 외1개소LED신호등제작구매설치_정남진버섯배지,종균분센터신축통신공사" xfId="1069"/>
    <cellStyle name="1_시민계략공사_복지관 부하계산서_군청사거리 외1개소LED신호등제작구매설치_정남진버섯배지,종균분센터신축통신공사_CCTV구간 가로등 내역서" xfId="1070"/>
    <cellStyle name="1_시민계략공사_복지관 부하계산서_군청사거리 외1개소LED신호등제작구매설치_정남진버섯배지,종균분센터신축통신공사_CCTV구간 가로등 내역서_CCTV구간 가로등 내역서(R)" xfId="1071"/>
    <cellStyle name="1_시민계략공사_복지관 부하계산서_군청사거리 외1개소LED신호등제작구매설치_정남진버섯배지,종균분센터신축통신공사_CCTV구간 가로등 내역서_CCTV구간 가로등 내역서(원본)" xfId="1072"/>
    <cellStyle name="1_시민계략공사_복지관 부하계산서_군청사거리 외1개소LED신호등제작구매설치_정남진버섯배지,종균분센터신축통신공사_정남진버섯배지,종균분센터신축전기공사-MCCA판넬삭제" xfId="1073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" xfId="1074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_CCTV구간 가로등 내역서(R)" xfId="1075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_CCTV구간 가로등 내역서(원본)" xfId="1076"/>
    <cellStyle name="1_시민계략공사_복지관 부하계산서_군청사거리 외1개소LED신호등제작구매설치_지원동증축예산안" xfId="1077"/>
    <cellStyle name="1_시민계략공사_복지관 부하계산서_군청사거리 외1개소LED신호등제작구매설치_지원동증축예산안_CCTV구간 가로등 내역서" xfId="1078"/>
    <cellStyle name="1_시민계략공사_복지관 부하계산서_군청사거리 외1개소LED신호등제작구매설치_지원동증축예산안_CCTV구간 가로등 내역서_CCTV구간 가로등 내역서(R)" xfId="1079"/>
    <cellStyle name="1_시민계략공사_복지관 부하계산서_군청사거리 외1개소LED신호등제작구매설치_지원동증축예산안_CCTV구간 가로등 내역서_CCTV구간 가로등 내역서(원본)" xfId="1080"/>
    <cellStyle name="1_시민계략공사_복지관 부하계산서_군청사거리 외1개소LED신호등제작구매설치_지원동증축예산안_정남진버섯배지,종균분센터신축전기공사-MCCA판넬삭제" xfId="1081"/>
    <cellStyle name="1_시민계략공사_복지관 부하계산서_군청사거리 외1개소LED신호등제작구매설치_지원동증축예산안_정남진버섯배지,종균분센터신축전기공사-MCCA판넬삭제_CCTV구간 가로등 내역서" xfId="1082"/>
    <cellStyle name="1_시민계략공사_복지관 부하계산서_군청사거리 외1개소LED신호등제작구매설치_지원동증축예산안_정남진버섯배지,종균분센터신축전기공사-MCCA판넬삭제_CCTV구간 가로등 내역서_CCTV구간 가로등 내역서(R)" xfId="1083"/>
    <cellStyle name="1_시민계략공사_복지관 부하계산서_군청사거리 외1개소LED신호등제작구매설치_지원동증축예산안_정남진버섯배지,종균분센터신축전기공사-MCCA판넬삭제_CCTV구간 가로등 내역서_CCTV구간 가로등 내역서(원본)" xfId="1084"/>
    <cellStyle name="1_시민계략공사_복지관 부하계산서_내역서(전기)" xfId="1085"/>
    <cellStyle name="1_시민계략공사_복지관 부하계산서_내역서(전기)_CCTV 내역시작11.21" xfId="5400"/>
    <cellStyle name="1_시민계략공사_복지관 부하계산서_내역서(전기)_CCTV구간 가로등 내역서" xfId="1086"/>
    <cellStyle name="1_시민계략공사_복지관 부하계산서_내역서(전기)_CCTV구간 가로등 내역서_CCTV구간 가로등 내역서(R)" xfId="1087"/>
    <cellStyle name="1_시민계략공사_복지관 부하계산서_내역서(전기)_CCTV구간 가로등 내역서_CCTV구간 가로등 내역서(원본)" xfId="1088"/>
    <cellStyle name="1_시민계략공사_복지관 부하계산서_내역서(전기)_군청사거리 외1개소LED신호등제작구매설치" xfId="1089"/>
    <cellStyle name="1_시민계략공사_복지관 부하계산서_내역서(전기)_군청사거리 외1개소LED신호등제작구매설치_CCTV구간 가로등 내역서" xfId="1090"/>
    <cellStyle name="1_시민계략공사_복지관 부하계산서_내역서(전기)_군청사거리 외1개소LED신호등제작구매설치_CCTV구간 가로등 내역서_CCTV구간 가로등 내역서(R)" xfId="1091"/>
    <cellStyle name="1_시민계략공사_복지관 부하계산서_내역서(전기)_군청사거리 외1개소LED신호등제작구매설치_CCTV구간 가로등 내역서_CCTV구간 가로등 내역서(원본)" xfId="1092"/>
    <cellStyle name="1_시민계략공사_복지관 부하계산서_내역서(전기)_군청사거리 외1개소LED신호등제작구매설치_정남진버섯배지,종균분센터신축전기공사-MCCA판넬삭제" xfId="1093"/>
    <cellStyle name="1_시민계략공사_복지관 부하계산서_내역서(전기)_군청사거리 외1개소LED신호등제작구매설치_정남진버섯배지,종균분센터신축전기공사-MCCA판넬삭제_CCTV구간 가로등 내역서" xfId="1094"/>
    <cellStyle name="1_시민계략공사_복지관 부하계산서_내역서(전기)_군청사거리 외1개소LED신호등제작구매설치_정남진버섯배지,종균분센터신축전기공사-MCCA판넬삭제_CCTV구간 가로등 내역서_CCTV구간 가로등 내역서(R)" xfId="1095"/>
    <cellStyle name="1_시민계략공사_복지관 부하계산서_내역서(전기)_군청사거리 외1개소LED신호등제작구매설치_정남진버섯배지,종균분센터신축전기공사-MCCA판넬삭제_CCTV구간 가로등 내역서_CCTV구간 가로등 내역서(원본)" xfId="1096"/>
    <cellStyle name="1_시민계략공사_복지관 부하계산서_내역서(전기)_군청사거리 외1개소LED신호등제작구매설치_정남진버섯배지,종균분센터신축통신공사" xfId="1097"/>
    <cellStyle name="1_시민계략공사_복지관 부하계산서_내역서(전기)_군청사거리 외1개소LED신호등제작구매설치_정남진버섯배지,종균분센터신축통신공사_CCTV구간 가로등 내역서" xfId="1098"/>
    <cellStyle name="1_시민계략공사_복지관 부하계산서_내역서(전기)_군청사거리 외1개소LED신호등제작구매설치_정남진버섯배지,종균분센터신축통신공사_CCTV구간 가로등 내역서_CCTV구간 가로등 내역서(R)" xfId="1099"/>
    <cellStyle name="1_시민계략공사_복지관 부하계산서_내역서(전기)_군청사거리 외1개소LED신호등제작구매설치_정남진버섯배지,종균분센터신축통신공사_CCTV구간 가로등 내역서_CCTV구간 가로등 내역서(원본)" xfId="1100"/>
    <cellStyle name="1_시민계략공사_복지관 부하계산서_내역서(전기)_군청사거리 외1개소LED신호등제작구매설치_정남진버섯배지,종균분센터신축통신공사_정남진버섯배지,종균분센터신축전기공사-MCCA판넬삭제" xfId="1101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" xfId="1102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1103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1104"/>
    <cellStyle name="1_시민계략공사_복지관 부하계산서_내역서(전기)_군청사거리 외1개소LED신호등제작구매설치_지원동증축예산안" xfId="1105"/>
    <cellStyle name="1_시민계략공사_복지관 부하계산서_내역서(전기)_군청사거리 외1개소LED신호등제작구매설치_지원동증축예산안_CCTV구간 가로등 내역서" xfId="1106"/>
    <cellStyle name="1_시민계략공사_복지관 부하계산서_내역서(전기)_군청사거리 외1개소LED신호등제작구매설치_지원동증축예산안_CCTV구간 가로등 내역서_CCTV구간 가로등 내역서(R)" xfId="1107"/>
    <cellStyle name="1_시민계략공사_복지관 부하계산서_내역서(전기)_군청사거리 외1개소LED신호등제작구매설치_지원동증축예산안_CCTV구간 가로등 내역서_CCTV구간 가로등 내역서(원본)" xfId="1108"/>
    <cellStyle name="1_시민계략공사_복지관 부하계산서_내역서(전기)_군청사거리 외1개소LED신호등제작구매설치_지원동증축예산안_정남진버섯배지,종균분센터신축전기공사-MCCA판넬삭제" xfId="1109"/>
    <cellStyle name="1_시민계략공사_복지관 부하계산서_내역서(전기)_군청사거리 외1개소LED신호등제작구매설치_지원동증축예산안_정남진버섯배지,종균분센터신축전기공사-MCCA판넬삭제_CCTV구간 가로등 내역서" xfId="1110"/>
    <cellStyle name="1_시민계략공사_복지관 부하계산서_내역서(전기)_군청사거리 외1개소LED신호등제작구매설치_지원동증축예산안_정남진버섯배지,종균분센터신축전기공사-MCCA판넬삭제_CCTV구간 가로등 내역서_CCTV구간 가로등 내역서(R)" xfId="1111"/>
    <cellStyle name="1_시민계략공사_복지관 부하계산서_내역서(전기)_군청사거리 외1개소LED신호등제작구매설치_지원동증축예산안_정남진버섯배지,종균분센터신축전기공사-MCCA판넬삭제_CCTV구간 가로등 내역서_CCTV구간 가로등 내역서(원본)" xfId="1112"/>
    <cellStyle name="1_시민계략공사_복지관 부하계산서_내역서(전기)_삼청로길(내역서04월07일)" xfId="5401"/>
    <cellStyle name="1_시민계략공사_복지관 부하계산서_내역서(전기)_삼청로길(인공)" xfId="5402"/>
    <cellStyle name="1_시민계략공사_복지관 부하계산서_내역서(전기)_삼청로길(최종 내역서)" xfId="5403"/>
    <cellStyle name="1_시민계략공사_복지관 부하계산서_내역서(전기)_수배전반 관급자재 (양지중)" xfId="1113"/>
    <cellStyle name="1_시민계략공사_복지관 부하계산서_내역서(전기)_수배전반 관급자재 (양지중)_CCTV구간 가로등 내역서" xfId="1114"/>
    <cellStyle name="1_시민계략공사_복지관 부하계산서_내역서(전기)_수배전반 관급자재 (양지중)_CCTV구간 가로등 내역서_CCTV구간 가로등 내역서(R)" xfId="1115"/>
    <cellStyle name="1_시민계략공사_복지관 부하계산서_내역서(전기)_수배전반 관급자재 (양지중)_CCTV구간 가로등 내역서_CCTV구간 가로등 내역서(원본)" xfId="1116"/>
    <cellStyle name="1_시민계략공사_복지관 부하계산서_내역서(전기)_수배전반 관급자재 (양지중)_정남진버섯배지,종균분센터신축전기공사-MCCA판넬삭제" xfId="1117"/>
    <cellStyle name="1_시민계략공사_복지관 부하계산서_내역서(전기)_수배전반 관급자재 (양지중)_정남진버섯배지,종균분센터신축전기공사-MCCA판넬삭제_CCTV구간 가로등 내역서" xfId="1118"/>
    <cellStyle name="1_시민계략공사_복지관 부하계산서_내역서(전기)_수배전반 관급자재 (양지중)_정남진버섯배지,종균분센터신축전기공사-MCCA판넬삭제_CCTV구간 가로등 내역서_CCTV구간 가로등 내역서(R)" xfId="1119"/>
    <cellStyle name="1_시민계략공사_복지관 부하계산서_내역서(전기)_수배전반 관급자재 (양지중)_정남진버섯배지,종균분센터신축전기공사-MCCA판넬삭제_CCTV구간 가로등 내역서_CCTV구간 가로등 내역서(원본)" xfId="1120"/>
    <cellStyle name="1_시민계략공사_복지관 부하계산서_내역서(전기)_수배전반 관급자재 (양지중)_정남진버섯배지,종균분센터신축통신공사" xfId="1121"/>
    <cellStyle name="1_시민계략공사_복지관 부하계산서_내역서(전기)_수배전반 관급자재 (양지중)_정남진버섯배지,종균분센터신축통신공사_CCTV구간 가로등 내역서" xfId="1122"/>
    <cellStyle name="1_시민계략공사_복지관 부하계산서_내역서(전기)_수배전반 관급자재 (양지중)_정남진버섯배지,종균분센터신축통신공사_CCTV구간 가로등 내역서_CCTV구간 가로등 내역서(R)" xfId="1123"/>
    <cellStyle name="1_시민계략공사_복지관 부하계산서_내역서(전기)_수배전반 관급자재 (양지중)_정남진버섯배지,종균분센터신축통신공사_CCTV구간 가로등 내역서_CCTV구간 가로등 내역서(원본)" xfId="1124"/>
    <cellStyle name="1_시민계략공사_복지관 부하계산서_내역서(전기)_수배전반 관급자재 (양지중)_정남진버섯배지,종균분센터신축통신공사_정남진버섯배지,종균분센터신축전기공사-MCCA판넬삭제" xfId="1125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" xfId="1126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_CCTV구간 가로등 내역서(R)" xfId="1127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_CCTV구간 가로등 내역서(원본)" xfId="1128"/>
    <cellStyle name="1_시민계략공사_복지관 부하계산서_내역서(전기)_수배전반 관급자재 (양지중)_지원동증축예산안" xfId="1129"/>
    <cellStyle name="1_시민계략공사_복지관 부하계산서_내역서(전기)_수배전반 관급자재 (양지중)_지원동증축예산안_CCTV구간 가로등 내역서" xfId="1130"/>
    <cellStyle name="1_시민계략공사_복지관 부하계산서_내역서(전기)_수배전반 관급자재 (양지중)_지원동증축예산안_CCTV구간 가로등 내역서_CCTV구간 가로등 내역서(R)" xfId="1131"/>
    <cellStyle name="1_시민계략공사_복지관 부하계산서_내역서(전기)_수배전반 관급자재 (양지중)_지원동증축예산안_CCTV구간 가로등 내역서_CCTV구간 가로등 내역서(원본)" xfId="1132"/>
    <cellStyle name="1_시민계략공사_복지관 부하계산서_내역서(전기)_수배전반 관급자재 (양지중)_지원동증축예산안_정남진버섯배지,종균분센터신축전기공사-MCCA판넬삭제" xfId="1133"/>
    <cellStyle name="1_시민계략공사_복지관 부하계산서_내역서(전기)_수배전반 관급자재 (양지중)_지원동증축예산안_정남진버섯배지,종균분센터신축전기공사-MCCA판넬삭제_CCTV구간 가로등 내역서" xfId="1134"/>
    <cellStyle name="1_시민계략공사_복지관 부하계산서_내역서(전기)_수배전반 관급자재 (양지중)_지원동증축예산안_정남진버섯배지,종균분센터신축전기공사-MCCA판넬삭제_CCTV구간 가로등 내역서_CCTV구간 가로등 내역서(R)" xfId="1135"/>
    <cellStyle name="1_시민계략공사_복지관 부하계산서_내역서(전기)_수배전반 관급자재 (양지중)_지원동증축예산안_정남진버섯배지,종균분센터신축전기공사-MCCA판넬삭제_CCTV구간 가로등 내역서_CCTV구간 가로등 내역서(원본)" xfId="1136"/>
    <cellStyle name="1_시민계략공사_복지관 부하계산서_내역서(전기)_양지중교사신축전기공사(최종)" xfId="1137"/>
    <cellStyle name="1_시민계략공사_복지관 부하계산서_내역서(전기)_양지중교사신축전기공사(최종)_CCTV구간 가로등 내역서" xfId="1138"/>
    <cellStyle name="1_시민계략공사_복지관 부하계산서_내역서(전기)_양지중교사신축전기공사(최종)_CCTV구간 가로등 내역서_CCTV구간 가로등 내역서(R)" xfId="1139"/>
    <cellStyle name="1_시민계략공사_복지관 부하계산서_내역서(전기)_양지중교사신축전기공사(최종)_CCTV구간 가로등 내역서_CCTV구간 가로등 내역서(원본)" xfId="1140"/>
    <cellStyle name="1_시민계략공사_복지관 부하계산서_내역서(전기)_양지중교사신축전기공사(최종)_정남진버섯배지,종균분센터신축전기공사-MCCA판넬삭제" xfId="1141"/>
    <cellStyle name="1_시민계략공사_복지관 부하계산서_내역서(전기)_양지중교사신축전기공사(최종)_정남진버섯배지,종균분센터신축전기공사-MCCA판넬삭제_CCTV구간 가로등 내역서" xfId="1142"/>
    <cellStyle name="1_시민계략공사_복지관 부하계산서_내역서(전기)_양지중교사신축전기공사(최종)_정남진버섯배지,종균분센터신축전기공사-MCCA판넬삭제_CCTV구간 가로등 내역서_CCTV구간 가로등 내역서(R)" xfId="1143"/>
    <cellStyle name="1_시민계략공사_복지관 부하계산서_내역서(전기)_양지중교사신축전기공사(최종)_정남진버섯배지,종균분센터신축전기공사-MCCA판넬삭제_CCTV구간 가로등 내역서_CCTV구간 가로등 내역서(원본)" xfId="1144"/>
    <cellStyle name="1_시민계략공사_복지관 부하계산서_내역서(전기)_양지중교사신축전기공사(최종)_정남진버섯배지,종균분센터신축통신공사" xfId="1145"/>
    <cellStyle name="1_시민계략공사_복지관 부하계산서_내역서(전기)_양지중교사신축전기공사(최종)_정남진버섯배지,종균분센터신축통신공사_CCTV구간 가로등 내역서" xfId="1146"/>
    <cellStyle name="1_시민계략공사_복지관 부하계산서_내역서(전기)_양지중교사신축전기공사(최종)_정남진버섯배지,종균분센터신축통신공사_CCTV구간 가로등 내역서_CCTV구간 가로등 내역서(R)" xfId="1147"/>
    <cellStyle name="1_시민계략공사_복지관 부하계산서_내역서(전기)_양지중교사신축전기공사(최종)_정남진버섯배지,종균분센터신축통신공사_CCTV구간 가로등 내역서_CCTV구간 가로등 내역서(원본)" xfId="1148"/>
    <cellStyle name="1_시민계략공사_복지관 부하계산서_내역서(전기)_양지중교사신축전기공사(최종)_정남진버섯배지,종균분센터신축통신공사_정남진버섯배지,종균분센터신축전기공사-MCCA판넬삭제" xfId="1149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" xfId="1150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_CCTV구간 가로등 내역서(R)" xfId="1151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_CCTV구간 가로등 내역서(원본)" xfId="1152"/>
    <cellStyle name="1_시민계략공사_복지관 부하계산서_내역서(전기)_양지중교사신축전기공사(최종)_지원동증축예산안" xfId="1153"/>
    <cellStyle name="1_시민계략공사_복지관 부하계산서_내역서(전기)_양지중교사신축전기공사(최종)_지원동증축예산안_CCTV구간 가로등 내역서" xfId="1154"/>
    <cellStyle name="1_시민계략공사_복지관 부하계산서_내역서(전기)_양지중교사신축전기공사(최종)_지원동증축예산안_CCTV구간 가로등 내역서_CCTV구간 가로등 내역서(R)" xfId="1155"/>
    <cellStyle name="1_시민계략공사_복지관 부하계산서_내역서(전기)_양지중교사신축전기공사(최종)_지원동증축예산안_CCTV구간 가로등 내역서_CCTV구간 가로등 내역서(원본)" xfId="1156"/>
    <cellStyle name="1_시민계략공사_복지관 부하계산서_내역서(전기)_양지중교사신축전기공사(최종)_지원동증축예산안_정남진버섯배지,종균분센터신축전기공사-MCCA판넬삭제" xfId="1157"/>
    <cellStyle name="1_시민계략공사_복지관 부하계산서_내역서(전기)_양지중교사신축전기공사(최종)_지원동증축예산안_정남진버섯배지,종균분센터신축전기공사-MCCA판넬삭제_CCTV구간 가로등 내역서" xfId="1158"/>
    <cellStyle name="1_시민계략공사_복지관 부하계산서_내역서(전기)_양지중교사신축전기공사(최종)_지원동증축예산안_정남진버섯배지,종균분센터신축전기공사-MCCA판넬삭제_CCTV구간 가로등 내역서_CCTV구간 가로등 내역서(R)" xfId="1159"/>
    <cellStyle name="1_시민계략공사_복지관 부하계산서_내역서(전기)_양지중교사신축전기공사(최종)_지원동증축예산안_정남진버섯배지,종균분센터신축전기공사-MCCA판넬삭제_CCTV구간 가로등 내역서_CCTV구간 가로등 내역서(원본)" xfId="1160"/>
    <cellStyle name="1_시민계략공사_복지관 부하계산서_내역서(전기)_정남진버섯배지,종균분센터신축전기공사-MCCA판넬삭제" xfId="1161"/>
    <cellStyle name="1_시민계략공사_복지관 부하계산서_내역서(전기)_정남진버섯배지,종균분센터신축전기공사-MCCA판넬삭제_CCTV구간 가로등 내역서" xfId="1162"/>
    <cellStyle name="1_시민계략공사_복지관 부하계산서_내역서(전기)_정남진버섯배지,종균분센터신축전기공사-MCCA판넬삭제_CCTV구간 가로등 내역서_CCTV구간 가로등 내역서(R)" xfId="1163"/>
    <cellStyle name="1_시민계략공사_복지관 부하계산서_내역서(전기)_정남진버섯배지,종균분센터신축전기공사-MCCA판넬삭제_CCTV구간 가로등 내역서_CCTV구간 가로등 내역서(원본)" xfId="1164"/>
    <cellStyle name="1_시민계략공사_복지관 부하계산서_내역서(전기)_정남진버섯배지,종균분센터신축통신공사" xfId="1165"/>
    <cellStyle name="1_시민계략공사_복지관 부하계산서_내역서(전기)_정남진버섯배지,종균분센터신축통신공사_CCTV구간 가로등 내역서" xfId="1166"/>
    <cellStyle name="1_시민계략공사_복지관 부하계산서_내역서(전기)_정남진버섯배지,종균분센터신축통신공사_CCTV구간 가로등 내역서_CCTV구간 가로등 내역서(R)" xfId="1167"/>
    <cellStyle name="1_시민계략공사_복지관 부하계산서_내역서(전기)_정남진버섯배지,종균분센터신축통신공사_CCTV구간 가로등 내역서_CCTV구간 가로등 내역서(원본)" xfId="1168"/>
    <cellStyle name="1_시민계략공사_복지관 부하계산서_내역서(전기)_정남진버섯배지,종균분센터신축통신공사_정남진버섯배지,종균분센터신축전기공사-MCCA판넬삭제" xfId="1169"/>
    <cellStyle name="1_시민계략공사_복지관 부하계산서_내역서(전기)_정남진버섯배지,종균분센터신축통신공사_정남진버섯배지,종균분센터신축전기공사-MCCA판넬삭제_CCTV구간 가로등 내역서" xfId="1170"/>
    <cellStyle name="1_시민계략공사_복지관 부하계산서_내역서(전기)_정남진버섯배지,종균분센터신축통신공사_정남진버섯배지,종균분센터신축전기공사-MCCA판넬삭제_CCTV구간 가로등 내역서_CCTV구간 가로등 내역서(R)" xfId="1171"/>
    <cellStyle name="1_시민계략공사_복지관 부하계산서_내역서(전기)_정남진버섯배지,종균분센터신축통신공사_정남진버섯배지,종균분센터신축전기공사-MCCA판넬삭제_CCTV구간 가로등 내역서_CCTV구간 가로등 내역서(원본)" xfId="1172"/>
    <cellStyle name="1_시민계략공사_복지관 부하계산서_내역서(전기)_지원동증축예산안" xfId="1173"/>
    <cellStyle name="1_시민계략공사_복지관 부하계산서_내역서(전기)_지원동증축예산안_CCTV구간 가로등 내역서" xfId="1174"/>
    <cellStyle name="1_시민계략공사_복지관 부하계산서_내역서(전기)_지원동증축예산안_CCTV구간 가로등 내역서_CCTV구간 가로등 내역서(R)" xfId="1175"/>
    <cellStyle name="1_시민계략공사_복지관 부하계산서_내역서(전기)_지원동증축예산안_CCTV구간 가로등 내역서_CCTV구간 가로등 내역서(원본)" xfId="1176"/>
    <cellStyle name="1_시민계략공사_복지관 부하계산서_내역서(전기)_지원동증축예산안_정남진버섯배지,종균분센터신축전기공사-MCCA판넬삭제" xfId="1177"/>
    <cellStyle name="1_시민계략공사_복지관 부하계산서_내역서(전기)_지원동증축예산안_정남진버섯배지,종균분센터신축전기공사-MCCA판넬삭제_CCTV구간 가로등 내역서" xfId="1178"/>
    <cellStyle name="1_시민계략공사_복지관 부하계산서_내역서(전기)_지원동증축예산안_정남진버섯배지,종균분센터신축전기공사-MCCA판넬삭제_CCTV구간 가로등 내역서_CCTV구간 가로등 내역서(R)" xfId="1179"/>
    <cellStyle name="1_시민계략공사_복지관 부하계산서_내역서(전기)_지원동증축예산안_정남진버섯배지,종균분센터신축전기공사-MCCA판넬삭제_CCTV구간 가로등 내역서_CCTV구간 가로등 내역서(원본)" xfId="1180"/>
    <cellStyle name="1_시민계략공사_복지관 부하계산서_내역서(전기)_청계초등학교수전설비및냉난방시설공사" xfId="1181"/>
    <cellStyle name="1_시민계략공사_복지관 부하계산서_내역서(전기)_청계초등학교수전설비및냉난방시설공사_CCTV구간 가로등 내역서" xfId="1182"/>
    <cellStyle name="1_시민계략공사_복지관 부하계산서_내역서(전기)_청계초등학교수전설비및냉난방시설공사_CCTV구간 가로등 내역서_CCTV구간 가로등 내역서(R)" xfId="1183"/>
    <cellStyle name="1_시민계략공사_복지관 부하계산서_내역서(전기)_청계초등학교수전설비및냉난방시설공사_CCTV구간 가로등 내역서_CCTV구간 가로등 내역서(원본)" xfId="1184"/>
    <cellStyle name="1_시민계략공사_복지관 부하계산서_내역서(전기)_청계초등학교수전설비및냉난방시설공사_정남진버섯배지,종균분센터신축전기공사-MCCA판넬삭제" xfId="1185"/>
    <cellStyle name="1_시민계략공사_복지관 부하계산서_내역서(전기)_청계초등학교수전설비및냉난방시설공사_정남진버섯배지,종균분센터신축전기공사-MCCA판넬삭제_CCTV구간 가로등 내역서" xfId="1186"/>
    <cellStyle name="1_시민계략공사_복지관 부하계산서_내역서(전기)_청계초등학교수전설비및냉난방시설공사_정남진버섯배지,종균분센터신축전기공사-MCCA판넬삭제_CCTV구간 가로등 내역서_CCTV구간 가로등 내역서(R)" xfId="1187"/>
    <cellStyle name="1_시민계략공사_복지관 부하계산서_내역서(전기)_청계초등학교수전설비및냉난방시설공사_정남진버섯배지,종균분센터신축전기공사-MCCA판넬삭제_CCTV구간 가로등 내역서_CCTV구간 가로등 내역서(원본)" xfId="1188"/>
    <cellStyle name="1_시민계략공사_복지관 부하계산서_내역서(전기)_청계초등학교수전설비및냉난방시설공사_정남진버섯배지,종균분센터신축통신공사" xfId="1189"/>
    <cellStyle name="1_시민계략공사_복지관 부하계산서_내역서(전기)_청계초등학교수전설비및냉난방시설공사_정남진버섯배지,종균분센터신축통신공사_CCTV구간 가로등 내역서" xfId="1190"/>
    <cellStyle name="1_시민계략공사_복지관 부하계산서_내역서(전기)_청계초등학교수전설비및냉난방시설공사_정남진버섯배지,종균분센터신축통신공사_CCTV구간 가로등 내역서_CCTV구간 가로등 내역서(R)" xfId="1191"/>
    <cellStyle name="1_시민계략공사_복지관 부하계산서_내역서(전기)_청계초등학교수전설비및냉난방시설공사_정남진버섯배지,종균분센터신축통신공사_CCTV구간 가로등 내역서_CCTV구간 가로등 내역서(원본)" xfId="1192"/>
    <cellStyle name="1_시민계략공사_복지관 부하계산서_내역서(전기)_청계초등학교수전설비및냉난방시설공사_정남진버섯배지,종균분센터신축통신공사_정남진버섯배지,종균분센터신축전기공사-MCCA판넬삭제" xfId="1193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" xfId="1194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1195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1196"/>
    <cellStyle name="1_시민계략공사_복지관 부하계산서_내역서(전기)_청계초등학교수전설비및냉난방시설공사_지원동증축예산안" xfId="1197"/>
    <cellStyle name="1_시민계략공사_복지관 부하계산서_내역서(전기)_청계초등학교수전설비및냉난방시설공사_지원동증축예산안_CCTV구간 가로등 내역서" xfId="1198"/>
    <cellStyle name="1_시민계략공사_복지관 부하계산서_내역서(전기)_청계초등학교수전설비및냉난방시설공사_지원동증축예산안_CCTV구간 가로등 내역서_CCTV구간 가로등 내역서(R)" xfId="1199"/>
    <cellStyle name="1_시민계략공사_복지관 부하계산서_내역서(전기)_청계초등학교수전설비및냉난방시설공사_지원동증축예산안_CCTV구간 가로등 내역서_CCTV구간 가로등 내역서(원본)" xfId="1200"/>
    <cellStyle name="1_시민계략공사_복지관 부하계산서_내역서(전기)_청계초등학교수전설비및냉난방시설공사_지원동증축예산안_정남진버섯배지,종균분센터신축전기공사-MCCA판넬삭제" xfId="1201"/>
    <cellStyle name="1_시민계략공사_복지관 부하계산서_내역서(전기)_청계초등학교수전설비및냉난방시설공사_지원동증축예산안_정남진버섯배지,종균분센터신축전기공사-MCCA판넬삭제_CCTV구간 가로등 내역서" xfId="1202"/>
    <cellStyle name="1_시민계략공사_복지관 부하계산서_내역서(전기)_청계초등학교수전설비및냉난방시설공사_지원동증축예산안_정남진버섯배지,종균분센터신축전기공사-MCCA판넬삭제_CCTV구간 가로등 내역서_CCTV구간 가로등 내역서(R)" xfId="1203"/>
    <cellStyle name="1_시민계략공사_복지관 부하계산서_내역서(전기)_청계초등학교수전설비및냉난방시설공사_지원동증축예산안_정남진버섯배지,종균분센터신축전기공사-MCCA판넬삭제_CCTV구간 가로등 내역서_CCTV구간 가로등 내역서(원본)" xfId="1204"/>
    <cellStyle name="1_시민계략공사_복지관 부하계산서_내역서(전기)_청계초등학교수전설비및냉난방전기시설공사" xfId="1205"/>
    <cellStyle name="1_시민계략공사_복지관 부하계산서_내역서(전기)_청계초등학교수전설비및냉난방전기시설공사_CCTV구간 가로등 내역서" xfId="1206"/>
    <cellStyle name="1_시민계략공사_복지관 부하계산서_내역서(전기)_청계초등학교수전설비및냉난방전기시설공사_CCTV구간 가로등 내역서_CCTV구간 가로등 내역서(R)" xfId="1207"/>
    <cellStyle name="1_시민계략공사_복지관 부하계산서_내역서(전기)_청계초등학교수전설비및냉난방전기시설공사_CCTV구간 가로등 내역서_CCTV구간 가로등 내역서(원본)" xfId="1208"/>
    <cellStyle name="1_시민계략공사_복지관 부하계산서_내역서(전기)_청계초등학교수전설비및냉난방전기시설공사_정남진버섯배지,종균분센터신축전기공사-MCCA판넬삭제" xfId="1209"/>
    <cellStyle name="1_시민계략공사_복지관 부하계산서_내역서(전기)_청계초등학교수전설비및냉난방전기시설공사_정남진버섯배지,종균분센터신축전기공사-MCCA판넬삭제_CCTV구간 가로등 내역서" xfId="1210"/>
    <cellStyle name="1_시민계략공사_복지관 부하계산서_내역서(전기)_청계초등학교수전설비및냉난방전기시설공사_정남진버섯배지,종균분센터신축전기공사-MCCA판넬삭제_CCTV구간 가로등 내역서_CCTV구간 가로등 내역서(R)" xfId="1211"/>
    <cellStyle name="1_시민계략공사_복지관 부하계산서_내역서(전기)_청계초등학교수전설비및냉난방전기시설공사_정남진버섯배지,종균분센터신축전기공사-MCCA판넬삭제_CCTV구간 가로등 내역서_CCTV구간 가로등 내역서(원본)" xfId="1212"/>
    <cellStyle name="1_시민계략공사_복지관 부하계산서_내역서(전기)_청계초등학교수전설비및냉난방전기시설공사_정남진버섯배지,종균분센터신축통신공사" xfId="1213"/>
    <cellStyle name="1_시민계략공사_복지관 부하계산서_내역서(전기)_청계초등학교수전설비및냉난방전기시설공사_정남진버섯배지,종균분센터신축통신공사_CCTV구간 가로등 내역서" xfId="1214"/>
    <cellStyle name="1_시민계략공사_복지관 부하계산서_내역서(전기)_청계초등학교수전설비및냉난방전기시설공사_정남진버섯배지,종균분센터신축통신공사_CCTV구간 가로등 내역서_CCTV구간 가로등 내역서(R)" xfId="1215"/>
    <cellStyle name="1_시민계략공사_복지관 부하계산서_내역서(전기)_청계초등학교수전설비및냉난방전기시설공사_정남진버섯배지,종균분센터신축통신공사_CCTV구간 가로등 내역서_CCTV구간 가로등 내역서(원본)" xfId="1216"/>
    <cellStyle name="1_시민계략공사_복지관 부하계산서_내역서(전기)_청계초등학교수전설비및냉난방전기시설공사_정남진버섯배지,종균분센터신축통신공사_정남진버섯배지,종균분센터신축전기공사-MCCA판넬삭제" xfId="1217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" xfId="1218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1219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1220"/>
    <cellStyle name="1_시민계략공사_복지관 부하계산서_내역서(전기)_청계초등학교수전설비및냉난방전기시설공사_지원동증축예산안" xfId="1221"/>
    <cellStyle name="1_시민계략공사_복지관 부하계산서_내역서(전기)_청계초등학교수전설비및냉난방전기시설공사_지원동증축예산안_CCTV구간 가로등 내역서" xfId="1222"/>
    <cellStyle name="1_시민계략공사_복지관 부하계산서_내역서(전기)_청계초등학교수전설비및냉난방전기시설공사_지원동증축예산안_CCTV구간 가로등 내역서_CCTV구간 가로등 내역서(R)" xfId="1223"/>
    <cellStyle name="1_시민계략공사_복지관 부하계산서_내역서(전기)_청계초등학교수전설비및냉난방전기시설공사_지원동증축예산안_CCTV구간 가로등 내역서_CCTV구간 가로등 내역서(원본)" xfId="1224"/>
    <cellStyle name="1_시민계략공사_복지관 부하계산서_내역서(전기)_청계초등학교수전설비및냉난방전기시설공사_지원동증축예산안_정남진버섯배지,종균분센터신축전기공사-MCCA판넬삭제" xfId="1225"/>
    <cellStyle name="1_시민계략공사_복지관 부하계산서_내역서(전기)_청계초등학교수전설비및냉난방전기시설공사_지원동증축예산안_정남진버섯배지,종균분센터신축전기공사-MCCA판넬삭제_CCTV구간 가로등 내역서" xfId="1226"/>
    <cellStyle name="1_시민계략공사_복지관 부하계산서_내역서(전기)_청계초등학교수전설비및냉난방전기시설공사_지원동증축예산안_정남진버섯배지,종균분센터신축전기공사-MCCA판넬삭제_CCTV구간 가로등 내역서_CCTV구간 가로등 내역서(R)" xfId="1227"/>
    <cellStyle name="1_시민계략공사_복지관 부하계산서_내역서(전기)_청계초등학교수전설비및냉난방전기시설공사_지원동증축예산안_정남진버섯배지,종균분센터신축전기공사-MCCA판넬삭제_CCTV구간 가로등 내역서_CCTV구간 가로등 내역서(원본)" xfId="1228"/>
    <cellStyle name="1_시민계략공사_복지관 부하계산서_내역서(전기)_함평교육청 전기시설 보수공사(냉,난방)-5월24일" xfId="1229"/>
    <cellStyle name="1_시민계략공사_복지관 부하계산서_내역서(전기)_함평교육청 전기시설 보수공사(냉,난방)-5월24일_CCTV구간 가로등 내역서" xfId="1230"/>
    <cellStyle name="1_시민계략공사_복지관 부하계산서_내역서(전기)_함평교육청 전기시설 보수공사(냉,난방)-5월24일_CCTV구간 가로등 내역서_CCTV구간 가로등 내역서(R)" xfId="1231"/>
    <cellStyle name="1_시민계략공사_복지관 부하계산서_내역서(전기)_함평교육청 전기시설 보수공사(냉,난방)-5월24일_CCTV구간 가로등 내역서_CCTV구간 가로등 내역서(원본)" xfId="1232"/>
    <cellStyle name="1_시민계략공사_복지관 부하계산서_내역서(전기)_함평교육청 전기시설 보수공사(냉,난방)-5월24일_정남진버섯배지,종균분센터신축전기공사-MCCA판넬삭제" xfId="1233"/>
    <cellStyle name="1_시민계략공사_복지관 부하계산서_내역서(전기)_함평교육청 전기시설 보수공사(냉,난방)-5월24일_정남진버섯배지,종균분센터신축전기공사-MCCA판넬삭제_CCTV구간 가로등 내역서" xfId="1234"/>
    <cellStyle name="1_시민계략공사_복지관 부하계산서_내역서(전기)_함평교육청 전기시설 보수공사(냉,난방)-5월24일_정남진버섯배지,종균분센터신축전기공사-MCCA판넬삭제_CCTV구간 가로등 내역서_CCTV구간 가로등 내역서(R)" xfId="1235"/>
    <cellStyle name="1_시민계략공사_복지관 부하계산서_내역서(전기)_함평교육청 전기시설 보수공사(냉,난방)-5월24일_정남진버섯배지,종균분센터신축전기공사-MCCA판넬삭제_CCTV구간 가로등 내역서_CCTV구간 가로등 내역서(원본)" xfId="1236"/>
    <cellStyle name="1_시민계략공사_복지관 부하계산서_내역서(전기)_함평교육청 전기시설 보수공사(냉,난방)-5월24일_정남진버섯배지,종균분센터신축통신공사" xfId="1237"/>
    <cellStyle name="1_시민계략공사_복지관 부하계산서_내역서(전기)_함평교육청 전기시설 보수공사(냉,난방)-5월24일_정남진버섯배지,종균분센터신축통신공사_CCTV구간 가로등 내역서" xfId="1238"/>
    <cellStyle name="1_시민계략공사_복지관 부하계산서_내역서(전기)_함평교육청 전기시설 보수공사(냉,난방)-5월24일_정남진버섯배지,종균분센터신축통신공사_CCTV구간 가로등 내역서_CCTV구간 가로등 내역서(R)" xfId="1239"/>
    <cellStyle name="1_시민계략공사_복지관 부하계산서_내역서(전기)_함평교육청 전기시설 보수공사(냉,난방)-5월24일_정남진버섯배지,종균분센터신축통신공사_CCTV구간 가로등 내역서_CCTV구간 가로등 내역서(원본)" xfId="1240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" xfId="1241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" xfId="1242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1243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1244"/>
    <cellStyle name="1_시민계략공사_복지관 부하계산서_내역서(전기)_함평교육청 전기시설 보수공사(냉,난방)-5월24일_지원동증축예산안" xfId="1245"/>
    <cellStyle name="1_시민계략공사_복지관 부하계산서_내역서(전기)_함평교육청 전기시설 보수공사(냉,난방)-5월24일_지원동증축예산안_CCTV구간 가로등 내역서" xfId="1246"/>
    <cellStyle name="1_시민계략공사_복지관 부하계산서_내역서(전기)_함평교육청 전기시설 보수공사(냉,난방)-5월24일_지원동증축예산안_CCTV구간 가로등 내역서_CCTV구간 가로등 내역서(R)" xfId="1247"/>
    <cellStyle name="1_시민계략공사_복지관 부하계산서_내역서(전기)_함평교육청 전기시설 보수공사(냉,난방)-5월24일_지원동증축예산안_CCTV구간 가로등 내역서_CCTV구간 가로등 내역서(원본)" xfId="1248"/>
    <cellStyle name="1_시민계략공사_복지관 부하계산서_내역서(전기)_함평교육청 전기시설 보수공사(냉,난방)-5월24일_지원동증축예산안_정남진버섯배지,종균분센터신축전기공사-MCCA판넬삭제" xfId="1249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" xfId="1250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_CCTV구간 가로등 내역서(R)" xfId="1251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_CCTV구간 가로등 내역서(원본)" xfId="1252"/>
    <cellStyle name="1_시민계략공사_복지관 부하계산서_삼청로길(내역서04월07일)" xfId="5404"/>
    <cellStyle name="1_시민계략공사_복지관 부하계산서_삼청로길(인공)" xfId="5405"/>
    <cellStyle name="1_시민계략공사_복지관 부하계산서_삼청로길(최종 내역서)" xfId="5406"/>
    <cellStyle name="1_시민계략공사_복지관 부하계산서_수배전반 관급자재 (양지중)" xfId="1253"/>
    <cellStyle name="1_시민계략공사_복지관 부하계산서_수배전반 관급자재 (양지중)_CCTV구간 가로등 내역서" xfId="1254"/>
    <cellStyle name="1_시민계략공사_복지관 부하계산서_수배전반 관급자재 (양지중)_CCTV구간 가로등 내역서_CCTV구간 가로등 내역서(R)" xfId="1255"/>
    <cellStyle name="1_시민계략공사_복지관 부하계산서_수배전반 관급자재 (양지중)_CCTV구간 가로등 내역서_CCTV구간 가로등 내역서(원본)" xfId="1256"/>
    <cellStyle name="1_시민계략공사_복지관 부하계산서_수배전반 관급자재 (양지중)_정남진버섯배지,종균분센터신축전기공사-MCCA판넬삭제" xfId="1257"/>
    <cellStyle name="1_시민계략공사_복지관 부하계산서_수배전반 관급자재 (양지중)_정남진버섯배지,종균분센터신축전기공사-MCCA판넬삭제_CCTV구간 가로등 내역서" xfId="1258"/>
    <cellStyle name="1_시민계략공사_복지관 부하계산서_수배전반 관급자재 (양지중)_정남진버섯배지,종균분센터신축전기공사-MCCA판넬삭제_CCTV구간 가로등 내역서_CCTV구간 가로등 내역서(R)" xfId="1259"/>
    <cellStyle name="1_시민계략공사_복지관 부하계산서_수배전반 관급자재 (양지중)_정남진버섯배지,종균분센터신축전기공사-MCCA판넬삭제_CCTV구간 가로등 내역서_CCTV구간 가로등 내역서(원본)" xfId="1260"/>
    <cellStyle name="1_시민계략공사_복지관 부하계산서_수배전반 관급자재 (양지중)_정남진버섯배지,종균분센터신축통신공사" xfId="1261"/>
    <cellStyle name="1_시민계략공사_복지관 부하계산서_수배전반 관급자재 (양지중)_정남진버섯배지,종균분센터신축통신공사_CCTV구간 가로등 내역서" xfId="1262"/>
    <cellStyle name="1_시민계략공사_복지관 부하계산서_수배전반 관급자재 (양지중)_정남진버섯배지,종균분센터신축통신공사_CCTV구간 가로등 내역서_CCTV구간 가로등 내역서(R)" xfId="1263"/>
    <cellStyle name="1_시민계략공사_복지관 부하계산서_수배전반 관급자재 (양지중)_정남진버섯배지,종균분센터신축통신공사_CCTV구간 가로등 내역서_CCTV구간 가로등 내역서(원본)" xfId="1264"/>
    <cellStyle name="1_시민계략공사_복지관 부하계산서_수배전반 관급자재 (양지중)_정남진버섯배지,종균분센터신축통신공사_정남진버섯배지,종균분센터신축전기공사-MCCA판넬삭제" xfId="1265"/>
    <cellStyle name="1_시민계략공사_복지관 부하계산서_수배전반 관급자재 (양지중)_정남진버섯배지,종균분센터신축통신공사_정남진버섯배지,종균분센터신축전기공사-MCCA판넬삭제_CCTV구간 가로등 내역서" xfId="1266"/>
    <cellStyle name="1_시민계략공사_복지관 부하계산서_수배전반 관급자재 (양지중)_정남진버섯배지,종균분센터신축통신공사_정남진버섯배지,종균분센터신축전기공사-MCCA판넬삭제_CCTV구간 가로등 내역서_CCTV구간 가로등 내역서(R)" xfId="1267"/>
    <cellStyle name="1_시민계략공사_복지관 부하계산서_수배전반 관급자재 (양지중)_정남진버섯배지,종균분센터신축통신공사_정남진버섯배지,종균분센터신축전기공사-MCCA판넬삭제_CCTV구간 가로등 내역서_CCTV구간 가로등 내역서(원본)" xfId="1268"/>
    <cellStyle name="1_시민계략공사_복지관 부하계산서_수배전반 관급자재 (양지중)_지원동증축예산안" xfId="1269"/>
    <cellStyle name="1_시민계략공사_복지관 부하계산서_수배전반 관급자재 (양지중)_지원동증축예산안_CCTV구간 가로등 내역서" xfId="1270"/>
    <cellStyle name="1_시민계략공사_복지관 부하계산서_수배전반 관급자재 (양지중)_지원동증축예산안_CCTV구간 가로등 내역서_CCTV구간 가로등 내역서(R)" xfId="1271"/>
    <cellStyle name="1_시민계략공사_복지관 부하계산서_수배전반 관급자재 (양지중)_지원동증축예산안_CCTV구간 가로등 내역서_CCTV구간 가로등 내역서(원본)" xfId="1272"/>
    <cellStyle name="1_시민계략공사_복지관 부하계산서_수배전반 관급자재 (양지중)_지원동증축예산안_정남진버섯배지,종균분센터신축전기공사-MCCA판넬삭제" xfId="1273"/>
    <cellStyle name="1_시민계략공사_복지관 부하계산서_수배전반 관급자재 (양지중)_지원동증축예산안_정남진버섯배지,종균분센터신축전기공사-MCCA판넬삭제_CCTV구간 가로등 내역서" xfId="1274"/>
    <cellStyle name="1_시민계략공사_복지관 부하계산서_수배전반 관급자재 (양지중)_지원동증축예산안_정남진버섯배지,종균분센터신축전기공사-MCCA판넬삭제_CCTV구간 가로등 내역서_CCTV구간 가로등 내역서(R)" xfId="1275"/>
    <cellStyle name="1_시민계략공사_복지관 부하계산서_수배전반 관급자재 (양지중)_지원동증축예산안_정남진버섯배지,종균분센터신축전기공사-MCCA판넬삭제_CCTV구간 가로등 내역서_CCTV구간 가로등 내역서(원본)" xfId="1276"/>
    <cellStyle name="1_시민계략공사_복지관 부하계산서_양지중교사신축전기공사(최종)" xfId="1277"/>
    <cellStyle name="1_시민계략공사_복지관 부하계산서_양지중교사신축전기공사(최종)_CCTV구간 가로등 내역서" xfId="1278"/>
    <cellStyle name="1_시민계략공사_복지관 부하계산서_양지중교사신축전기공사(최종)_CCTV구간 가로등 내역서_CCTV구간 가로등 내역서(R)" xfId="1279"/>
    <cellStyle name="1_시민계략공사_복지관 부하계산서_양지중교사신축전기공사(최종)_CCTV구간 가로등 내역서_CCTV구간 가로등 내역서(원본)" xfId="1280"/>
    <cellStyle name="1_시민계략공사_복지관 부하계산서_양지중교사신축전기공사(최종)_정남진버섯배지,종균분센터신축전기공사-MCCA판넬삭제" xfId="1281"/>
    <cellStyle name="1_시민계략공사_복지관 부하계산서_양지중교사신축전기공사(최종)_정남진버섯배지,종균분센터신축전기공사-MCCA판넬삭제_CCTV구간 가로등 내역서" xfId="1282"/>
    <cellStyle name="1_시민계략공사_복지관 부하계산서_양지중교사신축전기공사(최종)_정남진버섯배지,종균분센터신축전기공사-MCCA판넬삭제_CCTV구간 가로등 내역서_CCTV구간 가로등 내역서(R)" xfId="1283"/>
    <cellStyle name="1_시민계략공사_복지관 부하계산서_양지중교사신축전기공사(최종)_정남진버섯배지,종균분센터신축전기공사-MCCA판넬삭제_CCTV구간 가로등 내역서_CCTV구간 가로등 내역서(원본)" xfId="1284"/>
    <cellStyle name="1_시민계략공사_복지관 부하계산서_양지중교사신축전기공사(최종)_정남진버섯배지,종균분센터신축통신공사" xfId="1285"/>
    <cellStyle name="1_시민계략공사_복지관 부하계산서_양지중교사신축전기공사(최종)_정남진버섯배지,종균분센터신축통신공사_CCTV구간 가로등 내역서" xfId="1286"/>
    <cellStyle name="1_시민계략공사_복지관 부하계산서_양지중교사신축전기공사(최종)_정남진버섯배지,종균분센터신축통신공사_CCTV구간 가로등 내역서_CCTV구간 가로등 내역서(R)" xfId="1287"/>
    <cellStyle name="1_시민계략공사_복지관 부하계산서_양지중교사신축전기공사(최종)_정남진버섯배지,종균분센터신축통신공사_CCTV구간 가로등 내역서_CCTV구간 가로등 내역서(원본)" xfId="1288"/>
    <cellStyle name="1_시민계략공사_복지관 부하계산서_양지중교사신축전기공사(최종)_정남진버섯배지,종균분센터신축통신공사_정남진버섯배지,종균분센터신축전기공사-MCCA판넬삭제" xfId="1289"/>
    <cellStyle name="1_시민계략공사_복지관 부하계산서_양지중교사신축전기공사(최종)_정남진버섯배지,종균분센터신축통신공사_정남진버섯배지,종균분센터신축전기공사-MCCA판넬삭제_CCTV구간 가로등 내역서" xfId="1290"/>
    <cellStyle name="1_시민계략공사_복지관 부하계산서_양지중교사신축전기공사(최종)_정남진버섯배지,종균분센터신축통신공사_정남진버섯배지,종균분센터신축전기공사-MCCA판넬삭제_CCTV구간 가로등 내역서_CCTV구간 가로등 내역서(R)" xfId="1291"/>
    <cellStyle name="1_시민계략공사_복지관 부하계산서_양지중교사신축전기공사(최종)_정남진버섯배지,종균분센터신축통신공사_정남진버섯배지,종균분센터신축전기공사-MCCA판넬삭제_CCTV구간 가로등 내역서_CCTV구간 가로등 내역서(원본)" xfId="1292"/>
    <cellStyle name="1_시민계략공사_복지관 부하계산서_양지중교사신축전기공사(최종)_지원동증축예산안" xfId="1293"/>
    <cellStyle name="1_시민계략공사_복지관 부하계산서_양지중교사신축전기공사(최종)_지원동증축예산안_CCTV구간 가로등 내역서" xfId="1294"/>
    <cellStyle name="1_시민계략공사_복지관 부하계산서_양지중교사신축전기공사(최종)_지원동증축예산안_CCTV구간 가로등 내역서_CCTV구간 가로등 내역서(R)" xfId="1295"/>
    <cellStyle name="1_시민계략공사_복지관 부하계산서_양지중교사신축전기공사(최종)_지원동증축예산안_CCTV구간 가로등 내역서_CCTV구간 가로등 내역서(원본)" xfId="1296"/>
    <cellStyle name="1_시민계략공사_복지관 부하계산서_양지중교사신축전기공사(최종)_지원동증축예산안_정남진버섯배지,종균분센터신축전기공사-MCCA판넬삭제" xfId="1297"/>
    <cellStyle name="1_시민계략공사_복지관 부하계산서_양지중교사신축전기공사(최종)_지원동증축예산안_정남진버섯배지,종균분센터신축전기공사-MCCA판넬삭제_CCTV구간 가로등 내역서" xfId="1298"/>
    <cellStyle name="1_시민계략공사_복지관 부하계산서_양지중교사신축전기공사(최종)_지원동증축예산안_정남진버섯배지,종균분센터신축전기공사-MCCA판넬삭제_CCTV구간 가로등 내역서_CCTV구간 가로등 내역서(R)" xfId="1299"/>
    <cellStyle name="1_시민계략공사_복지관 부하계산서_양지중교사신축전기공사(최종)_지원동증축예산안_정남진버섯배지,종균분센터신축전기공사-MCCA판넬삭제_CCTV구간 가로등 내역서_CCTV구간 가로등 내역서(원본)" xfId="1300"/>
    <cellStyle name="1_시민계략공사_복지관 부하계산서_정남진버섯배지,종균분센터신축전기공사-MCCA판넬삭제" xfId="1301"/>
    <cellStyle name="1_시민계략공사_복지관 부하계산서_정남진버섯배지,종균분센터신축전기공사-MCCA판넬삭제_CCTV구간 가로등 내역서" xfId="1302"/>
    <cellStyle name="1_시민계략공사_복지관 부하계산서_정남진버섯배지,종균분센터신축전기공사-MCCA판넬삭제_CCTV구간 가로등 내역서_CCTV구간 가로등 내역서(R)" xfId="1303"/>
    <cellStyle name="1_시민계략공사_복지관 부하계산서_정남진버섯배지,종균분센터신축전기공사-MCCA판넬삭제_CCTV구간 가로등 내역서_CCTV구간 가로등 내역서(원본)" xfId="1304"/>
    <cellStyle name="1_시민계략공사_복지관 부하계산서_정남진버섯배지,종균분센터신축통신공사" xfId="1305"/>
    <cellStyle name="1_시민계략공사_복지관 부하계산서_정남진버섯배지,종균분센터신축통신공사_CCTV구간 가로등 내역서" xfId="1306"/>
    <cellStyle name="1_시민계략공사_복지관 부하계산서_정남진버섯배지,종균분센터신축통신공사_CCTV구간 가로등 내역서_CCTV구간 가로등 내역서(R)" xfId="1307"/>
    <cellStyle name="1_시민계략공사_복지관 부하계산서_정남진버섯배지,종균분센터신축통신공사_CCTV구간 가로등 내역서_CCTV구간 가로등 내역서(원본)" xfId="1308"/>
    <cellStyle name="1_시민계략공사_복지관 부하계산서_정남진버섯배지,종균분센터신축통신공사_정남진버섯배지,종균분센터신축전기공사-MCCA판넬삭제" xfId="1309"/>
    <cellStyle name="1_시민계략공사_복지관 부하계산서_정남진버섯배지,종균분센터신축통신공사_정남진버섯배지,종균분센터신축전기공사-MCCA판넬삭제_CCTV구간 가로등 내역서" xfId="1310"/>
    <cellStyle name="1_시민계략공사_복지관 부하계산서_정남진버섯배지,종균분센터신축통신공사_정남진버섯배지,종균분센터신축전기공사-MCCA판넬삭제_CCTV구간 가로등 내역서_CCTV구간 가로등 내역서(R)" xfId="1311"/>
    <cellStyle name="1_시민계략공사_복지관 부하계산서_정남진버섯배지,종균분센터신축통신공사_정남진버섯배지,종균분센터신축전기공사-MCCA판넬삭제_CCTV구간 가로등 내역서_CCTV구간 가로등 내역서(원본)" xfId="1312"/>
    <cellStyle name="1_시민계략공사_복지관 부하계산서_지원동증축예산안" xfId="1313"/>
    <cellStyle name="1_시민계략공사_복지관 부하계산서_지원동증축예산안_CCTV구간 가로등 내역서" xfId="1314"/>
    <cellStyle name="1_시민계략공사_복지관 부하계산서_지원동증축예산안_CCTV구간 가로등 내역서_CCTV구간 가로등 내역서(R)" xfId="1315"/>
    <cellStyle name="1_시민계략공사_복지관 부하계산서_지원동증축예산안_CCTV구간 가로등 내역서_CCTV구간 가로등 내역서(원본)" xfId="1316"/>
    <cellStyle name="1_시민계략공사_복지관 부하계산서_지원동증축예산안_정남진버섯배지,종균분센터신축전기공사-MCCA판넬삭제" xfId="1317"/>
    <cellStyle name="1_시민계략공사_복지관 부하계산서_지원동증축예산안_정남진버섯배지,종균분센터신축전기공사-MCCA판넬삭제_CCTV구간 가로등 내역서" xfId="1318"/>
    <cellStyle name="1_시민계략공사_복지관 부하계산서_지원동증축예산안_정남진버섯배지,종균분센터신축전기공사-MCCA판넬삭제_CCTV구간 가로등 내역서_CCTV구간 가로등 내역서(R)" xfId="1319"/>
    <cellStyle name="1_시민계략공사_복지관 부하계산서_지원동증축예산안_정남진버섯배지,종균분센터신축전기공사-MCCA판넬삭제_CCTV구간 가로등 내역서_CCTV구간 가로등 내역서(원본)" xfId="1320"/>
    <cellStyle name="1_시민계략공사_복지관 부하계산서_청계초등학교수전설비및냉난방시설공사" xfId="1321"/>
    <cellStyle name="1_시민계략공사_복지관 부하계산서_청계초등학교수전설비및냉난방시설공사_CCTV구간 가로등 내역서" xfId="1322"/>
    <cellStyle name="1_시민계략공사_복지관 부하계산서_청계초등학교수전설비및냉난방시설공사_CCTV구간 가로등 내역서_CCTV구간 가로등 내역서(R)" xfId="1323"/>
    <cellStyle name="1_시민계략공사_복지관 부하계산서_청계초등학교수전설비및냉난방시설공사_CCTV구간 가로등 내역서_CCTV구간 가로등 내역서(원본)" xfId="1324"/>
    <cellStyle name="1_시민계략공사_복지관 부하계산서_청계초등학교수전설비및냉난방시설공사_정남진버섯배지,종균분센터신축전기공사-MCCA판넬삭제" xfId="1325"/>
    <cellStyle name="1_시민계략공사_복지관 부하계산서_청계초등학교수전설비및냉난방시설공사_정남진버섯배지,종균분센터신축전기공사-MCCA판넬삭제_CCTV구간 가로등 내역서" xfId="1326"/>
    <cellStyle name="1_시민계략공사_복지관 부하계산서_청계초등학교수전설비및냉난방시설공사_정남진버섯배지,종균분센터신축전기공사-MCCA판넬삭제_CCTV구간 가로등 내역서_CCTV구간 가로등 내역서(R)" xfId="1327"/>
    <cellStyle name="1_시민계략공사_복지관 부하계산서_청계초등학교수전설비및냉난방시설공사_정남진버섯배지,종균분센터신축전기공사-MCCA판넬삭제_CCTV구간 가로등 내역서_CCTV구간 가로등 내역서(원본)" xfId="1328"/>
    <cellStyle name="1_시민계략공사_복지관 부하계산서_청계초등학교수전설비및냉난방시설공사_정남진버섯배지,종균분센터신축통신공사" xfId="1329"/>
    <cellStyle name="1_시민계략공사_복지관 부하계산서_청계초등학교수전설비및냉난방시설공사_정남진버섯배지,종균분센터신축통신공사_CCTV구간 가로등 내역서" xfId="1330"/>
    <cellStyle name="1_시민계략공사_복지관 부하계산서_청계초등학교수전설비및냉난방시설공사_정남진버섯배지,종균분센터신축통신공사_CCTV구간 가로등 내역서_CCTV구간 가로등 내역서(R)" xfId="1331"/>
    <cellStyle name="1_시민계략공사_복지관 부하계산서_청계초등학교수전설비및냉난방시설공사_정남진버섯배지,종균분센터신축통신공사_CCTV구간 가로등 내역서_CCTV구간 가로등 내역서(원본)" xfId="1332"/>
    <cellStyle name="1_시민계략공사_복지관 부하계산서_청계초등학교수전설비및냉난방시설공사_정남진버섯배지,종균분센터신축통신공사_정남진버섯배지,종균분센터신축전기공사-MCCA판넬삭제" xfId="1333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" xfId="1334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_CCTV구간 가로등 내역서(R)" xfId="1335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_CCTV구간 가로등 내역서(원본)" xfId="1336"/>
    <cellStyle name="1_시민계략공사_복지관 부하계산서_청계초등학교수전설비및냉난방시설공사_지원동증축예산안" xfId="1337"/>
    <cellStyle name="1_시민계략공사_복지관 부하계산서_청계초등학교수전설비및냉난방시설공사_지원동증축예산안_CCTV구간 가로등 내역서" xfId="1338"/>
    <cellStyle name="1_시민계략공사_복지관 부하계산서_청계초등학교수전설비및냉난방시설공사_지원동증축예산안_CCTV구간 가로등 내역서_CCTV구간 가로등 내역서(R)" xfId="1339"/>
    <cellStyle name="1_시민계략공사_복지관 부하계산서_청계초등학교수전설비및냉난방시설공사_지원동증축예산안_CCTV구간 가로등 내역서_CCTV구간 가로등 내역서(원본)" xfId="1340"/>
    <cellStyle name="1_시민계략공사_복지관 부하계산서_청계초등학교수전설비및냉난방시설공사_지원동증축예산안_정남진버섯배지,종균분센터신축전기공사-MCCA판넬삭제" xfId="1341"/>
    <cellStyle name="1_시민계략공사_복지관 부하계산서_청계초등학교수전설비및냉난방시설공사_지원동증축예산안_정남진버섯배지,종균분센터신축전기공사-MCCA판넬삭제_CCTV구간 가로등 내역서" xfId="1342"/>
    <cellStyle name="1_시민계략공사_복지관 부하계산서_청계초등학교수전설비및냉난방시설공사_지원동증축예산안_정남진버섯배지,종균분센터신축전기공사-MCCA판넬삭제_CCTV구간 가로등 내역서_CCTV구간 가로등 내역서(R)" xfId="1343"/>
    <cellStyle name="1_시민계략공사_복지관 부하계산서_청계초등학교수전설비및냉난방시설공사_지원동증축예산안_정남진버섯배지,종균분센터신축전기공사-MCCA판넬삭제_CCTV구간 가로등 내역서_CCTV구간 가로등 내역서(원본)" xfId="1344"/>
    <cellStyle name="1_시민계략공사_복지관 부하계산서_청계초등학교수전설비및냉난방전기시설공사" xfId="1345"/>
    <cellStyle name="1_시민계략공사_복지관 부하계산서_청계초등학교수전설비및냉난방전기시설공사_CCTV구간 가로등 내역서" xfId="1346"/>
    <cellStyle name="1_시민계략공사_복지관 부하계산서_청계초등학교수전설비및냉난방전기시설공사_CCTV구간 가로등 내역서_CCTV구간 가로등 내역서(R)" xfId="1347"/>
    <cellStyle name="1_시민계략공사_복지관 부하계산서_청계초등학교수전설비및냉난방전기시설공사_CCTV구간 가로등 내역서_CCTV구간 가로등 내역서(원본)" xfId="1348"/>
    <cellStyle name="1_시민계략공사_복지관 부하계산서_청계초등학교수전설비및냉난방전기시설공사_정남진버섯배지,종균분센터신축전기공사-MCCA판넬삭제" xfId="1349"/>
    <cellStyle name="1_시민계략공사_복지관 부하계산서_청계초등학교수전설비및냉난방전기시설공사_정남진버섯배지,종균분센터신축전기공사-MCCA판넬삭제_CCTV구간 가로등 내역서" xfId="1350"/>
    <cellStyle name="1_시민계략공사_복지관 부하계산서_청계초등학교수전설비및냉난방전기시설공사_정남진버섯배지,종균분센터신축전기공사-MCCA판넬삭제_CCTV구간 가로등 내역서_CCTV구간 가로등 내역서(R)" xfId="1351"/>
    <cellStyle name="1_시민계략공사_복지관 부하계산서_청계초등학교수전설비및냉난방전기시설공사_정남진버섯배지,종균분센터신축전기공사-MCCA판넬삭제_CCTV구간 가로등 내역서_CCTV구간 가로등 내역서(원본)" xfId="1352"/>
    <cellStyle name="1_시민계략공사_복지관 부하계산서_청계초등학교수전설비및냉난방전기시설공사_정남진버섯배지,종균분센터신축통신공사" xfId="1353"/>
    <cellStyle name="1_시민계략공사_복지관 부하계산서_청계초등학교수전설비및냉난방전기시설공사_정남진버섯배지,종균분센터신축통신공사_CCTV구간 가로등 내역서" xfId="1354"/>
    <cellStyle name="1_시민계략공사_복지관 부하계산서_청계초등학교수전설비및냉난방전기시설공사_정남진버섯배지,종균분센터신축통신공사_CCTV구간 가로등 내역서_CCTV구간 가로등 내역서(R)" xfId="1355"/>
    <cellStyle name="1_시민계략공사_복지관 부하계산서_청계초등학교수전설비및냉난방전기시설공사_정남진버섯배지,종균분센터신축통신공사_CCTV구간 가로등 내역서_CCTV구간 가로등 내역서(원본)" xfId="1356"/>
    <cellStyle name="1_시민계략공사_복지관 부하계산서_청계초등학교수전설비및냉난방전기시설공사_정남진버섯배지,종균분센터신축통신공사_정남진버섯배지,종균분센터신축전기공사-MCCA판넬삭제" xfId="1357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" xfId="1358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_CCTV구간 가로등 내역서(R)" xfId="1359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_CCTV구간 가로등 내역서(원본)" xfId="1360"/>
    <cellStyle name="1_시민계략공사_복지관 부하계산서_청계초등학교수전설비및냉난방전기시설공사_지원동증축예산안" xfId="1361"/>
    <cellStyle name="1_시민계략공사_복지관 부하계산서_청계초등학교수전설비및냉난방전기시설공사_지원동증축예산안_CCTV구간 가로등 내역서" xfId="1362"/>
    <cellStyle name="1_시민계략공사_복지관 부하계산서_청계초등학교수전설비및냉난방전기시설공사_지원동증축예산안_CCTV구간 가로등 내역서_CCTV구간 가로등 내역서(R)" xfId="1363"/>
    <cellStyle name="1_시민계략공사_복지관 부하계산서_청계초등학교수전설비및냉난방전기시설공사_지원동증축예산안_CCTV구간 가로등 내역서_CCTV구간 가로등 내역서(원본)" xfId="1364"/>
    <cellStyle name="1_시민계략공사_복지관 부하계산서_청계초등학교수전설비및냉난방전기시설공사_지원동증축예산안_정남진버섯배지,종균분센터신축전기공사-MCCA판넬삭제" xfId="1365"/>
    <cellStyle name="1_시민계략공사_복지관 부하계산서_청계초등학교수전설비및냉난방전기시설공사_지원동증축예산안_정남진버섯배지,종균분센터신축전기공사-MCCA판넬삭제_CCTV구간 가로등 내역서" xfId="1366"/>
    <cellStyle name="1_시민계략공사_복지관 부하계산서_청계초등학교수전설비및냉난방전기시설공사_지원동증축예산안_정남진버섯배지,종균분센터신축전기공사-MCCA판넬삭제_CCTV구간 가로등 내역서_CCTV구간 가로등 내역서(R)" xfId="1367"/>
    <cellStyle name="1_시민계략공사_복지관 부하계산서_청계초등학교수전설비및냉난방전기시설공사_지원동증축예산안_정남진버섯배지,종균분센터신축전기공사-MCCA판넬삭제_CCTV구간 가로등 내역서_CCTV구간 가로등 내역서(원본)" xfId="1368"/>
    <cellStyle name="1_시민계략공사_복지관 부하계산서_함평교육청 전기시설 보수공사(냉,난방)-5월24일" xfId="1369"/>
    <cellStyle name="1_시민계략공사_복지관 부하계산서_함평교육청 전기시설 보수공사(냉,난방)-5월24일_CCTV구간 가로등 내역서" xfId="1370"/>
    <cellStyle name="1_시민계략공사_복지관 부하계산서_함평교육청 전기시설 보수공사(냉,난방)-5월24일_CCTV구간 가로등 내역서_CCTV구간 가로등 내역서(R)" xfId="1371"/>
    <cellStyle name="1_시민계략공사_복지관 부하계산서_함평교육청 전기시설 보수공사(냉,난방)-5월24일_CCTV구간 가로등 내역서_CCTV구간 가로등 내역서(원본)" xfId="1372"/>
    <cellStyle name="1_시민계략공사_복지관 부하계산서_함평교육청 전기시설 보수공사(냉,난방)-5월24일_정남진버섯배지,종균분센터신축전기공사-MCCA판넬삭제" xfId="1373"/>
    <cellStyle name="1_시민계략공사_복지관 부하계산서_함평교육청 전기시설 보수공사(냉,난방)-5월24일_정남진버섯배지,종균분센터신축전기공사-MCCA판넬삭제_CCTV구간 가로등 내역서" xfId="1374"/>
    <cellStyle name="1_시민계략공사_복지관 부하계산서_함평교육청 전기시설 보수공사(냉,난방)-5월24일_정남진버섯배지,종균분센터신축전기공사-MCCA판넬삭제_CCTV구간 가로등 내역서_CCTV구간 가로등 내역서(R)" xfId="1375"/>
    <cellStyle name="1_시민계략공사_복지관 부하계산서_함평교육청 전기시설 보수공사(냉,난방)-5월24일_정남진버섯배지,종균분센터신축전기공사-MCCA판넬삭제_CCTV구간 가로등 내역서_CCTV구간 가로등 내역서(원본)" xfId="1376"/>
    <cellStyle name="1_시민계략공사_복지관 부하계산서_함평교육청 전기시설 보수공사(냉,난방)-5월24일_정남진버섯배지,종균분센터신축통신공사" xfId="1377"/>
    <cellStyle name="1_시민계략공사_복지관 부하계산서_함평교육청 전기시설 보수공사(냉,난방)-5월24일_정남진버섯배지,종균분센터신축통신공사_CCTV구간 가로등 내역서" xfId="1378"/>
    <cellStyle name="1_시민계략공사_복지관 부하계산서_함평교육청 전기시설 보수공사(냉,난방)-5월24일_정남진버섯배지,종균분센터신축통신공사_CCTV구간 가로등 내역서_CCTV구간 가로등 내역서(R)" xfId="1379"/>
    <cellStyle name="1_시민계략공사_복지관 부하계산서_함평교육청 전기시설 보수공사(냉,난방)-5월24일_정남진버섯배지,종균분센터신축통신공사_CCTV구간 가로등 내역서_CCTV구간 가로등 내역서(원본)" xfId="1380"/>
    <cellStyle name="1_시민계략공사_복지관 부하계산서_함평교육청 전기시설 보수공사(냉,난방)-5월24일_정남진버섯배지,종균분센터신축통신공사_정남진버섯배지,종균분센터신축전기공사-MCCA판넬삭제" xfId="1381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" xfId="1382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_CCTV구간 가로등 내역서(R)" xfId="1383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1384"/>
    <cellStyle name="1_시민계략공사_복지관 부하계산서_함평교육청 전기시설 보수공사(냉,난방)-5월24일_지원동증축예산안" xfId="1385"/>
    <cellStyle name="1_시민계략공사_복지관 부하계산서_함평교육청 전기시설 보수공사(냉,난방)-5월24일_지원동증축예산안_CCTV구간 가로등 내역서" xfId="1386"/>
    <cellStyle name="1_시민계략공사_복지관 부하계산서_함평교육청 전기시설 보수공사(냉,난방)-5월24일_지원동증축예산안_CCTV구간 가로등 내역서_CCTV구간 가로등 내역서(R)" xfId="1387"/>
    <cellStyle name="1_시민계략공사_복지관 부하계산서_함평교육청 전기시설 보수공사(냉,난방)-5월24일_지원동증축예산안_CCTV구간 가로등 내역서_CCTV구간 가로등 내역서(원본)" xfId="1388"/>
    <cellStyle name="1_시민계략공사_복지관 부하계산서_함평교육청 전기시설 보수공사(냉,난방)-5월24일_지원동증축예산안_정남진버섯배지,종균분센터신축전기공사-MCCA판넬삭제" xfId="1389"/>
    <cellStyle name="1_시민계략공사_복지관 부하계산서_함평교육청 전기시설 보수공사(냉,난방)-5월24일_지원동증축예산안_정남진버섯배지,종균분센터신축전기공사-MCCA판넬삭제_CCTV구간 가로등 내역서" xfId="1390"/>
    <cellStyle name="1_시민계략공사_복지관 부하계산서_함평교육청 전기시설 보수공사(냉,난방)-5월24일_지원동증축예산안_정남진버섯배지,종균분센터신축전기공사-MCCA판넬삭제_CCTV구간 가로등 내역서_CCTV구간 가로등 내역서(R)" xfId="1391"/>
    <cellStyle name="1_시민계략공사_복지관 부하계산서_함평교육청 전기시설 보수공사(냉,난방)-5월24일_지원동증축예산안_정남진버섯배지,종균분센터신축전기공사-MCCA판넬삭제_CCTV구간 가로등 내역서_CCTV구간 가로등 내역서(원본)" xfId="1392"/>
    <cellStyle name="1_시민계략공사_봉산면보건지소신축공사(전기)11월30일변경" xfId="1393"/>
    <cellStyle name="1_시민계략공사_북문로(팔마로)가로등설치공사(변경)3월11일" xfId="1394"/>
    <cellStyle name="1_시민계략공사_북문팔마로확포장공사가로등" xfId="1395"/>
    <cellStyle name="1_시민계략공사_비상부하,발전기용량 계산서" xfId="1396"/>
    <cellStyle name="1_시민계략공사_비상부하,발전기용량 계산서_CCTV 내역시작11.21" xfId="5407"/>
    <cellStyle name="1_시민계략공사_비상부하,발전기용량 계산서_CCTV구간 가로등 내역서" xfId="1397"/>
    <cellStyle name="1_시민계략공사_비상부하,발전기용량 계산서_CCTV구간 가로등 내역서_CCTV구간 가로등 내역서(R)" xfId="1398"/>
    <cellStyle name="1_시민계략공사_비상부하,발전기용량 계산서_CCTV구간 가로등 내역서_CCTV구간 가로등 내역서(원본)" xfId="1399"/>
    <cellStyle name="1_시민계략공사_비상부하,발전기용량 계산서_군청사거리 외1개소LED신호등제작구매설치" xfId="1400"/>
    <cellStyle name="1_시민계략공사_비상부하,발전기용량 계산서_군청사거리 외1개소LED신호등제작구매설치_CCTV구간 가로등 내역서" xfId="1401"/>
    <cellStyle name="1_시민계략공사_비상부하,발전기용량 계산서_군청사거리 외1개소LED신호등제작구매설치_CCTV구간 가로등 내역서_CCTV구간 가로등 내역서(R)" xfId="1402"/>
    <cellStyle name="1_시민계략공사_비상부하,발전기용량 계산서_군청사거리 외1개소LED신호등제작구매설치_CCTV구간 가로등 내역서_CCTV구간 가로등 내역서(원본)" xfId="1403"/>
    <cellStyle name="1_시민계략공사_비상부하,발전기용량 계산서_군청사거리 외1개소LED신호등제작구매설치_정남진버섯배지,종균분센터신축전기공사-MCCA판넬삭제" xfId="1404"/>
    <cellStyle name="1_시민계략공사_비상부하,발전기용량 계산서_군청사거리 외1개소LED신호등제작구매설치_정남진버섯배지,종균분센터신축전기공사-MCCA판넬삭제_CCTV구간 가로등 내역서" xfId="1405"/>
    <cellStyle name="1_시민계략공사_비상부하,발전기용량 계산서_군청사거리 외1개소LED신호등제작구매설치_정남진버섯배지,종균분센터신축전기공사-MCCA판넬삭제_CCTV구간 가로등 내역서_CCTV구간 가로등 내역서(R)" xfId="1406"/>
    <cellStyle name="1_시민계략공사_비상부하,발전기용량 계산서_군청사거리 외1개소LED신호등제작구매설치_정남진버섯배지,종균분센터신축전기공사-MCCA판넬삭제_CCTV구간 가로등 내역서_CCTV구간 가로등 내역서(원본)" xfId="1407"/>
    <cellStyle name="1_시민계략공사_비상부하,발전기용량 계산서_군청사거리 외1개소LED신호등제작구매설치_정남진버섯배지,종균분센터신축통신공사" xfId="1408"/>
    <cellStyle name="1_시민계략공사_비상부하,발전기용량 계산서_군청사거리 외1개소LED신호등제작구매설치_정남진버섯배지,종균분센터신축통신공사_CCTV구간 가로등 내역서" xfId="1409"/>
    <cellStyle name="1_시민계략공사_비상부하,발전기용량 계산서_군청사거리 외1개소LED신호등제작구매설치_정남진버섯배지,종균분센터신축통신공사_CCTV구간 가로등 내역서_CCTV구간 가로등 내역서(R)" xfId="1410"/>
    <cellStyle name="1_시민계략공사_비상부하,발전기용량 계산서_군청사거리 외1개소LED신호등제작구매설치_정남진버섯배지,종균분센터신축통신공사_CCTV구간 가로등 내역서_CCTV구간 가로등 내역서(원본)" xfId="1411"/>
    <cellStyle name="1_시민계략공사_비상부하,발전기용량 계산서_군청사거리 외1개소LED신호등제작구매설치_정남진버섯배지,종균분센터신축통신공사_정남진버섯배지,종균분센터신축전기공사-MCCA판넬삭제" xfId="1412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" xfId="1413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_CCTV구간 가로등 내역서(R)" xfId="1414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_CCTV구간 가로등 내역서(원본)" xfId="1415"/>
    <cellStyle name="1_시민계략공사_비상부하,발전기용량 계산서_군청사거리 외1개소LED신호등제작구매설치_지원동증축예산안" xfId="1416"/>
    <cellStyle name="1_시민계략공사_비상부하,발전기용량 계산서_군청사거리 외1개소LED신호등제작구매설치_지원동증축예산안_CCTV구간 가로등 내역서" xfId="1417"/>
    <cellStyle name="1_시민계략공사_비상부하,발전기용량 계산서_군청사거리 외1개소LED신호등제작구매설치_지원동증축예산안_CCTV구간 가로등 내역서_CCTV구간 가로등 내역서(R)" xfId="1418"/>
    <cellStyle name="1_시민계략공사_비상부하,발전기용량 계산서_군청사거리 외1개소LED신호등제작구매설치_지원동증축예산안_CCTV구간 가로등 내역서_CCTV구간 가로등 내역서(원본)" xfId="1419"/>
    <cellStyle name="1_시민계략공사_비상부하,발전기용량 계산서_군청사거리 외1개소LED신호등제작구매설치_지원동증축예산안_정남진버섯배지,종균분센터신축전기공사-MCCA판넬삭제" xfId="1420"/>
    <cellStyle name="1_시민계략공사_비상부하,발전기용량 계산서_군청사거리 외1개소LED신호등제작구매설치_지원동증축예산안_정남진버섯배지,종균분센터신축전기공사-MCCA판넬삭제_CCTV구간 가로등 내역서" xfId="1421"/>
    <cellStyle name="1_시민계략공사_비상부하,발전기용량 계산서_군청사거리 외1개소LED신호등제작구매설치_지원동증축예산안_정남진버섯배지,종균분센터신축전기공사-MCCA판넬삭제_CCTV구간 가로등 내역서_CCTV구간 가로등 내역서(R)" xfId="1422"/>
    <cellStyle name="1_시민계략공사_비상부하,발전기용량 계산서_군청사거리 외1개소LED신호등제작구매설치_지원동증축예산안_정남진버섯배지,종균분센터신축전기공사-MCCA판넬삭제_CCTV구간 가로등 내역서_CCTV구간 가로등 내역서(원본)" xfId="1423"/>
    <cellStyle name="1_시민계략공사_비상부하,발전기용량 계산서_내역서(전기)" xfId="1424"/>
    <cellStyle name="1_시민계략공사_비상부하,발전기용량 계산서_내역서(전기)_CCTV 내역시작11.21" xfId="5408"/>
    <cellStyle name="1_시민계략공사_비상부하,발전기용량 계산서_내역서(전기)_CCTV구간 가로등 내역서" xfId="1425"/>
    <cellStyle name="1_시민계략공사_비상부하,발전기용량 계산서_내역서(전기)_CCTV구간 가로등 내역서_CCTV구간 가로등 내역서(R)" xfId="1426"/>
    <cellStyle name="1_시민계략공사_비상부하,발전기용량 계산서_내역서(전기)_CCTV구간 가로등 내역서_CCTV구간 가로등 내역서(원본)" xfId="1427"/>
    <cellStyle name="1_시민계략공사_비상부하,발전기용량 계산서_내역서(전기)_군청사거리 외1개소LED신호등제작구매설치" xfId="1428"/>
    <cellStyle name="1_시민계략공사_비상부하,발전기용량 계산서_내역서(전기)_군청사거리 외1개소LED신호등제작구매설치_CCTV구간 가로등 내역서" xfId="1429"/>
    <cellStyle name="1_시민계략공사_비상부하,발전기용량 계산서_내역서(전기)_군청사거리 외1개소LED신호등제작구매설치_CCTV구간 가로등 내역서_CCTV구간 가로등 내역서(R)" xfId="1430"/>
    <cellStyle name="1_시민계략공사_비상부하,발전기용량 계산서_내역서(전기)_군청사거리 외1개소LED신호등제작구매설치_CCTV구간 가로등 내역서_CCTV구간 가로등 내역서(원본)" xfId="1431"/>
    <cellStyle name="1_시민계략공사_비상부하,발전기용량 계산서_내역서(전기)_군청사거리 외1개소LED신호등제작구매설치_정남진버섯배지,종균분센터신축전기공사-MCCA판넬삭제" xfId="1432"/>
    <cellStyle name="1_시민계략공사_비상부하,발전기용량 계산서_내역서(전기)_군청사거리 외1개소LED신호등제작구매설치_정남진버섯배지,종균분센터신축전기공사-MCCA판넬삭제_CCTV구간 가로등 내역서" xfId="1433"/>
    <cellStyle name="1_시민계략공사_비상부하,발전기용량 계산서_내역서(전기)_군청사거리 외1개소LED신호등제작구매설치_정남진버섯배지,종균분센터신축전기공사-MCCA판넬삭제_CCTV구간 가로등 내역서_CCTV구간 가로등 내역서(R)" xfId="1434"/>
    <cellStyle name="1_시민계략공사_비상부하,발전기용량 계산서_내역서(전기)_군청사거리 외1개소LED신호등제작구매설치_정남진버섯배지,종균분센터신축전기공사-MCCA판넬삭제_CCTV구간 가로등 내역서_CCTV구간 가로등 내역서(원본)" xfId="1435"/>
    <cellStyle name="1_시민계략공사_비상부하,발전기용량 계산서_내역서(전기)_군청사거리 외1개소LED신호등제작구매설치_정남진버섯배지,종균분센터신축통신공사" xfId="1436"/>
    <cellStyle name="1_시민계략공사_비상부하,발전기용량 계산서_내역서(전기)_군청사거리 외1개소LED신호등제작구매설치_정남진버섯배지,종균분센터신축통신공사_CCTV구간 가로등 내역서" xfId="1437"/>
    <cellStyle name="1_시민계략공사_비상부하,발전기용량 계산서_내역서(전기)_군청사거리 외1개소LED신호등제작구매설치_정남진버섯배지,종균분센터신축통신공사_CCTV구간 가로등 내역서_CCTV구간 가로등 내역서(R)" xfId="1438"/>
    <cellStyle name="1_시민계략공사_비상부하,발전기용량 계산서_내역서(전기)_군청사거리 외1개소LED신호등제작구매설치_정남진버섯배지,종균분센터신축통신공사_CCTV구간 가로등 내역서_CCTV구간 가로등 내역서(원본)" xfId="1439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" xfId="1440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" xfId="1441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1442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1443"/>
    <cellStyle name="1_시민계략공사_비상부하,발전기용량 계산서_내역서(전기)_군청사거리 외1개소LED신호등제작구매설치_지원동증축예산안" xfId="1444"/>
    <cellStyle name="1_시민계략공사_비상부하,발전기용량 계산서_내역서(전기)_군청사거리 외1개소LED신호등제작구매설치_지원동증축예산안_CCTV구간 가로등 내역서" xfId="1445"/>
    <cellStyle name="1_시민계략공사_비상부하,발전기용량 계산서_내역서(전기)_군청사거리 외1개소LED신호등제작구매설치_지원동증축예산안_CCTV구간 가로등 내역서_CCTV구간 가로등 내역서(R)" xfId="1446"/>
    <cellStyle name="1_시민계략공사_비상부하,발전기용량 계산서_내역서(전기)_군청사거리 외1개소LED신호등제작구매설치_지원동증축예산안_CCTV구간 가로등 내역서_CCTV구간 가로등 내역서(원본)" xfId="1447"/>
    <cellStyle name="1_시민계략공사_비상부하,발전기용량 계산서_내역서(전기)_군청사거리 외1개소LED신호등제작구매설치_지원동증축예산안_정남진버섯배지,종균분센터신축전기공사-MCCA판넬삭제" xfId="1448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" xfId="1449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_CCTV구간 가로등 내역서(R)" xfId="1450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_CCTV구간 가로등 내역서(원본)" xfId="1451"/>
    <cellStyle name="1_시민계략공사_비상부하,발전기용량 계산서_내역서(전기)_삼청로길(내역서04월07일)" xfId="5409"/>
    <cellStyle name="1_시민계략공사_비상부하,발전기용량 계산서_내역서(전기)_삼청로길(인공)" xfId="5410"/>
    <cellStyle name="1_시민계략공사_비상부하,발전기용량 계산서_내역서(전기)_삼청로길(최종 내역서)" xfId="5411"/>
    <cellStyle name="1_시민계략공사_비상부하,발전기용량 계산서_내역서(전기)_수배전반 관급자재 (양지중)" xfId="1452"/>
    <cellStyle name="1_시민계략공사_비상부하,발전기용량 계산서_내역서(전기)_수배전반 관급자재 (양지중)_CCTV구간 가로등 내역서" xfId="1453"/>
    <cellStyle name="1_시민계략공사_비상부하,발전기용량 계산서_내역서(전기)_수배전반 관급자재 (양지중)_CCTV구간 가로등 내역서_CCTV구간 가로등 내역서(R)" xfId="1454"/>
    <cellStyle name="1_시민계략공사_비상부하,발전기용량 계산서_내역서(전기)_수배전반 관급자재 (양지중)_CCTV구간 가로등 내역서_CCTV구간 가로등 내역서(원본)" xfId="1455"/>
    <cellStyle name="1_시민계략공사_비상부하,발전기용량 계산서_내역서(전기)_수배전반 관급자재 (양지중)_정남진버섯배지,종균분센터신축전기공사-MCCA판넬삭제" xfId="1456"/>
    <cellStyle name="1_시민계략공사_비상부하,발전기용량 계산서_내역서(전기)_수배전반 관급자재 (양지중)_정남진버섯배지,종균분센터신축전기공사-MCCA판넬삭제_CCTV구간 가로등 내역서" xfId="1457"/>
    <cellStyle name="1_시민계략공사_비상부하,발전기용량 계산서_내역서(전기)_수배전반 관급자재 (양지중)_정남진버섯배지,종균분센터신축전기공사-MCCA판넬삭제_CCTV구간 가로등 내역서_CCTV구간 가로등 내역서(R)" xfId="1458"/>
    <cellStyle name="1_시민계략공사_비상부하,발전기용량 계산서_내역서(전기)_수배전반 관급자재 (양지중)_정남진버섯배지,종균분센터신축전기공사-MCCA판넬삭제_CCTV구간 가로등 내역서_CCTV구간 가로등 내역서(원본)" xfId="1459"/>
    <cellStyle name="1_시민계략공사_비상부하,발전기용량 계산서_내역서(전기)_수배전반 관급자재 (양지중)_정남진버섯배지,종균분센터신축통신공사" xfId="1460"/>
    <cellStyle name="1_시민계략공사_비상부하,발전기용량 계산서_내역서(전기)_수배전반 관급자재 (양지중)_정남진버섯배지,종균분센터신축통신공사_CCTV구간 가로등 내역서" xfId="1461"/>
    <cellStyle name="1_시민계략공사_비상부하,발전기용량 계산서_내역서(전기)_수배전반 관급자재 (양지중)_정남진버섯배지,종균분센터신축통신공사_CCTV구간 가로등 내역서_CCTV구간 가로등 내역서(R)" xfId="1462"/>
    <cellStyle name="1_시민계략공사_비상부하,발전기용량 계산서_내역서(전기)_수배전반 관급자재 (양지중)_정남진버섯배지,종균분센터신축통신공사_CCTV구간 가로등 내역서_CCTV구간 가로등 내역서(원본)" xfId="1463"/>
    <cellStyle name="1_시민계략공사_비상부하,발전기용량 계산서_내역서(전기)_수배전반 관급자재 (양지중)_정남진버섯배지,종균분센터신축통신공사_정남진버섯배지,종균분센터신축전기공사-MCCA판넬삭제" xfId="1464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" xfId="1465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_CCTV구간 가로등 내역서(R)" xfId="1466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_CCTV구간 가로등 내역서(원본)" xfId="1467"/>
    <cellStyle name="1_시민계략공사_비상부하,발전기용량 계산서_내역서(전기)_수배전반 관급자재 (양지중)_지원동증축예산안" xfId="1468"/>
    <cellStyle name="1_시민계략공사_비상부하,발전기용량 계산서_내역서(전기)_수배전반 관급자재 (양지중)_지원동증축예산안_CCTV구간 가로등 내역서" xfId="1469"/>
    <cellStyle name="1_시민계략공사_비상부하,발전기용량 계산서_내역서(전기)_수배전반 관급자재 (양지중)_지원동증축예산안_CCTV구간 가로등 내역서_CCTV구간 가로등 내역서(R)" xfId="1470"/>
    <cellStyle name="1_시민계략공사_비상부하,발전기용량 계산서_내역서(전기)_수배전반 관급자재 (양지중)_지원동증축예산안_CCTV구간 가로등 내역서_CCTV구간 가로등 내역서(원본)" xfId="1471"/>
    <cellStyle name="1_시민계략공사_비상부하,발전기용량 계산서_내역서(전기)_수배전반 관급자재 (양지중)_지원동증축예산안_정남진버섯배지,종균분센터신축전기공사-MCCA판넬삭제" xfId="1472"/>
    <cellStyle name="1_시민계략공사_비상부하,발전기용량 계산서_내역서(전기)_수배전반 관급자재 (양지중)_지원동증축예산안_정남진버섯배지,종균분센터신축전기공사-MCCA판넬삭제_CCTV구간 가로등 내역서" xfId="1473"/>
    <cellStyle name="1_시민계략공사_비상부하,발전기용량 계산서_내역서(전기)_수배전반 관급자재 (양지중)_지원동증축예산안_정남진버섯배지,종균분센터신축전기공사-MCCA판넬삭제_CCTV구간 가로등 내역서_CCTV구간 가로등 내역서(R)" xfId="1474"/>
    <cellStyle name="1_시민계략공사_비상부하,발전기용량 계산서_내역서(전기)_수배전반 관급자재 (양지중)_지원동증축예산안_정남진버섯배지,종균분센터신축전기공사-MCCA판넬삭제_CCTV구간 가로등 내역서_CCTV구간 가로등 내역서(원본)" xfId="1475"/>
    <cellStyle name="1_시민계략공사_비상부하,발전기용량 계산서_내역서(전기)_양지중교사신축전기공사(최종)" xfId="1476"/>
    <cellStyle name="1_시민계략공사_비상부하,발전기용량 계산서_내역서(전기)_양지중교사신축전기공사(최종)_CCTV구간 가로등 내역서" xfId="1477"/>
    <cellStyle name="1_시민계략공사_비상부하,발전기용량 계산서_내역서(전기)_양지중교사신축전기공사(최종)_CCTV구간 가로등 내역서_CCTV구간 가로등 내역서(R)" xfId="1478"/>
    <cellStyle name="1_시민계략공사_비상부하,발전기용량 계산서_내역서(전기)_양지중교사신축전기공사(최종)_CCTV구간 가로등 내역서_CCTV구간 가로등 내역서(원본)" xfId="1479"/>
    <cellStyle name="1_시민계략공사_비상부하,발전기용량 계산서_내역서(전기)_양지중교사신축전기공사(최종)_정남진버섯배지,종균분센터신축전기공사-MCCA판넬삭제" xfId="1480"/>
    <cellStyle name="1_시민계략공사_비상부하,발전기용량 계산서_내역서(전기)_양지중교사신축전기공사(최종)_정남진버섯배지,종균분센터신축전기공사-MCCA판넬삭제_CCTV구간 가로등 내역서" xfId="1481"/>
    <cellStyle name="1_시민계략공사_비상부하,발전기용량 계산서_내역서(전기)_양지중교사신축전기공사(최종)_정남진버섯배지,종균분센터신축전기공사-MCCA판넬삭제_CCTV구간 가로등 내역서_CCTV구간 가로등 내역서(R)" xfId="1482"/>
    <cellStyle name="1_시민계략공사_비상부하,발전기용량 계산서_내역서(전기)_양지중교사신축전기공사(최종)_정남진버섯배지,종균분센터신축전기공사-MCCA판넬삭제_CCTV구간 가로등 내역서_CCTV구간 가로등 내역서(원본)" xfId="1483"/>
    <cellStyle name="1_시민계략공사_비상부하,발전기용량 계산서_내역서(전기)_양지중교사신축전기공사(최종)_정남진버섯배지,종균분센터신축통신공사" xfId="1484"/>
    <cellStyle name="1_시민계략공사_비상부하,발전기용량 계산서_내역서(전기)_양지중교사신축전기공사(최종)_정남진버섯배지,종균분센터신축통신공사_CCTV구간 가로등 내역서" xfId="1485"/>
    <cellStyle name="1_시민계략공사_비상부하,발전기용량 계산서_내역서(전기)_양지중교사신축전기공사(최종)_정남진버섯배지,종균분센터신축통신공사_CCTV구간 가로등 내역서_CCTV구간 가로등 내역서(R)" xfId="1486"/>
    <cellStyle name="1_시민계략공사_비상부하,발전기용량 계산서_내역서(전기)_양지중교사신축전기공사(최종)_정남진버섯배지,종균분센터신축통신공사_CCTV구간 가로등 내역서_CCTV구간 가로등 내역서(원본)" xfId="1487"/>
    <cellStyle name="1_시민계략공사_비상부하,발전기용량 계산서_내역서(전기)_양지중교사신축전기공사(최종)_정남진버섯배지,종균분센터신축통신공사_정남진버섯배지,종균분센터신축전기공사-MCCA판넬삭제" xfId="1488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" xfId="1489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_CCTV구간 가로등 내역서(R)" xfId="1490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_CCTV구간 가로등 내역서(원본)" xfId="1491"/>
    <cellStyle name="1_시민계략공사_비상부하,발전기용량 계산서_내역서(전기)_양지중교사신축전기공사(최종)_지원동증축예산안" xfId="1492"/>
    <cellStyle name="1_시민계략공사_비상부하,발전기용량 계산서_내역서(전기)_양지중교사신축전기공사(최종)_지원동증축예산안_CCTV구간 가로등 내역서" xfId="1493"/>
    <cellStyle name="1_시민계략공사_비상부하,발전기용량 계산서_내역서(전기)_양지중교사신축전기공사(최종)_지원동증축예산안_CCTV구간 가로등 내역서_CCTV구간 가로등 내역서(R)" xfId="1494"/>
    <cellStyle name="1_시민계략공사_비상부하,발전기용량 계산서_내역서(전기)_양지중교사신축전기공사(최종)_지원동증축예산안_CCTV구간 가로등 내역서_CCTV구간 가로등 내역서(원본)" xfId="1495"/>
    <cellStyle name="1_시민계략공사_비상부하,발전기용량 계산서_내역서(전기)_양지중교사신축전기공사(최종)_지원동증축예산안_정남진버섯배지,종균분센터신축전기공사-MCCA판넬삭제" xfId="1496"/>
    <cellStyle name="1_시민계략공사_비상부하,발전기용량 계산서_내역서(전기)_양지중교사신축전기공사(최종)_지원동증축예산안_정남진버섯배지,종균분센터신축전기공사-MCCA판넬삭제_CCTV구간 가로등 내역서" xfId="1497"/>
    <cellStyle name="1_시민계략공사_비상부하,발전기용량 계산서_내역서(전기)_양지중교사신축전기공사(최종)_지원동증축예산안_정남진버섯배지,종균분센터신축전기공사-MCCA판넬삭제_CCTV구간 가로등 내역서_CCTV구간 가로등 내역서(R)" xfId="1498"/>
    <cellStyle name="1_시민계략공사_비상부하,발전기용량 계산서_내역서(전기)_양지중교사신축전기공사(최종)_지원동증축예산안_정남진버섯배지,종균분센터신축전기공사-MCCA판넬삭제_CCTV구간 가로등 내역서_CCTV구간 가로등 내역서(원본)" xfId="1499"/>
    <cellStyle name="1_시민계략공사_비상부하,발전기용량 계산서_내역서(전기)_정남진버섯배지,종균분센터신축전기공사-MCCA판넬삭제" xfId="1500"/>
    <cellStyle name="1_시민계략공사_비상부하,발전기용량 계산서_내역서(전기)_정남진버섯배지,종균분센터신축전기공사-MCCA판넬삭제_CCTV구간 가로등 내역서" xfId="1501"/>
    <cellStyle name="1_시민계략공사_비상부하,발전기용량 계산서_내역서(전기)_정남진버섯배지,종균분센터신축전기공사-MCCA판넬삭제_CCTV구간 가로등 내역서_CCTV구간 가로등 내역서(R)" xfId="1502"/>
    <cellStyle name="1_시민계략공사_비상부하,발전기용량 계산서_내역서(전기)_정남진버섯배지,종균분센터신축전기공사-MCCA판넬삭제_CCTV구간 가로등 내역서_CCTV구간 가로등 내역서(원본)" xfId="1503"/>
    <cellStyle name="1_시민계략공사_비상부하,발전기용량 계산서_내역서(전기)_정남진버섯배지,종균분센터신축통신공사" xfId="1504"/>
    <cellStyle name="1_시민계략공사_비상부하,발전기용량 계산서_내역서(전기)_정남진버섯배지,종균분센터신축통신공사_CCTV구간 가로등 내역서" xfId="1505"/>
    <cellStyle name="1_시민계략공사_비상부하,발전기용량 계산서_내역서(전기)_정남진버섯배지,종균분센터신축통신공사_CCTV구간 가로등 내역서_CCTV구간 가로등 내역서(R)" xfId="1506"/>
    <cellStyle name="1_시민계략공사_비상부하,발전기용량 계산서_내역서(전기)_정남진버섯배지,종균분센터신축통신공사_CCTV구간 가로등 내역서_CCTV구간 가로등 내역서(원본)" xfId="1507"/>
    <cellStyle name="1_시민계략공사_비상부하,발전기용량 계산서_내역서(전기)_정남진버섯배지,종균분센터신축통신공사_정남진버섯배지,종균분센터신축전기공사-MCCA판넬삭제" xfId="1508"/>
    <cellStyle name="1_시민계략공사_비상부하,발전기용량 계산서_내역서(전기)_정남진버섯배지,종균분센터신축통신공사_정남진버섯배지,종균분센터신축전기공사-MCCA판넬삭제_CCTV구간 가로등 내역서" xfId="1509"/>
    <cellStyle name="1_시민계략공사_비상부하,발전기용량 계산서_내역서(전기)_정남진버섯배지,종균분센터신축통신공사_정남진버섯배지,종균분센터신축전기공사-MCCA판넬삭제_CCTV구간 가로등 내역서_CCTV구간 가로등 내역서(R)" xfId="1510"/>
    <cellStyle name="1_시민계략공사_비상부하,발전기용량 계산서_내역서(전기)_정남진버섯배지,종균분센터신축통신공사_정남진버섯배지,종균분센터신축전기공사-MCCA판넬삭제_CCTV구간 가로등 내역서_CCTV구간 가로등 내역서(원본)" xfId="1511"/>
    <cellStyle name="1_시민계략공사_비상부하,발전기용량 계산서_내역서(전기)_지원동증축예산안" xfId="1512"/>
    <cellStyle name="1_시민계략공사_비상부하,발전기용량 계산서_내역서(전기)_지원동증축예산안_CCTV구간 가로등 내역서" xfId="1513"/>
    <cellStyle name="1_시민계략공사_비상부하,발전기용량 계산서_내역서(전기)_지원동증축예산안_CCTV구간 가로등 내역서_CCTV구간 가로등 내역서(R)" xfId="1514"/>
    <cellStyle name="1_시민계략공사_비상부하,발전기용량 계산서_내역서(전기)_지원동증축예산안_CCTV구간 가로등 내역서_CCTV구간 가로등 내역서(원본)" xfId="1515"/>
    <cellStyle name="1_시민계략공사_비상부하,발전기용량 계산서_내역서(전기)_지원동증축예산안_정남진버섯배지,종균분센터신축전기공사-MCCA판넬삭제" xfId="1516"/>
    <cellStyle name="1_시민계략공사_비상부하,발전기용량 계산서_내역서(전기)_지원동증축예산안_정남진버섯배지,종균분센터신축전기공사-MCCA판넬삭제_CCTV구간 가로등 내역서" xfId="1517"/>
    <cellStyle name="1_시민계략공사_비상부하,발전기용량 계산서_내역서(전기)_지원동증축예산안_정남진버섯배지,종균분센터신축전기공사-MCCA판넬삭제_CCTV구간 가로등 내역서_CCTV구간 가로등 내역서(R)" xfId="1518"/>
    <cellStyle name="1_시민계략공사_비상부하,발전기용량 계산서_내역서(전기)_지원동증축예산안_정남진버섯배지,종균분센터신축전기공사-MCCA판넬삭제_CCTV구간 가로등 내역서_CCTV구간 가로등 내역서(원본)" xfId="1519"/>
    <cellStyle name="1_시민계략공사_비상부하,발전기용량 계산서_내역서(전기)_청계초등학교수전설비및냉난방시설공사" xfId="1520"/>
    <cellStyle name="1_시민계략공사_비상부하,발전기용량 계산서_내역서(전기)_청계초등학교수전설비및냉난방시설공사_CCTV구간 가로등 내역서" xfId="1521"/>
    <cellStyle name="1_시민계략공사_비상부하,발전기용량 계산서_내역서(전기)_청계초등학교수전설비및냉난방시설공사_CCTV구간 가로등 내역서_CCTV구간 가로등 내역서(R)" xfId="1522"/>
    <cellStyle name="1_시민계략공사_비상부하,발전기용량 계산서_내역서(전기)_청계초등학교수전설비및냉난방시설공사_CCTV구간 가로등 내역서_CCTV구간 가로등 내역서(원본)" xfId="1523"/>
    <cellStyle name="1_시민계략공사_비상부하,발전기용량 계산서_내역서(전기)_청계초등학교수전설비및냉난방시설공사_정남진버섯배지,종균분센터신축전기공사-MCCA판넬삭제" xfId="1524"/>
    <cellStyle name="1_시민계략공사_비상부하,발전기용량 계산서_내역서(전기)_청계초등학교수전설비및냉난방시설공사_정남진버섯배지,종균분센터신축전기공사-MCCA판넬삭제_CCTV구간 가로등 내역서" xfId="1525"/>
    <cellStyle name="1_시민계략공사_비상부하,발전기용량 계산서_내역서(전기)_청계초등학교수전설비및냉난방시설공사_정남진버섯배지,종균분센터신축전기공사-MCCA판넬삭제_CCTV구간 가로등 내역서_CCTV구간 가로등 내역서(R)" xfId="1526"/>
    <cellStyle name="1_시민계략공사_비상부하,발전기용량 계산서_내역서(전기)_청계초등학교수전설비및냉난방시설공사_정남진버섯배지,종균분센터신축전기공사-MCCA판넬삭제_CCTV구간 가로등 내역서_CCTV구간 가로등 내역서(원본)" xfId="1527"/>
    <cellStyle name="1_시민계략공사_비상부하,발전기용량 계산서_내역서(전기)_청계초등학교수전설비및냉난방시설공사_정남진버섯배지,종균분센터신축통신공사" xfId="1528"/>
    <cellStyle name="1_시민계략공사_비상부하,발전기용량 계산서_내역서(전기)_청계초등학교수전설비및냉난방시설공사_정남진버섯배지,종균분센터신축통신공사_CCTV구간 가로등 내역서" xfId="1529"/>
    <cellStyle name="1_시민계략공사_비상부하,발전기용량 계산서_내역서(전기)_청계초등학교수전설비및냉난방시설공사_정남진버섯배지,종균분센터신축통신공사_CCTV구간 가로등 내역서_CCTV구간 가로등 내역서(R)" xfId="1530"/>
    <cellStyle name="1_시민계략공사_비상부하,발전기용량 계산서_내역서(전기)_청계초등학교수전설비및냉난방시설공사_정남진버섯배지,종균분센터신축통신공사_CCTV구간 가로등 내역서_CCTV구간 가로등 내역서(원본)" xfId="1531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" xfId="1532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" xfId="1533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1534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1535"/>
    <cellStyle name="1_시민계략공사_비상부하,발전기용량 계산서_내역서(전기)_청계초등학교수전설비및냉난방시설공사_지원동증축예산안" xfId="1536"/>
    <cellStyle name="1_시민계략공사_비상부하,발전기용량 계산서_내역서(전기)_청계초등학교수전설비및냉난방시설공사_지원동증축예산안_CCTV구간 가로등 내역서" xfId="1537"/>
    <cellStyle name="1_시민계략공사_비상부하,발전기용량 계산서_내역서(전기)_청계초등학교수전설비및냉난방시설공사_지원동증축예산안_CCTV구간 가로등 내역서_CCTV구간 가로등 내역서(R)" xfId="1538"/>
    <cellStyle name="1_시민계략공사_비상부하,발전기용량 계산서_내역서(전기)_청계초등학교수전설비및냉난방시설공사_지원동증축예산안_CCTV구간 가로등 내역서_CCTV구간 가로등 내역서(원본)" xfId="1539"/>
    <cellStyle name="1_시민계략공사_비상부하,발전기용량 계산서_내역서(전기)_청계초등학교수전설비및냉난방시설공사_지원동증축예산안_정남진버섯배지,종균분센터신축전기공사-MCCA판넬삭제" xfId="1540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" xfId="1541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_CCTV구간 가로등 내역서(R)" xfId="1542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_CCTV구간 가로등 내역서(원본)" xfId="1543"/>
    <cellStyle name="1_시민계략공사_비상부하,발전기용량 계산서_내역서(전기)_청계초등학교수전설비및냉난방전기시설공사" xfId="1544"/>
    <cellStyle name="1_시민계략공사_비상부하,발전기용량 계산서_내역서(전기)_청계초등학교수전설비및냉난방전기시설공사_CCTV구간 가로등 내역서" xfId="1545"/>
    <cellStyle name="1_시민계략공사_비상부하,발전기용량 계산서_내역서(전기)_청계초등학교수전설비및냉난방전기시설공사_CCTV구간 가로등 내역서_CCTV구간 가로등 내역서(R)" xfId="1546"/>
    <cellStyle name="1_시민계략공사_비상부하,발전기용량 계산서_내역서(전기)_청계초등학교수전설비및냉난방전기시설공사_CCTV구간 가로등 내역서_CCTV구간 가로등 내역서(원본)" xfId="1547"/>
    <cellStyle name="1_시민계략공사_비상부하,발전기용량 계산서_내역서(전기)_청계초등학교수전설비및냉난방전기시설공사_정남진버섯배지,종균분센터신축전기공사-MCCA판넬삭제" xfId="1548"/>
    <cellStyle name="1_시민계략공사_비상부하,발전기용량 계산서_내역서(전기)_청계초등학교수전설비및냉난방전기시설공사_정남진버섯배지,종균분센터신축전기공사-MCCA판넬삭제_CCTV구간 가로등 내역서" xfId="1549"/>
    <cellStyle name="1_시민계략공사_비상부하,발전기용량 계산서_내역서(전기)_청계초등학교수전설비및냉난방전기시설공사_정남진버섯배지,종균분센터신축전기공사-MCCA판넬삭제_CCTV구간 가로등 내역서_CCTV구간 가로등 내역서(R)" xfId="1550"/>
    <cellStyle name="1_시민계략공사_비상부하,발전기용량 계산서_내역서(전기)_청계초등학교수전설비및냉난방전기시설공사_정남진버섯배지,종균분센터신축전기공사-MCCA판넬삭제_CCTV구간 가로등 내역서_CCTV구간 가로등 내역서(원본)" xfId="1551"/>
    <cellStyle name="1_시민계략공사_비상부하,발전기용량 계산서_내역서(전기)_청계초등학교수전설비및냉난방전기시설공사_정남진버섯배지,종균분센터신축통신공사" xfId="1552"/>
    <cellStyle name="1_시민계략공사_비상부하,발전기용량 계산서_내역서(전기)_청계초등학교수전설비및냉난방전기시설공사_정남진버섯배지,종균분센터신축통신공사_CCTV구간 가로등 내역서" xfId="1553"/>
    <cellStyle name="1_시민계략공사_비상부하,발전기용량 계산서_내역서(전기)_청계초등학교수전설비및냉난방전기시설공사_정남진버섯배지,종균분센터신축통신공사_CCTV구간 가로등 내역서_CCTV구간 가로등 내역서(R)" xfId="1554"/>
    <cellStyle name="1_시민계략공사_비상부하,발전기용량 계산서_내역서(전기)_청계초등학교수전설비및냉난방전기시설공사_정남진버섯배지,종균분센터신축통신공사_CCTV구간 가로등 내역서_CCTV구간 가로등 내역서(원본)" xfId="1555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" xfId="1556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" xfId="1557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1558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1559"/>
    <cellStyle name="1_시민계략공사_비상부하,발전기용량 계산서_내역서(전기)_청계초등학교수전설비및냉난방전기시설공사_지원동증축예산안" xfId="1560"/>
    <cellStyle name="1_시민계략공사_비상부하,발전기용량 계산서_내역서(전기)_청계초등학교수전설비및냉난방전기시설공사_지원동증축예산안_CCTV구간 가로등 내역서" xfId="1561"/>
    <cellStyle name="1_시민계략공사_비상부하,발전기용량 계산서_내역서(전기)_청계초등학교수전설비및냉난방전기시설공사_지원동증축예산안_CCTV구간 가로등 내역서_CCTV구간 가로등 내역서(R)" xfId="1562"/>
    <cellStyle name="1_시민계략공사_비상부하,발전기용량 계산서_내역서(전기)_청계초등학교수전설비및냉난방전기시설공사_지원동증축예산안_CCTV구간 가로등 내역서_CCTV구간 가로등 내역서(원본)" xfId="1563"/>
    <cellStyle name="1_시민계략공사_비상부하,발전기용량 계산서_내역서(전기)_청계초등학교수전설비및냉난방전기시설공사_지원동증축예산안_정남진버섯배지,종균분센터신축전기공사-MCCA판넬삭제" xfId="1564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" xfId="1565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_CCTV구간 가로등 내역서(R)" xfId="1566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_CCTV구간 가로등 내역서(원본)" xfId="1567"/>
    <cellStyle name="1_시민계략공사_비상부하,발전기용량 계산서_내역서(전기)_함평교육청 전기시설 보수공사(냉,난방)-5월24일" xfId="1568"/>
    <cellStyle name="1_시민계략공사_비상부하,발전기용량 계산서_내역서(전기)_함평교육청 전기시설 보수공사(냉,난방)-5월24일_CCTV구간 가로등 내역서" xfId="1569"/>
    <cellStyle name="1_시민계략공사_비상부하,발전기용량 계산서_내역서(전기)_함평교육청 전기시설 보수공사(냉,난방)-5월24일_CCTV구간 가로등 내역서_CCTV구간 가로등 내역서(R)" xfId="1570"/>
    <cellStyle name="1_시민계략공사_비상부하,발전기용량 계산서_내역서(전기)_함평교육청 전기시설 보수공사(냉,난방)-5월24일_CCTV구간 가로등 내역서_CCTV구간 가로등 내역서(원본)" xfId="1571"/>
    <cellStyle name="1_시민계략공사_비상부하,발전기용량 계산서_내역서(전기)_함평교육청 전기시설 보수공사(냉,난방)-5월24일_정남진버섯배지,종균분센터신축전기공사-MCCA판넬삭제" xfId="1572"/>
    <cellStyle name="1_시민계략공사_비상부하,발전기용량 계산서_내역서(전기)_함평교육청 전기시설 보수공사(냉,난방)-5월24일_정남진버섯배지,종균분센터신축전기공사-MCCA판넬삭제_CCTV구간 가로등 내역서" xfId="1573"/>
    <cellStyle name="1_시민계략공사_비상부하,발전기용량 계산서_내역서(전기)_함평교육청 전기시설 보수공사(냉,난방)-5월24일_정남진버섯배지,종균분센터신축전기공사-MCCA판넬삭제_CCTV구간 가로등 내역서_CCTV구간 가로등 내역서(R)" xfId="1574"/>
    <cellStyle name="1_시민계략공사_비상부하,발전기용량 계산서_내역서(전기)_함평교육청 전기시설 보수공사(냉,난방)-5월24일_정남진버섯배지,종균분센터신축전기공사-MCCA판넬삭제_CCTV구간 가로등 내역서_CCTV구간 가로등 내역서(원본)" xfId="1575"/>
    <cellStyle name="1_시민계략공사_비상부하,발전기용량 계산서_내역서(전기)_함평교육청 전기시설 보수공사(냉,난방)-5월24일_정남진버섯배지,종균분센터신축통신공사" xfId="1576"/>
    <cellStyle name="1_시민계략공사_비상부하,발전기용량 계산서_내역서(전기)_함평교육청 전기시설 보수공사(냉,난방)-5월24일_정남진버섯배지,종균분센터신축통신공사_CCTV구간 가로등 내역서" xfId="1577"/>
    <cellStyle name="1_시민계략공사_비상부하,발전기용량 계산서_내역서(전기)_함평교육청 전기시설 보수공사(냉,난방)-5월24일_정남진버섯배지,종균분센터신축통신공사_CCTV구간 가로등 내역서_CCTV구간 가로등 내역서(R)" xfId="1578"/>
    <cellStyle name="1_시민계략공사_비상부하,발전기용량 계산서_내역서(전기)_함평교육청 전기시설 보수공사(냉,난방)-5월24일_정남진버섯배지,종균분센터신축통신공사_CCTV구간 가로등 내역서_CCTV구간 가로등 내역서(원본)" xfId="1579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" xfId="1580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" xfId="1581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1582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1583"/>
    <cellStyle name="1_시민계략공사_비상부하,발전기용량 계산서_내역서(전기)_함평교육청 전기시설 보수공사(냉,난방)-5월24일_지원동증축예산안" xfId="1584"/>
    <cellStyle name="1_시민계략공사_비상부하,발전기용량 계산서_내역서(전기)_함평교육청 전기시설 보수공사(냉,난방)-5월24일_지원동증축예산안_CCTV구간 가로등 내역서" xfId="1585"/>
    <cellStyle name="1_시민계략공사_비상부하,발전기용량 계산서_내역서(전기)_함평교육청 전기시설 보수공사(냉,난방)-5월24일_지원동증축예산안_CCTV구간 가로등 내역서_CCTV구간 가로등 내역서(R)" xfId="1586"/>
    <cellStyle name="1_시민계략공사_비상부하,발전기용량 계산서_내역서(전기)_함평교육청 전기시설 보수공사(냉,난방)-5월24일_지원동증축예산안_CCTV구간 가로등 내역서_CCTV구간 가로등 내역서(원본)" xfId="1587"/>
    <cellStyle name="1_시민계략공사_비상부하,발전기용량 계산서_내역서(전기)_함평교육청 전기시설 보수공사(냉,난방)-5월24일_지원동증축예산안_정남진버섯배지,종균분센터신축전기공사-MCCA판넬삭제" xfId="1588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" xfId="1589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_CCTV구간 가로등 내역서(R)" xfId="1590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_CCTV구간 가로등 내역서(원본)" xfId="1591"/>
    <cellStyle name="1_시민계략공사_비상부하,발전기용량 계산서_삼청로길(내역서04월07일)" xfId="5412"/>
    <cellStyle name="1_시민계략공사_비상부하,발전기용량 계산서_삼청로길(인공)" xfId="5413"/>
    <cellStyle name="1_시민계략공사_비상부하,발전기용량 계산서_삼청로길(최종 내역서)" xfId="5414"/>
    <cellStyle name="1_시민계략공사_비상부하,발전기용량 계산서_수배전반 관급자재 (양지중)" xfId="1592"/>
    <cellStyle name="1_시민계략공사_비상부하,발전기용량 계산서_수배전반 관급자재 (양지중)_CCTV구간 가로등 내역서" xfId="1593"/>
    <cellStyle name="1_시민계략공사_비상부하,발전기용량 계산서_수배전반 관급자재 (양지중)_CCTV구간 가로등 내역서_CCTV구간 가로등 내역서(R)" xfId="1594"/>
    <cellStyle name="1_시민계략공사_비상부하,발전기용량 계산서_수배전반 관급자재 (양지중)_CCTV구간 가로등 내역서_CCTV구간 가로등 내역서(원본)" xfId="1595"/>
    <cellStyle name="1_시민계략공사_비상부하,발전기용량 계산서_수배전반 관급자재 (양지중)_정남진버섯배지,종균분센터신축전기공사-MCCA판넬삭제" xfId="1596"/>
    <cellStyle name="1_시민계략공사_비상부하,발전기용량 계산서_수배전반 관급자재 (양지중)_정남진버섯배지,종균분센터신축전기공사-MCCA판넬삭제_CCTV구간 가로등 내역서" xfId="1597"/>
    <cellStyle name="1_시민계략공사_비상부하,발전기용량 계산서_수배전반 관급자재 (양지중)_정남진버섯배지,종균분센터신축전기공사-MCCA판넬삭제_CCTV구간 가로등 내역서_CCTV구간 가로등 내역서(R)" xfId="1598"/>
    <cellStyle name="1_시민계략공사_비상부하,발전기용량 계산서_수배전반 관급자재 (양지중)_정남진버섯배지,종균분센터신축전기공사-MCCA판넬삭제_CCTV구간 가로등 내역서_CCTV구간 가로등 내역서(원본)" xfId="1599"/>
    <cellStyle name="1_시민계략공사_비상부하,발전기용량 계산서_수배전반 관급자재 (양지중)_정남진버섯배지,종균분센터신축통신공사" xfId="1600"/>
    <cellStyle name="1_시민계략공사_비상부하,발전기용량 계산서_수배전반 관급자재 (양지중)_정남진버섯배지,종균분센터신축통신공사_CCTV구간 가로등 내역서" xfId="1601"/>
    <cellStyle name="1_시민계략공사_비상부하,발전기용량 계산서_수배전반 관급자재 (양지중)_정남진버섯배지,종균분센터신축통신공사_CCTV구간 가로등 내역서_CCTV구간 가로등 내역서(R)" xfId="1602"/>
    <cellStyle name="1_시민계략공사_비상부하,발전기용량 계산서_수배전반 관급자재 (양지중)_정남진버섯배지,종균분센터신축통신공사_CCTV구간 가로등 내역서_CCTV구간 가로등 내역서(원본)" xfId="1603"/>
    <cellStyle name="1_시민계략공사_비상부하,발전기용량 계산서_수배전반 관급자재 (양지중)_정남진버섯배지,종균분센터신축통신공사_정남진버섯배지,종균분센터신축전기공사-MCCA판넬삭제" xfId="1604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" xfId="1605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_CCTV구간 가로등 내역서(R)" xfId="1606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_CCTV구간 가로등 내역서(원본)" xfId="1607"/>
    <cellStyle name="1_시민계략공사_비상부하,발전기용량 계산서_수배전반 관급자재 (양지중)_지원동증축예산안" xfId="1608"/>
    <cellStyle name="1_시민계략공사_비상부하,발전기용량 계산서_수배전반 관급자재 (양지중)_지원동증축예산안_CCTV구간 가로등 내역서" xfId="1609"/>
    <cellStyle name="1_시민계략공사_비상부하,발전기용량 계산서_수배전반 관급자재 (양지중)_지원동증축예산안_CCTV구간 가로등 내역서_CCTV구간 가로등 내역서(R)" xfId="1610"/>
    <cellStyle name="1_시민계략공사_비상부하,발전기용량 계산서_수배전반 관급자재 (양지중)_지원동증축예산안_CCTV구간 가로등 내역서_CCTV구간 가로등 내역서(원본)" xfId="1611"/>
    <cellStyle name="1_시민계략공사_비상부하,발전기용량 계산서_수배전반 관급자재 (양지중)_지원동증축예산안_정남진버섯배지,종균분센터신축전기공사-MCCA판넬삭제" xfId="1612"/>
    <cellStyle name="1_시민계략공사_비상부하,발전기용량 계산서_수배전반 관급자재 (양지중)_지원동증축예산안_정남진버섯배지,종균분센터신축전기공사-MCCA판넬삭제_CCTV구간 가로등 내역서" xfId="1613"/>
    <cellStyle name="1_시민계략공사_비상부하,발전기용량 계산서_수배전반 관급자재 (양지중)_지원동증축예산안_정남진버섯배지,종균분센터신축전기공사-MCCA판넬삭제_CCTV구간 가로등 내역서_CCTV구간 가로등 내역서(R)" xfId="1614"/>
    <cellStyle name="1_시민계략공사_비상부하,발전기용량 계산서_수배전반 관급자재 (양지중)_지원동증축예산안_정남진버섯배지,종균분센터신축전기공사-MCCA판넬삭제_CCTV구간 가로등 내역서_CCTV구간 가로등 내역서(원본)" xfId="1615"/>
    <cellStyle name="1_시민계략공사_비상부하,발전기용량 계산서_양지중교사신축전기공사(최종)" xfId="1616"/>
    <cellStyle name="1_시민계략공사_비상부하,발전기용량 계산서_양지중교사신축전기공사(최종)_CCTV구간 가로등 내역서" xfId="1617"/>
    <cellStyle name="1_시민계략공사_비상부하,발전기용량 계산서_양지중교사신축전기공사(최종)_CCTV구간 가로등 내역서_CCTV구간 가로등 내역서(R)" xfId="1618"/>
    <cellStyle name="1_시민계략공사_비상부하,발전기용량 계산서_양지중교사신축전기공사(최종)_CCTV구간 가로등 내역서_CCTV구간 가로등 내역서(원본)" xfId="1619"/>
    <cellStyle name="1_시민계략공사_비상부하,발전기용량 계산서_양지중교사신축전기공사(최종)_정남진버섯배지,종균분센터신축전기공사-MCCA판넬삭제" xfId="1620"/>
    <cellStyle name="1_시민계략공사_비상부하,발전기용량 계산서_양지중교사신축전기공사(최종)_정남진버섯배지,종균분센터신축전기공사-MCCA판넬삭제_CCTV구간 가로등 내역서" xfId="1621"/>
    <cellStyle name="1_시민계략공사_비상부하,발전기용량 계산서_양지중교사신축전기공사(최종)_정남진버섯배지,종균분센터신축전기공사-MCCA판넬삭제_CCTV구간 가로등 내역서_CCTV구간 가로등 내역서(R)" xfId="1622"/>
    <cellStyle name="1_시민계략공사_비상부하,발전기용량 계산서_양지중교사신축전기공사(최종)_정남진버섯배지,종균분센터신축전기공사-MCCA판넬삭제_CCTV구간 가로등 내역서_CCTV구간 가로등 내역서(원본)" xfId="1623"/>
    <cellStyle name="1_시민계략공사_비상부하,발전기용량 계산서_양지중교사신축전기공사(최종)_정남진버섯배지,종균분센터신축통신공사" xfId="1624"/>
    <cellStyle name="1_시민계략공사_비상부하,발전기용량 계산서_양지중교사신축전기공사(최종)_정남진버섯배지,종균분센터신축통신공사_CCTV구간 가로등 내역서" xfId="1625"/>
    <cellStyle name="1_시민계략공사_비상부하,발전기용량 계산서_양지중교사신축전기공사(최종)_정남진버섯배지,종균분센터신축통신공사_CCTV구간 가로등 내역서_CCTV구간 가로등 내역서(R)" xfId="1626"/>
    <cellStyle name="1_시민계략공사_비상부하,발전기용량 계산서_양지중교사신축전기공사(최종)_정남진버섯배지,종균분센터신축통신공사_CCTV구간 가로등 내역서_CCTV구간 가로등 내역서(원본)" xfId="1627"/>
    <cellStyle name="1_시민계략공사_비상부하,발전기용량 계산서_양지중교사신축전기공사(최종)_정남진버섯배지,종균분센터신축통신공사_정남진버섯배지,종균분센터신축전기공사-MCCA판넬삭제" xfId="1628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" xfId="1629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_CCTV구간 가로등 내역서(R)" xfId="1630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_CCTV구간 가로등 내역서(원본)" xfId="1631"/>
    <cellStyle name="1_시민계략공사_비상부하,발전기용량 계산서_양지중교사신축전기공사(최종)_지원동증축예산안" xfId="1632"/>
    <cellStyle name="1_시민계략공사_비상부하,발전기용량 계산서_양지중교사신축전기공사(최종)_지원동증축예산안_CCTV구간 가로등 내역서" xfId="1633"/>
    <cellStyle name="1_시민계략공사_비상부하,발전기용량 계산서_양지중교사신축전기공사(최종)_지원동증축예산안_CCTV구간 가로등 내역서_CCTV구간 가로등 내역서(R)" xfId="1634"/>
    <cellStyle name="1_시민계략공사_비상부하,발전기용량 계산서_양지중교사신축전기공사(최종)_지원동증축예산안_CCTV구간 가로등 내역서_CCTV구간 가로등 내역서(원본)" xfId="1635"/>
    <cellStyle name="1_시민계략공사_비상부하,발전기용량 계산서_양지중교사신축전기공사(최종)_지원동증축예산안_정남진버섯배지,종균분센터신축전기공사-MCCA판넬삭제" xfId="1636"/>
    <cellStyle name="1_시민계략공사_비상부하,발전기용량 계산서_양지중교사신축전기공사(최종)_지원동증축예산안_정남진버섯배지,종균분센터신축전기공사-MCCA판넬삭제_CCTV구간 가로등 내역서" xfId="1637"/>
    <cellStyle name="1_시민계략공사_비상부하,발전기용량 계산서_양지중교사신축전기공사(최종)_지원동증축예산안_정남진버섯배지,종균분센터신축전기공사-MCCA판넬삭제_CCTV구간 가로등 내역서_CCTV구간 가로등 내역서(R)" xfId="1638"/>
    <cellStyle name="1_시민계략공사_비상부하,발전기용량 계산서_양지중교사신축전기공사(최종)_지원동증축예산안_정남진버섯배지,종균분센터신축전기공사-MCCA판넬삭제_CCTV구간 가로등 내역서_CCTV구간 가로등 내역서(원본)" xfId="1639"/>
    <cellStyle name="1_시민계략공사_비상부하,발전기용량 계산서_정남진버섯배지,종균분센터신축전기공사-MCCA판넬삭제" xfId="1640"/>
    <cellStyle name="1_시민계략공사_비상부하,발전기용량 계산서_정남진버섯배지,종균분센터신축전기공사-MCCA판넬삭제_CCTV구간 가로등 내역서" xfId="1641"/>
    <cellStyle name="1_시민계략공사_비상부하,발전기용량 계산서_정남진버섯배지,종균분센터신축전기공사-MCCA판넬삭제_CCTV구간 가로등 내역서_CCTV구간 가로등 내역서(R)" xfId="1642"/>
    <cellStyle name="1_시민계략공사_비상부하,발전기용량 계산서_정남진버섯배지,종균분센터신축전기공사-MCCA판넬삭제_CCTV구간 가로등 내역서_CCTV구간 가로등 내역서(원본)" xfId="1643"/>
    <cellStyle name="1_시민계략공사_비상부하,발전기용량 계산서_정남진버섯배지,종균분센터신축통신공사" xfId="1644"/>
    <cellStyle name="1_시민계략공사_비상부하,발전기용량 계산서_정남진버섯배지,종균분센터신축통신공사_CCTV구간 가로등 내역서" xfId="1645"/>
    <cellStyle name="1_시민계략공사_비상부하,발전기용량 계산서_정남진버섯배지,종균분센터신축통신공사_CCTV구간 가로등 내역서_CCTV구간 가로등 내역서(R)" xfId="1646"/>
    <cellStyle name="1_시민계략공사_비상부하,발전기용량 계산서_정남진버섯배지,종균분센터신축통신공사_CCTV구간 가로등 내역서_CCTV구간 가로등 내역서(원본)" xfId="1647"/>
    <cellStyle name="1_시민계략공사_비상부하,발전기용량 계산서_정남진버섯배지,종균분센터신축통신공사_정남진버섯배지,종균분센터신축전기공사-MCCA판넬삭제" xfId="1648"/>
    <cellStyle name="1_시민계략공사_비상부하,발전기용량 계산서_정남진버섯배지,종균분센터신축통신공사_정남진버섯배지,종균분센터신축전기공사-MCCA판넬삭제_CCTV구간 가로등 내역서" xfId="1649"/>
    <cellStyle name="1_시민계략공사_비상부하,발전기용량 계산서_정남진버섯배지,종균분센터신축통신공사_정남진버섯배지,종균분센터신축전기공사-MCCA판넬삭제_CCTV구간 가로등 내역서_CCTV구간 가로등 내역서(R)" xfId="1650"/>
    <cellStyle name="1_시민계략공사_비상부하,발전기용량 계산서_정남진버섯배지,종균분센터신축통신공사_정남진버섯배지,종균분센터신축전기공사-MCCA판넬삭제_CCTV구간 가로등 내역서_CCTV구간 가로등 내역서(원본)" xfId="1651"/>
    <cellStyle name="1_시민계략공사_비상부하,발전기용량 계산서_지원동증축예산안" xfId="1652"/>
    <cellStyle name="1_시민계략공사_비상부하,발전기용량 계산서_지원동증축예산안_CCTV구간 가로등 내역서" xfId="1653"/>
    <cellStyle name="1_시민계략공사_비상부하,발전기용량 계산서_지원동증축예산안_CCTV구간 가로등 내역서_CCTV구간 가로등 내역서(R)" xfId="1654"/>
    <cellStyle name="1_시민계략공사_비상부하,발전기용량 계산서_지원동증축예산안_CCTV구간 가로등 내역서_CCTV구간 가로등 내역서(원본)" xfId="1655"/>
    <cellStyle name="1_시민계략공사_비상부하,발전기용량 계산서_지원동증축예산안_정남진버섯배지,종균분센터신축전기공사-MCCA판넬삭제" xfId="1656"/>
    <cellStyle name="1_시민계략공사_비상부하,발전기용량 계산서_지원동증축예산안_정남진버섯배지,종균분센터신축전기공사-MCCA판넬삭제_CCTV구간 가로등 내역서" xfId="1657"/>
    <cellStyle name="1_시민계략공사_비상부하,발전기용량 계산서_지원동증축예산안_정남진버섯배지,종균분센터신축전기공사-MCCA판넬삭제_CCTV구간 가로등 내역서_CCTV구간 가로등 내역서(R)" xfId="1658"/>
    <cellStyle name="1_시민계략공사_비상부하,발전기용량 계산서_지원동증축예산안_정남진버섯배지,종균분센터신축전기공사-MCCA판넬삭제_CCTV구간 가로등 내역서_CCTV구간 가로등 내역서(원본)" xfId="1659"/>
    <cellStyle name="1_시민계략공사_비상부하,발전기용량 계산서_청계초등학교수전설비및냉난방시설공사" xfId="1660"/>
    <cellStyle name="1_시민계략공사_비상부하,발전기용량 계산서_청계초등학교수전설비및냉난방시설공사_CCTV구간 가로등 내역서" xfId="1661"/>
    <cellStyle name="1_시민계략공사_비상부하,발전기용량 계산서_청계초등학교수전설비및냉난방시설공사_CCTV구간 가로등 내역서_CCTV구간 가로등 내역서(R)" xfId="1662"/>
    <cellStyle name="1_시민계략공사_비상부하,발전기용량 계산서_청계초등학교수전설비및냉난방시설공사_CCTV구간 가로등 내역서_CCTV구간 가로등 내역서(원본)" xfId="1663"/>
    <cellStyle name="1_시민계략공사_비상부하,발전기용량 계산서_청계초등학교수전설비및냉난방시설공사_정남진버섯배지,종균분센터신축전기공사-MCCA판넬삭제" xfId="1664"/>
    <cellStyle name="1_시민계략공사_비상부하,발전기용량 계산서_청계초등학교수전설비및냉난방시설공사_정남진버섯배지,종균분센터신축전기공사-MCCA판넬삭제_CCTV구간 가로등 내역서" xfId="1665"/>
    <cellStyle name="1_시민계략공사_비상부하,발전기용량 계산서_청계초등학교수전설비및냉난방시설공사_정남진버섯배지,종균분센터신축전기공사-MCCA판넬삭제_CCTV구간 가로등 내역서_CCTV구간 가로등 내역서(R)" xfId="1666"/>
    <cellStyle name="1_시민계략공사_비상부하,발전기용량 계산서_청계초등학교수전설비및냉난방시설공사_정남진버섯배지,종균분센터신축전기공사-MCCA판넬삭제_CCTV구간 가로등 내역서_CCTV구간 가로등 내역서(원본)" xfId="1667"/>
    <cellStyle name="1_시민계략공사_비상부하,발전기용량 계산서_청계초등학교수전설비및냉난방시설공사_정남진버섯배지,종균분센터신축통신공사" xfId="1668"/>
    <cellStyle name="1_시민계략공사_비상부하,발전기용량 계산서_청계초등학교수전설비및냉난방시설공사_정남진버섯배지,종균분센터신축통신공사_CCTV구간 가로등 내역서" xfId="1669"/>
    <cellStyle name="1_시민계략공사_비상부하,발전기용량 계산서_청계초등학교수전설비및냉난방시설공사_정남진버섯배지,종균분센터신축통신공사_CCTV구간 가로등 내역서_CCTV구간 가로등 내역서(R)" xfId="1670"/>
    <cellStyle name="1_시민계략공사_비상부하,발전기용량 계산서_청계초등학교수전설비및냉난방시설공사_정남진버섯배지,종균분센터신축통신공사_CCTV구간 가로등 내역서_CCTV구간 가로등 내역서(원본)" xfId="1671"/>
    <cellStyle name="1_시민계략공사_비상부하,발전기용량 계산서_청계초등학교수전설비및냉난방시설공사_정남진버섯배지,종균분센터신축통신공사_정남진버섯배지,종균분센터신축전기공사-MCCA판넬삭제" xfId="1672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" xfId="1673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_CCTV구간 가로등 내역서(R)" xfId="1674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_CCTV구간 가로등 내역서(원본)" xfId="1675"/>
    <cellStyle name="1_시민계략공사_비상부하,발전기용량 계산서_청계초등학교수전설비및냉난방시설공사_지원동증축예산안" xfId="1676"/>
    <cellStyle name="1_시민계략공사_비상부하,발전기용량 계산서_청계초등학교수전설비및냉난방시설공사_지원동증축예산안_CCTV구간 가로등 내역서" xfId="1677"/>
    <cellStyle name="1_시민계략공사_비상부하,발전기용량 계산서_청계초등학교수전설비및냉난방시설공사_지원동증축예산안_CCTV구간 가로등 내역서_CCTV구간 가로등 내역서(R)" xfId="1678"/>
    <cellStyle name="1_시민계략공사_비상부하,발전기용량 계산서_청계초등학교수전설비및냉난방시설공사_지원동증축예산안_CCTV구간 가로등 내역서_CCTV구간 가로등 내역서(원본)" xfId="1679"/>
    <cellStyle name="1_시민계략공사_비상부하,발전기용량 계산서_청계초등학교수전설비및냉난방시설공사_지원동증축예산안_정남진버섯배지,종균분센터신축전기공사-MCCA판넬삭제" xfId="1680"/>
    <cellStyle name="1_시민계략공사_비상부하,발전기용량 계산서_청계초등학교수전설비및냉난방시설공사_지원동증축예산안_정남진버섯배지,종균분센터신축전기공사-MCCA판넬삭제_CCTV구간 가로등 내역서" xfId="1681"/>
    <cellStyle name="1_시민계략공사_비상부하,발전기용량 계산서_청계초등학교수전설비및냉난방시설공사_지원동증축예산안_정남진버섯배지,종균분센터신축전기공사-MCCA판넬삭제_CCTV구간 가로등 내역서_CCTV구간 가로등 내역서(R)" xfId="1682"/>
    <cellStyle name="1_시민계략공사_비상부하,발전기용량 계산서_청계초등학교수전설비및냉난방시설공사_지원동증축예산안_정남진버섯배지,종균분센터신축전기공사-MCCA판넬삭제_CCTV구간 가로등 내역서_CCTV구간 가로등 내역서(원본)" xfId="1683"/>
    <cellStyle name="1_시민계략공사_비상부하,발전기용량 계산서_청계초등학교수전설비및냉난방전기시설공사" xfId="1684"/>
    <cellStyle name="1_시민계략공사_비상부하,발전기용량 계산서_청계초등학교수전설비및냉난방전기시설공사_CCTV구간 가로등 내역서" xfId="1685"/>
    <cellStyle name="1_시민계략공사_비상부하,발전기용량 계산서_청계초등학교수전설비및냉난방전기시설공사_CCTV구간 가로등 내역서_CCTV구간 가로등 내역서(R)" xfId="1686"/>
    <cellStyle name="1_시민계략공사_비상부하,발전기용량 계산서_청계초등학교수전설비및냉난방전기시설공사_CCTV구간 가로등 내역서_CCTV구간 가로등 내역서(원본)" xfId="1687"/>
    <cellStyle name="1_시민계략공사_비상부하,발전기용량 계산서_청계초등학교수전설비및냉난방전기시설공사_정남진버섯배지,종균분센터신축전기공사-MCCA판넬삭제" xfId="1688"/>
    <cellStyle name="1_시민계략공사_비상부하,발전기용량 계산서_청계초등학교수전설비및냉난방전기시설공사_정남진버섯배지,종균분센터신축전기공사-MCCA판넬삭제_CCTV구간 가로등 내역서" xfId="1689"/>
    <cellStyle name="1_시민계략공사_비상부하,발전기용량 계산서_청계초등학교수전설비및냉난방전기시설공사_정남진버섯배지,종균분센터신축전기공사-MCCA판넬삭제_CCTV구간 가로등 내역서_CCTV구간 가로등 내역서(R)" xfId="1690"/>
    <cellStyle name="1_시민계략공사_비상부하,발전기용량 계산서_청계초등학교수전설비및냉난방전기시설공사_정남진버섯배지,종균분센터신축전기공사-MCCA판넬삭제_CCTV구간 가로등 내역서_CCTV구간 가로등 내역서(원본)" xfId="1691"/>
    <cellStyle name="1_시민계략공사_비상부하,발전기용량 계산서_청계초등학교수전설비및냉난방전기시설공사_정남진버섯배지,종균분센터신축통신공사" xfId="1692"/>
    <cellStyle name="1_시민계략공사_비상부하,발전기용량 계산서_청계초등학교수전설비및냉난방전기시설공사_정남진버섯배지,종균분센터신축통신공사_CCTV구간 가로등 내역서" xfId="1693"/>
    <cellStyle name="1_시민계략공사_비상부하,발전기용량 계산서_청계초등학교수전설비및냉난방전기시설공사_정남진버섯배지,종균분센터신축통신공사_CCTV구간 가로등 내역서_CCTV구간 가로등 내역서(R)" xfId="1694"/>
    <cellStyle name="1_시민계략공사_비상부하,발전기용량 계산서_청계초등학교수전설비및냉난방전기시설공사_정남진버섯배지,종균분센터신축통신공사_CCTV구간 가로등 내역서_CCTV구간 가로등 내역서(원본)" xfId="1695"/>
    <cellStyle name="1_시민계략공사_비상부하,발전기용량 계산서_청계초등학교수전설비및냉난방전기시설공사_정남진버섯배지,종균분센터신축통신공사_정남진버섯배지,종균분센터신축전기공사-MCCA판넬삭제" xfId="1696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" xfId="1697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_CCTV구간 가로등 내역서(R)" xfId="1698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_CCTV구간 가로등 내역서(원본)" xfId="1699"/>
    <cellStyle name="1_시민계략공사_비상부하,발전기용량 계산서_청계초등학교수전설비및냉난방전기시설공사_지원동증축예산안" xfId="1700"/>
    <cellStyle name="1_시민계략공사_비상부하,발전기용량 계산서_청계초등학교수전설비및냉난방전기시설공사_지원동증축예산안_CCTV구간 가로등 내역서" xfId="1701"/>
    <cellStyle name="1_시민계략공사_비상부하,발전기용량 계산서_청계초등학교수전설비및냉난방전기시설공사_지원동증축예산안_CCTV구간 가로등 내역서_CCTV구간 가로등 내역서(R)" xfId="1702"/>
    <cellStyle name="1_시민계략공사_비상부하,발전기용량 계산서_청계초등학교수전설비및냉난방전기시설공사_지원동증축예산안_CCTV구간 가로등 내역서_CCTV구간 가로등 내역서(원본)" xfId="1703"/>
    <cellStyle name="1_시민계략공사_비상부하,발전기용량 계산서_청계초등학교수전설비및냉난방전기시설공사_지원동증축예산안_정남진버섯배지,종균분센터신축전기공사-MCCA판넬삭제" xfId="1704"/>
    <cellStyle name="1_시민계략공사_비상부하,발전기용량 계산서_청계초등학교수전설비및냉난방전기시설공사_지원동증축예산안_정남진버섯배지,종균분센터신축전기공사-MCCA판넬삭제_CCTV구간 가로등 내역서" xfId="1705"/>
    <cellStyle name="1_시민계략공사_비상부하,발전기용량 계산서_청계초등학교수전설비및냉난방전기시설공사_지원동증축예산안_정남진버섯배지,종균분센터신축전기공사-MCCA판넬삭제_CCTV구간 가로등 내역서_CCTV구간 가로등 내역서(R)" xfId="1706"/>
    <cellStyle name="1_시민계략공사_비상부하,발전기용량 계산서_청계초등학교수전설비및냉난방전기시설공사_지원동증축예산안_정남진버섯배지,종균분센터신축전기공사-MCCA판넬삭제_CCTV구간 가로등 내역서_CCTV구간 가로등 내역서(원본)" xfId="1707"/>
    <cellStyle name="1_시민계략공사_비상부하,발전기용량 계산서_함평교육청 전기시설 보수공사(냉,난방)-5월24일" xfId="1708"/>
    <cellStyle name="1_시민계략공사_비상부하,발전기용량 계산서_함평교육청 전기시설 보수공사(냉,난방)-5월24일_CCTV구간 가로등 내역서" xfId="1709"/>
    <cellStyle name="1_시민계략공사_비상부하,발전기용량 계산서_함평교육청 전기시설 보수공사(냉,난방)-5월24일_CCTV구간 가로등 내역서_CCTV구간 가로등 내역서(R)" xfId="1710"/>
    <cellStyle name="1_시민계략공사_비상부하,발전기용량 계산서_함평교육청 전기시설 보수공사(냉,난방)-5월24일_CCTV구간 가로등 내역서_CCTV구간 가로등 내역서(원본)" xfId="1711"/>
    <cellStyle name="1_시민계략공사_비상부하,발전기용량 계산서_함평교육청 전기시설 보수공사(냉,난방)-5월24일_정남진버섯배지,종균분센터신축전기공사-MCCA판넬삭제" xfId="1712"/>
    <cellStyle name="1_시민계략공사_비상부하,발전기용량 계산서_함평교육청 전기시설 보수공사(냉,난방)-5월24일_정남진버섯배지,종균분센터신축전기공사-MCCA판넬삭제_CCTV구간 가로등 내역서" xfId="1713"/>
    <cellStyle name="1_시민계략공사_비상부하,발전기용량 계산서_함평교육청 전기시설 보수공사(냉,난방)-5월24일_정남진버섯배지,종균분센터신축전기공사-MCCA판넬삭제_CCTV구간 가로등 내역서_CCTV구간 가로등 내역서(R)" xfId="1714"/>
    <cellStyle name="1_시민계략공사_비상부하,발전기용량 계산서_함평교육청 전기시설 보수공사(냉,난방)-5월24일_정남진버섯배지,종균분센터신축전기공사-MCCA판넬삭제_CCTV구간 가로등 내역서_CCTV구간 가로등 내역서(원본)" xfId="1715"/>
    <cellStyle name="1_시민계략공사_비상부하,발전기용량 계산서_함평교육청 전기시설 보수공사(냉,난방)-5월24일_정남진버섯배지,종균분센터신축통신공사" xfId="1716"/>
    <cellStyle name="1_시민계략공사_비상부하,발전기용량 계산서_함평교육청 전기시설 보수공사(냉,난방)-5월24일_정남진버섯배지,종균분센터신축통신공사_CCTV구간 가로등 내역서" xfId="1717"/>
    <cellStyle name="1_시민계략공사_비상부하,발전기용량 계산서_함평교육청 전기시설 보수공사(냉,난방)-5월24일_정남진버섯배지,종균분센터신축통신공사_CCTV구간 가로등 내역서_CCTV구간 가로등 내역서(R)" xfId="1718"/>
    <cellStyle name="1_시민계략공사_비상부하,발전기용량 계산서_함평교육청 전기시설 보수공사(냉,난방)-5월24일_정남진버섯배지,종균분센터신축통신공사_CCTV구간 가로등 내역서_CCTV구간 가로등 내역서(원본)" xfId="1719"/>
    <cellStyle name="1_시민계략공사_비상부하,발전기용량 계산서_함평교육청 전기시설 보수공사(냉,난방)-5월24일_정남진버섯배지,종균분센터신축통신공사_정남진버섯배지,종균분센터신축전기공사-MCCA판넬삭제" xfId="1720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" xfId="1721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_CCTV구간 가로등 내역서(R)" xfId="1722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1723"/>
    <cellStyle name="1_시민계략공사_비상부하,발전기용량 계산서_함평교육청 전기시설 보수공사(냉,난방)-5월24일_지원동증축예산안" xfId="1724"/>
    <cellStyle name="1_시민계략공사_비상부하,발전기용량 계산서_함평교육청 전기시설 보수공사(냉,난방)-5월24일_지원동증축예산안_CCTV구간 가로등 내역서" xfId="1725"/>
    <cellStyle name="1_시민계략공사_비상부하,발전기용량 계산서_함평교육청 전기시설 보수공사(냉,난방)-5월24일_지원동증축예산안_CCTV구간 가로등 내역서_CCTV구간 가로등 내역서(R)" xfId="1726"/>
    <cellStyle name="1_시민계략공사_비상부하,발전기용량 계산서_함평교육청 전기시설 보수공사(냉,난방)-5월24일_지원동증축예산안_CCTV구간 가로등 내역서_CCTV구간 가로등 내역서(원본)" xfId="1727"/>
    <cellStyle name="1_시민계략공사_비상부하,발전기용량 계산서_함평교육청 전기시설 보수공사(냉,난방)-5월24일_지원동증축예산안_정남진버섯배지,종균분센터신축전기공사-MCCA판넬삭제" xfId="1728"/>
    <cellStyle name="1_시민계략공사_비상부하,발전기용량 계산서_함평교육청 전기시설 보수공사(냉,난방)-5월24일_지원동증축예산안_정남진버섯배지,종균분센터신축전기공사-MCCA판넬삭제_CCTV구간 가로등 내역서" xfId="1729"/>
    <cellStyle name="1_시민계략공사_비상부하,발전기용량 계산서_함평교육청 전기시설 보수공사(냉,난방)-5월24일_지원동증축예산안_정남진버섯배지,종균분센터신축전기공사-MCCA판넬삭제_CCTV구간 가로등 내역서_CCTV구간 가로등 내역서(R)" xfId="1730"/>
    <cellStyle name="1_시민계략공사_비상부하,발전기용량 계산서_함평교육청 전기시설 보수공사(냉,난방)-5월24일_지원동증축예산안_정남진버섯배지,종균분센터신축전기공사-MCCA판넬삭제_CCTV구간 가로등 내역서_CCTV구간 가로등 내역서(원본)" xfId="1731"/>
    <cellStyle name="1_시민계략공사_여수화력발전소" xfId="1732"/>
    <cellStyle name="1_시민계략공사_여수화력발전소_CCTV구간 가로등 내역서" xfId="1733"/>
    <cellStyle name="1_시민계략공사_여수화력발전소_CCTV구간 가로등 내역서_CCTV구간 가로등 내역서(R)" xfId="1734"/>
    <cellStyle name="1_시민계략공사_여수화력발전소_CCTV구간 가로등 내역서_CCTV구간 가로등 내역서(원본)" xfId="1735"/>
    <cellStyle name="1_시민계략공사_여수화력발전소_정남진버섯배지,종균분센터신축전기공사-MCCA판넬삭제" xfId="1736"/>
    <cellStyle name="1_시민계략공사_여수화력발전소_정남진버섯배지,종균분센터신축전기공사-MCCA판넬삭제_CCTV구간 가로등 내역서" xfId="1737"/>
    <cellStyle name="1_시민계략공사_여수화력발전소_정남진버섯배지,종균분센터신축전기공사-MCCA판넬삭제_CCTV구간 가로등 내역서_CCTV구간 가로등 내역서(R)" xfId="1738"/>
    <cellStyle name="1_시민계략공사_여수화력발전소_정남진버섯배지,종균분센터신축전기공사-MCCA판넬삭제_CCTV구간 가로등 내역서_CCTV구간 가로등 내역서(원본)" xfId="1739"/>
    <cellStyle name="1_시민계략공사_여수화력발전소_정남진버섯배지,종균분센터신축통신공사" xfId="1740"/>
    <cellStyle name="1_시민계략공사_여수화력발전소_정남진버섯배지,종균분센터신축통신공사_CCTV구간 가로등 내역서" xfId="1741"/>
    <cellStyle name="1_시민계략공사_여수화력발전소_정남진버섯배지,종균분센터신축통신공사_CCTV구간 가로등 내역서_CCTV구간 가로등 내역서(R)" xfId="1742"/>
    <cellStyle name="1_시민계략공사_여수화력발전소_정남진버섯배지,종균분센터신축통신공사_CCTV구간 가로등 내역서_CCTV구간 가로등 내역서(원본)" xfId="1743"/>
    <cellStyle name="1_시민계략공사_여수화력발전소_정남진버섯배지,종균분센터신축통신공사_정남진버섯배지,종균분센터신축전기공사-MCCA판넬삭제" xfId="1744"/>
    <cellStyle name="1_시민계략공사_여수화력발전소_정남진버섯배지,종균분센터신축통신공사_정남진버섯배지,종균분센터신축전기공사-MCCA판넬삭제_CCTV구간 가로등 내역서" xfId="1745"/>
    <cellStyle name="1_시민계략공사_여수화력발전소_정남진버섯배지,종균분센터신축통신공사_정남진버섯배지,종균분센터신축전기공사-MCCA판넬삭제_CCTV구간 가로등 내역서_CCTV구간 가로등 내역서(R)" xfId="1746"/>
    <cellStyle name="1_시민계략공사_여수화력발전소_정남진버섯배지,종균분센터신축통신공사_정남진버섯배지,종균분센터신축전기공사-MCCA판넬삭제_CCTV구간 가로등 내역서_CCTV구간 가로등 내역서(원본)" xfId="1747"/>
    <cellStyle name="1_시민계략공사_여수화력발전소_지원동증축예산안" xfId="1748"/>
    <cellStyle name="1_시민계략공사_여수화력발전소_지원동증축예산안_CCTV구간 가로등 내역서" xfId="1749"/>
    <cellStyle name="1_시민계략공사_여수화력발전소_지원동증축예산안_CCTV구간 가로등 내역서_CCTV구간 가로등 내역서(R)" xfId="1750"/>
    <cellStyle name="1_시민계략공사_여수화력발전소_지원동증축예산안_CCTV구간 가로등 내역서_CCTV구간 가로등 내역서(원본)" xfId="1751"/>
    <cellStyle name="1_시민계략공사_여수화력발전소_지원동증축예산안_정남진버섯배지,종균분센터신축전기공사-MCCA판넬삭제" xfId="1752"/>
    <cellStyle name="1_시민계략공사_여수화력발전소_지원동증축예산안_정남진버섯배지,종균분센터신축전기공사-MCCA판넬삭제_CCTV구간 가로등 내역서" xfId="1753"/>
    <cellStyle name="1_시민계략공사_여수화력발전소_지원동증축예산안_정남진버섯배지,종균분센터신축전기공사-MCCA판넬삭제_CCTV구간 가로등 내역서_CCTV구간 가로등 내역서(R)" xfId="1754"/>
    <cellStyle name="1_시민계략공사_여수화력발전소_지원동증축예산안_정남진버섯배지,종균분센터신축전기공사-MCCA판넬삭제_CCTV구간 가로등 내역서_CCTV구간 가로등 내역서(원본)" xfId="1755"/>
    <cellStyle name="1_시민계략공사_여수화력발전소-부하계산" xfId="1756"/>
    <cellStyle name="1_시민계략공사_여수화력발전소-부하계산_CCTV구간 가로등 내역서" xfId="1757"/>
    <cellStyle name="1_시민계략공사_여수화력발전소-부하계산_CCTV구간 가로등 내역서_CCTV구간 가로등 내역서(R)" xfId="1758"/>
    <cellStyle name="1_시민계략공사_여수화력발전소-부하계산_CCTV구간 가로등 내역서_CCTV구간 가로등 내역서(원본)" xfId="1759"/>
    <cellStyle name="1_시민계략공사_여수화력발전소-부하계산_정남진버섯배지,종균분센터신축전기공사-MCCA판넬삭제" xfId="1760"/>
    <cellStyle name="1_시민계략공사_여수화력발전소-부하계산_정남진버섯배지,종균분센터신축전기공사-MCCA판넬삭제_CCTV구간 가로등 내역서" xfId="1761"/>
    <cellStyle name="1_시민계략공사_여수화력발전소-부하계산_정남진버섯배지,종균분센터신축전기공사-MCCA판넬삭제_CCTV구간 가로등 내역서_CCTV구간 가로등 내역서(R)" xfId="1762"/>
    <cellStyle name="1_시민계략공사_여수화력발전소-부하계산_정남진버섯배지,종균분센터신축전기공사-MCCA판넬삭제_CCTV구간 가로등 내역서_CCTV구간 가로등 내역서(원본)" xfId="1763"/>
    <cellStyle name="1_시민계략공사_여수화력발전소-부하계산_정남진버섯배지,종균분센터신축통신공사" xfId="1764"/>
    <cellStyle name="1_시민계략공사_여수화력발전소-부하계산_정남진버섯배지,종균분센터신축통신공사_CCTV구간 가로등 내역서" xfId="1765"/>
    <cellStyle name="1_시민계략공사_여수화력발전소-부하계산_정남진버섯배지,종균분센터신축통신공사_CCTV구간 가로등 내역서_CCTV구간 가로등 내역서(R)" xfId="1766"/>
    <cellStyle name="1_시민계략공사_여수화력발전소-부하계산_정남진버섯배지,종균분센터신축통신공사_CCTV구간 가로등 내역서_CCTV구간 가로등 내역서(원본)" xfId="1767"/>
    <cellStyle name="1_시민계략공사_여수화력발전소-부하계산_정남진버섯배지,종균분센터신축통신공사_정남진버섯배지,종균분센터신축전기공사-MCCA판넬삭제" xfId="1768"/>
    <cellStyle name="1_시민계략공사_여수화력발전소-부하계산_정남진버섯배지,종균분센터신축통신공사_정남진버섯배지,종균분센터신축전기공사-MCCA판넬삭제_CCTV구간 가로등 내역서" xfId="1769"/>
    <cellStyle name="1_시민계략공사_여수화력발전소-부하계산_정남진버섯배지,종균분센터신축통신공사_정남진버섯배지,종균분센터신축전기공사-MCCA판넬삭제_CCTV구간 가로등 내역서_CCTV구간 가로등 내역서(R)" xfId="1770"/>
    <cellStyle name="1_시민계략공사_여수화력발전소-부하계산_정남진버섯배지,종균분센터신축통신공사_정남진버섯배지,종균분센터신축전기공사-MCCA판넬삭제_CCTV구간 가로등 내역서_CCTV구간 가로등 내역서(원본)" xfId="1771"/>
    <cellStyle name="1_시민계략공사_여수화력발전소-부하계산_지원동증축예산안" xfId="1772"/>
    <cellStyle name="1_시민계략공사_여수화력발전소-부하계산_지원동증축예산안_CCTV구간 가로등 내역서" xfId="1773"/>
    <cellStyle name="1_시민계략공사_여수화력발전소-부하계산_지원동증축예산안_CCTV구간 가로등 내역서_CCTV구간 가로등 내역서(R)" xfId="1774"/>
    <cellStyle name="1_시민계략공사_여수화력발전소-부하계산_지원동증축예산안_CCTV구간 가로등 내역서_CCTV구간 가로등 내역서(원본)" xfId="1775"/>
    <cellStyle name="1_시민계략공사_여수화력발전소-부하계산_지원동증축예산안_정남진버섯배지,종균분센터신축전기공사-MCCA판넬삭제" xfId="1776"/>
    <cellStyle name="1_시민계략공사_여수화력발전소-부하계산_지원동증축예산안_정남진버섯배지,종균분센터신축전기공사-MCCA판넬삭제_CCTV구간 가로등 내역서" xfId="1777"/>
    <cellStyle name="1_시민계략공사_여수화력발전소-부하계산_지원동증축예산안_정남진버섯배지,종균분센터신축전기공사-MCCA판넬삭제_CCTV구간 가로등 내역서_CCTV구간 가로등 내역서(R)" xfId="1778"/>
    <cellStyle name="1_시민계략공사_여수화력발전소-부하계산_지원동증축예산안_정남진버섯배지,종균분센터신축전기공사-MCCA판넬삭제_CCTV구간 가로등 내역서_CCTV구간 가로등 내역서(원본)" xfId="1779"/>
    <cellStyle name="1_시민계략공사_옥과초등학교계산서" xfId="1780"/>
    <cellStyle name="1_시민계략공사_옥과초등학교계산서_CCTV구간 가로등 내역서" xfId="1781"/>
    <cellStyle name="1_시민계략공사_옥과초등학교계산서_CCTV구간 가로등 내역서_CCTV구간 가로등 내역서(R)" xfId="1782"/>
    <cellStyle name="1_시민계략공사_옥과초등학교계산서_CCTV구간 가로등 내역서_CCTV구간 가로등 내역서(원본)" xfId="1783"/>
    <cellStyle name="1_시민계략공사_옥과초등학교계산서_정남진버섯배지,종균분센터신축전기공사-MCCA판넬삭제" xfId="1784"/>
    <cellStyle name="1_시민계략공사_옥과초등학교계산서_정남진버섯배지,종균분센터신축전기공사-MCCA판넬삭제_CCTV구간 가로등 내역서" xfId="1785"/>
    <cellStyle name="1_시민계략공사_옥과초등학교계산서_정남진버섯배지,종균분센터신축전기공사-MCCA판넬삭제_CCTV구간 가로등 내역서_CCTV구간 가로등 내역서(R)" xfId="1786"/>
    <cellStyle name="1_시민계략공사_옥과초등학교계산서_정남진버섯배지,종균분센터신축전기공사-MCCA판넬삭제_CCTV구간 가로등 내역서_CCTV구간 가로등 내역서(원본)" xfId="1787"/>
    <cellStyle name="1_시민계략공사_옥과초등학교계산서_지원동증축예산안" xfId="1788"/>
    <cellStyle name="1_시민계략공사_옥과초등학교계산서_지원동증축예산안_CCTV구간 가로등 내역서" xfId="1789"/>
    <cellStyle name="1_시민계략공사_옥과초등학교계산서_지원동증축예산안_CCTV구간 가로등 내역서_CCTV구간 가로등 내역서(R)" xfId="1790"/>
    <cellStyle name="1_시민계략공사_옥과초등학교계산서_지원동증축예산안_CCTV구간 가로등 내역서_CCTV구간 가로등 내역서(원본)" xfId="1791"/>
    <cellStyle name="1_시민계략공사_옥과초등학교계산서_지원동증축예산안_정남진버섯배지,종균분센터신축전기공사-MCCA판넬삭제" xfId="1792"/>
    <cellStyle name="1_시민계략공사_옥과초등학교계산서_지원동증축예산안_정남진버섯배지,종균분센터신축전기공사-MCCA판넬삭제_CCTV구간 가로등 내역서" xfId="1793"/>
    <cellStyle name="1_시민계략공사_옥과초등학교계산서_지원동증축예산안_정남진버섯배지,종균분센터신축전기공사-MCCA판넬삭제_CCTV구간 가로등 내역서_CCTV구간 가로등 내역서(R)" xfId="1794"/>
    <cellStyle name="1_시민계략공사_옥과초등학교계산서_지원동증축예산안_정남진버섯배지,종균분센터신축전기공사-MCCA판넬삭제_CCTV구간 가로등 내역서_CCTV구간 가로등 내역서(원본)" xfId="1795"/>
    <cellStyle name="1_시민계략공사_율촌중학교심야전기" xfId="1796"/>
    <cellStyle name="1_시민계략공사_전기-한남" xfId="1797"/>
    <cellStyle name="1_시민계략공사_전기-한남_침해2차변경8월16일" xfId="1798"/>
    <cellStyle name="1_시민계략공사_조도계산서" xfId="1799"/>
    <cellStyle name="1_시민계략공사_조도계산서_CCTV 내역시작11.21" xfId="5415"/>
    <cellStyle name="1_시민계략공사_조도계산서_CCTV구간 가로등 내역서" xfId="1800"/>
    <cellStyle name="1_시민계략공사_조도계산서_CCTV구간 가로등 내역서_CCTV구간 가로등 내역서(R)" xfId="1801"/>
    <cellStyle name="1_시민계략공사_조도계산서_CCTV구간 가로등 내역서_CCTV구간 가로등 내역서(원본)" xfId="1802"/>
    <cellStyle name="1_시민계략공사_조도계산서_군청사거리 외1개소LED신호등제작구매설치" xfId="1803"/>
    <cellStyle name="1_시민계략공사_조도계산서_군청사거리 외1개소LED신호등제작구매설치_CCTV구간 가로등 내역서" xfId="1804"/>
    <cellStyle name="1_시민계략공사_조도계산서_군청사거리 외1개소LED신호등제작구매설치_CCTV구간 가로등 내역서_CCTV구간 가로등 내역서(R)" xfId="1805"/>
    <cellStyle name="1_시민계략공사_조도계산서_군청사거리 외1개소LED신호등제작구매설치_CCTV구간 가로등 내역서_CCTV구간 가로등 내역서(원본)" xfId="1806"/>
    <cellStyle name="1_시민계략공사_조도계산서_군청사거리 외1개소LED신호등제작구매설치_정남진버섯배지,종균분센터신축전기공사-MCCA판넬삭제" xfId="1807"/>
    <cellStyle name="1_시민계략공사_조도계산서_군청사거리 외1개소LED신호등제작구매설치_정남진버섯배지,종균분센터신축전기공사-MCCA판넬삭제_CCTV구간 가로등 내역서" xfId="1808"/>
    <cellStyle name="1_시민계략공사_조도계산서_군청사거리 외1개소LED신호등제작구매설치_정남진버섯배지,종균분센터신축전기공사-MCCA판넬삭제_CCTV구간 가로등 내역서_CCTV구간 가로등 내역서(R)" xfId="1809"/>
    <cellStyle name="1_시민계략공사_조도계산서_군청사거리 외1개소LED신호등제작구매설치_정남진버섯배지,종균분센터신축전기공사-MCCA판넬삭제_CCTV구간 가로등 내역서_CCTV구간 가로등 내역서(원본)" xfId="1810"/>
    <cellStyle name="1_시민계략공사_조도계산서_군청사거리 외1개소LED신호등제작구매설치_정남진버섯배지,종균분센터신축통신공사" xfId="1811"/>
    <cellStyle name="1_시민계략공사_조도계산서_군청사거리 외1개소LED신호등제작구매설치_정남진버섯배지,종균분센터신축통신공사_CCTV구간 가로등 내역서" xfId="1812"/>
    <cellStyle name="1_시민계략공사_조도계산서_군청사거리 외1개소LED신호등제작구매설치_정남진버섯배지,종균분센터신축통신공사_CCTV구간 가로등 내역서_CCTV구간 가로등 내역서(R)" xfId="1813"/>
    <cellStyle name="1_시민계략공사_조도계산서_군청사거리 외1개소LED신호등제작구매설치_정남진버섯배지,종균분센터신축통신공사_CCTV구간 가로등 내역서_CCTV구간 가로등 내역서(원본)" xfId="1814"/>
    <cellStyle name="1_시민계략공사_조도계산서_군청사거리 외1개소LED신호등제작구매설치_정남진버섯배지,종균분센터신축통신공사_정남진버섯배지,종균분센터신축전기공사-MCCA판넬삭제" xfId="1815"/>
    <cellStyle name="1_시민계략공사_조도계산서_군청사거리 외1개소LED신호등제작구매설치_정남진버섯배지,종균분센터신축통신공사_정남진버섯배지,종균분센터신축전기공사-MCCA판넬삭제_CCTV구간 가로등 내역서" xfId="1816"/>
    <cellStyle name="1_시민계략공사_조도계산서_군청사거리 외1개소LED신호등제작구매설치_정남진버섯배지,종균분센터신축통신공사_정남진버섯배지,종균분센터신축전기공사-MCCA판넬삭제_CCTV구간 가로등 내역서_CCTV구간 가로등 내역서(R)" xfId="1817"/>
    <cellStyle name="1_시민계략공사_조도계산서_군청사거리 외1개소LED신호등제작구매설치_정남진버섯배지,종균분센터신축통신공사_정남진버섯배지,종균분센터신축전기공사-MCCA판넬삭제_CCTV구간 가로등 내역서_CCTV구간 가로등 내역서(원본)" xfId="1818"/>
    <cellStyle name="1_시민계략공사_조도계산서_군청사거리 외1개소LED신호등제작구매설치_지원동증축예산안" xfId="1819"/>
    <cellStyle name="1_시민계략공사_조도계산서_군청사거리 외1개소LED신호등제작구매설치_지원동증축예산안_CCTV구간 가로등 내역서" xfId="1820"/>
    <cellStyle name="1_시민계략공사_조도계산서_군청사거리 외1개소LED신호등제작구매설치_지원동증축예산안_CCTV구간 가로등 내역서_CCTV구간 가로등 내역서(R)" xfId="1821"/>
    <cellStyle name="1_시민계략공사_조도계산서_군청사거리 외1개소LED신호등제작구매설치_지원동증축예산안_CCTV구간 가로등 내역서_CCTV구간 가로등 내역서(원본)" xfId="1822"/>
    <cellStyle name="1_시민계략공사_조도계산서_군청사거리 외1개소LED신호등제작구매설치_지원동증축예산안_정남진버섯배지,종균분센터신축전기공사-MCCA판넬삭제" xfId="1823"/>
    <cellStyle name="1_시민계략공사_조도계산서_군청사거리 외1개소LED신호등제작구매설치_지원동증축예산안_정남진버섯배지,종균분센터신축전기공사-MCCA판넬삭제_CCTV구간 가로등 내역서" xfId="1824"/>
    <cellStyle name="1_시민계략공사_조도계산서_군청사거리 외1개소LED신호등제작구매설치_지원동증축예산안_정남진버섯배지,종균분센터신축전기공사-MCCA판넬삭제_CCTV구간 가로등 내역서_CCTV구간 가로등 내역서(R)" xfId="1825"/>
    <cellStyle name="1_시민계략공사_조도계산서_군청사거리 외1개소LED신호등제작구매설치_지원동증축예산안_정남진버섯배지,종균분센터신축전기공사-MCCA판넬삭제_CCTV구간 가로등 내역서_CCTV구간 가로등 내역서(원본)" xfId="1826"/>
    <cellStyle name="1_시민계략공사_조도계산서_내역서(전기)" xfId="1827"/>
    <cellStyle name="1_시민계략공사_조도계산서_내역서(전기)_CCTV 내역시작11.21" xfId="5416"/>
    <cellStyle name="1_시민계략공사_조도계산서_내역서(전기)_CCTV구간 가로등 내역서" xfId="1828"/>
    <cellStyle name="1_시민계략공사_조도계산서_내역서(전기)_CCTV구간 가로등 내역서_CCTV구간 가로등 내역서(R)" xfId="1829"/>
    <cellStyle name="1_시민계략공사_조도계산서_내역서(전기)_CCTV구간 가로등 내역서_CCTV구간 가로등 내역서(원본)" xfId="1830"/>
    <cellStyle name="1_시민계략공사_조도계산서_내역서(전기)_군청사거리 외1개소LED신호등제작구매설치" xfId="1831"/>
    <cellStyle name="1_시민계략공사_조도계산서_내역서(전기)_군청사거리 외1개소LED신호등제작구매설치_CCTV구간 가로등 내역서" xfId="1832"/>
    <cellStyle name="1_시민계략공사_조도계산서_내역서(전기)_군청사거리 외1개소LED신호등제작구매설치_CCTV구간 가로등 내역서_CCTV구간 가로등 내역서(R)" xfId="1833"/>
    <cellStyle name="1_시민계략공사_조도계산서_내역서(전기)_군청사거리 외1개소LED신호등제작구매설치_CCTV구간 가로등 내역서_CCTV구간 가로등 내역서(원본)" xfId="1834"/>
    <cellStyle name="1_시민계략공사_조도계산서_내역서(전기)_군청사거리 외1개소LED신호등제작구매설치_정남진버섯배지,종균분센터신축전기공사-MCCA판넬삭제" xfId="1835"/>
    <cellStyle name="1_시민계략공사_조도계산서_내역서(전기)_군청사거리 외1개소LED신호등제작구매설치_정남진버섯배지,종균분센터신축전기공사-MCCA판넬삭제_CCTV구간 가로등 내역서" xfId="1836"/>
    <cellStyle name="1_시민계략공사_조도계산서_내역서(전기)_군청사거리 외1개소LED신호등제작구매설치_정남진버섯배지,종균분센터신축전기공사-MCCA판넬삭제_CCTV구간 가로등 내역서_CCTV구간 가로등 내역서(R)" xfId="1837"/>
    <cellStyle name="1_시민계략공사_조도계산서_내역서(전기)_군청사거리 외1개소LED신호등제작구매설치_정남진버섯배지,종균분센터신축전기공사-MCCA판넬삭제_CCTV구간 가로등 내역서_CCTV구간 가로등 내역서(원본)" xfId="1838"/>
    <cellStyle name="1_시민계략공사_조도계산서_내역서(전기)_군청사거리 외1개소LED신호등제작구매설치_정남진버섯배지,종균분센터신축통신공사" xfId="1839"/>
    <cellStyle name="1_시민계략공사_조도계산서_내역서(전기)_군청사거리 외1개소LED신호등제작구매설치_정남진버섯배지,종균분센터신축통신공사_CCTV구간 가로등 내역서" xfId="1840"/>
    <cellStyle name="1_시민계략공사_조도계산서_내역서(전기)_군청사거리 외1개소LED신호등제작구매설치_정남진버섯배지,종균분센터신축통신공사_CCTV구간 가로등 내역서_CCTV구간 가로등 내역서(R)" xfId="1841"/>
    <cellStyle name="1_시민계략공사_조도계산서_내역서(전기)_군청사거리 외1개소LED신호등제작구매설치_정남진버섯배지,종균분센터신축통신공사_CCTV구간 가로등 내역서_CCTV구간 가로등 내역서(원본)" xfId="1842"/>
    <cellStyle name="1_시민계략공사_조도계산서_내역서(전기)_군청사거리 외1개소LED신호등제작구매설치_정남진버섯배지,종균분센터신축통신공사_정남진버섯배지,종균분센터신축전기공사-MCCA판넬삭제" xfId="1843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" xfId="1844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1845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1846"/>
    <cellStyle name="1_시민계략공사_조도계산서_내역서(전기)_군청사거리 외1개소LED신호등제작구매설치_지원동증축예산안" xfId="1847"/>
    <cellStyle name="1_시민계략공사_조도계산서_내역서(전기)_군청사거리 외1개소LED신호등제작구매설치_지원동증축예산안_CCTV구간 가로등 내역서" xfId="1848"/>
    <cellStyle name="1_시민계략공사_조도계산서_내역서(전기)_군청사거리 외1개소LED신호등제작구매설치_지원동증축예산안_CCTV구간 가로등 내역서_CCTV구간 가로등 내역서(R)" xfId="1849"/>
    <cellStyle name="1_시민계략공사_조도계산서_내역서(전기)_군청사거리 외1개소LED신호등제작구매설치_지원동증축예산안_CCTV구간 가로등 내역서_CCTV구간 가로등 내역서(원본)" xfId="1850"/>
    <cellStyle name="1_시민계략공사_조도계산서_내역서(전기)_군청사거리 외1개소LED신호등제작구매설치_지원동증축예산안_정남진버섯배지,종균분센터신축전기공사-MCCA판넬삭제" xfId="1851"/>
    <cellStyle name="1_시민계략공사_조도계산서_내역서(전기)_군청사거리 외1개소LED신호등제작구매설치_지원동증축예산안_정남진버섯배지,종균분센터신축전기공사-MCCA판넬삭제_CCTV구간 가로등 내역서" xfId="1852"/>
    <cellStyle name="1_시민계략공사_조도계산서_내역서(전기)_군청사거리 외1개소LED신호등제작구매설치_지원동증축예산안_정남진버섯배지,종균분센터신축전기공사-MCCA판넬삭제_CCTV구간 가로등 내역서_CCTV구간 가로등 내역서(R)" xfId="1853"/>
    <cellStyle name="1_시민계략공사_조도계산서_내역서(전기)_군청사거리 외1개소LED신호등제작구매설치_지원동증축예산안_정남진버섯배지,종균분센터신축전기공사-MCCA판넬삭제_CCTV구간 가로등 내역서_CCTV구간 가로등 내역서(원본)" xfId="1854"/>
    <cellStyle name="1_시민계략공사_조도계산서_내역서(전기)_삼청로길(내역서04월07일)" xfId="5417"/>
    <cellStyle name="1_시민계략공사_조도계산서_내역서(전기)_삼청로길(인공)" xfId="5418"/>
    <cellStyle name="1_시민계략공사_조도계산서_내역서(전기)_삼청로길(최종 내역서)" xfId="5419"/>
    <cellStyle name="1_시민계략공사_조도계산서_내역서(전기)_수배전반 관급자재 (양지중)" xfId="1855"/>
    <cellStyle name="1_시민계략공사_조도계산서_내역서(전기)_수배전반 관급자재 (양지중)_CCTV구간 가로등 내역서" xfId="1856"/>
    <cellStyle name="1_시민계략공사_조도계산서_내역서(전기)_수배전반 관급자재 (양지중)_CCTV구간 가로등 내역서_CCTV구간 가로등 내역서(R)" xfId="1857"/>
    <cellStyle name="1_시민계략공사_조도계산서_내역서(전기)_수배전반 관급자재 (양지중)_CCTV구간 가로등 내역서_CCTV구간 가로등 내역서(원본)" xfId="1858"/>
    <cellStyle name="1_시민계략공사_조도계산서_내역서(전기)_수배전반 관급자재 (양지중)_정남진버섯배지,종균분센터신축전기공사-MCCA판넬삭제" xfId="1859"/>
    <cellStyle name="1_시민계략공사_조도계산서_내역서(전기)_수배전반 관급자재 (양지중)_정남진버섯배지,종균분센터신축전기공사-MCCA판넬삭제_CCTV구간 가로등 내역서" xfId="1860"/>
    <cellStyle name="1_시민계략공사_조도계산서_내역서(전기)_수배전반 관급자재 (양지중)_정남진버섯배지,종균분센터신축전기공사-MCCA판넬삭제_CCTV구간 가로등 내역서_CCTV구간 가로등 내역서(R)" xfId="1861"/>
    <cellStyle name="1_시민계략공사_조도계산서_내역서(전기)_수배전반 관급자재 (양지중)_정남진버섯배지,종균분센터신축전기공사-MCCA판넬삭제_CCTV구간 가로등 내역서_CCTV구간 가로등 내역서(원본)" xfId="1862"/>
    <cellStyle name="1_시민계략공사_조도계산서_내역서(전기)_수배전반 관급자재 (양지중)_정남진버섯배지,종균분센터신축통신공사" xfId="1863"/>
    <cellStyle name="1_시민계략공사_조도계산서_내역서(전기)_수배전반 관급자재 (양지중)_정남진버섯배지,종균분센터신축통신공사_CCTV구간 가로등 내역서" xfId="1864"/>
    <cellStyle name="1_시민계략공사_조도계산서_내역서(전기)_수배전반 관급자재 (양지중)_정남진버섯배지,종균분센터신축통신공사_CCTV구간 가로등 내역서_CCTV구간 가로등 내역서(R)" xfId="1865"/>
    <cellStyle name="1_시민계략공사_조도계산서_내역서(전기)_수배전반 관급자재 (양지중)_정남진버섯배지,종균분센터신축통신공사_CCTV구간 가로등 내역서_CCTV구간 가로등 내역서(원본)" xfId="1866"/>
    <cellStyle name="1_시민계략공사_조도계산서_내역서(전기)_수배전반 관급자재 (양지중)_정남진버섯배지,종균분센터신축통신공사_정남진버섯배지,종균분센터신축전기공사-MCCA판넬삭제" xfId="1867"/>
    <cellStyle name="1_시민계략공사_조도계산서_내역서(전기)_수배전반 관급자재 (양지중)_정남진버섯배지,종균분센터신축통신공사_정남진버섯배지,종균분센터신축전기공사-MCCA판넬삭제_CCTV구간 가로등 내역서" xfId="1868"/>
    <cellStyle name="1_시민계략공사_조도계산서_내역서(전기)_수배전반 관급자재 (양지중)_정남진버섯배지,종균분센터신축통신공사_정남진버섯배지,종균분센터신축전기공사-MCCA판넬삭제_CCTV구간 가로등 내역서_CCTV구간 가로등 내역서(R)" xfId="1869"/>
    <cellStyle name="1_시민계략공사_조도계산서_내역서(전기)_수배전반 관급자재 (양지중)_정남진버섯배지,종균분센터신축통신공사_정남진버섯배지,종균분센터신축전기공사-MCCA판넬삭제_CCTV구간 가로등 내역서_CCTV구간 가로등 내역서(원본)" xfId="1870"/>
    <cellStyle name="1_시민계략공사_조도계산서_내역서(전기)_수배전반 관급자재 (양지중)_지원동증축예산안" xfId="1871"/>
    <cellStyle name="1_시민계략공사_조도계산서_내역서(전기)_수배전반 관급자재 (양지중)_지원동증축예산안_CCTV구간 가로등 내역서" xfId="1872"/>
    <cellStyle name="1_시민계략공사_조도계산서_내역서(전기)_수배전반 관급자재 (양지중)_지원동증축예산안_CCTV구간 가로등 내역서_CCTV구간 가로등 내역서(R)" xfId="1873"/>
    <cellStyle name="1_시민계략공사_조도계산서_내역서(전기)_수배전반 관급자재 (양지중)_지원동증축예산안_CCTV구간 가로등 내역서_CCTV구간 가로등 내역서(원본)" xfId="1874"/>
    <cellStyle name="1_시민계략공사_조도계산서_내역서(전기)_수배전반 관급자재 (양지중)_지원동증축예산안_정남진버섯배지,종균분센터신축전기공사-MCCA판넬삭제" xfId="1875"/>
    <cellStyle name="1_시민계략공사_조도계산서_내역서(전기)_수배전반 관급자재 (양지중)_지원동증축예산안_정남진버섯배지,종균분센터신축전기공사-MCCA판넬삭제_CCTV구간 가로등 내역서" xfId="1876"/>
    <cellStyle name="1_시민계략공사_조도계산서_내역서(전기)_수배전반 관급자재 (양지중)_지원동증축예산안_정남진버섯배지,종균분센터신축전기공사-MCCA판넬삭제_CCTV구간 가로등 내역서_CCTV구간 가로등 내역서(R)" xfId="1877"/>
    <cellStyle name="1_시민계략공사_조도계산서_내역서(전기)_수배전반 관급자재 (양지중)_지원동증축예산안_정남진버섯배지,종균분센터신축전기공사-MCCA판넬삭제_CCTV구간 가로등 내역서_CCTV구간 가로등 내역서(원본)" xfId="1878"/>
    <cellStyle name="1_시민계략공사_조도계산서_내역서(전기)_양지중교사신축전기공사(최종)" xfId="1879"/>
    <cellStyle name="1_시민계략공사_조도계산서_내역서(전기)_양지중교사신축전기공사(최종)_CCTV구간 가로등 내역서" xfId="1880"/>
    <cellStyle name="1_시민계략공사_조도계산서_내역서(전기)_양지중교사신축전기공사(최종)_CCTV구간 가로등 내역서_CCTV구간 가로등 내역서(R)" xfId="1881"/>
    <cellStyle name="1_시민계략공사_조도계산서_내역서(전기)_양지중교사신축전기공사(최종)_CCTV구간 가로등 내역서_CCTV구간 가로등 내역서(원본)" xfId="1882"/>
    <cellStyle name="1_시민계략공사_조도계산서_내역서(전기)_양지중교사신축전기공사(최종)_정남진버섯배지,종균분센터신축전기공사-MCCA판넬삭제" xfId="1883"/>
    <cellStyle name="1_시민계략공사_조도계산서_내역서(전기)_양지중교사신축전기공사(최종)_정남진버섯배지,종균분센터신축전기공사-MCCA판넬삭제_CCTV구간 가로등 내역서" xfId="1884"/>
    <cellStyle name="1_시민계략공사_조도계산서_내역서(전기)_양지중교사신축전기공사(최종)_정남진버섯배지,종균분센터신축전기공사-MCCA판넬삭제_CCTV구간 가로등 내역서_CCTV구간 가로등 내역서(R)" xfId="1885"/>
    <cellStyle name="1_시민계략공사_조도계산서_내역서(전기)_양지중교사신축전기공사(최종)_정남진버섯배지,종균분센터신축전기공사-MCCA판넬삭제_CCTV구간 가로등 내역서_CCTV구간 가로등 내역서(원본)" xfId="1886"/>
    <cellStyle name="1_시민계략공사_조도계산서_내역서(전기)_양지중교사신축전기공사(최종)_정남진버섯배지,종균분센터신축통신공사" xfId="1887"/>
    <cellStyle name="1_시민계략공사_조도계산서_내역서(전기)_양지중교사신축전기공사(최종)_정남진버섯배지,종균분센터신축통신공사_CCTV구간 가로등 내역서" xfId="1888"/>
    <cellStyle name="1_시민계략공사_조도계산서_내역서(전기)_양지중교사신축전기공사(최종)_정남진버섯배지,종균분센터신축통신공사_CCTV구간 가로등 내역서_CCTV구간 가로등 내역서(R)" xfId="1889"/>
    <cellStyle name="1_시민계략공사_조도계산서_내역서(전기)_양지중교사신축전기공사(최종)_정남진버섯배지,종균분센터신축통신공사_CCTV구간 가로등 내역서_CCTV구간 가로등 내역서(원본)" xfId="1890"/>
    <cellStyle name="1_시민계략공사_조도계산서_내역서(전기)_양지중교사신축전기공사(최종)_정남진버섯배지,종균분센터신축통신공사_정남진버섯배지,종균분센터신축전기공사-MCCA판넬삭제" xfId="1891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" xfId="1892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_CCTV구간 가로등 내역서(R)" xfId="1893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_CCTV구간 가로등 내역서(원본)" xfId="1894"/>
    <cellStyle name="1_시민계략공사_조도계산서_내역서(전기)_양지중교사신축전기공사(최종)_지원동증축예산안" xfId="1895"/>
    <cellStyle name="1_시민계략공사_조도계산서_내역서(전기)_양지중교사신축전기공사(최종)_지원동증축예산안_CCTV구간 가로등 내역서" xfId="1896"/>
    <cellStyle name="1_시민계략공사_조도계산서_내역서(전기)_양지중교사신축전기공사(최종)_지원동증축예산안_CCTV구간 가로등 내역서_CCTV구간 가로등 내역서(R)" xfId="1897"/>
    <cellStyle name="1_시민계략공사_조도계산서_내역서(전기)_양지중교사신축전기공사(최종)_지원동증축예산안_CCTV구간 가로등 내역서_CCTV구간 가로등 내역서(원본)" xfId="1898"/>
    <cellStyle name="1_시민계략공사_조도계산서_내역서(전기)_양지중교사신축전기공사(최종)_지원동증축예산안_정남진버섯배지,종균분센터신축전기공사-MCCA판넬삭제" xfId="1899"/>
    <cellStyle name="1_시민계략공사_조도계산서_내역서(전기)_양지중교사신축전기공사(최종)_지원동증축예산안_정남진버섯배지,종균분센터신축전기공사-MCCA판넬삭제_CCTV구간 가로등 내역서" xfId="1900"/>
    <cellStyle name="1_시민계략공사_조도계산서_내역서(전기)_양지중교사신축전기공사(최종)_지원동증축예산안_정남진버섯배지,종균분센터신축전기공사-MCCA판넬삭제_CCTV구간 가로등 내역서_CCTV구간 가로등 내역서(R)" xfId="1901"/>
    <cellStyle name="1_시민계략공사_조도계산서_내역서(전기)_양지중교사신축전기공사(최종)_지원동증축예산안_정남진버섯배지,종균분센터신축전기공사-MCCA판넬삭제_CCTV구간 가로등 내역서_CCTV구간 가로등 내역서(원본)" xfId="1902"/>
    <cellStyle name="1_시민계략공사_조도계산서_내역서(전기)_정남진버섯배지,종균분센터신축전기공사-MCCA판넬삭제" xfId="1903"/>
    <cellStyle name="1_시민계략공사_조도계산서_내역서(전기)_정남진버섯배지,종균분센터신축전기공사-MCCA판넬삭제_CCTV구간 가로등 내역서" xfId="1904"/>
    <cellStyle name="1_시민계략공사_조도계산서_내역서(전기)_정남진버섯배지,종균분센터신축전기공사-MCCA판넬삭제_CCTV구간 가로등 내역서_CCTV구간 가로등 내역서(R)" xfId="1905"/>
    <cellStyle name="1_시민계략공사_조도계산서_내역서(전기)_정남진버섯배지,종균분센터신축전기공사-MCCA판넬삭제_CCTV구간 가로등 내역서_CCTV구간 가로등 내역서(원본)" xfId="1906"/>
    <cellStyle name="1_시민계략공사_조도계산서_내역서(전기)_정남진버섯배지,종균분센터신축통신공사" xfId="1907"/>
    <cellStyle name="1_시민계략공사_조도계산서_내역서(전기)_정남진버섯배지,종균분센터신축통신공사_CCTV구간 가로등 내역서" xfId="1908"/>
    <cellStyle name="1_시민계략공사_조도계산서_내역서(전기)_정남진버섯배지,종균분센터신축통신공사_CCTV구간 가로등 내역서_CCTV구간 가로등 내역서(R)" xfId="1909"/>
    <cellStyle name="1_시민계략공사_조도계산서_내역서(전기)_정남진버섯배지,종균분센터신축통신공사_CCTV구간 가로등 내역서_CCTV구간 가로등 내역서(원본)" xfId="1910"/>
    <cellStyle name="1_시민계략공사_조도계산서_내역서(전기)_정남진버섯배지,종균분센터신축통신공사_정남진버섯배지,종균분센터신축전기공사-MCCA판넬삭제" xfId="1911"/>
    <cellStyle name="1_시민계략공사_조도계산서_내역서(전기)_정남진버섯배지,종균분센터신축통신공사_정남진버섯배지,종균분센터신축전기공사-MCCA판넬삭제_CCTV구간 가로등 내역서" xfId="1912"/>
    <cellStyle name="1_시민계략공사_조도계산서_내역서(전기)_정남진버섯배지,종균분센터신축통신공사_정남진버섯배지,종균분센터신축전기공사-MCCA판넬삭제_CCTV구간 가로등 내역서_CCTV구간 가로등 내역서(R)" xfId="1913"/>
    <cellStyle name="1_시민계략공사_조도계산서_내역서(전기)_정남진버섯배지,종균분센터신축통신공사_정남진버섯배지,종균분센터신축전기공사-MCCA판넬삭제_CCTV구간 가로등 내역서_CCTV구간 가로등 내역서(원본)" xfId="1914"/>
    <cellStyle name="1_시민계략공사_조도계산서_내역서(전기)_지원동증축예산안" xfId="1915"/>
    <cellStyle name="1_시민계략공사_조도계산서_내역서(전기)_지원동증축예산안_CCTV구간 가로등 내역서" xfId="1916"/>
    <cellStyle name="1_시민계략공사_조도계산서_내역서(전기)_지원동증축예산안_CCTV구간 가로등 내역서_CCTV구간 가로등 내역서(R)" xfId="1917"/>
    <cellStyle name="1_시민계략공사_조도계산서_내역서(전기)_지원동증축예산안_CCTV구간 가로등 내역서_CCTV구간 가로등 내역서(원본)" xfId="1918"/>
    <cellStyle name="1_시민계략공사_조도계산서_내역서(전기)_지원동증축예산안_정남진버섯배지,종균분센터신축전기공사-MCCA판넬삭제" xfId="1919"/>
    <cellStyle name="1_시민계략공사_조도계산서_내역서(전기)_지원동증축예산안_정남진버섯배지,종균분센터신축전기공사-MCCA판넬삭제_CCTV구간 가로등 내역서" xfId="1920"/>
    <cellStyle name="1_시민계략공사_조도계산서_내역서(전기)_지원동증축예산안_정남진버섯배지,종균분센터신축전기공사-MCCA판넬삭제_CCTV구간 가로등 내역서_CCTV구간 가로등 내역서(R)" xfId="1921"/>
    <cellStyle name="1_시민계략공사_조도계산서_내역서(전기)_지원동증축예산안_정남진버섯배지,종균분센터신축전기공사-MCCA판넬삭제_CCTV구간 가로등 내역서_CCTV구간 가로등 내역서(원본)" xfId="1922"/>
    <cellStyle name="1_시민계략공사_조도계산서_내역서(전기)_청계초등학교수전설비및냉난방시설공사" xfId="1923"/>
    <cellStyle name="1_시민계략공사_조도계산서_내역서(전기)_청계초등학교수전설비및냉난방시설공사_CCTV구간 가로등 내역서" xfId="1924"/>
    <cellStyle name="1_시민계략공사_조도계산서_내역서(전기)_청계초등학교수전설비및냉난방시설공사_CCTV구간 가로등 내역서_CCTV구간 가로등 내역서(R)" xfId="1925"/>
    <cellStyle name="1_시민계략공사_조도계산서_내역서(전기)_청계초등학교수전설비및냉난방시설공사_CCTV구간 가로등 내역서_CCTV구간 가로등 내역서(원본)" xfId="1926"/>
    <cellStyle name="1_시민계략공사_조도계산서_내역서(전기)_청계초등학교수전설비및냉난방시설공사_정남진버섯배지,종균분센터신축전기공사-MCCA판넬삭제" xfId="1927"/>
    <cellStyle name="1_시민계략공사_조도계산서_내역서(전기)_청계초등학교수전설비및냉난방시설공사_정남진버섯배지,종균분센터신축전기공사-MCCA판넬삭제_CCTV구간 가로등 내역서" xfId="1928"/>
    <cellStyle name="1_시민계략공사_조도계산서_내역서(전기)_청계초등학교수전설비및냉난방시설공사_정남진버섯배지,종균분센터신축전기공사-MCCA판넬삭제_CCTV구간 가로등 내역서_CCTV구간 가로등 내역서(R)" xfId="1929"/>
    <cellStyle name="1_시민계략공사_조도계산서_내역서(전기)_청계초등학교수전설비및냉난방시설공사_정남진버섯배지,종균분센터신축전기공사-MCCA판넬삭제_CCTV구간 가로등 내역서_CCTV구간 가로등 내역서(원본)" xfId="1930"/>
    <cellStyle name="1_시민계략공사_조도계산서_내역서(전기)_청계초등학교수전설비및냉난방시설공사_정남진버섯배지,종균분센터신축통신공사" xfId="1931"/>
    <cellStyle name="1_시민계략공사_조도계산서_내역서(전기)_청계초등학교수전설비및냉난방시설공사_정남진버섯배지,종균분센터신축통신공사_CCTV구간 가로등 내역서" xfId="1932"/>
    <cellStyle name="1_시민계략공사_조도계산서_내역서(전기)_청계초등학교수전설비및냉난방시설공사_정남진버섯배지,종균분센터신축통신공사_CCTV구간 가로등 내역서_CCTV구간 가로등 내역서(R)" xfId="1933"/>
    <cellStyle name="1_시민계략공사_조도계산서_내역서(전기)_청계초등학교수전설비및냉난방시설공사_정남진버섯배지,종균분센터신축통신공사_CCTV구간 가로등 내역서_CCTV구간 가로등 내역서(원본)" xfId="1934"/>
    <cellStyle name="1_시민계략공사_조도계산서_내역서(전기)_청계초등학교수전설비및냉난방시설공사_정남진버섯배지,종균분센터신축통신공사_정남진버섯배지,종균분센터신축전기공사-MCCA판넬삭제" xfId="1935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" xfId="1936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1937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1938"/>
    <cellStyle name="1_시민계략공사_조도계산서_내역서(전기)_청계초등학교수전설비및냉난방시설공사_지원동증축예산안" xfId="1939"/>
    <cellStyle name="1_시민계략공사_조도계산서_내역서(전기)_청계초등학교수전설비및냉난방시설공사_지원동증축예산안_CCTV구간 가로등 내역서" xfId="1940"/>
    <cellStyle name="1_시민계략공사_조도계산서_내역서(전기)_청계초등학교수전설비및냉난방시설공사_지원동증축예산안_CCTV구간 가로등 내역서_CCTV구간 가로등 내역서(R)" xfId="1941"/>
    <cellStyle name="1_시민계략공사_조도계산서_내역서(전기)_청계초등학교수전설비및냉난방시설공사_지원동증축예산안_CCTV구간 가로등 내역서_CCTV구간 가로등 내역서(원본)" xfId="1942"/>
    <cellStyle name="1_시민계략공사_조도계산서_내역서(전기)_청계초등학교수전설비및냉난방시설공사_지원동증축예산안_정남진버섯배지,종균분센터신축전기공사-MCCA판넬삭제" xfId="1943"/>
    <cellStyle name="1_시민계략공사_조도계산서_내역서(전기)_청계초등학교수전설비및냉난방시설공사_지원동증축예산안_정남진버섯배지,종균분센터신축전기공사-MCCA판넬삭제_CCTV구간 가로등 내역서" xfId="1944"/>
    <cellStyle name="1_시민계략공사_조도계산서_내역서(전기)_청계초등학교수전설비및냉난방시설공사_지원동증축예산안_정남진버섯배지,종균분센터신축전기공사-MCCA판넬삭제_CCTV구간 가로등 내역서_CCTV구간 가로등 내역서(R)" xfId="1945"/>
    <cellStyle name="1_시민계략공사_조도계산서_내역서(전기)_청계초등학교수전설비및냉난방시설공사_지원동증축예산안_정남진버섯배지,종균분센터신축전기공사-MCCA판넬삭제_CCTV구간 가로등 내역서_CCTV구간 가로등 내역서(원본)" xfId="1946"/>
    <cellStyle name="1_시민계략공사_조도계산서_내역서(전기)_청계초등학교수전설비및냉난방전기시설공사" xfId="1947"/>
    <cellStyle name="1_시민계략공사_조도계산서_내역서(전기)_청계초등학교수전설비및냉난방전기시설공사_CCTV구간 가로등 내역서" xfId="1948"/>
    <cellStyle name="1_시민계략공사_조도계산서_내역서(전기)_청계초등학교수전설비및냉난방전기시설공사_CCTV구간 가로등 내역서_CCTV구간 가로등 내역서(R)" xfId="1949"/>
    <cellStyle name="1_시민계략공사_조도계산서_내역서(전기)_청계초등학교수전설비및냉난방전기시설공사_CCTV구간 가로등 내역서_CCTV구간 가로등 내역서(원본)" xfId="1950"/>
    <cellStyle name="1_시민계략공사_조도계산서_내역서(전기)_청계초등학교수전설비및냉난방전기시설공사_정남진버섯배지,종균분센터신축전기공사-MCCA판넬삭제" xfId="1951"/>
    <cellStyle name="1_시민계략공사_조도계산서_내역서(전기)_청계초등학교수전설비및냉난방전기시설공사_정남진버섯배지,종균분센터신축전기공사-MCCA판넬삭제_CCTV구간 가로등 내역서" xfId="1952"/>
    <cellStyle name="1_시민계략공사_조도계산서_내역서(전기)_청계초등학교수전설비및냉난방전기시설공사_정남진버섯배지,종균분센터신축전기공사-MCCA판넬삭제_CCTV구간 가로등 내역서_CCTV구간 가로등 내역서(R)" xfId="1953"/>
    <cellStyle name="1_시민계략공사_조도계산서_내역서(전기)_청계초등학교수전설비및냉난방전기시설공사_정남진버섯배지,종균분센터신축전기공사-MCCA판넬삭제_CCTV구간 가로등 내역서_CCTV구간 가로등 내역서(원본)" xfId="1954"/>
    <cellStyle name="1_시민계략공사_조도계산서_내역서(전기)_청계초등학교수전설비및냉난방전기시설공사_정남진버섯배지,종균분센터신축통신공사" xfId="1955"/>
    <cellStyle name="1_시민계략공사_조도계산서_내역서(전기)_청계초등학교수전설비및냉난방전기시설공사_정남진버섯배지,종균분센터신축통신공사_CCTV구간 가로등 내역서" xfId="1956"/>
    <cellStyle name="1_시민계략공사_조도계산서_내역서(전기)_청계초등학교수전설비및냉난방전기시설공사_정남진버섯배지,종균분센터신축통신공사_CCTV구간 가로등 내역서_CCTV구간 가로등 내역서(R)" xfId="1957"/>
    <cellStyle name="1_시민계략공사_조도계산서_내역서(전기)_청계초등학교수전설비및냉난방전기시설공사_정남진버섯배지,종균분센터신축통신공사_CCTV구간 가로등 내역서_CCTV구간 가로등 내역서(원본)" xfId="1958"/>
    <cellStyle name="1_시민계략공사_조도계산서_내역서(전기)_청계초등학교수전설비및냉난방전기시설공사_정남진버섯배지,종균분센터신축통신공사_정남진버섯배지,종균분센터신축전기공사-MCCA판넬삭제" xfId="1959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" xfId="1960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1961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1962"/>
    <cellStyle name="1_시민계략공사_조도계산서_내역서(전기)_청계초등학교수전설비및냉난방전기시설공사_지원동증축예산안" xfId="1963"/>
    <cellStyle name="1_시민계략공사_조도계산서_내역서(전기)_청계초등학교수전설비및냉난방전기시설공사_지원동증축예산안_CCTV구간 가로등 내역서" xfId="1964"/>
    <cellStyle name="1_시민계략공사_조도계산서_내역서(전기)_청계초등학교수전설비및냉난방전기시설공사_지원동증축예산안_CCTV구간 가로등 내역서_CCTV구간 가로등 내역서(R)" xfId="1965"/>
    <cellStyle name="1_시민계략공사_조도계산서_내역서(전기)_청계초등학교수전설비및냉난방전기시설공사_지원동증축예산안_CCTV구간 가로등 내역서_CCTV구간 가로등 내역서(원본)" xfId="1966"/>
    <cellStyle name="1_시민계략공사_조도계산서_내역서(전기)_청계초등학교수전설비및냉난방전기시설공사_지원동증축예산안_정남진버섯배지,종균분센터신축전기공사-MCCA판넬삭제" xfId="1967"/>
    <cellStyle name="1_시민계략공사_조도계산서_내역서(전기)_청계초등학교수전설비및냉난방전기시설공사_지원동증축예산안_정남진버섯배지,종균분센터신축전기공사-MCCA판넬삭제_CCTV구간 가로등 내역서" xfId="1968"/>
    <cellStyle name="1_시민계략공사_조도계산서_내역서(전기)_청계초등학교수전설비및냉난방전기시설공사_지원동증축예산안_정남진버섯배지,종균분센터신축전기공사-MCCA판넬삭제_CCTV구간 가로등 내역서_CCTV구간 가로등 내역서(R)" xfId="1969"/>
    <cellStyle name="1_시민계략공사_조도계산서_내역서(전기)_청계초등학교수전설비및냉난방전기시설공사_지원동증축예산안_정남진버섯배지,종균분센터신축전기공사-MCCA판넬삭제_CCTV구간 가로등 내역서_CCTV구간 가로등 내역서(원본)" xfId="1970"/>
    <cellStyle name="1_시민계략공사_조도계산서_내역서(전기)_함평교육청 전기시설 보수공사(냉,난방)-5월24일" xfId="1971"/>
    <cellStyle name="1_시민계략공사_조도계산서_내역서(전기)_함평교육청 전기시설 보수공사(냉,난방)-5월24일_CCTV구간 가로등 내역서" xfId="1972"/>
    <cellStyle name="1_시민계략공사_조도계산서_내역서(전기)_함평교육청 전기시설 보수공사(냉,난방)-5월24일_CCTV구간 가로등 내역서_CCTV구간 가로등 내역서(R)" xfId="1973"/>
    <cellStyle name="1_시민계략공사_조도계산서_내역서(전기)_함평교육청 전기시설 보수공사(냉,난방)-5월24일_CCTV구간 가로등 내역서_CCTV구간 가로등 내역서(원본)" xfId="1974"/>
    <cellStyle name="1_시민계략공사_조도계산서_내역서(전기)_함평교육청 전기시설 보수공사(냉,난방)-5월24일_정남진버섯배지,종균분센터신축전기공사-MCCA판넬삭제" xfId="1975"/>
    <cellStyle name="1_시민계략공사_조도계산서_내역서(전기)_함평교육청 전기시설 보수공사(냉,난방)-5월24일_정남진버섯배지,종균분센터신축전기공사-MCCA판넬삭제_CCTV구간 가로등 내역서" xfId="1976"/>
    <cellStyle name="1_시민계략공사_조도계산서_내역서(전기)_함평교육청 전기시설 보수공사(냉,난방)-5월24일_정남진버섯배지,종균분센터신축전기공사-MCCA판넬삭제_CCTV구간 가로등 내역서_CCTV구간 가로등 내역서(R)" xfId="1977"/>
    <cellStyle name="1_시민계략공사_조도계산서_내역서(전기)_함평교육청 전기시설 보수공사(냉,난방)-5월24일_정남진버섯배지,종균분센터신축전기공사-MCCA판넬삭제_CCTV구간 가로등 내역서_CCTV구간 가로등 내역서(원본)" xfId="1978"/>
    <cellStyle name="1_시민계략공사_조도계산서_내역서(전기)_함평교육청 전기시설 보수공사(냉,난방)-5월24일_정남진버섯배지,종균분센터신축통신공사" xfId="1979"/>
    <cellStyle name="1_시민계략공사_조도계산서_내역서(전기)_함평교육청 전기시설 보수공사(냉,난방)-5월24일_정남진버섯배지,종균분센터신축통신공사_CCTV구간 가로등 내역서" xfId="1980"/>
    <cellStyle name="1_시민계략공사_조도계산서_내역서(전기)_함평교육청 전기시설 보수공사(냉,난방)-5월24일_정남진버섯배지,종균분센터신축통신공사_CCTV구간 가로등 내역서_CCTV구간 가로등 내역서(R)" xfId="1981"/>
    <cellStyle name="1_시민계략공사_조도계산서_내역서(전기)_함평교육청 전기시설 보수공사(냉,난방)-5월24일_정남진버섯배지,종균분센터신축통신공사_CCTV구간 가로등 내역서_CCTV구간 가로등 내역서(원본)" xfId="1982"/>
    <cellStyle name="1_시민계략공사_조도계산서_내역서(전기)_함평교육청 전기시설 보수공사(냉,난방)-5월24일_정남진버섯배지,종균분센터신축통신공사_정남진버섯배지,종균분센터신축전기공사-MCCA판넬삭제" xfId="1983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" xfId="1984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1985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1986"/>
    <cellStyle name="1_시민계략공사_조도계산서_내역서(전기)_함평교육청 전기시설 보수공사(냉,난방)-5월24일_지원동증축예산안" xfId="1987"/>
    <cellStyle name="1_시민계략공사_조도계산서_내역서(전기)_함평교육청 전기시설 보수공사(냉,난방)-5월24일_지원동증축예산안_CCTV구간 가로등 내역서" xfId="1988"/>
    <cellStyle name="1_시민계략공사_조도계산서_내역서(전기)_함평교육청 전기시설 보수공사(냉,난방)-5월24일_지원동증축예산안_CCTV구간 가로등 내역서_CCTV구간 가로등 내역서(R)" xfId="1989"/>
    <cellStyle name="1_시민계략공사_조도계산서_내역서(전기)_함평교육청 전기시설 보수공사(냉,난방)-5월24일_지원동증축예산안_CCTV구간 가로등 내역서_CCTV구간 가로등 내역서(원본)" xfId="1990"/>
    <cellStyle name="1_시민계략공사_조도계산서_내역서(전기)_함평교육청 전기시설 보수공사(냉,난방)-5월24일_지원동증축예산안_정남진버섯배지,종균분센터신축전기공사-MCCA판넬삭제" xfId="1991"/>
    <cellStyle name="1_시민계략공사_조도계산서_내역서(전기)_함평교육청 전기시설 보수공사(냉,난방)-5월24일_지원동증축예산안_정남진버섯배지,종균분센터신축전기공사-MCCA판넬삭제_CCTV구간 가로등 내역서" xfId="1992"/>
    <cellStyle name="1_시민계략공사_조도계산서_내역서(전기)_함평교육청 전기시설 보수공사(냉,난방)-5월24일_지원동증축예산안_정남진버섯배지,종균분센터신축전기공사-MCCA판넬삭제_CCTV구간 가로등 내역서_CCTV구간 가로등 내역서(R)" xfId="1993"/>
    <cellStyle name="1_시민계략공사_조도계산서_내역서(전기)_함평교육청 전기시설 보수공사(냉,난방)-5월24일_지원동증축예산안_정남진버섯배지,종균분센터신축전기공사-MCCA판넬삭제_CCTV구간 가로등 내역서_CCTV구간 가로등 내역서(원본)" xfId="1994"/>
    <cellStyle name="1_시민계략공사_조도계산서_삼청로길(내역서04월07일)" xfId="5420"/>
    <cellStyle name="1_시민계략공사_조도계산서_삼청로길(인공)" xfId="5421"/>
    <cellStyle name="1_시민계략공사_조도계산서_삼청로길(최종 내역서)" xfId="5422"/>
    <cellStyle name="1_시민계략공사_조도계산서_수배전반 관급자재 (양지중)" xfId="1995"/>
    <cellStyle name="1_시민계략공사_조도계산서_수배전반 관급자재 (양지중)_CCTV구간 가로등 내역서" xfId="1996"/>
    <cellStyle name="1_시민계략공사_조도계산서_수배전반 관급자재 (양지중)_CCTV구간 가로등 내역서_CCTV구간 가로등 내역서(R)" xfId="1997"/>
    <cellStyle name="1_시민계략공사_조도계산서_수배전반 관급자재 (양지중)_CCTV구간 가로등 내역서_CCTV구간 가로등 내역서(원본)" xfId="1998"/>
    <cellStyle name="1_시민계략공사_조도계산서_수배전반 관급자재 (양지중)_정남진버섯배지,종균분센터신축전기공사-MCCA판넬삭제" xfId="1999"/>
    <cellStyle name="1_시민계략공사_조도계산서_수배전반 관급자재 (양지중)_정남진버섯배지,종균분센터신축전기공사-MCCA판넬삭제_CCTV구간 가로등 내역서" xfId="2000"/>
    <cellStyle name="1_시민계략공사_조도계산서_수배전반 관급자재 (양지중)_정남진버섯배지,종균분센터신축전기공사-MCCA판넬삭제_CCTV구간 가로등 내역서_CCTV구간 가로등 내역서(R)" xfId="2001"/>
    <cellStyle name="1_시민계략공사_조도계산서_수배전반 관급자재 (양지중)_정남진버섯배지,종균분센터신축전기공사-MCCA판넬삭제_CCTV구간 가로등 내역서_CCTV구간 가로등 내역서(원본)" xfId="2002"/>
    <cellStyle name="1_시민계략공사_조도계산서_수배전반 관급자재 (양지중)_정남진버섯배지,종균분센터신축통신공사" xfId="2003"/>
    <cellStyle name="1_시민계략공사_조도계산서_수배전반 관급자재 (양지중)_정남진버섯배지,종균분센터신축통신공사_CCTV구간 가로등 내역서" xfId="2004"/>
    <cellStyle name="1_시민계략공사_조도계산서_수배전반 관급자재 (양지중)_정남진버섯배지,종균분센터신축통신공사_CCTV구간 가로등 내역서_CCTV구간 가로등 내역서(R)" xfId="2005"/>
    <cellStyle name="1_시민계략공사_조도계산서_수배전반 관급자재 (양지중)_정남진버섯배지,종균분센터신축통신공사_CCTV구간 가로등 내역서_CCTV구간 가로등 내역서(원본)" xfId="2006"/>
    <cellStyle name="1_시민계략공사_조도계산서_수배전반 관급자재 (양지중)_정남진버섯배지,종균분센터신축통신공사_정남진버섯배지,종균분센터신축전기공사-MCCA판넬삭제" xfId="2007"/>
    <cellStyle name="1_시민계략공사_조도계산서_수배전반 관급자재 (양지중)_정남진버섯배지,종균분센터신축통신공사_정남진버섯배지,종균분센터신축전기공사-MCCA판넬삭제_CCTV구간 가로등 내역서" xfId="2008"/>
    <cellStyle name="1_시민계략공사_조도계산서_수배전반 관급자재 (양지중)_정남진버섯배지,종균분센터신축통신공사_정남진버섯배지,종균분센터신축전기공사-MCCA판넬삭제_CCTV구간 가로등 내역서_CCTV구간 가로등 내역서(R)" xfId="2009"/>
    <cellStyle name="1_시민계략공사_조도계산서_수배전반 관급자재 (양지중)_정남진버섯배지,종균분센터신축통신공사_정남진버섯배지,종균분센터신축전기공사-MCCA판넬삭제_CCTV구간 가로등 내역서_CCTV구간 가로등 내역서(원본)" xfId="2010"/>
    <cellStyle name="1_시민계략공사_조도계산서_수배전반 관급자재 (양지중)_지원동증축예산안" xfId="2011"/>
    <cellStyle name="1_시민계략공사_조도계산서_수배전반 관급자재 (양지중)_지원동증축예산안_CCTV구간 가로등 내역서" xfId="2012"/>
    <cellStyle name="1_시민계략공사_조도계산서_수배전반 관급자재 (양지중)_지원동증축예산안_CCTV구간 가로등 내역서_CCTV구간 가로등 내역서(R)" xfId="2013"/>
    <cellStyle name="1_시민계략공사_조도계산서_수배전반 관급자재 (양지중)_지원동증축예산안_CCTV구간 가로등 내역서_CCTV구간 가로등 내역서(원본)" xfId="2014"/>
    <cellStyle name="1_시민계략공사_조도계산서_수배전반 관급자재 (양지중)_지원동증축예산안_정남진버섯배지,종균분센터신축전기공사-MCCA판넬삭제" xfId="2015"/>
    <cellStyle name="1_시민계략공사_조도계산서_수배전반 관급자재 (양지중)_지원동증축예산안_정남진버섯배지,종균분센터신축전기공사-MCCA판넬삭제_CCTV구간 가로등 내역서" xfId="2016"/>
    <cellStyle name="1_시민계략공사_조도계산서_수배전반 관급자재 (양지중)_지원동증축예산안_정남진버섯배지,종균분센터신축전기공사-MCCA판넬삭제_CCTV구간 가로등 내역서_CCTV구간 가로등 내역서(R)" xfId="2017"/>
    <cellStyle name="1_시민계략공사_조도계산서_수배전반 관급자재 (양지중)_지원동증축예산안_정남진버섯배지,종균분센터신축전기공사-MCCA판넬삭제_CCTV구간 가로등 내역서_CCTV구간 가로등 내역서(원본)" xfId="2018"/>
    <cellStyle name="1_시민계략공사_조도계산서_양지중교사신축전기공사(최종)" xfId="2019"/>
    <cellStyle name="1_시민계략공사_조도계산서_양지중교사신축전기공사(최종)_CCTV구간 가로등 내역서" xfId="2020"/>
    <cellStyle name="1_시민계략공사_조도계산서_양지중교사신축전기공사(최종)_CCTV구간 가로등 내역서_CCTV구간 가로등 내역서(R)" xfId="2021"/>
    <cellStyle name="1_시민계략공사_조도계산서_양지중교사신축전기공사(최종)_CCTV구간 가로등 내역서_CCTV구간 가로등 내역서(원본)" xfId="2022"/>
    <cellStyle name="1_시민계략공사_조도계산서_양지중교사신축전기공사(최종)_정남진버섯배지,종균분센터신축전기공사-MCCA판넬삭제" xfId="2023"/>
    <cellStyle name="1_시민계략공사_조도계산서_양지중교사신축전기공사(최종)_정남진버섯배지,종균분센터신축전기공사-MCCA판넬삭제_CCTV구간 가로등 내역서" xfId="2024"/>
    <cellStyle name="1_시민계략공사_조도계산서_양지중교사신축전기공사(최종)_정남진버섯배지,종균분센터신축전기공사-MCCA판넬삭제_CCTV구간 가로등 내역서_CCTV구간 가로등 내역서(R)" xfId="2025"/>
    <cellStyle name="1_시민계략공사_조도계산서_양지중교사신축전기공사(최종)_정남진버섯배지,종균분센터신축전기공사-MCCA판넬삭제_CCTV구간 가로등 내역서_CCTV구간 가로등 내역서(원본)" xfId="2026"/>
    <cellStyle name="1_시민계략공사_조도계산서_양지중교사신축전기공사(최종)_정남진버섯배지,종균분센터신축통신공사" xfId="2027"/>
    <cellStyle name="1_시민계략공사_조도계산서_양지중교사신축전기공사(최종)_정남진버섯배지,종균분센터신축통신공사_CCTV구간 가로등 내역서" xfId="2028"/>
    <cellStyle name="1_시민계략공사_조도계산서_양지중교사신축전기공사(최종)_정남진버섯배지,종균분센터신축통신공사_CCTV구간 가로등 내역서_CCTV구간 가로등 내역서(R)" xfId="2029"/>
    <cellStyle name="1_시민계략공사_조도계산서_양지중교사신축전기공사(최종)_정남진버섯배지,종균분센터신축통신공사_CCTV구간 가로등 내역서_CCTV구간 가로등 내역서(원본)" xfId="2030"/>
    <cellStyle name="1_시민계략공사_조도계산서_양지중교사신축전기공사(최종)_정남진버섯배지,종균분센터신축통신공사_정남진버섯배지,종균분센터신축전기공사-MCCA판넬삭제" xfId="2031"/>
    <cellStyle name="1_시민계략공사_조도계산서_양지중교사신축전기공사(최종)_정남진버섯배지,종균분센터신축통신공사_정남진버섯배지,종균분센터신축전기공사-MCCA판넬삭제_CCTV구간 가로등 내역서" xfId="2032"/>
    <cellStyle name="1_시민계략공사_조도계산서_양지중교사신축전기공사(최종)_정남진버섯배지,종균분센터신축통신공사_정남진버섯배지,종균분센터신축전기공사-MCCA판넬삭제_CCTV구간 가로등 내역서_CCTV구간 가로등 내역서(R)" xfId="2033"/>
    <cellStyle name="1_시민계략공사_조도계산서_양지중교사신축전기공사(최종)_정남진버섯배지,종균분센터신축통신공사_정남진버섯배지,종균분센터신축전기공사-MCCA판넬삭제_CCTV구간 가로등 내역서_CCTV구간 가로등 내역서(원본)" xfId="2034"/>
    <cellStyle name="1_시민계략공사_조도계산서_양지중교사신축전기공사(최종)_지원동증축예산안" xfId="2035"/>
    <cellStyle name="1_시민계략공사_조도계산서_양지중교사신축전기공사(최종)_지원동증축예산안_CCTV구간 가로등 내역서" xfId="2036"/>
    <cellStyle name="1_시민계략공사_조도계산서_양지중교사신축전기공사(최종)_지원동증축예산안_CCTV구간 가로등 내역서_CCTV구간 가로등 내역서(R)" xfId="2037"/>
    <cellStyle name="1_시민계략공사_조도계산서_양지중교사신축전기공사(최종)_지원동증축예산안_CCTV구간 가로등 내역서_CCTV구간 가로등 내역서(원본)" xfId="2038"/>
    <cellStyle name="1_시민계략공사_조도계산서_양지중교사신축전기공사(최종)_지원동증축예산안_정남진버섯배지,종균분센터신축전기공사-MCCA판넬삭제" xfId="2039"/>
    <cellStyle name="1_시민계략공사_조도계산서_양지중교사신축전기공사(최종)_지원동증축예산안_정남진버섯배지,종균분센터신축전기공사-MCCA판넬삭제_CCTV구간 가로등 내역서" xfId="2040"/>
    <cellStyle name="1_시민계략공사_조도계산서_양지중교사신축전기공사(최종)_지원동증축예산안_정남진버섯배지,종균분센터신축전기공사-MCCA판넬삭제_CCTV구간 가로등 내역서_CCTV구간 가로등 내역서(R)" xfId="2041"/>
    <cellStyle name="1_시민계략공사_조도계산서_양지중교사신축전기공사(최종)_지원동증축예산안_정남진버섯배지,종균분센터신축전기공사-MCCA판넬삭제_CCTV구간 가로등 내역서_CCTV구간 가로등 내역서(원본)" xfId="2042"/>
    <cellStyle name="1_시민계략공사_조도계산서_정남진버섯배지,종균분센터신축전기공사-MCCA판넬삭제" xfId="2043"/>
    <cellStyle name="1_시민계략공사_조도계산서_정남진버섯배지,종균분센터신축전기공사-MCCA판넬삭제_CCTV구간 가로등 내역서" xfId="2044"/>
    <cellStyle name="1_시민계략공사_조도계산서_정남진버섯배지,종균분센터신축전기공사-MCCA판넬삭제_CCTV구간 가로등 내역서_CCTV구간 가로등 내역서(R)" xfId="2045"/>
    <cellStyle name="1_시민계략공사_조도계산서_정남진버섯배지,종균분센터신축전기공사-MCCA판넬삭제_CCTV구간 가로등 내역서_CCTV구간 가로등 내역서(원본)" xfId="2046"/>
    <cellStyle name="1_시민계략공사_조도계산서_정남진버섯배지,종균분센터신축통신공사" xfId="2047"/>
    <cellStyle name="1_시민계략공사_조도계산서_정남진버섯배지,종균분센터신축통신공사_CCTV구간 가로등 내역서" xfId="2048"/>
    <cellStyle name="1_시민계략공사_조도계산서_정남진버섯배지,종균분센터신축통신공사_CCTV구간 가로등 내역서_CCTV구간 가로등 내역서(R)" xfId="2049"/>
    <cellStyle name="1_시민계략공사_조도계산서_정남진버섯배지,종균분센터신축통신공사_CCTV구간 가로등 내역서_CCTV구간 가로등 내역서(원본)" xfId="2050"/>
    <cellStyle name="1_시민계략공사_조도계산서_정남진버섯배지,종균분센터신축통신공사_정남진버섯배지,종균분센터신축전기공사-MCCA판넬삭제" xfId="2051"/>
    <cellStyle name="1_시민계략공사_조도계산서_정남진버섯배지,종균분센터신축통신공사_정남진버섯배지,종균분센터신축전기공사-MCCA판넬삭제_CCTV구간 가로등 내역서" xfId="2052"/>
    <cellStyle name="1_시민계략공사_조도계산서_정남진버섯배지,종균분센터신축통신공사_정남진버섯배지,종균분센터신축전기공사-MCCA판넬삭제_CCTV구간 가로등 내역서_CCTV구간 가로등 내역서(R)" xfId="2053"/>
    <cellStyle name="1_시민계략공사_조도계산서_정남진버섯배지,종균분센터신축통신공사_정남진버섯배지,종균분센터신축전기공사-MCCA판넬삭제_CCTV구간 가로등 내역서_CCTV구간 가로등 내역서(원본)" xfId="2054"/>
    <cellStyle name="1_시민계략공사_조도계산서_지원동증축예산안" xfId="2055"/>
    <cellStyle name="1_시민계략공사_조도계산서_지원동증축예산안_CCTV구간 가로등 내역서" xfId="2056"/>
    <cellStyle name="1_시민계략공사_조도계산서_지원동증축예산안_CCTV구간 가로등 내역서_CCTV구간 가로등 내역서(R)" xfId="2057"/>
    <cellStyle name="1_시민계략공사_조도계산서_지원동증축예산안_CCTV구간 가로등 내역서_CCTV구간 가로등 내역서(원본)" xfId="2058"/>
    <cellStyle name="1_시민계략공사_조도계산서_지원동증축예산안_정남진버섯배지,종균분센터신축전기공사-MCCA판넬삭제" xfId="2059"/>
    <cellStyle name="1_시민계략공사_조도계산서_지원동증축예산안_정남진버섯배지,종균분센터신축전기공사-MCCA판넬삭제_CCTV구간 가로등 내역서" xfId="2060"/>
    <cellStyle name="1_시민계략공사_조도계산서_지원동증축예산안_정남진버섯배지,종균분센터신축전기공사-MCCA판넬삭제_CCTV구간 가로등 내역서_CCTV구간 가로등 내역서(R)" xfId="2061"/>
    <cellStyle name="1_시민계략공사_조도계산서_지원동증축예산안_정남진버섯배지,종균분센터신축전기공사-MCCA판넬삭제_CCTV구간 가로등 내역서_CCTV구간 가로등 내역서(원본)" xfId="2062"/>
    <cellStyle name="1_시민계략공사_조도계산서_청계초등학교수전설비및냉난방시설공사" xfId="2063"/>
    <cellStyle name="1_시민계략공사_조도계산서_청계초등학교수전설비및냉난방시설공사_CCTV구간 가로등 내역서" xfId="2064"/>
    <cellStyle name="1_시민계략공사_조도계산서_청계초등학교수전설비및냉난방시설공사_CCTV구간 가로등 내역서_CCTV구간 가로등 내역서(R)" xfId="2065"/>
    <cellStyle name="1_시민계략공사_조도계산서_청계초등학교수전설비및냉난방시설공사_CCTV구간 가로등 내역서_CCTV구간 가로등 내역서(원본)" xfId="2066"/>
    <cellStyle name="1_시민계략공사_조도계산서_청계초등학교수전설비및냉난방시설공사_정남진버섯배지,종균분센터신축전기공사-MCCA판넬삭제" xfId="2067"/>
    <cellStyle name="1_시민계략공사_조도계산서_청계초등학교수전설비및냉난방시설공사_정남진버섯배지,종균분센터신축전기공사-MCCA판넬삭제_CCTV구간 가로등 내역서" xfId="2068"/>
    <cellStyle name="1_시민계략공사_조도계산서_청계초등학교수전설비및냉난방시설공사_정남진버섯배지,종균분센터신축전기공사-MCCA판넬삭제_CCTV구간 가로등 내역서_CCTV구간 가로등 내역서(R)" xfId="2069"/>
    <cellStyle name="1_시민계략공사_조도계산서_청계초등학교수전설비및냉난방시설공사_정남진버섯배지,종균분센터신축전기공사-MCCA판넬삭제_CCTV구간 가로등 내역서_CCTV구간 가로등 내역서(원본)" xfId="2070"/>
    <cellStyle name="1_시민계략공사_조도계산서_청계초등학교수전설비및냉난방시설공사_정남진버섯배지,종균분센터신축통신공사" xfId="2071"/>
    <cellStyle name="1_시민계략공사_조도계산서_청계초등학교수전설비및냉난방시설공사_정남진버섯배지,종균분센터신축통신공사_CCTV구간 가로등 내역서" xfId="2072"/>
    <cellStyle name="1_시민계략공사_조도계산서_청계초등학교수전설비및냉난방시설공사_정남진버섯배지,종균분센터신축통신공사_CCTV구간 가로등 내역서_CCTV구간 가로등 내역서(R)" xfId="2073"/>
    <cellStyle name="1_시민계략공사_조도계산서_청계초등학교수전설비및냉난방시설공사_정남진버섯배지,종균분센터신축통신공사_CCTV구간 가로등 내역서_CCTV구간 가로등 내역서(원본)" xfId="2074"/>
    <cellStyle name="1_시민계략공사_조도계산서_청계초등학교수전설비및냉난방시설공사_정남진버섯배지,종균분센터신축통신공사_정남진버섯배지,종균분센터신축전기공사-MCCA판넬삭제" xfId="2075"/>
    <cellStyle name="1_시민계략공사_조도계산서_청계초등학교수전설비및냉난방시설공사_정남진버섯배지,종균분센터신축통신공사_정남진버섯배지,종균분센터신축전기공사-MCCA판넬삭제_CCTV구간 가로등 내역서" xfId="2076"/>
    <cellStyle name="1_시민계략공사_조도계산서_청계초등학교수전설비및냉난방시설공사_정남진버섯배지,종균분센터신축통신공사_정남진버섯배지,종균분센터신축전기공사-MCCA판넬삭제_CCTV구간 가로등 내역서_CCTV구간 가로등 내역서(R)" xfId="2077"/>
    <cellStyle name="1_시민계략공사_조도계산서_청계초등학교수전설비및냉난방시설공사_정남진버섯배지,종균분센터신축통신공사_정남진버섯배지,종균분센터신축전기공사-MCCA판넬삭제_CCTV구간 가로등 내역서_CCTV구간 가로등 내역서(원본)" xfId="2078"/>
    <cellStyle name="1_시민계략공사_조도계산서_청계초등학교수전설비및냉난방시설공사_지원동증축예산안" xfId="2079"/>
    <cellStyle name="1_시민계략공사_조도계산서_청계초등학교수전설비및냉난방시설공사_지원동증축예산안_CCTV구간 가로등 내역서" xfId="2080"/>
    <cellStyle name="1_시민계략공사_조도계산서_청계초등학교수전설비및냉난방시설공사_지원동증축예산안_CCTV구간 가로등 내역서_CCTV구간 가로등 내역서(R)" xfId="2081"/>
    <cellStyle name="1_시민계략공사_조도계산서_청계초등학교수전설비및냉난방시설공사_지원동증축예산안_CCTV구간 가로등 내역서_CCTV구간 가로등 내역서(원본)" xfId="2082"/>
    <cellStyle name="1_시민계략공사_조도계산서_청계초등학교수전설비및냉난방시설공사_지원동증축예산안_정남진버섯배지,종균분센터신축전기공사-MCCA판넬삭제" xfId="2083"/>
    <cellStyle name="1_시민계략공사_조도계산서_청계초등학교수전설비및냉난방시설공사_지원동증축예산안_정남진버섯배지,종균분센터신축전기공사-MCCA판넬삭제_CCTV구간 가로등 내역서" xfId="2084"/>
    <cellStyle name="1_시민계략공사_조도계산서_청계초등학교수전설비및냉난방시설공사_지원동증축예산안_정남진버섯배지,종균분센터신축전기공사-MCCA판넬삭제_CCTV구간 가로등 내역서_CCTV구간 가로등 내역서(R)" xfId="2085"/>
    <cellStyle name="1_시민계략공사_조도계산서_청계초등학교수전설비및냉난방시설공사_지원동증축예산안_정남진버섯배지,종균분센터신축전기공사-MCCA판넬삭제_CCTV구간 가로등 내역서_CCTV구간 가로등 내역서(원본)" xfId="2086"/>
    <cellStyle name="1_시민계략공사_조도계산서_청계초등학교수전설비및냉난방전기시설공사" xfId="2087"/>
    <cellStyle name="1_시민계략공사_조도계산서_청계초등학교수전설비및냉난방전기시설공사_CCTV구간 가로등 내역서" xfId="2088"/>
    <cellStyle name="1_시민계략공사_조도계산서_청계초등학교수전설비및냉난방전기시설공사_CCTV구간 가로등 내역서_CCTV구간 가로등 내역서(R)" xfId="2089"/>
    <cellStyle name="1_시민계략공사_조도계산서_청계초등학교수전설비및냉난방전기시설공사_CCTV구간 가로등 내역서_CCTV구간 가로등 내역서(원본)" xfId="2090"/>
    <cellStyle name="1_시민계략공사_조도계산서_청계초등학교수전설비및냉난방전기시설공사_정남진버섯배지,종균분센터신축전기공사-MCCA판넬삭제" xfId="2091"/>
    <cellStyle name="1_시민계략공사_조도계산서_청계초등학교수전설비및냉난방전기시설공사_정남진버섯배지,종균분센터신축전기공사-MCCA판넬삭제_CCTV구간 가로등 내역서" xfId="2092"/>
    <cellStyle name="1_시민계략공사_조도계산서_청계초등학교수전설비및냉난방전기시설공사_정남진버섯배지,종균분센터신축전기공사-MCCA판넬삭제_CCTV구간 가로등 내역서_CCTV구간 가로등 내역서(R)" xfId="2093"/>
    <cellStyle name="1_시민계략공사_조도계산서_청계초등학교수전설비및냉난방전기시설공사_정남진버섯배지,종균분센터신축전기공사-MCCA판넬삭제_CCTV구간 가로등 내역서_CCTV구간 가로등 내역서(원본)" xfId="2094"/>
    <cellStyle name="1_시민계략공사_조도계산서_청계초등학교수전설비및냉난방전기시설공사_정남진버섯배지,종균분센터신축통신공사" xfId="2095"/>
    <cellStyle name="1_시민계략공사_조도계산서_청계초등학교수전설비및냉난방전기시설공사_정남진버섯배지,종균분센터신축통신공사_CCTV구간 가로등 내역서" xfId="2096"/>
    <cellStyle name="1_시민계략공사_조도계산서_청계초등학교수전설비및냉난방전기시설공사_정남진버섯배지,종균분센터신축통신공사_CCTV구간 가로등 내역서_CCTV구간 가로등 내역서(R)" xfId="2097"/>
    <cellStyle name="1_시민계략공사_조도계산서_청계초등학교수전설비및냉난방전기시설공사_정남진버섯배지,종균분센터신축통신공사_CCTV구간 가로등 내역서_CCTV구간 가로등 내역서(원본)" xfId="2098"/>
    <cellStyle name="1_시민계략공사_조도계산서_청계초등학교수전설비및냉난방전기시설공사_정남진버섯배지,종균분센터신축통신공사_정남진버섯배지,종균분센터신축전기공사-MCCA판넬삭제" xfId="2099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" xfId="2100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_CCTV구간 가로등 내역서(R)" xfId="2101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_CCTV구간 가로등 내역서(원본)" xfId="2102"/>
    <cellStyle name="1_시민계략공사_조도계산서_청계초등학교수전설비및냉난방전기시설공사_지원동증축예산안" xfId="2103"/>
    <cellStyle name="1_시민계략공사_조도계산서_청계초등학교수전설비및냉난방전기시설공사_지원동증축예산안_CCTV구간 가로등 내역서" xfId="2104"/>
    <cellStyle name="1_시민계략공사_조도계산서_청계초등학교수전설비및냉난방전기시설공사_지원동증축예산안_CCTV구간 가로등 내역서_CCTV구간 가로등 내역서(R)" xfId="2105"/>
    <cellStyle name="1_시민계략공사_조도계산서_청계초등학교수전설비및냉난방전기시설공사_지원동증축예산안_CCTV구간 가로등 내역서_CCTV구간 가로등 내역서(원본)" xfId="2106"/>
    <cellStyle name="1_시민계략공사_조도계산서_청계초등학교수전설비및냉난방전기시설공사_지원동증축예산안_정남진버섯배지,종균분센터신축전기공사-MCCA판넬삭제" xfId="2107"/>
    <cellStyle name="1_시민계략공사_조도계산서_청계초등학교수전설비및냉난방전기시설공사_지원동증축예산안_정남진버섯배지,종균분센터신축전기공사-MCCA판넬삭제_CCTV구간 가로등 내역서" xfId="2108"/>
    <cellStyle name="1_시민계략공사_조도계산서_청계초등학교수전설비및냉난방전기시설공사_지원동증축예산안_정남진버섯배지,종균분센터신축전기공사-MCCA판넬삭제_CCTV구간 가로등 내역서_CCTV구간 가로등 내역서(R)" xfId="2109"/>
    <cellStyle name="1_시민계략공사_조도계산서_청계초등학교수전설비및냉난방전기시설공사_지원동증축예산안_정남진버섯배지,종균분센터신축전기공사-MCCA판넬삭제_CCTV구간 가로등 내역서_CCTV구간 가로등 내역서(원본)" xfId="2110"/>
    <cellStyle name="1_시민계략공사_조도계산서_함평교육청 전기시설 보수공사(냉,난방)-5월24일" xfId="2111"/>
    <cellStyle name="1_시민계략공사_조도계산서_함평교육청 전기시설 보수공사(냉,난방)-5월24일_CCTV구간 가로등 내역서" xfId="2112"/>
    <cellStyle name="1_시민계략공사_조도계산서_함평교육청 전기시설 보수공사(냉,난방)-5월24일_CCTV구간 가로등 내역서_CCTV구간 가로등 내역서(R)" xfId="2113"/>
    <cellStyle name="1_시민계략공사_조도계산서_함평교육청 전기시설 보수공사(냉,난방)-5월24일_CCTV구간 가로등 내역서_CCTV구간 가로등 내역서(원본)" xfId="2114"/>
    <cellStyle name="1_시민계략공사_조도계산서_함평교육청 전기시설 보수공사(냉,난방)-5월24일_정남진버섯배지,종균분센터신축전기공사-MCCA판넬삭제" xfId="2115"/>
    <cellStyle name="1_시민계략공사_조도계산서_함평교육청 전기시설 보수공사(냉,난방)-5월24일_정남진버섯배지,종균분센터신축전기공사-MCCA판넬삭제_CCTV구간 가로등 내역서" xfId="2116"/>
    <cellStyle name="1_시민계략공사_조도계산서_함평교육청 전기시설 보수공사(냉,난방)-5월24일_정남진버섯배지,종균분센터신축전기공사-MCCA판넬삭제_CCTV구간 가로등 내역서_CCTV구간 가로등 내역서(R)" xfId="2117"/>
    <cellStyle name="1_시민계략공사_조도계산서_함평교육청 전기시설 보수공사(냉,난방)-5월24일_정남진버섯배지,종균분센터신축전기공사-MCCA판넬삭제_CCTV구간 가로등 내역서_CCTV구간 가로등 내역서(원본)" xfId="2118"/>
    <cellStyle name="1_시민계략공사_조도계산서_함평교육청 전기시설 보수공사(냉,난방)-5월24일_정남진버섯배지,종균분센터신축통신공사" xfId="2119"/>
    <cellStyle name="1_시민계략공사_조도계산서_함평교육청 전기시설 보수공사(냉,난방)-5월24일_정남진버섯배지,종균분센터신축통신공사_CCTV구간 가로등 내역서" xfId="2120"/>
    <cellStyle name="1_시민계략공사_조도계산서_함평교육청 전기시설 보수공사(냉,난방)-5월24일_정남진버섯배지,종균분센터신축통신공사_CCTV구간 가로등 내역서_CCTV구간 가로등 내역서(R)" xfId="2121"/>
    <cellStyle name="1_시민계략공사_조도계산서_함평교육청 전기시설 보수공사(냉,난방)-5월24일_정남진버섯배지,종균분센터신축통신공사_CCTV구간 가로등 내역서_CCTV구간 가로등 내역서(원본)" xfId="2122"/>
    <cellStyle name="1_시민계략공사_조도계산서_함평교육청 전기시설 보수공사(냉,난방)-5월24일_정남진버섯배지,종균분센터신축통신공사_정남진버섯배지,종균분센터신축전기공사-MCCA판넬삭제" xfId="2123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" xfId="2124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_CCTV구간 가로등 내역서(R)" xfId="2125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2126"/>
    <cellStyle name="1_시민계략공사_조도계산서_함평교육청 전기시설 보수공사(냉,난방)-5월24일_지원동증축예산안" xfId="2127"/>
    <cellStyle name="1_시민계략공사_조도계산서_함평교육청 전기시설 보수공사(냉,난방)-5월24일_지원동증축예산안_CCTV구간 가로등 내역서" xfId="2128"/>
    <cellStyle name="1_시민계략공사_조도계산서_함평교육청 전기시설 보수공사(냉,난방)-5월24일_지원동증축예산안_CCTV구간 가로등 내역서_CCTV구간 가로등 내역서(R)" xfId="2129"/>
    <cellStyle name="1_시민계략공사_조도계산서_함평교육청 전기시설 보수공사(냉,난방)-5월24일_지원동증축예산안_CCTV구간 가로등 내역서_CCTV구간 가로등 내역서(원본)" xfId="2130"/>
    <cellStyle name="1_시민계략공사_조도계산서_함평교육청 전기시설 보수공사(냉,난방)-5월24일_지원동증축예산안_정남진버섯배지,종균분센터신축전기공사-MCCA판넬삭제" xfId="2131"/>
    <cellStyle name="1_시민계략공사_조도계산서_함평교육청 전기시설 보수공사(냉,난방)-5월24일_지원동증축예산안_정남진버섯배지,종균분센터신축전기공사-MCCA판넬삭제_CCTV구간 가로등 내역서" xfId="2132"/>
    <cellStyle name="1_시민계략공사_조도계산서_함평교육청 전기시설 보수공사(냉,난방)-5월24일_지원동증축예산안_정남진버섯배지,종균분센터신축전기공사-MCCA판넬삭제_CCTV구간 가로등 내역서_CCTV구간 가로등 내역서(R)" xfId="2133"/>
    <cellStyle name="1_시민계략공사_조도계산서_함평교육청 전기시설 보수공사(냉,난방)-5월24일_지원동증축예산안_정남진버섯배지,종균분센터신축전기공사-MCCA판넬삭제_CCTV구간 가로등 내역서_CCTV구간 가로등 내역서(원본)" xfId="2134"/>
    <cellStyle name="1_시민계략공사_침해2차변경8월16일" xfId="2135"/>
    <cellStyle name="1_시민계략공사_화순초교 냉난방시설공사" xfId="2136"/>
    <cellStyle name="1_자재단가비교표 " xfId="11523"/>
    <cellStyle name="1_전기내역서갑지(군청사진입도로)" xfId="11524"/>
    <cellStyle name="1_전력,소방설비 내역서" xfId="5423"/>
    <cellStyle name="1_테크시설공" xfId="11525"/>
    <cellStyle name="1_토공(최종분)" xfId="11526"/>
    <cellStyle name="10" xfId="10238"/>
    <cellStyle name="10000" xfId="5424"/>
    <cellStyle name="10000 10" xfId="15485"/>
    <cellStyle name="10000 10 2" xfId="28294"/>
    <cellStyle name="10000 11" xfId="20579"/>
    <cellStyle name="10000 12" xfId="23109"/>
    <cellStyle name="10000 12 2" xfId="35542"/>
    <cellStyle name="10000 13" xfId="21078"/>
    <cellStyle name="10000 13 2" xfId="33515"/>
    <cellStyle name="10000 14" xfId="20862"/>
    <cellStyle name="10000 14 2" xfId="33299"/>
    <cellStyle name="10000 15" xfId="20295"/>
    <cellStyle name="10000 15 2" xfId="32740"/>
    <cellStyle name="10000 16" xfId="19531"/>
    <cellStyle name="10000 16 2" xfId="31986"/>
    <cellStyle name="10000 17" xfId="21717"/>
    <cellStyle name="10000 17 2" xfId="34154"/>
    <cellStyle name="10000 18" xfId="19059"/>
    <cellStyle name="10000 18 2" xfId="31764"/>
    <cellStyle name="10000 19" xfId="20558"/>
    <cellStyle name="10000 19 2" xfId="33003"/>
    <cellStyle name="10000 2" xfId="14502"/>
    <cellStyle name="10000 2 2" xfId="27330"/>
    <cellStyle name="10000 20" xfId="18842"/>
    <cellStyle name="10000 20 2" xfId="31547"/>
    <cellStyle name="10000 21" xfId="20866"/>
    <cellStyle name="10000 21 2" xfId="33303"/>
    <cellStyle name="10000 3" xfId="13094"/>
    <cellStyle name="10000 3 2" xfId="25963"/>
    <cellStyle name="10000 4" xfId="12934"/>
    <cellStyle name="10000 4 2" xfId="25810"/>
    <cellStyle name="10000 5" xfId="14090"/>
    <cellStyle name="10000 5 2" xfId="26938"/>
    <cellStyle name="10000 6" xfId="14648"/>
    <cellStyle name="10000 6 2" xfId="27474"/>
    <cellStyle name="10000 7" xfId="14130"/>
    <cellStyle name="10000 7 2" xfId="26978"/>
    <cellStyle name="10000 8" xfId="17155"/>
    <cellStyle name="10000 8 2" xfId="29889"/>
    <cellStyle name="10000 9" xfId="18095"/>
    <cellStyle name="10000 9 2" xfId="30806"/>
    <cellStyle name="10공/㎥" xfId="2137"/>
    <cellStyle name="10공/㎥ 10" xfId="13685"/>
    <cellStyle name="10공/㎥ 10 2" xfId="26550"/>
    <cellStyle name="10공/㎥ 11" xfId="19962"/>
    <cellStyle name="10공/㎥ 11 2" xfId="32410"/>
    <cellStyle name="10공/㎥ 12" xfId="19600"/>
    <cellStyle name="10공/㎥ 12 2" xfId="32055"/>
    <cellStyle name="10공/㎥ 13" xfId="23390"/>
    <cellStyle name="10공/㎥ 13 2" xfId="35822"/>
    <cellStyle name="10공/㎥ 14" xfId="23111"/>
    <cellStyle name="10공/㎥ 14 2" xfId="35544"/>
    <cellStyle name="10공/㎥ 15" xfId="19221"/>
    <cellStyle name="10공/㎥ 15 2" xfId="31876"/>
    <cellStyle name="10공/㎥ 16" xfId="24303"/>
    <cellStyle name="10공/㎥ 16 2" xfId="36734"/>
    <cellStyle name="10공/㎥ 17" xfId="18310"/>
    <cellStyle name="10공/㎥ 17 2" xfId="31016"/>
    <cellStyle name="10공/㎥ 18" xfId="23094"/>
    <cellStyle name="10공/㎥ 18 2" xfId="35527"/>
    <cellStyle name="10공/㎥ 19" xfId="18840"/>
    <cellStyle name="10공/㎥ 19 2" xfId="31545"/>
    <cellStyle name="10공/㎥ 2" xfId="13093"/>
    <cellStyle name="10공/㎥ 2 2" xfId="25962"/>
    <cellStyle name="10공/㎥ 20" xfId="24329"/>
    <cellStyle name="10공/㎥ 20 2" xfId="36760"/>
    <cellStyle name="10공/㎥ 3" xfId="13884"/>
    <cellStyle name="10공/㎥ 3 2" xfId="26743"/>
    <cellStyle name="10공/㎥ 4" xfId="16016"/>
    <cellStyle name="10공/㎥ 4 2" xfId="28814"/>
    <cellStyle name="10공/㎥ 5" xfId="16568"/>
    <cellStyle name="10공/㎥ 5 2" xfId="29344"/>
    <cellStyle name="10공/㎥ 6" xfId="12753"/>
    <cellStyle name="10공/㎥ 6 2" xfId="25630"/>
    <cellStyle name="10공/㎥ 7" xfId="12601"/>
    <cellStyle name="10공/㎥ 7 2" xfId="25480"/>
    <cellStyle name="10공/㎥ 8" xfId="17249"/>
    <cellStyle name="10공/㎥ 8 2" xfId="29982"/>
    <cellStyle name="10공/㎥ 9" xfId="14847"/>
    <cellStyle name="10공/㎥ 9 2" xfId="27670"/>
    <cellStyle name="120" xfId="10239"/>
    <cellStyle name="19990216" xfId="2138"/>
    <cellStyle name="¹eº" xfId="2139"/>
    <cellStyle name="¹eº 2" xfId="4556"/>
    <cellStyle name="¹eº 3" xfId="4540"/>
    <cellStyle name="¹eº 4" xfId="17029"/>
    <cellStyle name="¹eº_내역서" xfId="17030"/>
    <cellStyle name="¹eºða²" xfId="10240"/>
    <cellStyle name="¹eºÐA² [0]" xfId="2140"/>
    <cellStyle name="¹eºÐA² [0] 2" xfId="5425"/>
    <cellStyle name="¹eºÐA² [2]" xfId="2141"/>
    <cellStyle name="¹eºÐA² [2] 2" xfId="5426"/>
    <cellStyle name="¹éºÐÀ²_¿îÀüÀÚ±Ý" xfId="5427"/>
    <cellStyle name="¹eºÐA²_±aA¸" xfId="2142"/>
    <cellStyle name="1월" xfId="2143"/>
    <cellStyle name="1월 2" xfId="11201"/>
    <cellStyle name="2" xfId="2144"/>
    <cellStyle name="2 2" xfId="5428"/>
    <cellStyle name="2 2 2" xfId="11202"/>
    <cellStyle name="2)" xfId="2145"/>
    <cellStyle name="2) 2" xfId="10241"/>
    <cellStyle name="2) 3" xfId="10242"/>
    <cellStyle name="2_단가조사표" xfId="5429"/>
    <cellStyle name="2_단가조사표_1011소각" xfId="5430"/>
    <cellStyle name="2_단가조사표_121내역" xfId="5431"/>
    <cellStyle name="2_단가조사표_객토량" xfId="5432"/>
    <cellStyle name="2_단가조사표_교통센~1" xfId="5433"/>
    <cellStyle name="2_단가조사표_구조물대가 (2)" xfId="5434"/>
    <cellStyle name="2_단가조사표_내역서 (2)" xfId="5435"/>
    <cellStyle name="2_단가조사표_부대시설" xfId="5436"/>
    <cellStyle name="2_단가조사표_소각수~1" xfId="5437"/>
    <cellStyle name="2_단가조사표_소각수내역서" xfId="5438"/>
    <cellStyle name="2_단가조사표_소각수목2" xfId="5439"/>
    <cellStyle name="2_단가조사표_수량산출서 (2)" xfId="5440"/>
    <cellStyle name="2_단가조사표_엑스포~1" xfId="5441"/>
    <cellStyle name="2_단가조사표_엑스포한빛1" xfId="5442"/>
    <cellStyle name="2_단가조사표_원가계~1" xfId="5443"/>
    <cellStyle name="2_단가조사표_유기질" xfId="5444"/>
    <cellStyle name="2_단가조사표_자재조서 (2)" xfId="5445"/>
    <cellStyle name="2_단가조사표_총괄내역" xfId="5446"/>
    <cellStyle name="2_단가조사표_총괄내역 (2)" xfId="5447"/>
    <cellStyle name="2_단가조사표_포장일위" xfId="5448"/>
    <cellStyle name="2_자재단가비교표 " xfId="11527"/>
    <cellStyle name="20% - 강조색1 2" xfId="5449"/>
    <cellStyle name="20% - 강조색1 3" xfId="11528"/>
    <cellStyle name="20% - 강조색1 4" xfId="11529"/>
    <cellStyle name="20% - 강조색1 5" xfId="11530"/>
    <cellStyle name="20% - 강조색1 6" xfId="11531"/>
    <cellStyle name="20% - 강조색1 7" xfId="11532"/>
    <cellStyle name="20% - 강조색1 8" xfId="11533"/>
    <cellStyle name="20% - 강조색2 2" xfId="5450"/>
    <cellStyle name="20% - 강조색2 3" xfId="11534"/>
    <cellStyle name="20% - 강조색2 4" xfId="11535"/>
    <cellStyle name="20% - 강조색2 5" xfId="11536"/>
    <cellStyle name="20% - 강조색2 6" xfId="11537"/>
    <cellStyle name="20% - 강조색2 7" xfId="11538"/>
    <cellStyle name="20% - 강조색2 8" xfId="11539"/>
    <cellStyle name="20% - 강조색3 2" xfId="5451"/>
    <cellStyle name="20% - 강조색3 3" xfId="11540"/>
    <cellStyle name="20% - 강조색3 4" xfId="11541"/>
    <cellStyle name="20% - 강조색3 5" xfId="11542"/>
    <cellStyle name="20% - 강조색3 6" xfId="11543"/>
    <cellStyle name="20% - 강조색3 7" xfId="11544"/>
    <cellStyle name="20% - 강조색3 8" xfId="11545"/>
    <cellStyle name="20% - 강조색4 2" xfId="5452"/>
    <cellStyle name="20% - 강조색4 3" xfId="11546"/>
    <cellStyle name="20% - 강조색4 4" xfId="11547"/>
    <cellStyle name="20% - 강조색4 5" xfId="11548"/>
    <cellStyle name="20% - 강조색4 6" xfId="11549"/>
    <cellStyle name="20% - 강조색4 7" xfId="11550"/>
    <cellStyle name="20% - 강조색4 8" xfId="11551"/>
    <cellStyle name="20% - 강조색5 2" xfId="5453"/>
    <cellStyle name="20% - 강조색5 3" xfId="11552"/>
    <cellStyle name="20% - 강조색5 4" xfId="11553"/>
    <cellStyle name="20% - 강조색5 5" xfId="11554"/>
    <cellStyle name="20% - 강조색5 6" xfId="11555"/>
    <cellStyle name="20% - 강조색5 7" xfId="11556"/>
    <cellStyle name="20% - 강조색5 8" xfId="11557"/>
    <cellStyle name="20% - 강조색6 2" xfId="5454"/>
    <cellStyle name="20% - 강조색6 3" xfId="11558"/>
    <cellStyle name="20% - 강조색6 4" xfId="11559"/>
    <cellStyle name="20% - 강조색6 5" xfId="11560"/>
    <cellStyle name="20% - 강조색6 6" xfId="11561"/>
    <cellStyle name="20% - 강조색6 7" xfId="11562"/>
    <cellStyle name="20% - 강조색6 8" xfId="11563"/>
    <cellStyle name="'271" xfId="11564"/>
    <cellStyle name="³?a" xfId="11565"/>
    <cellStyle name="³?A￥" xfId="2146"/>
    <cellStyle name="³?a￥ 2" xfId="5455"/>
    <cellStyle name="³¯Â¥" xfId="5456"/>
    <cellStyle name="³¯Â¥ 2" xfId="5457"/>
    <cellStyle name="³¯â¥ 3" xfId="10243"/>
    <cellStyle name="³¯â¥_설계내역서" xfId="10244"/>
    <cellStyle name="၃urrency_OTD thru NOR " xfId="11566"/>
    <cellStyle name="40% - 강조색1 2" xfId="5458"/>
    <cellStyle name="40% - 강조색1 3" xfId="11567"/>
    <cellStyle name="40% - 강조색1 4" xfId="11568"/>
    <cellStyle name="40% - 강조색1 5" xfId="11569"/>
    <cellStyle name="40% - 강조색1 6" xfId="11570"/>
    <cellStyle name="40% - 강조색1 7" xfId="11571"/>
    <cellStyle name="40% - 강조색1 8" xfId="11572"/>
    <cellStyle name="40% - 강조색2 2" xfId="5459"/>
    <cellStyle name="40% - 강조색2 3" xfId="11573"/>
    <cellStyle name="40% - 강조색2 4" xfId="11574"/>
    <cellStyle name="40% - 강조색2 5" xfId="11575"/>
    <cellStyle name="40% - 강조색2 6" xfId="11576"/>
    <cellStyle name="40% - 강조색2 7" xfId="11577"/>
    <cellStyle name="40% - 강조색2 8" xfId="11578"/>
    <cellStyle name="40% - 강조색3 2" xfId="5460"/>
    <cellStyle name="40% - 강조색3 3" xfId="11579"/>
    <cellStyle name="40% - 강조색3 4" xfId="11580"/>
    <cellStyle name="40% - 강조색3 5" xfId="11581"/>
    <cellStyle name="40% - 강조색3 6" xfId="11582"/>
    <cellStyle name="40% - 강조색3 7" xfId="11583"/>
    <cellStyle name="40% - 강조색3 8" xfId="11584"/>
    <cellStyle name="40% - 강조색4 2" xfId="5461"/>
    <cellStyle name="40% - 강조색4 3" xfId="11585"/>
    <cellStyle name="40% - 강조색4 4" xfId="11586"/>
    <cellStyle name="40% - 강조색4 5" xfId="11587"/>
    <cellStyle name="40% - 강조색4 6" xfId="11588"/>
    <cellStyle name="40% - 강조색4 7" xfId="11589"/>
    <cellStyle name="40% - 강조색4 8" xfId="11590"/>
    <cellStyle name="40% - 강조색5 2" xfId="5462"/>
    <cellStyle name="40% - 강조색5 3" xfId="11591"/>
    <cellStyle name="40% - 강조색5 4" xfId="11592"/>
    <cellStyle name="40% - 강조색5 5" xfId="11593"/>
    <cellStyle name="40% - 강조색5 6" xfId="11594"/>
    <cellStyle name="40% - 강조색5 7" xfId="11595"/>
    <cellStyle name="40% - 강조색5 8" xfId="11596"/>
    <cellStyle name="40% - 강조색6 2" xfId="5463"/>
    <cellStyle name="40% - 강조색6 3" xfId="11597"/>
    <cellStyle name="40% - 강조색6 4" xfId="11598"/>
    <cellStyle name="40% - 강조색6 5" xfId="11599"/>
    <cellStyle name="40% - 강조색6 6" xfId="11600"/>
    <cellStyle name="40% - 강조색6 7" xfId="11601"/>
    <cellStyle name="40% - 강조색6 8" xfId="11602"/>
    <cellStyle name="60" xfId="2147"/>
    <cellStyle name="60% - 강조색1 2" xfId="5464"/>
    <cellStyle name="60% - 강조색1 3" xfId="11603"/>
    <cellStyle name="60% - 강조색1 4" xfId="11604"/>
    <cellStyle name="60% - 강조색1 5" xfId="11605"/>
    <cellStyle name="60% - 강조색1 6" xfId="11606"/>
    <cellStyle name="60% - 강조색1 7" xfId="11607"/>
    <cellStyle name="60% - 강조색1 8" xfId="11608"/>
    <cellStyle name="60% - 강조색2 2" xfId="5465"/>
    <cellStyle name="60% - 강조색2 3" xfId="11609"/>
    <cellStyle name="60% - 강조색2 4" xfId="11610"/>
    <cellStyle name="60% - 강조색2 5" xfId="11611"/>
    <cellStyle name="60% - 강조색2 6" xfId="11612"/>
    <cellStyle name="60% - 강조색2 7" xfId="11613"/>
    <cellStyle name="60% - 강조색2 8" xfId="11614"/>
    <cellStyle name="60% - 강조색3 2" xfId="5466"/>
    <cellStyle name="60% - 강조색3 3" xfId="11615"/>
    <cellStyle name="60% - 강조색3 4" xfId="11616"/>
    <cellStyle name="60% - 강조색3 5" xfId="11617"/>
    <cellStyle name="60% - 강조색3 6" xfId="11618"/>
    <cellStyle name="60% - 강조색3 7" xfId="11619"/>
    <cellStyle name="60% - 강조색3 8" xfId="11620"/>
    <cellStyle name="60% - 강조색4 2" xfId="5467"/>
    <cellStyle name="60% - 강조색4 3" xfId="11621"/>
    <cellStyle name="60% - 강조색4 4" xfId="11622"/>
    <cellStyle name="60% - 강조색4 5" xfId="11623"/>
    <cellStyle name="60% - 강조색4 6" xfId="11624"/>
    <cellStyle name="60% - 강조색4 7" xfId="11625"/>
    <cellStyle name="60% - 강조색4 8" xfId="11626"/>
    <cellStyle name="60% - 강조색5 2" xfId="5468"/>
    <cellStyle name="60% - 강조색5 3" xfId="11627"/>
    <cellStyle name="60% - 강조색5 4" xfId="11628"/>
    <cellStyle name="60% - 강조색5 5" xfId="11629"/>
    <cellStyle name="60% - 강조색5 6" xfId="11630"/>
    <cellStyle name="60% - 강조색5 7" xfId="11631"/>
    <cellStyle name="60% - 강조색5 8" xfId="11632"/>
    <cellStyle name="60% - 강조색6 2" xfId="5469"/>
    <cellStyle name="60% - 강조색6 3" xfId="11633"/>
    <cellStyle name="60% - 강조색6 4" xfId="11634"/>
    <cellStyle name="60% - 강조색6 5" xfId="11635"/>
    <cellStyle name="60% - 강조색6 6" xfId="11636"/>
    <cellStyle name="60% - 강조색6 7" xfId="11637"/>
    <cellStyle name="60% - 강조색6 8" xfId="11638"/>
    <cellStyle name="_x0014_7." xfId="10245"/>
    <cellStyle name="82" xfId="5470"/>
    <cellStyle name="9.6" xfId="10246"/>
    <cellStyle name="90" xfId="5471"/>
    <cellStyle name="a" xfId="2148"/>
    <cellStyle name="A " xfId="11639"/>
    <cellStyle name="a [0]_mud plant bolted" xfId="2149"/>
    <cellStyle name="a_Boo2" xfId="2150"/>
    <cellStyle name="a_Boo2 10" xfId="14269"/>
    <cellStyle name="a_Boo2 10 2" xfId="27104"/>
    <cellStyle name="a_Boo2 11" xfId="19096"/>
    <cellStyle name="a_Boo2 12" xfId="19954"/>
    <cellStyle name="a_Boo2 12 2" xfId="32403"/>
    <cellStyle name="a_Boo2 13" xfId="19607"/>
    <cellStyle name="a_Boo2 13 2" xfId="32062"/>
    <cellStyle name="a_Boo2 14" xfId="18939"/>
    <cellStyle name="a_Boo2 14 2" xfId="31644"/>
    <cellStyle name="a_Boo2 15" xfId="20907"/>
    <cellStyle name="a_Boo2 15 2" xfId="33344"/>
    <cellStyle name="a_Boo2 16" xfId="20653"/>
    <cellStyle name="a_Boo2 16 2" xfId="33097"/>
    <cellStyle name="a_Boo2 17" xfId="18398"/>
    <cellStyle name="a_Boo2 17 2" xfId="31103"/>
    <cellStyle name="a_Boo2 18" xfId="21086"/>
    <cellStyle name="a_Boo2 18 2" xfId="33523"/>
    <cellStyle name="a_Boo2 19" xfId="24517"/>
    <cellStyle name="a_Boo2 19 2" xfId="36948"/>
    <cellStyle name="a_Boo2 2" xfId="13098"/>
    <cellStyle name="a_Boo2 2 2" xfId="25967"/>
    <cellStyle name="a_Boo2 20" xfId="24121"/>
    <cellStyle name="a_Boo2 20 2" xfId="36552"/>
    <cellStyle name="a_Boo2 21" xfId="21736"/>
    <cellStyle name="a_Boo2 21 2" xfId="34173"/>
    <cellStyle name="a_Boo2 3" xfId="13883"/>
    <cellStyle name="a_Boo2 3 2" xfId="26742"/>
    <cellStyle name="a_Boo2 4" xfId="16196"/>
    <cellStyle name="a_Boo2 4 2" xfId="28972"/>
    <cellStyle name="a_Boo2 5" xfId="17178"/>
    <cellStyle name="a_Boo2 5 2" xfId="29912"/>
    <cellStyle name="a_Boo2 6" xfId="12610"/>
    <cellStyle name="a_Boo2 6 2" xfId="25489"/>
    <cellStyle name="a_Boo2 7" xfId="17599"/>
    <cellStyle name="a_Boo2 7 2" xfId="30317"/>
    <cellStyle name="a_Boo2 8" xfId="17145"/>
    <cellStyle name="a_Boo2 8 2" xfId="29879"/>
    <cellStyle name="a_Boo2 9" xfId="16022"/>
    <cellStyle name="a_Boo2 9 2" xfId="28820"/>
    <cellStyle name="a_Boo2_도로수량양식" xfId="2151"/>
    <cellStyle name="a_Boo2_도로수량양식 10" xfId="17819"/>
    <cellStyle name="a_Boo2_도로수량양식 10 2" xfId="30535"/>
    <cellStyle name="a_Boo2_도로수량양식 11" xfId="19097"/>
    <cellStyle name="a_Boo2_도로수량양식 12" xfId="19953"/>
    <cellStyle name="a_Boo2_도로수량양식 12 2" xfId="32402"/>
    <cellStyle name="a_Boo2_도로수량양식 13" xfId="19608"/>
    <cellStyle name="a_Boo2_도로수량양식 13 2" xfId="32063"/>
    <cellStyle name="a_Boo2_도로수량양식 14" xfId="21169"/>
    <cellStyle name="a_Boo2_도로수량양식 14 2" xfId="33606"/>
    <cellStyle name="a_Boo2_도로수량양식 15" xfId="21924"/>
    <cellStyle name="a_Boo2_도로수량양식 15 2" xfId="34361"/>
    <cellStyle name="a_Boo2_도로수량양식 16" xfId="22939"/>
    <cellStyle name="a_Boo2_도로수량양식 16 2" xfId="35373"/>
    <cellStyle name="a_Boo2_도로수량양식 17" xfId="22075"/>
    <cellStyle name="a_Boo2_도로수량양식 17 2" xfId="34511"/>
    <cellStyle name="a_Boo2_도로수량양식 18" xfId="19591"/>
    <cellStyle name="a_Boo2_도로수량양식 18 2" xfId="32046"/>
    <cellStyle name="a_Boo2_도로수량양식 19" xfId="21841"/>
    <cellStyle name="a_Boo2_도로수량양식 19 2" xfId="34278"/>
    <cellStyle name="a_Boo2_도로수량양식 2" xfId="13099"/>
    <cellStyle name="a_Boo2_도로수량양식 2 2" xfId="25968"/>
    <cellStyle name="a_Boo2_도로수량양식 20" xfId="20861"/>
    <cellStyle name="a_Boo2_도로수량양식 20 2" xfId="33298"/>
    <cellStyle name="a_Boo2_도로수량양식 21" xfId="23463"/>
    <cellStyle name="a_Boo2_도로수량양식 21 2" xfId="35894"/>
    <cellStyle name="a_Boo2_도로수량양식 3" xfId="13882"/>
    <cellStyle name="a_Boo2_도로수량양식 3 2" xfId="26741"/>
    <cellStyle name="a_Boo2_도로수량양식 4" xfId="16496"/>
    <cellStyle name="a_Boo2_도로수량양식 4 2" xfId="29272"/>
    <cellStyle name="a_Boo2_도로수량양식 5" xfId="17177"/>
    <cellStyle name="a_Boo2_도로수량양식 5 2" xfId="29911"/>
    <cellStyle name="a_Boo2_도로수량양식 6" xfId="14401"/>
    <cellStyle name="a_Boo2_도로수량양식 6 2" xfId="27234"/>
    <cellStyle name="a_Boo2_도로수량양식 7" xfId="17598"/>
    <cellStyle name="a_Boo2_도로수량양식 7 2" xfId="30316"/>
    <cellStyle name="a_Boo2_도로수량양식 8" xfId="17866"/>
    <cellStyle name="a_Boo2_도로수량양식 8 2" xfId="30582"/>
    <cellStyle name="a_Boo2_도로수량양식 9" xfId="15379"/>
    <cellStyle name="a_Boo2_도로수량양식 9 2" xfId="28196"/>
    <cellStyle name="a_Boo2_도로수량양식_자전거도로구조물공수량" xfId="2152"/>
    <cellStyle name="a_Boo2_도로수량양식_자전거도로구조물공수량 10" xfId="17957"/>
    <cellStyle name="a_Boo2_도로수량양식_자전거도로구조물공수량 10 2" xfId="30669"/>
    <cellStyle name="a_Boo2_도로수량양식_자전거도로구조물공수량 11" xfId="19098"/>
    <cellStyle name="a_Boo2_도로수량양식_자전거도로구조물공수량 12" xfId="19952"/>
    <cellStyle name="a_Boo2_도로수량양식_자전거도로구조물공수량 12 2" xfId="32401"/>
    <cellStyle name="a_Boo2_도로수량양식_자전거도로구조물공수량 13" xfId="19609"/>
    <cellStyle name="a_Boo2_도로수량양식_자전거도로구조물공수량 13 2" xfId="32064"/>
    <cellStyle name="a_Boo2_도로수량양식_자전거도로구조물공수량 14" xfId="18736"/>
    <cellStyle name="a_Boo2_도로수량양식_자전거도로구조물공수량 14 2" xfId="31441"/>
    <cellStyle name="a_Boo2_도로수량양식_자전거도로구조물공수량 15" xfId="23471"/>
    <cellStyle name="a_Boo2_도로수량양식_자전거도로구조물공수량 15 2" xfId="35902"/>
    <cellStyle name="a_Boo2_도로수량양식_자전거도로구조물공수량 16" xfId="20652"/>
    <cellStyle name="a_Boo2_도로수량양식_자전거도로구조물공수량 16 2" xfId="33096"/>
    <cellStyle name="a_Boo2_도로수량양식_자전거도로구조물공수량 17" xfId="18320"/>
    <cellStyle name="a_Boo2_도로수량양식_자전거도로구조물공수량 17 2" xfId="31026"/>
    <cellStyle name="a_Boo2_도로수량양식_자전거도로구조물공수량 18" xfId="18863"/>
    <cellStyle name="a_Boo2_도로수량양식_자전거도로구조물공수량 18 2" xfId="31568"/>
    <cellStyle name="a_Boo2_도로수량양식_자전거도로구조물공수량 19" xfId="22272"/>
    <cellStyle name="a_Boo2_도로수량양식_자전거도로구조물공수량 19 2" xfId="34707"/>
    <cellStyle name="a_Boo2_도로수량양식_자전거도로구조물공수량 2" xfId="13100"/>
    <cellStyle name="a_Boo2_도로수량양식_자전거도로구조물공수량 2 2" xfId="25969"/>
    <cellStyle name="a_Boo2_도로수량양식_자전거도로구조물공수량 20" xfId="24539"/>
    <cellStyle name="a_Boo2_도로수량양식_자전거도로구조물공수량 20 2" xfId="36970"/>
    <cellStyle name="a_Boo2_도로수량양식_자전거도로구조물공수량 21" xfId="22244"/>
    <cellStyle name="a_Boo2_도로수량양식_자전거도로구조물공수량 21 2" xfId="34679"/>
    <cellStyle name="a_Boo2_도로수량양식_자전거도로구조물공수량 3" xfId="13881"/>
    <cellStyle name="a_Boo2_도로수량양식_자전거도로구조물공수량 3 2" xfId="26740"/>
    <cellStyle name="a_Boo2_도로수량양식_자전거도로구조물공수량 4" xfId="16014"/>
    <cellStyle name="a_Boo2_도로수량양식_자전거도로구조물공수량 4 2" xfId="28812"/>
    <cellStyle name="a_Boo2_도로수량양식_자전거도로구조물공수량 5" xfId="17176"/>
    <cellStyle name="a_Boo2_도로수량양식_자전거도로구조물공수량 5 2" xfId="29910"/>
    <cellStyle name="a_Boo2_도로수량양식_자전거도로구조물공수량 6" xfId="12609"/>
    <cellStyle name="a_Boo2_도로수량양식_자전거도로구조물공수량 6 2" xfId="25488"/>
    <cellStyle name="a_Boo2_도로수량양식_자전거도로구조물공수량 7" xfId="17597"/>
    <cellStyle name="a_Boo2_도로수량양식_자전거도로구조물공수량 7 2" xfId="30315"/>
    <cellStyle name="a_Boo2_도로수량양식_자전거도로구조물공수량 8" xfId="14873"/>
    <cellStyle name="a_Boo2_도로수량양식_자전거도로구조물공수량 8 2" xfId="27694"/>
    <cellStyle name="a_Boo2_도로수량양식_자전거도로구조물공수량 9" xfId="15407"/>
    <cellStyle name="a_Boo2_도로수량양식_자전거도로구조물공수량 9 2" xfId="28221"/>
    <cellStyle name="a_Boo2_도로수량양식_자전거도로포장수량" xfId="2153"/>
    <cellStyle name="a_Boo2_도로수량양식_자전거도로포장수량 10" xfId="15887"/>
    <cellStyle name="a_Boo2_도로수량양식_자전거도로포장수량 10 2" xfId="28685"/>
    <cellStyle name="a_Boo2_도로수량양식_자전거도로포장수량 11" xfId="19099"/>
    <cellStyle name="a_Boo2_도로수량양식_자전거도로포장수량 12" xfId="19951"/>
    <cellStyle name="a_Boo2_도로수량양식_자전거도로포장수량 12 2" xfId="32400"/>
    <cellStyle name="a_Boo2_도로수량양식_자전거도로포장수량 13" xfId="19610"/>
    <cellStyle name="a_Boo2_도로수량양식_자전거도로포장수량 13 2" xfId="32065"/>
    <cellStyle name="a_Boo2_도로수량양식_자전거도로포장수량 14" xfId="18940"/>
    <cellStyle name="a_Boo2_도로수량양식_자전거도로포장수량 14 2" xfId="31645"/>
    <cellStyle name="a_Boo2_도로수량양식_자전거도로포장수량 15" xfId="18950"/>
    <cellStyle name="a_Boo2_도로수량양식_자전거도로포장수량 15 2" xfId="31655"/>
    <cellStyle name="a_Boo2_도로수량양식_자전거도로포장수량 16" xfId="20730"/>
    <cellStyle name="a_Boo2_도로수량양식_자전거도로포장수량 16 2" xfId="33170"/>
    <cellStyle name="a_Boo2_도로수량양식_자전거도로포장수량 17" xfId="22311"/>
    <cellStyle name="a_Boo2_도로수량양식_자전거도로포장수량 17 2" xfId="34745"/>
    <cellStyle name="a_Boo2_도로수량양식_자전거도로포장수량 18" xfId="18345"/>
    <cellStyle name="a_Boo2_도로수량양식_자전거도로포장수량 18 2" xfId="31051"/>
    <cellStyle name="a_Boo2_도로수량양식_자전거도로포장수량 19" xfId="24516"/>
    <cellStyle name="a_Boo2_도로수량양식_자전거도로포장수량 19 2" xfId="36947"/>
    <cellStyle name="a_Boo2_도로수량양식_자전거도로포장수량 2" xfId="13101"/>
    <cellStyle name="a_Boo2_도로수량양식_자전거도로포장수량 2 2" xfId="25970"/>
    <cellStyle name="a_Boo2_도로수량양식_자전거도로포장수량 20" xfId="22211"/>
    <cellStyle name="a_Boo2_도로수량양식_자전거도로포장수량 20 2" xfId="34646"/>
    <cellStyle name="a_Boo2_도로수량양식_자전거도로포장수량 21" xfId="22862"/>
    <cellStyle name="a_Boo2_도로수량양식_자전거도로포장수량 21 2" xfId="35296"/>
    <cellStyle name="a_Boo2_도로수량양식_자전거도로포장수량 3" xfId="13880"/>
    <cellStyle name="a_Boo2_도로수량양식_자전거도로포장수량 3 2" xfId="26739"/>
    <cellStyle name="a_Boo2_도로수량양식_자전거도로포장수량 4" xfId="16495"/>
    <cellStyle name="a_Boo2_도로수량양식_자전거도로포장수량 4 2" xfId="29271"/>
    <cellStyle name="a_Boo2_도로수량양식_자전거도로포장수량 5" xfId="17175"/>
    <cellStyle name="a_Boo2_도로수량양식_자전거도로포장수량 5 2" xfId="29909"/>
    <cellStyle name="a_Boo2_도로수량양식_자전거도로포장수량 6" xfId="12427"/>
    <cellStyle name="a_Boo2_도로수량양식_자전거도로포장수량 6 2" xfId="25307"/>
    <cellStyle name="a_Boo2_도로수량양식_자전거도로포장수량 7" xfId="17596"/>
    <cellStyle name="a_Boo2_도로수량양식_자전거도로포장수량 7 2" xfId="30314"/>
    <cellStyle name="a_Boo2_도로수량양식_자전거도로포장수량 8" xfId="12439"/>
    <cellStyle name="a_Boo2_도로수량양식_자전거도로포장수량 8 2" xfId="25319"/>
    <cellStyle name="a_Boo2_도로수량양식_자전거도로포장수량 9" xfId="12667"/>
    <cellStyle name="a_Boo2_도로수량양식_자전거도로포장수량 9 2" xfId="25546"/>
    <cellStyle name="a_Boo2_수량산출" xfId="2154"/>
    <cellStyle name="a_Boo2_수량산출 10" xfId="14857"/>
    <cellStyle name="a_Boo2_수량산출 10 2" xfId="27680"/>
    <cellStyle name="a_Boo2_수량산출 11" xfId="19100"/>
    <cellStyle name="a_Boo2_수량산출 12" xfId="19950"/>
    <cellStyle name="a_Boo2_수량산출 12 2" xfId="32399"/>
    <cellStyle name="a_Boo2_수량산출 13" xfId="19611"/>
    <cellStyle name="a_Boo2_수량산출 13 2" xfId="32066"/>
    <cellStyle name="a_Boo2_수량산출 14" xfId="21170"/>
    <cellStyle name="a_Boo2_수량산출 14 2" xfId="33607"/>
    <cellStyle name="a_Boo2_수량산출 15" xfId="18951"/>
    <cellStyle name="a_Boo2_수량산출 15 2" xfId="31656"/>
    <cellStyle name="a_Boo2_수량산출 16" xfId="20651"/>
    <cellStyle name="a_Boo2_수량산출 16 2" xfId="33095"/>
    <cellStyle name="a_Boo2_수량산출 17" xfId="23676"/>
    <cellStyle name="a_Boo2_수량산출 17 2" xfId="36107"/>
    <cellStyle name="a_Boo2_수량산출 18" xfId="19606"/>
    <cellStyle name="a_Boo2_수량산출 18 2" xfId="32061"/>
    <cellStyle name="a_Boo2_수량산출 19" xfId="23996"/>
    <cellStyle name="a_Boo2_수량산출 19 2" xfId="36427"/>
    <cellStyle name="a_Boo2_수량산출 2" xfId="13102"/>
    <cellStyle name="a_Boo2_수량산출 2 2" xfId="25971"/>
    <cellStyle name="a_Boo2_수량산출 20" xfId="22087"/>
    <cellStyle name="a_Boo2_수량산출 20 2" xfId="34523"/>
    <cellStyle name="a_Boo2_수량산출 21" xfId="22438"/>
    <cellStyle name="a_Boo2_수량산출 21 2" xfId="34872"/>
    <cellStyle name="a_Boo2_수량산출 3" xfId="13879"/>
    <cellStyle name="a_Boo2_수량산출 3 2" xfId="26738"/>
    <cellStyle name="a_Boo2_수량산출 4" xfId="16013"/>
    <cellStyle name="a_Boo2_수량산출 4 2" xfId="28811"/>
    <cellStyle name="a_Boo2_수량산출 5" xfId="17174"/>
    <cellStyle name="a_Boo2_수량산출 5 2" xfId="29908"/>
    <cellStyle name="a_Boo2_수량산출 6" xfId="13747"/>
    <cellStyle name="a_Boo2_수량산출 6 2" xfId="26608"/>
    <cellStyle name="a_Boo2_수량산출 7" xfId="17595"/>
    <cellStyle name="a_Boo2_수량산출 7 2" xfId="30313"/>
    <cellStyle name="a_Boo2_수량산출 8" xfId="17865"/>
    <cellStyle name="a_Boo2_수량산출 8 2" xfId="30581"/>
    <cellStyle name="a_Boo2_수량산출 9" xfId="14217"/>
    <cellStyle name="a_Boo2_수량산출 9 2" xfId="27063"/>
    <cellStyle name="a_Boo2_수량산출_자전거도로구조물공수량" xfId="2155"/>
    <cellStyle name="a_Boo2_수량산출_자전거도로구조물공수량 10" xfId="17956"/>
    <cellStyle name="a_Boo2_수량산출_자전거도로구조물공수량 10 2" xfId="30668"/>
    <cellStyle name="a_Boo2_수량산출_자전거도로구조물공수량 11" xfId="19101"/>
    <cellStyle name="a_Boo2_수량산출_자전거도로구조물공수량 12" xfId="19949"/>
    <cellStyle name="a_Boo2_수량산출_자전거도로구조물공수량 12 2" xfId="32398"/>
    <cellStyle name="a_Boo2_수량산출_자전거도로구조물공수량 13" xfId="19612"/>
    <cellStyle name="a_Boo2_수량산출_자전거도로구조물공수량 13 2" xfId="32067"/>
    <cellStyle name="a_Boo2_수량산출_자전거도로구조물공수량 14" xfId="18737"/>
    <cellStyle name="a_Boo2_수량산출_자전거도로구조물공수량 14 2" xfId="31442"/>
    <cellStyle name="a_Boo2_수량산출_자전거도로구조물공수량 15" xfId="21779"/>
    <cellStyle name="a_Boo2_수량산출_자전거도로구조물공수량 15 2" xfId="34216"/>
    <cellStyle name="a_Boo2_수량산출_자전거도로구조물공수량 16" xfId="22182"/>
    <cellStyle name="a_Boo2_수량산출_자전거도로구조물공수량 16 2" xfId="34618"/>
    <cellStyle name="a_Boo2_수량산출_자전거도로구조물공수량 17" xfId="20760"/>
    <cellStyle name="a_Boo2_수량산출_자전거도로구조물공수량 17 2" xfId="33199"/>
    <cellStyle name="a_Boo2_수량산출_자전거도로구조물공수량 18" xfId="20940"/>
    <cellStyle name="a_Boo2_수량산출_자전거도로구조물공수량 18 2" xfId="33377"/>
    <cellStyle name="a_Boo2_수량산출_자전거도로구조물공수량 19" xfId="20815"/>
    <cellStyle name="a_Boo2_수량산출_자전거도로구조물공수량 19 2" xfId="33252"/>
    <cellStyle name="a_Boo2_수량산출_자전거도로구조물공수량 2" xfId="13103"/>
    <cellStyle name="a_Boo2_수량산출_자전거도로구조물공수량 2 2" xfId="25972"/>
    <cellStyle name="a_Boo2_수량산출_자전거도로구조물공수량 20" xfId="24540"/>
    <cellStyle name="a_Boo2_수량산출_자전거도로구조물공수량 20 2" xfId="36971"/>
    <cellStyle name="a_Boo2_수량산출_자전거도로구조물공수량 21" xfId="24330"/>
    <cellStyle name="a_Boo2_수량산출_자전거도로구조물공수량 21 2" xfId="36761"/>
    <cellStyle name="a_Boo2_수량산출_자전거도로구조물공수량 3" xfId="13878"/>
    <cellStyle name="a_Boo2_수량산출_자전거도로구조물공수량 3 2" xfId="26737"/>
    <cellStyle name="a_Boo2_수량산출_자전거도로구조물공수량 4" xfId="16494"/>
    <cellStyle name="a_Boo2_수량산출_자전거도로구조물공수량 4 2" xfId="29270"/>
    <cellStyle name="a_Boo2_수량산출_자전거도로구조물공수량 5" xfId="15391"/>
    <cellStyle name="a_Boo2_수량산출_자전거도로구조물공수량 5 2" xfId="28206"/>
    <cellStyle name="a_Boo2_수량산출_자전거도로구조물공수량 6" xfId="13746"/>
    <cellStyle name="a_Boo2_수량산출_자전거도로구조물공수량 6 2" xfId="26607"/>
    <cellStyle name="a_Boo2_수량산출_자전거도로구조물공수량 7" xfId="17594"/>
    <cellStyle name="a_Boo2_수량산출_자전거도로구조물공수량 7 2" xfId="30312"/>
    <cellStyle name="a_Boo2_수량산출_자전거도로구조물공수량 8" xfId="14022"/>
    <cellStyle name="a_Boo2_수량산출_자전거도로구조물공수량 8 2" xfId="26873"/>
    <cellStyle name="a_Boo2_수량산출_자전거도로구조물공수량 9" xfId="17763"/>
    <cellStyle name="a_Boo2_수량산출_자전거도로구조물공수량 9 2" xfId="30480"/>
    <cellStyle name="a_Boo2_수량산출_자전거도로포장수량" xfId="2156"/>
    <cellStyle name="a_Boo2_수량산출_자전거도로포장수량 10" xfId="16050"/>
    <cellStyle name="a_Boo2_수량산출_자전거도로포장수량 10 2" xfId="28833"/>
    <cellStyle name="a_Boo2_수량산출_자전거도로포장수량 11" xfId="19102"/>
    <cellStyle name="a_Boo2_수량산출_자전거도로포장수량 12" xfId="19948"/>
    <cellStyle name="a_Boo2_수량산출_자전거도로포장수량 12 2" xfId="32397"/>
    <cellStyle name="a_Boo2_수량산출_자전거도로포장수량 13" xfId="19613"/>
    <cellStyle name="a_Boo2_수량산출_자전거도로포장수량 13 2" xfId="32068"/>
    <cellStyle name="a_Boo2_수량산출_자전거도로포장수량 14" xfId="18941"/>
    <cellStyle name="a_Boo2_수량산출_자전거도로포장수량 14 2" xfId="31646"/>
    <cellStyle name="a_Boo2_수량산출_자전거도로포장수량 15" xfId="19570"/>
    <cellStyle name="a_Boo2_수량산출_자전거도로포장수량 15 2" xfId="32025"/>
    <cellStyle name="a_Boo2_수량산출_자전거도로포장수량 16" xfId="19735"/>
    <cellStyle name="a_Boo2_수량산출_자전거도로포장수량 16 2" xfId="32188"/>
    <cellStyle name="a_Boo2_수량산출_자전거도로포장수량 17" xfId="22329"/>
    <cellStyle name="a_Boo2_수량산출_자전거도로포장수량 17 2" xfId="34763"/>
    <cellStyle name="a_Boo2_수량산출_자전거도로포장수량 18" xfId="20604"/>
    <cellStyle name="a_Boo2_수량산출_자전거도로포장수량 18 2" xfId="33048"/>
    <cellStyle name="a_Boo2_수량산출_자전거도로포장수량 19" xfId="24515"/>
    <cellStyle name="a_Boo2_수량산출_자전거도로포장수량 19 2" xfId="36946"/>
    <cellStyle name="a_Boo2_수량산출_자전거도로포장수량 2" xfId="13104"/>
    <cellStyle name="a_Boo2_수량산출_자전거도로포장수량 2 2" xfId="25973"/>
    <cellStyle name="a_Boo2_수량산출_자전거도로포장수량 20" xfId="23897"/>
    <cellStyle name="a_Boo2_수량산출_자전거도로포장수량 20 2" xfId="36328"/>
    <cellStyle name="a_Boo2_수량산출_자전거도로포장수량 21" xfId="20526"/>
    <cellStyle name="a_Boo2_수량산출_자전거도로포장수량 21 2" xfId="32971"/>
    <cellStyle name="a_Boo2_수량산출_자전거도로포장수량 3" xfId="13877"/>
    <cellStyle name="a_Boo2_수량산출_자전거도로포장수량 3 2" xfId="26736"/>
    <cellStyle name="a_Boo2_수량산출_자전거도로포장수량 4" xfId="16012"/>
    <cellStyle name="a_Boo2_수량산출_자전거도로포장수량 4 2" xfId="28810"/>
    <cellStyle name="a_Boo2_수량산출_자전거도로포장수량 5" xfId="16765"/>
    <cellStyle name="a_Boo2_수량산출_자전거도로포장수량 5 2" xfId="29541"/>
    <cellStyle name="a_Boo2_수량산출_자전거도로포장수량 6" xfId="14685"/>
    <cellStyle name="a_Boo2_수량산출_자전거도로포장수량 6 2" xfId="27511"/>
    <cellStyle name="a_Boo2_수량산출_자전거도로포장수량 7" xfId="17593"/>
    <cellStyle name="a_Boo2_수량산출_자전거도로포장수량 7 2" xfId="30311"/>
    <cellStyle name="a_Boo2_수량산출_자전거도로포장수량 8" xfId="13684"/>
    <cellStyle name="a_Boo2_수량산출_자전거도로포장수량 8 2" xfId="26549"/>
    <cellStyle name="a_Boo2_수량산출_자전거도로포장수량 9" xfId="12666"/>
    <cellStyle name="a_Boo2_수량산출_자전거도로포장수량 9 2" xfId="25545"/>
    <cellStyle name="a_Boo2_인월중군소하천" xfId="2157"/>
    <cellStyle name="a_Boo2_인월중군소하천 10" xfId="17818"/>
    <cellStyle name="a_Boo2_인월중군소하천 10 2" xfId="30534"/>
    <cellStyle name="a_Boo2_인월중군소하천 11" xfId="19103"/>
    <cellStyle name="a_Boo2_인월중군소하천 12" xfId="19947"/>
    <cellStyle name="a_Boo2_인월중군소하천 12 2" xfId="32396"/>
    <cellStyle name="a_Boo2_인월중군소하천 13" xfId="19614"/>
    <cellStyle name="a_Boo2_인월중군소하천 13 2" xfId="32069"/>
    <cellStyle name="a_Boo2_인월중군소하천 14" xfId="21171"/>
    <cellStyle name="a_Boo2_인월중군소하천 14 2" xfId="33608"/>
    <cellStyle name="a_Boo2_인월중군소하천 15" xfId="18391"/>
    <cellStyle name="a_Boo2_인월중군소하천 15 2" xfId="31096"/>
    <cellStyle name="a_Boo2_인월중군소하천 16" xfId="22938"/>
    <cellStyle name="a_Boo2_인월중군소하천 16 2" xfId="35372"/>
    <cellStyle name="a_Boo2_인월중군소하천 17" xfId="19901"/>
    <cellStyle name="a_Boo2_인월중군소하천 17 2" xfId="32350"/>
    <cellStyle name="a_Boo2_인월중군소하천 18" xfId="18891"/>
    <cellStyle name="a_Boo2_인월중군소하천 18 2" xfId="31596"/>
    <cellStyle name="a_Boo2_인월중군소하천 19" xfId="23085"/>
    <cellStyle name="a_Boo2_인월중군소하천 19 2" xfId="35518"/>
    <cellStyle name="a_Boo2_인월중군소하천 2" xfId="13105"/>
    <cellStyle name="a_Boo2_인월중군소하천 2 2" xfId="25974"/>
    <cellStyle name="a_Boo2_인월중군소하천 20" xfId="22454"/>
    <cellStyle name="a_Boo2_인월중군소하천 20 2" xfId="34888"/>
    <cellStyle name="a_Boo2_인월중군소하천 21" xfId="20548"/>
    <cellStyle name="a_Boo2_인월중군소하천 21 2" xfId="32993"/>
    <cellStyle name="a_Boo2_인월중군소하천 3" xfId="13876"/>
    <cellStyle name="a_Boo2_인월중군소하천 3 2" xfId="26735"/>
    <cellStyle name="a_Boo2_인월중군소하천 4" xfId="16493"/>
    <cellStyle name="a_Boo2_인월중군소하천 4 2" xfId="29269"/>
    <cellStyle name="a_Boo2_인월중군소하천 5" xfId="17173"/>
    <cellStyle name="a_Boo2_인월중군소하천 5 2" xfId="29907"/>
    <cellStyle name="a_Boo2_인월중군소하천 6" xfId="14885"/>
    <cellStyle name="a_Boo2_인월중군소하천 6 2" xfId="27706"/>
    <cellStyle name="a_Boo2_인월중군소하천 7" xfId="17592"/>
    <cellStyle name="a_Boo2_인월중군소하천 7 2" xfId="30310"/>
    <cellStyle name="a_Boo2_인월중군소하천 8" xfId="12665"/>
    <cellStyle name="a_Boo2_인월중군소하천 8 2" xfId="25544"/>
    <cellStyle name="a_Boo2_인월중군소하천 9" xfId="14392"/>
    <cellStyle name="a_Boo2_인월중군소하천 9 2" xfId="27225"/>
    <cellStyle name="a_Boo2_인월중군소하천_자전거도로구조물공수량" xfId="2158"/>
    <cellStyle name="a_Boo2_인월중군소하천_자전거도로구조물공수량 10" xfId="17955"/>
    <cellStyle name="a_Boo2_인월중군소하천_자전거도로구조물공수량 10 2" xfId="30667"/>
    <cellStyle name="a_Boo2_인월중군소하천_자전거도로구조물공수량 11" xfId="19104"/>
    <cellStyle name="a_Boo2_인월중군소하천_자전거도로구조물공수량 12" xfId="19946"/>
    <cellStyle name="a_Boo2_인월중군소하천_자전거도로구조물공수량 12 2" xfId="32395"/>
    <cellStyle name="a_Boo2_인월중군소하천_자전거도로구조물공수량 13" xfId="19615"/>
    <cellStyle name="a_Boo2_인월중군소하천_자전거도로구조물공수량 13 2" xfId="32070"/>
    <cellStyle name="a_Boo2_인월중군소하천_자전거도로구조물공수량 14" xfId="18738"/>
    <cellStyle name="a_Boo2_인월중군소하천_자전거도로구조물공수량 14 2" xfId="31443"/>
    <cellStyle name="a_Boo2_인월중군소하천_자전거도로구조물공수량 15" xfId="20085"/>
    <cellStyle name="a_Boo2_인월중군소하천_자전거도로구조물공수량 15 2" xfId="32531"/>
    <cellStyle name="a_Boo2_인월중군소하천_자전거도로구조물공수량 16" xfId="23709"/>
    <cellStyle name="a_Boo2_인월중군소하천_자전거도로구조물공수량 16 2" xfId="36140"/>
    <cellStyle name="a_Boo2_인월중군소하천_자전거도로구조물공수량 17" xfId="20525"/>
    <cellStyle name="a_Boo2_인월중군소하천_자전거도로구조물공수량 17 2" xfId="32970"/>
    <cellStyle name="a_Boo2_인월중군소하천_자전거도로구조물공수량 18" xfId="24100"/>
    <cellStyle name="a_Boo2_인월중군소하천_자전거도로구조물공수량 18 2" xfId="36531"/>
    <cellStyle name="a_Boo2_인월중군소하천_자전거도로구조물공수량 19" xfId="20676"/>
    <cellStyle name="a_Boo2_인월중군소하천_자전거도로구조물공수량 19 2" xfId="33120"/>
    <cellStyle name="a_Boo2_인월중군소하천_자전거도로구조물공수량 2" xfId="13106"/>
    <cellStyle name="a_Boo2_인월중군소하천_자전거도로구조물공수량 2 2" xfId="25975"/>
    <cellStyle name="a_Boo2_인월중군소하천_자전거도로구조물공수량 20" xfId="24541"/>
    <cellStyle name="a_Boo2_인월중군소하천_자전거도로구조물공수량 20 2" xfId="36972"/>
    <cellStyle name="a_Boo2_인월중군소하천_자전거도로구조물공수량 21" xfId="24331"/>
    <cellStyle name="a_Boo2_인월중군소하천_자전거도로구조물공수량 21 2" xfId="36762"/>
    <cellStyle name="a_Boo2_인월중군소하천_자전거도로구조물공수량 3" xfId="13875"/>
    <cellStyle name="a_Boo2_인월중군소하천_자전거도로구조물공수량 3 2" xfId="26734"/>
    <cellStyle name="a_Boo2_인월중군소하천_자전거도로구조물공수량 4" xfId="16011"/>
    <cellStyle name="a_Boo2_인월중군소하천_자전거도로구조물공수량 4 2" xfId="28809"/>
    <cellStyle name="a_Boo2_인월중군소하천_자전거도로구조물공수량 5" xfId="15392"/>
    <cellStyle name="a_Boo2_인월중군소하천_자전거도로구조물공수량 5 2" xfId="28207"/>
    <cellStyle name="a_Boo2_인월중군소하천_자전거도로구조물공수량 6" xfId="13976"/>
    <cellStyle name="a_Boo2_인월중군소하천_자전거도로구조물공수량 6 2" xfId="26833"/>
    <cellStyle name="a_Boo2_인월중군소하천_자전거도로구조물공수량 7" xfId="17591"/>
    <cellStyle name="a_Boo2_인월중군소하천_자전거도로구조물공수량 7 2" xfId="30309"/>
    <cellStyle name="a_Boo2_인월중군소하천_자전거도로구조물공수량 8" xfId="14874"/>
    <cellStyle name="a_Boo2_인월중군소하천_자전거도로구조물공수량 8 2" xfId="27695"/>
    <cellStyle name="a_Boo2_인월중군소하천_자전거도로구조물공수량 9" xfId="14656"/>
    <cellStyle name="a_Boo2_인월중군소하천_자전거도로구조물공수량 9 2" xfId="27482"/>
    <cellStyle name="a_Boo2_인월중군소하천_자전거도로포장수량" xfId="2159"/>
    <cellStyle name="a_Boo2_인월중군소하천_자전거도로포장수량 10" xfId="14257"/>
    <cellStyle name="a_Boo2_인월중군소하천_자전거도로포장수량 10 2" xfId="27093"/>
    <cellStyle name="a_Boo2_인월중군소하천_자전거도로포장수량 11" xfId="19105"/>
    <cellStyle name="a_Boo2_인월중군소하천_자전거도로포장수량 12" xfId="19945"/>
    <cellStyle name="a_Boo2_인월중군소하천_자전거도로포장수량 12 2" xfId="32394"/>
    <cellStyle name="a_Boo2_인월중군소하천_자전거도로포장수량 13" xfId="19616"/>
    <cellStyle name="a_Boo2_인월중군소하천_자전거도로포장수량 13 2" xfId="32071"/>
    <cellStyle name="a_Boo2_인월중군소하천_자전거도로포장수량 14" xfId="18942"/>
    <cellStyle name="a_Boo2_인월중군소하천_자전거도로포장수량 14 2" xfId="31647"/>
    <cellStyle name="a_Boo2_인월중군소하천_자전거도로포장수량 15" xfId="18392"/>
    <cellStyle name="a_Boo2_인월중군소하천_자전거도로포장수량 15 2" xfId="31097"/>
    <cellStyle name="a_Boo2_인월중군소하천_자전거도로포장수량 16" xfId="20729"/>
    <cellStyle name="a_Boo2_인월중군소하천_자전거도로포장수량 16 2" xfId="33169"/>
    <cellStyle name="a_Boo2_인월중군소하천_자전거도로포장수량 17" xfId="18323"/>
    <cellStyle name="a_Boo2_인월중군소하천_자전거도로포장수량 17 2" xfId="31029"/>
    <cellStyle name="a_Boo2_인월중군소하천_자전거도로포장수량 18" xfId="24101"/>
    <cellStyle name="a_Boo2_인월중군소하천_자전거도로포장수량 18 2" xfId="36532"/>
    <cellStyle name="a_Boo2_인월중군소하천_자전거도로포장수량 19" xfId="24514"/>
    <cellStyle name="a_Boo2_인월중군소하천_자전거도로포장수량 19 2" xfId="36945"/>
    <cellStyle name="a_Boo2_인월중군소하천_자전거도로포장수량 2" xfId="13107"/>
    <cellStyle name="a_Boo2_인월중군소하천_자전거도로포장수량 2 2" xfId="25976"/>
    <cellStyle name="a_Boo2_인월중군소하천_자전거도로포장수량 20" xfId="22210"/>
    <cellStyle name="a_Boo2_인월중군소하천_자전거도로포장수량 20 2" xfId="34645"/>
    <cellStyle name="a_Boo2_인월중군소하천_자전거도로포장수량 21" xfId="23715"/>
    <cellStyle name="a_Boo2_인월중군소하천_자전거도로포장수량 21 2" xfId="36146"/>
    <cellStyle name="a_Boo2_인월중군소하천_자전거도로포장수량 3" xfId="13874"/>
    <cellStyle name="a_Boo2_인월중군소하천_자전거도로포장수량 3 2" xfId="26733"/>
    <cellStyle name="a_Boo2_인월중군소하천_자전거도로포장수량 4" xfId="16492"/>
    <cellStyle name="a_Boo2_인월중군소하천_자전거도로포장수량 4 2" xfId="29268"/>
    <cellStyle name="a_Boo2_인월중군소하천_자전거도로포장수량 5" xfId="17171"/>
    <cellStyle name="a_Boo2_인월중군소하천_자전거도로포장수량 5 2" xfId="29905"/>
    <cellStyle name="a_Boo2_인월중군소하천_자전거도로포장수량 6" xfId="15240"/>
    <cellStyle name="a_Boo2_인월중군소하천_자전거도로포장수량 6 2" xfId="28058"/>
    <cellStyle name="a_Boo2_인월중군소하천_자전거도로포장수량 7" xfId="17590"/>
    <cellStyle name="a_Boo2_인월중군소하천_자전거도로포장수량 7 2" xfId="30308"/>
    <cellStyle name="a_Boo2_인월중군소하천_자전거도로포장수량 8" xfId="14237"/>
    <cellStyle name="a_Boo2_인월중군소하천_자전거도로포장수량 8 2" xfId="27078"/>
    <cellStyle name="a_Boo2_인월중군소하천_자전거도로포장수량 9" xfId="13963"/>
    <cellStyle name="a_Boo2_인월중군소하천_자전거도로포장수량 9 2" xfId="26820"/>
    <cellStyle name="a_Boo2_자전거도로구조물공수량" xfId="2160"/>
    <cellStyle name="a_Boo2_자전거도로구조물공수량 10" xfId="13041"/>
    <cellStyle name="a_Boo2_자전거도로구조물공수량 10 2" xfId="25915"/>
    <cellStyle name="a_Boo2_자전거도로구조물공수량 11" xfId="19106"/>
    <cellStyle name="a_Boo2_자전거도로구조물공수량 12" xfId="19944"/>
    <cellStyle name="a_Boo2_자전거도로구조물공수량 12 2" xfId="32393"/>
    <cellStyle name="a_Boo2_자전거도로구조물공수량 13" xfId="19617"/>
    <cellStyle name="a_Boo2_자전거도로구조물공수량 13 2" xfId="32072"/>
    <cellStyle name="a_Boo2_자전거도로구조물공수량 14" xfId="21172"/>
    <cellStyle name="a_Boo2_자전거도로구조물공수량 14 2" xfId="33609"/>
    <cellStyle name="a_Boo2_자전거도로구조물공수량 15" xfId="20337"/>
    <cellStyle name="a_Boo2_자전거도로구조물공수량 15 2" xfId="32782"/>
    <cellStyle name="a_Boo2_자전거도로구조물공수량 16" xfId="20716"/>
    <cellStyle name="a_Boo2_자전거도로구조물공수량 16 2" xfId="33158"/>
    <cellStyle name="a_Boo2_자전거도로구조물공수량 17" xfId="22297"/>
    <cellStyle name="a_Boo2_자전거도로구조물공수량 17 2" xfId="34731"/>
    <cellStyle name="a_Boo2_자전거도로구조물공수량 18" xfId="19240"/>
    <cellStyle name="a_Boo2_자전거도로구조물공수량 18 2" xfId="31895"/>
    <cellStyle name="a_Boo2_자전거도로구조물공수량 19" xfId="23995"/>
    <cellStyle name="a_Boo2_자전거도로구조물공수량 19 2" xfId="36426"/>
    <cellStyle name="a_Boo2_자전거도로구조물공수량 2" xfId="13108"/>
    <cellStyle name="a_Boo2_자전거도로구조물공수량 2 2" xfId="25977"/>
    <cellStyle name="a_Boo2_자전거도로구조물공수량 20" xfId="22086"/>
    <cellStyle name="a_Boo2_자전거도로구조물공수량 20 2" xfId="34522"/>
    <cellStyle name="a_Boo2_자전거도로구조물공수량 21" xfId="18677"/>
    <cellStyle name="a_Boo2_자전거도로구조물공수량 21 2" xfId="31382"/>
    <cellStyle name="a_Boo2_자전거도로구조물공수량 3" xfId="13873"/>
    <cellStyle name="a_Boo2_자전거도로구조물공수량 3 2" xfId="26732"/>
    <cellStyle name="a_Boo2_자전거도로구조물공수량 4" xfId="16010"/>
    <cellStyle name="a_Boo2_자전거도로구조물공수량 4 2" xfId="28808"/>
    <cellStyle name="a_Boo2_자전거도로구조물공수량 5" xfId="16569"/>
    <cellStyle name="a_Boo2_자전거도로구조물공수량 5 2" xfId="29345"/>
    <cellStyle name="a_Boo2_자전거도로구조물공수량 6" xfId="12752"/>
    <cellStyle name="a_Boo2_자전거도로구조물공수량 6 2" xfId="25629"/>
    <cellStyle name="a_Boo2_자전거도로구조물공수량 7" xfId="17589"/>
    <cellStyle name="a_Boo2_자전거도로구조물공수량 7 2" xfId="30307"/>
    <cellStyle name="a_Boo2_자전거도로구조물공수량 8" xfId="14528"/>
    <cellStyle name="a_Boo2_자전거도로구조물공수량 8 2" xfId="27356"/>
    <cellStyle name="a_Boo2_자전거도로구조물공수량 9" xfId="14011"/>
    <cellStyle name="a_Boo2_자전거도로구조물공수량 9 2" xfId="26862"/>
    <cellStyle name="a_Boo2_자전거도로포장수량" xfId="2161"/>
    <cellStyle name="a_Boo2_자전거도로포장수량 10" xfId="17954"/>
    <cellStyle name="a_Boo2_자전거도로포장수량 10 2" xfId="30666"/>
    <cellStyle name="a_Boo2_자전거도로포장수량 11" xfId="19107"/>
    <cellStyle name="a_Boo2_자전거도로포장수량 12" xfId="19943"/>
    <cellStyle name="a_Boo2_자전거도로포장수량 12 2" xfId="32392"/>
    <cellStyle name="a_Boo2_자전거도로포장수량 13" xfId="19618"/>
    <cellStyle name="a_Boo2_자전거도로포장수량 13 2" xfId="32073"/>
    <cellStyle name="a_Boo2_자전거도로포장수량 14" xfId="18739"/>
    <cellStyle name="a_Boo2_자전거도로포장수량 14 2" xfId="31444"/>
    <cellStyle name="a_Boo2_자전거도로포장수량 15" xfId="18393"/>
    <cellStyle name="a_Boo2_자전거도로포장수량 15 2" xfId="31098"/>
    <cellStyle name="a_Boo2_자전거도로포장수량 16" xfId="20791"/>
    <cellStyle name="a_Boo2_자전거도로포장수량 16 2" xfId="33230"/>
    <cellStyle name="a_Boo2_자전거도로포장수량 17" xfId="20759"/>
    <cellStyle name="a_Boo2_자전거도로포장수량 17 2" xfId="33198"/>
    <cellStyle name="a_Boo2_자전거도로포장수량 18" xfId="21329"/>
    <cellStyle name="a_Boo2_자전거도로포장수량 18 2" xfId="33766"/>
    <cellStyle name="a_Boo2_자전거도로포장수량 19" xfId="21815"/>
    <cellStyle name="a_Boo2_자전거도로포장수량 19 2" xfId="34252"/>
    <cellStyle name="a_Boo2_자전거도로포장수량 2" xfId="13109"/>
    <cellStyle name="a_Boo2_자전거도로포장수량 2 2" xfId="25978"/>
    <cellStyle name="a_Boo2_자전거도로포장수량 20" xfId="24542"/>
    <cellStyle name="a_Boo2_자전거도로포장수량 20 2" xfId="36973"/>
    <cellStyle name="a_Boo2_자전거도로포장수량 21" xfId="24332"/>
    <cellStyle name="a_Boo2_자전거도로포장수량 21 2" xfId="36763"/>
    <cellStyle name="a_Boo2_자전거도로포장수량 3" xfId="13872"/>
    <cellStyle name="a_Boo2_자전거도로포장수량 3 2" xfId="26731"/>
    <cellStyle name="a_Boo2_자전거도로포장수량 4" xfId="16491"/>
    <cellStyle name="a_Boo2_자전거도로포장수량 4 2" xfId="29267"/>
    <cellStyle name="a_Boo2_자전거도로포장수량 5" xfId="16766"/>
    <cellStyle name="a_Boo2_자전거도로포장수량 5 2" xfId="29542"/>
    <cellStyle name="a_Boo2_자전거도로포장수량 6" xfId="15239"/>
    <cellStyle name="a_Boo2_자전거도로포장수량 6 2" xfId="28057"/>
    <cellStyle name="a_Boo2_자전거도로포장수량 7" xfId="17311"/>
    <cellStyle name="a_Boo2_자전거도로포장수량 7 2" xfId="30040"/>
    <cellStyle name="a_Boo2_자전거도로포장수량 8" xfId="14219"/>
    <cellStyle name="a_Boo2_자전거도로포장수량 8 2" xfId="27065"/>
    <cellStyle name="a_Boo2_자전거도로포장수량 9" xfId="14194"/>
    <cellStyle name="a_Boo2_자전거도로포장수량 9 2" xfId="27042"/>
    <cellStyle name="a_Book2" xfId="2162"/>
    <cellStyle name="a_Book2 10" xfId="14303"/>
    <cellStyle name="a_Book2 10 2" xfId="27136"/>
    <cellStyle name="a_Book2 11" xfId="19108"/>
    <cellStyle name="a_Book2 12" xfId="19942"/>
    <cellStyle name="a_Book2 12 2" xfId="32391"/>
    <cellStyle name="a_Book2 13" xfId="19619"/>
    <cellStyle name="a_Book2 13 2" xfId="32074"/>
    <cellStyle name="a_Book2 14" xfId="18943"/>
    <cellStyle name="a_Book2 14 2" xfId="31648"/>
    <cellStyle name="a_Book2 15" xfId="20086"/>
    <cellStyle name="a_Book2 15 2" xfId="32532"/>
    <cellStyle name="a_Book2 16" xfId="20037"/>
    <cellStyle name="a_Book2 16 2" xfId="32483"/>
    <cellStyle name="a_Book2 17" xfId="22328"/>
    <cellStyle name="a_Book2 17 2" xfId="34762"/>
    <cellStyle name="a_Book2 18" xfId="19960"/>
    <cellStyle name="a_Book2 18 2" xfId="32408"/>
    <cellStyle name="a_Book2 19" xfId="24513"/>
    <cellStyle name="a_Book2 19 2" xfId="36944"/>
    <cellStyle name="a_Book2 2" xfId="13110"/>
    <cellStyle name="a_Book2 2 2" xfId="25979"/>
    <cellStyle name="a_Book2 20" xfId="19272"/>
    <cellStyle name="a_Book2 20 2" xfId="31927"/>
    <cellStyle name="a_Book2 21" xfId="21920"/>
    <cellStyle name="a_Book2 21 2" xfId="34357"/>
    <cellStyle name="a_Book2 3" xfId="13871"/>
    <cellStyle name="a_Book2 3 2" xfId="26730"/>
    <cellStyle name="a_Book2 4" xfId="16009"/>
    <cellStyle name="a_Book2 4 2" xfId="28807"/>
    <cellStyle name="a_Book2 5" xfId="16767"/>
    <cellStyle name="a_Book2 5 2" xfId="29543"/>
    <cellStyle name="a_Book2 6" xfId="12751"/>
    <cellStyle name="a_Book2 6 2" xfId="25628"/>
    <cellStyle name="a_Book2 7" xfId="12600"/>
    <cellStyle name="a_Book2 7 2" xfId="25479"/>
    <cellStyle name="a_Book2 8" xfId="14023"/>
    <cellStyle name="a_Book2 8 2" xfId="26874"/>
    <cellStyle name="a_Book2 9" xfId="13962"/>
    <cellStyle name="a_Book2 9 2" xfId="26819"/>
    <cellStyle name="a_Book2_도로수량양식" xfId="2163"/>
    <cellStyle name="a_Book2_도로수량양식 10" xfId="17953"/>
    <cellStyle name="a_Book2_도로수량양식 10 2" xfId="30665"/>
    <cellStyle name="a_Book2_도로수량양식 11" xfId="19109"/>
    <cellStyle name="a_Book2_도로수량양식 12" xfId="19941"/>
    <cellStyle name="a_Book2_도로수량양식 12 2" xfId="32390"/>
    <cellStyle name="a_Book2_도로수량양식 13" xfId="19620"/>
    <cellStyle name="a_Book2_도로수량양식 13 2" xfId="32075"/>
    <cellStyle name="a_Book2_도로수량양식 14" xfId="21753"/>
    <cellStyle name="a_Book2_도로수량양식 14 2" xfId="34190"/>
    <cellStyle name="a_Book2_도로수량양식 15" xfId="20695"/>
    <cellStyle name="a_Book2_도로수량양식 15 2" xfId="33138"/>
    <cellStyle name="a_Book2_도로수량양식 16" xfId="20887"/>
    <cellStyle name="a_Book2_도로수량양식 16 2" xfId="33324"/>
    <cellStyle name="a_Book2_도로수량양식 17" xfId="22296"/>
    <cellStyle name="a_Book2_도로수량양식 17 2" xfId="34730"/>
    <cellStyle name="a_Book2_도로수량양식 18" xfId="24102"/>
    <cellStyle name="a_Book2_도로수량양식 18 2" xfId="36533"/>
    <cellStyle name="a_Book2_도로수량양식 19" xfId="22199"/>
    <cellStyle name="a_Book2_도로수량양식 19 2" xfId="34634"/>
    <cellStyle name="a_Book2_도로수량양식 2" xfId="13111"/>
    <cellStyle name="a_Book2_도로수량양식 2 2" xfId="25980"/>
    <cellStyle name="a_Book2_도로수량양식 20" xfId="23829"/>
    <cellStyle name="a_Book2_도로수량양식 20 2" xfId="36260"/>
    <cellStyle name="a_Book2_도로수량양식 21" xfId="23624"/>
    <cellStyle name="a_Book2_도로수량양식 21 2" xfId="36055"/>
    <cellStyle name="a_Book2_도로수량양식 3" xfId="13870"/>
    <cellStyle name="a_Book2_도로수량양식 3 2" xfId="26729"/>
    <cellStyle name="a_Book2_도로수량양식 4" xfId="13789"/>
    <cellStyle name="a_Book2_도로수량양식 4 2" xfId="26649"/>
    <cellStyle name="a_Book2_도로수량양식 5" xfId="16768"/>
    <cellStyle name="a_Book2_도로수량양식 5 2" xfId="29544"/>
    <cellStyle name="a_Book2_도로수량양식 6" xfId="15238"/>
    <cellStyle name="a_Book2_도로수량양식 6 2" xfId="28056"/>
    <cellStyle name="a_Book2_도로수량양식 7" xfId="17588"/>
    <cellStyle name="a_Book2_도로수량양식 7 2" xfId="30306"/>
    <cellStyle name="a_Book2_도로수량양식 8" xfId="14012"/>
    <cellStyle name="a_Book2_도로수량양식 8 2" xfId="26863"/>
    <cellStyle name="a_Book2_도로수량양식 9" xfId="12950"/>
    <cellStyle name="a_Book2_도로수량양식 9 2" xfId="25825"/>
    <cellStyle name="a_Book2_도로수량양식_자전거도로구조물공수량" xfId="2164"/>
    <cellStyle name="a_Book2_도로수량양식_자전거도로구조물공수량 10" xfId="15730"/>
    <cellStyle name="a_Book2_도로수량양식_자전거도로구조물공수량 10 2" xfId="28530"/>
    <cellStyle name="a_Book2_도로수량양식_자전거도로구조물공수량 11" xfId="19110"/>
    <cellStyle name="a_Book2_도로수량양식_자전거도로구조물공수량 12" xfId="19940"/>
    <cellStyle name="a_Book2_도로수량양식_자전거도로구조물공수량 12 2" xfId="32389"/>
    <cellStyle name="a_Book2_도로수량양식_자전거도로구조물공수량 13" xfId="19621"/>
    <cellStyle name="a_Book2_도로수량양식_자전거도로구조물공수량 13 2" xfId="32076"/>
    <cellStyle name="a_Book2_도로수량양식_자전거도로구조물공수량 14" xfId="18944"/>
    <cellStyle name="a_Book2_도로수량양식_자전거도로구조물공수량 14 2" xfId="31649"/>
    <cellStyle name="a_Book2_도로수량양식_자전거도로구조물공수량 15" xfId="21925"/>
    <cellStyle name="a_Book2_도로수량양식_자전거도로구조물공수량 15 2" xfId="34362"/>
    <cellStyle name="a_Book2_도로수량양식_자전거도로구조물공수량 16" xfId="20649"/>
    <cellStyle name="a_Book2_도로수량양식_자전거도로구조물공수량 16 2" xfId="33093"/>
    <cellStyle name="a_Book2_도로수량양식_자전거도로구조물공수량 17" xfId="20524"/>
    <cellStyle name="a_Book2_도로수량양식_자전거도로구조물공수량 17 2" xfId="32969"/>
    <cellStyle name="a_Book2_도로수량양식_자전거도로구조물공수량 18" xfId="24198"/>
    <cellStyle name="a_Book2_도로수량양식_자전거도로구조물공수량 18 2" xfId="36629"/>
    <cellStyle name="a_Book2_도로수량양식_자전거도로구조물공수량 19" xfId="20913"/>
    <cellStyle name="a_Book2_도로수량양식_자전거도로구조물공수량 19 2" xfId="33350"/>
    <cellStyle name="a_Book2_도로수량양식_자전거도로구조물공수량 2" xfId="13112"/>
    <cellStyle name="a_Book2_도로수량양식_자전거도로구조물공수량 2 2" xfId="25981"/>
    <cellStyle name="a_Book2_도로수량양식_자전거도로구조물공수량 20" xfId="24543"/>
    <cellStyle name="a_Book2_도로수량양식_자전거도로구조물공수량 20 2" xfId="36974"/>
    <cellStyle name="a_Book2_도로수량양식_자전거도로구조물공수량 21" xfId="24333"/>
    <cellStyle name="a_Book2_도로수량양식_자전거도로구조물공수량 21 2" xfId="36764"/>
    <cellStyle name="a_Book2_도로수량양식_자전거도로구조물공수량 3" xfId="13869"/>
    <cellStyle name="a_Book2_도로수량양식_자전거도로구조물공수량 3 2" xfId="26728"/>
    <cellStyle name="a_Book2_도로수량양식_자전거도로구조물공수량 4" xfId="16008"/>
    <cellStyle name="a_Book2_도로수량양식_자전거도로구조물공수량 4 2" xfId="28806"/>
    <cellStyle name="a_Book2_도로수량양식_자전거도로구조물공수량 5" xfId="17170"/>
    <cellStyle name="a_Book2_도로수량양식_자전거도로구조물공수량 5 2" xfId="29904"/>
    <cellStyle name="a_Book2_도로수량양식_자전거도로구조물공수량 6" xfId="12750"/>
    <cellStyle name="a_Book2_도로수량양식_자전거도로구조물공수량 6 2" xfId="25627"/>
    <cellStyle name="a_Book2_도로수량양식_자전거도로구조물공수량 7" xfId="17312"/>
    <cellStyle name="a_Book2_도로수량양식_자전거도로구조물공수량 7 2" xfId="30041"/>
    <cellStyle name="a_Book2_도로수량양식_자전거도로구조물공수량 8" xfId="12959"/>
    <cellStyle name="a_Book2_도로수량양식_자전거도로구조물공수량 8 2" xfId="25834"/>
    <cellStyle name="a_Book2_도로수량양식_자전거도로구조물공수량 9" xfId="14216"/>
    <cellStyle name="a_Book2_도로수량양식_자전거도로구조물공수량 9 2" xfId="27062"/>
    <cellStyle name="a_Book2_도로수량양식_자전거도로포장수량" xfId="2165"/>
    <cellStyle name="a_Book2_도로수량양식_자전거도로포장수량 10" xfId="13838"/>
    <cellStyle name="a_Book2_도로수량양식_자전거도로포장수량 10 2" xfId="26697"/>
    <cellStyle name="a_Book2_도로수량양식_자전거도로포장수량 11" xfId="19111"/>
    <cellStyle name="a_Book2_도로수량양식_자전거도로포장수량 12" xfId="19939"/>
    <cellStyle name="a_Book2_도로수량양식_자전거도로포장수량 12 2" xfId="32388"/>
    <cellStyle name="a_Book2_도로수량양식_자전거도로포장수량 13" xfId="19622"/>
    <cellStyle name="a_Book2_도로수량양식_자전거도로포장수량 13 2" xfId="32077"/>
    <cellStyle name="a_Book2_도로수량양식_자전거도로포장수량 14" xfId="21754"/>
    <cellStyle name="a_Book2_도로수량양식_자전거도로포장수량 14 2" xfId="34191"/>
    <cellStyle name="a_Book2_도로수량양식_자전거도로포장수량 15" xfId="21926"/>
    <cellStyle name="a_Book2_도로수량양식_자전거도로포장수량 15 2" xfId="34363"/>
    <cellStyle name="a_Book2_도로수량양식_자전거도로포장수량 16" xfId="22937"/>
    <cellStyle name="a_Book2_도로수량양식_자전거도로포장수량 16 2" xfId="35371"/>
    <cellStyle name="a_Book2_도로수량양식_자전거도로포장수량 17" xfId="22310"/>
    <cellStyle name="a_Book2_도로수량양식_자전거도로포장수량 17 2" xfId="34744"/>
    <cellStyle name="a_Book2_도로수량양식_자전거도로포장수량 18" xfId="22262"/>
    <cellStyle name="a_Book2_도로수량양식_자전거도로포장수량 18 2" xfId="34697"/>
    <cellStyle name="a_Book2_도로수량양식_자전거도로포장수량 19" xfId="24512"/>
    <cellStyle name="a_Book2_도로수량양식_자전거도로포장수량 19 2" xfId="36943"/>
    <cellStyle name="a_Book2_도로수량양식_자전거도로포장수량 2" xfId="13113"/>
    <cellStyle name="a_Book2_도로수량양식_자전거도로포장수량 2 2" xfId="25982"/>
    <cellStyle name="a_Book2_도로수량양식_자전거도로포장수량 20" xfId="22209"/>
    <cellStyle name="a_Book2_도로수량양식_자전거도로포장수량 20 2" xfId="34644"/>
    <cellStyle name="a_Book2_도로수량양식_자전거도로포장수량 21" xfId="22025"/>
    <cellStyle name="a_Book2_도로수량양식_자전거도로포장수량 21 2" xfId="34462"/>
    <cellStyle name="a_Book2_도로수량양식_자전거도로포장수량 3" xfId="13868"/>
    <cellStyle name="a_Book2_도로수량양식_자전거도로포장수량 3 2" xfId="26727"/>
    <cellStyle name="a_Book2_도로수량양식_자전거도로포장수량 4" xfId="16007"/>
    <cellStyle name="a_Book2_도로수량양식_자전거도로포장수량 4 2" xfId="28805"/>
    <cellStyle name="a_Book2_도로수량양식_자전거도로포장수량 5" xfId="17169"/>
    <cellStyle name="a_Book2_도로수량양식_자전거도로포장수량 5 2" xfId="29903"/>
    <cellStyle name="a_Book2_도로수량양식_자전거도로포장수량 6" xfId="13975"/>
    <cellStyle name="a_Book2_도로수량양식_자전거도로포장수량 6 2" xfId="26832"/>
    <cellStyle name="a_Book2_도로수량양식_자전거도로포장수량 7" xfId="17586"/>
    <cellStyle name="a_Book2_도로수량양식_자전거도로포장수량 7 2" xfId="30304"/>
    <cellStyle name="a_Book2_도로수량양식_자전거도로포장수량 8" xfId="15764"/>
    <cellStyle name="a_Book2_도로수량양식_자전거도로포장수량 8 2" xfId="28563"/>
    <cellStyle name="a_Book2_도로수량양식_자전거도로포장수량 9" xfId="14265"/>
    <cellStyle name="a_Book2_도로수량양식_자전거도로포장수량 9 2" xfId="27100"/>
    <cellStyle name="a_Book2_수량산출" xfId="2166"/>
    <cellStyle name="a_Book2_수량산출 10" xfId="12627"/>
    <cellStyle name="a_Book2_수량산출 10 2" xfId="25506"/>
    <cellStyle name="a_Book2_수량산출 11" xfId="19112"/>
    <cellStyle name="a_Book2_수량산출 12" xfId="19938"/>
    <cellStyle name="a_Book2_수량산출 12 2" xfId="32387"/>
    <cellStyle name="a_Book2_수량산출 13" xfId="19623"/>
    <cellStyle name="a_Book2_수량산출 13 2" xfId="32078"/>
    <cellStyle name="a_Book2_수량산출 14" xfId="21755"/>
    <cellStyle name="a_Book2_수량산출 14 2" xfId="34192"/>
    <cellStyle name="a_Book2_수량산출 15" xfId="21927"/>
    <cellStyle name="a_Book2_수량산출 15 2" xfId="34364"/>
    <cellStyle name="a_Book2_수량산출 16" xfId="20962"/>
    <cellStyle name="a_Book2_수량산출 16 2" xfId="33399"/>
    <cellStyle name="a_Book2_수량산출 17" xfId="19900"/>
    <cellStyle name="a_Book2_수량산출 17 2" xfId="32349"/>
    <cellStyle name="a_Book2_수량산출 18" xfId="22315"/>
    <cellStyle name="a_Book2_수량산출 18 2" xfId="34749"/>
    <cellStyle name="a_Book2_수량산출 19" xfId="24367"/>
    <cellStyle name="a_Book2_수량산출 19 2" xfId="36798"/>
    <cellStyle name="a_Book2_수량산출 2" xfId="13114"/>
    <cellStyle name="a_Book2_수량산출 2 2" xfId="25983"/>
    <cellStyle name="a_Book2_수량산출 20" xfId="22085"/>
    <cellStyle name="a_Book2_수량산출 20 2" xfId="34521"/>
    <cellStyle name="a_Book2_수량산출 21" xfId="24334"/>
    <cellStyle name="a_Book2_수량산출 21 2" xfId="36765"/>
    <cellStyle name="a_Book2_수량산출 3" xfId="13867"/>
    <cellStyle name="a_Book2_수량산출 3 2" xfId="26726"/>
    <cellStyle name="a_Book2_수량산출 4" xfId="16006"/>
    <cellStyle name="a_Book2_수량산출 4 2" xfId="28804"/>
    <cellStyle name="a_Book2_수량산출 5" xfId="16769"/>
    <cellStyle name="a_Book2_수량산출 5 2" xfId="29545"/>
    <cellStyle name="a_Book2_수량산출 6" xfId="12426"/>
    <cellStyle name="a_Book2_수량산출 6 2" xfId="25306"/>
    <cellStyle name="a_Book2_수량산출 7" xfId="17275"/>
    <cellStyle name="a_Book2_수량산출 7 2" xfId="30004"/>
    <cellStyle name="a_Book2_수량산출 8" xfId="17864"/>
    <cellStyle name="a_Book2_수량산출 8 2" xfId="30580"/>
    <cellStyle name="a_Book2_수량산출 9" xfId="14716"/>
    <cellStyle name="a_Book2_수량산출 9 2" xfId="27542"/>
    <cellStyle name="a_Book2_수량산출_자전거도로구조물공수량" xfId="2167"/>
    <cellStyle name="a_Book2_수량산출_자전거도로구조물공수량 10" xfId="12641"/>
    <cellStyle name="a_Book2_수량산출_자전거도로구조물공수량 10 2" xfId="25520"/>
    <cellStyle name="a_Book2_수량산출_자전거도로구조물공수량 11" xfId="19113"/>
    <cellStyle name="a_Book2_수량산출_자전거도로구조물공수량 12" xfId="19937"/>
    <cellStyle name="a_Book2_수량산출_자전거도로구조물공수량 12 2" xfId="32386"/>
    <cellStyle name="a_Book2_수량산출_자전거도로구조물공수량 13" xfId="19624"/>
    <cellStyle name="a_Book2_수량산출_자전거도로구조물공수량 13 2" xfId="32079"/>
    <cellStyle name="a_Book2_수량산출_자전거도로구조물공수량 14" xfId="21756"/>
    <cellStyle name="a_Book2_수량산출_자전거도로구조물공수량 14 2" xfId="34193"/>
    <cellStyle name="a_Book2_수량산출_자전거도로구조물공수량 15" xfId="21928"/>
    <cellStyle name="a_Book2_수량산출_자전거도로구조물공수량 15 2" xfId="34365"/>
    <cellStyle name="a_Book2_수량산출_자전거도로구조물공수량 16" xfId="19886"/>
    <cellStyle name="a_Book2_수량산출_자전거도로구조물공수량 16 2" xfId="32336"/>
    <cellStyle name="a_Book2_수량산출_자전거도로구조물공수량 17" xfId="20758"/>
    <cellStyle name="a_Book2_수량산출_자전거도로구조물공수량 17 2" xfId="33197"/>
    <cellStyle name="a_Book2_수량산출_자전거도로구조물공수량 18" xfId="24014"/>
    <cellStyle name="a_Book2_수량산출_자전거도로구조물공수량 18 2" xfId="36445"/>
    <cellStyle name="a_Book2_수량산출_자전거도로구조물공수량 19" xfId="24511"/>
    <cellStyle name="a_Book2_수량산출_자전거도로구조물공수량 19 2" xfId="36942"/>
    <cellStyle name="a_Book2_수량산출_자전거도로구조물공수량 2" xfId="13115"/>
    <cellStyle name="a_Book2_수량산출_자전거도로구조물공수량 2 2" xfId="25984"/>
    <cellStyle name="a_Book2_수량산출_자전거도로구조물공수량 20" xfId="24544"/>
    <cellStyle name="a_Book2_수량산출_자전거도로구조물공수량 20 2" xfId="36975"/>
    <cellStyle name="a_Book2_수량산출_자전거도로구조물공수량 21" xfId="19602"/>
    <cellStyle name="a_Book2_수량산출_자전거도로구조물공수량 21 2" xfId="32057"/>
    <cellStyle name="a_Book2_수량산출_자전거도로구조물공수량 3" xfId="13866"/>
    <cellStyle name="a_Book2_수량산출_자전거도로구조물공수량 3 2" xfId="26725"/>
    <cellStyle name="a_Book2_수량산출_자전거도로구조물공수량 4" xfId="16005"/>
    <cellStyle name="a_Book2_수량산출_자전거도로구조물공수량 4 2" xfId="28803"/>
    <cellStyle name="a_Book2_수량산출_자전거도로구조물공수량 5" xfId="15228"/>
    <cellStyle name="a_Book2_수량산출_자전거도로구조물공수량 5 2" xfId="28046"/>
    <cellStyle name="a_Book2_수량산출_자전거도로구조물공수량 6" xfId="12425"/>
    <cellStyle name="a_Book2_수량산출_자전거도로구조물공수량 6 2" xfId="25305"/>
    <cellStyle name="a_Book2_수량산출_자전거도로구조물공수량 7" xfId="15813"/>
    <cellStyle name="a_Book2_수량산출_자전거도로구조물공수량 7 2" xfId="28612"/>
    <cellStyle name="a_Book2_수량산출_자전거도로구조물공수량 8" xfId="16597"/>
    <cellStyle name="a_Book2_수량산출_자전거도로구조물공수량 8 2" xfId="29373"/>
    <cellStyle name="a_Book2_수량산출_자전거도로구조물공수량 9" xfId="17254"/>
    <cellStyle name="a_Book2_수량산출_자전거도로구조물공수량 9 2" xfId="29987"/>
    <cellStyle name="a_Book2_수량산출_자전거도로포장수량" xfId="2168"/>
    <cellStyle name="a_Book2_수량산출_자전거도로포장수량 10" xfId="14100"/>
    <cellStyle name="a_Book2_수량산출_자전거도로포장수량 10 2" xfId="26948"/>
    <cellStyle name="a_Book2_수량산출_자전거도로포장수량 11" xfId="19114"/>
    <cellStyle name="a_Book2_수량산출_자전거도로포장수량 12" xfId="19936"/>
    <cellStyle name="a_Book2_수량산출_자전거도로포장수량 12 2" xfId="32385"/>
    <cellStyle name="a_Book2_수량산출_자전거도로포장수량 13" xfId="19625"/>
    <cellStyle name="a_Book2_수량산출_자전거도로포장수량 13 2" xfId="32080"/>
    <cellStyle name="a_Book2_수량산출_자전거도로포장수량 14" xfId="21757"/>
    <cellStyle name="a_Book2_수량산출_자전거도로포장수량 14 2" xfId="34194"/>
    <cellStyle name="a_Book2_수량산출_자전거도로포장수량 15" xfId="21929"/>
    <cellStyle name="a_Book2_수량산출_자전거도로포장수량 15 2" xfId="34366"/>
    <cellStyle name="a_Book2_수량산출_자전거도로포장수량 16" xfId="23257"/>
    <cellStyle name="a_Book2_수량산출_자전거도로포장수량 16 2" xfId="35689"/>
    <cellStyle name="a_Book2_수량산출_자전거도로포장수량 17" xfId="22327"/>
    <cellStyle name="a_Book2_수량산출_자전거도로포장수량 17 2" xfId="34761"/>
    <cellStyle name="a_Book2_수량산출_자전거도로포장수량 18" xfId="23680"/>
    <cellStyle name="a_Book2_수량산출_자전거도로포장수량 18 2" xfId="36111"/>
    <cellStyle name="a_Book2_수량산출_자전거도로포장수량 19" xfId="24368"/>
    <cellStyle name="a_Book2_수량산출_자전거도로포장수량 19 2" xfId="36799"/>
    <cellStyle name="a_Book2_수량산출_자전거도로포장수량 2" xfId="13116"/>
    <cellStyle name="a_Book2_수량산출_자전거도로포장수량 2 2" xfId="25985"/>
    <cellStyle name="a_Book2_수량산출_자전거도로포장수량 20" xfId="20731"/>
    <cellStyle name="a_Book2_수량산출_자전거도로포장수량 20 2" xfId="33171"/>
    <cellStyle name="a_Book2_수량산출_자전거도로포장수량 21" xfId="21944"/>
    <cellStyle name="a_Book2_수량산출_자전거도로포장수량 21 2" xfId="34381"/>
    <cellStyle name="a_Book2_수량산출_자전거도로포장수량 3" xfId="13865"/>
    <cellStyle name="a_Book2_수량산출_자전거도로포장수량 3 2" xfId="26724"/>
    <cellStyle name="a_Book2_수량산출_자전거도로포장수량 4" xfId="16004"/>
    <cellStyle name="a_Book2_수량산출_자전거도로포장수량 4 2" xfId="28802"/>
    <cellStyle name="a_Book2_수량산출_자전거도로포장수량 5" xfId="14492"/>
    <cellStyle name="a_Book2_수량산출_자전거도로포장수량 5 2" xfId="27324"/>
    <cellStyle name="a_Book2_수량산출_자전거도로포장수량 6" xfId="12424"/>
    <cellStyle name="a_Book2_수량산출_자전거도로포장수량 6 2" xfId="25304"/>
    <cellStyle name="a_Book2_수량산출_자전거도로포장수량 7" xfId="13723"/>
    <cellStyle name="a_Book2_수량산출_자전거도로포장수량 7 2" xfId="26584"/>
    <cellStyle name="a_Book2_수량산출_자전거도로포장수량 8" xfId="14781"/>
    <cellStyle name="a_Book2_수량산출_자전거도로포장수량 8 2" xfId="27606"/>
    <cellStyle name="a_Book2_수량산출_자전거도로포장수량 9" xfId="13327"/>
    <cellStyle name="a_Book2_수량산출_자전거도로포장수량 9 2" xfId="26195"/>
    <cellStyle name="a_Book2_인월중군소하천" xfId="2169"/>
    <cellStyle name="a_Book2_인월중군소하천 10" xfId="14053"/>
    <cellStyle name="a_Book2_인월중군소하천 10 2" xfId="26902"/>
    <cellStyle name="a_Book2_인월중군소하천 11" xfId="19115"/>
    <cellStyle name="a_Book2_인월중군소하천 12" xfId="19935"/>
    <cellStyle name="a_Book2_인월중군소하천 12 2" xfId="32384"/>
    <cellStyle name="a_Book2_인월중군소하천 13" xfId="19626"/>
    <cellStyle name="a_Book2_인월중군소하천 13 2" xfId="32081"/>
    <cellStyle name="a_Book2_인월중군소하천 14" xfId="21758"/>
    <cellStyle name="a_Book2_인월중군소하천 14 2" xfId="34195"/>
    <cellStyle name="a_Book2_인월중군소하천 15" xfId="20282"/>
    <cellStyle name="a_Book2_인월중군소하천 15 2" xfId="32727"/>
    <cellStyle name="a_Book2_인월중군소하천 16" xfId="23088"/>
    <cellStyle name="a_Book2_인월중군소하천 16 2" xfId="35521"/>
    <cellStyle name="a_Book2_인월중군소하천 17" xfId="19899"/>
    <cellStyle name="a_Book2_인월중군소하천 17 2" xfId="32348"/>
    <cellStyle name="a_Book2_인월중군소하천 18" xfId="23421"/>
    <cellStyle name="a_Book2_인월중군소하천 18 2" xfId="35852"/>
    <cellStyle name="a_Book2_인월중군소하천 19" xfId="18668"/>
    <cellStyle name="a_Book2_인월중군소하천 19 2" xfId="31373"/>
    <cellStyle name="a_Book2_인월중군소하천 2" xfId="13117"/>
    <cellStyle name="a_Book2_인월중군소하천 2 2" xfId="25986"/>
    <cellStyle name="a_Book2_인월중군소하천 20" xfId="21051"/>
    <cellStyle name="a_Book2_인월중군소하천 20 2" xfId="33488"/>
    <cellStyle name="a_Book2_인월중군소하천 21" xfId="20056"/>
    <cellStyle name="a_Book2_인월중군소하천 21 2" xfId="32502"/>
    <cellStyle name="a_Book2_인월중군소하천 3" xfId="13864"/>
    <cellStyle name="a_Book2_인월중군소하천 3 2" xfId="26723"/>
    <cellStyle name="a_Book2_인월중군소하천 4" xfId="16003"/>
    <cellStyle name="a_Book2_인월중군소하천 4 2" xfId="28801"/>
    <cellStyle name="a_Book2_인월중군소하천 5" xfId="15229"/>
    <cellStyle name="a_Book2_인월중군소하천 5 2" xfId="28047"/>
    <cellStyle name="a_Book2_인월중군소하천 6" xfId="12423"/>
    <cellStyle name="a_Book2_인월중군소하천 6 2" xfId="25303"/>
    <cellStyle name="a_Book2_인월중군소하천 7" xfId="15881"/>
    <cellStyle name="a_Book2_인월중군소하천 7 2" xfId="28679"/>
    <cellStyle name="a_Book2_인월중군소하천 8" xfId="17863"/>
    <cellStyle name="a_Book2_인월중군소하천 8 2" xfId="30579"/>
    <cellStyle name="a_Book2_인월중군소하천 9" xfId="15439"/>
    <cellStyle name="a_Book2_인월중군소하천 9 2" xfId="28248"/>
    <cellStyle name="a_Book2_인월중군소하천_자전거도로구조물공수량" xfId="2170"/>
    <cellStyle name="a_Book2_인월중군소하천_자전거도로구조물공수량 10" xfId="17620"/>
    <cellStyle name="a_Book2_인월중군소하천_자전거도로구조물공수량 10 2" xfId="30337"/>
    <cellStyle name="a_Book2_인월중군소하천_자전거도로구조물공수량 11" xfId="19116"/>
    <cellStyle name="a_Book2_인월중군소하천_자전거도로구조물공수량 12" xfId="19934"/>
    <cellStyle name="a_Book2_인월중군소하천_자전거도로구조물공수량 12 2" xfId="32383"/>
    <cellStyle name="a_Book2_인월중군소하천_자전거도로구조물공수량 13" xfId="19627"/>
    <cellStyle name="a_Book2_인월중군소하천_자전거도로구조물공수량 13 2" xfId="32082"/>
    <cellStyle name="a_Book2_인월중군소하천_자전거도로구조물공수량 14" xfId="23481"/>
    <cellStyle name="a_Book2_인월중군소하천_자전거도로구조물공수량 14 2" xfId="35912"/>
    <cellStyle name="a_Book2_인월중군소하천_자전거도로구조물공수량 15" xfId="21930"/>
    <cellStyle name="a_Book2_인월중군소하천_자전거도로구조물공수량 15 2" xfId="34367"/>
    <cellStyle name="a_Book2_인월중군소하천_자전거도로구조물공수량 16" xfId="22352"/>
    <cellStyle name="a_Book2_인월중군소하천_자전거도로구조물공수량 16 2" xfId="34786"/>
    <cellStyle name="a_Book2_인월중군소하천_자전거도로구조물공수량 17" xfId="22074"/>
    <cellStyle name="a_Book2_인월중군소하천_자전거도로구조물공수량 17 2" xfId="34510"/>
    <cellStyle name="a_Book2_인월중군소하천_자전거도로구조물공수량 18" xfId="23115"/>
    <cellStyle name="a_Book2_인월중군소하천_자전거도로구조물공수량 18 2" xfId="35548"/>
    <cellStyle name="a_Book2_인월중군소하천_자전거도로구조물공수량 19" xfId="24369"/>
    <cellStyle name="a_Book2_인월중군소하천_자전거도로구조물공수량 19 2" xfId="36800"/>
    <cellStyle name="a_Book2_인월중군소하천_자전거도로구조물공수량 2" xfId="13118"/>
    <cellStyle name="a_Book2_인월중군소하천_자전거도로구조물공수량 2 2" xfId="25987"/>
    <cellStyle name="a_Book2_인월중군소하천_자전거도로구조물공수량 20" xfId="20529"/>
    <cellStyle name="a_Book2_인월중군소하천_자전거도로구조물공수량 20 2" xfId="32974"/>
    <cellStyle name="a_Book2_인월중군소하천_자전거도로구조물공수량 21" xfId="20497"/>
    <cellStyle name="a_Book2_인월중군소하천_자전거도로구조물공수량 21 2" xfId="32942"/>
    <cellStyle name="a_Book2_인월중군소하천_자전거도로구조물공수량 3" xfId="13863"/>
    <cellStyle name="a_Book2_인월중군소하천_자전거도로구조물공수량 3 2" xfId="26722"/>
    <cellStyle name="a_Book2_인월중군소하천_자전거도로구조물공수량 4" xfId="13788"/>
    <cellStyle name="a_Book2_인월중군소하천_자전거도로구조물공수량 4 2" xfId="26648"/>
    <cellStyle name="a_Book2_인월중군소하천_자전거도로구조물공수량 5" xfId="17168"/>
    <cellStyle name="a_Book2_인월중군소하천_자전거도로구조물공수량 5 2" xfId="29902"/>
    <cellStyle name="a_Book2_인월중군소하천_자전거도로구조물공수량 6" xfId="12422"/>
    <cellStyle name="a_Book2_인월중군소하천_자전거도로구조물공수량 6 2" xfId="25302"/>
    <cellStyle name="a_Book2_인월중군소하천_자전거도로구조물공수량 7" xfId="17585"/>
    <cellStyle name="a_Book2_인월중군소하천_자전거도로구조물공수량 7 2" xfId="30303"/>
    <cellStyle name="a_Book2_인월중군소하천_자전거도로구조물공수량 8" xfId="17468"/>
    <cellStyle name="a_Book2_인월중군소하천_자전거도로구조물공수량 8 2" xfId="30190"/>
    <cellStyle name="a_Book2_인월중군소하천_자전거도로구조물공수량 9" xfId="15618"/>
    <cellStyle name="a_Book2_인월중군소하천_자전거도로구조물공수량 9 2" xfId="28427"/>
    <cellStyle name="a_Book2_인월중군소하천_자전거도로포장수량" xfId="2171"/>
    <cellStyle name="a_Book2_인월중군소하천_자전거도로포장수량 10" xfId="17949"/>
    <cellStyle name="a_Book2_인월중군소하천_자전거도로포장수량 10 2" xfId="30661"/>
    <cellStyle name="a_Book2_인월중군소하천_자전거도로포장수량 11" xfId="19117"/>
    <cellStyle name="a_Book2_인월중군소하천_자전거도로포장수량 12" xfId="19933"/>
    <cellStyle name="a_Book2_인월중군소하천_자전거도로포장수량 12 2" xfId="32382"/>
    <cellStyle name="a_Book2_인월중군소하천_자전거도로포장수량 13" xfId="19628"/>
    <cellStyle name="a_Book2_인월중군소하천_자전거도로포장수량 13 2" xfId="32083"/>
    <cellStyle name="a_Book2_인월중군소하천_자전거도로포장수량 14" xfId="23480"/>
    <cellStyle name="a_Book2_인월중군소하천_자전거도로포장수량 14 2" xfId="35911"/>
    <cellStyle name="a_Book2_인월중군소하천_자전거도로포장수량 15" xfId="21780"/>
    <cellStyle name="a_Book2_인월중군소하천_자전거도로포장수량 15 2" xfId="34217"/>
    <cellStyle name="a_Book2_인월중군소하천_자전거도로포장수량 16" xfId="22159"/>
    <cellStyle name="a_Book2_인월중군소하천_자전거도로포장수량 16 2" xfId="34595"/>
    <cellStyle name="a_Book2_인월중군소하천_자전거도로포장수량 17" xfId="19516"/>
    <cellStyle name="a_Book2_인월중군소하천_자전거도로포장수량 17 2" xfId="31971"/>
    <cellStyle name="a_Book2_인월중군소하천_자전거도로포장수량 18" xfId="23681"/>
    <cellStyle name="a_Book2_인월중군소하천_자전거도로포장수량 18 2" xfId="36112"/>
    <cellStyle name="a_Book2_인월중군소하천_자전거도로포장수량 19" xfId="21987"/>
    <cellStyle name="a_Book2_인월중군소하천_자전거도로포장수량 19 2" xfId="34424"/>
    <cellStyle name="a_Book2_인월중군소하천_자전거도로포장수량 2" xfId="13119"/>
    <cellStyle name="a_Book2_인월중군소하천_자전거도로포장수량 2 2" xfId="25988"/>
    <cellStyle name="a_Book2_인월중군소하천_자전거도로포장수량 20" xfId="22084"/>
    <cellStyle name="a_Book2_인월중군소하천_자전거도로포장수량 20 2" xfId="34520"/>
    <cellStyle name="a_Book2_인월중군소하천_자전거도로포장수량 21" xfId="20242"/>
    <cellStyle name="a_Book2_인월중군소하천_자전거도로포장수량 21 2" xfId="32687"/>
    <cellStyle name="a_Book2_인월중군소하천_자전거도로포장수량 3" xfId="13862"/>
    <cellStyle name="a_Book2_인월중군소하천_자전거도로포장수량 3 2" xfId="26721"/>
    <cellStyle name="a_Book2_인월중군소하천_자전거도로포장수량 4" xfId="16002"/>
    <cellStyle name="a_Book2_인월중군소하천_자전거도로포장수량 4 2" xfId="28800"/>
    <cellStyle name="a_Book2_인월중군소하천_자전거도로포장수량 5" xfId="15425"/>
    <cellStyle name="a_Book2_인월중군소하천_자전거도로포장수량 5 2" xfId="28239"/>
    <cellStyle name="a_Book2_인월중군소하천_자전거도로포장수량 6" xfId="12958"/>
    <cellStyle name="a_Book2_인월중군소하천_자전거도로포장수량 6 2" xfId="25833"/>
    <cellStyle name="a_Book2_인월중군소하천_자전거도로포장수량 7" xfId="17584"/>
    <cellStyle name="a_Book2_인월중군소하천_자전거도로포장수량 7 2" xfId="30302"/>
    <cellStyle name="a_Book2_인월중군소하천_자전거도로포장수량 8" xfId="12647"/>
    <cellStyle name="a_Book2_인월중군소하천_자전거도로포장수량 8 2" xfId="25526"/>
    <cellStyle name="a_Book2_인월중군소하천_자전거도로포장수량 9" xfId="15563"/>
    <cellStyle name="a_Book2_인월중군소하천_자전거도로포장수량 9 2" xfId="28372"/>
    <cellStyle name="a_Book2_자전거도로구조물공수량" xfId="2172"/>
    <cellStyle name="a_Book2_자전거도로구조물공수량 10" xfId="14232"/>
    <cellStyle name="a_Book2_자전거도로구조물공수량 10 2" xfId="27075"/>
    <cellStyle name="a_Book2_자전거도로구조물공수량 11" xfId="19118"/>
    <cellStyle name="a_Book2_자전거도로구조물공수량 12" xfId="19932"/>
    <cellStyle name="a_Book2_자전거도로구조물공수량 12 2" xfId="32381"/>
    <cellStyle name="a_Book2_자전거도로구조물공수량 13" xfId="19629"/>
    <cellStyle name="a_Book2_자전거도로구조물공수량 13 2" xfId="32084"/>
    <cellStyle name="a_Book2_자전거도로구조물공수량 14" xfId="18948"/>
    <cellStyle name="a_Book2_자전거도로구조물공수량 14 2" xfId="31653"/>
    <cellStyle name="a_Book2_자전거도로구조물공수량 15" xfId="21781"/>
    <cellStyle name="a_Book2_자전거도로구조물공수량 15 2" xfId="34218"/>
    <cellStyle name="a_Book2_자전거도로구조물공수량 16" xfId="20798"/>
    <cellStyle name="a_Book2_자전거도로구조물공수량 16 2" xfId="33236"/>
    <cellStyle name="a_Book2_자전거도로구조물공수량 17" xfId="22073"/>
    <cellStyle name="a_Book2_자전거도로구조물공수량 17 2" xfId="34509"/>
    <cellStyle name="a_Book2_자전거도로구조물공수량 18" xfId="18413"/>
    <cellStyle name="a_Book2_자전거도로구조물공수량 18 2" xfId="31118"/>
    <cellStyle name="a_Book2_자전거도로구조물공수량 19" xfId="24370"/>
    <cellStyle name="a_Book2_자전거도로구조물공수량 19 2" xfId="36801"/>
    <cellStyle name="a_Book2_자전거도로구조물공수량 2" xfId="13120"/>
    <cellStyle name="a_Book2_자전거도로구조물공수량 2 2" xfId="25989"/>
    <cellStyle name="a_Book2_자전거도로구조물공수량 20" xfId="18294"/>
    <cellStyle name="a_Book2_자전거도로구조물공수량 20 2" xfId="31000"/>
    <cellStyle name="a_Book2_자전거도로구조물공수량 21" xfId="18584"/>
    <cellStyle name="a_Book2_자전거도로구조물공수량 21 2" xfId="31289"/>
    <cellStyle name="a_Book2_자전거도로구조물공수량 3" xfId="13861"/>
    <cellStyle name="a_Book2_자전거도로구조물공수량 3 2" xfId="26720"/>
    <cellStyle name="a_Book2_자전거도로구조물공수량 4" xfId="16001"/>
    <cellStyle name="a_Book2_자전거도로구조물공수량 4 2" xfId="28799"/>
    <cellStyle name="a_Book2_자전거도로구조물공수량 5" xfId="14498"/>
    <cellStyle name="a_Book2_자전거도로구조물공수량 5 2" xfId="27329"/>
    <cellStyle name="a_Book2_자전거도로구조물공수량 6" xfId="12421"/>
    <cellStyle name="a_Book2_자전거도로구조물공수량 6 2" xfId="25301"/>
    <cellStyle name="a_Book2_자전거도로구조물공수량 7" xfId="12599"/>
    <cellStyle name="a_Book2_자전거도로구조물공수량 7 2" xfId="25478"/>
    <cellStyle name="a_Book2_자전거도로구조물공수량 8" xfId="17862"/>
    <cellStyle name="a_Book2_자전거도로구조물공수량 8 2" xfId="30578"/>
    <cellStyle name="a_Book2_자전거도로구조물공수량 9" xfId="17762"/>
    <cellStyle name="a_Book2_자전거도로구조물공수량 9 2" xfId="30479"/>
    <cellStyle name="a_Book2_자전거도로포장수량" xfId="2173"/>
    <cellStyle name="a_Book2_자전거도로포장수량 10" xfId="17859"/>
    <cellStyle name="a_Book2_자전거도로포장수량 10 2" xfId="30575"/>
    <cellStyle name="a_Book2_자전거도로포장수량 11" xfId="19119"/>
    <cellStyle name="a_Book2_자전거도로포장수량 12" xfId="19931"/>
    <cellStyle name="a_Book2_자전거도로포장수량 12 2" xfId="32380"/>
    <cellStyle name="a_Book2_자전거도로포장수량 13" xfId="19630"/>
    <cellStyle name="a_Book2_자전거도로포장수량 13 2" xfId="32085"/>
    <cellStyle name="a_Book2_자전거도로포장수량 14" xfId="21173"/>
    <cellStyle name="a_Book2_자전거도로포장수량 14 2" xfId="33610"/>
    <cellStyle name="a_Book2_자전거도로포장수량 15" xfId="19716"/>
    <cellStyle name="a_Book2_자전거도로포장수량 15 2" xfId="32169"/>
    <cellStyle name="a_Book2_자전거도로포장수량 16" xfId="20373"/>
    <cellStyle name="a_Book2_자전거도로포장수량 16 2" xfId="32818"/>
    <cellStyle name="a_Book2_자전거도로포장수량 17" xfId="22072"/>
    <cellStyle name="a_Book2_자전거도로포장수량 17 2" xfId="34508"/>
    <cellStyle name="a_Book2_자전거도로포장수량 18" xfId="19074"/>
    <cellStyle name="a_Book2_자전거도로포장수량 18 2" xfId="31779"/>
    <cellStyle name="a_Book2_자전거도로포장수량 19" xfId="24006"/>
    <cellStyle name="a_Book2_자전거도로포장수량 19 2" xfId="36437"/>
    <cellStyle name="a_Book2_자전거도로포장수량 2" xfId="13121"/>
    <cellStyle name="a_Book2_자전거도로포장수량 2 2" xfId="25990"/>
    <cellStyle name="a_Book2_자전거도로포장수량 20" xfId="23853"/>
    <cellStyle name="a_Book2_자전거도로포장수량 20 2" xfId="36284"/>
    <cellStyle name="a_Book2_자전거도로포장수량 21" xfId="20333"/>
    <cellStyle name="a_Book2_자전거도로포장수량 21 2" xfId="32778"/>
    <cellStyle name="a_Book2_자전거도로포장수량 3" xfId="13860"/>
    <cellStyle name="a_Book2_자전거도로포장수량 3 2" xfId="26719"/>
    <cellStyle name="a_Book2_자전거도로포장수량 4" xfId="16000"/>
    <cellStyle name="a_Book2_자전거도로포장수량 4 2" xfId="28798"/>
    <cellStyle name="a_Book2_자전거도로포장수량 5" xfId="17167"/>
    <cellStyle name="a_Book2_자전거도로포장수량 5 2" xfId="29901"/>
    <cellStyle name="a_Book2_자전거도로포장수량 6" xfId="13745"/>
    <cellStyle name="a_Book2_자전거도로포장수량 6 2" xfId="26606"/>
    <cellStyle name="a_Book2_자전거도로포장수량 7" xfId="17583"/>
    <cellStyle name="a_Book2_자전거도로포장수량 7 2" xfId="30301"/>
    <cellStyle name="a_Book2_자전거도로포장수량 8" xfId="14348"/>
    <cellStyle name="a_Book2_자전거도로포장수량 8 2" xfId="27181"/>
    <cellStyle name="a_Book2_자전거도로포장수량 9" xfId="14010"/>
    <cellStyle name="a_Book2_자전거도로포장수량 9 2" xfId="26861"/>
    <cellStyle name="a_Book4" xfId="2174"/>
    <cellStyle name="a_Book4 10" xfId="14223"/>
    <cellStyle name="a_Book4 10 2" xfId="27069"/>
    <cellStyle name="a_Book4 11" xfId="19120"/>
    <cellStyle name="a_Book4 12" xfId="19930"/>
    <cellStyle name="a_Book4 12 2" xfId="32379"/>
    <cellStyle name="a_Book4 13" xfId="19631"/>
    <cellStyle name="a_Book4 13 2" xfId="32086"/>
    <cellStyle name="a_Book4 14" xfId="19699"/>
    <cellStyle name="a_Book4 14 2" xfId="32153"/>
    <cellStyle name="a_Book4 15" xfId="19571"/>
    <cellStyle name="a_Book4 15 2" xfId="32026"/>
    <cellStyle name="a_Book4 16" xfId="20124"/>
    <cellStyle name="a_Book4 16 2" xfId="32570"/>
    <cellStyle name="a_Book4 17" xfId="22071"/>
    <cellStyle name="a_Book4 17 2" xfId="34507"/>
    <cellStyle name="a_Book4 18" xfId="18488"/>
    <cellStyle name="a_Book4 18 2" xfId="31193"/>
    <cellStyle name="a_Book4 19" xfId="19273"/>
    <cellStyle name="a_Book4 19 2" xfId="31928"/>
    <cellStyle name="a_Book4 2" xfId="13122"/>
    <cellStyle name="a_Book4 2 2" xfId="25991"/>
    <cellStyle name="a_Book4 20" xfId="23396"/>
    <cellStyle name="a_Book4 20 2" xfId="35828"/>
    <cellStyle name="a_Book4 21" xfId="24338"/>
    <cellStyle name="a_Book4 21 2" xfId="36769"/>
    <cellStyle name="a_Book4 3" xfId="13859"/>
    <cellStyle name="a_Book4 3 2" xfId="26718"/>
    <cellStyle name="a_Book4 4" xfId="15999"/>
    <cellStyle name="a_Book4 4 2" xfId="28797"/>
    <cellStyle name="a_Book4 5" xfId="17166"/>
    <cellStyle name="a_Book4 5 2" xfId="29900"/>
    <cellStyle name="a_Book4 6" xfId="13744"/>
    <cellStyle name="a_Book4 6 2" xfId="26605"/>
    <cellStyle name="a_Book4 7" xfId="17582"/>
    <cellStyle name="a_Book4 7 2" xfId="30300"/>
    <cellStyle name="a_Book4 8" xfId="14782"/>
    <cellStyle name="a_Book4 8 2" xfId="27607"/>
    <cellStyle name="a_Book4 9" xfId="17761"/>
    <cellStyle name="a_Book4 9 2" xfId="30478"/>
    <cellStyle name="a_Book4_도로수량양식" xfId="2175"/>
    <cellStyle name="a_Book4_도로수량양식 10" xfId="13964"/>
    <cellStyle name="a_Book4_도로수량양식 10 2" xfId="26821"/>
    <cellStyle name="a_Book4_도로수량양식 11" xfId="19121"/>
    <cellStyle name="a_Book4_도로수량양식 12" xfId="19929"/>
    <cellStyle name="a_Book4_도로수량양식 12 2" xfId="32378"/>
    <cellStyle name="a_Book4_도로수량양식 13" xfId="19632"/>
    <cellStyle name="a_Book4_도로수량양식 13 2" xfId="32087"/>
    <cellStyle name="a_Book4_도로수량양식 14" xfId="19700"/>
    <cellStyle name="a_Book4_도로수량양식 14 2" xfId="32154"/>
    <cellStyle name="a_Book4_도로수량양식 15" xfId="21782"/>
    <cellStyle name="a_Book4_도로수량양식 15 2" xfId="34219"/>
    <cellStyle name="a_Book4_도로수량양식 16" xfId="20372"/>
    <cellStyle name="a_Book4_도로수량양식 16 2" xfId="32817"/>
    <cellStyle name="a_Book4_도로수량양식 17" xfId="24092"/>
    <cellStyle name="a_Book4_도로수량양식 17 2" xfId="36523"/>
    <cellStyle name="a_Book4_도로수량양식 18" xfId="22636"/>
    <cellStyle name="a_Book4_도로수량양식 18 2" xfId="35070"/>
    <cellStyle name="a_Book4_도로수량양식 19" xfId="24507"/>
    <cellStyle name="a_Book4_도로수량양식 19 2" xfId="36938"/>
    <cellStyle name="a_Book4_도로수량양식 2" xfId="13123"/>
    <cellStyle name="a_Book4_도로수량양식 2 2" xfId="25992"/>
    <cellStyle name="a_Book4_도로수량양식 20" xfId="18669"/>
    <cellStyle name="a_Book4_도로수량양식 20 2" xfId="31374"/>
    <cellStyle name="a_Book4_도로수량양식 21" xfId="18522"/>
    <cellStyle name="a_Book4_도로수량양식 21 2" xfId="31227"/>
    <cellStyle name="a_Book4_도로수량양식 3" xfId="13858"/>
    <cellStyle name="a_Book4_도로수량양식 3 2" xfId="26717"/>
    <cellStyle name="a_Book4_도로수량양식 4" xfId="15998"/>
    <cellStyle name="a_Book4_도로수량양식 4 2" xfId="28796"/>
    <cellStyle name="a_Book4_도로수량양식 5" xfId="17165"/>
    <cellStyle name="a_Book4_도로수량양식 5 2" xfId="29899"/>
    <cellStyle name="a_Book4_도로수량양식 6" xfId="13743"/>
    <cellStyle name="a_Book4_도로수량양식 6 2" xfId="26604"/>
    <cellStyle name="a_Book4_도로수량양식 7" xfId="17581"/>
    <cellStyle name="a_Book4_도로수량양식 7 2" xfId="30299"/>
    <cellStyle name="a_Book4_도로수량양식 8" xfId="16711"/>
    <cellStyle name="a_Book4_도로수량양식 8 2" xfId="29487"/>
    <cellStyle name="a_Book4_도로수량양식 9" xfId="17116"/>
    <cellStyle name="a_Book4_도로수량양식 9 2" xfId="29850"/>
    <cellStyle name="a_Book4_도로수량양식_자전거도로구조물공수량" xfId="2176"/>
    <cellStyle name="a_Book4_도로수량양식_자전거도로구조물공수량 10" xfId="13775"/>
    <cellStyle name="a_Book4_도로수량양식_자전거도로구조물공수량 10 2" xfId="26636"/>
    <cellStyle name="a_Book4_도로수량양식_자전거도로구조물공수량 11" xfId="19122"/>
    <cellStyle name="a_Book4_도로수량양식_자전거도로구조물공수량 12" xfId="19928"/>
    <cellStyle name="a_Book4_도로수량양식_자전거도로구조물공수량 12 2" xfId="32377"/>
    <cellStyle name="a_Book4_도로수량양식_자전거도로구조물공수량 13" xfId="19633"/>
    <cellStyle name="a_Book4_도로수량양식_자전거도로구조물공수량 13 2" xfId="32088"/>
    <cellStyle name="a_Book4_도로수량양식_자전거도로구조물공수량 14" xfId="21174"/>
    <cellStyle name="a_Book4_도로수량양식_자전거도로구조물공수량 14 2" xfId="33611"/>
    <cellStyle name="a_Book4_도로수량양식_자전거도로구조물공수량 15" xfId="20908"/>
    <cellStyle name="a_Book4_도로수량양식_자전거도로구조물공수량 15 2" xfId="33345"/>
    <cellStyle name="a_Book4_도로수량양식_자전거도로구조물공수량 16" xfId="20728"/>
    <cellStyle name="a_Book4_도로수량양식_자전거도로구조물공수량 16 2" xfId="33168"/>
    <cellStyle name="a_Book4_도로수량양식_자전거도로구조물공수량 17" xfId="24093"/>
    <cellStyle name="a_Book4_도로수량양식_자전거도로구조물공수량 17 2" xfId="36524"/>
    <cellStyle name="a_Book4_도로수량양식_자전거도로구조물공수량 18" xfId="21747"/>
    <cellStyle name="a_Book4_도로수량양식_자전거도로구조물공수량 18 2" xfId="34184"/>
    <cellStyle name="a_Book4_도로수량양식_자전거도로구조물공수량 19" xfId="23994"/>
    <cellStyle name="a_Book4_도로수량양식_자전거도로구조물공수량 19 2" xfId="36425"/>
    <cellStyle name="a_Book4_도로수량양식_자전거도로구조물공수량 2" xfId="13124"/>
    <cellStyle name="a_Book4_도로수량양식_자전거도로구조물공수량 2 2" xfId="25993"/>
    <cellStyle name="a_Book4_도로수량양식_자전거도로구조물공수량 20" xfId="18682"/>
    <cellStyle name="a_Book4_도로수량양식_자전거도로구조물공수량 20 2" xfId="31387"/>
    <cellStyle name="a_Book4_도로수량양식_자전거도로구조물공수량 21" xfId="20865"/>
    <cellStyle name="a_Book4_도로수량양식_자전거도로구조물공수량 21 2" xfId="33302"/>
    <cellStyle name="a_Book4_도로수량양식_자전거도로구조물공수량 3" xfId="13857"/>
    <cellStyle name="a_Book4_도로수량양식_자전거도로구조물공수량 3 2" xfId="26716"/>
    <cellStyle name="a_Book4_도로수량양식_자전거도로구조물공수량 4" xfId="15997"/>
    <cellStyle name="a_Book4_도로수량양식_자전거도로구조물공수량 4 2" xfId="28795"/>
    <cellStyle name="a_Book4_도로수량양식_자전거도로구조물공수량 5" xfId="17164"/>
    <cellStyle name="a_Book4_도로수량양식_자전거도로구조물공수량 5 2" xfId="29898"/>
    <cellStyle name="a_Book4_도로수량양식_자전거도로구조물공수량 6" xfId="13974"/>
    <cellStyle name="a_Book4_도로수량양식_자전거도로구조물공수량 6 2" xfId="26831"/>
    <cellStyle name="a_Book4_도로수량양식_자전거도로구조물공수량 7" xfId="17580"/>
    <cellStyle name="a_Book4_도로수량양식_자전거도로구조물공수량 7 2" xfId="30298"/>
    <cellStyle name="a_Book4_도로수량양식_자전거도로구조물공수량 8" xfId="17469"/>
    <cellStyle name="a_Book4_도로수량양식_자전거도로구조물공수량 8 2" xfId="30191"/>
    <cellStyle name="a_Book4_도로수량양식_자전거도로구조물공수량 9" xfId="14507"/>
    <cellStyle name="a_Book4_도로수량양식_자전거도로구조물공수량 9 2" xfId="27335"/>
    <cellStyle name="a_Book4_도로수량양식_자전거도로포장수량" xfId="2177"/>
    <cellStyle name="a_Book4_도로수량양식_자전거도로포장수량 10" xfId="17836"/>
    <cellStyle name="a_Book4_도로수량양식_자전거도로포장수량 10 2" xfId="30552"/>
    <cellStyle name="a_Book4_도로수량양식_자전거도로포장수량 11" xfId="19123"/>
    <cellStyle name="a_Book4_도로수량양식_자전거도로포장수량 12" xfId="19927"/>
    <cellStyle name="a_Book4_도로수량양식_자전거도로포장수량 12 2" xfId="32376"/>
    <cellStyle name="a_Book4_도로수량양식_자전거도로포장수량 13" xfId="19634"/>
    <cellStyle name="a_Book4_도로수량양식_자전거도로포장수량 13 2" xfId="32089"/>
    <cellStyle name="a_Book4_도로수량양식_자전거도로포장수량 14" xfId="18742"/>
    <cellStyle name="a_Book4_도로수량양식_자전거도로포장수량 14 2" xfId="31447"/>
    <cellStyle name="a_Book4_도로수량양식_자전거도로포장수량 15" xfId="20696"/>
    <cellStyle name="a_Book4_도로수량양식_자전거도로포장수량 15 2" xfId="33139"/>
    <cellStyle name="a_Book4_도로수량양식_자전거도로포장수량 16" xfId="19270"/>
    <cellStyle name="a_Book4_도로수량양식_자전거도로포장수량 16 2" xfId="31925"/>
    <cellStyle name="a_Book4_도로수량양식_자전거도로포장수량 17" xfId="22281"/>
    <cellStyle name="a_Book4_도로수량양식_자전거도로포장수량 17 2" xfId="34715"/>
    <cellStyle name="a_Book4_도로수량양식_자전거도로포장수량 18" xfId="20938"/>
    <cellStyle name="a_Book4_도로수량양식_자전거도로포장수량 18 2" xfId="33375"/>
    <cellStyle name="a_Book4_도로수량양식_자전거도로포장수량 19" xfId="20399"/>
    <cellStyle name="a_Book4_도로수량양식_자전거도로포장수량 19 2" xfId="32844"/>
    <cellStyle name="a_Book4_도로수량양식_자전거도로포장수량 2" xfId="13125"/>
    <cellStyle name="a_Book4_도로수량양식_자전거도로포장수량 2 2" xfId="25994"/>
    <cellStyle name="a_Book4_도로수량양식_자전거도로포장수량 20" xfId="23266"/>
    <cellStyle name="a_Book4_도로수량양식_자전거도로포장수량 20 2" xfId="35698"/>
    <cellStyle name="a_Book4_도로수량양식_자전거도로포장수량 21" xfId="21735"/>
    <cellStyle name="a_Book4_도로수량양식_자전거도로포장수량 21 2" xfId="34172"/>
    <cellStyle name="a_Book4_도로수량양식_자전거도로포장수량 3" xfId="13856"/>
    <cellStyle name="a_Book4_도로수량양식_자전거도로포장수량 3 2" xfId="26715"/>
    <cellStyle name="a_Book4_도로수량양식_자전거도로포장수량 4" xfId="13787"/>
    <cellStyle name="a_Book4_도로수량양식_자전거도로포장수량 4 2" xfId="26647"/>
    <cellStyle name="a_Book4_도로수량양식_자전거도로포장수량 5" xfId="17163"/>
    <cellStyle name="a_Book4_도로수량양식_자전거도로포장수량 5 2" xfId="29897"/>
    <cellStyle name="a_Book4_도로수량양식_자전거도로포장수량 6" xfId="13742"/>
    <cellStyle name="a_Book4_도로수량양식_자전거도로포장수량 6 2" xfId="26603"/>
    <cellStyle name="a_Book4_도로수량양식_자전거도로포장수량 7" xfId="17579"/>
    <cellStyle name="a_Book4_도로수량양식_자전거도로포장수량 7 2" xfId="30297"/>
    <cellStyle name="a_Book4_도로수량양식_자전거도로포장수량 8" xfId="17001"/>
    <cellStyle name="a_Book4_도로수량양식_자전거도로포장수량 8 2" xfId="29776"/>
    <cellStyle name="a_Book4_도로수량양식_자전거도로포장수량 9" xfId="14576"/>
    <cellStyle name="a_Book4_도로수량양식_자전거도로포장수량 9 2" xfId="27402"/>
    <cellStyle name="a_Book4_수량산출" xfId="2178"/>
    <cellStyle name="a_Book4_수량산출 10" xfId="15888"/>
    <cellStyle name="a_Book4_수량산출 10 2" xfId="28686"/>
    <cellStyle name="a_Book4_수량산출 11" xfId="19124"/>
    <cellStyle name="a_Book4_수량산출 12" xfId="19926"/>
    <cellStyle name="a_Book4_수량산출 12 2" xfId="32375"/>
    <cellStyle name="a_Book4_수량산출 13" xfId="19635"/>
    <cellStyle name="a_Book4_수량산출 13 2" xfId="32090"/>
    <cellStyle name="a_Book4_수량산출 14" xfId="19701"/>
    <cellStyle name="a_Book4_수량산출 14 2" xfId="32155"/>
    <cellStyle name="a_Book4_수량산출 15" xfId="19717"/>
    <cellStyle name="a_Book4_수량산출 15 2" xfId="32170"/>
    <cellStyle name="a_Book4_수량산출 16" xfId="23846"/>
    <cellStyle name="a_Book4_수량산출 16 2" xfId="36277"/>
    <cellStyle name="a_Book4_수량산출 17" xfId="23207"/>
    <cellStyle name="a_Book4_수량산출 17 2" xfId="35640"/>
    <cellStyle name="a_Book4_수량산출 18" xfId="22069"/>
    <cellStyle name="a_Book4_수량산출 18 2" xfId="34506"/>
    <cellStyle name="a_Book4_수량산출 19" xfId="21938"/>
    <cellStyle name="a_Book4_수량산출 19 2" xfId="34375"/>
    <cellStyle name="a_Book4_수량산출 2" xfId="13126"/>
    <cellStyle name="a_Book4_수량산출 2 2" xfId="25995"/>
    <cellStyle name="a_Book4_수량산출 20" xfId="22566"/>
    <cellStyle name="a_Book4_수량산출 20 2" xfId="35000"/>
    <cellStyle name="a_Book4_수량산출 21" xfId="22407"/>
    <cellStyle name="a_Book4_수량산출 21 2" xfId="34841"/>
    <cellStyle name="a_Book4_수량산출 3" xfId="13855"/>
    <cellStyle name="a_Book4_수량산출 3 2" xfId="26714"/>
    <cellStyle name="a_Book4_수량산출 4" xfId="13786"/>
    <cellStyle name="a_Book4_수량산출 4 2" xfId="26646"/>
    <cellStyle name="a_Book4_수량산출 5" xfId="12953"/>
    <cellStyle name="a_Book4_수량산출 5 2" xfId="25828"/>
    <cellStyle name="a_Book4_수량산출 6" xfId="12608"/>
    <cellStyle name="a_Book4_수량산출 6 2" xfId="25487"/>
    <cellStyle name="a_Book4_수량산출 7" xfId="17578"/>
    <cellStyle name="a_Book4_수량산출 7 2" xfId="30296"/>
    <cellStyle name="a_Book4_수량산출 8" xfId="16052"/>
    <cellStyle name="a_Book4_수량산출 8 2" xfId="28835"/>
    <cellStyle name="a_Book4_수량산출 9" xfId="17536"/>
    <cellStyle name="a_Book4_수량산출 9 2" xfId="30258"/>
    <cellStyle name="a_Book4_수량산출_자전거도로구조물공수량" xfId="2179"/>
    <cellStyle name="a_Book4_수량산출_자전거도로구조물공수량 10" xfId="13688"/>
    <cellStyle name="a_Book4_수량산출_자전거도로구조물공수량 10 2" xfId="26552"/>
    <cellStyle name="a_Book4_수량산출_자전거도로구조물공수량 11" xfId="19125"/>
    <cellStyle name="a_Book4_수량산출_자전거도로구조물공수량 12" xfId="19925"/>
    <cellStyle name="a_Book4_수량산출_자전거도로구조물공수량 12 2" xfId="32374"/>
    <cellStyle name="a_Book4_수량산출_자전거도로구조물공수량 13" xfId="19636"/>
    <cellStyle name="a_Book4_수량산출_자전거도로구조물공수량 13 2" xfId="32091"/>
    <cellStyle name="a_Book4_수량산출_자전거도로구조물공수량 14" xfId="19702"/>
    <cellStyle name="a_Book4_수량산출_자전거도로구조물공수량 14 2" xfId="32156"/>
    <cellStyle name="a_Book4_수량산출_자전거도로구조물공수량 15" xfId="20909"/>
    <cellStyle name="a_Book4_수량산출_자전거도로구조물공수량 15 2" xfId="33346"/>
    <cellStyle name="a_Book4_수량산출_자전거도로구조물공수량 16" xfId="19507"/>
    <cellStyle name="a_Book4_수량산출_자전거도로구조물공수량 16 2" xfId="31962"/>
    <cellStyle name="a_Book4_수량산출_자전거도로구조물공수량 17" xfId="23679"/>
    <cellStyle name="a_Book4_수량산출_자전거도로구조물공수량 17 2" xfId="36110"/>
    <cellStyle name="a_Book4_수량산출_자전거도로구조물공수량 18" xfId="22068"/>
    <cellStyle name="a_Book4_수량산출_자전거도로구조물공수량 18 2" xfId="34505"/>
    <cellStyle name="a_Book4_수량산출_자전거도로구조물공수량 19" xfId="20564"/>
    <cellStyle name="a_Book4_수량산출_자전거도로구조물공수량 19 2" xfId="33009"/>
    <cellStyle name="a_Book4_수량산출_자전거도로구조물공수량 2" xfId="13127"/>
    <cellStyle name="a_Book4_수량산출_자전거도로구조물공수량 2 2" xfId="25996"/>
    <cellStyle name="a_Book4_수량산출_자전거도로구조물공수량 20" xfId="22082"/>
    <cellStyle name="a_Book4_수량산출_자전거도로구조물공수량 20 2" xfId="34518"/>
    <cellStyle name="a_Book4_수량산출_자전거도로구조물공수량 21" xfId="19595"/>
    <cellStyle name="a_Book4_수량산출_자전거도로구조물공수량 21 2" xfId="32050"/>
    <cellStyle name="a_Book4_수량산출_자전거도로구조물공수량 3" xfId="13854"/>
    <cellStyle name="a_Book4_수량산출_자전거도로구조물공수량 3 2" xfId="26713"/>
    <cellStyle name="a_Book4_수량산출_자전거도로구조물공수량 4" xfId="16794"/>
    <cellStyle name="a_Book4_수량산출_자전거도로구조물공수량 4 2" xfId="29569"/>
    <cellStyle name="a_Book4_수량산출_자전거도로구조물공수량 5" xfId="17162"/>
    <cellStyle name="a_Book4_수량산출_자전거도로구조물공수량 5 2" xfId="29896"/>
    <cellStyle name="a_Book4_수량산출_자전거도로구조물공수량 6" xfId="13973"/>
    <cellStyle name="a_Book4_수량산출_자전거도로구조물공수량 6 2" xfId="26830"/>
    <cellStyle name="a_Book4_수량산출_자전거도로구조물공수량 7" xfId="16025"/>
    <cellStyle name="a_Book4_수량산출_자전거도로구조물공수량 7 2" xfId="28823"/>
    <cellStyle name="a_Book4_수량산출_자전거도로구조물공수량 8" xfId="12712"/>
    <cellStyle name="a_Book4_수량산출_자전거도로구조물공수량 8 2" xfId="25590"/>
    <cellStyle name="a_Book4_수량산출_자전거도로구조물공수량 9" xfId="17907"/>
    <cellStyle name="a_Book4_수량산출_자전거도로구조물공수량 9 2" xfId="30621"/>
    <cellStyle name="a_Book4_수량산출_자전거도로포장수량" xfId="2180"/>
    <cellStyle name="a_Book4_수량산출_자전거도로포장수량 10" xfId="17434"/>
    <cellStyle name="a_Book4_수량산출_자전거도로포장수량 10 2" xfId="30156"/>
    <cellStyle name="a_Book4_수량산출_자전거도로포장수량 11" xfId="19126"/>
    <cellStyle name="a_Book4_수량산출_자전거도로포장수량 12" xfId="19924"/>
    <cellStyle name="a_Book4_수량산출_자전거도로포장수량 12 2" xfId="32373"/>
    <cellStyle name="a_Book4_수량산출_자전거도로포장수량 13" xfId="19637"/>
    <cellStyle name="a_Book4_수량산출_자전거도로포장수량 13 2" xfId="32092"/>
    <cellStyle name="a_Book4_수량산출_자전거도로포장수량 14" xfId="18945"/>
    <cellStyle name="a_Book4_수량산출_자전거도로포장수량 14 2" xfId="31650"/>
    <cellStyle name="a_Book4_수량산출_자전거도로포장수량 15" xfId="19572"/>
    <cellStyle name="a_Book4_수량산출_자전거도로포장수량 15 2" xfId="32027"/>
    <cellStyle name="a_Book4_수량산출_자전거도로포장수량 16" xfId="20123"/>
    <cellStyle name="a_Book4_수량산출_자전거도로포장수량 16 2" xfId="32569"/>
    <cellStyle name="a_Book4_수량산출_자전거도로포장수량 17" xfId="23055"/>
    <cellStyle name="a_Book4_수량산출_자전거도로포장수량 17 2" xfId="35488"/>
    <cellStyle name="a_Book4_수량산출_자전거도로포장수량 18" xfId="20920"/>
    <cellStyle name="a_Book4_수량산출_자전거도로포장수량 18 2" xfId="33357"/>
    <cellStyle name="a_Book4_수량산출_자전거도로포장수량 19" xfId="21816"/>
    <cellStyle name="a_Book4_수량산출_자전거도로포장수량 19 2" xfId="34253"/>
    <cellStyle name="a_Book4_수량산출_자전거도로포장수량 2" xfId="13128"/>
    <cellStyle name="a_Book4_수량산출_자전거도로포장수량 2 2" xfId="25997"/>
    <cellStyle name="a_Book4_수량산출_자전거도로포장수량 20" xfId="24572"/>
    <cellStyle name="a_Book4_수량산출_자전거도로포장수량 20 2" xfId="37003"/>
    <cellStyle name="a_Book4_수량산출_자전거도로포장수량 21" xfId="21988"/>
    <cellStyle name="a_Book4_수량산출_자전거도로포장수량 21 2" xfId="34425"/>
    <cellStyle name="a_Book4_수량산출_자전거도로포장수량 3" xfId="13853"/>
    <cellStyle name="a_Book4_수량산출_자전거도로포장수량 3 2" xfId="26712"/>
    <cellStyle name="a_Book4_수량산출_자전거도로포장수량 4" xfId="15996"/>
    <cellStyle name="a_Book4_수량산출_자전거도로포장수량 4 2" xfId="28794"/>
    <cellStyle name="a_Book4_수량산출_자전거도로포장수량 5" xfId="17161"/>
    <cellStyle name="a_Book4_수량산출_자전거도로포장수량 5 2" xfId="29895"/>
    <cellStyle name="a_Book4_수량산출_자전거도로포장수량 6" xfId="13741"/>
    <cellStyle name="a_Book4_수량산출_자전거도로포장수량 6 2" xfId="26602"/>
    <cellStyle name="a_Book4_수량산출_자전거도로포장수량 7" xfId="17577"/>
    <cellStyle name="a_Book4_수량산출_자전거도로포장수량 7 2" xfId="30295"/>
    <cellStyle name="a_Book4_수량산출_자전거도로포장수량 8" xfId="14783"/>
    <cellStyle name="a_Book4_수량산출_자전거도로포장수량 8 2" xfId="27608"/>
    <cellStyle name="a_Book4_수량산출_자전거도로포장수량 9" xfId="14276"/>
    <cellStyle name="a_Book4_수량산출_자전거도로포장수량 9 2" xfId="27110"/>
    <cellStyle name="a_Book4_인월중군소하천" xfId="2181"/>
    <cellStyle name="a_Book4_인월중군소하천 10" xfId="17816"/>
    <cellStyle name="a_Book4_인월중군소하천 10 2" xfId="30532"/>
    <cellStyle name="a_Book4_인월중군소하천 11" xfId="19127"/>
    <cellStyle name="a_Book4_인월중군소하천 12" xfId="19923"/>
    <cellStyle name="a_Book4_인월중군소하천 12 2" xfId="32372"/>
    <cellStyle name="a_Book4_인월중군소하천 13" xfId="19638"/>
    <cellStyle name="a_Book4_인월중군소하천 13 2" xfId="32093"/>
    <cellStyle name="a_Book4_인월중군소하천 14" xfId="18740"/>
    <cellStyle name="a_Book4_인월중군소하천 14 2" xfId="31445"/>
    <cellStyle name="a_Book4_인월중군소하천 15" xfId="23470"/>
    <cellStyle name="a_Book4_인월중군소하천 15 2" xfId="35901"/>
    <cellStyle name="a_Book4_인월중군소하천 16" xfId="19269"/>
    <cellStyle name="a_Book4_인월중군소하천 16 2" xfId="31924"/>
    <cellStyle name="a_Book4_인월중군소하천 17" xfId="20339"/>
    <cellStyle name="a_Book4_인월중군소하천 17 2" xfId="32784"/>
    <cellStyle name="a_Book4_인월중군소하천 18" xfId="22067"/>
    <cellStyle name="a_Book4_인월중군소하천 18 2" xfId="34504"/>
    <cellStyle name="a_Book4_인월중군소하천 19" xfId="22326"/>
    <cellStyle name="a_Book4_인월중군소하천 19 2" xfId="34760"/>
    <cellStyle name="a_Book4_인월중군소하천 2" xfId="13129"/>
    <cellStyle name="a_Book4_인월중군소하천 2 2" xfId="25998"/>
    <cellStyle name="a_Book4_인월중군소하천 20" xfId="20834"/>
    <cellStyle name="a_Book4_인월중군소하천 20 2" xfId="33271"/>
    <cellStyle name="a_Book4_인월중군소하천 21" xfId="20919"/>
    <cellStyle name="a_Book4_인월중군소하천 21 2" xfId="33356"/>
    <cellStyle name="a_Book4_인월중군소하천 3" xfId="16931"/>
    <cellStyle name="a_Book4_인월중군소하천 3 2" xfId="29706"/>
    <cellStyle name="a_Book4_인월중군소하천 4" xfId="13785"/>
    <cellStyle name="a_Book4_인월중군소하천 4 2" xfId="26645"/>
    <cellStyle name="a_Book4_인월중군소하천 5" xfId="17160"/>
    <cellStyle name="a_Book4_인월중군소하천 5 2" xfId="29894"/>
    <cellStyle name="a_Book4_인월중군소하천 6" xfId="12607"/>
    <cellStyle name="a_Book4_인월중군소하천 6 2" xfId="25486"/>
    <cellStyle name="a_Book4_인월중군소하천 7" xfId="17576"/>
    <cellStyle name="a_Book4_인월중군소하천 7 2" xfId="30294"/>
    <cellStyle name="a_Book4_인월중군소하천 8" xfId="14067"/>
    <cellStyle name="a_Book4_인월중군소하천 8 2" xfId="26915"/>
    <cellStyle name="a_Book4_인월중군소하천 9" xfId="13325"/>
    <cellStyle name="a_Book4_인월중군소하천 9 2" xfId="26193"/>
    <cellStyle name="a_Book4_인월중군소하천_자전거도로구조물공수량" xfId="2182"/>
    <cellStyle name="a_Book4_인월중군소하천_자전거도로구조물공수량 10" xfId="14015"/>
    <cellStyle name="a_Book4_인월중군소하천_자전거도로구조물공수량 10 2" xfId="26866"/>
    <cellStyle name="a_Book4_인월중군소하천_자전거도로구조물공수량 11" xfId="19128"/>
    <cellStyle name="a_Book4_인월중군소하천_자전거도로구조물공수량 12" xfId="19922"/>
    <cellStyle name="a_Book4_인월중군소하천_자전거도로구조물공수량 12 2" xfId="32371"/>
    <cellStyle name="a_Book4_인월중군소하천_자전거도로구조물공수량 13" xfId="19639"/>
    <cellStyle name="a_Book4_인월중군소하천_자전거도로구조물공수량 13 2" xfId="32094"/>
    <cellStyle name="a_Book4_인월중군소하천_자전거도로구조물공수량 14" xfId="19703"/>
    <cellStyle name="a_Book4_인월중군소하천_자전거도로구조물공수량 14 2" xfId="32157"/>
    <cellStyle name="a_Book4_인월중군소하천_자전거도로구조물공수량 15" xfId="20910"/>
    <cellStyle name="a_Book4_인월중군소하천_자전거도로구조물공수량 15 2" xfId="33347"/>
    <cellStyle name="a_Book4_인월중군소하천_자전거도로구조물공수량 16" xfId="20727"/>
    <cellStyle name="a_Book4_인월중군소하천_자전거도로구조물공수량 16 2" xfId="33167"/>
    <cellStyle name="a_Book4_인월중군소하천_자전거도로구조물공수량 17" xfId="18397"/>
    <cellStyle name="a_Book4_인월중군소하천_자전거도로구조물공수량 17 2" xfId="31102"/>
    <cellStyle name="a_Book4_인월중군소하천_자전거도로구조물공수량 18" xfId="21939"/>
    <cellStyle name="a_Book4_인월중군소하천_자전거도로구조물공수량 18 2" xfId="34376"/>
    <cellStyle name="a_Book4_인월중군소하천_자전거도로구조물공수량 19" xfId="23684"/>
    <cellStyle name="a_Book4_인월중군소하천_자전거도로구조물공수량 19 2" xfId="36115"/>
    <cellStyle name="a_Book4_인월중군소하천_자전거도로구조물공수량 2" xfId="13130"/>
    <cellStyle name="a_Book4_인월중군소하천_자전거도로구조물공수량 2 2" xfId="25999"/>
    <cellStyle name="a_Book4_인월중군소하천_자전거도로구조물공수량 20" xfId="22343"/>
    <cellStyle name="a_Book4_인월중군소하천_자전거도로구조물공수량 20 2" xfId="34777"/>
    <cellStyle name="a_Book4_인월중군소하천_자전거도로구조물공수량 21" xfId="24335"/>
    <cellStyle name="a_Book4_인월중군소하천_자전거도로구조물공수량 21 2" xfId="36766"/>
    <cellStyle name="a_Book4_인월중군소하천_자전거도로구조물공수량 3" xfId="16930"/>
    <cellStyle name="a_Book4_인월중군소하천_자전거도로구조물공수량 3 2" xfId="29705"/>
    <cellStyle name="a_Book4_인월중군소하천_자전거도로구조물공수량 4" xfId="16793"/>
    <cellStyle name="a_Book4_인월중군소하천_자전거도로구조물공수량 4 2" xfId="29568"/>
    <cellStyle name="a_Book4_인월중군소하천_자전거도로구조물공수량 5" xfId="17159"/>
    <cellStyle name="a_Book4_인월중군소하천_자전거도로구조물공수량 5 2" xfId="29893"/>
    <cellStyle name="a_Book4_인월중군소하천_자전거도로구조물공수량 6" xfId="13972"/>
    <cellStyle name="a_Book4_인월중군소하천_자전거도로구조물공수량 6 2" xfId="26829"/>
    <cellStyle name="a_Book4_인월중군소하천_자전거도로구조물공수량 7" xfId="17575"/>
    <cellStyle name="a_Book4_인월중군소하천_자전거도로구조물공수량 7 2" xfId="30293"/>
    <cellStyle name="a_Book4_인월중군소하천_자전거도로구조물공수량 8" xfId="14220"/>
    <cellStyle name="a_Book4_인월중군소하천_자전거도로구조물공수량 8 2" xfId="27066"/>
    <cellStyle name="a_Book4_인월중군소하천_자전거도로구조물공수량 9" xfId="12748"/>
    <cellStyle name="a_Book4_인월중군소하천_자전거도로구조물공수량 9 2" xfId="25625"/>
    <cellStyle name="a_Book4_인월중군소하천_자전거도로포장수량" xfId="2183"/>
    <cellStyle name="a_Book4_인월중군소하천_자전거도로포장수량 10" xfId="14224"/>
    <cellStyle name="a_Book4_인월중군소하천_자전거도로포장수량 10 2" xfId="27070"/>
    <cellStyle name="a_Book4_인월중군소하천_자전거도로포장수량 11" xfId="19129"/>
    <cellStyle name="a_Book4_인월중군소하천_자전거도로포장수량 12" xfId="19921"/>
    <cellStyle name="a_Book4_인월중군소하천_자전거도로포장수량 12 2" xfId="32370"/>
    <cellStyle name="a_Book4_인월중군소하천_자전거도로포장수량 13" xfId="19640"/>
    <cellStyle name="a_Book4_인월중군소하천_자전거도로포장수량 13 2" xfId="32095"/>
    <cellStyle name="a_Book4_인월중군소하천_자전거도로포장수량 14" xfId="21176"/>
    <cellStyle name="a_Book4_인월중군소하천_자전거도로포장수량 14 2" xfId="33613"/>
    <cellStyle name="a_Book4_인월중군소하천_자전거도로포장수량 15" xfId="20697"/>
    <cellStyle name="a_Book4_인월중군소하천_자전거도로포장수량 15 2" xfId="33140"/>
    <cellStyle name="a_Book4_인월중군소하천_자전거도로포장수량 16" xfId="19268"/>
    <cellStyle name="a_Book4_인월중군소하천_자전거도로포장수량 16 2" xfId="31923"/>
    <cellStyle name="a_Book4_인월중군소하천_자전거도로포장수량 17" xfId="20757"/>
    <cellStyle name="a_Book4_인월중군소하천_자전거도로포장수량 17 2" xfId="33196"/>
    <cellStyle name="a_Book4_인월중군소하천_자전거도로포장수량 18" xfId="22037"/>
    <cellStyle name="a_Book4_인월중군소하천_자전거도로포장수량 18 2" xfId="34474"/>
    <cellStyle name="a_Book4_인월중군소하천_자전거도로포장수량 19" xfId="24510"/>
    <cellStyle name="a_Book4_인월중군소하천_자전거도로포장수량 19 2" xfId="36941"/>
    <cellStyle name="a_Book4_인월중군소하천_자전거도로포장수량 2" xfId="13131"/>
    <cellStyle name="a_Book4_인월중군소하천_자전거도로포장수량 2 2" xfId="26000"/>
    <cellStyle name="a_Book4_인월중군소하천_자전거도로포장수량 20" xfId="20530"/>
    <cellStyle name="a_Book4_인월중군소하천_자전거도로포장수량 20 2" xfId="32975"/>
    <cellStyle name="a_Book4_인월중군소하천_자전거도로포장수량 21" xfId="18916"/>
    <cellStyle name="a_Book4_인월중군소하천_자전거도로포장수량 21 2" xfId="31621"/>
    <cellStyle name="a_Book4_인월중군소하천_자전거도로포장수량 3" xfId="14741"/>
    <cellStyle name="a_Book4_인월중군소하천_자전거도로포장수량 3 2" xfId="27566"/>
    <cellStyle name="a_Book4_인월중군소하천_자전거도로포장수량 4" xfId="16792"/>
    <cellStyle name="a_Book4_인월중군소하천_자전거도로포장수량 4 2" xfId="29567"/>
    <cellStyle name="a_Book4_인월중군소하천_자전거도로포장수량 5" xfId="17158"/>
    <cellStyle name="a_Book4_인월중군소하천_자전거도로포장수량 5 2" xfId="29892"/>
    <cellStyle name="a_Book4_인월중군소하천_자전거도로포장수량 6" xfId="13740"/>
    <cellStyle name="a_Book4_인월중군소하천_자전거도로포장수량 6 2" xfId="26601"/>
    <cellStyle name="a_Book4_인월중군소하천_자전거도로포장수량 7" xfId="17574"/>
    <cellStyle name="a_Book4_인월중군소하천_자전거도로포장수량 7 2" xfId="30292"/>
    <cellStyle name="a_Book4_인월중군소하천_자전거도로포장수량 8" xfId="17861"/>
    <cellStyle name="a_Book4_인월중군소하천_자전거도로포장수량 8 2" xfId="30577"/>
    <cellStyle name="a_Book4_인월중군소하천_자전거도로포장수량 9" xfId="17424"/>
    <cellStyle name="a_Book4_인월중군소하천_자전거도로포장수량 9 2" xfId="30147"/>
    <cellStyle name="a_Book4_자전거도로구조물공수량" xfId="2184"/>
    <cellStyle name="a_Book4_자전거도로구조물공수량 10" xfId="17952"/>
    <cellStyle name="a_Book4_자전거도로구조물공수량 10 2" xfId="30664"/>
    <cellStyle name="a_Book4_자전거도로구조물공수량 11" xfId="19130"/>
    <cellStyle name="a_Book4_자전거도로구조물공수량 12" xfId="19920"/>
    <cellStyle name="a_Book4_자전거도로구조물공수량 12 2" xfId="32369"/>
    <cellStyle name="a_Book4_자전거도로구조물공수량 13" xfId="19641"/>
    <cellStyle name="a_Book4_자전거도로구조물공수량 13 2" xfId="32096"/>
    <cellStyle name="a_Book4_자전거도로구조물공수량 14" xfId="18946"/>
    <cellStyle name="a_Book4_자전거도로구조물공수량 14 2" xfId="31651"/>
    <cellStyle name="a_Book4_자전거도로구조물공수량 15" xfId="23469"/>
    <cellStyle name="a_Book4_자전거도로구조물공수량 15 2" xfId="35900"/>
    <cellStyle name="a_Book4_자전거도로구조물공수량 16" xfId="22405"/>
    <cellStyle name="a_Book4_자전거도로구조물공수량 16 2" xfId="34839"/>
    <cellStyle name="a_Book4_자전거도로구조물공수량 17" xfId="23059"/>
    <cellStyle name="a_Book4_자전거도로구조물공수량 17 2" xfId="35492"/>
    <cellStyle name="a_Book4_자전거도로구조물공수량 18" xfId="18772"/>
    <cellStyle name="a_Book4_자전거도로구조물공수량 18 2" xfId="31477"/>
    <cellStyle name="a_Book4_자전거도로구조물공수량 19" xfId="20816"/>
    <cellStyle name="a_Book4_자전거도로구조물공수량 19 2" xfId="33253"/>
    <cellStyle name="a_Book4_자전거도로구조물공수량 2" xfId="13132"/>
    <cellStyle name="a_Book4_자전거도로구조물공수량 2 2" xfId="26001"/>
    <cellStyle name="a_Book4_자전거도로구조물공수량 20" xfId="20888"/>
    <cellStyle name="a_Book4_자전거도로구조물공수량 20 2" xfId="33325"/>
    <cellStyle name="a_Book4_자전거도로구조물공수량 21" xfId="20301"/>
    <cellStyle name="a_Book4_자전거도로구조물공수량 21 2" xfId="32746"/>
    <cellStyle name="a_Book4_자전거도로구조물공수량 3" xfId="14740"/>
    <cellStyle name="a_Book4_자전거도로구조물공수량 3 2" xfId="27565"/>
    <cellStyle name="a_Book4_자전거도로구조물공수량 4" xfId="16791"/>
    <cellStyle name="a_Book4_자전거도로구조물공수량 4 2" xfId="29566"/>
    <cellStyle name="a_Book4_자전거도로구조물공수량 5" xfId="17157"/>
    <cellStyle name="a_Book4_자전거도로구조물공수량 5 2" xfId="29891"/>
    <cellStyle name="a_Book4_자전거도로구조물공수량 6" xfId="12606"/>
    <cellStyle name="a_Book4_자전거도로구조물공수량 6 2" xfId="25485"/>
    <cellStyle name="a_Book4_자전거도로구조물공수량 7" xfId="13006"/>
    <cellStyle name="a_Book4_자전거도로구조물공수량 7 2" xfId="25881"/>
    <cellStyle name="a_Book4_자전거도로구조물공수량 8" xfId="14013"/>
    <cellStyle name="a_Book4_자전거도로구조물공수량 8 2" xfId="26864"/>
    <cellStyle name="a_Book4_자전거도로구조물공수량 9" xfId="13621"/>
    <cellStyle name="a_Book4_자전거도로구조물공수량 9 2" xfId="26489"/>
    <cellStyle name="a_Book4_자전거도로포장수량" xfId="2185"/>
    <cellStyle name="a_Book4_자전거도로포장수량 10" xfId="17817"/>
    <cellStyle name="a_Book4_자전거도로포장수량 10 2" xfId="30533"/>
    <cellStyle name="a_Book4_자전거도로포장수량 11" xfId="19131"/>
    <cellStyle name="a_Book4_자전거도로포장수량 12" xfId="19919"/>
    <cellStyle name="a_Book4_자전거도로포장수량 12 2" xfId="32368"/>
    <cellStyle name="a_Book4_자전거도로포장수량 13" xfId="19642"/>
    <cellStyle name="a_Book4_자전거도로포장수량 13 2" xfId="32097"/>
    <cellStyle name="a_Book4_자전거도로포장수량 14" xfId="21175"/>
    <cellStyle name="a_Book4_자전거도로포장수량 14 2" xfId="33612"/>
    <cellStyle name="a_Book4_자전거도로포장수량 15" xfId="23468"/>
    <cellStyle name="a_Book4_자전거도로포장수량 15 2" xfId="35899"/>
    <cellStyle name="a_Book4_자전거도로포장수량 16" xfId="23845"/>
    <cellStyle name="a_Book4_자전거도로포장수량 16 2" xfId="36276"/>
    <cellStyle name="a_Book4_자전거도로포장수량 17" xfId="20790"/>
    <cellStyle name="a_Book4_자전거도로포장수량 17 2" xfId="33229"/>
    <cellStyle name="a_Book4_자전거도로포장수량 18" xfId="18884"/>
    <cellStyle name="a_Book4_자전거도로포장수량 18 2" xfId="31589"/>
    <cellStyle name="a_Book4_자전거도로포장수량 19" xfId="21842"/>
    <cellStyle name="a_Book4_자전거도로포장수량 19 2" xfId="34279"/>
    <cellStyle name="a_Book4_자전거도로포장수량 2" xfId="13133"/>
    <cellStyle name="a_Book4_자전거도로포장수량 2 2" xfId="26002"/>
    <cellStyle name="a_Book4_자전거도로포장수량 20" xfId="21703"/>
    <cellStyle name="a_Book4_자전거도로포장수량 20 2" xfId="34140"/>
    <cellStyle name="a_Book4_자전거도로포장수량 21" xfId="21138"/>
    <cellStyle name="a_Book4_자전거도로포장수량 21 2" xfId="33575"/>
    <cellStyle name="a_Book4_자전거도로포장수량 3" xfId="14739"/>
    <cellStyle name="a_Book4_자전거도로포장수량 3 2" xfId="27564"/>
    <cellStyle name="a_Book4_자전거도로포장수량 4" xfId="16790"/>
    <cellStyle name="a_Book4_자전거도로포장수량 4 2" xfId="29565"/>
    <cellStyle name="a_Book4_자전거도로포장수량 5" xfId="12954"/>
    <cellStyle name="a_Book4_자전거도로포장수량 5 2" xfId="25829"/>
    <cellStyle name="a_Book4_자전거도로포장수량 6" xfId="13971"/>
    <cellStyle name="a_Book4_자전거도로포장수량 6 2" xfId="26828"/>
    <cellStyle name="a_Book4_자전거도로포장수량 7" xfId="17538"/>
    <cellStyle name="a_Book4_자전거도로포장수량 7 2" xfId="30260"/>
    <cellStyle name="a_Book4_자전거도로포장수량 8" xfId="14221"/>
    <cellStyle name="a_Book4_자전거도로포장수량 8 2" xfId="27067"/>
    <cellStyle name="a_Book4_자전거도로포장수량 9" xfId="14556"/>
    <cellStyle name="a_Book4_자전거도로포장수량 9 2" xfId="27384"/>
    <cellStyle name="a_수량전체" xfId="2186"/>
    <cellStyle name="a_수량전체 10" xfId="17804"/>
    <cellStyle name="a_수량전체 10 2" xfId="30521"/>
    <cellStyle name="a_수량전체 11" xfId="19132"/>
    <cellStyle name="a_수량전체 12" xfId="19918"/>
    <cellStyle name="a_수량전체 12 2" xfId="32367"/>
    <cellStyle name="a_수량전체 13" xfId="19643"/>
    <cellStyle name="a_수량전체 13 2" xfId="32098"/>
    <cellStyle name="a_수량전체 14" xfId="18741"/>
    <cellStyle name="a_수량전체 14 2" xfId="31446"/>
    <cellStyle name="a_수량전체 15" xfId="23467"/>
    <cellStyle name="a_수량전체 15 2" xfId="35898"/>
    <cellStyle name="a_수량전체 16" xfId="19734"/>
    <cellStyle name="a_수량전체 16 2" xfId="32187"/>
    <cellStyle name="a_수량전체 17" xfId="21942"/>
    <cellStyle name="a_수량전체 17 2" xfId="34379"/>
    <cellStyle name="a_수량전체 18" xfId="23498"/>
    <cellStyle name="a_수량전체 18 2" xfId="35929"/>
    <cellStyle name="a_수량전체 19" xfId="21109"/>
    <cellStyle name="a_수량전체 19 2" xfId="33546"/>
    <cellStyle name="a_수량전체 2" xfId="13134"/>
    <cellStyle name="a_수량전체 2 2" xfId="26003"/>
    <cellStyle name="a_수량전체 20" xfId="23027"/>
    <cellStyle name="a_수량전체 20 2" xfId="35460"/>
    <cellStyle name="a_수량전체 21" xfId="24336"/>
    <cellStyle name="a_수량전체 21 2" xfId="36767"/>
    <cellStyle name="a_수량전체 3" xfId="14738"/>
    <cellStyle name="a_수량전체 3 2" xfId="27563"/>
    <cellStyle name="a_수량전체 4" xfId="14690"/>
    <cellStyle name="a_수량전체 4 2" xfId="27516"/>
    <cellStyle name="a_수량전체 5" xfId="16770"/>
    <cellStyle name="a_수량전체 5 2" xfId="29546"/>
    <cellStyle name="a_수량전체 6" xfId="13739"/>
    <cellStyle name="a_수량전체 6 2" xfId="26600"/>
    <cellStyle name="a_수량전체 7" xfId="17437"/>
    <cellStyle name="a_수량전체 7 2" xfId="30159"/>
    <cellStyle name="a_수량전체 8" xfId="16629"/>
    <cellStyle name="a_수량전체 8 2" xfId="29405"/>
    <cellStyle name="a_수량전체 9" xfId="17464"/>
    <cellStyle name="a_수량전체 9 2" xfId="30186"/>
    <cellStyle name="a_수량전체_도로수량양식" xfId="2187"/>
    <cellStyle name="a_수량전체_도로수량양식 10" xfId="14449"/>
    <cellStyle name="a_수량전체_도로수량양식 10 2" xfId="27281"/>
    <cellStyle name="a_수량전체_도로수량양식 11" xfId="19133"/>
    <cellStyle name="a_수량전체_도로수량양식 12" xfId="19917"/>
    <cellStyle name="a_수량전체_도로수량양식 12 2" xfId="32366"/>
    <cellStyle name="a_수량전체_도로수량양식 13" xfId="19644"/>
    <cellStyle name="a_수량전체_도로수량양식 13 2" xfId="32099"/>
    <cellStyle name="a_수량전체_도로수량양식 14" xfId="19704"/>
    <cellStyle name="a_수량전체_도로수량양식 14 2" xfId="32158"/>
    <cellStyle name="a_수량전체_도로수량양식 15" xfId="23466"/>
    <cellStyle name="a_수량전체_도로수량양식 15 2" xfId="35897"/>
    <cellStyle name="a_수량전체_도로수량양식 16" xfId="19733"/>
    <cellStyle name="a_수량전체_도로수량양식 16 2" xfId="32186"/>
    <cellStyle name="a_수량전체_도로수량양식 17" xfId="22359"/>
    <cellStyle name="a_수량전체_도로수량양식 17 2" xfId="34793"/>
    <cellStyle name="a_수량전체_도로수량양식 18" xfId="21140"/>
    <cellStyle name="a_수량전체_도로수량양식 18 2" xfId="33577"/>
    <cellStyle name="a_수량전체_도로수량양식 19" xfId="24509"/>
    <cellStyle name="a_수량전체_도로수량양식 19 2" xfId="36940"/>
    <cellStyle name="a_수량전체_도로수량양식 2" xfId="13135"/>
    <cellStyle name="a_수량전체_도로수량양식 2 2" xfId="26004"/>
    <cellStyle name="a_수량전체_도로수량양식 20" xfId="24302"/>
    <cellStyle name="a_수량전체_도로수량양식 20 2" xfId="36733"/>
    <cellStyle name="a_수량전체_도로수량양식 21" xfId="20518"/>
    <cellStyle name="a_수량전체_도로수량양식 21 2" xfId="32963"/>
    <cellStyle name="a_수량전체_도로수량양식 3" xfId="14737"/>
    <cellStyle name="a_수량전체_도로수량양식 3 2" xfId="27562"/>
    <cellStyle name="a_수량전체_도로수량양식 4" xfId="14689"/>
    <cellStyle name="a_수량전체_도로수량양식 4 2" xfId="27515"/>
    <cellStyle name="a_수량전체_도로수량양식 5" xfId="16771"/>
    <cellStyle name="a_수량전체_도로수량양식 5 2" xfId="29547"/>
    <cellStyle name="a_수량전체_도로수량양식 6" xfId="13738"/>
    <cellStyle name="a_수량전체_도로수량양식 6 2" xfId="26599"/>
    <cellStyle name="a_수량전체_도로수량양식 7" xfId="17573"/>
    <cellStyle name="a_수량전체_도로수량양식 7 2" xfId="30291"/>
    <cellStyle name="a_수량전체_도로수량양식 8" xfId="13839"/>
    <cellStyle name="a_수량전체_도로수량양식 8 2" xfId="26698"/>
    <cellStyle name="a_수량전체_도로수량양식 9" xfId="17428"/>
    <cellStyle name="a_수량전체_도로수량양식 9 2" xfId="30151"/>
    <cellStyle name="a_수량전체_도로수량양식_자전거도로구조물공수량" xfId="2188"/>
    <cellStyle name="a_수량전체_도로수량양식_자전거도로구조물공수량 10" xfId="17951"/>
    <cellStyle name="a_수량전체_도로수량양식_자전거도로구조물공수량 10 2" xfId="30663"/>
    <cellStyle name="a_수량전체_도로수량양식_자전거도로구조물공수량 11" xfId="19134"/>
    <cellStyle name="a_수량전체_도로수량양식_자전거도로구조물공수량 12" xfId="19916"/>
    <cellStyle name="a_수량전체_도로수량양식_자전거도로구조물공수량 12 2" xfId="32365"/>
    <cellStyle name="a_수량전체_도로수량양식_자전거도로구조물공수량 13" xfId="19645"/>
    <cellStyle name="a_수량전체_도로수량양식_자전거도로구조물공수량 13 2" xfId="32100"/>
    <cellStyle name="a_수량전체_도로수량양식_자전거도로구조물공수량 14" xfId="19705"/>
    <cellStyle name="a_수량전체_도로수량양식_자전거도로구조물공수량 14 2" xfId="32159"/>
    <cellStyle name="a_수량전체_도로수량양식_자전거도로구조물공수량 15" xfId="23465"/>
    <cellStyle name="a_수량전체_도로수량양식_자전거도로구조물공수량 15 2" xfId="35896"/>
    <cellStyle name="a_수량전체_도로수량양식_자전거도로구조물공수량 16" xfId="23710"/>
    <cellStyle name="a_수량전체_도로수량양식_자전거도로구조물공수량 16 2" xfId="36141"/>
    <cellStyle name="a_수량전체_도로수량양식_자전거도로구조물공수량 17" xfId="18322"/>
    <cellStyle name="a_수량전체_도로수량양식_자전거도로구조물공수량 17 2" xfId="31028"/>
    <cellStyle name="a_수량전체_도로수량양식_자전거도로구조물공수량 18" xfId="21307"/>
    <cellStyle name="a_수량전체_도로수량양식_자전거도로구조물공수량 18 2" xfId="33744"/>
    <cellStyle name="a_수량전체_도로수량양식_자전거도로구조물공수량 19" xfId="23993"/>
    <cellStyle name="a_수량전체_도로수량양식_자전거도로구조물공수량 19 2" xfId="36424"/>
    <cellStyle name="a_수량전체_도로수량양식_자전거도로구조물공수량 2" xfId="13136"/>
    <cellStyle name="a_수량전체_도로수량양식_자전거도로구조물공수량 2 2" xfId="26005"/>
    <cellStyle name="a_수량전체_도로수량양식_자전거도로구조물공수량 20" xfId="22208"/>
    <cellStyle name="a_수량전체_도로수량양식_자전거도로구조물공수량 20 2" xfId="34643"/>
    <cellStyle name="a_수량전체_도로수량양식_자전거도로구조물공수량 21" xfId="20549"/>
    <cellStyle name="a_수량전체_도로수량양식_자전거도로구조물공수량 21 2" xfId="32994"/>
    <cellStyle name="a_수량전체_도로수량양식_자전거도로구조물공수량 3" xfId="14736"/>
    <cellStyle name="a_수량전체_도로수량양식_자전거도로구조물공수량 3 2" xfId="27561"/>
    <cellStyle name="a_수량전체_도로수량양식_자전거도로구조물공수량 4" xfId="15995"/>
    <cellStyle name="a_수량전체_도로수량양식_자전거도로구조물공수량 4 2" xfId="28793"/>
    <cellStyle name="a_수량전체_도로수량양식_자전거도로구조물공수량 5" xfId="15393"/>
    <cellStyle name="a_수량전체_도로수량양식_자전거도로구조물공수량 5 2" xfId="28208"/>
    <cellStyle name="a_수량전체_도로수량양식_자전거도로구조물공수량 6" xfId="13737"/>
    <cellStyle name="a_수량전체_도로수량양식_자전거도로구조물공수량 6 2" xfId="26598"/>
    <cellStyle name="a_수량전체_도로수량양식_자전거도로구조물공수량 7" xfId="16735"/>
    <cellStyle name="a_수량전체_도로수량양식_자전거도로구조물공수량 7 2" xfId="29511"/>
    <cellStyle name="a_수량전체_도로수량양식_자전거도로구조물공수량 8" xfId="14844"/>
    <cellStyle name="a_수량전체_도로수량양식_자전거도로구조물공수량 8 2" xfId="27667"/>
    <cellStyle name="a_수량전체_도로수량양식_자전거도로구조물공수량 9" xfId="17885"/>
    <cellStyle name="a_수량전체_도로수량양식_자전거도로구조물공수량 9 2" xfId="30599"/>
    <cellStyle name="a_수량전체_도로수량양식_자전거도로포장수량" xfId="2189"/>
    <cellStyle name="a_수량전체_도로수량양식_자전거도로포장수량 10" xfId="12943"/>
    <cellStyle name="a_수량전체_도로수량양식_자전거도로포장수량 10 2" xfId="25818"/>
    <cellStyle name="a_수량전체_도로수량양식_자전거도로포장수량 11" xfId="19135"/>
    <cellStyle name="a_수량전체_도로수량양식_자전거도로포장수량 12" xfId="19915"/>
    <cellStyle name="a_수량전체_도로수량양식_자전거도로포장수량 12 2" xfId="32364"/>
    <cellStyle name="a_수량전체_도로수량양식_자전거도로포장수량 13" xfId="19646"/>
    <cellStyle name="a_수량전체_도로수량양식_자전거도로포장수량 13 2" xfId="32101"/>
    <cellStyle name="a_수량전체_도로수량양식_자전거도로포장수량 14" xfId="23479"/>
    <cellStyle name="a_수량전체_도로수량양식_자전거도로포장수량 14 2" xfId="35910"/>
    <cellStyle name="a_수량전체_도로수량양식_자전거도로포장수량 15" xfId="18952"/>
    <cellStyle name="a_수량전체_도로수량양식_자전거도로포장수량 15 2" xfId="31657"/>
    <cellStyle name="a_수량전체_도로수량양식_자전거도로포장수량 16" xfId="22181"/>
    <cellStyle name="a_수량전체_도로수량양식_자전거도로포장수량 16 2" xfId="34617"/>
    <cellStyle name="a_수량전체_도로수량양식_자전거도로포장수량 17" xfId="20961"/>
    <cellStyle name="a_수량전체_도로수량양식_자전거도로포장수량 17 2" xfId="33398"/>
    <cellStyle name="a_수량전체_도로수량양식_자전거도로포장수량 18" xfId="20882"/>
    <cellStyle name="a_수량전체_도로수량양식_자전거도로포장수량 18 2" xfId="33319"/>
    <cellStyle name="a_수량전체_도로수량양식_자전거도로포장수량 19" xfId="18786"/>
    <cellStyle name="a_수량전체_도로수량양식_자전거도로포장수량 19 2" xfId="31491"/>
    <cellStyle name="a_수량전체_도로수량양식_자전거도로포장수량 2" xfId="13137"/>
    <cellStyle name="a_수량전체_도로수량양식_자전거도로포장수량 2 2" xfId="26006"/>
    <cellStyle name="a_수량전체_도로수량양식_자전거도로포장수량 20" xfId="23682"/>
    <cellStyle name="a_수량전체_도로수량양식_자전거도로포장수량 20 2" xfId="36113"/>
    <cellStyle name="a_수량전체_도로수량양식_자전거도로포장수량 21" xfId="19656"/>
    <cellStyle name="a_수량전체_도로수량양식_자전거도로포장수량 21 2" xfId="32111"/>
    <cellStyle name="a_수량전체_도로수량양식_자전거도로포장수량 3" xfId="14735"/>
    <cellStyle name="a_수량전체_도로수량양식_자전거도로포장수량 3 2" xfId="27560"/>
    <cellStyle name="a_수량전체_도로수량양식_자전거도로포장수량 4" xfId="15994"/>
    <cellStyle name="a_수량전체_도로수량양식_자전거도로포장수량 4 2" xfId="28792"/>
    <cellStyle name="a_수량전체_도로수량양식_자전거도로포장수량 5" xfId="15394"/>
    <cellStyle name="a_수량전체_도로수량양식_자전거도로포장수량 5 2" xfId="28209"/>
    <cellStyle name="a_수량전체_도로수량양식_자전거도로포장수량 6" xfId="13736"/>
    <cellStyle name="a_수량전체_도로수량양식_자전거도로포장수량 6 2" xfId="26597"/>
    <cellStyle name="a_수량전체_도로수량양식_자전거도로포장수량 7" xfId="17426"/>
    <cellStyle name="a_수량전체_도로수량양식_자전거도로포장수량 7 2" xfId="30149"/>
    <cellStyle name="a_수량전체_도로수량양식_자전거도로포장수량 8" xfId="17097"/>
    <cellStyle name="a_수량전체_도로수량양식_자전거도로포장수량 8 2" xfId="29833"/>
    <cellStyle name="a_수량전체_도로수량양식_자전거도로포장수량 9" xfId="13790"/>
    <cellStyle name="a_수량전체_도로수량양식_자전거도로포장수량 9 2" xfId="26650"/>
    <cellStyle name="a_수량전체_수량산출" xfId="2190"/>
    <cellStyle name="a_수량전체_수량산출 10" xfId="13018"/>
    <cellStyle name="a_수량전체_수량산출 10 2" xfId="25893"/>
    <cellStyle name="a_수량전체_수량산출 11" xfId="19136"/>
    <cellStyle name="a_수량전체_수량산출 12" xfId="19914"/>
    <cellStyle name="a_수량전체_수량산출 12 2" xfId="32363"/>
    <cellStyle name="a_수량전체_수량산출 13" xfId="19647"/>
    <cellStyle name="a_수량전체_수량산출 13 2" xfId="32102"/>
    <cellStyle name="a_수량전체_수량산출 14" xfId="23478"/>
    <cellStyle name="a_수량전체_수량산출 14 2" xfId="35909"/>
    <cellStyle name="a_수량전체_수량산출 15" xfId="21931"/>
    <cellStyle name="a_수량전체_수량산출 15 2" xfId="34368"/>
    <cellStyle name="a_수량전체_수량산출 16" xfId="20701"/>
    <cellStyle name="a_수량전체_수량산출 16 2" xfId="33144"/>
    <cellStyle name="a_수량전체_수량산출 17" xfId="20756"/>
    <cellStyle name="a_수량전체_수량산출 17 2" xfId="33195"/>
    <cellStyle name="a_수량전체_수량산출 18" xfId="19588"/>
    <cellStyle name="a_수량전체_수량산출 18 2" xfId="32043"/>
    <cellStyle name="a_수량전체_수량산출 19" xfId="21787"/>
    <cellStyle name="a_수량전체_수량산출 19 2" xfId="34224"/>
    <cellStyle name="a_수량전체_수량산출 2" xfId="13138"/>
    <cellStyle name="a_수량전체_수량산출 2 2" xfId="26007"/>
    <cellStyle name="a_수량전체_수량산출 20" xfId="24545"/>
    <cellStyle name="a_수량전체_수량산출 20 2" xfId="36976"/>
    <cellStyle name="a_수량전체_수량산출 21" xfId="24091"/>
    <cellStyle name="a_수량전체_수량산출 21 2" xfId="36522"/>
    <cellStyle name="a_수량전체_수량산출 3" xfId="14734"/>
    <cellStyle name="a_수량전체_수량산출 3 2" xfId="27559"/>
    <cellStyle name="a_수량전체_수량산출 4" xfId="15993"/>
    <cellStyle name="a_수량전체_수량산출 4 2" xfId="28791"/>
    <cellStyle name="a_수량전체_수량산출 5" xfId="14493"/>
    <cellStyle name="a_수량전체_수량산출 5 2" xfId="27325"/>
    <cellStyle name="a_수량전체_수량산출 6" xfId="13735"/>
    <cellStyle name="a_수량전체_수량산출 6 2" xfId="26596"/>
    <cellStyle name="a_수량전체_수량산출 7" xfId="17572"/>
    <cellStyle name="a_수량전체_수량산출 7 2" xfId="30290"/>
    <cellStyle name="a_수량전체_수량산출 8" xfId="17333"/>
    <cellStyle name="a_수량전체_수량산출 8 2" xfId="30062"/>
    <cellStyle name="a_수량전체_수량산출 9" xfId="17886"/>
    <cellStyle name="a_수량전체_수량산출 9 2" xfId="30600"/>
    <cellStyle name="a_수량전체_수량산출_자전거도로구조물공수량" xfId="2191"/>
    <cellStyle name="a_수량전체_수량산출_자전거도로구조물공수량 10" xfId="14016"/>
    <cellStyle name="a_수량전체_수량산출_자전거도로구조물공수량 10 2" xfId="26867"/>
    <cellStyle name="a_수량전체_수량산출_자전거도로구조물공수량 11" xfId="19137"/>
    <cellStyle name="a_수량전체_수량산출_자전거도로구조물공수량 12" xfId="19913"/>
    <cellStyle name="a_수량전체_수량산출_자전거도로구조물공수량 12 2" xfId="32362"/>
    <cellStyle name="a_수량전체_수량산출_자전거도로구조물공수량 13" xfId="19648"/>
    <cellStyle name="a_수량전체_수량산출_자전거도로구조물공수량 13 2" xfId="32103"/>
    <cellStyle name="a_수량전체_수량산출_자전거도로구조물공수량 14" xfId="18947"/>
    <cellStyle name="a_수량전체_수량산출_자전거도로구조물공수량 14 2" xfId="31652"/>
    <cellStyle name="a_수량전체_수량산출_자전거도로구조물공수량 15" xfId="19718"/>
    <cellStyle name="a_수량전체_수량산출_자전거도로구조물공수량 15 2" xfId="32171"/>
    <cellStyle name="a_수량전체_수량산출_자전거도로구조물공수량 16" xfId="23711"/>
    <cellStyle name="a_수량전체_수량산출_자전거도로구조물공수량 16 2" xfId="36142"/>
    <cellStyle name="a_수량전체_수량산출_자전거도로구조물공수량 17" xfId="23677"/>
    <cellStyle name="a_수량전체_수량산출_자전거도로구조물공수량 17 2" xfId="36108"/>
    <cellStyle name="a_수량전체_수량산출_자전거도로구조물공수량 18" xfId="19553"/>
    <cellStyle name="a_수량전체_수량산출_자전거도로구조물공수량 18 2" xfId="32008"/>
    <cellStyle name="a_수량전체_수량산출_자전거도로구조물공수량 19" xfId="21843"/>
    <cellStyle name="a_수량전체_수량산출_자전거도로구조물공수량 19 2" xfId="34280"/>
    <cellStyle name="a_수량전체_수량산출_자전거도로구조물공수량 2" xfId="13139"/>
    <cellStyle name="a_수량전체_수량산출_자전거도로구조물공수량 2 2" xfId="26008"/>
    <cellStyle name="a_수량전체_수량산출_자전거도로구조물공수량 20" xfId="22083"/>
    <cellStyle name="a_수량전체_수량산출_자전거도로구조물공수량 20 2" xfId="34519"/>
    <cellStyle name="a_수량전체_수량산출_자전거도로구조물공수량 21" xfId="24308"/>
    <cellStyle name="a_수량전체_수량산출_자전거도로구조물공수량 21 2" xfId="36739"/>
    <cellStyle name="a_수량전체_수량산출_자전거도로구조물공수량 3" xfId="14733"/>
    <cellStyle name="a_수량전체_수량산출_자전거도로구조물공수량 3 2" xfId="27558"/>
    <cellStyle name="a_수량전체_수량산출_자전거도로구조물공수량 4" xfId="13784"/>
    <cellStyle name="a_수량전체_수량산출_자전거도로구조물공수량 4 2" xfId="26644"/>
    <cellStyle name="a_수량전체_수량산출_자전거도로구조물공수량 5" xfId="15395"/>
    <cellStyle name="a_수량전체_수량산출_자전거도로구조물공수량 5 2" xfId="28210"/>
    <cellStyle name="a_수량전체_수량산출_자전거도로구조물공수량 6" xfId="13734"/>
    <cellStyle name="a_수량전체_수량산출_자전거도로구조물공수량 6 2" xfId="26595"/>
    <cellStyle name="a_수량전체_수량산출_자전거도로구조물공수량 7" xfId="15137"/>
    <cellStyle name="a_수량전체_수량산출_자전거도로구조물공수량 7 2" xfId="27956"/>
    <cellStyle name="a_수량전체_수량산출_자전거도로구조물공수량 8" xfId="17860"/>
    <cellStyle name="a_수량전체_수량산출_자전거도로구조물공수량 8 2" xfId="30576"/>
    <cellStyle name="a_수량전체_수량산출_자전거도로구조물공수량 9" xfId="17887"/>
    <cellStyle name="a_수량전체_수량산출_자전거도로구조물공수량 9 2" xfId="30601"/>
    <cellStyle name="a_수량전체_수량산출_자전거도로포장수량" xfId="2192"/>
    <cellStyle name="a_수량전체_수량산출_자전거도로포장수량 10" xfId="17803"/>
    <cellStyle name="a_수량전체_수량산출_자전거도로포장수량 10 2" xfId="30520"/>
    <cellStyle name="a_수량전체_수량산출_자전거도로포장수량 11" xfId="19138"/>
    <cellStyle name="a_수량전체_수량산출_자전거도로포장수량 12" xfId="19912"/>
    <cellStyle name="a_수량전체_수량산출_자전거도로포장수량 12 2" xfId="32361"/>
    <cellStyle name="a_수량전체_수량산출_자전거도로포장수량 13" xfId="19649"/>
    <cellStyle name="a_수량전체_수량산출_자전거도로포장수량 13 2" xfId="32104"/>
    <cellStyle name="a_수량전체_수량산출_자전거도로포장수량 14" xfId="21177"/>
    <cellStyle name="a_수량전체_수량산출_자전거도로포장수량 14 2" xfId="33614"/>
    <cellStyle name="a_수량전체_수량산출_자전거도로포장수량 15" xfId="21932"/>
    <cellStyle name="a_수량전체_수량산출_자전거도로포장수량 15 2" xfId="34369"/>
    <cellStyle name="a_수량전체_수량산출_자전거도로포장수량 16" xfId="21844"/>
    <cellStyle name="a_수량전체_수량산출_자전거도로포장수량 16 2" xfId="34281"/>
    <cellStyle name="a_수량전체_수량산출_자전거도로포장수량 17" xfId="21616"/>
    <cellStyle name="a_수량전체_수량산출_자전거도로포장수량 17 2" xfId="34053"/>
    <cellStyle name="a_수량전체_수량산출_자전거도로포장수량 18" xfId="21705"/>
    <cellStyle name="a_수량전체_수량산출_자전거도로포장수량 18 2" xfId="34142"/>
    <cellStyle name="a_수량전체_수량산출_자전거도로포장수량 19" xfId="24007"/>
    <cellStyle name="a_수량전체_수량산출_자전거도로포장수량 19 2" xfId="36438"/>
    <cellStyle name="a_수량전체_수량산출_자전거도로포장수량 2" xfId="13140"/>
    <cellStyle name="a_수량전체_수량산출_자전거도로포장수량 2 2" xfId="26009"/>
    <cellStyle name="a_수량전체_수량산출_자전거도로포장수량 20" xfId="19991"/>
    <cellStyle name="a_수량전체_수량산출_자전거도로포장수량 20 2" xfId="32438"/>
    <cellStyle name="a_수량전체_수량산출_자전거도로포장수량 21" xfId="22335"/>
    <cellStyle name="a_수량전체_수량산출_자전거도로포장수량 21 2" xfId="34769"/>
    <cellStyle name="a_수량전체_수량산출_자전거도로포장수량 3" xfId="14732"/>
    <cellStyle name="a_수량전체_수량산출_자전거도로포장수량 3 2" xfId="27557"/>
    <cellStyle name="a_수량전체_수량산출_자전거도로포장수량 4" xfId="15992"/>
    <cellStyle name="a_수량전체_수량산출_자전거도로포장수량 4 2" xfId="28790"/>
    <cellStyle name="a_수량전체_수량산출_자전거도로포장수량 5" xfId="15230"/>
    <cellStyle name="a_수량전체_수량산출_자전거도로포장수량 5 2" xfId="28048"/>
    <cellStyle name="a_수량전체_수량산출_자전거도로포장수량 6" xfId="12420"/>
    <cellStyle name="a_수량전체_수량산출_자전거도로포장수량 6 2" xfId="25300"/>
    <cellStyle name="a_수량전체_수량산출_자전거도로포장수량 7" xfId="12416"/>
    <cellStyle name="a_수량전체_수량산출_자전거도로포장수량 7 2" xfId="25296"/>
    <cellStyle name="a_수량전체_수량산출_자전거도로포장수량 8" xfId="15201"/>
    <cellStyle name="a_수량전체_수량산출_자전거도로포장수량 8 2" xfId="28019"/>
    <cellStyle name="a_수량전체_수량산출_자전거도로포장수량 9" xfId="17623"/>
    <cellStyle name="a_수량전체_수량산출_자전거도로포장수량 9 2" xfId="30340"/>
    <cellStyle name="a_수량전체_인월중군소하천" xfId="2193"/>
    <cellStyle name="a_수량전체_인월중군소하천 10" xfId="17910"/>
    <cellStyle name="a_수량전체_인월중군소하천 10 2" xfId="30624"/>
    <cellStyle name="a_수량전체_인월중군소하천 11" xfId="19139"/>
    <cellStyle name="a_수량전체_인월중군소하천 12" xfId="19911"/>
    <cellStyle name="a_수량전체_인월중군소하천 12 2" xfId="32360"/>
    <cellStyle name="a_수량전체_인월중군소하천 13" xfId="19650"/>
    <cellStyle name="a_수량전체_인월중군소하천 13 2" xfId="32105"/>
    <cellStyle name="a_수량전체_인월중군소하천 14" xfId="19706"/>
    <cellStyle name="a_수량전체_인월중군소하천 14 2" xfId="32160"/>
    <cellStyle name="a_수량전체_인월중군소하천 15" xfId="20911"/>
    <cellStyle name="a_수량전체_인월중군소하천 15 2" xfId="33348"/>
    <cellStyle name="a_수량전체_인월중군소하천 16" xfId="22463"/>
    <cellStyle name="a_수량전체_인월중군소하천 16 2" xfId="34897"/>
    <cellStyle name="a_수량전체_인월중군소하천 17" xfId="18331"/>
    <cellStyle name="a_수량전체_인월중군소하천 17 2" xfId="31037"/>
    <cellStyle name="a_수량전체_인월중군소하천 18" xfId="19587"/>
    <cellStyle name="a_수량전체_인월중군소하천 18 2" xfId="32042"/>
    <cellStyle name="a_수량전체_인월중군소하천 19" xfId="23176"/>
    <cellStyle name="a_수량전체_인월중군소하천 19 2" xfId="35609"/>
    <cellStyle name="a_수량전체_인월중군소하천 2" xfId="13141"/>
    <cellStyle name="a_수량전체_인월중군소하천 2 2" xfId="26010"/>
    <cellStyle name="a_수량전체_인월중군소하천 20" xfId="19271"/>
    <cellStyle name="a_수량전체_인월중군소하천 20 2" xfId="31926"/>
    <cellStyle name="a_수량전체_인월중군소하천 21" xfId="24337"/>
    <cellStyle name="a_수량전체_인월중군소하천 21 2" xfId="36768"/>
    <cellStyle name="a_수량전체_인월중군소하천 3" xfId="14731"/>
    <cellStyle name="a_수량전체_인월중군소하천 3 2" xfId="27556"/>
    <cellStyle name="a_수량전체_인월중군소하천 4" xfId="13783"/>
    <cellStyle name="a_수량전체_인월중군소하천 4 2" xfId="26643"/>
    <cellStyle name="a_수량전체_인월중군소하천 5" xfId="14494"/>
    <cellStyle name="a_수량전체_인월중군소하천 5 2" xfId="27326"/>
    <cellStyle name="a_수량전체_인월중군소하천 6" xfId="13733"/>
    <cellStyle name="a_수량전체_인월중군소하천 6 2" xfId="26594"/>
    <cellStyle name="a_수량전체_인월중군소하천 7" xfId="12598"/>
    <cellStyle name="a_수량전체_인월중군소하천 7 2" xfId="25477"/>
    <cellStyle name="a_수량전체_인월중군소하천 8" xfId="14875"/>
    <cellStyle name="a_수량전체_인월중군소하천 8 2" xfId="27696"/>
    <cellStyle name="a_수량전체_인월중군소하천 9" xfId="17888"/>
    <cellStyle name="a_수량전체_인월중군소하천 9 2" xfId="30602"/>
    <cellStyle name="a_수량전체_인월중군소하천_자전거도로구조물공수량" xfId="2194"/>
    <cellStyle name="a_수량전체_인월중군소하천_자전거도로구조물공수량 10" xfId="17621"/>
    <cellStyle name="a_수량전체_인월중군소하천_자전거도로구조물공수량 10 2" xfId="30338"/>
    <cellStyle name="a_수량전체_인월중군소하천_자전거도로구조물공수량 11" xfId="19140"/>
    <cellStyle name="a_수량전체_인월중군소하천_자전거도로구조물공수량 12" xfId="19910"/>
    <cellStyle name="a_수량전체_인월중군소하천_자전거도로구조물공수량 12 2" xfId="32359"/>
    <cellStyle name="a_수량전체_인월중군소하천_자전거도로구조물공수량 13" xfId="19651"/>
    <cellStyle name="a_수량전체_인월중군소하천_자전거도로구조물공수량 13 2" xfId="32106"/>
    <cellStyle name="a_수량전체_인월중군소하천_자전거도로구조물공수량 14" xfId="21178"/>
    <cellStyle name="a_수량전체_인월중군소하천_자전거도로구조물공수량 14 2" xfId="33615"/>
    <cellStyle name="a_수량전체_인월중군소하천_자전거도로구조물공수량 15" xfId="18825"/>
    <cellStyle name="a_수량전체_인월중군소하천_자전거도로구조물공수량 15 2" xfId="31530"/>
    <cellStyle name="a_수량전체_인월중군소하천_자전거도로구조물공수량 16" xfId="21823"/>
    <cellStyle name="a_수량전체_인월중군소하천_자전거도로구조물공수량 16 2" xfId="34260"/>
    <cellStyle name="a_수량전체_인월중군소하천_자전거도로구조물공수량 17" xfId="21941"/>
    <cellStyle name="a_수량전체_인월중군소하천_자전거도로구조물공수량 17 2" xfId="34378"/>
    <cellStyle name="a_수량전체_인월중군소하천_자전거도로구조물공수량 18" xfId="21272"/>
    <cellStyle name="a_수량전체_인월중군소하천_자전거도로구조물공수량 18 2" xfId="33709"/>
    <cellStyle name="a_수량전체_인월중군소하천_자전거도로구조물공수량 19" xfId="24508"/>
    <cellStyle name="a_수량전체_인월중군소하천_자전거도로구조물공수량 19 2" xfId="36939"/>
    <cellStyle name="a_수량전체_인월중군소하천_자전거도로구조물공수량 2" xfId="13142"/>
    <cellStyle name="a_수량전체_인월중군소하천_자전거도로구조물공수량 2 2" xfId="26011"/>
    <cellStyle name="a_수량전체_인월중군소하천_자전거도로구조물공수량 20" xfId="21851"/>
    <cellStyle name="a_수량전체_인월중군소하천_자전거도로구조물공수량 20 2" xfId="34288"/>
    <cellStyle name="a_수량전체_인월중군소하천_자전거도로구조물공수량 21" xfId="19215"/>
    <cellStyle name="a_수량전체_인월중군소하천_자전거도로구조물공수량 21 2" xfId="31870"/>
    <cellStyle name="a_수량전체_인월중군소하천_자전거도로구조물공수량 3" xfId="14730"/>
    <cellStyle name="a_수량전체_인월중군소하천_자전거도로구조물공수량 3 2" xfId="27555"/>
    <cellStyle name="a_수량전체_인월중군소하천_자전거도로구조물공수량 4" xfId="16789"/>
    <cellStyle name="a_수량전체_인월중군소하천_자전거도로구조물공수량 4 2" xfId="29564"/>
    <cellStyle name="a_수량전체_인월중군소하천_자전거도로구조물공수량 5" xfId="12738"/>
    <cellStyle name="a_수량전체_인월중군소하천_자전거도로구조물공수량 5 2" xfId="25615"/>
    <cellStyle name="a_수량전체_인월중군소하천_자전거도로구조물공수량 6" xfId="12419"/>
    <cellStyle name="a_수량전체_인월중군소하천_자전거도로구조물공수량 6 2" xfId="25299"/>
    <cellStyle name="a_수량전체_인월중군소하천_자전거도로구조물공수량 7" xfId="17313"/>
    <cellStyle name="a_수량전체_인월중군소하천_자전거도로구조물공수량 7 2" xfId="30042"/>
    <cellStyle name="a_수량전체_인월중군소하천_자전거도로구조물공수량 8" xfId="14238"/>
    <cellStyle name="a_수량전체_인월중군소하천_자전거도로구조물공수량 8 2" xfId="27079"/>
    <cellStyle name="a_수량전체_인월중군소하천_자전거도로구조물공수량 9" xfId="17889"/>
    <cellStyle name="a_수량전체_인월중군소하천_자전거도로구조물공수량 9 2" xfId="30603"/>
    <cellStyle name="a_수량전체_인월중군소하천_자전거도로포장수량" xfId="2195"/>
    <cellStyle name="a_수량전체_인월중군소하천_자전거도로포장수량 10" xfId="17950"/>
    <cellStyle name="a_수량전체_인월중군소하천_자전거도로포장수량 10 2" xfId="30662"/>
    <cellStyle name="a_수량전체_인월중군소하천_자전거도로포장수량 11" xfId="19141"/>
    <cellStyle name="a_수량전체_인월중군소하천_자전거도로포장수량 12" xfId="19909"/>
    <cellStyle name="a_수량전체_인월중군소하천_자전거도로포장수량 12 2" xfId="32358"/>
    <cellStyle name="a_수량전체_인월중군소하천_자전거도로포장수량 13" xfId="19652"/>
    <cellStyle name="a_수량전체_인월중군소하천_자전거도로포장수량 13 2" xfId="32107"/>
    <cellStyle name="a_수량전체_인월중군소하천_자전거도로포장수량 14" xfId="18734"/>
    <cellStyle name="a_수량전체_인월중군소하천_자전거도로포장수량 14 2" xfId="31439"/>
    <cellStyle name="a_수량전체_인월중군소하천_자전거도로포장수량 15" xfId="19573"/>
    <cellStyle name="a_수량전체_인월중군소하천_자전거도로포장수량 15 2" xfId="32028"/>
    <cellStyle name="a_수량전체_인월중군소하천_자전거도로포장수량 16" xfId="22462"/>
    <cellStyle name="a_수량전체_인월중군소하천_자전거도로포장수량 16 2" xfId="34896"/>
    <cellStyle name="a_수량전체_인월중군소하천_자전거도로포장수량 17" xfId="21940"/>
    <cellStyle name="a_수량전체_인월중군소하천_자전거도로포장수량 17 2" xfId="34377"/>
    <cellStyle name="a_수량전체_인월중군소하천_자전거도로포장수량 18" xfId="23916"/>
    <cellStyle name="a_수량전체_인월중군소하천_자전거도로포장수량 18 2" xfId="36347"/>
    <cellStyle name="a_수량전체_인월중군소하천_자전거도로포장수량 19" xfId="23992"/>
    <cellStyle name="a_수량전체_인월중군소하천_자전거도로포장수량 19 2" xfId="36423"/>
    <cellStyle name="a_수량전체_인월중군소하천_자전거도로포장수량 2" xfId="13143"/>
    <cellStyle name="a_수량전체_인월중군소하천_자전거도로포장수량 2 2" xfId="26012"/>
    <cellStyle name="a_수량전체_인월중군소하천_자전거도로포장수량 20" xfId="20833"/>
    <cellStyle name="a_수량전체_인월중군소하천_자전거도로포장수량 20 2" xfId="33270"/>
    <cellStyle name="a_수량전체_인월중군소하천_자전거도로포장수량 21" xfId="22269"/>
    <cellStyle name="a_수량전체_인월중군소하천_자전거도로포장수량 21 2" xfId="34704"/>
    <cellStyle name="a_수량전체_인월중군소하천_자전거도로포장수량 3" xfId="14729"/>
    <cellStyle name="a_수량전체_인월중군소하천_자전거도로포장수량 3 2" xfId="27554"/>
    <cellStyle name="a_수량전체_인월중군소하천_자전거도로포장수량 4" xfId="16788"/>
    <cellStyle name="a_수량전체_인월중군소하천_자전거도로포장수량 4 2" xfId="29563"/>
    <cellStyle name="a_수량전체_인월중군소하천_자전거도로포장수량 5" xfId="12739"/>
    <cellStyle name="a_수량전체_인월중군소하천_자전거도로포장수량 5 2" xfId="25616"/>
    <cellStyle name="a_수량전체_인월중군소하천_자전거도로포장수량 6" xfId="12605"/>
    <cellStyle name="a_수량전체_인월중군소하천_자전거도로포장수량 6 2" xfId="25484"/>
    <cellStyle name="a_수량전체_인월중군소하천_자전거도로포장수량 7" xfId="17314"/>
    <cellStyle name="a_수량전체_인월중군소하천_자전거도로포장수량 7 2" xfId="30043"/>
    <cellStyle name="a_수량전체_인월중군소하천_자전거도로포장수량 8" xfId="14405"/>
    <cellStyle name="a_수량전체_인월중군소하천_자전거도로포장수량 8 2" xfId="27238"/>
    <cellStyle name="a_수량전체_인월중군소하천_자전거도로포장수량 9" xfId="17255"/>
    <cellStyle name="a_수량전체_인월중군소하천_자전거도로포장수량 9 2" xfId="29988"/>
    <cellStyle name="a_수량전체_자전거도로구조물공수량" xfId="2196"/>
    <cellStyle name="a_수량전체_자전거도로구조물공수량 10" xfId="14061"/>
    <cellStyle name="a_수량전체_자전거도로구조물공수량 10 2" xfId="26909"/>
    <cellStyle name="a_수량전체_자전거도로구조물공수량 11" xfId="19142"/>
    <cellStyle name="a_수량전체_자전거도로구조물공수량 12" xfId="19908"/>
    <cellStyle name="a_수량전체_자전거도로구조물공수량 12 2" xfId="32357"/>
    <cellStyle name="a_수량전체_자전거도로구조물공수량 13" xfId="19653"/>
    <cellStyle name="a_수량전체_자전거도로구조물공수량 13 2" xfId="32108"/>
    <cellStyle name="a_수량전체_자전거도로구조물공수량 14" xfId="19707"/>
    <cellStyle name="a_수량전체_자전거도로구조물공수량 14 2" xfId="32161"/>
    <cellStyle name="a_수량전체_자전거도로구조물공수량 15" xfId="20912"/>
    <cellStyle name="a_수량전체_자전거도로구조물공수량 15 2" xfId="33349"/>
    <cellStyle name="a_수량전체_자전거도로구조물공수량 16" xfId="19885"/>
    <cellStyle name="a_수량전체_자전거도로구조물공수량 16 2" xfId="32335"/>
    <cellStyle name="a_수량전체_자전거도로구조물공수량 17" xfId="20058"/>
    <cellStyle name="a_수량전체_자전거도로구조물공수량 17 2" xfId="32504"/>
    <cellStyle name="a_수량전체_자전거도로구조물공수량 18" xfId="21139"/>
    <cellStyle name="a_수량전체_자전거도로구조물공수량 18 2" xfId="33576"/>
    <cellStyle name="a_수량전체_자전거도로구조물공수량 19" xfId="18782"/>
    <cellStyle name="a_수량전체_자전거도로구조물공수량 19 2" xfId="31487"/>
    <cellStyle name="a_수량전체_자전거도로구조물공수량 2" xfId="13144"/>
    <cellStyle name="a_수량전체_자전거도로구조물공수량 2 2" xfId="26013"/>
    <cellStyle name="a_수량전체_자전거도로구조물공수량 20" xfId="22401"/>
    <cellStyle name="a_수량전체_자전거도로구조물공수량 20 2" xfId="34835"/>
    <cellStyle name="a_수량전체_자전거도로구조물공수량 21" xfId="22439"/>
    <cellStyle name="a_수량전체_자전거도로구조물공수량 21 2" xfId="34873"/>
    <cellStyle name="a_수량전체_자전거도로구조물공수량 3" xfId="14728"/>
    <cellStyle name="a_수량전체_자전거도로구조물공수량 3 2" xfId="27553"/>
    <cellStyle name="a_수량전체_자전거도로구조물공수량 4" xfId="16787"/>
    <cellStyle name="a_수량전체_자전거도로구조물공수량 4 2" xfId="29562"/>
    <cellStyle name="a_수량전체_자전거도로구조물공수량 5" xfId="15231"/>
    <cellStyle name="a_수량전체_자전거도로구조물공수량 5 2" xfId="28049"/>
    <cellStyle name="a_수량전체_자전거도로구조물공수량 6" xfId="14254"/>
    <cellStyle name="a_수량전체_자전거도로구조물공수량 6 2" xfId="27090"/>
    <cellStyle name="a_수량전체_자전거도로구조물공수량 7" xfId="17315"/>
    <cellStyle name="a_수량전체_자전거도로구조물공수량 7 2" xfId="30044"/>
    <cellStyle name="a_수량전체_자전거도로구조물공수량 8" xfId="14066"/>
    <cellStyle name="a_수량전체_자전거도로구조물공수량 8 2" xfId="26914"/>
    <cellStyle name="a_수량전체_자전거도로구조물공수량 9" xfId="17622"/>
    <cellStyle name="a_수량전체_자전거도로구조물공수량 9 2" xfId="30339"/>
    <cellStyle name="a_수량전체_자전거도로포장수량" xfId="2197"/>
    <cellStyle name="a_수량전체_자전거도로포장수량 10" xfId="17723"/>
    <cellStyle name="a_수량전체_자전거도로포장수량 10 2" xfId="30440"/>
    <cellStyle name="a_수량전체_자전거도로포장수량 11" xfId="19143"/>
    <cellStyle name="a_수량전체_자전거도로포장수량 12" xfId="19907"/>
    <cellStyle name="a_수량전체_자전거도로포장수량 12 2" xfId="32356"/>
    <cellStyle name="a_수량전체_자전거도로포장수량 13" xfId="19654"/>
    <cellStyle name="a_수량전체_자전거도로포장수량 13 2" xfId="32109"/>
    <cellStyle name="a_수량전체_자전거도로포장수량 14" xfId="19708"/>
    <cellStyle name="a_수량전체_자전거도로포장수량 14 2" xfId="32162"/>
    <cellStyle name="a_수량전체_자전거도로포장수량 15" xfId="18826"/>
    <cellStyle name="a_수량전체_자전거도로포장수량 15 2" xfId="31531"/>
    <cellStyle name="a_수량전체_자전거도로포장수량 16" xfId="21270"/>
    <cellStyle name="a_수량전체_자전거도로포장수량 16 2" xfId="33707"/>
    <cellStyle name="a_수량전체_자전거도로포장수량 17" xfId="22631"/>
    <cellStyle name="a_수량전체_자전거도로포장수량 17 2" xfId="35065"/>
    <cellStyle name="a_수량전체_자전거도로포장수량 18" xfId="23435"/>
    <cellStyle name="a_수량전체_자전거도로포장수량 18 2" xfId="35866"/>
    <cellStyle name="a_수량전체_자전거도로포장수량 19" xfId="18769"/>
    <cellStyle name="a_수량전체_자전거도로포장수량 19 2" xfId="31474"/>
    <cellStyle name="a_수량전체_자전거도로포장수량 2" xfId="13145"/>
    <cellStyle name="a_수량전체_자전거도로포장수량 2 2" xfId="26014"/>
    <cellStyle name="a_수량전체_자전거도로포장수량 20" xfId="18785"/>
    <cellStyle name="a_수량전체_자전거도로포장수량 20 2" xfId="31490"/>
    <cellStyle name="a_수량전체_자전거도로포장수량 21" xfId="20547"/>
    <cellStyle name="a_수량전체_자전거도로포장수량 21 2" xfId="32992"/>
    <cellStyle name="a_수량전체_자전거도로포장수량 3" xfId="14727"/>
    <cellStyle name="a_수량전체_자전거도로포장수량 3 2" xfId="27552"/>
    <cellStyle name="a_수량전체_자전거도로포장수량 4" xfId="16786"/>
    <cellStyle name="a_수량전체_자전거도로포장수량 4 2" xfId="29561"/>
    <cellStyle name="a_수량전체_자전거도로포장수량 5" xfId="12740"/>
    <cellStyle name="a_수량전체_자전거도로포장수량 5 2" xfId="25617"/>
    <cellStyle name="a_수량전체_자전거도로포장수량 6" xfId="13970"/>
    <cellStyle name="a_수량전체_자전거도로포장수량 6 2" xfId="26827"/>
    <cellStyle name="a_수량전체_자전거도로포장수량 7" xfId="13089"/>
    <cellStyle name="a_수량전체_자전거도로포장수량 7 2" xfId="25958"/>
    <cellStyle name="a_수량전체_자전거도로포장수량 8" xfId="14529"/>
    <cellStyle name="a_수량전체_자전거도로포장수량 8 2" xfId="27357"/>
    <cellStyle name="a_수량전체_자전거도로포장수량 9" xfId="17256"/>
    <cellStyle name="a_수량전체_자전거도로포장수량 9 2" xfId="29989"/>
    <cellStyle name="a_은행로전기내역서" xfId="2198"/>
    <cellStyle name="a_은행로전기내역서 10" xfId="17996"/>
    <cellStyle name="a_은행로전기내역서 10 2" xfId="30708"/>
    <cellStyle name="a_은행로전기내역서 11" xfId="19144"/>
    <cellStyle name="a_은행로전기내역서 12" xfId="19906"/>
    <cellStyle name="a_은행로전기내역서 12 2" xfId="32355"/>
    <cellStyle name="a_은행로전기내역서 13" xfId="19655"/>
    <cellStyle name="a_은행로전기내역서 13 2" xfId="32110"/>
    <cellStyle name="a_은행로전기내역서 14" xfId="19709"/>
    <cellStyle name="a_은행로전기내역서 14 2" xfId="32163"/>
    <cellStyle name="a_은행로전기내역서 15" xfId="20698"/>
    <cellStyle name="a_은행로전기내역서 15 2" xfId="33141"/>
    <cellStyle name="a_은행로전기내역서 16" xfId="19884"/>
    <cellStyle name="a_은행로전기내역서 16 2" xfId="32334"/>
    <cellStyle name="a_은행로전기내역서 17" xfId="23678"/>
    <cellStyle name="a_은행로전기내역서 17 2" xfId="36109"/>
    <cellStyle name="a_은행로전기내역서 18" xfId="21704"/>
    <cellStyle name="a_은행로전기내역서 18 2" xfId="34141"/>
    <cellStyle name="a_은행로전기내역서 19" xfId="18893"/>
    <cellStyle name="a_은행로전기내역서 19 2" xfId="31598"/>
    <cellStyle name="a_은행로전기내역서 2" xfId="13146"/>
    <cellStyle name="a_은행로전기내역서 2 2" xfId="26015"/>
    <cellStyle name="a_은행로전기내역서 20" xfId="20636"/>
    <cellStyle name="a_은행로전기내역서 20 2" xfId="33080"/>
    <cellStyle name="a_은행로전기내역서 21" xfId="18979"/>
    <cellStyle name="a_은행로전기내역서 21 2" xfId="31684"/>
    <cellStyle name="a_은행로전기내역서 3" xfId="14726"/>
    <cellStyle name="a_은행로전기내역서 3 2" xfId="27551"/>
    <cellStyle name="a_은행로전기내역서 4" xfId="16785"/>
    <cellStyle name="a_은행로전기내역서 4 2" xfId="29560"/>
    <cellStyle name="a_은행로전기내역서 5" xfId="15232"/>
    <cellStyle name="a_은행로전기내역서 5 2" xfId="28050"/>
    <cellStyle name="a_은행로전기내역서 6" xfId="12604"/>
    <cellStyle name="a_은행로전기내역서 6 2" xfId="25483"/>
    <cellStyle name="a_은행로전기내역서 7" xfId="17316"/>
    <cellStyle name="a_은행로전기내역서 7 2" xfId="30045"/>
    <cellStyle name="a_은행로전기내역서 8" xfId="14573"/>
    <cellStyle name="a_은행로전기내역서 8 2" xfId="27399"/>
    <cellStyle name="a_은행로전기내역서 9" xfId="17890"/>
    <cellStyle name="a_은행로전기내역서 9 2" xfId="30604"/>
    <cellStyle name="a_전주시 횡단보도 작업내역서(준공)" xfId="2199"/>
    <cellStyle name="a_지하차도및터널 장소별내역서(준공)" xfId="2200"/>
    <cellStyle name="A¡ " xfId="11640"/>
    <cellStyle name="A¡§¡ⓒ¡E¡þ¡EO [0]_¡§uc¡§oA " xfId="2201"/>
    <cellStyle name="A¡§¡ⓒ¡E¡þ¡EO_¡§uc¡§oA " xfId="2202"/>
    <cellStyle name="A¨­￠￢￠O [0]_ ¨￢n￠￢n¨￢¡Æ ￠?u¨￢¡Æ¡¾a¨uu " xfId="2203"/>
    <cellStyle name="A¨­¢¬¢Ò [0]_¨úc¨öA " xfId="2204"/>
    <cellStyle name="A¨­￠￢￠O [0]_￠?i¡ieE¡ⓒ¡¤A ¡¾a¡¾￠￢A￠OA¡AC¡I" xfId="5472"/>
    <cellStyle name="A¨­¢¬¢Ò [0]_4PART " xfId="2205"/>
    <cellStyle name="A¨­￠￢￠O [0]_A|A￠O1¨￢I1¡Æu CoEⓒ÷ " xfId="2206"/>
    <cellStyle name="A¨­¢¬¢Ò [0]_C¡Æ¢¬n¨¬¡Æ " xfId="2207"/>
    <cellStyle name="A¨­￠￢￠O [0]_ⓒoⓒ¡A¨o¨￢R " xfId="2208"/>
    <cellStyle name="A¨­￠￢￠O_ ¨￢n￠￢n¨￢¡Æ ￠?u¨￢¡Æ¡¾a¨uu " xfId="2209"/>
    <cellStyle name="A¨­¢¬¢Ò_¨úc¨öA " xfId="2210"/>
    <cellStyle name="A¨­￠￢￠O_￠?i¡ieE¡ⓒ¡¤A ¡¾a¡¾￠￢A￠OA¡AC¡I" xfId="5473"/>
    <cellStyle name="A¨­¢¬¢Ò_95©øaAN¡Æy¨ùo¡¤R " xfId="2211"/>
    <cellStyle name="A¨­￠￢￠O_A|A￠O1¨￢I1¡Æu CoEⓒ÷ " xfId="2212"/>
    <cellStyle name="A¨­¢¬¢Ò_C¡Æ¢¬n¨¬¡Æ " xfId="2213"/>
    <cellStyle name="A¨­￠￢￠O_ⓒoⓒ¡A¨o¨￢R " xfId="2214"/>
    <cellStyle name="A¨i " xfId="11641"/>
    <cellStyle name="A¨i¡ " xfId="11642"/>
    <cellStyle name="A¨i¡ⓒ " xfId="11643"/>
    <cellStyle name="A¨i¡ⓒ¡e¡ " xfId="11644"/>
    <cellStyle name="A￠R¡×￠R¨I￠RE￠Rⓒ­￠REO [0]_INQUIRY ￠RE?￠RIi￠R¡×u¡ERAA¡§I￠Rⓒ­A¡§I¡§¡I " xfId="2215"/>
    <cellStyle name="A￠R¡×￠R¨I￠RE￠Rⓒ­￠REO_INQUIRY ￠RE?￠RIi￠R¡×u¡ERAA¡§I￠Rⓒ­A¡§I¡§¡I " xfId="2216"/>
    <cellStyle name="A1" xfId="11645"/>
    <cellStyle name="AA" xfId="2217"/>
    <cellStyle name="aa 2" xfId="11203"/>
    <cellStyle name="ȂȃRMऌଃਁȋ⤭ࠀȄԂȂ(ȃRMऌଃਁȋ⤂Ā飰ˠ" xfId="2218"/>
    <cellStyle name="Aⓒ" xfId="2219"/>
    <cellStyle name="Aⓒ­ " xfId="11646"/>
    <cellStyle name="Aⓒ 10" xfId="15815"/>
    <cellStyle name="Aⓒ 11" xfId="14056"/>
    <cellStyle name="Aⓒ 12" xfId="17539"/>
    <cellStyle name="Aⓒ 13" xfId="17807"/>
    <cellStyle name="Aⓒ 14" xfId="17247"/>
    <cellStyle name="Aⓒ 15" xfId="14239"/>
    <cellStyle name="Aⓒ 16" xfId="17869"/>
    <cellStyle name="Aⓒ 17" xfId="17551"/>
    <cellStyle name="Aⓒ 18" xfId="14495"/>
    <cellStyle name="Aⓒ 19" xfId="19152"/>
    <cellStyle name="Aⓒ 2" xfId="4557"/>
    <cellStyle name="Aⓒ 20" xfId="19893"/>
    <cellStyle name="Aⓒ 21" xfId="19661"/>
    <cellStyle name="Aⓒ 22" xfId="22975"/>
    <cellStyle name="Aⓒ 23" xfId="19711"/>
    <cellStyle name="Aⓒ 24" xfId="20750"/>
    <cellStyle name="Aⓒ 25" xfId="18390"/>
    <cellStyle name="Aⓒ 26" xfId="19992"/>
    <cellStyle name="Aⓒ 27" xfId="20238"/>
    <cellStyle name="Aⓒ 28" xfId="22070"/>
    <cellStyle name="Aⓒ 29" xfId="22184"/>
    <cellStyle name="Aⓒ 3" xfId="4541"/>
    <cellStyle name="Aⓒ 30" xfId="19959"/>
    <cellStyle name="Aⓒ 31" xfId="20797"/>
    <cellStyle name="Aⓒ 32" xfId="19988"/>
    <cellStyle name="Aⓒ 33" xfId="22278"/>
    <cellStyle name="Aⓒ 34" xfId="25103"/>
    <cellStyle name="Aⓒ 4" xfId="17031"/>
    <cellStyle name="Aⓒ 5" xfId="13164"/>
    <cellStyle name="Aⓒ 6" xfId="14724"/>
    <cellStyle name="Aⓒ 7" xfId="13677"/>
    <cellStyle name="Aⓒ 8" xfId="13780"/>
    <cellStyle name="Aⓒ 9" xfId="13961"/>
    <cellStyle name="Aⓒ_내역서" xfId="17032"/>
    <cellStyle name="Aⓒ­￠￢ " xfId="11647"/>
    <cellStyle name="Aⓒ­￠￢￠" xfId="2220"/>
    <cellStyle name="Aⓒ­￠￢￠ 2" xfId="4558"/>
    <cellStyle name="Aⓒ­￠￢￠ 3" xfId="4542"/>
    <cellStyle name="Aⓒ­￠￢￠ 4" xfId="17033"/>
    <cellStyle name="Aⓒ­￠￢￠_내역서" xfId="17034"/>
    <cellStyle name="Aⓒ­￠￢￠o " xfId="11648"/>
    <cellStyle name="Actual Date" xfId="5474"/>
    <cellStyle name="Ae" xfId="2221"/>
    <cellStyle name="Ae 2" xfId="4559"/>
    <cellStyle name="Ae 3" xfId="4543"/>
    <cellStyle name="Ae 4" xfId="17035"/>
    <cellStyle name="Ae_내역서" xfId="17036"/>
    <cellStyle name="Aee­" xfId="10247"/>
    <cellStyle name="Aee­ " xfId="2222"/>
    <cellStyle name="Aee­  2" xfId="10248"/>
    <cellStyle name="Aee­ [" xfId="2223"/>
    <cellStyle name="Aee­ [ 2" xfId="4560"/>
    <cellStyle name="Aee­ [ 3" xfId="4544"/>
    <cellStyle name="Aee­ [ 4" xfId="17037"/>
    <cellStyle name="Aee­ [_내역서" xfId="17038"/>
    <cellStyle name="Aee­ [0]" xfId="10249"/>
    <cellStyle name="ÅëÈ­ [0]_¸ðÇü¸·" xfId="2224"/>
    <cellStyle name="AeE­ [0]_¸ðCu¸· 2" xfId="11649"/>
    <cellStyle name="ÅëÈ­ [0]_¸ñ·Ï-±â°è" xfId="5475"/>
    <cellStyle name="AeE­ [0]_¸n·I-±a°e_AIA§-es2A÷" xfId="5476"/>
    <cellStyle name="ÅëÈ­ [0]_¸ñ·Ï-±â°è_ÀÏÀ§-es2Â÷" xfId="5477"/>
    <cellStyle name="AeE­ [0]_¸n-E?" xfId="5478"/>
    <cellStyle name="ÅëÈ­ [0]_¸ñ-È¯" xfId="5479"/>
    <cellStyle name="AeE­ [0]_¿­¸° INT" xfId="2225"/>
    <cellStyle name="ÅëÈ­ [0]_¿¹»ê¼­" xfId="11650"/>
    <cellStyle name="AeE­ [0]_±a°e¼³ºn-AIA§¸n·I " xfId="5480"/>
    <cellStyle name="ÅëÈ­ [0]_±â°è¼³ºñ-ÀÏÀ§¸ñ·Ï " xfId="5481"/>
    <cellStyle name="AeE­ [0]_°æºn¹eºI¾×" xfId="5482"/>
    <cellStyle name="ÅëÈ­ [0]_°ü¸®Ç×¸ñ_¾÷Á¾º° " xfId="5483"/>
    <cellStyle name="AeE­ [0]_¼oAI¼º " xfId="2226"/>
    <cellStyle name="ÅëÈ­ [0]_¾÷Á¾º° " xfId="2227"/>
    <cellStyle name="AeE­ [0]_¾c½A " xfId="2228"/>
    <cellStyle name="ÅëÈ­ [0]_¹æÀ½º® " xfId="2229"/>
    <cellStyle name="AeE­ [0]_4PART " xfId="2230"/>
    <cellStyle name="ÅëÈ­ [0]_7°èÈ¹ " xfId="10250"/>
    <cellStyle name="AeE­ [0]_A¾CO½A¼³ " xfId="2231"/>
    <cellStyle name="ÅëÈ­ [0]_Á¾ÇÕ½Å¼³ " xfId="10251"/>
    <cellStyle name="AeE­ [0]_A¾CO½A¼³  2" xfId="10252"/>
    <cellStyle name="ÅëÈ­ [0]_Á¾ÇÕÃ¶°ÅºÐ " xfId="10253"/>
    <cellStyle name="AeE­ [0]_AIA§-es2A÷" xfId="5484"/>
    <cellStyle name="ÅëÈ­ [0]_ÀÏÀ§-es2Â÷" xfId="5485"/>
    <cellStyle name="AeE­ [0]_AMT " xfId="5486"/>
    <cellStyle name="ÅëÈ­ [0]_Áý°èÇ¥°ÇÃàºÐ" xfId="5487"/>
    <cellStyle name="AeE­ [0]_BOM°eAa" xfId="5488"/>
    <cellStyle name="ÅëÈ­ [0]_BOM°èÀå" xfId="5489"/>
    <cellStyle name="AeE­ [0]_INQUIRY ¿μ¾÷AßAø " xfId="2232"/>
    <cellStyle name="ÅëÈ­ [0]_laroux" xfId="2233"/>
    <cellStyle name="AeE­ [0]_laroux_1" xfId="5490"/>
    <cellStyle name="ÅëÈ­ [0]_laroux_1" xfId="5491"/>
    <cellStyle name="AeE­ [0]_laroux_1 2" xfId="11204"/>
    <cellStyle name="ÅëÈ­ [0]_laroux_1 2" xfId="11205"/>
    <cellStyle name="AeE­ [0]_laroux_1 3" xfId="11128"/>
    <cellStyle name="ÅëÈ­ [0]_laroux_1 3" xfId="11127"/>
    <cellStyle name="AeE­ [0]_laroux_1 4" xfId="11158"/>
    <cellStyle name="ÅëÈ­ [0]_laroux_1 4" xfId="11159"/>
    <cellStyle name="AeE­ [0]_laroux_1 5" xfId="11146"/>
    <cellStyle name="ÅëÈ­ [0]_laroux_1 5" xfId="10941"/>
    <cellStyle name="AeE­ [0]_laroux_2" xfId="5492"/>
    <cellStyle name="ÅëÈ­ [0]_laroux_2" xfId="5493"/>
    <cellStyle name="AeE­ [0]_laroux_2 2" xfId="11206"/>
    <cellStyle name="ÅëÈ­ [0]_laroux_2 2" xfId="11207"/>
    <cellStyle name="AeE­ [0]_laroux_2 3" xfId="11126"/>
    <cellStyle name="ÅëÈ­ [0]_laroux_2 3" xfId="11125"/>
    <cellStyle name="AeE­ [0]_laroux_2 4" xfId="11160"/>
    <cellStyle name="ÅëÈ­ [0]_laroux_2 4" xfId="11161"/>
    <cellStyle name="AeE­ [0]_laroux_2 5" xfId="11145"/>
    <cellStyle name="ÅëÈ­ [0]_laroux_2 5" xfId="11144"/>
    <cellStyle name="AeE­ [0]_º≫¼± ±æ¾i±uºI ¼o·R Ay°eC￥ " xfId="2234"/>
    <cellStyle name="ÅëÈ­ [0]_ºÙÀÓ2-1 " xfId="2235"/>
    <cellStyle name="AeE­ [0]_PERSONAL" xfId="2236"/>
    <cellStyle name="ÅëÈ­ [0]_Sheet1" xfId="5494"/>
    <cellStyle name="Aee­ _100%-2006신호-" xfId="10254"/>
    <cellStyle name="Aee­_ " xfId="11651"/>
    <cellStyle name="ÅëÈ­_¸ðÇü¸·" xfId="2237"/>
    <cellStyle name="AeE­_¸ðCu¸· 2" xfId="11652"/>
    <cellStyle name="ÅëÈ­_¸ñ·Ï-±â°è" xfId="5495"/>
    <cellStyle name="AeE­_¸n·I-±a°e_AIA§-es2A÷" xfId="5496"/>
    <cellStyle name="ÅëÈ­_¸ñ·Ï-±â°è_ÀÏÀ§-es2Â÷" xfId="5497"/>
    <cellStyle name="AeE­_¸n-E?" xfId="5498"/>
    <cellStyle name="ÅëÈ­_¸ñ-È¯" xfId="5499"/>
    <cellStyle name="AeE­_¿­¸° INT" xfId="2238"/>
    <cellStyle name="ÅëÈ­_¿¹»ê¼­" xfId="11653"/>
    <cellStyle name="AeE­_±a°e¼³ºn-AIA§¸n·I " xfId="5500"/>
    <cellStyle name="ÅëÈ­_±â°è¼³ºñ-ÀÏÀ§¸ñ·Ï " xfId="5501"/>
    <cellStyle name="AeE­_°æºn¹eºI¾×" xfId="5502"/>
    <cellStyle name="ÅëÈ­_°ü¸®Ç×¸ñ_¾÷Á¾º° " xfId="5503"/>
    <cellStyle name="AeE­_¼oAI¼º " xfId="2239"/>
    <cellStyle name="ÅëÈ­_¾÷Á¾º° " xfId="2240"/>
    <cellStyle name="AeE­_¾c½A " xfId="2241"/>
    <cellStyle name="ÅëÈ­_¹æÀ½º® " xfId="2242"/>
    <cellStyle name="AeE­_4PART " xfId="2243"/>
    <cellStyle name="ÅëÈ­_7°èÈ¹ " xfId="10255"/>
    <cellStyle name="AeE­_A¾CO½A¼³ " xfId="2244"/>
    <cellStyle name="ÅëÈ­_Á¾ÇÕ½Å¼³ " xfId="10256"/>
    <cellStyle name="AeE­_A¾CO½A¼³  2" xfId="10257"/>
    <cellStyle name="ÅëÈ­_Á¾ÇÕÃ¶°ÅºÐ " xfId="10258"/>
    <cellStyle name="AeE­_AIA§-es2A÷" xfId="5504"/>
    <cellStyle name="ÅëÈ­_ÀÏÀ§-es2Â÷" xfId="5505"/>
    <cellStyle name="AeE­_AMT " xfId="5506"/>
    <cellStyle name="ÅëÈ­_Áý°èÇ¥°ÇÃàºÐ" xfId="5507"/>
    <cellStyle name="AeE­_BOM°eAa" xfId="5508"/>
    <cellStyle name="ÅëÈ­_BOM°èÀå" xfId="5509"/>
    <cellStyle name="AeE­_INQUIRY ¿μ¾÷AßAø " xfId="2245"/>
    <cellStyle name="ÅëÈ­_laroux" xfId="2246"/>
    <cellStyle name="AeE­_laroux_1" xfId="5510"/>
    <cellStyle name="ÅëÈ­_laroux_1" xfId="5511"/>
    <cellStyle name="AeE­_laroux_1 2" xfId="11208"/>
    <cellStyle name="ÅëÈ­_laroux_1 2" xfId="11209"/>
    <cellStyle name="AeE­_laroux_1 3" xfId="11124"/>
    <cellStyle name="ÅëÈ­_laroux_1 3" xfId="11123"/>
    <cellStyle name="AeE­_laroux_1 4" xfId="11162"/>
    <cellStyle name="ÅëÈ­_laroux_1 4" xfId="11163"/>
    <cellStyle name="AeE­_laroux_1 5" xfId="11143"/>
    <cellStyle name="ÅëÈ­_laroux_1 5" xfId="11142"/>
    <cellStyle name="AeE­_laroux_2" xfId="5512"/>
    <cellStyle name="ÅëÈ­_laroux_2" xfId="5513"/>
    <cellStyle name="AeE­_laroux_2 2" xfId="11210"/>
    <cellStyle name="ÅëÈ­_laroux_2 2" xfId="11211"/>
    <cellStyle name="AeE­_laroux_2 3" xfId="11122"/>
    <cellStyle name="ÅëÈ­_laroux_2 3" xfId="11121"/>
    <cellStyle name="AeE­_laroux_2 4" xfId="11164"/>
    <cellStyle name="ÅëÈ­_laroux_2 4" xfId="11165"/>
    <cellStyle name="AeE­_laroux_2 5" xfId="10940"/>
    <cellStyle name="ÅëÈ­_laroux_2 5" xfId="11141"/>
    <cellStyle name="AeE­_º≫¼± ±æ¾i±uºI ¼o·R Ay°eC￥ " xfId="2247"/>
    <cellStyle name="ÅëÈ­_ºÙÀÓ2-1 " xfId="2248"/>
    <cellStyle name="AeE­_PERSONAL" xfId="2249"/>
    <cellStyle name="ÅëÈ­_Sheet1" xfId="5514"/>
    <cellStyle name="Aee¡ " xfId="11654"/>
    <cellStyle name="AeE¡© [0]_¨úc¨öA " xfId="2250"/>
    <cellStyle name="AeE¡©_¨úc¨öA " xfId="2251"/>
    <cellStyle name="Aee¡ⓒ " xfId="2252"/>
    <cellStyle name="Aee¡ⓒ  2" xfId="4561"/>
    <cellStyle name="Aee¡ⓒ  3" xfId="4545"/>
    <cellStyle name="Aee¡ⓒ  4" xfId="17039"/>
    <cellStyle name="AeE¡ⓒ [0]_ ¨￢n￠￢n¨￢¡Æ ￠?u¨￢¡Æ¡¾a¨uu " xfId="2253"/>
    <cellStyle name="Aee¡ⓒ _5공구 내역서" xfId="2254"/>
    <cellStyle name="AeE¡ⓒ_ ¨￢n￠￢n¨￢¡Æ ￠?u¨￢¡Æ¡¾a¨uu " xfId="2255"/>
    <cellStyle name="Aee¡er " xfId="11655"/>
    <cellStyle name="AeE¡ER¡§I [0]_INQUIRY ￠RE?￠RIi￠R¡×u¡ERAA¡§I￠Rⓒ­A¡§I¡§¡I " xfId="2256"/>
    <cellStyle name="AeE¡ER¡§I_INQUIRY ￠RE?￠RIi￠R¡×u¡ERAA¡§I￠Rⓒ­A¡§I¡§¡I " xfId="2257"/>
    <cellStyle name="Aee￠r " xfId="11656"/>
    <cellStyle name="Aee￠r¨i " xfId="11657"/>
    <cellStyle name="AeE￠R¨I [0]_¡§uc¡§oA " xfId="2258"/>
    <cellStyle name="Aee￠r¨i_ " xfId="11658"/>
    <cellStyle name="Æu¼ " xfId="11659"/>
    <cellStyle name="ÆÛ¼¾Æ®" xfId="5515"/>
    <cellStyle name="Æû¼¾æ® 2" xfId="10259"/>
    <cellStyle name="Æû¼¾æ®_설계내역서" xfId="10260"/>
    <cellStyle name="ÆU¼¾ÆR" xfId="2259"/>
    <cellStyle name="ÆU¼¾ÆR 2" xfId="4562"/>
    <cellStyle name="Æu¼¾æR 2 2" xfId="5517"/>
    <cellStyle name="Æu¼¾æR 3" xfId="5516"/>
    <cellStyle name="ÆU¼¾ÆR 3 2" xfId="11212"/>
    <cellStyle name="ÆU¼¾ÆR 4" xfId="17040"/>
    <cellStyle name="ALIGNMENT" xfId="2260"/>
    <cellStyle name="AoA¤μCAo ¾EA½" xfId="5518"/>
    <cellStyle name="Aþ" xfId="2261"/>
    <cellStyle name="Aþ 2" xfId="4563"/>
    <cellStyle name="Aþ 3" xfId="4546"/>
    <cellStyle name="Aþ 4" xfId="17041"/>
    <cellStyle name="Aþ_내역서" xfId="17042"/>
    <cellStyle name="Aþ¸ " xfId="11660"/>
    <cellStyle name="Aþ¸¶" xfId="10261"/>
    <cellStyle name="Aþ¸¶ [" xfId="2262"/>
    <cellStyle name="Aþ¸¶ [ 2" xfId="4564"/>
    <cellStyle name="Aþ¸¶ [ 3" xfId="4547"/>
    <cellStyle name="Aþ¸¶ [ 4" xfId="17043"/>
    <cellStyle name="Aþ¸¶ [_내역서" xfId="17044"/>
    <cellStyle name="Aþ¸¶ [0]" xfId="10262"/>
    <cellStyle name="ÄÞ¸¶ [0]_¸ðÇü¸·" xfId="2263"/>
    <cellStyle name="AÞ¸¶ [0]_¸ðCu¸· 2" xfId="11661"/>
    <cellStyle name="ÄÞ¸¶ [0]_¸ñ·Ï-±â°è" xfId="5519"/>
    <cellStyle name="AÞ¸¶ [0]_¸n·I-±a°e_AIA§-es2A÷" xfId="5520"/>
    <cellStyle name="ÄÞ¸¶ [0]_¸ñ·Ï-±â°è_ÀÏÀ§-es2Â÷" xfId="5521"/>
    <cellStyle name="AÞ¸¶ [0]_¸n-E?" xfId="5522"/>
    <cellStyle name="ÄÞ¸¶ [0]_¸ñ-È¯" xfId="5523"/>
    <cellStyle name="AÞ¸¶ [0]_¿­¸° INT" xfId="2264"/>
    <cellStyle name="ÄÞ¸¶ [0]_¿¹»ê¼­" xfId="11662"/>
    <cellStyle name="AÞ¸¶ [0]_±a°e¼³ºn-AIA§¸n·I " xfId="5524"/>
    <cellStyle name="ÄÞ¸¶ [0]_±â°è¼³ºñ-ÀÏÀ§¸ñ·Ï " xfId="5525"/>
    <cellStyle name="AÞ¸¶ [0]_°æºn¹eºI¾×" xfId="5526"/>
    <cellStyle name="ÄÞ¸¶ [0]_°ü¸®BS('98) " xfId="5527"/>
    <cellStyle name="AÞ¸¶ [0]_¼oAI¼º " xfId="2265"/>
    <cellStyle name="ÄÞ¸¶ [0]_¾÷Á¾º° " xfId="2266"/>
    <cellStyle name="AÞ¸¶ [0]_¾c½A " xfId="2267"/>
    <cellStyle name="ÄÞ¸¶ [0]_¹æÀ½º® " xfId="2268"/>
    <cellStyle name="AÞ¸¶ [0]_³≫¿ª¼­" xfId="5528"/>
    <cellStyle name="ÄÞ¸¶ [0]_7°èÈ¹ " xfId="10263"/>
    <cellStyle name="AÞ¸¶ [0]_A¾CO½A¼³ " xfId="2269"/>
    <cellStyle name="ÄÞ¸¶ [0]_Á¾ÇÕ½Å¼³ " xfId="10264"/>
    <cellStyle name="AÞ¸¶ [0]_A¾CO½A¼³  2" xfId="10265"/>
    <cellStyle name="ÄÞ¸¶ [0]_Á¾ÇÕÃ¶°ÅºÐ " xfId="10266"/>
    <cellStyle name="AÞ¸¶ [0]_AIA§-es2A÷" xfId="5529"/>
    <cellStyle name="ÄÞ¸¶ [0]_ÀÏÀ§-es2Â÷" xfId="5530"/>
    <cellStyle name="AÞ¸¶ [0]_AN°y(1.25) " xfId="5531"/>
    <cellStyle name="ÄÞ¸¶ [0]_Áý°èÇ¥°ÇÃàºÐ" xfId="5532"/>
    <cellStyle name="AÞ¸¶ [0]_BOM°eAa" xfId="5533"/>
    <cellStyle name="ÄÞ¸¶ [0]_BOM°èÀå" xfId="5534"/>
    <cellStyle name="AÞ¸¶ [0]_INQUIRY ¿μ¾÷AßAø " xfId="2270"/>
    <cellStyle name="ÄÞ¸¶ [0]_laroux" xfId="2271"/>
    <cellStyle name="AÞ¸¶ [0]_laroux_1" xfId="10267"/>
    <cellStyle name="ÄÞ¸¶ [0]_laroux_1" xfId="10268"/>
    <cellStyle name="AÞ¸¶ [0]_laroux_2" xfId="10269"/>
    <cellStyle name="ÄÞ¸¶ [0]_laroux_2" xfId="10270"/>
    <cellStyle name="AÞ¸¶ [0]_laroux_도담차량공작실설계서" xfId="2272"/>
    <cellStyle name="ÄÞ¸¶ [0]_laroux_도담차량공작실설계서" xfId="2273"/>
    <cellStyle name="AÞ¸¶ [0]_laroux_도담차량공작실설계서 10" xfId="2274"/>
    <cellStyle name="ÄÞ¸¶ [0]_laroux_도담차량공작실설계서 10" xfId="2275"/>
    <cellStyle name="AÞ¸¶ [0]_laroux_도담차량공작실설계서 11" xfId="2276"/>
    <cellStyle name="ÄÞ¸¶ [0]_laroux_도담차량공작실설계서 11" xfId="2277"/>
    <cellStyle name="AÞ¸¶ [0]_laroux_도담차량공작실설계서 12" xfId="2278"/>
    <cellStyle name="ÄÞ¸¶ [0]_laroux_도담차량공작실설계서 12" xfId="2279"/>
    <cellStyle name="AÞ¸¶ [0]_laroux_도담차량공작실설계서 13" xfId="2280"/>
    <cellStyle name="ÄÞ¸¶ [0]_laroux_도담차량공작실설계서 13" xfId="2281"/>
    <cellStyle name="AÞ¸¶ [0]_laroux_도담차량공작실설계서 14" xfId="2282"/>
    <cellStyle name="ÄÞ¸¶ [0]_laroux_도담차량공작실설계서 14" xfId="2283"/>
    <cellStyle name="AÞ¸¶ [0]_laroux_도담차량공작실설계서 15" xfId="2284"/>
    <cellStyle name="ÄÞ¸¶ [0]_laroux_도담차량공작실설계서 15" xfId="2285"/>
    <cellStyle name="AÞ¸¶ [0]_laroux_도담차량공작실설계서 16" xfId="2286"/>
    <cellStyle name="ÄÞ¸¶ [0]_laroux_도담차량공작실설계서 16" xfId="2287"/>
    <cellStyle name="AÞ¸¶ [0]_laroux_도담차량공작실설계서 17" xfId="2288"/>
    <cellStyle name="ÄÞ¸¶ [0]_laroux_도담차량공작실설계서 17" xfId="2289"/>
    <cellStyle name="AÞ¸¶ [0]_laroux_도담차량공작실설계서 18" xfId="2290"/>
    <cellStyle name="ÄÞ¸¶ [0]_laroux_도담차량공작실설계서 18" xfId="2291"/>
    <cellStyle name="AÞ¸¶ [0]_laroux_도담차량공작실설계서 19" xfId="2292"/>
    <cellStyle name="ÄÞ¸¶ [0]_laroux_도담차량공작실설계서 19" xfId="2293"/>
    <cellStyle name="AÞ¸¶ [0]_laroux_도담차량공작실설계서 2" xfId="2294"/>
    <cellStyle name="ÄÞ¸¶ [0]_laroux_도담차량공작실설계서 2" xfId="2295"/>
    <cellStyle name="AÞ¸¶ [0]_laroux_도담차량공작실설계서 20" xfId="2296"/>
    <cellStyle name="ÄÞ¸¶ [0]_laroux_도담차량공작실설계서 20" xfId="2297"/>
    <cellStyle name="AÞ¸¶ [0]_laroux_도담차량공작실설계서 21" xfId="2298"/>
    <cellStyle name="ÄÞ¸¶ [0]_laroux_도담차량공작실설계서 21" xfId="2299"/>
    <cellStyle name="AÞ¸¶ [0]_laroux_도담차량공작실설계서 22" xfId="2300"/>
    <cellStyle name="ÄÞ¸¶ [0]_laroux_도담차량공작실설계서 22" xfId="2301"/>
    <cellStyle name="AÞ¸¶ [0]_laroux_도담차량공작실설계서 23" xfId="2302"/>
    <cellStyle name="ÄÞ¸¶ [0]_laroux_도담차량공작실설계서 23" xfId="2303"/>
    <cellStyle name="AÞ¸¶ [0]_laroux_도담차량공작실설계서 24" xfId="2304"/>
    <cellStyle name="ÄÞ¸¶ [0]_laroux_도담차량공작실설계서 24" xfId="2305"/>
    <cellStyle name="AÞ¸¶ [0]_laroux_도담차량공작실설계서 25" xfId="2306"/>
    <cellStyle name="ÄÞ¸¶ [0]_laroux_도담차량공작실설계서 25" xfId="2307"/>
    <cellStyle name="AÞ¸¶ [0]_laroux_도담차량공작실설계서 26" xfId="2308"/>
    <cellStyle name="ÄÞ¸¶ [0]_laroux_도담차량공작실설계서 26" xfId="2309"/>
    <cellStyle name="AÞ¸¶ [0]_laroux_도담차량공작실설계서 27" xfId="2310"/>
    <cellStyle name="ÄÞ¸¶ [0]_laroux_도담차량공작실설계서 27" xfId="2311"/>
    <cellStyle name="AÞ¸¶ [0]_laroux_도담차량공작실설계서 28" xfId="2312"/>
    <cellStyle name="ÄÞ¸¶ [0]_laroux_도담차량공작실설계서 28" xfId="2313"/>
    <cellStyle name="AÞ¸¶ [0]_laroux_도담차량공작실설계서 29" xfId="2314"/>
    <cellStyle name="ÄÞ¸¶ [0]_laroux_도담차량공작실설계서 29" xfId="2315"/>
    <cellStyle name="AÞ¸¶ [0]_laroux_도담차량공작실설계서 3" xfId="2316"/>
    <cellStyle name="ÄÞ¸¶ [0]_laroux_도담차량공작실설계서 3" xfId="2317"/>
    <cellStyle name="AÞ¸¶ [0]_laroux_도담차량공작실설계서 30" xfId="2318"/>
    <cellStyle name="ÄÞ¸¶ [0]_laroux_도담차량공작실설계서 30" xfId="2319"/>
    <cellStyle name="AÞ¸¶ [0]_laroux_도담차량공작실설계서 31" xfId="2320"/>
    <cellStyle name="ÄÞ¸¶ [0]_laroux_도담차량공작실설계서 31" xfId="2321"/>
    <cellStyle name="AÞ¸¶ [0]_laroux_도담차량공작실설계서 32" xfId="2322"/>
    <cellStyle name="ÄÞ¸¶ [0]_laroux_도담차량공작실설계서 32" xfId="2323"/>
    <cellStyle name="AÞ¸¶ [0]_laroux_도담차량공작실설계서 33" xfId="2324"/>
    <cellStyle name="ÄÞ¸¶ [0]_laroux_도담차량공작실설계서 33" xfId="2325"/>
    <cellStyle name="AÞ¸¶ [0]_laroux_도담차량공작실설계서 34" xfId="2326"/>
    <cellStyle name="ÄÞ¸¶ [0]_laroux_도담차량공작실설계서 34" xfId="2327"/>
    <cellStyle name="AÞ¸¶ [0]_laroux_도담차량공작실설계서 35" xfId="2328"/>
    <cellStyle name="ÄÞ¸¶ [0]_laroux_도담차량공작실설계서 35" xfId="2329"/>
    <cellStyle name="AÞ¸¶ [0]_laroux_도담차량공작실설계서 36" xfId="2330"/>
    <cellStyle name="ÄÞ¸¶ [0]_laroux_도담차량공작실설계서 36" xfId="2331"/>
    <cellStyle name="AÞ¸¶ [0]_laroux_도담차량공작실설계서 37" xfId="2332"/>
    <cellStyle name="ÄÞ¸¶ [0]_laroux_도담차량공작실설계서 37" xfId="2333"/>
    <cellStyle name="AÞ¸¶ [0]_laroux_도담차량공작실설계서 38" xfId="2334"/>
    <cellStyle name="ÄÞ¸¶ [0]_laroux_도담차량공작실설계서 38" xfId="2335"/>
    <cellStyle name="AÞ¸¶ [0]_laroux_도담차량공작실설계서 39" xfId="2336"/>
    <cellStyle name="ÄÞ¸¶ [0]_laroux_도담차량공작실설계서 39" xfId="2337"/>
    <cellStyle name="AÞ¸¶ [0]_laroux_도담차량공작실설계서 4" xfId="2338"/>
    <cellStyle name="ÄÞ¸¶ [0]_laroux_도담차량공작실설계서 4" xfId="2339"/>
    <cellStyle name="AÞ¸¶ [0]_laroux_도담차량공작실설계서 40" xfId="2340"/>
    <cellStyle name="ÄÞ¸¶ [0]_laroux_도담차량공작실설계서 40" xfId="2341"/>
    <cellStyle name="AÞ¸¶ [0]_laroux_도담차량공작실설계서 41" xfId="2342"/>
    <cellStyle name="ÄÞ¸¶ [0]_laroux_도담차량공작실설계서 41" xfId="2343"/>
    <cellStyle name="AÞ¸¶ [0]_laroux_도담차량공작실설계서 42" xfId="2344"/>
    <cellStyle name="ÄÞ¸¶ [0]_laroux_도담차량공작실설계서 42" xfId="2345"/>
    <cellStyle name="AÞ¸¶ [0]_laroux_도담차량공작실설계서 43" xfId="2346"/>
    <cellStyle name="ÄÞ¸¶ [0]_laroux_도담차량공작실설계서 43" xfId="2347"/>
    <cellStyle name="AÞ¸¶ [0]_laroux_도담차량공작실설계서 44" xfId="2348"/>
    <cellStyle name="ÄÞ¸¶ [0]_laroux_도담차량공작실설계서 44" xfId="2349"/>
    <cellStyle name="AÞ¸¶ [0]_laroux_도담차량공작실설계서 45" xfId="2350"/>
    <cellStyle name="ÄÞ¸¶ [0]_laroux_도담차량공작실설계서 45" xfId="2351"/>
    <cellStyle name="AÞ¸¶ [0]_laroux_도담차량공작실설계서 46" xfId="2352"/>
    <cellStyle name="ÄÞ¸¶ [0]_laroux_도담차량공작실설계서 46" xfId="2353"/>
    <cellStyle name="AÞ¸¶ [0]_laroux_도담차량공작실설계서 47" xfId="2354"/>
    <cellStyle name="ÄÞ¸¶ [0]_laroux_도담차량공작실설계서 47" xfId="2355"/>
    <cellStyle name="AÞ¸¶ [0]_laroux_도담차량공작실설계서 48" xfId="2356"/>
    <cellStyle name="ÄÞ¸¶ [0]_laroux_도담차량공작실설계서 48" xfId="2357"/>
    <cellStyle name="AÞ¸¶ [0]_laroux_도담차량공작실설계서 49" xfId="2358"/>
    <cellStyle name="ÄÞ¸¶ [0]_laroux_도담차량공작실설계서 49" xfId="2359"/>
    <cellStyle name="AÞ¸¶ [0]_laroux_도담차량공작실설계서 5" xfId="2360"/>
    <cellStyle name="ÄÞ¸¶ [0]_laroux_도담차량공작실설계서 5" xfId="2361"/>
    <cellStyle name="AÞ¸¶ [0]_laroux_도담차량공작실설계서 50" xfId="2362"/>
    <cellStyle name="ÄÞ¸¶ [0]_laroux_도담차량공작실설계서 50" xfId="2363"/>
    <cellStyle name="AÞ¸¶ [0]_laroux_도담차량공작실설계서 51" xfId="2364"/>
    <cellStyle name="ÄÞ¸¶ [0]_laroux_도담차량공작실설계서 51" xfId="2365"/>
    <cellStyle name="AÞ¸¶ [0]_laroux_도담차량공작실설계서 52" xfId="2366"/>
    <cellStyle name="ÄÞ¸¶ [0]_laroux_도담차량공작실설계서 52" xfId="2367"/>
    <cellStyle name="AÞ¸¶ [0]_laroux_도담차량공작실설계서 53" xfId="2368"/>
    <cellStyle name="ÄÞ¸¶ [0]_laroux_도담차량공작실설계서 53" xfId="2369"/>
    <cellStyle name="AÞ¸¶ [0]_laroux_도담차량공작실설계서 54" xfId="2370"/>
    <cellStyle name="ÄÞ¸¶ [0]_laroux_도담차량공작실설계서 54" xfId="2371"/>
    <cellStyle name="AÞ¸¶ [0]_laroux_도담차량공작실설계서 55" xfId="2372"/>
    <cellStyle name="ÄÞ¸¶ [0]_laroux_도담차량공작실설계서 55" xfId="2373"/>
    <cellStyle name="AÞ¸¶ [0]_laroux_도담차량공작실설계서 56" xfId="2374"/>
    <cellStyle name="ÄÞ¸¶ [0]_laroux_도담차량공작실설계서 56" xfId="2375"/>
    <cellStyle name="AÞ¸¶ [0]_laroux_도담차량공작실설계서 57" xfId="2376"/>
    <cellStyle name="ÄÞ¸¶ [0]_laroux_도담차량공작실설계서 57" xfId="2377"/>
    <cellStyle name="AÞ¸¶ [0]_laroux_도담차량공작실설계서 58" xfId="2378"/>
    <cellStyle name="ÄÞ¸¶ [0]_laroux_도담차량공작실설계서 58" xfId="2379"/>
    <cellStyle name="AÞ¸¶ [0]_laroux_도담차량공작실설계서 59" xfId="2380"/>
    <cellStyle name="ÄÞ¸¶ [0]_laroux_도담차량공작실설계서 59" xfId="2381"/>
    <cellStyle name="AÞ¸¶ [0]_laroux_도담차량공작실설계서 6" xfId="2382"/>
    <cellStyle name="ÄÞ¸¶ [0]_laroux_도담차량공작실설계서 6" xfId="2383"/>
    <cellStyle name="AÞ¸¶ [0]_laroux_도담차량공작실설계서 60" xfId="2384"/>
    <cellStyle name="ÄÞ¸¶ [0]_laroux_도담차량공작실설계서 60" xfId="2385"/>
    <cellStyle name="AÞ¸¶ [0]_laroux_도담차량공작실설계서 61" xfId="2386"/>
    <cellStyle name="ÄÞ¸¶ [0]_laroux_도담차량공작실설계서 61" xfId="2387"/>
    <cellStyle name="AÞ¸¶ [0]_laroux_도담차량공작실설계서 62" xfId="2388"/>
    <cellStyle name="ÄÞ¸¶ [0]_laroux_도담차량공작실설계서 62" xfId="2389"/>
    <cellStyle name="AÞ¸¶ [0]_laroux_도담차량공작실설계서 63" xfId="2390"/>
    <cellStyle name="ÄÞ¸¶ [0]_laroux_도담차량공작실설계서 63" xfId="2391"/>
    <cellStyle name="AÞ¸¶ [0]_laroux_도담차량공작실설계서 64" xfId="2392"/>
    <cellStyle name="ÄÞ¸¶ [0]_laroux_도담차량공작실설계서 64" xfId="2393"/>
    <cellStyle name="AÞ¸¶ [0]_laroux_도담차량공작실설계서 65" xfId="2394"/>
    <cellStyle name="ÄÞ¸¶ [0]_laroux_도담차량공작실설계서 65" xfId="2395"/>
    <cellStyle name="AÞ¸¶ [0]_laroux_도담차량공작실설계서 66" xfId="2396"/>
    <cellStyle name="ÄÞ¸¶ [0]_laroux_도담차량공작실설계서 66" xfId="2397"/>
    <cellStyle name="AÞ¸¶ [0]_laroux_도담차량공작실설계서 67" xfId="2398"/>
    <cellStyle name="ÄÞ¸¶ [0]_laroux_도담차량공작실설계서 67" xfId="2399"/>
    <cellStyle name="AÞ¸¶ [0]_laroux_도담차량공작실설계서 68" xfId="2400"/>
    <cellStyle name="ÄÞ¸¶ [0]_laroux_도담차량공작실설계서 68" xfId="2401"/>
    <cellStyle name="AÞ¸¶ [0]_laroux_도담차량공작실설계서 69" xfId="2402"/>
    <cellStyle name="ÄÞ¸¶ [0]_laroux_도담차량공작실설계서 69" xfId="2403"/>
    <cellStyle name="AÞ¸¶ [0]_laroux_도담차량공작실설계서 7" xfId="2404"/>
    <cellStyle name="ÄÞ¸¶ [0]_laroux_도담차량공작실설계서 7" xfId="2405"/>
    <cellStyle name="AÞ¸¶ [0]_laroux_도담차량공작실설계서 70" xfId="2406"/>
    <cellStyle name="ÄÞ¸¶ [0]_laroux_도담차량공작실설계서 70" xfId="2407"/>
    <cellStyle name="AÞ¸¶ [0]_laroux_도담차량공작실설계서 71" xfId="2408"/>
    <cellStyle name="ÄÞ¸¶ [0]_laroux_도담차량공작실설계서 71" xfId="2409"/>
    <cellStyle name="AÞ¸¶ [0]_laroux_도담차량공작실설계서 72" xfId="2410"/>
    <cellStyle name="ÄÞ¸¶ [0]_laroux_도담차량공작실설계서 72" xfId="2411"/>
    <cellStyle name="AÞ¸¶ [0]_laroux_도담차량공작실설계서 73" xfId="2412"/>
    <cellStyle name="ÄÞ¸¶ [0]_laroux_도담차량공작실설계서 73" xfId="2413"/>
    <cellStyle name="AÞ¸¶ [0]_laroux_도담차량공작실설계서 74" xfId="2414"/>
    <cellStyle name="ÄÞ¸¶ [0]_laroux_도담차량공작실설계서 74" xfId="2415"/>
    <cellStyle name="AÞ¸¶ [0]_laroux_도담차량공작실설계서 75" xfId="2416"/>
    <cellStyle name="ÄÞ¸¶ [0]_laroux_도담차량공작실설계서 75" xfId="2417"/>
    <cellStyle name="AÞ¸¶ [0]_laroux_도담차량공작실설계서 76" xfId="2418"/>
    <cellStyle name="ÄÞ¸¶ [0]_laroux_도담차량공작실설계서 76" xfId="2419"/>
    <cellStyle name="AÞ¸¶ [0]_laroux_도담차량공작실설계서 77" xfId="2420"/>
    <cellStyle name="ÄÞ¸¶ [0]_laroux_도담차량공작실설계서 77" xfId="2421"/>
    <cellStyle name="AÞ¸¶ [0]_laroux_도담차량공작실설계서 78" xfId="2422"/>
    <cellStyle name="ÄÞ¸¶ [0]_laroux_도담차량공작실설계서 78" xfId="2423"/>
    <cellStyle name="AÞ¸¶ [0]_laroux_도담차량공작실설계서 79" xfId="2424"/>
    <cellStyle name="ÄÞ¸¶ [0]_laroux_도담차량공작실설계서 79" xfId="2425"/>
    <cellStyle name="AÞ¸¶ [0]_laroux_도담차량공작실설계서 8" xfId="2426"/>
    <cellStyle name="ÄÞ¸¶ [0]_laroux_도담차량공작실설계서 8" xfId="2427"/>
    <cellStyle name="AÞ¸¶ [0]_laroux_도담차량공작실설계서 80" xfId="2428"/>
    <cellStyle name="ÄÞ¸¶ [0]_laroux_도담차량공작실설계서 80" xfId="2429"/>
    <cellStyle name="AÞ¸¶ [0]_laroux_도담차량공작실설계서 81" xfId="2430"/>
    <cellStyle name="ÄÞ¸¶ [0]_laroux_도담차량공작실설계서 81" xfId="2431"/>
    <cellStyle name="AÞ¸¶ [0]_laroux_도담차량공작실설계서 82" xfId="2432"/>
    <cellStyle name="ÄÞ¸¶ [0]_laroux_도담차량공작실설계서 82" xfId="2433"/>
    <cellStyle name="AÞ¸¶ [0]_laroux_도담차량공작실설계서 83" xfId="2434"/>
    <cellStyle name="ÄÞ¸¶ [0]_laroux_도담차량공작실설계서 83" xfId="2435"/>
    <cellStyle name="AÞ¸¶ [0]_laroux_도담차량공작실설계서 84" xfId="2436"/>
    <cellStyle name="ÄÞ¸¶ [0]_laroux_도담차량공작실설계서 84" xfId="2437"/>
    <cellStyle name="AÞ¸¶ [0]_laroux_도담차량공작실설계서 9" xfId="2438"/>
    <cellStyle name="ÄÞ¸¶ [0]_laroux_도담차량공작실설계서 9" xfId="2439"/>
    <cellStyle name="AÞ¸¶ [0]_laroux_도담차량공작실신설공사" xfId="2440"/>
    <cellStyle name="ÄÞ¸¶ [0]_laroux_도담차량공작실신설공사" xfId="2441"/>
    <cellStyle name="AÞ¸¶ [0]_laroux_상장가도교설계서" xfId="2442"/>
    <cellStyle name="ÄÞ¸¶ [0]_laroux_상장가도교수량산출" xfId="2443"/>
    <cellStyle name="AÞ¸¶ [0]_º≫¼± ±æ¾i±uºI ¼o·R Ay°eC￥ " xfId="2444"/>
    <cellStyle name="ÄÞ¸¶ [0]_ºÙÀÓ2-1 " xfId="2445"/>
    <cellStyle name="AÞ¸¶ [0]_Sheet1" xfId="5535"/>
    <cellStyle name="ÄÞ¸¶ [0]_Sheet1" xfId="5536"/>
    <cellStyle name="AÞ¸¶ [2]" xfId="2446"/>
    <cellStyle name="AÞ¸¶ [2] 2" xfId="5537"/>
    <cellStyle name="AÞ¸¶_  A¾  CO  " xfId="5538"/>
    <cellStyle name="ÄÞ¸¶_¸ðÇü¸·" xfId="2447"/>
    <cellStyle name="AÞ¸¶_¸ðCu¸· 2" xfId="11663"/>
    <cellStyle name="ÄÞ¸¶_¸ñ·Ï-±â°è" xfId="5539"/>
    <cellStyle name="AÞ¸¶_¸n·I-±a°e_AIA§-es2A÷" xfId="5540"/>
    <cellStyle name="ÄÞ¸¶_¸ñ·Ï-±â°è_ÀÏÀ§-es2Â÷" xfId="5541"/>
    <cellStyle name="AÞ¸¶_¸n-E?" xfId="5542"/>
    <cellStyle name="ÄÞ¸¶_¸ñ-È¯" xfId="5543"/>
    <cellStyle name="AÞ¸¶_¿­¸° INT" xfId="2448"/>
    <cellStyle name="ÄÞ¸¶_¿¹»ê¼­" xfId="11664"/>
    <cellStyle name="AÞ¸¶_±a°e¼³ºn-AIA§¸n·I " xfId="5544"/>
    <cellStyle name="ÄÞ¸¶_±â°è¼³ºñ-ÀÏÀ§¸ñ·Ï " xfId="5545"/>
    <cellStyle name="AÞ¸¶_°æºn¹eºI¾×" xfId="5546"/>
    <cellStyle name="ÄÞ¸¶_°ü¸®Ç×¸ñ_¾÷Á¾º° " xfId="5547"/>
    <cellStyle name="AÞ¸¶_¼oAI¼º " xfId="2449"/>
    <cellStyle name="ÄÞ¸¶_¾÷Á¾º° " xfId="2450"/>
    <cellStyle name="AÞ¸¶_¾c½A " xfId="2451"/>
    <cellStyle name="ÄÞ¸¶_¹æÀ½º® " xfId="2452"/>
    <cellStyle name="AÞ¸¶_95³aAN°y¼o·R " xfId="2453"/>
    <cellStyle name="ÄÞ¸¶_Á¦Á¶1ºÎ1°ú ÇöÈ² " xfId="2454"/>
    <cellStyle name="AÞ¸¶_A¾CO½A¼³ " xfId="2455"/>
    <cellStyle name="ÄÞ¸¶_Á¾ÇÕ½Å¼³ " xfId="10271"/>
    <cellStyle name="AÞ¸¶_A¾CO½A¼³  2" xfId="10272"/>
    <cellStyle name="ÄÞ¸¶_Á¾ÇÕÃ¶°ÅºÐ " xfId="10273"/>
    <cellStyle name="AÞ¸¶_AIA§-es2A÷" xfId="5548"/>
    <cellStyle name="ÄÞ¸¶_ÀÏÀ§-es2Â÷" xfId="5549"/>
    <cellStyle name="AÞ¸¶_AN°y(1.25) " xfId="5550"/>
    <cellStyle name="ÄÞ¸¶_Áý°èÇ¥°ÇÃàºÐ" xfId="5551"/>
    <cellStyle name="AÞ¸¶_BOM°eAa" xfId="5552"/>
    <cellStyle name="ÄÞ¸¶_BOM°èÀå" xfId="5553"/>
    <cellStyle name="AÞ¸¶_INQUIRY ¿μ¾÷AßAø " xfId="2456"/>
    <cellStyle name="ÄÞ¸¶_laroux" xfId="2457"/>
    <cellStyle name="AÞ¸¶_laroux_1" xfId="10274"/>
    <cellStyle name="ÄÞ¸¶_laroux_1" xfId="10275"/>
    <cellStyle name="AÞ¸¶_laroux_2" xfId="10276"/>
    <cellStyle name="ÄÞ¸¶_laroux_2" xfId="10277"/>
    <cellStyle name="AÞ¸¶_º≫¼± ±æ¾i±uºI ¼o·R Ay°eC￥ " xfId="2458"/>
    <cellStyle name="ÄÞ¸¶_ºÙÀÓ2-1 " xfId="2459"/>
    <cellStyle name="AÞ¸¶_Sheet1" xfId="5554"/>
    <cellStyle name="ÄÞ¸¶_Sheet1" xfId="5555"/>
    <cellStyle name="ÀÚ¸®¼ö" xfId="5556"/>
    <cellStyle name="ÀÚ¸®¼ö 2" xfId="5557"/>
    <cellStyle name="Àú¸®¼ö 3" xfId="10278"/>
    <cellStyle name="Àú¸®¼ö_설계내역서" xfId="10279"/>
    <cellStyle name="ÀÚ¸®¼ö0" xfId="5558"/>
    <cellStyle name="Àú¸®¼ö0 2" xfId="10280"/>
    <cellStyle name="Àú¸®¼ö0 3" xfId="10281"/>
    <cellStyle name="Àú¸®¼ö0_설계내역서" xfId="10282"/>
    <cellStyle name="Au¸r " xfId="11665"/>
    <cellStyle name="Au¸r¼" xfId="11666"/>
    <cellStyle name="AU¸R¼o" xfId="2460"/>
    <cellStyle name="Au¸R¼o 2" xfId="5559"/>
    <cellStyle name="AU¸R¼o0" xfId="2461"/>
    <cellStyle name="AU¸R¼o0 2" xfId="4565"/>
    <cellStyle name="Au¸R¼o0 2 2" xfId="5561"/>
    <cellStyle name="Au¸R¼o0 3" xfId="5560"/>
    <cellStyle name="AU¸R¼o0 3 2" xfId="11213"/>
    <cellStyle name="AU¸R¼o0 4" xfId="17045"/>
    <cellStyle name="_x0001_b" xfId="2462"/>
    <cellStyle name="_x0001_b 2" xfId="2463"/>
    <cellStyle name="b?þ?b?þ?b?þ?b?þ?b?þ?b?þ?b?þ?b?þ?b?þ?b?þ?b灌þ?b?þ?&lt;?b?þ?b濬þ?b?þ?b?þ昰_x0018_?þ????_x0008_" xfId="10283"/>
    <cellStyle name="b?þ?b?þ?b?þ?b灌þ?b?þ?&lt;?b?þ?b濬þ?b?þ?b?þ昰_x0018_?þ????_x0008_" xfId="10284"/>
    <cellStyle name="b␌þකb濰þඪb瀠þයb灌þ්b炈þ宐&lt;෢b濈þෲb濬þขb瀐þฒb瀰þ昰_x0018_⋸þ㤕䰀ጤܕ_x0008_" xfId="10285"/>
    <cellStyle name="BA" xfId="11667"/>
    <cellStyle name="body" xfId="5562"/>
    <cellStyle name="b椬ៜ_x000c_Comma_ODCOS " xfId="11668"/>
    <cellStyle name="b嬜þപb嬼þഺb孬þൊb⍜þ൚b⍼þ൪b⎨þൺb⏜þඊb␌þකb濰þඪb瀠þයb灌þ්b炈þ宐&lt;෢b濈þෲb濬þขb瀐þฒb瀰þ昰_x0018_⋸þ㤕䰀ጤܕ_x0008_" xfId="10286"/>
    <cellStyle name="C " xfId="11669"/>
    <cellStyle name="C¡" xfId="2464"/>
    <cellStyle name="C¡ 2" xfId="4566"/>
    <cellStyle name="C¡ 3" xfId="4548"/>
    <cellStyle name="C¡ 4" xfId="17046"/>
    <cellStyle name="C¡_내역서" xfId="17047"/>
    <cellStyle name="C¡ERIA￠R¡×¡§¡I_¡ERic￠R¡×u¡ERA￠R¡×￠Rⓒ­I￠R¡×￠Rⓒ­¡ER¡§￠R AN¡ER¡§￠Re " xfId="2465"/>
    <cellStyle name="C¡ia " xfId="11670"/>
    <cellStyle name="C¡ÍA¨ª_  FAB AIA¢´  " xfId="2466"/>
    <cellStyle name="C¡IA¨ª_ 1-3 " xfId="2467"/>
    <cellStyle name="C¡ÍA¨ª_¡Æ©øAI OXIDE " xfId="2468"/>
    <cellStyle name="C¡IA¨ª_¡Æu￠￢RBS('98) " xfId="2469"/>
    <cellStyle name="C¡ÍA¨ª_¡íoE©÷¡¾a¡¤IAo " xfId="2470"/>
    <cellStyle name="C¡IA¨ª_¡ioEⓒ÷¡¾a¡¤IAo " xfId="2471"/>
    <cellStyle name="C¡ÍA¨ª_03 " xfId="2472"/>
    <cellStyle name="C¡IA¨ª_12￠?u " xfId="2473"/>
    <cellStyle name="C¡ÍA¨ª_12AO " xfId="2474"/>
    <cellStyle name="C¡IA¨ª_Ac¡Æi¡Æu￠￢R " xfId="2475"/>
    <cellStyle name="C¡ÍA¨ª_C¡ÍAo " xfId="2476"/>
    <cellStyle name="C¡IA¨ª_CD-ROM " xfId="2477"/>
    <cellStyle name="C¡ÍA¨ª_Sheet1_4PART " xfId="2478"/>
    <cellStyle name="C¡iaⓒ " xfId="11671"/>
    <cellStyle name="C¡iaⓒª_ " xfId="11672"/>
    <cellStyle name="C￠ria " xfId="11673"/>
    <cellStyle name="C￠RIA¡§¨￡_  FAB AIA¡E￠￥  " xfId="2479"/>
    <cellStyle name="C￠ria¨i " xfId="11674"/>
    <cellStyle name="C￠ria¨i¨ " xfId="11675"/>
    <cellStyle name="C￥" xfId="2480"/>
    <cellStyle name="C￥ 2" xfId="4567"/>
    <cellStyle name="C￥ 3" xfId="4549"/>
    <cellStyle name="C￥ 4" xfId="17048"/>
    <cellStyle name="C￥_내역서" xfId="17049"/>
    <cellStyle name="C￥a " xfId="11676"/>
    <cellStyle name="C￥aø" xfId="10287"/>
    <cellStyle name="Ç¥ÁØ_#3E4¿î»ê" xfId="11677"/>
    <cellStyle name="C￥AØ_(%)ºn¸n±ººÐ·uC￥_1" xfId="5563"/>
    <cellStyle name="Ç¥ÁØ_(%)ºñ¸ñ±ººÐ·ùÇ¥_1" xfId="5564"/>
    <cellStyle name="C￥AØ_(%)ºn¸n±ººÐ·uC￥_1_일-토목" xfId="5565"/>
    <cellStyle name="Ç¥ÁØ_¸ðÇü¸·" xfId="2481"/>
    <cellStyle name="C￥AØ_¸ðCu¸· 2" xfId="11678"/>
    <cellStyle name="Ç¥ÁØ_¸ñ·Ï-±â°è_1" xfId="5566"/>
    <cellStyle name="C￥AØ_¸n·I-±a°e_1_일-토목" xfId="5567"/>
    <cellStyle name="Ç¥ÁØ_¸ñ·Ï-±â°è_ÀÏÀ§-es2Â÷" xfId="5568"/>
    <cellStyle name="C￥AØ_¸n·I-±a°e_AIA§-es2A÷_목록-조경 (2)" xfId="5569"/>
    <cellStyle name="Ç¥ÁØ_¸ñ-È¯" xfId="5570"/>
    <cellStyle name="C￥AØ_¿­¸° INT" xfId="2482"/>
    <cellStyle name="Ç¥ÁØ_¿µ¾÷ÇöÈ² " xfId="2483"/>
    <cellStyle name="C￥AØ_¿ø°¡ºÐ¼R" xfId="2484"/>
    <cellStyle name="Ç¥ÁØ_±³À°ÈÆ·Ãºñ(ºÎ¼­º°)" xfId="10288"/>
    <cellStyle name="C￥AØ_±a°e(4)_목록-조경 (2)" xfId="5571"/>
    <cellStyle name="Ç¥ÁØ_±â°è(5)" xfId="5572"/>
    <cellStyle name="C￥AØ_±a°e(5)_HY-단산출" xfId="5573"/>
    <cellStyle name="Ç¥ÁØ_±â°è-¸ñ·Ï" xfId="5574"/>
    <cellStyle name="C￥AØ_±a°e-¸n·I_목록-조경 (2)" xfId="5575"/>
    <cellStyle name="Ç¥ÁØ_±â°è¼³ºñ-ÀÏÀ§¸ñ·Ï " xfId="5576"/>
    <cellStyle name="C￥AØ_±a°e¼³ºn-AIA§¸n·I _일-토목" xfId="5577"/>
    <cellStyle name="Ç¥ÁØ_±â¼ú°ËÅä" xfId="2485"/>
    <cellStyle name="C￥AØ_±aA¸ºn¸n±ºAo¼o≫eAa¼­ (2)" xfId="5578"/>
    <cellStyle name="Ç¥ÁØ_»ç¾÷È¿°ú" xfId="2486"/>
    <cellStyle name="C￥AØ_≫c¾÷ºIº° AN°e " xfId="2487"/>
    <cellStyle name="Ç¥ÁØ_°­´ç (2)" xfId="2488"/>
    <cellStyle name="C￥AØ_°³¹ßAIA¤  (2)_°³¹ßAIA¤ " xfId="2489"/>
    <cellStyle name="Ç¥ÁØ_°³¹ßÀÏÁ¤  (2)_°³¹ßÀÏÁ¤ " xfId="2490"/>
    <cellStyle name="C￥AØ_°³¹ßAIA¤  (2)_°³¹ßAIA¤  2" xfId="4568"/>
    <cellStyle name="Ç¥ÁØ_°³¹ßÀÏÁ¤  (2)_°³¹ßÀÏÁ¤  2" xfId="17050"/>
    <cellStyle name="C￥AØ_°³¹ßAIA¤  (2)_°³¹ßAIA¤  3" xfId="17051"/>
    <cellStyle name="Ç¥ÁØ_°³¹ßÀÏÁ¤  (2)_°³¹ßÀÏÁ¤  3" xfId="17052"/>
    <cellStyle name="C￥AØ_°³¹ßAIA¤  (2)_°³¹ßAIA¤  4" xfId="17053"/>
    <cellStyle name="Ç¥ÁØ_°³¹ßÀÏÁ¤  (2)_°³¹ßÀÏÁ¤  4" xfId="17054"/>
    <cellStyle name="C￥AØ_°³AI OXIDE " xfId="17055"/>
    <cellStyle name="Ç¥ÁØ_°ÇÃà(1)" xfId="5579"/>
    <cellStyle name="C￥AØ_°CAa(1)_IL-건축" xfId="5580"/>
    <cellStyle name="Ç¥ÁØ_°ÇÃà(4)" xfId="5581"/>
    <cellStyle name="C￥AØ_°CAa(4)_목록-조경 (2)" xfId="5582"/>
    <cellStyle name="Ç¥ÁØ_°ÇÃà(5)" xfId="5583"/>
    <cellStyle name="C￥AØ_°CAa(5)_목록-조경 (2)" xfId="5584"/>
    <cellStyle name="Ç¥ÁØ_°ÇÃà(6)" xfId="5585"/>
    <cellStyle name="C￥AØ_°CAa(6)_일-토목" xfId="5586"/>
    <cellStyle name="Ç¥ÁØ_°ÇÃàµµ±Þ" xfId="5587"/>
    <cellStyle name="C￥AØ_°CAa-1" xfId="5588"/>
    <cellStyle name="Ç¥ÁØ_°ÇÃà-1" xfId="5589"/>
    <cellStyle name="C￥AØ_°CAa-1_일-토목" xfId="5590"/>
    <cellStyle name="Ç¥ÁØ_°èÀå" xfId="5591"/>
    <cellStyle name="C￥AØ_°eAa_목록-조경 (2)" xfId="5592"/>
    <cellStyle name="Ç¥ÁØ_°ø»çºñ¸ñ±ººÐ·ùÇ¥" xfId="5593"/>
    <cellStyle name="C￥AØ_°ø≫cºn¸n±ººÐ·uC￥" xfId="5594"/>
    <cellStyle name="Ç¥ÁØ_°ü¸®BS('98) " xfId="2491"/>
    <cellStyle name="C￥AØ_03 " xfId="2492"/>
    <cellStyle name="Ç¥ÁØ_0N-HANDLING " xfId="2493"/>
    <cellStyle name="C￥AØ_¼³ºnAIA§_HY-단산출" xfId="5595"/>
    <cellStyle name="Ç¥ÁØ_¼ÒÈ­" xfId="5596"/>
    <cellStyle name="C￥AØ_¼OE­_일-토목" xfId="5597"/>
    <cellStyle name="Ç¥ÁØ_½ÃÁß³ëÀÓ´Ü°¡Ç¥" xfId="5598"/>
    <cellStyle name="C￥AØ_½AAß³eAO´U°¡C￥_일-토목" xfId="5599"/>
    <cellStyle name="Ç¥ÁØ_½ÃÁß³ëÀÓÆò±Õ" xfId="5600"/>
    <cellStyle name="C￥AØ_½AAß³eAOÆo±O_목록-조경 (2)" xfId="5601"/>
    <cellStyle name="Ç¥ÁØ_¾ç½Ä " xfId="11679"/>
    <cellStyle name="C￥AØ_1_일-토목" xfId="5602"/>
    <cellStyle name="Ç¥ÁØ_¹®Á¥¿ª»ç" xfId="5603"/>
    <cellStyle name="C￥AØ_¹°°¡º?μ¿(±a°e)" xfId="5604"/>
    <cellStyle name="Ç¥ÁØ_¹°°¡º¯µ¿(±â°è)" xfId="5605"/>
    <cellStyle name="C￥AØ_¹RA￥¿ª≫c" xfId="5606"/>
    <cellStyle name="Ç¥ÁØ_2" xfId="5607"/>
    <cellStyle name="C￥AØ_2_일-토목" xfId="5608"/>
    <cellStyle name="Ç¥ÁØ_³»¿ª¼­" xfId="5609"/>
    <cellStyle name="C￥AØ_³≫¿ª¼­" xfId="5610"/>
    <cellStyle name="Ç¥ÁØ_5-1±¤°í " xfId="10289"/>
    <cellStyle name="C￥AØ_53AO " xfId="10290"/>
    <cellStyle name="Ç¥ÁØ_95,96 ºñ±³ " xfId="10291"/>
    <cellStyle name="C￥AØ_95010 (2)" xfId="5611"/>
    <cellStyle name="Ç¥ÁØ_95010 (2)" xfId="5612"/>
    <cellStyle name="C￥AØ_95010 (2)_일-토목" xfId="5613"/>
    <cellStyle name="Ç¥ÁØ_95010 2" xfId="5614"/>
    <cellStyle name="C￥AØ_95020 (2)" xfId="5615"/>
    <cellStyle name="Ç¥ÁØ_95020 (2)" xfId="5616"/>
    <cellStyle name="C￥AØ_95020 (2)_일-토목" xfId="5617"/>
    <cellStyle name="Ç¥ÁØ_95020 2" xfId="5618"/>
    <cellStyle name="C￥AØ_95030 (2)" xfId="5619"/>
    <cellStyle name="Ç¥ÁØ_95030 (2)" xfId="5620"/>
    <cellStyle name="C￥AØ_95030 (2)_일-토목" xfId="5621"/>
    <cellStyle name="Ç¥ÁØ_95030 2" xfId="5622"/>
    <cellStyle name="C￥AØ_95050_목록-조경 (2)" xfId="5623"/>
    <cellStyle name="Ç¥ÁØ_95060" xfId="5624"/>
    <cellStyle name="C￥AØ_95060_목록-조경 (2)" xfId="5625"/>
    <cellStyle name="Ç¥ÁØ_95070" xfId="5626"/>
    <cellStyle name="C￥AØ_95070_일-토목" xfId="5627"/>
    <cellStyle name="Ç¥ÁØ_À§»ý" xfId="5628"/>
    <cellStyle name="C￥AØ_A§≫y" xfId="5629"/>
    <cellStyle name="Ç¥ÁØ_Á¾ÇÕ½Å¼³ " xfId="10292"/>
    <cellStyle name="C￥AØ_A¾CO½A¼³ _산출내역관련참고(한전중부)" xfId="10293"/>
    <cellStyle name="Ç¥ÁØ_Á¾ÇÕ½Å¼³ _설계(sample-파워콤-수원-용인국사)" xfId="10294"/>
    <cellStyle name="C￥AØ_A¾CO½A¼³ _설계(sample-파워콤-수원-용인국사)_ADM16광단국설계" xfId="10295"/>
    <cellStyle name="Ç¥ÁØ_Á¾ÇÕ½Å¼³ _설계(sample-파워콤-수원-용인국사)_ADM16광단국설계" xfId="10296"/>
    <cellStyle name="C￥AØ_A¾CO½A¼³ _착공계(한전용-신보최종)" xfId="10297"/>
    <cellStyle name="Ç¥ÁØ_Á¾ÇÕ½Å¼³ _착공계(한전용-신보최종)" xfId="10298"/>
    <cellStyle name="C￥AØ_A¾CO½A¼³ _착공계(한전용-신보최종) 10" xfId="10299"/>
    <cellStyle name="Ç¥ÁØ_Á¾ÇÕ½Å¼³ _착공계(한전용-신보최종)_2010 가로등 단가설계" xfId="10300"/>
    <cellStyle name="C￥AØ_A¾CO½A¼³ _착공계(한전용-신보최종)_설계내역서" xfId="10301"/>
    <cellStyle name="Ç¥ÁØ_Á¾ÇÕ½Å¼³ _착공계(한전용-신보최종)_일위1" xfId="10302"/>
    <cellStyle name="C￥AØ_A¾CO½A¼³ _착공계(한전용-신보최종)_자재단가" xfId="10303"/>
    <cellStyle name="Ç¥ÁØ_Á¾ÇÕ½Å¼³ _착공계(한전용-신보최종)_자재단가" xfId="10304"/>
    <cellStyle name="C￥AØ_A¾COA¶°AºÐ " xfId="10305"/>
    <cellStyle name="Ç¥ÁØ_Á¾ÇÕÃ¶°ÅºÐ " xfId="10306"/>
    <cellStyle name="C￥AØ_A¾COA¶°AºÐ _설계(sample-파워콤-수원-용인국사)" xfId="10307"/>
    <cellStyle name="Ç¥ÁØ_Á¾ÇÕÃ¶°ÅºÐ _설계(sample-파워콤-수원-용인국사)" xfId="10308"/>
    <cellStyle name="C￥AØ_A¾COA¶°AºÐ _설계(sample-파워콤-수원-용인국사)_ADM16광단국설계" xfId="10309"/>
    <cellStyle name="Ç¥ÁØ_Á¾ÇÕÃ¶°ÅºÐ _설계(sample-파워콤-수원-용인국사)_ADM16광단국설계" xfId="10310"/>
    <cellStyle name="C￥AØ_Aa¸n(5)_목록-조경 (2)" xfId="5630"/>
    <cellStyle name="Ç¥ÁØ_Àå-1" xfId="5631"/>
    <cellStyle name="C￥AØ_Aa-1_목록-조경 (2)" xfId="5632"/>
    <cellStyle name="Ç¥ÁØ_ÀåÁö¿ª»ç" xfId="5633"/>
    <cellStyle name="C￥AØ_AaAo¿ª≫c" xfId="5634"/>
    <cellStyle name="Ç¥ÁØ_ÀåÁö-2" xfId="5635"/>
    <cellStyle name="C￥AØ_AaAo-2_일-토목" xfId="5636"/>
    <cellStyle name="Ç¥ÁØ_ÀåÁö-3" xfId="5637"/>
    <cellStyle name="C￥AØ_AaAo-3_일-토목" xfId="5638"/>
    <cellStyle name="Ç¥ÁØ_ÀåÁö-4" xfId="5639"/>
    <cellStyle name="C￥AØ_AaAo-4_일-토목" xfId="5640"/>
    <cellStyle name="Ç¥ÁØ_ÀåÁö-5" xfId="5641"/>
    <cellStyle name="C￥AØ_AaAo-5_일-토목" xfId="5642"/>
    <cellStyle name="Ç¥ÁØ_ÀåÁöÁý°è" xfId="5643"/>
    <cellStyle name="C￥AØ_AaAoAy°e_일-토목" xfId="5644"/>
    <cellStyle name="Ç¥ÁØ_Àç°í°ü¸® " xfId="2494"/>
    <cellStyle name="C￥AØ_AI¿øCoE² " xfId="2495"/>
    <cellStyle name="Ç¥ÁØ_ÀÏ-±â" xfId="5645"/>
    <cellStyle name="C￥AØ_AI-±a_목록-조경 (2)" xfId="5646"/>
    <cellStyle name="Ç¥ÁØ_ÀÏÀ§-es2Â÷" xfId="5647"/>
    <cellStyle name="C￥AØ_AIA§-es2A÷_일-토목" xfId="5648"/>
    <cellStyle name="Ç¥ÁØ_Áö¼öÁ¶Á¤À²" xfId="5649"/>
    <cellStyle name="C￥AØ_Ao¼oA¶A¤A²(±Øμ¿)" xfId="5650"/>
    <cellStyle name="Ç¥ÁØ_Áö¼öÁ¶Á¤À²_±âÅ¸ºñ¸ñ±ºÁö¼ö»êÃâ¼­" xfId="5651"/>
    <cellStyle name="C￥AØ_Ao¼oA¶A¤A²_±aA¸ºn¸n±ºAo¼o≫eAa¼­" xfId="5652"/>
    <cellStyle name="Ç¥ÁØ_Áö¼öÁ¶Á¤À²_1" xfId="5653"/>
    <cellStyle name="C￥AØ_Ao¼oA¶A¤A²_1_목록-조경 (2)" xfId="5654"/>
    <cellStyle name="Ç¥ÁØ_Áö¼öÁ¶Á¤À²_Àç·áºñºñ¸ñº¯µ¿À²" xfId="5655"/>
    <cellStyle name="C￥AØ_Ao¼oA¶A¤A²_HY-단산출" xfId="5656"/>
    <cellStyle name="Ç¥ÁØ_Áö¼öÁ¶Á¤À²_KIM" xfId="5657"/>
    <cellStyle name="C￥AØ_Ao¼oA¶A¤A²_KIM_il-건축" xfId="5658"/>
    <cellStyle name="Ç¥ÁØ_Áö¼öÁ¶Á¤À²_ºñ¸ñ±ºÆò±ÕÁö¼ö" xfId="5659"/>
    <cellStyle name="C￥AØ_Ao¼oA¶A¤A²_ºn¸n±ºÆo±OAo¼o_일-토목" xfId="5660"/>
    <cellStyle name="Ç¥ÁØ_Áö¼öÁ¶Á¤À²2" xfId="5661"/>
    <cellStyle name="C￥AØ_Ao¼oA¶A¤A²2_HY-단산출" xfId="5662"/>
    <cellStyle name="Ç¥ÁØ_Àü±â»êÃâ" xfId="5663"/>
    <cellStyle name="C￥AØ_Au±a≫eAa" xfId="5664"/>
    <cellStyle name="Ç¥ÁØ_ÀÚµ¿Á¦¾î" xfId="5665"/>
    <cellStyle name="C￥AØ_Au·A¼OAIºÐ¼R" xfId="2496"/>
    <cellStyle name="Ç¥ÁØ_Áý°è" xfId="5666"/>
    <cellStyle name="C￥AØ_Ay°e_일-토목" xfId="5667"/>
    <cellStyle name="Ç¥ÁØ_Áý°èÇ¥(2¿ù) " xfId="2497"/>
    <cellStyle name="C￥AØ_Ay°eC￥°CAaºÐ_일-토목" xfId="5668"/>
    <cellStyle name="Ç¥ÁØ_B" xfId="5669"/>
    <cellStyle name="C￥AØ_B_목록-조경 (2)" xfId="5670"/>
    <cellStyle name="Ç¥ÁØ_BOB-1" xfId="5671"/>
    <cellStyle name="C￥AØ_BOB-1_목록-조경 (2)" xfId="5672"/>
    <cellStyle name="Ç¥ÁØ_BOB-2" xfId="5673"/>
    <cellStyle name="C￥AØ_BOB-2_목록-조경 (2)" xfId="5674"/>
    <cellStyle name="Ç¥ÁØ_BOM°èÀå" xfId="5675"/>
    <cellStyle name="C￥AØ_BOM°eAa_일-토목" xfId="5676"/>
    <cellStyle name="Ç¥ÁØ_Ç°¼À(ÁöÀÔ) " xfId="11680"/>
    <cellStyle name="C￥AØ_HHHH001_HY-단산출" xfId="5677"/>
    <cellStyle name="Ç¥ÁØ_HHHHH002" xfId="5678"/>
    <cellStyle name="C￥AØ_HHHHH002_일-토목" xfId="5679"/>
    <cellStyle name="Ç¥ÁØ_JENAE01" xfId="5680"/>
    <cellStyle name="C￥AØ_JENAE01_일-토목" xfId="5681"/>
    <cellStyle name="Ç¥ÁØ_JUN-MS05" xfId="5682"/>
    <cellStyle name="C￥AØ_JUN-MS05_일-토목" xfId="5683"/>
    <cellStyle name="Ç¥ÁØ_JUN-MS06" xfId="5684"/>
    <cellStyle name="C￥AØ_JUN-MS06_일-토목" xfId="5685"/>
    <cellStyle name="Ç¥ÁØ_KANG" xfId="5686"/>
    <cellStyle name="C￥AØ_KANG_일-토목" xfId="5687"/>
    <cellStyle name="Ç¥ÁØ_KUN" xfId="5688"/>
    <cellStyle name="C￥AØ_KUN_il-건축" xfId="5689"/>
    <cellStyle name="Ç¥ÁØ_laroux" xfId="5690"/>
    <cellStyle name="C￥AØ_laroux_°³¹ßAIA¤  (2)_°³¹ßAIA¤ " xfId="2498"/>
    <cellStyle name="Ç¥ÁØ_laroux_°³¹ßÀÏÁ¤  (2)_°³¹ßÀÏÁ¤ " xfId="2499"/>
    <cellStyle name="C￥AØ_laroux_°³¹ßAIA¤  (2)_°³¹ßAIA¤  2" xfId="4569"/>
    <cellStyle name="Ç¥ÁØ_laroux_°³¹ßÀÏÁ¤  (2)_°³¹ßÀÏÁ¤  2" xfId="10311"/>
    <cellStyle name="C￥AØ_laroux_°³¹ßAIA¤  (2)_°³¹ßAIA¤  2 2" xfId="11214"/>
    <cellStyle name="Ç¥ÁØ_laroux_°³¹ßÀÏÁ¤  (2)_°³¹ßÀÏÁ¤  3" xfId="17056"/>
    <cellStyle name="C￥AØ_laroux_°³¹ßAIA¤  (2)_°³¹ßAIA¤  4" xfId="17057"/>
    <cellStyle name="Ç¥ÁØ_laroux_°³¹ßÀÏÁ¤  (2)_°³¹ßÀÏÁ¤  4" xfId="17058"/>
    <cellStyle name="C￥AØ_laroux_1_°³¹ßAIA¤ " xfId="6583"/>
    <cellStyle name="Ç¥ÁØ_laroux_1_°³¹ßÀÏÁ¤ " xfId="2500"/>
    <cellStyle name="C￥AØ_laroux_1_°ø≫cºn¿¹≫e¼­" xfId="5691"/>
    <cellStyle name="Ç¥ÁØ_laroux_1_Á¾ÇÕÃ¶°ÅºÐ " xfId="10312"/>
    <cellStyle name="C￥AØ_laroux_1_Ay°eC￥°CAaºÐ_HY-단산출" xfId="5692"/>
    <cellStyle name="Ç¥ÁØ_laroux_1_laroux" xfId="5693"/>
    <cellStyle name="C￥AØ_laroux_1_laroux_일-토목" xfId="5694"/>
    <cellStyle name="Ç¥ÁØ_laroux_2" xfId="5695"/>
    <cellStyle name="C￥AØ_laroux_2_°³¹ßAIA¤ " xfId="2501"/>
    <cellStyle name="Ç¥ÁØ_laroux_2_°³¹ßÀÏÁ¤ " xfId="2502"/>
    <cellStyle name="C￥AØ_laroux_2_일-토목" xfId="5696"/>
    <cellStyle name="Ç¥ÁØ_laroux_3" xfId="5697"/>
    <cellStyle name="C￥AØ_laroux_3_목록-조경 (2)" xfId="5698"/>
    <cellStyle name="Ç¥ÁØ_laroux_4" xfId="5699"/>
    <cellStyle name="C￥AØ_laroux_5" xfId="5700"/>
    <cellStyle name="Ç¥ÁØ_laroux_5" xfId="5701"/>
    <cellStyle name="C￥AØ_laroux_5 2" xfId="5702"/>
    <cellStyle name="Ç¥ÁØ_laroux_Á¾ÇÕ½Å¼³ " xfId="10313"/>
    <cellStyle name="C￥AØ_laroux_A¾COA¶°AºÐ " xfId="10314"/>
    <cellStyle name="Ç¥ÁØ_laroux_Á¾ÇÕÃ¶°ÅºÐ " xfId="10315"/>
    <cellStyle name="C￥AØ_laroux_laroux_목록-조경 (2)" xfId="5703"/>
    <cellStyle name="Ç¥ÁØ_laroux_내역서 및 설계참고자료" xfId="5704"/>
    <cellStyle name="C￥AØ_laroux_신호등연간단가설계내역서(계약)" xfId="10316"/>
    <cellStyle name="Ç¥ÁØ_LIST03" xfId="5705"/>
    <cellStyle name="C￥AØ_LIST03_일-토목" xfId="5706"/>
    <cellStyle name="Ç¥ÁØ_NAE101" xfId="5707"/>
    <cellStyle name="C￥AØ_NAE101 (2)" xfId="5708"/>
    <cellStyle name="Ç¥ÁØ_NAE101 (2)" xfId="5709"/>
    <cellStyle name="C￥AØ_NAE101 (2)_일-토목" xfId="5710"/>
    <cellStyle name="Ç¥ÁØ_NAE101 2" xfId="5711"/>
    <cellStyle name="C￥AØ_NAE201_일-토목" xfId="5712"/>
    <cellStyle name="Ç¥ÁØ_NAE202" xfId="5713"/>
    <cellStyle name="C￥AØ_NAE202_목록-조경 (2)" xfId="5714"/>
    <cellStyle name="Ç¥ÁØ_NAE203" xfId="5715"/>
    <cellStyle name="C￥AØ_NAE203_HY-단산출" xfId="5716"/>
    <cellStyle name="Ç¥ÁØ_NAE204" xfId="5717"/>
    <cellStyle name="C￥AØ_NAE204_일-토목" xfId="5718"/>
    <cellStyle name="Ç¥ÁØ_NAE301" xfId="5719"/>
    <cellStyle name="C￥AØ_NAE301_목록-조경 (2)" xfId="5720"/>
    <cellStyle name="Ç¥ÁØ_º»¼±" xfId="5721"/>
    <cellStyle name="C￥AØ_º≫¼±" xfId="5722"/>
    <cellStyle name="Ç¥ÁØ_ºñ¸ñ±º(±â°è)" xfId="5723"/>
    <cellStyle name="C￥AØ_ºn¸n±º(±a°e)_목록-조경 (2)" xfId="5724"/>
    <cellStyle name="Ç¥ÁØ_ºñ¸ñ±º(°ÇÃà)" xfId="5725"/>
    <cellStyle name="C￥AØ_ºn¸n±º(°CAa)_목록-조경 (2)" xfId="5726"/>
    <cellStyle name="Ç¥ÁØ_ºñ¸ñ±ºÆò±ÕÁö¼ö" xfId="5727"/>
    <cellStyle name="C￥AØ_ºn¸n±ºÆo±OAo¼o_HY-단산출" xfId="5728"/>
    <cellStyle name="Ç¥ÁØ_Sheet1" xfId="5729"/>
    <cellStyle name="C￥AØ_Sheet1_일-토목" xfId="5730"/>
    <cellStyle name="Calc Currency (0)" xfId="2503"/>
    <cellStyle name="Calc Currency (0) 2" xfId="5731"/>
    <cellStyle name="Calc Currency (0) 2 2" xfId="11215"/>
    <cellStyle name="category" xfId="2504"/>
    <cellStyle name="CIAIÆU¸μAⓒ" xfId="2505"/>
    <cellStyle name="Cmma_을지 (2)_갑지 (2)_집계표 (2)_집계표 (3)_견적서 (2)" xfId="2506"/>
    <cellStyle name="ÇÕ»ê" xfId="5732"/>
    <cellStyle name="ÇÕ»ê 2" xfId="5733"/>
    <cellStyle name="Çõ»ê 3" xfId="10317"/>
    <cellStyle name="Çõ»ê_설계내역서" xfId="10318"/>
    <cellStyle name="Co≫" xfId="11681"/>
    <cellStyle name="CO≫e" xfId="2507"/>
    <cellStyle name="Co≫e 2" xfId="5734"/>
    <cellStyle name="ⓒoe" xfId="2508"/>
    <cellStyle name="ⓒoe 2" xfId="4570"/>
    <cellStyle name="ⓒoe 3" xfId="4550"/>
    <cellStyle name="ⓒoe 4" xfId="17059"/>
    <cellStyle name="ⓒoe_내역서" xfId="17060"/>
    <cellStyle name="columns_array" xfId="2509"/>
    <cellStyle name="Comma" xfId="2510"/>
    <cellStyle name="Comma [0]" xfId="2511"/>
    <cellStyle name="Comma [0] 2" xfId="11682"/>
    <cellStyle name="Comma 2" xfId="5735"/>
    <cellStyle name="comma zerodec" xfId="2512"/>
    <cellStyle name="comma zerodec 2" xfId="5736"/>
    <cellStyle name="comma zerodec 2 2" xfId="11216"/>
    <cellStyle name="comma zerodec 3" xfId="10319"/>
    <cellStyle name="Comma_ " xfId="11683"/>
    <cellStyle name="Comma0" xfId="2513"/>
    <cellStyle name="Comma0 2" xfId="10320"/>
    <cellStyle name="Copied" xfId="2514"/>
    <cellStyle name="Curren" xfId="11684"/>
    <cellStyle name="Curren?_x0012_퐀_x0017_?" xfId="2515"/>
    <cellStyle name="Currenby_Cash&amp;DSO Chart" xfId="10321"/>
    <cellStyle name="Currency" xfId="2516"/>
    <cellStyle name="Currency [0]" xfId="2517"/>
    <cellStyle name="Currency [0] 2" xfId="10322"/>
    <cellStyle name="Currency 2" xfId="5737"/>
    <cellStyle name="currency-$" xfId="2518"/>
    <cellStyle name="currency-$ 10" xfId="15059"/>
    <cellStyle name="currency-$ 10 2" xfId="27880"/>
    <cellStyle name="currency-$ 11" xfId="14225"/>
    <cellStyle name="currency-$ 11 2" xfId="27071"/>
    <cellStyle name="currency-$ 12" xfId="19279"/>
    <cellStyle name="currency-$ 13" xfId="20812"/>
    <cellStyle name="currency-$ 13 2" xfId="33249"/>
    <cellStyle name="currency-$ 14" xfId="19680"/>
    <cellStyle name="currency-$ 14 2" xfId="32134"/>
    <cellStyle name="currency-$ 15" xfId="23753"/>
    <cellStyle name="currency-$ 15 2" xfId="36184"/>
    <cellStyle name="currency-$ 16" xfId="20087"/>
    <cellStyle name="currency-$ 16 2" xfId="32533"/>
    <cellStyle name="currency-$ 17" xfId="23843"/>
    <cellStyle name="currency-$ 17 2" xfId="36274"/>
    <cellStyle name="currency-$ 18" xfId="18923"/>
    <cellStyle name="currency-$ 18 2" xfId="31628"/>
    <cellStyle name="currency-$ 19" xfId="18459"/>
    <cellStyle name="currency-$ 19 2" xfId="31164"/>
    <cellStyle name="currency-$ 2" xfId="5738"/>
    <cellStyle name="currency-$ 2 10" xfId="17068"/>
    <cellStyle name="currency-$ 2 10 2" xfId="29804"/>
    <cellStyle name="currency-$ 2 11" xfId="20689"/>
    <cellStyle name="currency-$ 2 12" xfId="19054"/>
    <cellStyle name="currency-$ 2 12 2" xfId="31759"/>
    <cellStyle name="currency-$ 2 13" xfId="20843"/>
    <cellStyle name="currency-$ 2 13 2" xfId="33280"/>
    <cellStyle name="currency-$ 2 14" xfId="18653"/>
    <cellStyle name="currency-$ 2 14 2" xfId="31358"/>
    <cellStyle name="currency-$ 2 15" xfId="18414"/>
    <cellStyle name="currency-$ 2 15 2" xfId="31119"/>
    <cellStyle name="currency-$ 2 16" xfId="24299"/>
    <cellStyle name="currency-$ 2 16 2" xfId="36730"/>
    <cellStyle name="currency-$ 2 17" xfId="23827"/>
    <cellStyle name="currency-$ 2 17 2" xfId="36258"/>
    <cellStyle name="currency-$ 2 18" xfId="21267"/>
    <cellStyle name="currency-$ 2 18 2" xfId="33704"/>
    <cellStyle name="currency-$ 2 19" xfId="22091"/>
    <cellStyle name="currency-$ 2 19 2" xfId="34527"/>
    <cellStyle name="currency-$ 2 2" xfId="14603"/>
    <cellStyle name="currency-$ 2 2 2" xfId="27429"/>
    <cellStyle name="currency-$ 2 20" xfId="22183"/>
    <cellStyle name="currency-$ 2 20 2" xfId="34619"/>
    <cellStyle name="currency-$ 2 21" xfId="18275"/>
    <cellStyle name="currency-$ 2 21 2" xfId="30981"/>
    <cellStyle name="currency-$ 2 3" xfId="13044"/>
    <cellStyle name="currency-$ 2 3 2" xfId="25918"/>
    <cellStyle name="currency-$ 2 4" xfId="13675"/>
    <cellStyle name="currency-$ 2 4 2" xfId="26541"/>
    <cellStyle name="currency-$ 2 5" xfId="17422"/>
    <cellStyle name="currency-$ 2 5 2" xfId="30145"/>
    <cellStyle name="currency-$ 2 6" xfId="15287"/>
    <cellStyle name="currency-$ 2 6 2" xfId="28104"/>
    <cellStyle name="currency-$ 2 7" xfId="13958"/>
    <cellStyle name="currency-$ 2 7 2" xfId="26816"/>
    <cellStyle name="currency-$ 2 8" xfId="13721"/>
    <cellStyle name="currency-$ 2 8 2" xfId="26582"/>
    <cellStyle name="currency-$ 2 9" xfId="15606"/>
    <cellStyle name="currency-$ 2 9 2" xfId="28415"/>
    <cellStyle name="currency-$ 20" xfId="23039"/>
    <cellStyle name="currency-$ 20 2" xfId="35472"/>
    <cellStyle name="currency-$ 21" xfId="24550"/>
    <cellStyle name="currency-$ 21 2" xfId="36981"/>
    <cellStyle name="currency-$ 22" xfId="23683"/>
    <cellStyle name="currency-$ 22 2" xfId="36114"/>
    <cellStyle name="currency-$ 3" xfId="13334"/>
    <cellStyle name="currency-$ 3 2" xfId="26202"/>
    <cellStyle name="currency-$ 4" xfId="16166"/>
    <cellStyle name="currency-$ 4 2" xfId="28949"/>
    <cellStyle name="currency-$ 5" xfId="13757"/>
    <cellStyle name="currency-$ 5 2" xfId="26618"/>
    <cellStyle name="currency-$ 6" xfId="12957"/>
    <cellStyle name="currency-$ 6 2" xfId="25832"/>
    <cellStyle name="currency-$ 7" xfId="15234"/>
    <cellStyle name="currency-$ 7 2" xfId="28052"/>
    <cellStyle name="currency-$ 8" xfId="13722"/>
    <cellStyle name="currency-$ 8 2" xfId="26583"/>
    <cellStyle name="currency-$ 9" xfId="14084"/>
    <cellStyle name="currency-$ 9 2" xfId="26932"/>
    <cellStyle name="Currency_ " xfId="11685"/>
    <cellStyle name="Currency0" xfId="2519"/>
    <cellStyle name="Currency0 2" xfId="10323"/>
    <cellStyle name="Currency1" xfId="2520"/>
    <cellStyle name="Currency1 2" xfId="5739"/>
    <cellStyle name="Date" xfId="2521"/>
    <cellStyle name="Date 2" xfId="10324"/>
    <cellStyle name="DD" xfId="2522"/>
    <cellStyle name="DD 10" xfId="14725"/>
    <cellStyle name="DD 10 2" xfId="27550"/>
    <cellStyle name="DD 11" xfId="19280"/>
    <cellStyle name="DD 12" xfId="20811"/>
    <cellStyle name="DD 12 2" xfId="33248"/>
    <cellStyle name="DD 13" xfId="19681"/>
    <cellStyle name="DD 13 2" xfId="32135"/>
    <cellStyle name="DD 14" xfId="21771"/>
    <cellStyle name="DD 14 2" xfId="34208"/>
    <cellStyle name="DD 15" xfId="18395"/>
    <cellStyle name="DD 15 2" xfId="31100"/>
    <cellStyle name="DD 16" xfId="22458"/>
    <cellStyle name="DD 16 2" xfId="34892"/>
    <cellStyle name="DD 17" xfId="19724"/>
    <cellStyle name="DD 17 2" xfId="32177"/>
    <cellStyle name="DD 18" xfId="18261"/>
    <cellStyle name="DD 18 2" xfId="30967"/>
    <cellStyle name="DD 19" xfId="20724"/>
    <cellStyle name="DD 19 2" xfId="33164"/>
    <cellStyle name="DD 2" xfId="13335"/>
    <cellStyle name="DD 2 2" xfId="26203"/>
    <cellStyle name="DD 20" xfId="23419"/>
    <cellStyle name="DD 20 2" xfId="35850"/>
    <cellStyle name="DD 21" xfId="24897"/>
    <cellStyle name="DD 21 2" xfId="37328"/>
    <cellStyle name="DD 3" xfId="16165"/>
    <cellStyle name="DD 3 2" xfId="28948"/>
    <cellStyle name="DD 4" xfId="14686"/>
    <cellStyle name="DD 4 2" xfId="27512"/>
    <cellStyle name="DD 5" xfId="12772"/>
    <cellStyle name="DD 5 2" xfId="25649"/>
    <cellStyle name="DD 6" xfId="15277"/>
    <cellStyle name="DD 6 2" xfId="28094"/>
    <cellStyle name="DD 7" xfId="17759"/>
    <cellStyle name="DD 7 2" xfId="30476"/>
    <cellStyle name="DD 8" xfId="12441"/>
    <cellStyle name="DD 8 2" xfId="25321"/>
    <cellStyle name="DD 9" xfId="15462"/>
    <cellStyle name="DD 9 2" xfId="28271"/>
    <cellStyle name="Dezimal [0]_Ausdruck RUND (D)" xfId="5740"/>
    <cellStyle name="Dezimal_Ausdruck RUND (D)" xfId="5741"/>
    <cellStyle name="Dollar (zero dec)" xfId="2523"/>
    <cellStyle name="Dollar (zero dec) 2" xfId="5742"/>
    <cellStyle name="Dollar (zero dec) 2 2" xfId="11217"/>
    <cellStyle name="Dollar (zero dec) 3" xfId="10325"/>
    <cellStyle name="EA" xfId="2524"/>
    <cellStyle name="EA 2" xfId="5743"/>
    <cellStyle name="EA 2 2" xfId="11218"/>
    <cellStyle name="EA 2 2 10" xfId="14499"/>
    <cellStyle name="EA 2 2 11" xfId="14797"/>
    <cellStyle name="EA 2 2 11 2" xfId="27620"/>
    <cellStyle name="EA 2 2 12" xfId="22892"/>
    <cellStyle name="EA 2 2 12 2" xfId="35326"/>
    <cellStyle name="EA 2 2 13" xfId="21268"/>
    <cellStyle name="EA 2 2 13 2" xfId="33705"/>
    <cellStyle name="EA 2 2 14" xfId="18484"/>
    <cellStyle name="EA 2 2 14 2" xfId="31189"/>
    <cellStyle name="EA 2 2 15" xfId="21115"/>
    <cellStyle name="EA 2 2 15 2" xfId="33552"/>
    <cellStyle name="EA 2 2 16" xfId="20512"/>
    <cellStyle name="EA 2 2 16 2" xfId="32957"/>
    <cellStyle name="EA 2 2 17" xfId="19052"/>
    <cellStyle name="EA 2 2 17 2" xfId="31757"/>
    <cellStyle name="EA 2 2 18" xfId="24385"/>
    <cellStyle name="EA 2 2 18 2" xfId="36816"/>
    <cellStyle name="EA 2 2 19" xfId="18265"/>
    <cellStyle name="EA 2 2 19 2" xfId="30971"/>
    <cellStyle name="EA 2 2 2" xfId="16416"/>
    <cellStyle name="EA 2 2 2 2" xfId="29192"/>
    <cellStyle name="EA 2 2 20" xfId="19782"/>
    <cellStyle name="EA 2 2 20 2" xfId="32232"/>
    <cellStyle name="EA 2 2 21" xfId="24450"/>
    <cellStyle name="EA 2 2 21 2" xfId="36881"/>
    <cellStyle name="EA 2 2 22" xfId="20352"/>
    <cellStyle name="EA 2 2 22 2" xfId="32797"/>
    <cellStyle name="EA 2 2 23" xfId="24661"/>
    <cellStyle name="EA 2 2 23 2" xfId="37092"/>
    <cellStyle name="EA 2 2 24" xfId="25142"/>
    <cellStyle name="EA 2 2 3" xfId="15138"/>
    <cellStyle name="EA 2 2 3 2" xfId="27957"/>
    <cellStyle name="EA 2 2 4" xfId="17075"/>
    <cellStyle name="EA 2 2 4 2" xfId="29811"/>
    <cellStyle name="EA 2 2 5" xfId="16734"/>
    <cellStyle name="EA 2 2 5 2" xfId="29510"/>
    <cellStyle name="EA 2 2 6" xfId="13921"/>
    <cellStyle name="EA 2 2 6 2" xfId="26780"/>
    <cellStyle name="EA 2 2 7" xfId="14415"/>
    <cellStyle name="EA 2 2 7 2" xfId="27248"/>
    <cellStyle name="EA 2 2 8" xfId="14557"/>
    <cellStyle name="EA 2 2 8 2" xfId="27385"/>
    <cellStyle name="EA 2 2 9" xfId="15582"/>
    <cellStyle name="EA 2 2 9 2" xfId="28391"/>
    <cellStyle name="EA 3" xfId="10923"/>
    <cellStyle name="EA 3 10" xfId="17400"/>
    <cellStyle name="EA 3 11" xfId="17884"/>
    <cellStyle name="EA 3 11 2" xfId="30598"/>
    <cellStyle name="EA 3 12" xfId="22649"/>
    <cellStyle name="EA 3 12 2" xfId="35083"/>
    <cellStyle name="EA 3 13" xfId="21514"/>
    <cellStyle name="EA 3 13 2" xfId="33951"/>
    <cellStyle name="EA 3 14" xfId="18351"/>
    <cellStyle name="EA 3 14 2" xfId="31057"/>
    <cellStyle name="EA 3 15" xfId="18775"/>
    <cellStyle name="EA 3 15 2" xfId="31480"/>
    <cellStyle name="EA 3 16" xfId="19398"/>
    <cellStyle name="EA 3 16 2" xfId="31954"/>
    <cellStyle name="EA 3 17" xfId="20299"/>
    <cellStyle name="EA 3 17 2" xfId="32744"/>
    <cellStyle name="EA 3 18" xfId="20850"/>
    <cellStyle name="EA 3 18 2" xfId="33287"/>
    <cellStyle name="EA 3 19" xfId="23223"/>
    <cellStyle name="EA 3 19 2" xfId="35656"/>
    <cellStyle name="EA 3 2" xfId="16189"/>
    <cellStyle name="EA 3 2 2" xfId="28965"/>
    <cellStyle name="EA 3 20" xfId="21549"/>
    <cellStyle name="EA 3 20 2" xfId="33986"/>
    <cellStyle name="EA 3 21" xfId="20292"/>
    <cellStyle name="EA 3 21 2" xfId="32737"/>
    <cellStyle name="EA 3 22" xfId="23474"/>
    <cellStyle name="EA 3 22 2" xfId="35905"/>
    <cellStyle name="EA 3 23" xfId="18273"/>
    <cellStyle name="EA 3 23 2" xfId="30979"/>
    <cellStyle name="EA 3 24" xfId="25108"/>
    <cellStyle name="EA 3 3" xfId="15262"/>
    <cellStyle name="EA 3 3 2" xfId="28079"/>
    <cellStyle name="EA 3 4" xfId="14375"/>
    <cellStyle name="EA 3 4 2" xfId="27208"/>
    <cellStyle name="EA 3 5" xfId="12804"/>
    <cellStyle name="EA 3 5 2" xfId="25680"/>
    <cellStyle name="EA 3 6" xfId="17109"/>
    <cellStyle name="EA 3 6 2" xfId="29844"/>
    <cellStyle name="EA 3 7" xfId="15654"/>
    <cellStyle name="EA 3 7 2" xfId="28461"/>
    <cellStyle name="EA 3 8" xfId="13320"/>
    <cellStyle name="EA 3 8 2" xfId="26188"/>
    <cellStyle name="EA 3 9" xfId="15615"/>
    <cellStyle name="EA 3 9 2" xfId="28424"/>
    <cellStyle name="E­æo±" xfId="11686"/>
    <cellStyle name="E­æo±a" xfId="11687"/>
    <cellStyle name="E­Æo±aE￡" xfId="2525"/>
    <cellStyle name="È­Æó±âÈ£" xfId="5745"/>
    <cellStyle name="E­æo±ae￡ 10" xfId="5746"/>
    <cellStyle name="E­æo±ae￡ 11" xfId="5747"/>
    <cellStyle name="E­æo±ae￡ 12" xfId="5748"/>
    <cellStyle name="E­æo±ae￡ 13" xfId="5749"/>
    <cellStyle name="E­æo±ae￡ 14" xfId="5750"/>
    <cellStyle name="E­æo±ae￡ 15" xfId="5751"/>
    <cellStyle name="E­æo±ae￡ 16" xfId="5752"/>
    <cellStyle name="E­æo±ae￡ 17" xfId="5753"/>
    <cellStyle name="E­æo±ae￡ 18" xfId="5754"/>
    <cellStyle name="E­æo±ae￡ 19" xfId="5755"/>
    <cellStyle name="E­Æo±aE￡ 2" xfId="4571"/>
    <cellStyle name="È­æó±âè£ 2" xfId="10326"/>
    <cellStyle name="E­æo±ae￡ 2 2" xfId="5756"/>
    <cellStyle name="E­æo±ae￡ 20" xfId="5757"/>
    <cellStyle name="E­æo±ae￡ 21" xfId="5758"/>
    <cellStyle name="E­æo±ae￡ 22" xfId="5759"/>
    <cellStyle name="E­æo±ae￡ 23" xfId="5760"/>
    <cellStyle name="E­æo±ae￡ 24" xfId="5761"/>
    <cellStyle name="E­æo±ae￡ 25" xfId="5744"/>
    <cellStyle name="E­æo±ae￡ 3" xfId="5762"/>
    <cellStyle name="È­æó±âè£ 3" xfId="11219"/>
    <cellStyle name="E­Æo±aE￡ 3 2" xfId="11220"/>
    <cellStyle name="E­Æo±aE￡ 3 3" xfId="11119"/>
    <cellStyle name="E­Æo±aE￡ 3 4" xfId="11167"/>
    <cellStyle name="E­Æo±aE￡ 3 5" xfId="11131"/>
    <cellStyle name="E­æo±ae￡ 4" xfId="5763"/>
    <cellStyle name="È­æó±âè£ 4" xfId="11120"/>
    <cellStyle name="E­Æo±aE￡ 4 2" xfId="11221"/>
    <cellStyle name="E­Æo±aE￡ 4 3" xfId="11168"/>
    <cellStyle name="E­Æo±aE￡ 4 4" xfId="10939"/>
    <cellStyle name="E­æo±ae￡ 5" xfId="5764"/>
    <cellStyle name="È­æó±âè£ 5" xfId="11166"/>
    <cellStyle name="E­æo±ae￡ 6" xfId="5765"/>
    <cellStyle name="È­æó±âè£ 6" xfId="11132"/>
    <cellStyle name="E­æo±ae￡ 7" xfId="5766"/>
    <cellStyle name="E­æo±ae￡ 8" xfId="5767"/>
    <cellStyle name="E­æo±ae￡ 9" xfId="5768"/>
    <cellStyle name="E­æo±ae￡_1.내역서" xfId="5769"/>
    <cellStyle name="È­æó±âè£_설계내역서" xfId="10327"/>
    <cellStyle name="E­Æo±aE￡0" xfId="2526"/>
    <cellStyle name="È­Æó±âÈ£0" xfId="5771"/>
    <cellStyle name="E­æo±ae￡0 10" xfId="5772"/>
    <cellStyle name="E­æo±ae￡0 11" xfId="5773"/>
    <cellStyle name="E­æo±ae￡0 12" xfId="5774"/>
    <cellStyle name="E­æo±ae￡0 13" xfId="5775"/>
    <cellStyle name="E­æo±ae￡0 14" xfId="5776"/>
    <cellStyle name="E­æo±ae￡0 15" xfId="5777"/>
    <cellStyle name="E­æo±ae￡0 16" xfId="5778"/>
    <cellStyle name="E­æo±ae￡0 17" xfId="5779"/>
    <cellStyle name="E­æo±ae￡0 18" xfId="5780"/>
    <cellStyle name="E­æo±ae￡0 19" xfId="5781"/>
    <cellStyle name="E­Æo±aE￡0 2" xfId="4572"/>
    <cellStyle name="È­æó±âè£0 2" xfId="10328"/>
    <cellStyle name="E­æo±ae￡0 2 2" xfId="5782"/>
    <cellStyle name="E­æo±ae￡0 20" xfId="5783"/>
    <cellStyle name="E­æo±ae￡0 21" xfId="5784"/>
    <cellStyle name="E­æo±ae￡0 22" xfId="5785"/>
    <cellStyle name="E­æo±ae￡0 23" xfId="5786"/>
    <cellStyle name="E­æo±ae￡0 24" xfId="5787"/>
    <cellStyle name="E­æo±ae￡0 25" xfId="5770"/>
    <cellStyle name="E­æo±ae￡0 3" xfId="5788"/>
    <cellStyle name="È­æó±âè£0 3" xfId="11222"/>
    <cellStyle name="E­Æo±aE￡0 3 2" xfId="11223"/>
    <cellStyle name="E­Æo±aE￡0 3 3" xfId="11117"/>
    <cellStyle name="E­Æo±aE￡0 3 4" xfId="11170"/>
    <cellStyle name="E­Æo±aE￡0 3 5" xfId="11129"/>
    <cellStyle name="E­æo±ae￡0 4" xfId="5789"/>
    <cellStyle name="È­æó±âè£0 4" xfId="11118"/>
    <cellStyle name="E­Æo±aE￡0 4 2" xfId="11224"/>
    <cellStyle name="E­Æo±aE￡0 4 3" xfId="11171"/>
    <cellStyle name="E­Æo±aE￡0 4 4" xfId="10938"/>
    <cellStyle name="E­æo±ae￡0 5" xfId="5790"/>
    <cellStyle name="È­æó±âè£0 5" xfId="11169"/>
    <cellStyle name="E­æo±ae￡0 6" xfId="5791"/>
    <cellStyle name="È­æó±âè£0 6" xfId="11130"/>
    <cellStyle name="E­æo±ae￡0 7" xfId="5792"/>
    <cellStyle name="E­æo±ae￡0 8" xfId="5793"/>
    <cellStyle name="E­æo±ae￡0 9" xfId="5794"/>
    <cellStyle name="E­æo±ae￡0_1.내역서" xfId="5795"/>
    <cellStyle name="È­æó±âè£0_설계내역서" xfId="10329"/>
    <cellStyle name="Entered" xfId="2527"/>
    <cellStyle name="Euro" xfId="2528"/>
    <cellStyle name="Euro 2" xfId="10330"/>
    <cellStyle name="Euro 3" xfId="11688"/>
    <cellStyle name="Euro 4" xfId="11689"/>
    <cellStyle name="F2" xfId="2529"/>
    <cellStyle name="F2 2" xfId="10331"/>
    <cellStyle name="F3" xfId="2530"/>
    <cellStyle name="F3 2" xfId="10332"/>
    <cellStyle name="F4" xfId="2531"/>
    <cellStyle name="F4 2" xfId="10333"/>
    <cellStyle name="F5" xfId="2532"/>
    <cellStyle name="F5 2" xfId="10334"/>
    <cellStyle name="F6" xfId="2533"/>
    <cellStyle name="F6 2" xfId="10335"/>
    <cellStyle name="F7" xfId="2534"/>
    <cellStyle name="F7 2" xfId="10336"/>
    <cellStyle name="F8" xfId="2535"/>
    <cellStyle name="F8 2" xfId="10337"/>
    <cellStyle name="Fixed" xfId="2536"/>
    <cellStyle name="Fixed 2" xfId="10338"/>
    <cellStyle name="Followed Hyperlink" xfId="2537"/>
    <cellStyle name="Followed Hyperlink 2" xfId="10339"/>
    <cellStyle name="G/표준" xfId="10340"/>
    <cellStyle name="Grey" xfId="2538"/>
    <cellStyle name="Grey 2" xfId="5796"/>
    <cellStyle name="Grey 3" xfId="5797"/>
    <cellStyle name="Grey 4" xfId="11690"/>
    <cellStyle name="Grey 5" xfId="11691"/>
    <cellStyle name="Grey 6" xfId="11692"/>
    <cellStyle name="Grey 7" xfId="11693"/>
    <cellStyle name="Grey 8" xfId="11694"/>
    <cellStyle name="Grey 9" xfId="11695"/>
    <cellStyle name="Grey_덕진구_가로등_일제정비공사_착공내역서" xfId="11696"/>
    <cellStyle name="H1" xfId="2539"/>
    <cellStyle name="H1 2" xfId="10341"/>
    <cellStyle name="H2" xfId="2540"/>
    <cellStyle name="H2 2" xfId="10342"/>
    <cellStyle name="head" xfId="5798"/>
    <cellStyle name="head 1" xfId="2541"/>
    <cellStyle name="head 1-1" xfId="10343"/>
    <cellStyle name="HEADER" xfId="2542"/>
    <cellStyle name="Header1" xfId="2543"/>
    <cellStyle name="Header2" xfId="2544"/>
    <cellStyle name="Header2 10" xfId="13348"/>
    <cellStyle name="Header2 10 2" xfId="26216"/>
    <cellStyle name="Header2 2" xfId="10344"/>
    <cellStyle name="Header2 2 2" xfId="11225"/>
    <cellStyle name="Header2 2 2 10" xfId="17150"/>
    <cellStyle name="Header2 2 2 10 2" xfId="29884"/>
    <cellStyle name="Header2 2 2 11" xfId="22896"/>
    <cellStyle name="Header2 2 2 11 2" xfId="35330"/>
    <cellStyle name="Header2 2 2 12" xfId="21266"/>
    <cellStyle name="Header2 2 2 12 2" xfId="33703"/>
    <cellStyle name="Header2 2 2 13" xfId="20397"/>
    <cellStyle name="Header2 2 2 13 2" xfId="32842"/>
    <cellStyle name="Header2 2 2 14" xfId="19092"/>
    <cellStyle name="Header2 2 2 14 2" xfId="31797"/>
    <cellStyle name="Header2 2 2 15" xfId="24090"/>
    <cellStyle name="Header2 2 2 15 2" xfId="36521"/>
    <cellStyle name="Header2 2 2 16" xfId="24212"/>
    <cellStyle name="Header2 2 2 16 2" xfId="36643"/>
    <cellStyle name="Header2 2 2 17" xfId="22638"/>
    <cellStyle name="Header2 2 2 17 2" xfId="35072"/>
    <cellStyle name="Header2 2 2 18" xfId="22114"/>
    <cellStyle name="Header2 2 2 18 2" xfId="34550"/>
    <cellStyle name="Header2 2 2 19" xfId="24044"/>
    <cellStyle name="Header2 2 2 19 2" xfId="36475"/>
    <cellStyle name="Header2 2 2 2" xfId="16419"/>
    <cellStyle name="Header2 2 2 2 2" xfId="29195"/>
    <cellStyle name="Header2 2 2 20" xfId="24374"/>
    <cellStyle name="Header2 2 2 20 2" xfId="36805"/>
    <cellStyle name="Header2 2 2 21" xfId="20144"/>
    <cellStyle name="Header2 2 2 21 2" xfId="32590"/>
    <cellStyle name="Header2 2 2 3" xfId="12565"/>
    <cellStyle name="Header2 2 2 3 2" xfId="25445"/>
    <cellStyle name="Header2 2 2 4" xfId="16614"/>
    <cellStyle name="Header2 2 2 4 2" xfId="29390"/>
    <cellStyle name="Header2 2 2 5" xfId="15443"/>
    <cellStyle name="Header2 2 2 5 2" xfId="28252"/>
    <cellStyle name="Header2 2 2 6" xfId="17217"/>
    <cellStyle name="Header2 2 2 6 2" xfId="29951"/>
    <cellStyle name="Header2 2 2 7" xfId="15233"/>
    <cellStyle name="Header2 2 2 7 2" xfId="28051"/>
    <cellStyle name="Header2 2 2 8" xfId="13712"/>
    <cellStyle name="Header2 2 2 8 2" xfId="26573"/>
    <cellStyle name="Header2 2 2 9" xfId="15593"/>
    <cellStyle name="Header2 2 2 9 2" xfId="28402"/>
    <cellStyle name="Header2 2 3" xfId="15953"/>
    <cellStyle name="Header2 2 3 2" xfId="28751"/>
    <cellStyle name="Header2 3" xfId="10345"/>
    <cellStyle name="Header2 3 2" xfId="11226"/>
    <cellStyle name="Header2 3 2 10" xfId="14083"/>
    <cellStyle name="Header2 3 2 10 2" xfId="26931"/>
    <cellStyle name="Header2 3 2 11" xfId="22897"/>
    <cellStyle name="Header2 3 2 11 2" xfId="35331"/>
    <cellStyle name="Header2 3 2 12" xfId="21265"/>
    <cellStyle name="Header2 3 2 12 2" xfId="33702"/>
    <cellStyle name="Header2 3 2 13" xfId="20148"/>
    <cellStyle name="Header2 3 2 13 2" xfId="32594"/>
    <cellStyle name="Header2 3 2 14" xfId="21794"/>
    <cellStyle name="Header2 3 2 14 2" xfId="34231"/>
    <cellStyle name="Header2 3 2 15" xfId="18992"/>
    <cellStyle name="Header2 3 2 15 2" xfId="31697"/>
    <cellStyle name="Header2 3 2 16" xfId="22841"/>
    <cellStyle name="Header2 3 2 16 2" xfId="35275"/>
    <cellStyle name="Header2 3 2 17" xfId="19257"/>
    <cellStyle name="Header2 3 2 17 2" xfId="31912"/>
    <cellStyle name="Header2 3 2 18" xfId="19065"/>
    <cellStyle name="Header2 3 2 18 2" xfId="31770"/>
    <cellStyle name="Header2 3 2 19" xfId="20597"/>
    <cellStyle name="Header2 3 2 19 2" xfId="33041"/>
    <cellStyle name="Header2 3 2 2" xfId="16420"/>
    <cellStyle name="Header2 3 2 2 2" xfId="29196"/>
    <cellStyle name="Header2 3 2 20" xfId="20787"/>
    <cellStyle name="Header2 3 2 20 2" xfId="33226"/>
    <cellStyle name="Header2 3 2 21" xfId="24662"/>
    <cellStyle name="Header2 3 2 21 2" xfId="37093"/>
    <cellStyle name="Header2 3 2 3" xfId="12566"/>
    <cellStyle name="Header2 3 2 3 2" xfId="25446"/>
    <cellStyle name="Header2 3 2 4" xfId="14170"/>
    <cellStyle name="Header2 3 2 4 2" xfId="27018"/>
    <cellStyle name="Header2 3 2 5" xfId="17322"/>
    <cellStyle name="Header2 3 2 5 2" xfId="30051"/>
    <cellStyle name="Header2 3 2 6" xfId="13924"/>
    <cellStyle name="Header2 3 2 6 2" xfId="26783"/>
    <cellStyle name="Header2 3 2 7" xfId="15643"/>
    <cellStyle name="Header2 3 2 7 2" xfId="28450"/>
    <cellStyle name="Header2 3 2 8" xfId="12779"/>
    <cellStyle name="Header2 3 2 8 2" xfId="25655"/>
    <cellStyle name="Header2 3 2 9" xfId="17906"/>
    <cellStyle name="Header2 3 2 9 2" xfId="30620"/>
    <cellStyle name="Header2 3 3" xfId="15954"/>
    <cellStyle name="Header2 3 3 2" xfId="28752"/>
    <cellStyle name="Header2 4" xfId="10346"/>
    <cellStyle name="Header2 4 2" xfId="11227"/>
    <cellStyle name="Header2 4 2 10" xfId="14029"/>
    <cellStyle name="Header2 4 2 10 2" xfId="26880"/>
    <cellStyle name="Header2 4 2 11" xfId="22898"/>
    <cellStyle name="Header2 4 2 11 2" xfId="35332"/>
    <cellStyle name="Header2 4 2 12" xfId="21264"/>
    <cellStyle name="Header2 4 2 12 2" xfId="33701"/>
    <cellStyle name="Header2 4 2 13" xfId="20396"/>
    <cellStyle name="Header2 4 2 13 2" xfId="32841"/>
    <cellStyle name="Header2 4 2 14" xfId="19091"/>
    <cellStyle name="Header2 4 2 14 2" xfId="31796"/>
    <cellStyle name="Header2 4 2 15" xfId="24089"/>
    <cellStyle name="Header2 4 2 15 2" xfId="36520"/>
    <cellStyle name="Header2 4 2 16" xfId="23741"/>
    <cellStyle name="Header2 4 2 16 2" xfId="36172"/>
    <cellStyle name="Header2 4 2 17" xfId="24228"/>
    <cellStyle name="Header2 4 2 17 2" xfId="36659"/>
    <cellStyle name="Header2 4 2 18" xfId="24307"/>
    <cellStyle name="Header2 4 2 18 2" xfId="36738"/>
    <cellStyle name="Header2 4 2 19" xfId="24043"/>
    <cellStyle name="Header2 4 2 19 2" xfId="36474"/>
    <cellStyle name="Header2 4 2 2" xfId="16421"/>
    <cellStyle name="Header2 4 2 2 2" xfId="29197"/>
    <cellStyle name="Header2 4 2 20" xfId="21847"/>
    <cellStyle name="Header2 4 2 20 2" xfId="34284"/>
    <cellStyle name="Header2 4 2 21" xfId="22305"/>
    <cellStyle name="Header2 4 2 21 2" xfId="34739"/>
    <cellStyle name="Header2 4 2 3" xfId="12567"/>
    <cellStyle name="Header2 4 2 3 2" xfId="25447"/>
    <cellStyle name="Header2 4 2 4" xfId="14367"/>
    <cellStyle name="Header2 4 2 4 2" xfId="27200"/>
    <cellStyle name="Header2 4 2 5" xfId="17321"/>
    <cellStyle name="Header2 4 2 5 2" xfId="30050"/>
    <cellStyle name="Header2 4 2 6" xfId="17216"/>
    <cellStyle name="Header2 4 2 6 2" xfId="29950"/>
    <cellStyle name="Header2 4 2 7" xfId="12951"/>
    <cellStyle name="Header2 4 2 7 2" xfId="25826"/>
    <cellStyle name="Header2 4 2 8" xfId="13713"/>
    <cellStyle name="Header2 4 2 8 2" xfId="26574"/>
    <cellStyle name="Header2 4 2 9" xfId="13731"/>
    <cellStyle name="Header2 4 2 9 2" xfId="26592"/>
    <cellStyle name="Header2 4 3" xfId="15955"/>
    <cellStyle name="Header2 4 3 2" xfId="28753"/>
    <cellStyle name="Header2 5" xfId="10347"/>
    <cellStyle name="Header2 5 2" xfId="11228"/>
    <cellStyle name="Header2 5 2 10" xfId="18094"/>
    <cellStyle name="Header2 5 2 10 2" xfId="30805"/>
    <cellStyle name="Header2 5 2 11" xfId="22899"/>
    <cellStyle name="Header2 5 2 11 2" xfId="35333"/>
    <cellStyle name="Header2 5 2 12" xfId="21263"/>
    <cellStyle name="Header2 5 2 12 2" xfId="33700"/>
    <cellStyle name="Header2 5 2 13" xfId="20147"/>
    <cellStyle name="Header2 5 2 13 2" xfId="32593"/>
    <cellStyle name="Header2 5 2 14" xfId="21793"/>
    <cellStyle name="Header2 5 2 14 2" xfId="34230"/>
    <cellStyle name="Header2 5 2 15" xfId="24088"/>
    <cellStyle name="Header2 5 2 15 2" xfId="36519"/>
    <cellStyle name="Header2 5 2 16" xfId="22840"/>
    <cellStyle name="Header2 5 2 16 2" xfId="35274"/>
    <cellStyle name="Header2 5 2 17" xfId="19044"/>
    <cellStyle name="Header2 5 2 17 2" xfId="31749"/>
    <cellStyle name="Header2 5 2 18" xfId="20896"/>
    <cellStyle name="Header2 5 2 18 2" xfId="33333"/>
    <cellStyle name="Header2 5 2 19" xfId="24449"/>
    <cellStyle name="Header2 5 2 19 2" xfId="36880"/>
    <cellStyle name="Header2 5 2 2" xfId="16422"/>
    <cellStyle name="Header2 5 2 2 2" xfId="29198"/>
    <cellStyle name="Header2 5 2 20" xfId="19005"/>
    <cellStyle name="Header2 5 2 20 2" xfId="31710"/>
    <cellStyle name="Header2 5 2 21" xfId="24407"/>
    <cellStyle name="Header2 5 2 21 2" xfId="36838"/>
    <cellStyle name="Header2 5 2 3" xfId="12568"/>
    <cellStyle name="Header2 5 2 3 2" xfId="25448"/>
    <cellStyle name="Header2 5 2 4" xfId="14169"/>
    <cellStyle name="Header2 5 2 4 2" xfId="27017"/>
    <cellStyle name="Header2 5 2 5" xfId="14642"/>
    <cellStyle name="Header2 5 2 5 2" xfId="27468"/>
    <cellStyle name="Header2 5 2 6" xfId="13925"/>
    <cellStyle name="Header2 5 2 6 2" xfId="26784"/>
    <cellStyle name="Header2 5 2 7" xfId="14064"/>
    <cellStyle name="Header2 5 2 7 2" xfId="26912"/>
    <cellStyle name="Header2 5 2 8" xfId="12780"/>
    <cellStyle name="Header2 5 2 8 2" xfId="25656"/>
    <cellStyle name="Header2 5 2 9" xfId="17461"/>
    <cellStyle name="Header2 5 2 9 2" xfId="30183"/>
    <cellStyle name="Header2 5 3" xfId="15956"/>
    <cellStyle name="Header2 5 3 2" xfId="28754"/>
    <cellStyle name="Header2 6" xfId="10348"/>
    <cellStyle name="Header2 6 2" xfId="11229"/>
    <cellStyle name="Header2 6 2 10" xfId="15826"/>
    <cellStyle name="Header2 6 2 10 2" xfId="28624"/>
    <cellStyle name="Header2 6 2 11" xfId="22900"/>
    <cellStyle name="Header2 6 2 11 2" xfId="35334"/>
    <cellStyle name="Header2 6 2 12" xfId="21262"/>
    <cellStyle name="Header2 6 2 12 2" xfId="33699"/>
    <cellStyle name="Header2 6 2 13" xfId="20395"/>
    <cellStyle name="Header2 6 2 13 2" xfId="32840"/>
    <cellStyle name="Header2 6 2 14" xfId="19090"/>
    <cellStyle name="Header2 6 2 14 2" xfId="31795"/>
    <cellStyle name="Header2 6 2 15" xfId="24087"/>
    <cellStyle name="Header2 6 2 15 2" xfId="36518"/>
    <cellStyle name="Header2 6 2 16" xfId="23742"/>
    <cellStyle name="Header2 6 2 16 2" xfId="36173"/>
    <cellStyle name="Header2 6 2 17" xfId="22563"/>
    <cellStyle name="Header2 6 2 17 2" xfId="34997"/>
    <cellStyle name="Header2 6 2 18" xfId="23063"/>
    <cellStyle name="Header2 6 2 18 2" xfId="35496"/>
    <cellStyle name="Header2 6 2 19" xfId="24048"/>
    <cellStyle name="Header2 6 2 19 2" xfId="36479"/>
    <cellStyle name="Header2 6 2 2" xfId="16423"/>
    <cellStyle name="Header2 6 2 2 2" xfId="29199"/>
    <cellStyle name="Header2 6 2 20" xfId="22323"/>
    <cellStyle name="Header2 6 2 20 2" xfId="34757"/>
    <cellStyle name="Header2 6 2 21" xfId="21946"/>
    <cellStyle name="Header2 6 2 21 2" xfId="34383"/>
    <cellStyle name="Header2 6 2 3" xfId="12569"/>
    <cellStyle name="Header2 6 2 3 2" xfId="25449"/>
    <cellStyle name="Header2 6 2 4" xfId="14366"/>
    <cellStyle name="Header2 6 2 4 2" xfId="27199"/>
    <cellStyle name="Header2 6 2 5" xfId="15280"/>
    <cellStyle name="Header2 6 2 5 2" xfId="28097"/>
    <cellStyle name="Header2 6 2 6" xfId="17215"/>
    <cellStyle name="Header2 6 2 6 2" xfId="29949"/>
    <cellStyle name="Header2 6 2 7" xfId="17453"/>
    <cellStyle name="Header2 6 2 7 2" xfId="30175"/>
    <cellStyle name="Header2 6 2 8" xfId="13714"/>
    <cellStyle name="Header2 6 2 8 2" xfId="26575"/>
    <cellStyle name="Header2 6 2 9" xfId="12972"/>
    <cellStyle name="Header2 6 2 9 2" xfId="25847"/>
    <cellStyle name="Header2 6 3" xfId="15957"/>
    <cellStyle name="Header2 6 3 2" xfId="28755"/>
    <cellStyle name="Header2 7" xfId="10349"/>
    <cellStyle name="Header2 7 2" xfId="11230"/>
    <cellStyle name="Header2 7 2 10" xfId="17931"/>
    <cellStyle name="Header2 7 2 10 2" xfId="30643"/>
    <cellStyle name="Header2 7 2 11" xfId="22901"/>
    <cellStyle name="Header2 7 2 11 2" xfId="35335"/>
    <cellStyle name="Header2 7 2 12" xfId="21261"/>
    <cellStyle name="Header2 7 2 12 2" xfId="33698"/>
    <cellStyle name="Header2 7 2 13" xfId="20146"/>
    <cellStyle name="Header2 7 2 13 2" xfId="32592"/>
    <cellStyle name="Header2 7 2 14" xfId="21792"/>
    <cellStyle name="Header2 7 2 14 2" xfId="34229"/>
    <cellStyle name="Header2 7 2 15" xfId="24086"/>
    <cellStyle name="Header2 7 2 15 2" xfId="36517"/>
    <cellStyle name="Header2 7 2 16" xfId="22177"/>
    <cellStyle name="Header2 7 2 16 2" xfId="34613"/>
    <cellStyle name="Header2 7 2 17" xfId="19038"/>
    <cellStyle name="Header2 7 2 17 2" xfId="31743"/>
    <cellStyle name="Header2 7 2 18" xfId="21790"/>
    <cellStyle name="Header2 7 2 18 2" xfId="34227"/>
    <cellStyle name="Header2 7 2 19" xfId="24448"/>
    <cellStyle name="Header2 7 2 19 2" xfId="36879"/>
    <cellStyle name="Header2 7 2 2" xfId="16424"/>
    <cellStyle name="Header2 7 2 2 2" xfId="29200"/>
    <cellStyle name="Header2 7 2 20" xfId="23107"/>
    <cellStyle name="Header2 7 2 20 2" xfId="35540"/>
    <cellStyle name="Header2 7 2 21" xfId="24663"/>
    <cellStyle name="Header2 7 2 21 2" xfId="37094"/>
    <cellStyle name="Header2 7 2 3" xfId="12570"/>
    <cellStyle name="Header2 7 2 3 2" xfId="25450"/>
    <cellStyle name="Header2 7 2 4" xfId="14168"/>
    <cellStyle name="Header2 7 2 4 2" xfId="27016"/>
    <cellStyle name="Header2 7 2 5" xfId="16557"/>
    <cellStyle name="Header2 7 2 5 2" xfId="29333"/>
    <cellStyle name="Header2 7 2 6" xfId="15787"/>
    <cellStyle name="Header2 7 2 6 2" xfId="28586"/>
    <cellStyle name="Header2 7 2 7" xfId="14272"/>
    <cellStyle name="Header2 7 2 7 2" xfId="27107"/>
    <cellStyle name="Header2 7 2 8" xfId="12781"/>
    <cellStyle name="Header2 7 2 8 2" xfId="25657"/>
    <cellStyle name="Header2 7 2 9" xfId="14503"/>
    <cellStyle name="Header2 7 2 9 2" xfId="27331"/>
    <cellStyle name="Header2 7 3" xfId="15958"/>
    <cellStyle name="Header2 7 3 2" xfId="28756"/>
    <cellStyle name="Header2 8" xfId="10350"/>
    <cellStyle name="Header2 8 2" xfId="11231"/>
    <cellStyle name="Header2 8 2 10" xfId="15433"/>
    <cellStyle name="Header2 8 2 10 2" xfId="28242"/>
    <cellStyle name="Header2 8 2 11" xfId="22902"/>
    <cellStyle name="Header2 8 2 11 2" xfId="35336"/>
    <cellStyle name="Header2 8 2 12" xfId="21260"/>
    <cellStyle name="Header2 8 2 12 2" xfId="33697"/>
    <cellStyle name="Header2 8 2 13" xfId="20394"/>
    <cellStyle name="Header2 8 2 13 2" xfId="32839"/>
    <cellStyle name="Header2 8 2 14" xfId="19089"/>
    <cellStyle name="Header2 8 2 14 2" xfId="31794"/>
    <cellStyle name="Header2 8 2 15" xfId="24085"/>
    <cellStyle name="Header2 8 2 15 2" xfId="36516"/>
    <cellStyle name="Header2 8 2 16" xfId="23043"/>
    <cellStyle name="Header2 8 2 16 2" xfId="35476"/>
    <cellStyle name="Header2 8 2 17" xfId="23271"/>
    <cellStyle name="Header2 8 2 17 2" xfId="35703"/>
    <cellStyle name="Header2 8 2 18" xfId="22113"/>
    <cellStyle name="Header2 8 2 18 2" xfId="34549"/>
    <cellStyle name="Header2 8 2 19" xfId="24042"/>
    <cellStyle name="Header2 8 2 19 2" xfId="36473"/>
    <cellStyle name="Header2 8 2 2" xfId="16425"/>
    <cellStyle name="Header2 8 2 2 2" xfId="29201"/>
    <cellStyle name="Header2 8 2 20" xfId="21965"/>
    <cellStyle name="Header2 8 2 20 2" xfId="34402"/>
    <cellStyle name="Header2 8 2 21" xfId="18752"/>
    <cellStyle name="Header2 8 2 21 2" xfId="31457"/>
    <cellStyle name="Header2 8 2 3" xfId="12571"/>
    <cellStyle name="Header2 8 2 3 2" xfId="25451"/>
    <cellStyle name="Header2 8 2 4" xfId="14365"/>
    <cellStyle name="Header2 8 2 4 2" xfId="27198"/>
    <cellStyle name="Header2 8 2 5" xfId="14554"/>
    <cellStyle name="Header2 8 2 5 2" xfId="27382"/>
    <cellStyle name="Header2 8 2 6" xfId="17214"/>
    <cellStyle name="Header2 8 2 6 2" xfId="29948"/>
    <cellStyle name="Header2 8 2 7" xfId="12743"/>
    <cellStyle name="Header2 8 2 7 2" xfId="25620"/>
    <cellStyle name="Header2 8 2 8" xfId="16764"/>
    <cellStyle name="Header2 8 2 8 2" xfId="29540"/>
    <cellStyle name="Header2 8 2 9" xfId="12737"/>
    <cellStyle name="Header2 8 2 9 2" xfId="25614"/>
    <cellStyle name="Header2 8 3" xfId="15959"/>
    <cellStyle name="Header2 8 3 2" xfId="28757"/>
    <cellStyle name="Header2 9" xfId="10924"/>
    <cellStyle name="Header2 9 10" xfId="14701"/>
    <cellStyle name="Header2 9 10 2" xfId="27527"/>
    <cellStyle name="Header2 9 11" xfId="22650"/>
    <cellStyle name="Header2 9 11 2" xfId="35084"/>
    <cellStyle name="Header2 9 12" xfId="21513"/>
    <cellStyle name="Header2 9 12 2" xfId="33950"/>
    <cellStyle name="Header2 9 13" xfId="20240"/>
    <cellStyle name="Header2 9 13 2" xfId="32685"/>
    <cellStyle name="Header2 9 14" xfId="20332"/>
    <cellStyle name="Header2 9 14 2" xfId="32777"/>
    <cellStyle name="Header2 9 15" xfId="22365"/>
    <cellStyle name="Header2 9 15 2" xfId="34799"/>
    <cellStyle name="Header2 9 16" xfId="21970"/>
    <cellStyle name="Header2 9 16 2" xfId="34407"/>
    <cellStyle name="Header2 9 17" xfId="19179"/>
    <cellStyle name="Header2 9 17 2" xfId="31834"/>
    <cellStyle name="Header2 9 18" xfId="19037"/>
    <cellStyle name="Header2 9 18 2" xfId="31742"/>
    <cellStyle name="Header2 9 19" xfId="24728"/>
    <cellStyle name="Header2 9 19 2" xfId="37159"/>
    <cellStyle name="Header2 9 2" xfId="16190"/>
    <cellStyle name="Header2 9 2 2" xfId="28966"/>
    <cellStyle name="Header2 9 20" xfId="21105"/>
    <cellStyle name="Header2 9 20 2" xfId="33542"/>
    <cellStyle name="Header2 9 21" xfId="20666"/>
    <cellStyle name="Header2 9 21 2" xfId="33110"/>
    <cellStyle name="Header2 9 3" xfId="14452"/>
    <cellStyle name="Header2 9 3 2" xfId="27284"/>
    <cellStyle name="Header2 9 4" xfId="15478"/>
    <cellStyle name="Header2 9 4 2" xfId="28287"/>
    <cellStyle name="Header2 9 5" xfId="12805"/>
    <cellStyle name="Header2 9 5 2" xfId="25681"/>
    <cellStyle name="Header2 9 6" xfId="14707"/>
    <cellStyle name="Header2 9 6 2" xfId="27533"/>
    <cellStyle name="Header2 9 7" xfId="13014"/>
    <cellStyle name="Header2 9 7 2" xfId="25889"/>
    <cellStyle name="Header2 9 8" xfId="12395"/>
    <cellStyle name="Header2 9 8 2" xfId="25275"/>
    <cellStyle name="Header2 9 9" xfId="15675"/>
    <cellStyle name="Header2 9 9 2" xfId="28475"/>
    <cellStyle name="Heading 1" xfId="2545"/>
    <cellStyle name="Heading 1 2" xfId="10351"/>
    <cellStyle name="Heading 2" xfId="2546"/>
    <cellStyle name="Heading 2 2" xfId="10352"/>
    <cellStyle name="Heading1" xfId="2547"/>
    <cellStyle name="Heading1 2" xfId="5799"/>
    <cellStyle name="Heading2" xfId="2548"/>
    <cellStyle name="Heading2 2" xfId="5800"/>
    <cellStyle name="Helv8_PFD4.XLS" xfId="2549"/>
    <cellStyle name="HIGHLIGHT" xfId="5801"/>
    <cellStyle name="Hyperlink" xfId="2550"/>
    <cellStyle name="Hyperlink 2" xfId="10353"/>
    <cellStyle name="iles|_x0005_h" xfId="2551"/>
    <cellStyle name="Input [yellow]" xfId="2552"/>
    <cellStyle name="Input [yellow] 2" xfId="5802"/>
    <cellStyle name="Input [yellow] 2 10" xfId="14402"/>
    <cellStyle name="Input [yellow] 2 10 2" xfId="27235"/>
    <cellStyle name="Input [yellow] 2 11" xfId="14094"/>
    <cellStyle name="Input [yellow] 2 11 2" xfId="26942"/>
    <cellStyle name="Input [yellow] 2 12" xfId="20715"/>
    <cellStyle name="Input [yellow] 2 13" xfId="19033"/>
    <cellStyle name="Input [yellow] 2 13 2" xfId="31738"/>
    <cellStyle name="Input [yellow] 2 14" xfId="19974"/>
    <cellStyle name="Input [yellow] 2 14 2" xfId="32422"/>
    <cellStyle name="Input [yellow] 2 15" xfId="20105"/>
    <cellStyle name="Input [yellow] 2 15 2" xfId="32551"/>
    <cellStyle name="Input [yellow] 2 16" xfId="18665"/>
    <cellStyle name="Input [yellow] 2 16 2" xfId="31370"/>
    <cellStyle name="Input [yellow] 2 17" xfId="21922"/>
    <cellStyle name="Input [yellow] 2 17 2" xfId="34359"/>
    <cellStyle name="Input [yellow] 2 18" xfId="18646"/>
    <cellStyle name="Input [yellow] 2 18 2" xfId="31351"/>
    <cellStyle name="Input [yellow] 2 19" xfId="19748"/>
    <cellStyle name="Input [yellow] 2 19 2" xfId="32201"/>
    <cellStyle name="Input [yellow] 2 2" xfId="11232"/>
    <cellStyle name="Input [yellow] 2 2 10" xfId="18110"/>
    <cellStyle name="Input [yellow] 2 2 11" xfId="12543"/>
    <cellStyle name="Input [yellow] 2 2 11 2" xfId="25423"/>
    <cellStyle name="Input [yellow] 2 2 12" xfId="22903"/>
    <cellStyle name="Input [yellow] 2 2 12 2" xfId="35337"/>
    <cellStyle name="Input [yellow] 2 2 13" xfId="21259"/>
    <cellStyle name="Input [yellow] 2 2 13 2" xfId="33696"/>
    <cellStyle name="Input [yellow] 2 2 14" xfId="18490"/>
    <cellStyle name="Input [yellow] 2 2 14 2" xfId="31195"/>
    <cellStyle name="Input [yellow] 2 2 15" xfId="23706"/>
    <cellStyle name="Input [yellow] 2 2 15 2" xfId="36137"/>
    <cellStyle name="Input [yellow] 2 2 16" xfId="24084"/>
    <cellStyle name="Input [yellow] 2 2 16 2" xfId="36515"/>
    <cellStyle name="Input [yellow] 2 2 17" xfId="24158"/>
    <cellStyle name="Input [yellow] 2 2 17 2" xfId="36589"/>
    <cellStyle name="Input [yellow] 2 2 18" xfId="24364"/>
    <cellStyle name="Input [yellow] 2 2 18 2" xfId="36795"/>
    <cellStyle name="Input [yellow] 2 2 19" xfId="23908"/>
    <cellStyle name="Input [yellow] 2 2 19 2" xfId="36339"/>
    <cellStyle name="Input [yellow] 2 2 2" xfId="16426"/>
    <cellStyle name="Input [yellow] 2 2 2 2" xfId="29202"/>
    <cellStyle name="Input [yellow] 2 2 20" xfId="21822"/>
    <cellStyle name="Input [yellow] 2 2 20 2" xfId="34259"/>
    <cellStyle name="Input [yellow] 2 2 21" xfId="23905"/>
    <cellStyle name="Input [yellow] 2 2 21 2" xfId="36336"/>
    <cellStyle name="Input [yellow] 2 2 22" xfId="19004"/>
    <cellStyle name="Input [yellow] 2 2 22 2" xfId="31709"/>
    <cellStyle name="Input [yellow] 2 2 23" xfId="24664"/>
    <cellStyle name="Input [yellow] 2 2 23 2" xfId="37095"/>
    <cellStyle name="Input [yellow] 2 2 24" xfId="25143"/>
    <cellStyle name="Input [yellow] 2 2 3" xfId="15134"/>
    <cellStyle name="Input [yellow] 2 2 3 2" xfId="27953"/>
    <cellStyle name="Input [yellow] 2 2 4" xfId="14167"/>
    <cellStyle name="Input [yellow] 2 2 4 2" xfId="27015"/>
    <cellStyle name="Input [yellow] 2 2 5" xfId="16736"/>
    <cellStyle name="Input [yellow] 2 2 5 2" xfId="29512"/>
    <cellStyle name="Input [yellow] 2 2 6" xfId="15788"/>
    <cellStyle name="Input [yellow] 2 2 6 2" xfId="28587"/>
    <cellStyle name="Input [yellow] 2 2 7" xfId="14414"/>
    <cellStyle name="Input [yellow] 2 2 7 2" xfId="27247"/>
    <cellStyle name="Input [yellow] 2 2 8" xfId="16799"/>
    <cellStyle name="Input [yellow] 2 2 8 2" xfId="29574"/>
    <cellStyle name="Input [yellow] 2 2 9" xfId="12773"/>
    <cellStyle name="Input [yellow] 2 2 9 2" xfId="25650"/>
    <cellStyle name="Input [yellow] 2 20" xfId="22038"/>
    <cellStyle name="Input [yellow] 2 20 2" xfId="34475"/>
    <cellStyle name="Input [yellow] 2 21" xfId="23401"/>
    <cellStyle name="Input [yellow] 2 21 2" xfId="35832"/>
    <cellStyle name="Input [yellow] 2 22" xfId="19674"/>
    <cellStyle name="Input [yellow] 2 22 2" xfId="32128"/>
    <cellStyle name="Input [yellow] 2 3" xfId="14628"/>
    <cellStyle name="Input [yellow] 2 3 2" xfId="27454"/>
    <cellStyle name="Input [yellow] 2 4" xfId="13025"/>
    <cellStyle name="Input [yellow] 2 4 2" xfId="25900"/>
    <cellStyle name="Input [yellow] 2 5" xfId="17098"/>
    <cellStyle name="Input [yellow] 2 5 2" xfId="29834"/>
    <cellStyle name="Input [yellow] 2 6" xfId="16796"/>
    <cellStyle name="Input [yellow] 2 6 2" xfId="29571"/>
    <cellStyle name="Input [yellow] 2 7" xfId="12952"/>
    <cellStyle name="Input [yellow] 2 7 2" xfId="25827"/>
    <cellStyle name="Input [yellow] 2 8" xfId="17199"/>
    <cellStyle name="Input [yellow] 2 8 2" xfId="29933"/>
    <cellStyle name="Input [yellow] 2 9" xfId="16587"/>
    <cellStyle name="Input [yellow] 2 9 2" xfId="29363"/>
    <cellStyle name="Input [yellow] 3" xfId="5803"/>
    <cellStyle name="Input [yellow] 3 2" xfId="11233"/>
    <cellStyle name="Input [yellow] 3 2 10" xfId="13047"/>
    <cellStyle name="Input [yellow] 3 2 11" xfId="13333"/>
    <cellStyle name="Input [yellow] 3 2 11 2" xfId="26201"/>
    <cellStyle name="Input [yellow] 3 2 12" xfId="22904"/>
    <cellStyle name="Input [yellow] 3 2 12 2" xfId="35338"/>
    <cellStyle name="Input [yellow] 3 2 13" xfId="21258"/>
    <cellStyle name="Input [yellow] 3 2 13 2" xfId="33695"/>
    <cellStyle name="Input [yellow] 3 2 14" xfId="18491"/>
    <cellStyle name="Input [yellow] 3 2 14 2" xfId="31196"/>
    <cellStyle name="Input [yellow] 3 2 15" xfId="23705"/>
    <cellStyle name="Input [yellow] 3 2 15 2" xfId="36136"/>
    <cellStyle name="Input [yellow] 3 2 16" xfId="24083"/>
    <cellStyle name="Input [yellow] 3 2 16 2" xfId="36514"/>
    <cellStyle name="Input [yellow] 3 2 17" xfId="24157"/>
    <cellStyle name="Input [yellow] 3 2 17 2" xfId="36588"/>
    <cellStyle name="Input [yellow] 3 2 18" xfId="24363"/>
    <cellStyle name="Input [yellow] 3 2 18 2" xfId="36794"/>
    <cellStyle name="Input [yellow] 3 2 19" xfId="18315"/>
    <cellStyle name="Input [yellow] 3 2 19 2" xfId="31021"/>
    <cellStyle name="Input [yellow] 3 2 2" xfId="16427"/>
    <cellStyle name="Input [yellow] 3 2 2 2" xfId="29203"/>
    <cellStyle name="Input [yellow] 3 2 20" xfId="22112"/>
    <cellStyle name="Input [yellow] 3 2 20 2" xfId="34548"/>
    <cellStyle name="Input [yellow] 3 2 21" xfId="20362"/>
    <cellStyle name="Input [yellow] 3 2 21 2" xfId="32807"/>
    <cellStyle name="Input [yellow] 3 2 22" xfId="21546"/>
    <cellStyle name="Input [yellow] 3 2 22 2" xfId="33983"/>
    <cellStyle name="Input [yellow] 3 2 23" xfId="22215"/>
    <cellStyle name="Input [yellow] 3 2 23 2" xfId="34650"/>
    <cellStyle name="Input [yellow] 3 2 24" xfId="25144"/>
    <cellStyle name="Input [yellow] 3 2 3" xfId="15133"/>
    <cellStyle name="Input [yellow] 3 2 3 2" xfId="27952"/>
    <cellStyle name="Input [yellow] 3 2 4" xfId="14364"/>
    <cellStyle name="Input [yellow] 3 2 4 2" xfId="27197"/>
    <cellStyle name="Input [yellow] 3 2 5" xfId="17308"/>
    <cellStyle name="Input [yellow] 3 2 5 2" xfId="30037"/>
    <cellStyle name="Input [yellow] 3 2 6" xfId="17213"/>
    <cellStyle name="Input [yellow] 3 2 6 2" xfId="29947"/>
    <cellStyle name="Input [yellow] 3 2 7" xfId="12991"/>
    <cellStyle name="Input [yellow] 3 2 7 2" xfId="25866"/>
    <cellStyle name="Input [yellow] 3 2 8" xfId="17766"/>
    <cellStyle name="Input [yellow] 3 2 8 2" xfId="30483"/>
    <cellStyle name="Input [yellow] 3 2 9" xfId="14410"/>
    <cellStyle name="Input [yellow] 3 2 9 2" xfId="27243"/>
    <cellStyle name="Input [yellow] 4" xfId="10354"/>
    <cellStyle name="Input [yellow] 4 2" xfId="11234"/>
    <cellStyle name="Input [yellow] 4 2 10" xfId="18111"/>
    <cellStyle name="Input [yellow] 4 2 11" xfId="17251"/>
    <cellStyle name="Input [yellow] 4 2 11 2" xfId="29984"/>
    <cellStyle name="Input [yellow] 4 2 12" xfId="22905"/>
    <cellStyle name="Input [yellow] 4 2 12 2" xfId="35339"/>
    <cellStyle name="Input [yellow] 4 2 13" xfId="21257"/>
    <cellStyle name="Input [yellow] 4 2 13 2" xfId="33694"/>
    <cellStyle name="Input [yellow] 4 2 14" xfId="18492"/>
    <cellStyle name="Input [yellow] 4 2 14 2" xfId="31197"/>
    <cellStyle name="Input [yellow] 4 2 15" xfId="23704"/>
    <cellStyle name="Input [yellow] 4 2 15 2" xfId="36135"/>
    <cellStyle name="Input [yellow] 4 2 16" xfId="24082"/>
    <cellStyle name="Input [yellow] 4 2 16 2" xfId="36513"/>
    <cellStyle name="Input [yellow] 4 2 17" xfId="24156"/>
    <cellStyle name="Input [yellow] 4 2 17 2" xfId="36587"/>
    <cellStyle name="Input [yellow] 4 2 18" xfId="24362"/>
    <cellStyle name="Input [yellow] 4 2 18 2" xfId="36793"/>
    <cellStyle name="Input [yellow] 4 2 19" xfId="20744"/>
    <cellStyle name="Input [yellow] 4 2 19 2" xfId="33184"/>
    <cellStyle name="Input [yellow] 4 2 2" xfId="16428"/>
    <cellStyle name="Input [yellow] 4 2 2 2" xfId="29204"/>
    <cellStyle name="Input [yellow] 4 2 20" xfId="20894"/>
    <cellStyle name="Input [yellow] 4 2 20 2" xfId="33331"/>
    <cellStyle name="Input [yellow] 4 2 21" xfId="24447"/>
    <cellStyle name="Input [yellow] 4 2 21 2" xfId="36878"/>
    <cellStyle name="Input [yellow] 4 2 22" xfId="21979"/>
    <cellStyle name="Input [yellow] 4 2 22 2" xfId="34416"/>
    <cellStyle name="Input [yellow] 4 2 23" xfId="24406"/>
    <cellStyle name="Input [yellow] 4 2 23 2" xfId="36837"/>
    <cellStyle name="Input [yellow] 4 2 24" xfId="25145"/>
    <cellStyle name="Input [yellow] 4 2 3" xfId="15132"/>
    <cellStyle name="Input [yellow] 4 2 3 2" xfId="27951"/>
    <cellStyle name="Input [yellow] 4 2 4" xfId="14166"/>
    <cellStyle name="Input [yellow] 4 2 4 2" xfId="27014"/>
    <cellStyle name="Input [yellow] 4 2 5" xfId="17307"/>
    <cellStyle name="Input [yellow] 4 2 5 2" xfId="30036"/>
    <cellStyle name="Input [yellow] 4 2 6" xfId="15789"/>
    <cellStyle name="Input [yellow] 4 2 6 2" xfId="28588"/>
    <cellStyle name="Input [yellow] 4 2 7" xfId="14413"/>
    <cellStyle name="Input [yellow] 4 2 7 2" xfId="27246"/>
    <cellStyle name="Input [yellow] 4 2 8" xfId="14590"/>
    <cellStyle name="Input [yellow] 4 2 8 2" xfId="27416"/>
    <cellStyle name="Input [yellow] 4 2 9" xfId="13732"/>
    <cellStyle name="Input [yellow] 4 2 9 2" xfId="26593"/>
    <cellStyle name="Input [yellow] 5" xfId="10355"/>
    <cellStyle name="Input [yellow] 5 2" xfId="11235"/>
    <cellStyle name="Input [yellow] 5 2 10" xfId="15066"/>
    <cellStyle name="Input [yellow] 5 2 11" xfId="17151"/>
    <cellStyle name="Input [yellow] 5 2 11 2" xfId="29885"/>
    <cellStyle name="Input [yellow] 5 2 12" xfId="22906"/>
    <cellStyle name="Input [yellow] 5 2 12 2" xfId="35340"/>
    <cellStyle name="Input [yellow] 5 2 13" xfId="21256"/>
    <cellStyle name="Input [yellow] 5 2 13 2" xfId="33693"/>
    <cellStyle name="Input [yellow] 5 2 14" xfId="18493"/>
    <cellStyle name="Input [yellow] 5 2 14 2" xfId="31198"/>
    <cellStyle name="Input [yellow] 5 2 15" xfId="23703"/>
    <cellStyle name="Input [yellow] 5 2 15 2" xfId="36134"/>
    <cellStyle name="Input [yellow] 5 2 16" xfId="24081"/>
    <cellStyle name="Input [yellow] 5 2 16 2" xfId="36512"/>
    <cellStyle name="Input [yellow] 5 2 17" xfId="24155"/>
    <cellStyle name="Input [yellow] 5 2 17 2" xfId="36586"/>
    <cellStyle name="Input [yellow] 5 2 18" xfId="24361"/>
    <cellStyle name="Input [yellow] 5 2 18 2" xfId="36792"/>
    <cellStyle name="Input [yellow] 5 2 19" xfId="23105"/>
    <cellStyle name="Input [yellow] 5 2 19 2" xfId="35538"/>
    <cellStyle name="Input [yellow] 5 2 2" xfId="16429"/>
    <cellStyle name="Input [yellow] 5 2 2 2" xfId="29205"/>
    <cellStyle name="Input [yellow] 5 2 20" xfId="22111"/>
    <cellStyle name="Input [yellow] 5 2 20 2" xfId="34547"/>
    <cellStyle name="Input [yellow] 5 2 21" xfId="20704"/>
    <cellStyle name="Input [yellow] 5 2 21 2" xfId="33147"/>
    <cellStyle name="Input [yellow] 5 2 22" xfId="22322"/>
    <cellStyle name="Input [yellow] 5 2 22 2" xfId="34756"/>
    <cellStyle name="Input [yellow] 5 2 23" xfId="18753"/>
    <cellStyle name="Input [yellow] 5 2 23 2" xfId="31458"/>
    <cellStyle name="Input [yellow] 5 2 24" xfId="25146"/>
    <cellStyle name="Input [yellow] 5 2 3" xfId="15131"/>
    <cellStyle name="Input [yellow] 5 2 3 2" xfId="27950"/>
    <cellStyle name="Input [yellow] 5 2 4" xfId="14363"/>
    <cellStyle name="Input [yellow] 5 2 4 2" xfId="27196"/>
    <cellStyle name="Input [yellow] 5 2 5" xfId="17306"/>
    <cellStyle name="Input [yellow] 5 2 5 2" xfId="30035"/>
    <cellStyle name="Input [yellow] 5 2 6" xfId="17212"/>
    <cellStyle name="Input [yellow] 5 2 6 2" xfId="29946"/>
    <cellStyle name="Input [yellow] 5 2 7" xfId="12990"/>
    <cellStyle name="Input [yellow] 5 2 7 2" xfId="25865"/>
    <cellStyle name="Input [yellow] 5 2 8" xfId="17767"/>
    <cellStyle name="Input [yellow] 5 2 8 2" xfId="30484"/>
    <cellStyle name="Input [yellow] 5 2 9" xfId="15796"/>
    <cellStyle name="Input [yellow] 5 2 9 2" xfId="28595"/>
    <cellStyle name="Input [yellow] 6" xfId="10356"/>
    <cellStyle name="Input [yellow] 6 2" xfId="11236"/>
    <cellStyle name="Input [yellow] 6 2 10" xfId="12703"/>
    <cellStyle name="Input [yellow] 6 2 11" xfId="13959"/>
    <cellStyle name="Input [yellow] 6 2 11 2" xfId="26817"/>
    <cellStyle name="Input [yellow] 6 2 12" xfId="22907"/>
    <cellStyle name="Input [yellow] 6 2 12 2" xfId="35341"/>
    <cellStyle name="Input [yellow] 6 2 13" xfId="21255"/>
    <cellStyle name="Input [yellow] 6 2 13 2" xfId="33692"/>
    <cellStyle name="Input [yellow] 6 2 14" xfId="18494"/>
    <cellStyle name="Input [yellow] 6 2 14 2" xfId="31199"/>
    <cellStyle name="Input [yellow] 6 2 15" xfId="19191"/>
    <cellStyle name="Input [yellow] 6 2 15 2" xfId="31846"/>
    <cellStyle name="Input [yellow] 6 2 16" xfId="24080"/>
    <cellStyle name="Input [yellow] 6 2 16 2" xfId="36511"/>
    <cellStyle name="Input [yellow] 6 2 17" xfId="24154"/>
    <cellStyle name="Input [yellow] 6 2 17 2" xfId="36585"/>
    <cellStyle name="Input [yellow] 6 2 18" xfId="24360"/>
    <cellStyle name="Input [yellow] 6 2 18 2" xfId="36791"/>
    <cellStyle name="Input [yellow] 6 2 19" xfId="23227"/>
    <cellStyle name="Input [yellow] 6 2 19 2" xfId="35660"/>
    <cellStyle name="Input [yellow] 6 2 2" xfId="16430"/>
    <cellStyle name="Input [yellow] 6 2 2 2" xfId="29206"/>
    <cellStyle name="Input [yellow] 6 2 20" xfId="21789"/>
    <cellStyle name="Input [yellow] 6 2 20 2" xfId="34226"/>
    <cellStyle name="Input [yellow] 6 2 21" xfId="24446"/>
    <cellStyle name="Input [yellow] 6 2 21 2" xfId="36877"/>
    <cellStyle name="Input [yellow] 6 2 22" xfId="19003"/>
    <cellStyle name="Input [yellow] 6 2 22 2" xfId="31708"/>
    <cellStyle name="Input [yellow] 6 2 23" xfId="23856"/>
    <cellStyle name="Input [yellow] 6 2 23 2" xfId="36287"/>
    <cellStyle name="Input [yellow] 6 2 24" xfId="25147"/>
    <cellStyle name="Input [yellow] 6 2 3" xfId="15130"/>
    <cellStyle name="Input [yellow] 6 2 3 2" xfId="27949"/>
    <cellStyle name="Input [yellow] 6 2 4" xfId="14165"/>
    <cellStyle name="Input [yellow] 6 2 4 2" xfId="27013"/>
    <cellStyle name="Input [yellow] 6 2 5" xfId="17305"/>
    <cellStyle name="Input [yellow] 6 2 5 2" xfId="30034"/>
    <cellStyle name="Input [yellow] 6 2 6" xfId="13926"/>
    <cellStyle name="Input [yellow] 6 2 6 2" xfId="26785"/>
    <cellStyle name="Input [yellow] 6 2 7" xfId="12700"/>
    <cellStyle name="Input [yellow] 6 2 7 2" xfId="25579"/>
    <cellStyle name="Input [yellow] 6 2 8" xfId="14444"/>
    <cellStyle name="Input [yellow] 6 2 8 2" xfId="27277"/>
    <cellStyle name="Input [yellow] 6 2 9" xfId="15434"/>
    <cellStyle name="Input [yellow] 6 2 9 2" xfId="28243"/>
    <cellStyle name="Input [yellow] 7" xfId="10357"/>
    <cellStyle name="Input [yellow] 7 2" xfId="11237"/>
    <cellStyle name="Input [yellow] 7 2 10" xfId="15429"/>
    <cellStyle name="Input [yellow] 7 2 11" xfId="14597"/>
    <cellStyle name="Input [yellow] 7 2 11 2" xfId="27423"/>
    <cellStyle name="Input [yellow] 7 2 12" xfId="22908"/>
    <cellStyle name="Input [yellow] 7 2 12 2" xfId="35342"/>
    <cellStyle name="Input [yellow] 7 2 13" xfId="21254"/>
    <cellStyle name="Input [yellow] 7 2 13 2" xfId="33691"/>
    <cellStyle name="Input [yellow] 7 2 14" xfId="18495"/>
    <cellStyle name="Input [yellow] 7 2 14 2" xfId="31200"/>
    <cellStyle name="Input [yellow] 7 2 15" xfId="19286"/>
    <cellStyle name="Input [yellow] 7 2 15 2" xfId="31939"/>
    <cellStyle name="Input [yellow] 7 2 16" xfId="24079"/>
    <cellStyle name="Input [yellow] 7 2 16 2" xfId="36510"/>
    <cellStyle name="Input [yellow] 7 2 17" xfId="24153"/>
    <cellStyle name="Input [yellow] 7 2 17 2" xfId="36584"/>
    <cellStyle name="Input [yellow] 7 2 18" xfId="24359"/>
    <cellStyle name="Input [yellow] 7 2 18 2" xfId="36790"/>
    <cellStyle name="Input [yellow] 7 2 19" xfId="20248"/>
    <cellStyle name="Input [yellow] 7 2 19 2" xfId="32693"/>
    <cellStyle name="Input [yellow] 7 2 2" xfId="16431"/>
    <cellStyle name="Input [yellow] 7 2 2 2" xfId="29207"/>
    <cellStyle name="Input [yellow] 7 2 20" xfId="22110"/>
    <cellStyle name="Input [yellow] 7 2 20 2" xfId="34546"/>
    <cellStyle name="Input [yellow] 7 2 21" xfId="18314"/>
    <cellStyle name="Input [yellow] 7 2 21 2" xfId="31020"/>
    <cellStyle name="Input [yellow] 7 2 22" xfId="20153"/>
    <cellStyle name="Input [yellow] 7 2 22 2" xfId="32599"/>
    <cellStyle name="Input [yellow] 7 2 23" xfId="18321"/>
    <cellStyle name="Input [yellow] 7 2 23 2" xfId="31027"/>
    <cellStyle name="Input [yellow] 7 2 24" xfId="25148"/>
    <cellStyle name="Input [yellow] 7 2 3" xfId="15129"/>
    <cellStyle name="Input [yellow] 7 2 3 2" xfId="27948"/>
    <cellStyle name="Input [yellow] 7 2 4" xfId="14362"/>
    <cellStyle name="Input [yellow] 7 2 4 2" xfId="27195"/>
    <cellStyle name="Input [yellow] 7 2 5" xfId="17304"/>
    <cellStyle name="Input [yellow] 7 2 5 2" xfId="30033"/>
    <cellStyle name="Input [yellow] 7 2 6" xfId="17211"/>
    <cellStyle name="Input [yellow] 7 2 6 2" xfId="29945"/>
    <cellStyle name="Input [yellow] 7 2 7" xfId="12989"/>
    <cellStyle name="Input [yellow] 7 2 7 2" xfId="25864"/>
    <cellStyle name="Input [yellow] 7 2 8" xfId="17768"/>
    <cellStyle name="Input [yellow] 7 2 8 2" xfId="30485"/>
    <cellStyle name="Input [yellow] 7 2 9" xfId="12971"/>
    <cellStyle name="Input [yellow] 7 2 9 2" xfId="25846"/>
    <cellStyle name="Input [yellow] 8" xfId="10925"/>
    <cellStyle name="Input [yellow] 8 10" xfId="14229"/>
    <cellStyle name="Input [yellow] 8 11" xfId="12407"/>
    <cellStyle name="Input [yellow] 8 11 2" xfId="25287"/>
    <cellStyle name="Input [yellow] 8 12" xfId="22651"/>
    <cellStyle name="Input [yellow] 8 12 2" xfId="35085"/>
    <cellStyle name="Input [yellow] 8 13" xfId="21512"/>
    <cellStyle name="Input [yellow] 8 13 2" xfId="33949"/>
    <cellStyle name="Input [yellow] 8 14" xfId="18353"/>
    <cellStyle name="Input [yellow] 8 14 2" xfId="31059"/>
    <cellStyle name="Input [yellow] 8 15" xfId="22231"/>
    <cellStyle name="Input [yellow] 8 15 2" xfId="34666"/>
    <cellStyle name="Input [yellow] 8 16" xfId="22140"/>
    <cellStyle name="Input [yellow] 8 16 2" xfId="34576"/>
    <cellStyle name="Input [yellow] 8 17" xfId="20298"/>
    <cellStyle name="Input [yellow] 8 17 2" xfId="32743"/>
    <cellStyle name="Input [yellow] 8 18" xfId="21633"/>
    <cellStyle name="Input [yellow] 8 18 2" xfId="34070"/>
    <cellStyle name="Input [yellow] 8 19" xfId="23224"/>
    <cellStyle name="Input [yellow] 8 19 2" xfId="35657"/>
    <cellStyle name="Input [yellow] 8 2" xfId="16191"/>
    <cellStyle name="Input [yellow] 8 2 2" xfId="28967"/>
    <cellStyle name="Input [yellow] 8 20" xfId="22280"/>
    <cellStyle name="Input [yellow] 8 20 2" xfId="34714"/>
    <cellStyle name="Input [yellow] 8 21" xfId="22637"/>
    <cellStyle name="Input [yellow] 8 21 2" xfId="35071"/>
    <cellStyle name="Input [yellow] 8 22" xfId="23766"/>
    <cellStyle name="Input [yellow] 8 22 2" xfId="36197"/>
    <cellStyle name="Input [yellow] 8 23" xfId="19889"/>
    <cellStyle name="Input [yellow] 8 23 2" xfId="32339"/>
    <cellStyle name="Input [yellow] 8 24" xfId="25109"/>
    <cellStyle name="Input [yellow] 8 3" xfId="15261"/>
    <cellStyle name="Input [yellow] 8 3 2" xfId="28078"/>
    <cellStyle name="Input [yellow] 8 4" xfId="14178"/>
    <cellStyle name="Input [yellow] 8 4 2" xfId="27026"/>
    <cellStyle name="Input [yellow] 8 5" xfId="12806"/>
    <cellStyle name="Input [yellow] 8 5 2" xfId="25682"/>
    <cellStyle name="Input [yellow] 8 6" xfId="14708"/>
    <cellStyle name="Input [yellow] 8 6 2" xfId="27534"/>
    <cellStyle name="Input [yellow] 8 7" xfId="15653"/>
    <cellStyle name="Input [yellow] 8 7 2" xfId="28460"/>
    <cellStyle name="Input [yellow] 8 8" xfId="15762"/>
    <cellStyle name="Input [yellow] 8 8 2" xfId="28561"/>
    <cellStyle name="Input [yellow] 8 9" xfId="15700"/>
    <cellStyle name="Input [yellow] 8 9 2" xfId="28500"/>
    <cellStyle name="Input [yellow] 9" xfId="11697"/>
    <cellStyle name="Input [yellow] 9 10" xfId="12936"/>
    <cellStyle name="Input [yellow] 9 11" xfId="16811"/>
    <cellStyle name="Input [yellow] 9 11 2" xfId="29586"/>
    <cellStyle name="Input [yellow] 9 12" xfId="23141"/>
    <cellStyle name="Input [yellow] 9 12 2" xfId="35574"/>
    <cellStyle name="Input [yellow] 9 13" xfId="21050"/>
    <cellStyle name="Input [yellow] 9 13 2" xfId="33487"/>
    <cellStyle name="Input [yellow] 9 14" xfId="18680"/>
    <cellStyle name="Input [yellow] 9 14 2" xfId="31385"/>
    <cellStyle name="Input [yellow] 9 15" xfId="18804"/>
    <cellStyle name="Input [yellow] 9 15 2" xfId="31509"/>
    <cellStyle name="Input [yellow] 9 16" xfId="20854"/>
    <cellStyle name="Input [yellow] 9 16 2" xfId="33291"/>
    <cellStyle name="Input [yellow] 9 17" xfId="22861"/>
    <cellStyle name="Input [yellow] 9 17 2" xfId="35295"/>
    <cellStyle name="Input [yellow] 9 18" xfId="20710"/>
    <cellStyle name="Input [yellow] 9 18 2" xfId="33153"/>
    <cellStyle name="Input [yellow] 9 19" xfId="24313"/>
    <cellStyle name="Input [yellow] 9 19 2" xfId="36744"/>
    <cellStyle name="Input [yellow] 9 2" xfId="16715"/>
    <cellStyle name="Input [yellow] 9 2 2" xfId="29491"/>
    <cellStyle name="Input [yellow] 9 20" xfId="24650"/>
    <cellStyle name="Input [yellow] 9 20 2" xfId="37081"/>
    <cellStyle name="Input [yellow] 9 21" xfId="22419"/>
    <cellStyle name="Input [yellow] 9 21 2" xfId="34853"/>
    <cellStyle name="Input [yellow] 9 22" xfId="24577"/>
    <cellStyle name="Input [yellow] 9 22 2" xfId="37008"/>
    <cellStyle name="Input [yellow] 9 23" xfId="19745"/>
    <cellStyle name="Input [yellow] 9 23 2" xfId="32198"/>
    <cellStyle name="Input [yellow] 9 24" xfId="25235"/>
    <cellStyle name="Input [yellow] 9 3" xfId="17114"/>
    <cellStyle name="Input [yellow] 9 3 2" xfId="29848"/>
    <cellStyle name="Input [yellow] 9 4" xfId="14080"/>
    <cellStyle name="Input [yellow] 9 4 2" xfId="26928"/>
    <cellStyle name="Input [yellow] 9 5" xfId="14564"/>
    <cellStyle name="Input [yellow] 9 5 2" xfId="27392"/>
    <cellStyle name="Input [yellow] 9 6" xfId="14681"/>
    <cellStyle name="Input [yellow] 9 6 2" xfId="27507"/>
    <cellStyle name="Input [yellow] 9 7" xfId="15590"/>
    <cellStyle name="Input [yellow] 9 7 2" xfId="28399"/>
    <cellStyle name="Input [yellow] 9 8" xfId="15597"/>
    <cellStyle name="Input [yellow] 9 8 2" xfId="28406"/>
    <cellStyle name="Input [yellow] 9 9" xfId="13716"/>
    <cellStyle name="Input [yellow] 9 9 2" xfId="26577"/>
    <cellStyle name="Input [yellow]_덕진구_가로등_일제정비공사_착공내역서" xfId="11698"/>
    <cellStyle name="kg" xfId="2553"/>
    <cellStyle name="kg 2" xfId="10358"/>
    <cellStyle name="kg 2 2" xfId="11239"/>
    <cellStyle name="kg 2 2 10" xfId="15064"/>
    <cellStyle name="kg 2 2 11" xfId="17905"/>
    <cellStyle name="kg 2 2 11 2" xfId="30619"/>
    <cellStyle name="kg 2 2 12" xfId="22910"/>
    <cellStyle name="kg 2 2 12 2" xfId="35344"/>
    <cellStyle name="kg 2 2 13" xfId="21252"/>
    <cellStyle name="kg 2 2 13 2" xfId="33689"/>
    <cellStyle name="kg 2 2 14" xfId="18497"/>
    <cellStyle name="kg 2 2 14 2" xfId="31202"/>
    <cellStyle name="kg 2 2 15" xfId="23701"/>
    <cellStyle name="kg 2 2 15 2" xfId="36132"/>
    <cellStyle name="kg 2 2 16" xfId="20522"/>
    <cellStyle name="kg 2 2 16 2" xfId="32967"/>
    <cellStyle name="kg 2 2 17" xfId="22645"/>
    <cellStyle name="kg 2 2 17 2" xfId="35079"/>
    <cellStyle name="kg 2 2 18" xfId="24357"/>
    <cellStyle name="kg 2 2 18 2" xfId="36788"/>
    <cellStyle name="kg 2 2 19" xfId="22065"/>
    <cellStyle name="kg 2 2 19 2" xfId="34502"/>
    <cellStyle name="kg 2 2 2" xfId="16433"/>
    <cellStyle name="kg 2 2 2 2" xfId="29209"/>
    <cellStyle name="kg 2 2 20" xfId="19749"/>
    <cellStyle name="kg 2 2 20 2" xfId="32202"/>
    <cellStyle name="kg 2 2 21" xfId="22380"/>
    <cellStyle name="kg 2 2 21 2" xfId="34814"/>
    <cellStyle name="kg 2 2 22" xfId="24017"/>
    <cellStyle name="kg 2 2 22 2" xfId="36448"/>
    <cellStyle name="kg 2 2 23" xfId="20392"/>
    <cellStyle name="kg 2 2 23 2" xfId="32837"/>
    <cellStyle name="kg 2 2 24" xfId="25150"/>
    <cellStyle name="kg 2 2 3" xfId="15127"/>
    <cellStyle name="kg 2 2 3 2" xfId="27946"/>
    <cellStyle name="kg 2 2 4" xfId="14361"/>
    <cellStyle name="kg 2 2 4 2" xfId="27194"/>
    <cellStyle name="kg 2 2 5" xfId="15930"/>
    <cellStyle name="kg 2 2 5 2" xfId="28728"/>
    <cellStyle name="kg 2 2 6" xfId="17210"/>
    <cellStyle name="kg 2 2 6 2" xfId="29944"/>
    <cellStyle name="kg 2 2 7" xfId="12988"/>
    <cellStyle name="kg 2 2 7 2" xfId="25863"/>
    <cellStyle name="kg 2 2 8" xfId="17769"/>
    <cellStyle name="kg 2 2 8 2" xfId="30486"/>
    <cellStyle name="kg 2 2 9" xfId="17727"/>
    <cellStyle name="kg 2 2 9 2" xfId="30444"/>
    <cellStyle name="kg 3" xfId="10359"/>
    <cellStyle name="kg 3 2" xfId="11240"/>
    <cellStyle name="kg 3 2 10" xfId="16027"/>
    <cellStyle name="kg 3 2 11" xfId="15377"/>
    <cellStyle name="kg 3 2 11 2" xfId="28194"/>
    <cellStyle name="kg 3 2 12" xfId="22911"/>
    <cellStyle name="kg 3 2 12 2" xfId="35345"/>
    <cellStyle name="kg 3 2 13" xfId="21251"/>
    <cellStyle name="kg 3 2 13 2" xfId="33688"/>
    <cellStyle name="kg 3 2 14" xfId="18498"/>
    <cellStyle name="kg 3 2 14 2" xfId="31203"/>
    <cellStyle name="kg 3 2 15" xfId="23700"/>
    <cellStyle name="kg 3 2 15 2" xfId="36131"/>
    <cellStyle name="kg 3 2 16" xfId="24078"/>
    <cellStyle name="kg 3 2 16 2" xfId="36509"/>
    <cellStyle name="kg 3 2 17" xfId="23636"/>
    <cellStyle name="kg 3 2 17 2" xfId="36067"/>
    <cellStyle name="kg 3 2 18" xfId="24356"/>
    <cellStyle name="kg 3 2 18 2" xfId="36787"/>
    <cellStyle name="kg 3 2 19" xfId="21969"/>
    <cellStyle name="kg 3 2 19 2" xfId="34406"/>
    <cellStyle name="kg 3 2 2" xfId="16434"/>
    <cellStyle name="kg 3 2 2 2" xfId="29210"/>
    <cellStyle name="kg 3 2 20" xfId="21094"/>
    <cellStyle name="kg 3 2 20 2" xfId="33531"/>
    <cellStyle name="kg 3 2 21" xfId="24444"/>
    <cellStyle name="kg 3 2 21 2" xfId="36875"/>
    <cellStyle name="kg 3 2 22" xfId="24845"/>
    <cellStyle name="kg 3 2 22 2" xfId="37276"/>
    <cellStyle name="kg 3 2 23" xfId="24892"/>
    <cellStyle name="kg 3 2 23 2" xfId="37323"/>
    <cellStyle name="kg 3 2 24" xfId="25151"/>
    <cellStyle name="kg 3 2 3" xfId="15126"/>
    <cellStyle name="kg 3 2 3 2" xfId="27945"/>
    <cellStyle name="kg 3 2 4" xfId="14163"/>
    <cellStyle name="kg 3 2 4 2" xfId="27011"/>
    <cellStyle name="kg 3 2 5" xfId="16737"/>
    <cellStyle name="kg 3 2 5 2" xfId="29513"/>
    <cellStyle name="kg 3 2 6" xfId="15790"/>
    <cellStyle name="kg 3 2 6 2" xfId="28589"/>
    <cellStyle name="kg 3 2 7" xfId="14079"/>
    <cellStyle name="kg 3 2 7 2" xfId="26927"/>
    <cellStyle name="kg 3 2 8" xfId="14445"/>
    <cellStyle name="kg 3 2 8 2" xfId="27278"/>
    <cellStyle name="kg 3 2 9" xfId="16497"/>
    <cellStyle name="kg 3 2 9 2" xfId="29273"/>
    <cellStyle name="kg 4" xfId="10360"/>
    <cellStyle name="kg 4 2" xfId="11241"/>
    <cellStyle name="kg 4 2 10" xfId="15658"/>
    <cellStyle name="kg 4 2 11" xfId="13793"/>
    <cellStyle name="kg 4 2 11 2" xfId="26653"/>
    <cellStyle name="kg 4 2 12" xfId="22912"/>
    <cellStyle name="kg 4 2 12 2" xfId="35346"/>
    <cellStyle name="kg 4 2 13" xfId="21250"/>
    <cellStyle name="kg 4 2 13 2" xfId="33687"/>
    <cellStyle name="kg 4 2 14" xfId="18499"/>
    <cellStyle name="kg 4 2 14 2" xfId="31204"/>
    <cellStyle name="kg 4 2 15" xfId="23699"/>
    <cellStyle name="kg 4 2 15 2" xfId="36130"/>
    <cellStyle name="kg 4 2 16" xfId="24077"/>
    <cellStyle name="kg 4 2 16 2" xfId="36508"/>
    <cellStyle name="kg 4 2 17" xfId="23782"/>
    <cellStyle name="kg 4 2 17 2" xfId="36213"/>
    <cellStyle name="kg 4 2 18" xfId="24355"/>
    <cellStyle name="kg 4 2 18 2" xfId="36786"/>
    <cellStyle name="kg 4 2 19" xfId="22066"/>
    <cellStyle name="kg 4 2 19 2" xfId="34503"/>
    <cellStyle name="kg 4 2 2" xfId="16435"/>
    <cellStyle name="kg 4 2 2 2" xfId="29211"/>
    <cellStyle name="kg 4 2 20" xfId="19883"/>
    <cellStyle name="kg 4 2 20 2" xfId="32333"/>
    <cellStyle name="kg 4 2 21" xfId="19896"/>
    <cellStyle name="kg 4 2 21 2" xfId="32345"/>
    <cellStyle name="kg 4 2 22" xfId="24844"/>
    <cellStyle name="kg 4 2 22 2" xfId="37275"/>
    <cellStyle name="kg 4 2 23" xfId="24891"/>
    <cellStyle name="kg 4 2 23 2" xfId="37322"/>
    <cellStyle name="kg 4 2 24" xfId="25152"/>
    <cellStyle name="kg 4 2 3" xfId="15125"/>
    <cellStyle name="kg 4 2 3 2" xfId="27944"/>
    <cellStyle name="kg 4 2 4" xfId="14360"/>
    <cellStyle name="kg 4 2 4 2" xfId="27193"/>
    <cellStyle name="kg 4 2 5" xfId="15931"/>
    <cellStyle name="kg 4 2 5 2" xfId="28729"/>
    <cellStyle name="kg 4 2 6" xfId="17209"/>
    <cellStyle name="kg 4 2 6 2" xfId="29943"/>
    <cellStyle name="kg 4 2 7" xfId="12987"/>
    <cellStyle name="kg 4 2 7 2" xfId="25862"/>
    <cellStyle name="kg 4 2 8" xfId="17770"/>
    <cellStyle name="kg 4 2 8 2" xfId="30487"/>
    <cellStyle name="kg 4 2 9" xfId="15225"/>
    <cellStyle name="kg 4 2 9 2" xfId="28043"/>
    <cellStyle name="kg 5" xfId="10361"/>
    <cellStyle name="kg 5 2" xfId="11242"/>
    <cellStyle name="kg 5 2 10" xfId="15199"/>
    <cellStyle name="kg 5 2 11" xfId="12771"/>
    <cellStyle name="kg 5 2 11 2" xfId="25648"/>
    <cellStyle name="kg 5 2 12" xfId="22913"/>
    <cellStyle name="kg 5 2 12 2" xfId="35347"/>
    <cellStyle name="kg 5 2 13" xfId="21249"/>
    <cellStyle name="kg 5 2 13 2" xfId="33686"/>
    <cellStyle name="kg 5 2 14" xfId="18500"/>
    <cellStyle name="kg 5 2 14 2" xfId="31205"/>
    <cellStyle name="kg 5 2 15" xfId="23698"/>
    <cellStyle name="kg 5 2 15 2" xfId="36129"/>
    <cellStyle name="kg 5 2 16" xfId="24076"/>
    <cellStyle name="kg 5 2 16 2" xfId="36507"/>
    <cellStyle name="kg 5 2 17" xfId="22227"/>
    <cellStyle name="kg 5 2 17 2" xfId="34662"/>
    <cellStyle name="kg 5 2 18" xfId="24354"/>
    <cellStyle name="kg 5 2 18 2" xfId="36785"/>
    <cellStyle name="kg 5 2 19" xfId="20302"/>
    <cellStyle name="kg 5 2 19 2" xfId="32747"/>
    <cellStyle name="kg 5 2 2" xfId="16436"/>
    <cellStyle name="kg 5 2 2 2" xfId="29212"/>
    <cellStyle name="kg 5 2 20" xfId="22109"/>
    <cellStyle name="kg 5 2 20 2" xfId="34545"/>
    <cellStyle name="kg 5 2 21" xfId="24443"/>
    <cellStyle name="kg 5 2 21 2" xfId="36874"/>
    <cellStyle name="kg 5 2 22" xfId="24312"/>
    <cellStyle name="kg 5 2 22 2" xfId="36743"/>
    <cellStyle name="kg 5 2 23" xfId="22033"/>
    <cellStyle name="kg 5 2 23 2" xfId="34470"/>
    <cellStyle name="kg 5 2 24" xfId="25153"/>
    <cellStyle name="kg 5 2 3" xfId="15124"/>
    <cellStyle name="kg 5 2 3 2" xfId="27943"/>
    <cellStyle name="kg 5 2 4" xfId="14162"/>
    <cellStyle name="kg 5 2 4 2" xfId="27010"/>
    <cellStyle name="kg 5 2 5" xfId="16738"/>
    <cellStyle name="kg 5 2 5 2" xfId="29514"/>
    <cellStyle name="kg 5 2 6" xfId="13928"/>
    <cellStyle name="kg 5 2 6 2" xfId="26787"/>
    <cellStyle name="kg 5 2 7" xfId="14290"/>
    <cellStyle name="kg 5 2 7 2" xfId="27123"/>
    <cellStyle name="kg 5 2 8" xfId="16746"/>
    <cellStyle name="kg 5 2 8 2" xfId="29522"/>
    <cellStyle name="kg 5 2 9" xfId="17568"/>
    <cellStyle name="kg 5 2 9 2" xfId="30286"/>
    <cellStyle name="kg 6" xfId="10362"/>
    <cellStyle name="kg 6 2" xfId="11243"/>
    <cellStyle name="kg 6 2 10" xfId="15659"/>
    <cellStyle name="kg 6 2 11" xfId="15708"/>
    <cellStyle name="kg 6 2 11 2" xfId="28508"/>
    <cellStyle name="kg 6 2 12" xfId="22914"/>
    <cellStyle name="kg 6 2 12 2" xfId="35348"/>
    <cellStyle name="kg 6 2 13" xfId="21248"/>
    <cellStyle name="kg 6 2 13 2" xfId="33685"/>
    <cellStyle name="kg 6 2 14" xfId="18501"/>
    <cellStyle name="kg 6 2 14 2" xfId="31206"/>
    <cellStyle name="kg 6 2 15" xfId="23697"/>
    <cellStyle name="kg 6 2 15 2" xfId="36128"/>
    <cellStyle name="kg 6 2 16" xfId="24075"/>
    <cellStyle name="kg 6 2 16 2" xfId="36506"/>
    <cellStyle name="kg 6 2 17" xfId="24152"/>
    <cellStyle name="kg 6 2 17 2" xfId="36583"/>
    <cellStyle name="kg 6 2 18" xfId="18439"/>
    <cellStyle name="kg 6 2 18 2" xfId="31144"/>
    <cellStyle name="kg 6 2 19" xfId="22441"/>
    <cellStyle name="kg 6 2 19 2" xfId="34875"/>
    <cellStyle name="kg 6 2 2" xfId="16437"/>
    <cellStyle name="kg 6 2 2 2" xfId="29213"/>
    <cellStyle name="kg 6 2 20" xfId="19064"/>
    <cellStyle name="kg 6 2 20 2" xfId="31769"/>
    <cellStyle name="kg 6 2 21" xfId="24041"/>
    <cellStyle name="kg 6 2 21 2" xfId="36472"/>
    <cellStyle name="kg 6 2 22" xfId="21726"/>
    <cellStyle name="kg 6 2 22 2" xfId="34163"/>
    <cellStyle name="kg 6 2 23" xfId="19597"/>
    <cellStyle name="kg 6 2 23 2" xfId="32052"/>
    <cellStyle name="kg 6 2 24" xfId="25154"/>
    <cellStyle name="kg 6 2 3" xfId="15123"/>
    <cellStyle name="kg 6 2 3 2" xfId="27942"/>
    <cellStyle name="kg 6 2 4" xfId="14359"/>
    <cellStyle name="kg 6 2 4 2" xfId="27192"/>
    <cellStyle name="kg 6 2 5" xfId="15281"/>
    <cellStyle name="kg 6 2 5 2" xfId="28098"/>
    <cellStyle name="kg 6 2 6" xfId="15350"/>
    <cellStyle name="kg 6 2 6 2" xfId="28167"/>
    <cellStyle name="kg 6 2 7" xfId="12986"/>
    <cellStyle name="kg 6 2 7 2" xfId="25861"/>
    <cellStyle name="kg 6 2 8" xfId="17771"/>
    <cellStyle name="kg 6 2 8 2" xfId="30488"/>
    <cellStyle name="kg 6 2 9" xfId="15671"/>
    <cellStyle name="kg 6 2 9 2" xfId="28471"/>
    <cellStyle name="kg 7" xfId="11238"/>
    <cellStyle name="kg 7 10" xfId="14872"/>
    <cellStyle name="kg 7 11" xfId="15446"/>
    <cellStyle name="kg 7 11 2" xfId="28255"/>
    <cellStyle name="kg 7 12" xfId="22909"/>
    <cellStyle name="kg 7 12 2" xfId="35343"/>
    <cellStyle name="kg 7 13" xfId="21253"/>
    <cellStyle name="kg 7 13 2" xfId="33690"/>
    <cellStyle name="kg 7 14" xfId="18496"/>
    <cellStyle name="kg 7 14 2" xfId="31201"/>
    <cellStyle name="kg 7 15" xfId="23702"/>
    <cellStyle name="kg 7 15 2" xfId="36133"/>
    <cellStyle name="kg 7 16" xfId="18897"/>
    <cellStyle name="kg 7 16 2" xfId="31602"/>
    <cellStyle name="kg 7 17" xfId="20948"/>
    <cellStyle name="kg 7 17 2" xfId="33385"/>
    <cellStyle name="kg 7 18" xfId="24358"/>
    <cellStyle name="kg 7 18 2" xfId="36789"/>
    <cellStyle name="kg 7 19" xfId="23407"/>
    <cellStyle name="kg 7 19 2" xfId="35838"/>
    <cellStyle name="kg 7 2" xfId="16432"/>
    <cellStyle name="kg 7 2 2" xfId="29208"/>
    <cellStyle name="kg 7 20" xfId="20984"/>
    <cellStyle name="kg 7 20 2" xfId="33421"/>
    <cellStyle name="kg 7 21" xfId="24445"/>
    <cellStyle name="kg 7 21 2" xfId="36876"/>
    <cellStyle name="kg 7 22" xfId="24319"/>
    <cellStyle name="kg 7 22 2" xfId="36750"/>
    <cellStyle name="kg 7 23" xfId="22372"/>
    <cellStyle name="kg 7 23 2" xfId="34806"/>
    <cellStyle name="kg 7 24" xfId="25149"/>
    <cellStyle name="kg 7 3" xfId="15128"/>
    <cellStyle name="kg 7 3 2" xfId="27947"/>
    <cellStyle name="kg 7 4" xfId="14164"/>
    <cellStyle name="kg 7 4 2" xfId="27012"/>
    <cellStyle name="kg 7 5" xfId="17303"/>
    <cellStyle name="kg 7 5 2" xfId="30032"/>
    <cellStyle name="kg 7 6" xfId="13927"/>
    <cellStyle name="kg 7 6 2" xfId="26786"/>
    <cellStyle name="kg 7 7" xfId="12699"/>
    <cellStyle name="kg 7 7 2" xfId="25578"/>
    <cellStyle name="kg 7 8" xfId="13321"/>
    <cellStyle name="kg 7 8 2" xfId="26189"/>
    <cellStyle name="kg 7 9" xfId="14645"/>
    <cellStyle name="kg 7 9 2" xfId="27471"/>
    <cellStyle name="ℓ" xfId="2554"/>
    <cellStyle name="ℓ 10" xfId="18204"/>
    <cellStyle name="ℓ 10 2" xfId="30911"/>
    <cellStyle name="ℓ 11" xfId="19295"/>
    <cellStyle name="ℓ 12" xfId="23362"/>
    <cellStyle name="ℓ 12 2" xfId="35794"/>
    <cellStyle name="ℓ 13" xfId="23614"/>
    <cellStyle name="ℓ 13 2" xfId="36045"/>
    <cellStyle name="ℓ 14" xfId="19155"/>
    <cellStyle name="ℓ 14 2" xfId="31810"/>
    <cellStyle name="ℓ 15" xfId="21222"/>
    <cellStyle name="ℓ 15 2" xfId="33659"/>
    <cellStyle name="ℓ 16" xfId="23376"/>
    <cellStyle name="ℓ 16 2" xfId="35808"/>
    <cellStyle name="ℓ 17" xfId="18888"/>
    <cellStyle name="ℓ 17 2" xfId="31593"/>
    <cellStyle name="ℓ 18" xfId="20737"/>
    <cellStyle name="ℓ 18 2" xfId="33177"/>
    <cellStyle name="ℓ 19" xfId="24872"/>
    <cellStyle name="ℓ 19 2" xfId="37303"/>
    <cellStyle name="ℓ 2" xfId="13358"/>
    <cellStyle name="ℓ 2 2" xfId="26226"/>
    <cellStyle name="ℓ 20" xfId="24983"/>
    <cellStyle name="ℓ 20 2" xfId="37414"/>
    <cellStyle name="ℓ 21" xfId="25074"/>
    <cellStyle name="ℓ 21 2" xfId="37505"/>
    <cellStyle name="ℓ 3" xfId="16161"/>
    <cellStyle name="ℓ 3 2" xfId="28944"/>
    <cellStyle name="ℓ 4" xfId="16392"/>
    <cellStyle name="ℓ 4 2" xfId="29168"/>
    <cellStyle name="ℓ 5" xfId="14809"/>
    <cellStyle name="ℓ 5 2" xfId="27632"/>
    <cellStyle name="ℓ 6" xfId="17701"/>
    <cellStyle name="ℓ 6 2" xfId="30418"/>
    <cellStyle name="ℓ 7" xfId="14511"/>
    <cellStyle name="ℓ 7 2" xfId="27339"/>
    <cellStyle name="ℓ 8" xfId="17969"/>
    <cellStyle name="ℓ 8 2" xfId="30681"/>
    <cellStyle name="ℓ 9" xfId="14568"/>
    <cellStyle name="ℓ 9 2" xfId="27396"/>
    <cellStyle name="ℓ_Boo2" xfId="2555"/>
    <cellStyle name="ℓ_Boo2 10" xfId="18203"/>
    <cellStyle name="ℓ_Boo2 10 2" xfId="30910"/>
    <cellStyle name="ℓ_Boo2 11" xfId="19296"/>
    <cellStyle name="ℓ_Boo2 12" xfId="23361"/>
    <cellStyle name="ℓ_Boo2 12 2" xfId="35793"/>
    <cellStyle name="ℓ_Boo2 13" xfId="23613"/>
    <cellStyle name="ℓ_Boo2 13 2" xfId="36044"/>
    <cellStyle name="ℓ_Boo2 14" xfId="20263"/>
    <cellStyle name="ℓ_Boo2 14 2" xfId="32708"/>
    <cellStyle name="ℓ_Boo2 15" xfId="23066"/>
    <cellStyle name="ℓ_Boo2 15 2" xfId="35499"/>
    <cellStyle name="ℓ_Boo2 16" xfId="23513"/>
    <cellStyle name="ℓ_Boo2 16 2" xfId="35944"/>
    <cellStyle name="ℓ_Boo2 17" xfId="18520"/>
    <cellStyle name="ℓ_Boo2 17 2" xfId="31225"/>
    <cellStyle name="ℓ_Boo2 18" xfId="24826"/>
    <cellStyle name="ℓ_Boo2 18 2" xfId="37257"/>
    <cellStyle name="ℓ_Boo2 19" xfId="24871"/>
    <cellStyle name="ℓ_Boo2 19 2" xfId="37302"/>
    <cellStyle name="ℓ_Boo2 2" xfId="13359"/>
    <cellStyle name="ℓ_Boo2 2 2" xfId="26227"/>
    <cellStyle name="ℓ_Boo2 20" xfId="24982"/>
    <cellStyle name="ℓ_Boo2 20 2" xfId="37413"/>
    <cellStyle name="ℓ_Boo2 21" xfId="25073"/>
    <cellStyle name="ℓ_Boo2 21 2" xfId="37504"/>
    <cellStyle name="ℓ_Boo2 3" xfId="16160"/>
    <cellStyle name="ℓ_Boo2 3 2" xfId="28943"/>
    <cellStyle name="ℓ_Boo2 4" xfId="14883"/>
    <cellStyle name="ℓ_Boo2 4 2" xfId="27704"/>
    <cellStyle name="ℓ_Boo2 5" xfId="14810"/>
    <cellStyle name="ℓ_Boo2 5 2" xfId="27633"/>
    <cellStyle name="ℓ_Boo2 6" xfId="17700"/>
    <cellStyle name="ℓ_Boo2 6 2" xfId="30417"/>
    <cellStyle name="ℓ_Boo2 7" xfId="12675"/>
    <cellStyle name="ℓ_Boo2 7 2" xfId="25554"/>
    <cellStyle name="ℓ_Boo2 8" xfId="15941"/>
    <cellStyle name="ℓ_Boo2 8 2" xfId="28739"/>
    <cellStyle name="ℓ_Boo2 9" xfId="15062"/>
    <cellStyle name="ℓ_Boo2 9 2" xfId="27883"/>
    <cellStyle name="ℓ_Boo2_도로수량양식" xfId="2556"/>
    <cellStyle name="ℓ_Boo2_도로수량양식 10" xfId="18202"/>
    <cellStyle name="ℓ_Boo2_도로수량양식 10 2" xfId="30909"/>
    <cellStyle name="ℓ_Boo2_도로수량양식 11" xfId="19297"/>
    <cellStyle name="ℓ_Boo2_도로수량양식 12" xfId="23360"/>
    <cellStyle name="ℓ_Boo2_도로수량양식 12 2" xfId="35792"/>
    <cellStyle name="ℓ_Boo2_도로수량양식 13" xfId="23612"/>
    <cellStyle name="ℓ_Boo2_도로수량양식 13 2" xfId="36043"/>
    <cellStyle name="ℓ_Boo2_도로수량양식 14" xfId="20691"/>
    <cellStyle name="ℓ_Boo2_도로수량양식 14 2" xfId="33134"/>
    <cellStyle name="ℓ_Boo2_도로수량양식 15" xfId="21800"/>
    <cellStyle name="ℓ_Boo2_도로수량양식 15 2" xfId="34237"/>
    <cellStyle name="ℓ_Boo2_도로수량양식 16" xfId="23375"/>
    <cellStyle name="ℓ_Boo2_도로수량양식 16 2" xfId="35807"/>
    <cellStyle name="ℓ_Boo2_도로수량양식 17" xfId="18570"/>
    <cellStyle name="ℓ_Boo2_도로수량양식 17 2" xfId="31275"/>
    <cellStyle name="ℓ_Boo2_도로수량양식 18" xfId="24825"/>
    <cellStyle name="ℓ_Boo2_도로수량양식 18 2" xfId="37256"/>
    <cellStyle name="ℓ_Boo2_도로수량양식 19" xfId="24870"/>
    <cellStyle name="ℓ_Boo2_도로수량양식 19 2" xfId="37301"/>
    <cellStyle name="ℓ_Boo2_도로수량양식 2" xfId="13360"/>
    <cellStyle name="ℓ_Boo2_도로수량양식 2 2" xfId="26228"/>
    <cellStyle name="ℓ_Boo2_도로수량양식 20" xfId="24981"/>
    <cellStyle name="ℓ_Boo2_도로수량양식 20 2" xfId="37412"/>
    <cellStyle name="ℓ_Boo2_도로수량양식 21" xfId="25072"/>
    <cellStyle name="ℓ_Boo2_도로수량양식 21 2" xfId="37503"/>
    <cellStyle name="ℓ_Boo2_도로수량양식 3" xfId="16159"/>
    <cellStyle name="ℓ_Boo2_도로수량양식 3 2" xfId="28942"/>
    <cellStyle name="ℓ_Boo2_도로수량양식 4" xfId="14442"/>
    <cellStyle name="ℓ_Boo2_도로수량양식 4 2" xfId="27275"/>
    <cellStyle name="ℓ_Boo2_도로수량양식 5" xfId="14811"/>
    <cellStyle name="ℓ_Boo2_도로수량양식 5 2" xfId="27634"/>
    <cellStyle name="ℓ_Boo2_도로수량양식 6" xfId="17699"/>
    <cellStyle name="ℓ_Boo2_도로수량양식 6 2" xfId="30416"/>
    <cellStyle name="ℓ_Boo2_도로수량양식 7" xfId="13828"/>
    <cellStyle name="ℓ_Boo2_도로수량양식 7 2" xfId="26687"/>
    <cellStyle name="ℓ_Boo2_도로수량양식 8" xfId="16047"/>
    <cellStyle name="ℓ_Boo2_도로수량양식 8 2" xfId="28830"/>
    <cellStyle name="ℓ_Boo2_도로수량양식 9" xfId="13059"/>
    <cellStyle name="ℓ_Boo2_도로수량양식 9 2" xfId="25928"/>
    <cellStyle name="ℓ_Boo2_도로수량양식_자전거도로구조물공수량" xfId="2557"/>
    <cellStyle name="ℓ_Boo2_도로수량양식_자전거도로구조물공수량 10" xfId="18201"/>
    <cellStyle name="ℓ_Boo2_도로수량양식_자전거도로구조물공수량 10 2" xfId="30908"/>
    <cellStyle name="ℓ_Boo2_도로수량양식_자전거도로구조물공수량 11" xfId="19298"/>
    <cellStyle name="ℓ_Boo2_도로수량양식_자전거도로구조물공수량 12" xfId="23359"/>
    <cellStyle name="ℓ_Boo2_도로수량양식_자전거도로구조물공수량 12 2" xfId="35791"/>
    <cellStyle name="ℓ_Boo2_도로수량양식_자전거도로구조물공수량 13" xfId="23611"/>
    <cellStyle name="ℓ_Boo2_도로수량양식_자전거도로구조물공수량 13 2" xfId="36042"/>
    <cellStyle name="ℓ_Boo2_도로수량양식_자전거도로구조물공수량 14" xfId="19564"/>
    <cellStyle name="ℓ_Boo2_도로수량양식_자전거도로구조물공수량 14 2" xfId="32019"/>
    <cellStyle name="ℓ_Boo2_도로수량양식_자전거도로구조물공수량 15" xfId="23067"/>
    <cellStyle name="ℓ_Boo2_도로수량양식_자전거도로구조물공수량 15 2" xfId="35500"/>
    <cellStyle name="ℓ_Boo2_도로수량양식_자전거도로구조물공수량 16" xfId="23514"/>
    <cellStyle name="ℓ_Boo2_도로수량양식_자전거도로구조물공수량 16 2" xfId="35945"/>
    <cellStyle name="ℓ_Boo2_도로수량양식_자전거도로구조물공수량 17" xfId="19234"/>
    <cellStyle name="ℓ_Boo2_도로수량양식_자전거도로구조물공수량 17 2" xfId="31889"/>
    <cellStyle name="ℓ_Boo2_도로수량양식_자전거도로구조물공수량 18" xfId="24824"/>
    <cellStyle name="ℓ_Boo2_도로수량양식_자전거도로구조물공수량 18 2" xfId="37255"/>
    <cellStyle name="ℓ_Boo2_도로수량양식_자전거도로구조물공수량 19" xfId="24869"/>
    <cellStyle name="ℓ_Boo2_도로수량양식_자전거도로구조물공수량 19 2" xfId="37300"/>
    <cellStyle name="ℓ_Boo2_도로수량양식_자전거도로구조물공수량 2" xfId="13361"/>
    <cellStyle name="ℓ_Boo2_도로수량양식_자전거도로구조물공수량 2 2" xfId="26229"/>
    <cellStyle name="ℓ_Boo2_도로수량양식_자전거도로구조물공수량 20" xfId="24980"/>
    <cellStyle name="ℓ_Boo2_도로수량양식_자전거도로구조물공수량 20 2" xfId="37411"/>
    <cellStyle name="ℓ_Boo2_도로수량양식_자전거도로구조물공수량 21" xfId="25071"/>
    <cellStyle name="ℓ_Boo2_도로수량양식_자전거도로구조물공수량 21 2" xfId="37502"/>
    <cellStyle name="ℓ_Boo2_도로수량양식_자전거도로구조물공수량 3" xfId="16158"/>
    <cellStyle name="ℓ_Boo2_도로수량양식_자전거도로구조물공수량 3 2" xfId="28941"/>
    <cellStyle name="ℓ_Boo2_도로수량양식_자전거도로구조물공수량 4" xfId="16381"/>
    <cellStyle name="ℓ_Boo2_도로수량양식_자전거도로구조물공수량 4 2" xfId="29157"/>
    <cellStyle name="ℓ_Boo2_도로수량양식_자전거도로구조물공수량 5" xfId="14812"/>
    <cellStyle name="ℓ_Boo2_도로수량양식_자전거도로구조물공수량 5 2" xfId="27635"/>
    <cellStyle name="ℓ_Boo2_도로수량양식_자전거도로구조물공수량 6" xfId="17698"/>
    <cellStyle name="ℓ_Boo2_도로수량양식_자전거도로구조물공수량 6 2" xfId="30415"/>
    <cellStyle name="ℓ_Boo2_도로수량양식_자전거도로구조물공수량 7" xfId="17122"/>
    <cellStyle name="ℓ_Boo2_도로수량양식_자전거도로구조물공수량 7 2" xfId="29856"/>
    <cellStyle name="ℓ_Boo2_도로수량양식_자전거도로구조물공수량 8" xfId="14691"/>
    <cellStyle name="ℓ_Boo2_도로수량양식_자전거도로구조물공수량 8 2" xfId="27517"/>
    <cellStyle name="ℓ_Boo2_도로수량양식_자전거도로구조물공수량 9" xfId="16712"/>
    <cellStyle name="ℓ_Boo2_도로수량양식_자전거도로구조물공수량 9 2" xfId="29488"/>
    <cellStyle name="ℓ_Boo2_도로수량양식_자전거도로포장수량" xfId="2558"/>
    <cellStyle name="ℓ_Boo2_도로수량양식_자전거도로포장수량 10" xfId="18200"/>
    <cellStyle name="ℓ_Boo2_도로수량양식_자전거도로포장수량 10 2" xfId="30907"/>
    <cellStyle name="ℓ_Boo2_도로수량양식_자전거도로포장수량 11" xfId="19299"/>
    <cellStyle name="ℓ_Boo2_도로수량양식_자전거도로포장수량 12" xfId="20810"/>
    <cellStyle name="ℓ_Boo2_도로수량양식_자전거도로포장수량 12 2" xfId="33247"/>
    <cellStyle name="ℓ_Boo2_도로수량양식_자전거도로포장수량 13" xfId="23610"/>
    <cellStyle name="ℓ_Boo2_도로수량양식_자전거도로포장수량 13 2" xfId="36041"/>
    <cellStyle name="ℓ_Boo2_도로수량양식_자전거도로포장수량 14" xfId="20906"/>
    <cellStyle name="ℓ_Boo2_도로수량양식_자전거도로포장수량 14 2" xfId="33343"/>
    <cellStyle name="ℓ_Boo2_도로수량양식_자전거도로포장수량 15" xfId="21223"/>
    <cellStyle name="ℓ_Boo2_도로수량양식_자전거도로포장수량 15 2" xfId="33660"/>
    <cellStyle name="ℓ_Boo2_도로수량양식_자전거도로포장수량 16" xfId="23374"/>
    <cellStyle name="ℓ_Boo2_도로수량양식_자전거도로포장수량 16 2" xfId="35806"/>
    <cellStyle name="ℓ_Boo2_도로수량양식_자전거도로포장수량 17" xfId="23497"/>
    <cellStyle name="ℓ_Boo2_도로수량양식_자전거도로포장수량 17 2" xfId="35928"/>
    <cellStyle name="ℓ_Boo2_도로수량양식_자전거도로포장수량 18" xfId="24823"/>
    <cellStyle name="ℓ_Boo2_도로수량양식_자전거도로포장수량 18 2" xfId="37254"/>
    <cellStyle name="ℓ_Boo2_도로수량양식_자전거도로포장수량 19" xfId="24868"/>
    <cellStyle name="ℓ_Boo2_도로수량양식_자전거도로포장수량 19 2" xfId="37299"/>
    <cellStyle name="ℓ_Boo2_도로수량양식_자전거도로포장수량 2" xfId="13362"/>
    <cellStyle name="ℓ_Boo2_도로수량양식_자전거도로포장수량 2 2" xfId="26230"/>
    <cellStyle name="ℓ_Boo2_도로수량양식_자전거도로포장수량 20" xfId="24979"/>
    <cellStyle name="ℓ_Boo2_도로수량양식_자전거도로포장수량 20 2" xfId="37410"/>
    <cellStyle name="ℓ_Boo2_도로수량양식_자전거도로포장수량 21" xfId="25070"/>
    <cellStyle name="ℓ_Boo2_도로수량양식_자전거도로포장수량 21 2" xfId="37501"/>
    <cellStyle name="ℓ_Boo2_도로수량양식_자전거도로포장수량 3" xfId="16157"/>
    <cellStyle name="ℓ_Boo2_도로수량양식_자전거도로포장수량 3 2" xfId="28940"/>
    <cellStyle name="ℓ_Boo2_도로수량양식_자전거도로포장수량 4" xfId="16185"/>
    <cellStyle name="ℓ_Boo2_도로수량양식_자전거도로포장수량 4 2" xfId="28961"/>
    <cellStyle name="ℓ_Boo2_도로수량양식_자전거도로포장수량 5" xfId="14813"/>
    <cellStyle name="ℓ_Boo2_도로수량양식_자전거도로포장수량 5 2" xfId="27636"/>
    <cellStyle name="ℓ_Boo2_도로수량양식_자전거도로포장수량 6" xfId="17697"/>
    <cellStyle name="ℓ_Boo2_도로수량양식_자전거도로포장수량 6 2" xfId="30414"/>
    <cellStyle name="ℓ_Boo2_도로수량양식_자전거도로포장수량 7" xfId="17758"/>
    <cellStyle name="ℓ_Boo2_도로수량양식_자전거도로포장수량 7 2" xfId="30475"/>
    <cellStyle name="ℓ_Boo2_도로수량양식_자전거도로포장수량 8" xfId="14091"/>
    <cellStyle name="ℓ_Boo2_도로수량양식_자전거도로포장수량 8 2" xfId="26939"/>
    <cellStyle name="ℓ_Boo2_도로수량양식_자전거도로포장수량 9" xfId="15465"/>
    <cellStyle name="ℓ_Boo2_도로수량양식_자전거도로포장수량 9 2" xfId="28274"/>
    <cellStyle name="ℓ_Boo2_수량산출" xfId="2559"/>
    <cellStyle name="ℓ_Boo2_수량산출 10" xfId="18199"/>
    <cellStyle name="ℓ_Boo2_수량산출 10 2" xfId="30906"/>
    <cellStyle name="ℓ_Boo2_수량산출 11" xfId="19300"/>
    <cellStyle name="ℓ_Boo2_수량산출 12" xfId="23358"/>
    <cellStyle name="ℓ_Boo2_수량산출 12 2" xfId="35790"/>
    <cellStyle name="ℓ_Boo2_수량산출 13" xfId="23609"/>
    <cellStyle name="ℓ_Boo2_수량산출 13 2" xfId="36040"/>
    <cellStyle name="ℓ_Boo2_수량산출 14" xfId="20901"/>
    <cellStyle name="ℓ_Boo2_수량산출 14 2" xfId="33338"/>
    <cellStyle name="ℓ_Boo2_수량산출 15" xfId="21729"/>
    <cellStyle name="ℓ_Boo2_수량산출 15 2" xfId="34166"/>
    <cellStyle name="ℓ_Boo2_수량산출 16" xfId="23515"/>
    <cellStyle name="ℓ_Boo2_수량산출 16 2" xfId="35946"/>
    <cellStyle name="ℓ_Boo2_수량산출 17" xfId="23745"/>
    <cellStyle name="ℓ_Boo2_수량산출 17 2" xfId="36176"/>
    <cellStyle name="ℓ_Boo2_수량산출 18" xfId="24822"/>
    <cellStyle name="ℓ_Boo2_수량산출 18 2" xfId="37253"/>
    <cellStyle name="ℓ_Boo2_수량산출 19" xfId="24867"/>
    <cellStyle name="ℓ_Boo2_수량산출 19 2" xfId="37298"/>
    <cellStyle name="ℓ_Boo2_수량산출 2" xfId="13363"/>
    <cellStyle name="ℓ_Boo2_수량산출 2 2" xfId="26231"/>
    <cellStyle name="ℓ_Boo2_수량산출 20" xfId="24978"/>
    <cellStyle name="ℓ_Boo2_수량산출 20 2" xfId="37409"/>
    <cellStyle name="ℓ_Boo2_수량산출 21" xfId="25069"/>
    <cellStyle name="ℓ_Boo2_수량산출 21 2" xfId="37500"/>
    <cellStyle name="ℓ_Boo2_수량산출 3" xfId="16156"/>
    <cellStyle name="ℓ_Boo2_수량산출 3 2" xfId="28939"/>
    <cellStyle name="ℓ_Boo2_수량산출 4" xfId="13988"/>
    <cellStyle name="ℓ_Boo2_수량산출 4 2" xfId="26845"/>
    <cellStyle name="ℓ_Boo2_수량산출 5" xfId="14814"/>
    <cellStyle name="ℓ_Boo2_수량산출 5 2" xfId="27637"/>
    <cellStyle name="ℓ_Boo2_수량산출 6" xfId="17696"/>
    <cellStyle name="ℓ_Boo2_수량산출 6 2" xfId="30413"/>
    <cellStyle name="ℓ_Boo2_수량산출 7" xfId="13965"/>
    <cellStyle name="ℓ_Boo2_수량산출 7 2" xfId="26822"/>
    <cellStyle name="ℓ_Boo2_수량산출 8" xfId="13032"/>
    <cellStyle name="ℓ_Boo2_수량산출 8 2" xfId="25907"/>
    <cellStyle name="ℓ_Boo2_수량산출 9" xfId="13715"/>
    <cellStyle name="ℓ_Boo2_수량산출 9 2" xfId="26576"/>
    <cellStyle name="ℓ_Boo2_수량산출_자전거도로구조물공수량" xfId="2560"/>
    <cellStyle name="ℓ_Boo2_수량산출_자전거도로구조물공수량 10" xfId="14886"/>
    <cellStyle name="ℓ_Boo2_수량산출_자전거도로구조물공수량 10 2" xfId="27707"/>
    <cellStyle name="ℓ_Boo2_수량산출_자전거도로구조물공수량 11" xfId="19301"/>
    <cellStyle name="ℓ_Boo2_수량산출_자전거도로구조물공수량 12" xfId="23357"/>
    <cellStyle name="ℓ_Boo2_수량산출_자전거도로구조물공수량 12 2" xfId="35789"/>
    <cellStyle name="ℓ_Boo2_수량산출_자전거도로구조물공수량 13" xfId="18926"/>
    <cellStyle name="ℓ_Boo2_수량산출_자전거도로구조물공수량 13 2" xfId="31631"/>
    <cellStyle name="ℓ_Boo2_수량산출_자전거도로구조물공수량 14" xfId="21852"/>
    <cellStyle name="ℓ_Boo2_수량산출_자전거도로구조물공수량 14 2" xfId="34289"/>
    <cellStyle name="ℓ_Boo2_수량산출_자전거도로구조물공수량 15" xfId="18456"/>
    <cellStyle name="ℓ_Boo2_수량산출_자전거도로구조물공수량 15 2" xfId="31161"/>
    <cellStyle name="ℓ_Boo2_수량산출_자전거도로구조물공수량 16" xfId="23868"/>
    <cellStyle name="ℓ_Boo2_수량산출_자전거도로구조물공수량 16 2" xfId="36299"/>
    <cellStyle name="ℓ_Boo2_수량산출_자전거도로구조물공수량 17" xfId="24317"/>
    <cellStyle name="ℓ_Boo2_수량산출_자전거도로구조물공수량 17 2" xfId="36748"/>
    <cellStyle name="ℓ_Boo2_수량산출_자전거도로구조물공수량 18" xfId="24821"/>
    <cellStyle name="ℓ_Boo2_수량산출_자전거도로구조물공수량 18 2" xfId="37252"/>
    <cellStyle name="ℓ_Boo2_수량산출_자전거도로구조물공수량 19" xfId="24162"/>
    <cellStyle name="ℓ_Boo2_수량산출_자전거도로구조물공수량 19 2" xfId="36593"/>
    <cellStyle name="ℓ_Boo2_수량산출_자전거도로구조물공수량 2" xfId="13364"/>
    <cellStyle name="ℓ_Boo2_수량산출_자전거도로구조물공수량 2 2" xfId="26232"/>
    <cellStyle name="ℓ_Boo2_수량산출_자전거도로구조물공수량 20" xfId="22093"/>
    <cellStyle name="ℓ_Boo2_수량산출_자전거도로구조물공수량 20 2" xfId="34529"/>
    <cellStyle name="ℓ_Boo2_수량산출_자전거도로구조물공수량 21" xfId="19742"/>
    <cellStyle name="ℓ_Boo2_수량산출_자전거도로구조물공수량 21 2" xfId="32195"/>
    <cellStyle name="ℓ_Boo2_수량산출_자전거도로구조물공수량 3" xfId="16155"/>
    <cellStyle name="ℓ_Boo2_수량산출_자전거도로구조물공수량 3 2" xfId="28938"/>
    <cellStyle name="ℓ_Boo2_수량산출_자전거도로구조물공수량 4" xfId="13987"/>
    <cellStyle name="ℓ_Boo2_수량산출_자전거도로구조물공수량 4 2" xfId="26844"/>
    <cellStyle name="ℓ_Boo2_수량산출_자전거도로구조물공수량 5" xfId="12914"/>
    <cellStyle name="ℓ_Boo2_수량산출_자전거도로구조물공수량 5 2" xfId="25790"/>
    <cellStyle name="ℓ_Boo2_수량산출_자전거도로구조물공수량 6" xfId="14795"/>
    <cellStyle name="ℓ_Boo2_수량산출_자전거도로구조물공수량 6 2" xfId="27618"/>
    <cellStyle name="ℓ_Boo2_수량산출_자전거도로구조물공수량 7" xfId="14509"/>
    <cellStyle name="ℓ_Boo2_수량산출_자전거도로구조물공수량 7 2" xfId="27337"/>
    <cellStyle name="ℓ_Boo2_수량산출_자전거도로구조물공수량 8" xfId="13057"/>
    <cellStyle name="ℓ_Boo2_수량산출_자전거도로구조물공수량 8 2" xfId="25926"/>
    <cellStyle name="ℓ_Boo2_수량산출_자전거도로구조물공수량 9" xfId="16618"/>
    <cellStyle name="ℓ_Boo2_수량산출_자전거도로구조물공수량 9 2" xfId="29394"/>
    <cellStyle name="ℓ_Boo2_수량산출_자전거도로포장수량" xfId="2561"/>
    <cellStyle name="ℓ_Boo2_수량산출_자전거도로포장수량 10" xfId="18198"/>
    <cellStyle name="ℓ_Boo2_수량산출_자전거도로포장수량 10 2" xfId="30905"/>
    <cellStyle name="ℓ_Boo2_수량산출_자전거도로포장수량 11" xfId="19302"/>
    <cellStyle name="ℓ_Boo2_수량산출_자전거도로포장수량 12" xfId="23356"/>
    <cellStyle name="ℓ_Boo2_수량산출_자전거도로포장수량 12 2" xfId="35788"/>
    <cellStyle name="ℓ_Boo2_수량산출_자전거도로포장수량 13" xfId="23608"/>
    <cellStyle name="ℓ_Boo2_수량산출_자전거도로포장수량 13 2" xfId="36039"/>
    <cellStyle name="ℓ_Boo2_수량산출_자전거도로포장수량 14" xfId="20902"/>
    <cellStyle name="ℓ_Boo2_수량산출_자전거도로포장수량 14 2" xfId="33339"/>
    <cellStyle name="ℓ_Boo2_수량산출_자전거도로포장수량 15" xfId="23886"/>
    <cellStyle name="ℓ_Boo2_수량산출_자전거도로포장수량 15 2" xfId="36317"/>
    <cellStyle name="ℓ_Boo2_수량산출_자전거도로포장수량 16" xfId="19971"/>
    <cellStyle name="ℓ_Boo2_수량산출_자전거도로포장수량 16 2" xfId="32419"/>
    <cellStyle name="ℓ_Boo2_수량산출_자전거도로포장수량 17" xfId="23495"/>
    <cellStyle name="ℓ_Boo2_수량산출_자전거도로포장수량 17 2" xfId="35926"/>
    <cellStyle name="ℓ_Boo2_수량산출_자전거도로포장수량 18" xfId="22185"/>
    <cellStyle name="ℓ_Boo2_수량산출_자전거도로포장수량 18 2" xfId="34620"/>
    <cellStyle name="ℓ_Boo2_수량산출_자전거도로포장수량 19" xfId="24866"/>
    <cellStyle name="ℓ_Boo2_수량산출_자전거도로포장수량 19 2" xfId="37297"/>
    <cellStyle name="ℓ_Boo2_수량산출_자전거도로포장수량 2" xfId="13365"/>
    <cellStyle name="ℓ_Boo2_수량산출_자전거도로포장수량 2 2" xfId="26233"/>
    <cellStyle name="ℓ_Boo2_수량산출_자전거도로포장수량 20" xfId="24977"/>
    <cellStyle name="ℓ_Boo2_수량산출_자전거도로포장수량 20 2" xfId="37408"/>
    <cellStyle name="ℓ_Boo2_수량산출_자전거도로포장수량 21" xfId="25068"/>
    <cellStyle name="ℓ_Boo2_수량산출_자전거도로포장수량 21 2" xfId="37499"/>
    <cellStyle name="ℓ_Boo2_수량산출_자전거도로포장수량 3" xfId="16154"/>
    <cellStyle name="ℓ_Boo2_수량산출_자전거도로포장수량 3 2" xfId="28937"/>
    <cellStyle name="ℓ_Boo2_수량산출_자전거도로포장수량 4" xfId="12612"/>
    <cellStyle name="ℓ_Boo2_수량산출_자전거도로포장수량 4 2" xfId="25491"/>
    <cellStyle name="ℓ_Boo2_수량산출_자전거도로포장수량 5" xfId="14815"/>
    <cellStyle name="ℓ_Boo2_수량산출_자전거도로포장수량 5 2" xfId="27638"/>
    <cellStyle name="ℓ_Boo2_수량산출_자전거도로포장수량 6" xfId="17695"/>
    <cellStyle name="ℓ_Boo2_수량산출_자전거도로포장수량 6 2" xfId="30412"/>
    <cellStyle name="ℓ_Boo2_수량산출_자전거도로포장수량 7" xfId="13827"/>
    <cellStyle name="ℓ_Boo2_수량산출_자전거도로포장수량 7 2" xfId="26686"/>
    <cellStyle name="ℓ_Boo2_수량산출_자전거도로포장수량 8" xfId="14889"/>
    <cellStyle name="ℓ_Boo2_수량산출_자전거도로포장수량 8 2" xfId="27710"/>
    <cellStyle name="ℓ_Boo2_수량산출_자전거도로포장수량 9" xfId="15937"/>
    <cellStyle name="ℓ_Boo2_수량산출_자전거도로포장수량 9 2" xfId="28735"/>
    <cellStyle name="ℓ_Boo2_인월중군소하천" xfId="2562"/>
    <cellStyle name="ℓ_Boo2_인월중군소하천 10" xfId="18197"/>
    <cellStyle name="ℓ_Boo2_인월중군소하천 10 2" xfId="30904"/>
    <cellStyle name="ℓ_Boo2_인월중군소하천 11" xfId="19303"/>
    <cellStyle name="ℓ_Boo2_인월중군소하천 12" xfId="23355"/>
    <cellStyle name="ℓ_Boo2_인월중군소하천 12 2" xfId="35787"/>
    <cellStyle name="ℓ_Boo2_인월중군소하천 13" xfId="23607"/>
    <cellStyle name="ℓ_Boo2_인월중군소하천 13 2" xfId="36038"/>
    <cellStyle name="ℓ_Boo2_인월중군소하천 14" xfId="20255"/>
    <cellStyle name="ℓ_Boo2_인월중군소하천 14 2" xfId="32700"/>
    <cellStyle name="ℓ_Boo2_인월중군소하천 15" xfId="23881"/>
    <cellStyle name="ℓ_Boo2_인월중군소하천 15 2" xfId="36312"/>
    <cellStyle name="ℓ_Boo2_인월중군소하천 16" xfId="24054"/>
    <cellStyle name="ℓ_Boo2_인월중군소하천 16 2" xfId="36485"/>
    <cellStyle name="ℓ_Boo2_인월중군소하천 17" xfId="24318"/>
    <cellStyle name="ℓ_Boo2_인월중군소하천 17 2" xfId="36749"/>
    <cellStyle name="ℓ_Boo2_인월중군소하천 18" xfId="24820"/>
    <cellStyle name="ℓ_Boo2_인월중군소하천 18 2" xfId="37251"/>
    <cellStyle name="ℓ_Boo2_인월중군소하천 19" xfId="24865"/>
    <cellStyle name="ℓ_Boo2_인월중군소하천 19 2" xfId="37296"/>
    <cellStyle name="ℓ_Boo2_인월중군소하천 2" xfId="13366"/>
    <cellStyle name="ℓ_Boo2_인월중군소하천 2 2" xfId="26234"/>
    <cellStyle name="ℓ_Boo2_인월중군소하천 20" xfId="24976"/>
    <cellStyle name="ℓ_Boo2_인월중군소하천 20 2" xfId="37407"/>
    <cellStyle name="ℓ_Boo2_인월중군소하천 21" xfId="25067"/>
    <cellStyle name="ℓ_Boo2_인월중군소하천 21 2" xfId="37498"/>
    <cellStyle name="ℓ_Boo2_인월중군소하천 3" xfId="16153"/>
    <cellStyle name="ℓ_Boo2_인월중군소하천 3 2" xfId="28936"/>
    <cellStyle name="ℓ_Boo2_인월중군소하천 4" xfId="12617"/>
    <cellStyle name="ℓ_Boo2_인월중군소하천 4 2" xfId="25496"/>
    <cellStyle name="ℓ_Boo2_인월중군소하천 5" xfId="14816"/>
    <cellStyle name="ℓ_Boo2_인월중군소하천 5 2" xfId="27639"/>
    <cellStyle name="ℓ_Boo2_인월중군소하천 6" xfId="17694"/>
    <cellStyle name="ℓ_Boo2_인월중군소하천 6 2" xfId="30411"/>
    <cellStyle name="ℓ_Boo2_인월중군소하천 7" xfId="17476"/>
    <cellStyle name="ℓ_Boo2_인월중군소하천 7 2" xfId="30198"/>
    <cellStyle name="ℓ_Boo2_인월중군소하천 8" xfId="14296"/>
    <cellStyle name="ℓ_Boo2_인월중군소하천 8 2" xfId="27129"/>
    <cellStyle name="ℓ_Boo2_인월중군소하천 9" xfId="14649"/>
    <cellStyle name="ℓ_Boo2_인월중군소하천 9 2" xfId="27475"/>
    <cellStyle name="ℓ_Boo2_인월중군소하천_자전거도로구조물공수량" xfId="2563"/>
    <cellStyle name="ℓ_Boo2_인월중군소하천_자전거도로구조물공수량 10" xfId="18196"/>
    <cellStyle name="ℓ_Boo2_인월중군소하천_자전거도로구조물공수량 10 2" xfId="30903"/>
    <cellStyle name="ℓ_Boo2_인월중군소하천_자전거도로구조물공수량 11" xfId="19304"/>
    <cellStyle name="ℓ_Boo2_인월중군소하천_자전거도로구조물공수량 12" xfId="23354"/>
    <cellStyle name="ℓ_Boo2_인월중군소하천_자전거도로구조물공수량 12 2" xfId="35786"/>
    <cellStyle name="ℓ_Boo2_인월중군소하천_자전거도로구조물공수량 13" xfId="23606"/>
    <cellStyle name="ℓ_Boo2_인월중군소하천_자전거도로구조물공수량 13 2" xfId="36037"/>
    <cellStyle name="ℓ_Boo2_인월중군소하천_자전거도로구조물공수량 14" xfId="20903"/>
    <cellStyle name="ℓ_Boo2_인월중군소하천_자전거도로구조물공수량 14 2" xfId="33340"/>
    <cellStyle name="ℓ_Boo2_인월중군소하천_자전거도로구조물공수량 15" xfId="21833"/>
    <cellStyle name="ℓ_Boo2_인월중군소하천_자전거도로구조물공수량 15 2" xfId="34270"/>
    <cellStyle name="ℓ_Boo2_인월중군소하천_자전거도로구조물공수량 16" xfId="24055"/>
    <cellStyle name="ℓ_Boo2_인월중군소하천_자전거도로구조물공수량 16 2" xfId="36486"/>
    <cellStyle name="ℓ_Boo2_인월중군소하천_자전거도로구조물공수량 17" xfId="20837"/>
    <cellStyle name="ℓ_Boo2_인월중군소하천_자전거도로구조물공수량 17 2" xfId="33274"/>
    <cellStyle name="ℓ_Boo2_인월중군소하천_자전거도로구조물공수량 18" xfId="24819"/>
    <cellStyle name="ℓ_Boo2_인월중군소하천_자전거도로구조물공수량 18 2" xfId="37250"/>
    <cellStyle name="ℓ_Boo2_인월중군소하천_자전거도로구조물공수량 19" xfId="24864"/>
    <cellStyle name="ℓ_Boo2_인월중군소하천_자전거도로구조물공수량 19 2" xfId="37295"/>
    <cellStyle name="ℓ_Boo2_인월중군소하천_자전거도로구조물공수량 2" xfId="13367"/>
    <cellStyle name="ℓ_Boo2_인월중군소하천_자전거도로구조물공수량 2 2" xfId="26235"/>
    <cellStyle name="ℓ_Boo2_인월중군소하천_자전거도로구조물공수량 20" xfId="24975"/>
    <cellStyle name="ℓ_Boo2_인월중군소하천_자전거도로구조물공수량 20 2" xfId="37406"/>
    <cellStyle name="ℓ_Boo2_인월중군소하천_자전거도로구조물공수량 21" xfId="25066"/>
    <cellStyle name="ℓ_Boo2_인월중군소하천_자전거도로구조물공수량 21 2" xfId="37497"/>
    <cellStyle name="ℓ_Boo2_인월중군소하천_자전거도로구조물공수량 3" xfId="16152"/>
    <cellStyle name="ℓ_Boo2_인월중군소하천_자전거도로구조물공수량 3 2" xfId="28935"/>
    <cellStyle name="ℓ_Boo2_인월중군소하천_자전거도로구조물공수량 4" xfId="16377"/>
    <cellStyle name="ℓ_Boo2_인월중군소하천_자전거도로구조물공수량 4 2" xfId="29153"/>
    <cellStyle name="ℓ_Boo2_인월중군소하천_자전거도로구조물공수량 5" xfId="14817"/>
    <cellStyle name="ℓ_Boo2_인월중군소하천_자전거도로구조물공수량 5 2" xfId="27640"/>
    <cellStyle name="ℓ_Boo2_인월중군소하천_자전거도로구조물공수량 6" xfId="17693"/>
    <cellStyle name="ℓ_Boo2_인월중군소하천_자전거도로구조물공수량 6 2" xfId="30410"/>
    <cellStyle name="ℓ_Boo2_인월중군소하천_자전거도로구조물공수량 7" xfId="15415"/>
    <cellStyle name="ℓ_Boo2_인월중군소하천_자전거도로구조물공수량 7 2" xfId="28229"/>
    <cellStyle name="ℓ_Boo2_인월중군소하천_자전거도로구조물공수량 8" xfId="13033"/>
    <cellStyle name="ℓ_Boo2_인월중군소하천_자전거도로구조물공수량 8 2" xfId="25908"/>
    <cellStyle name="ℓ_Boo2_인월중군소하천_자전거도로구조물공수량 9" xfId="17839"/>
    <cellStyle name="ℓ_Boo2_인월중군소하천_자전거도로구조물공수량 9 2" xfId="30555"/>
    <cellStyle name="ℓ_Boo2_인월중군소하천_자전거도로포장수량" xfId="2564"/>
    <cellStyle name="ℓ_Boo2_인월중군소하천_자전거도로포장수량 10" xfId="18195"/>
    <cellStyle name="ℓ_Boo2_인월중군소하천_자전거도로포장수량 10 2" xfId="30902"/>
    <cellStyle name="ℓ_Boo2_인월중군소하천_자전거도로포장수량 11" xfId="19305"/>
    <cellStyle name="ℓ_Boo2_인월중군소하천_자전거도로포장수량 12" xfId="23353"/>
    <cellStyle name="ℓ_Boo2_인월중군소하천_자전거도로포장수량 12 2" xfId="35785"/>
    <cellStyle name="ℓ_Boo2_인월중군소하천_자전거도로포장수량 13" xfId="23605"/>
    <cellStyle name="ℓ_Boo2_인월중군소하천_자전거도로포장수량 13 2" xfId="36036"/>
    <cellStyle name="ℓ_Boo2_인월중군소하천_자전거도로포장수량 14" xfId="23436"/>
    <cellStyle name="ℓ_Boo2_인월중군소하천_자전거도로포장수량 14 2" xfId="35867"/>
    <cellStyle name="ℓ_Boo2_인월중군소하천_자전거도로포장수량 15" xfId="23882"/>
    <cellStyle name="ℓ_Boo2_인월중군소하천_자전거도로포장수량 15 2" xfId="36313"/>
    <cellStyle name="ℓ_Boo2_인월중군소하천_자전거도로포장수량 16" xfId="24056"/>
    <cellStyle name="ℓ_Boo2_인월중군소하천_자전거도로포장수량 16 2" xfId="36487"/>
    <cellStyle name="ℓ_Boo2_인월중군소하천_자전거도로포장수량 17" xfId="21104"/>
    <cellStyle name="ℓ_Boo2_인월중군소하천_자전거도로포장수량 17 2" xfId="33541"/>
    <cellStyle name="ℓ_Boo2_인월중군소하천_자전거도로포장수량 18" xfId="24818"/>
    <cellStyle name="ℓ_Boo2_인월중군소하천_자전거도로포장수량 18 2" xfId="37249"/>
    <cellStyle name="ℓ_Boo2_인월중군소하천_자전거도로포장수량 19" xfId="24863"/>
    <cellStyle name="ℓ_Boo2_인월중군소하천_자전거도로포장수량 19 2" xfId="37294"/>
    <cellStyle name="ℓ_Boo2_인월중군소하천_자전거도로포장수량 2" xfId="13368"/>
    <cellStyle name="ℓ_Boo2_인월중군소하천_자전거도로포장수량 2 2" xfId="26236"/>
    <cellStyle name="ℓ_Boo2_인월중군소하천_자전거도로포장수량 20" xfId="24974"/>
    <cellStyle name="ℓ_Boo2_인월중군소하천_자전거도로포장수량 20 2" xfId="37405"/>
    <cellStyle name="ℓ_Boo2_인월중군소하천_자전거도로포장수량 21" xfId="25065"/>
    <cellStyle name="ℓ_Boo2_인월중군소하천_자전거도로포장수량 21 2" xfId="37496"/>
    <cellStyle name="ℓ_Boo2_인월중군소하천_자전거도로포장수량 3" xfId="16151"/>
    <cellStyle name="ℓ_Boo2_인월중군소하천_자전거도로포장수량 3 2" xfId="28934"/>
    <cellStyle name="ℓ_Boo2_인월중군소하천_자전거도로포장수량 4" xfId="12616"/>
    <cellStyle name="ℓ_Boo2_인월중군소하천_자전거도로포장수량 4 2" xfId="25495"/>
    <cellStyle name="ℓ_Boo2_인월중군소하천_자전거도로포장수량 5" xfId="14818"/>
    <cellStyle name="ℓ_Boo2_인월중군소하천_자전거도로포장수량 5 2" xfId="27641"/>
    <cellStyle name="ℓ_Boo2_인월중군소하천_자전거도로포장수량 6" xfId="17692"/>
    <cellStyle name="ℓ_Boo2_인월중군소하천_자전거도로포장수량 6 2" xfId="30409"/>
    <cellStyle name="ℓ_Boo2_인월중군소하천_자전거도로포장수량 7" xfId="17477"/>
    <cellStyle name="ℓ_Boo2_인월중군소하천_자전거도로포장수량 7 2" xfId="30199"/>
    <cellStyle name="ℓ_Boo2_인월중군소하천_자전거도로포장수량 8" xfId="17451"/>
    <cellStyle name="ℓ_Boo2_인월중군소하천_자전거도로포장수량 8 2" xfId="30173"/>
    <cellStyle name="ℓ_Boo2_인월중군소하천_자전거도로포장수량 9" xfId="13610"/>
    <cellStyle name="ℓ_Boo2_인월중군소하천_자전거도로포장수량 9 2" xfId="26478"/>
    <cellStyle name="ℓ_Boo2_자전거도로구조물공수량" xfId="2565"/>
    <cellStyle name="ℓ_Boo2_자전거도로구조물공수량 10" xfId="18194"/>
    <cellStyle name="ℓ_Boo2_자전거도로구조물공수량 10 2" xfId="30901"/>
    <cellStyle name="ℓ_Boo2_자전거도로구조물공수량 11" xfId="19306"/>
    <cellStyle name="ℓ_Boo2_자전거도로구조물공수량 12" xfId="20809"/>
    <cellStyle name="ℓ_Boo2_자전거도로구조물공수량 12 2" xfId="33246"/>
    <cellStyle name="ℓ_Boo2_자전거도로구조물공수량 13" xfId="23604"/>
    <cellStyle name="ℓ_Boo2_자전거도로구조물공수량 13 2" xfId="36035"/>
    <cellStyle name="ℓ_Boo2_자전거도로구조물공수량 14" xfId="20904"/>
    <cellStyle name="ℓ_Boo2_자전거도로구조물공수량 14 2" xfId="33341"/>
    <cellStyle name="ℓ_Boo2_자전거도로구조물공수량 15" xfId="21801"/>
    <cellStyle name="ℓ_Boo2_자전거도로구조물공수량 15 2" xfId="34238"/>
    <cellStyle name="ℓ_Boo2_자전거도로구조물공수량 16" xfId="20857"/>
    <cellStyle name="ℓ_Boo2_자전거도로구조물공수량 16 2" xfId="33294"/>
    <cellStyle name="ℓ_Boo2_자전거도로구조물공수량 17" xfId="23496"/>
    <cellStyle name="ℓ_Boo2_자전거도로구조물공수량 17 2" xfId="35927"/>
    <cellStyle name="ℓ_Boo2_자전거도로구조물공수량 18" xfId="24817"/>
    <cellStyle name="ℓ_Boo2_자전거도로구조물공수량 18 2" xfId="37248"/>
    <cellStyle name="ℓ_Boo2_자전거도로구조물공수량 19" xfId="24862"/>
    <cellStyle name="ℓ_Boo2_자전거도로구조물공수량 19 2" xfId="37293"/>
    <cellStyle name="ℓ_Boo2_자전거도로구조물공수량 2" xfId="13369"/>
    <cellStyle name="ℓ_Boo2_자전거도로구조물공수량 2 2" xfId="26237"/>
    <cellStyle name="ℓ_Boo2_자전거도로구조물공수량 20" xfId="24973"/>
    <cellStyle name="ℓ_Boo2_자전거도로구조물공수량 20 2" xfId="37404"/>
    <cellStyle name="ℓ_Boo2_자전거도로구조물공수량 21" xfId="25064"/>
    <cellStyle name="ℓ_Boo2_자전거도로구조물공수량 21 2" xfId="37495"/>
    <cellStyle name="ℓ_Boo2_자전거도로구조물공수량 3" xfId="16150"/>
    <cellStyle name="ℓ_Boo2_자전거도로구조물공수량 3 2" xfId="28933"/>
    <cellStyle name="ℓ_Boo2_자전거도로구조물공수량 4" xfId="16391"/>
    <cellStyle name="ℓ_Boo2_자전거도로구조물공수량 4 2" xfId="29167"/>
    <cellStyle name="ℓ_Boo2_자전거도로구조물공수량 5" xfId="14819"/>
    <cellStyle name="ℓ_Boo2_자전거도로구조물공수량 5 2" xfId="27642"/>
    <cellStyle name="ℓ_Boo2_자전거도로구조물공수량 6" xfId="17691"/>
    <cellStyle name="ℓ_Boo2_자전거도로구조물공수량 6 2" xfId="30408"/>
    <cellStyle name="ℓ_Boo2_자전거도로구조물공수량 7" xfId="13826"/>
    <cellStyle name="ℓ_Boo2_자전거도로구조물공수량 7 2" xfId="26685"/>
    <cellStyle name="ℓ_Boo2_자전거도로구조물공수량 8" xfId="16509"/>
    <cellStyle name="ℓ_Boo2_자전거도로구조물공수량 8 2" xfId="29285"/>
    <cellStyle name="ℓ_Boo2_자전거도로구조물공수량 9" xfId="17463"/>
    <cellStyle name="ℓ_Boo2_자전거도로구조물공수량 9 2" xfId="30185"/>
    <cellStyle name="ℓ_Boo2_자전거도로포장수량" xfId="2566"/>
    <cellStyle name="ℓ_Boo2_자전거도로포장수량 10" xfId="18193"/>
    <cellStyle name="ℓ_Boo2_자전거도로포장수량 10 2" xfId="30900"/>
    <cellStyle name="ℓ_Boo2_자전거도로포장수량 11" xfId="19307"/>
    <cellStyle name="ℓ_Boo2_자전거도로포장수량 12" xfId="23352"/>
    <cellStyle name="ℓ_Boo2_자전거도로포장수량 12 2" xfId="35784"/>
    <cellStyle name="ℓ_Boo2_자전거도로포장수량 13" xfId="23603"/>
    <cellStyle name="ℓ_Boo2_자전거도로포장수량 13 2" xfId="36034"/>
    <cellStyle name="ℓ_Boo2_자전거도로포장수량 14" xfId="20499"/>
    <cellStyle name="ℓ_Boo2_자전거도로포장수량 14 2" xfId="32944"/>
    <cellStyle name="ℓ_Boo2_자전거도로포장수량 15" xfId="23883"/>
    <cellStyle name="ℓ_Boo2_자전거도로포장수량 15 2" xfId="36314"/>
    <cellStyle name="ℓ_Boo2_자전거도로포장수량 16" xfId="24057"/>
    <cellStyle name="ℓ_Boo2_자전거도로포장수량 16 2" xfId="36488"/>
    <cellStyle name="ℓ_Boo2_자전거도로포장수량 17" xfId="18887"/>
    <cellStyle name="ℓ_Boo2_자전거도로포장수량 17 2" xfId="31592"/>
    <cellStyle name="ℓ_Boo2_자전거도로포장수량 18" xfId="24816"/>
    <cellStyle name="ℓ_Boo2_자전거도로포장수량 18 2" xfId="37247"/>
    <cellStyle name="ℓ_Boo2_자전거도로포장수량 19" xfId="24861"/>
    <cellStyle name="ℓ_Boo2_자전거도로포장수량 19 2" xfId="37292"/>
    <cellStyle name="ℓ_Boo2_자전거도로포장수량 2" xfId="13370"/>
    <cellStyle name="ℓ_Boo2_자전거도로포장수량 2 2" xfId="26238"/>
    <cellStyle name="ℓ_Boo2_자전거도로포장수량 20" xfId="24972"/>
    <cellStyle name="ℓ_Boo2_자전거도로포장수량 20 2" xfId="37403"/>
    <cellStyle name="ℓ_Boo2_자전거도로포장수량 21" xfId="25063"/>
    <cellStyle name="ℓ_Boo2_자전거도로포장수량 21 2" xfId="37494"/>
    <cellStyle name="ℓ_Boo2_자전거도로포장수량 3" xfId="16149"/>
    <cellStyle name="ℓ_Boo2_자전거도로포장수량 3 2" xfId="28932"/>
    <cellStyle name="ℓ_Boo2_자전거도로포장수량 4" xfId="12615"/>
    <cellStyle name="ℓ_Boo2_자전거도로포장수량 4 2" xfId="25494"/>
    <cellStyle name="ℓ_Boo2_자전거도로포장수량 5" xfId="16606"/>
    <cellStyle name="ℓ_Boo2_자전거도로포장수량 5 2" xfId="29382"/>
    <cellStyle name="ℓ_Boo2_자전거도로포장수량 6" xfId="17690"/>
    <cellStyle name="ℓ_Boo2_자전거도로포장수량 6 2" xfId="30407"/>
    <cellStyle name="ℓ_Boo2_자전거도로포장수량 7" xfId="17478"/>
    <cellStyle name="ℓ_Boo2_자전거도로포장수량 7 2" xfId="30200"/>
    <cellStyle name="ℓ_Boo2_자전거도로포장수량 8" xfId="12941"/>
    <cellStyle name="ℓ_Boo2_자전거도로포장수량 8 2" xfId="25816"/>
    <cellStyle name="ℓ_Boo2_자전거도로포장수량 9" xfId="15398"/>
    <cellStyle name="ℓ_Boo2_자전거도로포장수량 9 2" xfId="28213"/>
    <cellStyle name="ℓ_Book2" xfId="2567"/>
    <cellStyle name="ℓ_Book2 10" xfId="14687"/>
    <cellStyle name="ℓ_Book2 10 2" xfId="27513"/>
    <cellStyle name="ℓ_Book2 11" xfId="19308"/>
    <cellStyle name="ℓ_Book2 12" xfId="23351"/>
    <cellStyle name="ℓ_Book2 12 2" xfId="35783"/>
    <cellStyle name="ℓ_Book2 13" xfId="18927"/>
    <cellStyle name="ℓ_Book2 13 2" xfId="31632"/>
    <cellStyle name="ℓ_Book2 14" xfId="20905"/>
    <cellStyle name="ℓ_Book2 14 2" xfId="33342"/>
    <cellStyle name="ℓ_Book2 15" xfId="21834"/>
    <cellStyle name="ℓ_Book2 15 2" xfId="34271"/>
    <cellStyle name="ℓ_Book2 16" xfId="23867"/>
    <cellStyle name="ℓ_Book2 16 2" xfId="36298"/>
    <cellStyle name="ℓ_Book2 17" xfId="20836"/>
    <cellStyle name="ℓ_Book2 17 2" xfId="33273"/>
    <cellStyle name="ℓ_Book2 18" xfId="24815"/>
    <cellStyle name="ℓ_Book2 18 2" xfId="37246"/>
    <cellStyle name="ℓ_Book2 19" xfId="24163"/>
    <cellStyle name="ℓ_Book2 19 2" xfId="36594"/>
    <cellStyle name="ℓ_Book2 2" xfId="13371"/>
    <cellStyle name="ℓ_Book2 2 2" xfId="26239"/>
    <cellStyle name="ℓ_Book2 20" xfId="22180"/>
    <cellStyle name="ℓ_Book2 20 2" xfId="34616"/>
    <cellStyle name="ℓ_Book2 21" xfId="23803"/>
    <cellStyle name="ℓ_Book2 21 2" xfId="36234"/>
    <cellStyle name="ℓ_Book2 3" xfId="16148"/>
    <cellStyle name="ℓ_Book2 3 2" xfId="28931"/>
    <cellStyle name="ℓ_Book2 4" xfId="14441"/>
    <cellStyle name="ℓ_Book2 4 2" xfId="27274"/>
    <cellStyle name="ℓ_Book2 5" xfId="12915"/>
    <cellStyle name="ℓ_Book2 5 2" xfId="25791"/>
    <cellStyle name="ℓ_Book2 6" xfId="14794"/>
    <cellStyle name="ℓ_Book2 6 2" xfId="27617"/>
    <cellStyle name="ℓ_Book2 7" xfId="12674"/>
    <cellStyle name="ℓ_Book2 7 2" xfId="25553"/>
    <cellStyle name="ℓ_Book2 8" xfId="13034"/>
    <cellStyle name="ℓ_Book2 8 2" xfId="25909"/>
    <cellStyle name="ℓ_Book2 9" xfId="17840"/>
    <cellStyle name="ℓ_Book2 9 2" xfId="30556"/>
    <cellStyle name="ℓ_Book2_도로수량양식" xfId="2568"/>
    <cellStyle name="ℓ_Book2_도로수량양식 10" xfId="18192"/>
    <cellStyle name="ℓ_Book2_도로수량양식 10 2" xfId="30899"/>
    <cellStyle name="ℓ_Book2_도로수량양식 11" xfId="19309"/>
    <cellStyle name="ℓ_Book2_도로수량양식 12" xfId="23350"/>
    <cellStyle name="ℓ_Book2_도로수량양식 12 2" xfId="35782"/>
    <cellStyle name="ℓ_Book2_도로수량양식 13" xfId="23602"/>
    <cellStyle name="ℓ_Book2_도로수량양식 13 2" xfId="36033"/>
    <cellStyle name="ℓ_Book2_도로수량양식 14" xfId="23029"/>
    <cellStyle name="ℓ_Book2_도로수량양식 14 2" xfId="35462"/>
    <cellStyle name="ℓ_Book2_도로수량양식 15" xfId="23884"/>
    <cellStyle name="ℓ_Book2_도로수량양식 15 2" xfId="36315"/>
    <cellStyle name="ℓ_Book2_도로수량양식 16" xfId="24058"/>
    <cellStyle name="ℓ_Book2_도로수량양식 16 2" xfId="36489"/>
    <cellStyle name="ℓ_Book2_도로수량양식 17" xfId="18259"/>
    <cellStyle name="ℓ_Book2_도로수량양식 17 2" xfId="30965"/>
    <cellStyle name="ℓ_Book2_도로수량양식 18" xfId="24300"/>
    <cellStyle name="ℓ_Book2_도로수량양식 18 2" xfId="36731"/>
    <cellStyle name="ℓ_Book2_도로수량양식 19" xfId="24860"/>
    <cellStyle name="ℓ_Book2_도로수량양식 19 2" xfId="37291"/>
    <cellStyle name="ℓ_Book2_도로수량양식 2" xfId="13372"/>
    <cellStyle name="ℓ_Book2_도로수량양식 2 2" xfId="26240"/>
    <cellStyle name="ℓ_Book2_도로수량양식 20" xfId="24971"/>
    <cellStyle name="ℓ_Book2_도로수량양식 20 2" xfId="37402"/>
    <cellStyle name="ℓ_Book2_도로수량양식 21" xfId="25062"/>
    <cellStyle name="ℓ_Book2_도로수량양식 21 2" xfId="37493"/>
    <cellStyle name="ℓ_Book2_도로수량양식 3" xfId="16147"/>
    <cellStyle name="ℓ_Book2_도로수량양식 3 2" xfId="28930"/>
    <cellStyle name="ℓ_Book2_도로수량양식 4" xfId="12614"/>
    <cellStyle name="ℓ_Book2_도로수량양식 4 2" xfId="25493"/>
    <cellStyle name="ℓ_Book2_도로수량양식 5" xfId="14820"/>
    <cellStyle name="ℓ_Book2_도로수량양식 5 2" xfId="27643"/>
    <cellStyle name="ℓ_Book2_도로수량양식 6" xfId="17689"/>
    <cellStyle name="ℓ_Book2_도로수량양식 6 2" xfId="30406"/>
    <cellStyle name="ℓ_Book2_도로수량양식 7" xfId="15414"/>
    <cellStyle name="ℓ_Book2_도로수량양식 7 2" xfId="28228"/>
    <cellStyle name="ℓ_Book2_도로수량양식 8" xfId="17968"/>
    <cellStyle name="ℓ_Book2_도로수량양식 8 2" xfId="30680"/>
    <cellStyle name="ℓ_Book2_도로수량양식 9" xfId="14563"/>
    <cellStyle name="ℓ_Book2_도로수량양식 9 2" xfId="27391"/>
    <cellStyle name="ℓ_Book2_도로수량양식_자전거도로구조물공수량" xfId="2569"/>
    <cellStyle name="ℓ_Book2_도로수량양식_자전거도로구조물공수량 10" xfId="18191"/>
    <cellStyle name="ℓ_Book2_도로수량양식_자전거도로구조물공수량 10 2" xfId="30898"/>
    <cellStyle name="ℓ_Book2_도로수량양식_자전거도로구조물공수량 11" xfId="19310"/>
    <cellStyle name="ℓ_Book2_도로수량양식_자전거도로구조물공수량 12" xfId="23349"/>
    <cellStyle name="ℓ_Book2_도로수량양식_자전거도로구조물공수량 12 2" xfId="35781"/>
    <cellStyle name="ℓ_Book2_도로수량양식_자전거도로구조물공수량 13" xfId="23601"/>
    <cellStyle name="ℓ_Book2_도로수량양식_자전거도로구조물공수량 13 2" xfId="36032"/>
    <cellStyle name="ℓ_Book2_도로수량양식_자전거도로구조물공수량 14" xfId="23131"/>
    <cellStyle name="ℓ_Book2_도로수량양식_자전거도로구조물공수량 14 2" xfId="35564"/>
    <cellStyle name="ℓ_Book2_도로수량양식_자전거도로구조물공수량 15" xfId="23326"/>
    <cellStyle name="ℓ_Book2_도로수량양식_자전거도로구조물공수량 15 2" xfId="35758"/>
    <cellStyle name="ℓ_Book2_도로수량양식_자전거도로구조물공수량 16" xfId="24059"/>
    <cellStyle name="ℓ_Book2_도로수량양식_자전거도로구조물공수량 16 2" xfId="36490"/>
    <cellStyle name="ℓ_Book2_도로수량양식_자전거도로구조물공수량 17" xfId="20845"/>
    <cellStyle name="ℓ_Book2_도로수량양식_자전거도로구조물공수량 17 2" xfId="33282"/>
    <cellStyle name="ℓ_Book2_도로수량양식_자전거도로구조물공수량 18" xfId="24814"/>
    <cellStyle name="ℓ_Book2_도로수량양식_자전거도로구조물공수량 18 2" xfId="37245"/>
    <cellStyle name="ℓ_Book2_도로수량양식_자전거도로구조물공수량 19" xfId="24859"/>
    <cellStyle name="ℓ_Book2_도로수량양식_자전거도로구조물공수량 19 2" xfId="37290"/>
    <cellStyle name="ℓ_Book2_도로수량양식_자전거도로구조물공수량 2" xfId="13373"/>
    <cellStyle name="ℓ_Book2_도로수량양식_자전거도로구조물공수량 2 2" xfId="26241"/>
    <cellStyle name="ℓ_Book2_도로수량양식_자전거도로구조물공수량 20" xfId="24970"/>
    <cellStyle name="ℓ_Book2_도로수량양식_자전거도로구조물공수량 20 2" xfId="37401"/>
    <cellStyle name="ℓ_Book2_도로수량양식_자전거도로구조물공수량 21" xfId="25061"/>
    <cellStyle name="ℓ_Book2_도로수량양식_자전거도로구조물공수량 21 2" xfId="37492"/>
    <cellStyle name="ℓ_Book2_도로수량양식_자전거도로구조물공수량 3" xfId="16146"/>
    <cellStyle name="ℓ_Book2_도로수량양식_자전거도로구조물공수량 3 2" xfId="28929"/>
    <cellStyle name="ℓ_Book2_도로수량양식_자전거도로구조물공수량 4" xfId="14440"/>
    <cellStyle name="ℓ_Book2_도로수량양식_자전거도로구조물공수량 4 2" xfId="27273"/>
    <cellStyle name="ℓ_Book2_도로수량양식_자전거도로구조물공수량 5" xfId="14821"/>
    <cellStyle name="ℓ_Book2_도로수량양식_자전거도로구조물공수량 5 2" xfId="27644"/>
    <cellStyle name="ℓ_Book2_도로수량양식_자전거도로구조물공수량 6" xfId="17688"/>
    <cellStyle name="ℓ_Book2_도로수량양식_자전거도로구조물공수량 6 2" xfId="30405"/>
    <cellStyle name="ℓ_Book2_도로수량양식_자전거도로구조물공수량 7" xfId="17479"/>
    <cellStyle name="ℓ_Book2_도로수량양식_자전거도로구조물공수량 7 2" xfId="30201"/>
    <cellStyle name="ℓ_Book2_도로수량양식_자전거도로구조물공수량 8" xfId="17967"/>
    <cellStyle name="ℓ_Book2_도로수량양식_자전거도로구조물공수량 8 2" xfId="30679"/>
    <cellStyle name="ℓ_Book2_도로수량양식_자전거도로구조물공수량 9" xfId="16048"/>
    <cellStyle name="ℓ_Book2_도로수량양식_자전거도로구조물공수량 9 2" xfId="28831"/>
    <cellStyle name="ℓ_Book2_도로수량양식_자전거도로포장수량" xfId="2570"/>
    <cellStyle name="ℓ_Book2_도로수량양식_자전거도로포장수량 10" xfId="18190"/>
    <cellStyle name="ℓ_Book2_도로수량양식_자전거도로포장수량 10 2" xfId="30897"/>
    <cellStyle name="ℓ_Book2_도로수량양식_자전거도로포장수량 11" xfId="19311"/>
    <cellStyle name="ℓ_Book2_도로수량양식_자전거도로포장수량 12" xfId="23348"/>
    <cellStyle name="ℓ_Book2_도로수량양식_자전거도로포장수량 12 2" xfId="35780"/>
    <cellStyle name="ℓ_Book2_도로수량양식_자전거도로포장수량 13" xfId="23600"/>
    <cellStyle name="ℓ_Book2_도로수량양식_자전거도로포장수량 13 2" xfId="36031"/>
    <cellStyle name="ℓ_Book2_도로수량양식_자전거도로포장수량 14" xfId="23989"/>
    <cellStyle name="ℓ_Book2_도로수량양식_자전거도로포장수량 14 2" xfId="36420"/>
    <cellStyle name="ℓ_Book2_도로수량양식_자전거도로포장수량 15" xfId="23885"/>
    <cellStyle name="ℓ_Book2_도로수량양식_자전거도로포장수량 15 2" xfId="36316"/>
    <cellStyle name="ℓ_Book2_도로수량양식_자전거도로포장수량 16" xfId="23516"/>
    <cellStyle name="ℓ_Book2_도로수량양식_자전거도로포장수량 16 2" xfId="35947"/>
    <cellStyle name="ℓ_Book2_도로수량양식_자전거도로포장수량 17" xfId="24648"/>
    <cellStyle name="ℓ_Book2_도로수량양식_자전거도로포장수량 17 2" xfId="37079"/>
    <cellStyle name="ℓ_Book2_도로수량양식_자전거도로포장수량 18" xfId="24813"/>
    <cellStyle name="ℓ_Book2_도로수량양식_자전거도로포장수량 18 2" xfId="37244"/>
    <cellStyle name="ℓ_Book2_도로수량양식_자전거도로포장수량 19" xfId="24858"/>
    <cellStyle name="ℓ_Book2_도로수량양식_자전거도로포장수량 19 2" xfId="37289"/>
    <cellStyle name="ℓ_Book2_도로수량양식_자전거도로포장수량 2" xfId="13374"/>
    <cellStyle name="ℓ_Book2_도로수량양식_자전거도로포장수량 2 2" xfId="26242"/>
    <cellStyle name="ℓ_Book2_도로수량양식_자전거도로포장수량 20" xfId="24969"/>
    <cellStyle name="ℓ_Book2_도로수량양식_자전거도로포장수량 20 2" xfId="37400"/>
    <cellStyle name="ℓ_Book2_도로수량양식_자전거도로포장수량 21" xfId="25060"/>
    <cellStyle name="ℓ_Book2_도로수량양식_자전거도로포장수량 21 2" xfId="37491"/>
    <cellStyle name="ℓ_Book2_도로수량양식_자전거도로포장수량 3" xfId="16145"/>
    <cellStyle name="ℓ_Book2_도로수량양식_자전거도로포장수량 3 2" xfId="28928"/>
    <cellStyle name="ℓ_Book2_도로수량양식_자전거도로포장수량 4" xfId="12613"/>
    <cellStyle name="ℓ_Book2_도로수량양식_자전거도로포장수량 4 2" xfId="25492"/>
    <cellStyle name="ℓ_Book2_도로수량양식_자전거도로포장수량 5" xfId="14822"/>
    <cellStyle name="ℓ_Book2_도로수량양식_자전거도로포장수량 5 2" xfId="27645"/>
    <cellStyle name="ℓ_Book2_도로수량양식_자전거도로포장수량 6" xfId="17687"/>
    <cellStyle name="ℓ_Book2_도로수량양식_자전거도로포장수량 6 2" xfId="30404"/>
    <cellStyle name="ℓ_Book2_도로수량양식_자전거도로포장수량 7" xfId="13825"/>
    <cellStyle name="ℓ_Book2_도로수량양식_자전거도로포장수량 7 2" xfId="26684"/>
    <cellStyle name="ℓ_Book2_도로수량양식_자전거도로포장수량 8" xfId="15640"/>
    <cellStyle name="ℓ_Book2_도로수량양식_자전거도로포장수량 8 2" xfId="28447"/>
    <cellStyle name="ℓ_Book2_도로수량양식_자전거도로포장수량 9" xfId="15342"/>
    <cellStyle name="ℓ_Book2_도로수량양식_자전거도로포장수량 9 2" xfId="28159"/>
    <cellStyle name="ℓ_Book2_수량산출" xfId="2571"/>
    <cellStyle name="ℓ_Book2_수량산출 10" xfId="18189"/>
    <cellStyle name="ℓ_Book2_수량산출 10 2" xfId="30896"/>
    <cellStyle name="ℓ_Book2_수량산출 11" xfId="19312"/>
    <cellStyle name="ℓ_Book2_수량산출 12" xfId="23347"/>
    <cellStyle name="ℓ_Book2_수량산출 12 2" xfId="35779"/>
    <cellStyle name="ℓ_Book2_수량산출 13" xfId="23599"/>
    <cellStyle name="ℓ_Book2_수량산출 13 2" xfId="36030"/>
    <cellStyle name="ℓ_Book2_수량산출 14" xfId="23988"/>
    <cellStyle name="ℓ_Book2_수량산출 14 2" xfId="36419"/>
    <cellStyle name="ℓ_Book2_수량산출 15" xfId="21835"/>
    <cellStyle name="ℓ_Book2_수량산출 15 2" xfId="34272"/>
    <cellStyle name="ℓ_Book2_수량산출 16" xfId="19970"/>
    <cellStyle name="ℓ_Book2_수량산출 16 2" xfId="32418"/>
    <cellStyle name="ℓ_Book2_수량산출 17" xfId="24647"/>
    <cellStyle name="ℓ_Book2_수량산출 17 2" xfId="37078"/>
    <cellStyle name="ℓ_Book2_수량산출 18" xfId="24812"/>
    <cellStyle name="ℓ_Book2_수량산출 18 2" xfId="37243"/>
    <cellStyle name="ℓ_Book2_수량산출 19" xfId="24857"/>
    <cellStyle name="ℓ_Book2_수량산출 19 2" xfId="37288"/>
    <cellStyle name="ℓ_Book2_수량산출 2" xfId="13375"/>
    <cellStyle name="ℓ_Book2_수량산출 2 2" xfId="26243"/>
    <cellStyle name="ℓ_Book2_수량산출 20" xfId="24968"/>
    <cellStyle name="ℓ_Book2_수량산출 20 2" xfId="37399"/>
    <cellStyle name="ℓ_Book2_수량산출 21" xfId="25059"/>
    <cellStyle name="ℓ_Book2_수량산출 21 2" xfId="37490"/>
    <cellStyle name="ℓ_Book2_수량산출 3" xfId="16144"/>
    <cellStyle name="ℓ_Book2_수량산출 3 2" xfId="28927"/>
    <cellStyle name="ℓ_Book2_수량산출 4" xfId="14421"/>
    <cellStyle name="ℓ_Book2_수량산출 4 2" xfId="27254"/>
    <cellStyle name="ℓ_Book2_수량산출 5" xfId="14823"/>
    <cellStyle name="ℓ_Book2_수량산출 5 2" xfId="27646"/>
    <cellStyle name="ℓ_Book2_수량산출 6" xfId="17686"/>
    <cellStyle name="ℓ_Book2_수량산출 6 2" xfId="30403"/>
    <cellStyle name="ℓ_Book2_수량산출 7" xfId="17480"/>
    <cellStyle name="ℓ_Book2_수량산출 7 2" xfId="30202"/>
    <cellStyle name="ℓ_Book2_수량산출 8" xfId="14250"/>
    <cellStyle name="ℓ_Book2_수량산출 8 2" xfId="27087"/>
    <cellStyle name="ℓ_Book2_수량산출 9" xfId="17820"/>
    <cellStyle name="ℓ_Book2_수량산출 9 2" xfId="30536"/>
    <cellStyle name="ℓ_Book2_수량산출_자전거도로구조물공수량" xfId="2572"/>
    <cellStyle name="ℓ_Book2_수량산출_자전거도로구조물공수량 10" xfId="18188"/>
    <cellStyle name="ℓ_Book2_수량산출_자전거도로구조물공수량 10 2" xfId="30895"/>
    <cellStyle name="ℓ_Book2_수량산출_자전거도로구조물공수량 11" xfId="19313"/>
    <cellStyle name="ℓ_Book2_수량산출_자전거도로구조물공수량 12" xfId="20808"/>
    <cellStyle name="ℓ_Book2_수량산출_자전거도로구조물공수량 12 2" xfId="33245"/>
    <cellStyle name="ℓ_Book2_수량산출_자전거도로구조물공수량 13" xfId="23598"/>
    <cellStyle name="ℓ_Book2_수량산출_자전거도로구조물공수량 13 2" xfId="36029"/>
    <cellStyle name="ℓ_Book2_수량산출_자전거도로구조물공수량 14" xfId="23987"/>
    <cellStyle name="ℓ_Book2_수량산출_자전거도로구조물공수량 14 2" xfId="36418"/>
    <cellStyle name="ℓ_Book2_수량산출_자전거도로구조물공수량 15" xfId="21730"/>
    <cellStyle name="ℓ_Book2_수량산출_자전거도로구조물공수량 15 2" xfId="34167"/>
    <cellStyle name="ℓ_Book2_수량산출_자전거도로구조물공수량 16" xfId="23433"/>
    <cellStyle name="ℓ_Book2_수량산출_자전거도로구조물공수량 16 2" xfId="35864"/>
    <cellStyle name="ℓ_Book2_수량산출_자전거도로구조물공수량 17" xfId="24646"/>
    <cellStyle name="ℓ_Book2_수량산출_자전거도로구조물공수량 17 2" xfId="37077"/>
    <cellStyle name="ℓ_Book2_수량산출_자전거도로구조물공수량 18" xfId="24811"/>
    <cellStyle name="ℓ_Book2_수량산출_자전거도로구조물공수량 18 2" xfId="37242"/>
    <cellStyle name="ℓ_Book2_수량산출_자전거도로구조물공수량 19" xfId="23687"/>
    <cellStyle name="ℓ_Book2_수량산출_자전거도로구조물공수량 19 2" xfId="36118"/>
    <cellStyle name="ℓ_Book2_수량산출_자전거도로구조물공수량 2" xfId="13376"/>
    <cellStyle name="ℓ_Book2_수량산출_자전거도로구조물공수량 2 2" xfId="26244"/>
    <cellStyle name="ℓ_Book2_수량산출_자전거도로구조물공수량 20" xfId="24967"/>
    <cellStyle name="ℓ_Book2_수량산출_자전거도로구조물공수량 20 2" xfId="37398"/>
    <cellStyle name="ℓ_Book2_수량산출_자전거도로구조물공수량 21" xfId="25058"/>
    <cellStyle name="ℓ_Book2_수량산출_자전거도로구조물공수량 21 2" xfId="37489"/>
    <cellStyle name="ℓ_Book2_수량산출_자전거도로구조물공수량 3" xfId="16143"/>
    <cellStyle name="ℓ_Book2_수량산출_자전거도로구조물공수량 3 2" xfId="28926"/>
    <cellStyle name="ℓ_Book2_수량산출_자전거도로구조물공수량 4" xfId="13986"/>
    <cellStyle name="ℓ_Book2_수량산출_자전거도로구조물공수량 4 2" xfId="26843"/>
    <cellStyle name="ℓ_Book2_수량산출_자전거도로구조물공수량 5" xfId="14824"/>
    <cellStyle name="ℓ_Book2_수량산출_자전거도로구조물공수량 5 2" xfId="27647"/>
    <cellStyle name="ℓ_Book2_수량산출_자전거도로구조물공수량 6" xfId="17685"/>
    <cellStyle name="ℓ_Book2_수량산출_자전거도로구조물공수량 6 2" xfId="30402"/>
    <cellStyle name="ℓ_Book2_수량산출_자전거도로구조물공수량 7" xfId="15413"/>
    <cellStyle name="ℓ_Book2_수량산출_자전거도로구조물공수량 7 2" xfId="28227"/>
    <cellStyle name="ℓ_Book2_수량산출_자전거도로구조물공수량 8" xfId="14692"/>
    <cellStyle name="ℓ_Book2_수량산출_자전거도로구조물공수량 8 2" xfId="27518"/>
    <cellStyle name="ℓ_Book2_수량산출_자전거도로구조물공수량 9" xfId="13923"/>
    <cellStyle name="ℓ_Book2_수량산출_자전거도로구조물공수량 9 2" xfId="26782"/>
    <cellStyle name="ℓ_Book2_수량산출_자전거도로포장수량" xfId="2573"/>
    <cellStyle name="ℓ_Book2_수량산출_자전거도로포장수량 10" xfId="18187"/>
    <cellStyle name="ℓ_Book2_수량산출_자전거도로포장수량 10 2" xfId="30894"/>
    <cellStyle name="ℓ_Book2_수량산출_자전거도로포장수량 11" xfId="19314"/>
    <cellStyle name="ℓ_Book2_수량산출_자전거도로포장수량 12" xfId="23346"/>
    <cellStyle name="ℓ_Book2_수량산출_자전거도로포장수량 12 2" xfId="35778"/>
    <cellStyle name="ℓ_Book2_수량산출_자전거도로포장수량 13" xfId="23597"/>
    <cellStyle name="ℓ_Book2_수량산출_자전거도로포장수량 13 2" xfId="36028"/>
    <cellStyle name="ℓ_Book2_수량산출_자전거도로포장수량 14" xfId="23986"/>
    <cellStyle name="ℓ_Book2_수량산출_자전거도로포장수량 14 2" xfId="36417"/>
    <cellStyle name="ℓ_Book2_수량산출_자전거도로포장수량 15" xfId="24297"/>
    <cellStyle name="ℓ_Book2_수량산출_자전거도로포장수량 15 2" xfId="36728"/>
    <cellStyle name="ℓ_Book2_수량산출_자전거도로포장수량 16" xfId="24060"/>
    <cellStyle name="ℓ_Book2_수량산출_자전거도로포장수량 16 2" xfId="36491"/>
    <cellStyle name="ℓ_Book2_수량산출_자전거도로포장수량 17" xfId="24645"/>
    <cellStyle name="ℓ_Book2_수량산출_자전거도로포장수량 17 2" xfId="37076"/>
    <cellStyle name="ℓ_Book2_수량산출_자전거도로포장수량 18" xfId="24810"/>
    <cellStyle name="ℓ_Book2_수량산출_자전거도로포장수량 18 2" xfId="37241"/>
    <cellStyle name="ℓ_Book2_수량산출_자전거도로포장수량 19" xfId="21507"/>
    <cellStyle name="ℓ_Book2_수량산출_자전거도로포장수량 19 2" xfId="33944"/>
    <cellStyle name="ℓ_Book2_수량산출_자전거도로포장수량 2" xfId="13377"/>
    <cellStyle name="ℓ_Book2_수량산출_자전거도로포장수량 2 2" xfId="26245"/>
    <cellStyle name="ℓ_Book2_수량산출_자전거도로포장수량 20" xfId="24966"/>
    <cellStyle name="ℓ_Book2_수량산출_자전거도로포장수량 20 2" xfId="37397"/>
    <cellStyle name="ℓ_Book2_수량산출_자전거도로포장수량 21" xfId="25057"/>
    <cellStyle name="ℓ_Book2_수량산출_자전거도로포장수량 21 2" xfId="37488"/>
    <cellStyle name="ℓ_Book2_수량산출_자전거도로포장수량 3" xfId="13808"/>
    <cellStyle name="ℓ_Book2_수량산출_자전거도로포장수량 3 2" xfId="26667"/>
    <cellStyle name="ℓ_Book2_수량산출_자전거도로포장수량 4" xfId="17399"/>
    <cellStyle name="ℓ_Book2_수량산출_자전거도로포장수량 4 2" xfId="30128"/>
    <cellStyle name="ℓ_Book2_수량산출_자전거도로포장수량 5" xfId="14825"/>
    <cellStyle name="ℓ_Book2_수량산출_자전거도로포장수량 5 2" xfId="27648"/>
    <cellStyle name="ℓ_Book2_수량산출_자전거도로포장수량 6" xfId="17684"/>
    <cellStyle name="ℓ_Book2_수량산출_자전거도로포장수량 6 2" xfId="30401"/>
    <cellStyle name="ℓ_Book2_수량산출_자전거도로포장수량 7" xfId="17456"/>
    <cellStyle name="ℓ_Book2_수량산출_자전거도로포장수량 7 2" xfId="30178"/>
    <cellStyle name="ℓ_Book2_수량산출_자전거도로포장수량 8" xfId="17452"/>
    <cellStyle name="ℓ_Book2_수량산출_자전거도로포장수량 8 2" xfId="30174"/>
    <cellStyle name="ℓ_Book2_수량산출_자전거도로포장수량 9" xfId="17821"/>
    <cellStyle name="ℓ_Book2_수량산출_자전거도로포장수량 9 2" xfId="30537"/>
    <cellStyle name="ℓ_Book2_인월중군소하천" xfId="2574"/>
    <cellStyle name="ℓ_Book2_인월중군소하천 10" xfId="12602"/>
    <cellStyle name="ℓ_Book2_인월중군소하천 10 2" xfId="25481"/>
    <cellStyle name="ℓ_Book2_인월중군소하천 11" xfId="19315"/>
    <cellStyle name="ℓ_Book2_인월중군소하천 12" xfId="23345"/>
    <cellStyle name="ℓ_Book2_인월중군소하천 12 2" xfId="35777"/>
    <cellStyle name="ℓ_Book2_인월중군소하천 13" xfId="18928"/>
    <cellStyle name="ℓ_Book2_인월중군소하천 13 2" xfId="31633"/>
    <cellStyle name="ℓ_Book2_인월중군소하천 14" xfId="23730"/>
    <cellStyle name="ℓ_Book2_인월중군소하천 14 2" xfId="36161"/>
    <cellStyle name="ℓ_Book2_인월중군소하천 15" xfId="24296"/>
    <cellStyle name="ℓ_Book2_인월중군소하천 15 2" xfId="36727"/>
    <cellStyle name="ℓ_Book2_인월중군소하천 16" xfId="23866"/>
    <cellStyle name="ℓ_Book2_인월중군소하천 16 2" xfId="36297"/>
    <cellStyle name="ℓ_Book2_인월중군소하천 17" xfId="20345"/>
    <cellStyle name="ℓ_Book2_인월중군소하천 17 2" xfId="32790"/>
    <cellStyle name="ℓ_Book2_인월중군소하천 18" xfId="24809"/>
    <cellStyle name="ℓ_Book2_인월중군소하천 18 2" xfId="37240"/>
    <cellStyle name="ℓ_Book2_인월중군소하천 19" xfId="24414"/>
    <cellStyle name="ℓ_Book2_인월중군소하천 19 2" xfId="36845"/>
    <cellStyle name="ℓ_Book2_인월중군소하천 2" xfId="13378"/>
    <cellStyle name="ℓ_Book2_인월중군소하천 2 2" xfId="26246"/>
    <cellStyle name="ℓ_Book2_인월중군소하천 20" xfId="22092"/>
    <cellStyle name="ℓ_Book2_인월중군소하천 20 2" xfId="34528"/>
    <cellStyle name="ℓ_Book2_인월중군소하천 21" xfId="18994"/>
    <cellStyle name="ℓ_Book2_인월중군소하천 21 2" xfId="31699"/>
    <cellStyle name="ℓ_Book2_인월중군소하천 3" xfId="13807"/>
    <cellStyle name="ℓ_Book2_인월중군소하천 3 2" xfId="26666"/>
    <cellStyle name="ℓ_Book2_인월중군소하천 4" xfId="17398"/>
    <cellStyle name="ℓ_Book2_인월중군소하천 4 2" xfId="30127"/>
    <cellStyle name="ℓ_Book2_인월중군소하천 5" xfId="12916"/>
    <cellStyle name="ℓ_Book2_인월중군소하천 5 2" xfId="25792"/>
    <cellStyle name="ℓ_Book2_인월중군소하천 6" xfId="14793"/>
    <cellStyle name="ℓ_Book2_인월중군소하천 6 2" xfId="27616"/>
    <cellStyle name="ℓ_Book2_인월중군소하천 7" xfId="12673"/>
    <cellStyle name="ℓ_Book2_인월중군소하천 7 2" xfId="25552"/>
    <cellStyle name="ℓ_Book2_인월중군소하천 8" xfId="13035"/>
    <cellStyle name="ℓ_Book2_인월중군소하천 8 2" xfId="25910"/>
    <cellStyle name="ℓ_Book2_인월중군소하천 9" xfId="15341"/>
    <cellStyle name="ℓ_Book2_인월중군소하천 9 2" xfId="28158"/>
    <cellStyle name="ℓ_Book2_인월중군소하천_자전거도로구조물공수량" xfId="2575"/>
    <cellStyle name="ℓ_Book2_인월중군소하천_자전거도로구조물공수량 10" xfId="18186"/>
    <cellStyle name="ℓ_Book2_인월중군소하천_자전거도로구조물공수량 10 2" xfId="30893"/>
    <cellStyle name="ℓ_Book2_인월중군소하천_자전거도로구조물공수량 11" xfId="19316"/>
    <cellStyle name="ℓ_Book2_인월중군소하천_자전거도로구조물공수량 12" xfId="23344"/>
    <cellStyle name="ℓ_Book2_인월중군소하천_자전거도로구조물공수량 12 2" xfId="35776"/>
    <cellStyle name="ℓ_Book2_인월중군소하천_자전거도로구조물공수량 13" xfId="23596"/>
    <cellStyle name="ℓ_Book2_인월중군소하천_자전거도로구조물공수량 13 2" xfId="36027"/>
    <cellStyle name="ℓ_Book2_인월중군소하천_자전거도로구조물공수량 14" xfId="23985"/>
    <cellStyle name="ℓ_Book2_인월중군소하천_자전거도로구조물공수량 14 2" xfId="36416"/>
    <cellStyle name="ℓ_Book2_인월중군소하천_자전거도로구조물공수량 15" xfId="24295"/>
    <cellStyle name="ℓ_Book2_인월중군소하천_자전거도로구조물공수량 15 2" xfId="36726"/>
    <cellStyle name="ℓ_Book2_인월중군소하천_자전거도로구조물공수량 16" xfId="19685"/>
    <cellStyle name="ℓ_Book2_인월중군소하천_자전거도로구조물공수량 16 2" xfId="32139"/>
    <cellStyle name="ℓ_Book2_인월중군소하천_자전거도로구조물공수량 17" xfId="24644"/>
    <cellStyle name="ℓ_Book2_인월중군소하천_자전거도로구조물공수량 17 2" xfId="37075"/>
    <cellStyle name="ℓ_Book2_인월중군소하천_자전거도로구조물공수량 18" xfId="20061"/>
    <cellStyle name="ℓ_Book2_인월중군소하천_자전거도로구조물공수량 18 2" xfId="32507"/>
    <cellStyle name="ℓ_Book2_인월중군소하천_자전거도로구조물공수량 19" xfId="24743"/>
    <cellStyle name="ℓ_Book2_인월중군소하천_자전거도로구조물공수량 19 2" xfId="37174"/>
    <cellStyle name="ℓ_Book2_인월중군소하천_자전거도로구조물공수량 2" xfId="13379"/>
    <cellStyle name="ℓ_Book2_인월중군소하천_자전거도로구조물공수량 2 2" xfId="26247"/>
    <cellStyle name="ℓ_Book2_인월중군소하천_자전거도로구조물공수량 20" xfId="24965"/>
    <cellStyle name="ℓ_Book2_인월중군소하천_자전거도로구조물공수량 20 2" xfId="37396"/>
    <cellStyle name="ℓ_Book2_인월중군소하천_자전거도로구조물공수량 21" xfId="25056"/>
    <cellStyle name="ℓ_Book2_인월중군소하천_자전거도로구조물공수량 21 2" xfId="37487"/>
    <cellStyle name="ℓ_Book2_인월중군소하천_자전거도로구조물공수량 3" xfId="13806"/>
    <cellStyle name="ℓ_Book2_인월중군소하천_자전거도로구조물공수량 3 2" xfId="26665"/>
    <cellStyle name="ℓ_Book2_인월중군소하천_자전거도로구조물공수량 4" xfId="17397"/>
    <cellStyle name="ℓ_Book2_인월중군소하천_자전거도로구조물공수량 4 2" xfId="30126"/>
    <cellStyle name="ℓ_Book2_인월중군소하천_자전거도로구조물공수량 5" xfId="14826"/>
    <cellStyle name="ℓ_Book2_인월중군소하천_자전거도로구조물공수량 5 2" xfId="27649"/>
    <cellStyle name="ℓ_Book2_인월중군소하천_자전거도로구조물공수량 6" xfId="17683"/>
    <cellStyle name="ℓ_Book2_인월중군소하천_자전거도로구조물공수량 6 2" xfId="30400"/>
    <cellStyle name="ℓ_Book2_인월중군소하천_자전거도로구조물공수량 7" xfId="17757"/>
    <cellStyle name="ℓ_Book2_인월중군소하천_자전거도로구조물공수량 7 2" xfId="30474"/>
    <cellStyle name="ℓ_Book2_인월중군소하천_자전거도로구조물공수량 8" xfId="12942"/>
    <cellStyle name="ℓ_Book2_인월중군소하천_자전거도로구조물공수량 8 2" xfId="25817"/>
    <cellStyle name="ℓ_Book2_인월중군소하천_자전거도로구조물공수량 9" xfId="15338"/>
    <cellStyle name="ℓ_Book2_인월중군소하천_자전거도로구조물공수량 9 2" xfId="28155"/>
    <cellStyle name="ℓ_Book2_인월중군소하천_자전거도로포장수량" xfId="2576"/>
    <cellStyle name="ℓ_Book2_인월중군소하천_자전거도로포장수량 10" xfId="18185"/>
    <cellStyle name="ℓ_Book2_인월중군소하천_자전거도로포장수량 10 2" xfId="30892"/>
    <cellStyle name="ℓ_Book2_인월중군소하천_자전거도로포장수량 11" xfId="19317"/>
    <cellStyle name="ℓ_Book2_인월중군소하천_자전거도로포장수량 12" xfId="23343"/>
    <cellStyle name="ℓ_Book2_인월중군소하천_자전거도로포장수량 12 2" xfId="35775"/>
    <cellStyle name="ℓ_Book2_인월중군소하천_자전거도로포장수량 13" xfId="23595"/>
    <cellStyle name="ℓ_Book2_인월중군소하천_자전거도로포장수량 13 2" xfId="36026"/>
    <cellStyle name="ℓ_Book2_인월중군소하천_자전거도로포장수량 14" xfId="23984"/>
    <cellStyle name="ℓ_Book2_인월중군소하천_자전거도로포장수량 14 2" xfId="36415"/>
    <cellStyle name="ℓ_Book2_인월중군소하천_자전거도로포장수량 15" xfId="24294"/>
    <cellStyle name="ℓ_Book2_인월중군소하천_자전거도로포장수량 15 2" xfId="36725"/>
    <cellStyle name="ℓ_Book2_인월중군소하천_자전거도로포장수량 16" xfId="20254"/>
    <cellStyle name="ℓ_Book2_인월중군소하천_자전거도로포장수량 16 2" xfId="32699"/>
    <cellStyle name="ℓ_Book2_인월중군소하천_자전거도로포장수량 17" xfId="24643"/>
    <cellStyle name="ℓ_Book2_인월중군소하천_자전거도로포장수량 17 2" xfId="37074"/>
    <cellStyle name="ℓ_Book2_인월중군소하천_자전거도로포장수량 18" xfId="24808"/>
    <cellStyle name="ℓ_Book2_인월중군소하천_자전거도로포장수량 18 2" xfId="37239"/>
    <cellStyle name="ℓ_Book2_인월중군소하천_자전거도로포장수량 19" xfId="22186"/>
    <cellStyle name="ℓ_Book2_인월중군소하천_자전거도로포장수량 19 2" xfId="34621"/>
    <cellStyle name="ℓ_Book2_인월중군소하천_자전거도로포장수량 2" xfId="13380"/>
    <cellStyle name="ℓ_Book2_인월중군소하천_자전거도로포장수량 2 2" xfId="26248"/>
    <cellStyle name="ℓ_Book2_인월중군소하천_자전거도로포장수량 20" xfId="24964"/>
    <cellStyle name="ℓ_Book2_인월중군소하천_자전거도로포장수량 20 2" xfId="37395"/>
    <cellStyle name="ℓ_Book2_인월중군소하천_자전거도로포장수량 21" xfId="25055"/>
    <cellStyle name="ℓ_Book2_인월중군소하천_자전거도로포장수량 21 2" xfId="37486"/>
    <cellStyle name="ℓ_Book2_인월중군소하천_자전거도로포장수량 3" xfId="14697"/>
    <cellStyle name="ℓ_Book2_인월중군소하천_자전거도로포장수량 3 2" xfId="27523"/>
    <cellStyle name="ℓ_Book2_인월중군소하천_자전거도로포장수량 4" xfId="17396"/>
    <cellStyle name="ℓ_Book2_인월중군소하천_자전거도로포장수량 4 2" xfId="30125"/>
    <cellStyle name="ℓ_Book2_인월중군소하천_자전거도로포장수량 5" xfId="14827"/>
    <cellStyle name="ℓ_Book2_인월중군소하천_자전거도로포장수량 5 2" xfId="27650"/>
    <cellStyle name="ℓ_Book2_인월중군소하천_자전거도로포장수량 6" xfId="17682"/>
    <cellStyle name="ℓ_Book2_인월중군소하천_자전거도로포장수량 6 2" xfId="30399"/>
    <cellStyle name="ℓ_Book2_인월중군소하천_자전거도로포장수량 7" xfId="16539"/>
    <cellStyle name="ℓ_Book2_인월중군소하천_자전거도로포장수량 7 2" xfId="29315"/>
    <cellStyle name="ℓ_Book2_인월중군소하천_자전거도로포장수량 8" xfId="13682"/>
    <cellStyle name="ℓ_Book2_인월중군소하천_자전거도로포장수량 8 2" xfId="26547"/>
    <cellStyle name="ℓ_Book2_인월중군소하천_자전거도로포장수량 9" xfId="12412"/>
    <cellStyle name="ℓ_Book2_인월중군소하천_자전거도로포장수량 9 2" xfId="25292"/>
    <cellStyle name="ℓ_Book2_자전거도로구조물공수량" xfId="2577"/>
    <cellStyle name="ℓ_Book2_자전거도로구조물공수량 10" xfId="18184"/>
    <cellStyle name="ℓ_Book2_자전거도로구조물공수량 10 2" xfId="30891"/>
    <cellStyle name="ℓ_Book2_자전거도로구조물공수량 11" xfId="19318"/>
    <cellStyle name="ℓ_Book2_자전거도로구조물공수량 12" xfId="23342"/>
    <cellStyle name="ℓ_Book2_자전거도로구조물공수량 12 2" xfId="35774"/>
    <cellStyle name="ℓ_Book2_자전거도로구조물공수량 13" xfId="23594"/>
    <cellStyle name="ℓ_Book2_자전거도로구조물공수량 13 2" xfId="36025"/>
    <cellStyle name="ℓ_Book2_자전거도로구조물공수량 14" xfId="23983"/>
    <cellStyle name="ℓ_Book2_자전거도로구조물공수량 14 2" xfId="36414"/>
    <cellStyle name="ℓ_Book2_자전거도로구조물공수량 15" xfId="19025"/>
    <cellStyle name="ℓ_Book2_자전거도로구조물공수량 15 2" xfId="31730"/>
    <cellStyle name="ℓ_Book2_자전거도로구조물공수량 16" xfId="20261"/>
    <cellStyle name="ℓ_Book2_자전거도로구조물공수량 16 2" xfId="32706"/>
    <cellStyle name="ℓ_Book2_자전거도로구조물공수량 17" xfId="24642"/>
    <cellStyle name="ℓ_Book2_자전거도로구조물공수량 17 2" xfId="37073"/>
    <cellStyle name="ℓ_Book2_자전거도로구조물공수량 18" xfId="24807"/>
    <cellStyle name="ℓ_Book2_자전거도로구조물공수량 18 2" xfId="37238"/>
    <cellStyle name="ℓ_Book2_자전거도로구조물공수량 19" xfId="24742"/>
    <cellStyle name="ℓ_Book2_자전거도로구조물공수량 19 2" xfId="37173"/>
    <cellStyle name="ℓ_Book2_자전거도로구조물공수량 2" xfId="13381"/>
    <cellStyle name="ℓ_Book2_자전거도로구조물공수량 2 2" xfId="26249"/>
    <cellStyle name="ℓ_Book2_자전거도로구조물공수량 20" xfId="24963"/>
    <cellStyle name="ℓ_Book2_자전거도로구조물공수량 20 2" xfId="37394"/>
    <cellStyle name="ℓ_Book2_자전거도로구조물공수량 21" xfId="25054"/>
    <cellStyle name="ℓ_Book2_자전거도로구조물공수량 21 2" xfId="37485"/>
    <cellStyle name="ℓ_Book2_자전거도로구조물공수량 3" xfId="16912"/>
    <cellStyle name="ℓ_Book2_자전거도로구조물공수량 3 2" xfId="29687"/>
    <cellStyle name="ℓ_Book2_자전거도로구조물공수량 4" xfId="14439"/>
    <cellStyle name="ℓ_Book2_자전거도로구조물공수량 4 2" xfId="27272"/>
    <cellStyle name="ℓ_Book2_자전거도로구조물공수량 5" xfId="14828"/>
    <cellStyle name="ℓ_Book2_자전거도로구조물공수량 5 2" xfId="27651"/>
    <cellStyle name="ℓ_Book2_자전거도로구조물공수량 6" xfId="17681"/>
    <cellStyle name="ℓ_Book2_자전거도로구조물공수량 6 2" xfId="30398"/>
    <cellStyle name="ℓ_Book2_자전거도로구조물공수량 7" xfId="13004"/>
    <cellStyle name="ℓ_Book2_자전거도로구조물공수량 7 2" xfId="25879"/>
    <cellStyle name="ℓ_Book2_자전거도로구조물공수량 8" xfId="13197"/>
    <cellStyle name="ℓ_Book2_자전거도로구조물공수량 8 2" xfId="26065"/>
    <cellStyle name="ℓ_Book2_자전거도로구조물공수량 9" xfId="13797"/>
    <cellStyle name="ℓ_Book2_자전거도로구조물공수량 9 2" xfId="26656"/>
    <cellStyle name="ℓ_Book2_자전거도로포장수량" xfId="2578"/>
    <cellStyle name="ℓ_Book2_자전거도로포장수량 10" xfId="18183"/>
    <cellStyle name="ℓ_Book2_자전거도로포장수량 10 2" xfId="30890"/>
    <cellStyle name="ℓ_Book2_자전거도로포장수량 11" xfId="19319"/>
    <cellStyle name="ℓ_Book2_자전거도로포장수량 12" xfId="23341"/>
    <cellStyle name="ℓ_Book2_자전거도로포장수량 12 2" xfId="35773"/>
    <cellStyle name="ℓ_Book2_자전거도로포장수량 13" xfId="23593"/>
    <cellStyle name="ℓ_Book2_자전거도로포장수량 13 2" xfId="36024"/>
    <cellStyle name="ℓ_Book2_자전거도로포장수량 14" xfId="23982"/>
    <cellStyle name="ℓ_Book2_자전거도로포장수량 14 2" xfId="36413"/>
    <cellStyle name="ℓ_Book2_자전거도로포장수량 15" xfId="24293"/>
    <cellStyle name="ℓ_Book2_자전거도로포장수량 15 2" xfId="36724"/>
    <cellStyle name="ℓ_Book2_자전거도로포장수량 16" xfId="24061"/>
    <cellStyle name="ℓ_Book2_자전거도로포장수량 16 2" xfId="36492"/>
    <cellStyle name="ℓ_Book2_자전거도로포장수량 17" xfId="24641"/>
    <cellStyle name="ℓ_Book2_자전거도로포장수량 17 2" xfId="37072"/>
    <cellStyle name="ℓ_Book2_자전거도로포장수량 18" xfId="24806"/>
    <cellStyle name="ℓ_Book2_자전거도로포장수량 18 2" xfId="37237"/>
    <cellStyle name="ℓ_Book2_자전거도로포장수량 19" xfId="21543"/>
    <cellStyle name="ℓ_Book2_자전거도로포장수량 19 2" xfId="33980"/>
    <cellStyle name="ℓ_Book2_자전거도로포장수량 2" xfId="13382"/>
    <cellStyle name="ℓ_Book2_자전거도로포장수량 2 2" xfId="26250"/>
    <cellStyle name="ℓ_Book2_자전거도로포장수량 20" xfId="24962"/>
    <cellStyle name="ℓ_Book2_자전거도로포장수량 20 2" xfId="37393"/>
    <cellStyle name="ℓ_Book2_자전거도로포장수량 21" xfId="25053"/>
    <cellStyle name="ℓ_Book2_자전거도로포장수량 21 2" xfId="37484"/>
    <cellStyle name="ℓ_Book2_자전거도로포장수량 3" xfId="16911"/>
    <cellStyle name="ℓ_Book2_자전거도로포장수량 3 2" xfId="29686"/>
    <cellStyle name="ℓ_Book2_자전거도로포장수량 4" xfId="17395"/>
    <cellStyle name="ℓ_Book2_자전거도로포장수량 4 2" xfId="30124"/>
    <cellStyle name="ℓ_Book2_자전거도로포장수량 5" xfId="14829"/>
    <cellStyle name="ℓ_Book2_자전거도로포장수량 5 2" xfId="27652"/>
    <cellStyle name="ℓ_Book2_자전거도로포장수량 6" xfId="17680"/>
    <cellStyle name="ℓ_Book2_자전거도로포장수량 6 2" xfId="30397"/>
    <cellStyle name="ℓ_Book2_자전거도로포장수량 7" xfId="14655"/>
    <cellStyle name="ℓ_Book2_자전거도로포장수량 7 2" xfId="27481"/>
    <cellStyle name="ℓ_Book2_자전거도로포장수량 8" xfId="17092"/>
    <cellStyle name="ℓ_Book2_자전거도로포장수량 8 2" xfId="29828"/>
    <cellStyle name="ℓ_Book2_자전거도로포장수량 9" xfId="14031"/>
    <cellStyle name="ℓ_Book2_자전거도로포장수량 9 2" xfId="26882"/>
    <cellStyle name="ℓ_Book4" xfId="2579"/>
    <cellStyle name="ℓ_Book4 10" xfId="18182"/>
    <cellStyle name="ℓ_Book4 10 2" xfId="30889"/>
    <cellStyle name="ℓ_Book4 11" xfId="19320"/>
    <cellStyle name="ℓ_Book4 12" xfId="23340"/>
    <cellStyle name="ℓ_Book4 12 2" xfId="35772"/>
    <cellStyle name="ℓ_Book4 13" xfId="23592"/>
    <cellStyle name="ℓ_Book4 13 2" xfId="36023"/>
    <cellStyle name="ℓ_Book4 14" xfId="23981"/>
    <cellStyle name="ℓ_Book4 14 2" xfId="36412"/>
    <cellStyle name="ℓ_Book4 15" xfId="24292"/>
    <cellStyle name="ℓ_Book4 15 2" xfId="36723"/>
    <cellStyle name="ℓ_Book4 16" xfId="23113"/>
    <cellStyle name="ℓ_Book4 16 2" xfId="35546"/>
    <cellStyle name="ℓ_Book4 17" xfId="24640"/>
    <cellStyle name="ℓ_Book4 17 2" xfId="37071"/>
    <cellStyle name="ℓ_Book4 18" xfId="24805"/>
    <cellStyle name="ℓ_Book4 18 2" xfId="37236"/>
    <cellStyle name="ℓ_Book4 19" xfId="23472"/>
    <cellStyle name="ℓ_Book4 19 2" xfId="35903"/>
    <cellStyle name="ℓ_Book4 2" xfId="13383"/>
    <cellStyle name="ℓ_Book4 2 2" xfId="26251"/>
    <cellStyle name="ℓ_Book4 20" xfId="24961"/>
    <cellStyle name="ℓ_Book4 20 2" xfId="37392"/>
    <cellStyle name="ℓ_Book4 21" xfId="25052"/>
    <cellStyle name="ℓ_Book4 21 2" xfId="37483"/>
    <cellStyle name="ℓ_Book4 3" xfId="16910"/>
    <cellStyle name="ℓ_Book4 3 2" xfId="29685"/>
    <cellStyle name="ℓ_Book4 4" xfId="17394"/>
    <cellStyle name="ℓ_Book4 4 2" xfId="30123"/>
    <cellStyle name="ℓ_Book4 5" xfId="14830"/>
    <cellStyle name="ℓ_Book4 5 2" xfId="27653"/>
    <cellStyle name="ℓ_Book4 6" xfId="17679"/>
    <cellStyle name="ℓ_Book4 6 2" xfId="30396"/>
    <cellStyle name="ℓ_Book4 7" xfId="17481"/>
    <cellStyle name="ℓ_Book4 7 2" xfId="30203"/>
    <cellStyle name="ℓ_Book4 8" xfId="17909"/>
    <cellStyle name="ℓ_Book4 8 2" xfId="30623"/>
    <cellStyle name="ℓ_Book4 9" xfId="13914"/>
    <cellStyle name="ℓ_Book4 9 2" xfId="26773"/>
    <cellStyle name="ℓ_Book4_도로수량양식" xfId="2580"/>
    <cellStyle name="ℓ_Book4_도로수량양식 10" xfId="18181"/>
    <cellStyle name="ℓ_Book4_도로수량양식 10 2" xfId="30888"/>
    <cellStyle name="ℓ_Book4_도로수량양식 11" xfId="19321"/>
    <cellStyle name="ℓ_Book4_도로수량양식 12" xfId="23339"/>
    <cellStyle name="ℓ_Book4_도로수량양식 12 2" xfId="35771"/>
    <cellStyle name="ℓ_Book4_도로수량양식 13" xfId="23591"/>
    <cellStyle name="ℓ_Book4_도로수량양식 13 2" xfId="36022"/>
    <cellStyle name="ℓ_Book4_도로수량양식 14" xfId="23980"/>
    <cellStyle name="ℓ_Book4_도로수량양식 14 2" xfId="36411"/>
    <cellStyle name="ℓ_Book4_도로수량양식 15" xfId="24291"/>
    <cellStyle name="ℓ_Book4_도로수량양식 15 2" xfId="36722"/>
    <cellStyle name="ℓ_Book4_도로수량양식 16" xfId="23517"/>
    <cellStyle name="ℓ_Book4_도로수량양식 16 2" xfId="35948"/>
    <cellStyle name="ℓ_Book4_도로수량양식 17" xfId="24639"/>
    <cellStyle name="ℓ_Book4_도로수량양식 17 2" xfId="37070"/>
    <cellStyle name="ℓ_Book4_도로수량양식 18" xfId="24804"/>
    <cellStyle name="ℓ_Book4_도로수량양식 18 2" xfId="37235"/>
    <cellStyle name="ℓ_Book4_도로수량양식 19" xfId="18282"/>
    <cellStyle name="ℓ_Book4_도로수량양식 19 2" xfId="30988"/>
    <cellStyle name="ℓ_Book4_도로수량양식 2" xfId="13384"/>
    <cellStyle name="ℓ_Book4_도로수량양식 2 2" xfId="26252"/>
    <cellStyle name="ℓ_Book4_도로수량양식 20" xfId="24960"/>
    <cellStyle name="ℓ_Book4_도로수량양식 20 2" xfId="37391"/>
    <cellStyle name="ℓ_Book4_도로수량양식 21" xfId="25051"/>
    <cellStyle name="ℓ_Book4_도로수량양식 21 2" xfId="37482"/>
    <cellStyle name="ℓ_Book4_도로수량양식 3" xfId="16142"/>
    <cellStyle name="ℓ_Book4_도로수량양식 3 2" xfId="28925"/>
    <cellStyle name="ℓ_Book4_도로수량양식 4" xfId="17393"/>
    <cellStyle name="ℓ_Book4_도로수량양식 4 2" xfId="30122"/>
    <cellStyle name="ℓ_Book4_도로수량양식 5" xfId="14831"/>
    <cellStyle name="ℓ_Book4_도로수량양식 5 2" xfId="27654"/>
    <cellStyle name="ℓ_Book4_도로수량양식 6" xfId="17678"/>
    <cellStyle name="ℓ_Book4_도로수량양식 6 2" xfId="30395"/>
    <cellStyle name="ℓ_Book4_도로수량양식 7" xfId="17482"/>
    <cellStyle name="ℓ_Book4_도로수량양식 7 2" xfId="30204"/>
    <cellStyle name="ℓ_Book4_도로수량양식 8" xfId="12758"/>
    <cellStyle name="ℓ_Book4_도로수량양식 8 2" xfId="25635"/>
    <cellStyle name="ℓ_Book4_도로수량양식 9" xfId="17822"/>
    <cellStyle name="ℓ_Book4_도로수량양식 9 2" xfId="30538"/>
    <cellStyle name="ℓ_Book4_도로수량양식_자전거도로구조물공수량" xfId="2581"/>
    <cellStyle name="ℓ_Book4_도로수량양식_자전거도로구조물공수량 10" xfId="18180"/>
    <cellStyle name="ℓ_Book4_도로수량양식_자전거도로구조물공수량 10 2" xfId="30887"/>
    <cellStyle name="ℓ_Book4_도로수량양식_자전거도로구조물공수량 11" xfId="19322"/>
    <cellStyle name="ℓ_Book4_도로수량양식_자전거도로구조물공수량 12" xfId="20807"/>
    <cellStyle name="ℓ_Book4_도로수량양식_자전거도로구조물공수량 12 2" xfId="33244"/>
    <cellStyle name="ℓ_Book4_도로수량양식_자전거도로구조물공수량 13" xfId="23590"/>
    <cellStyle name="ℓ_Book4_도로수량양식_자전거도로구조물공수량 13 2" xfId="36021"/>
    <cellStyle name="ℓ_Book4_도로수량양식_자전거도로구조물공수량 14" xfId="19565"/>
    <cellStyle name="ℓ_Book4_도로수량양식_자전거도로구조물공수량 14 2" xfId="32020"/>
    <cellStyle name="ℓ_Book4_도로수량양식_자전거도로구조물공수량 15" xfId="24290"/>
    <cellStyle name="ℓ_Book4_도로수량양식_자전거도로구조물공수량 15 2" xfId="36721"/>
    <cellStyle name="ℓ_Book4_도로수량양식_자전거도로구조물공수량 16" xfId="19969"/>
    <cellStyle name="ℓ_Book4_도로수량양식_자전거도로구조물공수량 16 2" xfId="32417"/>
    <cellStyle name="ℓ_Book4_도로수량양식_자전거도로구조물공수량 17" xfId="18441"/>
    <cellStyle name="ℓ_Book4_도로수량양식_자전거도로구조물공수량 17 2" xfId="31146"/>
    <cellStyle name="ℓ_Book4_도로수량양식_자전거도로구조물공수량 18" xfId="24803"/>
    <cellStyle name="ℓ_Book4_도로수량양식_자전거도로구조물공수량 18 2" xfId="37234"/>
    <cellStyle name="ℓ_Book4_도로수량양식_자전거도로구조물공수량 19" xfId="23726"/>
    <cellStyle name="ℓ_Book4_도로수량양식_자전거도로구조물공수량 19 2" xfId="36157"/>
    <cellStyle name="ℓ_Book4_도로수량양식_자전거도로구조물공수량 2" xfId="13385"/>
    <cellStyle name="ℓ_Book4_도로수량양식_자전거도로구조물공수량 2 2" xfId="26253"/>
    <cellStyle name="ℓ_Book4_도로수량양식_자전거도로구조물공수량 20" xfId="24959"/>
    <cellStyle name="ℓ_Book4_도로수량양식_자전거도로구조물공수량 20 2" xfId="37390"/>
    <cellStyle name="ℓ_Book4_도로수량양식_자전거도로구조물공수량 21" xfId="25050"/>
    <cellStyle name="ℓ_Book4_도로수량양식_자전거도로구조물공수량 21 2" xfId="37481"/>
    <cellStyle name="ℓ_Book4_도로수량양식_자전거도로구조물공수량 3" xfId="16141"/>
    <cellStyle name="ℓ_Book4_도로수량양식_자전거도로구조물공수량 3 2" xfId="28924"/>
    <cellStyle name="ℓ_Book4_도로수량양식_자전거도로구조물공수량 4" xfId="17392"/>
    <cellStyle name="ℓ_Book4_도로수량양식_자전거도로구조물공수량 4 2" xfId="30121"/>
    <cellStyle name="ℓ_Book4_도로수량양식_자전거도로구조물공수량 5" xfId="14832"/>
    <cellStyle name="ℓ_Book4_도로수량양식_자전거도로구조물공수량 5 2" xfId="27655"/>
    <cellStyle name="ℓ_Book4_도로수량양식_자전거도로구조물공수량 6" xfId="17677"/>
    <cellStyle name="ℓ_Book4_도로수량양식_자전거도로구조물공수량 6 2" xfId="30394"/>
    <cellStyle name="ℓ_Book4_도로수량양식_자전거도로구조물공수량 7" xfId="12672"/>
    <cellStyle name="ℓ_Book4_도로수량양식_자전거도로구조물공수량 7 2" xfId="25551"/>
    <cellStyle name="ℓ_Book4_도로수량양식_자전거도로구조물공수량 8" xfId="17966"/>
    <cellStyle name="ℓ_Book4_도로수량양식_자전거도로구조물공수량 8 2" xfId="30678"/>
    <cellStyle name="ℓ_Book4_도로수량양식_자전거도로구조물공수량 9" xfId="16375"/>
    <cellStyle name="ℓ_Book4_도로수량양식_자전거도로구조물공수량 9 2" xfId="29151"/>
    <cellStyle name="ℓ_Book4_도로수량양식_자전거도로포장수량" xfId="2582"/>
    <cellStyle name="ℓ_Book4_도로수량양식_자전거도로포장수량 10" xfId="18179"/>
    <cellStyle name="ℓ_Book4_도로수량양식_자전거도로포장수량 10 2" xfId="30886"/>
    <cellStyle name="ℓ_Book4_도로수량양식_자전거도로포장수량 11" xfId="19323"/>
    <cellStyle name="ℓ_Book4_도로수량양식_자전거도로포장수량 12" xfId="19777"/>
    <cellStyle name="ℓ_Book4_도로수량양식_자전거도로포장수량 12 2" xfId="32227"/>
    <cellStyle name="ℓ_Book4_도로수량양식_자전거도로포장수량 13" xfId="23589"/>
    <cellStyle name="ℓ_Book4_도로수량양식_자전거도로포장수량 13 2" xfId="36020"/>
    <cellStyle name="ℓ_Book4_도로수량양식_자전거도로포장수량 14" xfId="23979"/>
    <cellStyle name="ℓ_Book4_도로수량양식_자전거도로포장수량 14 2" xfId="36410"/>
    <cellStyle name="ℓ_Book4_도로수량양식_자전거도로포장수량 15" xfId="24289"/>
    <cellStyle name="ℓ_Book4_도로수량양식_자전거도로포장수량 15 2" xfId="36720"/>
    <cellStyle name="ℓ_Book4_도로수량양식_자전거도로포장수량 16" xfId="23518"/>
    <cellStyle name="ℓ_Book4_도로수량양식_자전거도로포장수량 16 2" xfId="35949"/>
    <cellStyle name="ℓ_Book4_도로수량양식_자전거도로포장수량 17" xfId="24638"/>
    <cellStyle name="ℓ_Book4_도로수량양식_자전거도로포장수량 17 2" xfId="37069"/>
    <cellStyle name="ℓ_Book4_도로수량양식_자전거도로포장수량 18" xfId="24802"/>
    <cellStyle name="ℓ_Book4_도로수량양식_자전거도로포장수량 18 2" xfId="37233"/>
    <cellStyle name="ℓ_Book4_도로수량양식_자전거도로포장수량 19" xfId="21544"/>
    <cellStyle name="ℓ_Book4_도로수량양식_자전거도로포장수량 19 2" xfId="33981"/>
    <cellStyle name="ℓ_Book4_도로수량양식_자전거도로포장수량 2" xfId="13386"/>
    <cellStyle name="ℓ_Book4_도로수량양식_자전거도로포장수량 2 2" xfId="26254"/>
    <cellStyle name="ℓ_Book4_도로수량양식_자전거도로포장수량 20" xfId="24958"/>
    <cellStyle name="ℓ_Book4_도로수량양식_자전거도로포장수량 20 2" xfId="37389"/>
    <cellStyle name="ℓ_Book4_도로수량양식_자전거도로포장수량 21" xfId="25049"/>
    <cellStyle name="ℓ_Book4_도로수량양식_자전거도로포장수량 21 2" xfId="37480"/>
    <cellStyle name="ℓ_Book4_도로수량양식_자전거도로포장수량 3" xfId="16140"/>
    <cellStyle name="ℓ_Book4_도로수량양식_자전거도로포장수량 3 2" xfId="28923"/>
    <cellStyle name="ℓ_Book4_도로수량양식_자전거도로포장수량 4" xfId="17391"/>
    <cellStyle name="ℓ_Book4_도로수량양식_자전거도로포장수량 4 2" xfId="30120"/>
    <cellStyle name="ℓ_Book4_도로수량양식_자전거도로포장수량 5" xfId="14833"/>
    <cellStyle name="ℓ_Book4_도로수량양식_자전거도로포장수량 5 2" xfId="27656"/>
    <cellStyle name="ℓ_Book4_도로수량양식_자전거도로포장수량 6" xfId="17676"/>
    <cellStyle name="ℓ_Book4_도로수량양식_자전거도로포장수량 6 2" xfId="30393"/>
    <cellStyle name="ℓ_Book4_도로수량양식_자전거도로포장수량 7" xfId="17483"/>
    <cellStyle name="ℓ_Book4_도로수량양식_자전거도로포장수량 7 2" xfId="30205"/>
    <cellStyle name="ℓ_Book4_도로수량양식_자전거도로포장수량 8" xfId="15291"/>
    <cellStyle name="ℓ_Book4_도로수량양식_자전거도로포장수량 8 2" xfId="28108"/>
    <cellStyle name="ℓ_Book4_도로수량양식_자전거도로포장수량 9" xfId="13918"/>
    <cellStyle name="ℓ_Book4_도로수량양식_자전거도로포장수량 9 2" xfId="26777"/>
    <cellStyle name="ℓ_Book4_수량산출" xfId="2583"/>
    <cellStyle name="ℓ_Book4_수량산출 10" xfId="17915"/>
    <cellStyle name="ℓ_Book4_수량산출 10 2" xfId="30627"/>
    <cellStyle name="ℓ_Book4_수량산출 11" xfId="19324"/>
    <cellStyle name="ℓ_Book4_수량산출 12" xfId="20806"/>
    <cellStyle name="ℓ_Book4_수량산출 12 2" xfId="33243"/>
    <cellStyle name="ℓ_Book4_수량산출 13" xfId="18929"/>
    <cellStyle name="ℓ_Book4_수량산출 13 2" xfId="31634"/>
    <cellStyle name="ℓ_Book4_수량산출 14" xfId="23978"/>
    <cellStyle name="ℓ_Book4_수량산출 14 2" xfId="36409"/>
    <cellStyle name="ℓ_Book4_수량산출 15" xfId="24288"/>
    <cellStyle name="ℓ_Book4_수량산출 15 2" xfId="36719"/>
    <cellStyle name="ℓ_Book4_수량산출 16" xfId="23865"/>
    <cellStyle name="ℓ_Book4_수량산출 16 2" xfId="36296"/>
    <cellStyle name="ℓ_Book4_수량산출 17" xfId="24637"/>
    <cellStyle name="ℓ_Book4_수량산출 17 2" xfId="37068"/>
    <cellStyle name="ℓ_Book4_수량산출 18" xfId="24801"/>
    <cellStyle name="ℓ_Book4_수량산출 18 2" xfId="37232"/>
    <cellStyle name="ℓ_Book4_수량산출 19" xfId="23799"/>
    <cellStyle name="ℓ_Book4_수량산출 19 2" xfId="36230"/>
    <cellStyle name="ℓ_Book4_수량산출 2" xfId="13387"/>
    <cellStyle name="ℓ_Book4_수량산출 2 2" xfId="26255"/>
    <cellStyle name="ℓ_Book4_수량산출 20" xfId="22179"/>
    <cellStyle name="ℓ_Book4_수량산출 20 2" xfId="34615"/>
    <cellStyle name="ℓ_Book4_수량산출 21" xfId="18869"/>
    <cellStyle name="ℓ_Book4_수량산출 21 2" xfId="31574"/>
    <cellStyle name="ℓ_Book4_수량산출 3" xfId="16139"/>
    <cellStyle name="ℓ_Book4_수량산출 3 2" xfId="28922"/>
    <cellStyle name="ℓ_Book4_수량산출 4" xfId="17390"/>
    <cellStyle name="ℓ_Book4_수량산출 4 2" xfId="30119"/>
    <cellStyle name="ℓ_Book4_수량산출 5" xfId="12917"/>
    <cellStyle name="ℓ_Book4_수량산출 5 2" xfId="25793"/>
    <cellStyle name="ℓ_Book4_수량산출 6" xfId="14792"/>
    <cellStyle name="ℓ_Book4_수량산출 6 2" xfId="27615"/>
    <cellStyle name="ℓ_Book4_수량산출 7" xfId="16893"/>
    <cellStyle name="ℓ_Book4_수량산출 7 2" xfId="29668"/>
    <cellStyle name="ℓ_Book4_수량산출 8" xfId="15798"/>
    <cellStyle name="ℓ_Book4_수량산출 8 2" xfId="28597"/>
    <cellStyle name="ℓ_Book4_수량산출 9" xfId="17823"/>
    <cellStyle name="ℓ_Book4_수량산출 9 2" xfId="30539"/>
    <cellStyle name="ℓ_Book4_수량산출_자전거도로구조물공수량" xfId="2584"/>
    <cellStyle name="ℓ_Book4_수량산출_자전거도로구조물공수량 10" xfId="15641"/>
    <cellStyle name="ℓ_Book4_수량산출_자전거도로구조물공수량 10 2" xfId="28448"/>
    <cellStyle name="ℓ_Book4_수량산출_자전거도로구조물공수량 11" xfId="19325"/>
    <cellStyle name="ℓ_Book4_수량산출_자전거도로구조물공수량 12" xfId="19776"/>
    <cellStyle name="ℓ_Book4_수량산출_자전거도로구조물공수량 12 2" xfId="32226"/>
    <cellStyle name="ℓ_Book4_수량산출_자전거도로구조물공수량 13" xfId="23209"/>
    <cellStyle name="ℓ_Book4_수량산출_자전거도로구조물공수량 13 2" xfId="35642"/>
    <cellStyle name="ℓ_Book4_수량산출_자전거도로구조물공수량 14" xfId="23977"/>
    <cellStyle name="ℓ_Book4_수량산출_자전거도로구조물공수량 14 2" xfId="36408"/>
    <cellStyle name="ℓ_Book4_수량산출_자전거도로구조물공수량 15" xfId="18363"/>
    <cellStyle name="ℓ_Book4_수량산출_자전거도로구조물공수량 15 2" xfId="31069"/>
    <cellStyle name="ℓ_Book4_수량산출_자전거도로구조물공수량 16" xfId="19731"/>
    <cellStyle name="ℓ_Book4_수량산출_자전거도로구조물공수량 16 2" xfId="32184"/>
    <cellStyle name="ℓ_Book4_수량산출_자전거도로구조물공수량 17" xfId="24636"/>
    <cellStyle name="ℓ_Book4_수량산출_자전거도로구조물공수량 17 2" xfId="37067"/>
    <cellStyle name="ℓ_Book4_수량산출_자전거도로구조물공수량 18" xfId="24301"/>
    <cellStyle name="ℓ_Book4_수량산출_자전거도로구조물공수량 18 2" xfId="36732"/>
    <cellStyle name="ℓ_Book4_수량산출_자전거도로구조물공수량 19" xfId="18449"/>
    <cellStyle name="ℓ_Book4_수량산출_자전거도로구조물공수량 19 2" xfId="31154"/>
    <cellStyle name="ℓ_Book4_수량산출_자전거도로구조물공수량 2" xfId="13388"/>
    <cellStyle name="ℓ_Book4_수량산출_자전거도로구조물공수량 2 2" xfId="26256"/>
    <cellStyle name="ℓ_Book4_수량산출_자전거도로구조물공수량 20" xfId="20557"/>
    <cellStyle name="ℓ_Book4_수량산출_자전거도로구조물공수량 20 2" xfId="33002"/>
    <cellStyle name="ℓ_Book4_수량산출_자전거도로구조물공수량 21" xfId="24898"/>
    <cellStyle name="ℓ_Book4_수량산출_자전거도로구조물공수량 21 2" xfId="37329"/>
    <cellStyle name="ℓ_Book4_수량산출_자전거도로구조물공수량 3" xfId="16138"/>
    <cellStyle name="ℓ_Book4_수량산출_자전거도로구조물공수량 3 2" xfId="28921"/>
    <cellStyle name="ℓ_Book4_수량산출_자전거도로구조물공수량 4" xfId="13985"/>
    <cellStyle name="ℓ_Book4_수량산출_자전거도로구조물공수량 4 2" xfId="26842"/>
    <cellStyle name="ℓ_Book4_수량산출_자전거도로구조물공수량 5" xfId="16776"/>
    <cellStyle name="ℓ_Book4_수량산출_자전거도로구조물공수량 5 2" xfId="29551"/>
    <cellStyle name="ℓ_Book4_수량산출_자전거도로구조물공수량 6" xfId="14268"/>
    <cellStyle name="ℓ_Book4_수량산출_자전거도로구조물공수량 6 2" xfId="27103"/>
    <cellStyle name="ℓ_Book4_수량산출_자전거도로구조물공수량 7" xfId="17484"/>
    <cellStyle name="ℓ_Book4_수량산출_자전거도로구조물공수량 7 2" xfId="30206"/>
    <cellStyle name="ℓ_Book4_수량산출_자전거도로구조물공수량 8" xfId="13172"/>
    <cellStyle name="ℓ_Book4_수량산출_자전거도로구조물공수량 8 2" xfId="26040"/>
    <cellStyle name="ℓ_Book4_수량산출_자전거도로구조물공수량 9" xfId="13912"/>
    <cellStyle name="ℓ_Book4_수량산출_자전거도로구조물공수량 9 2" xfId="26771"/>
    <cellStyle name="ℓ_Book4_수량산출_자전거도로포장수량" xfId="2585"/>
    <cellStyle name="ℓ_Book4_수량산출_자전거도로포장수량 10" xfId="14787"/>
    <cellStyle name="ℓ_Book4_수량산출_자전거도로포장수량 10 2" xfId="27610"/>
    <cellStyle name="ℓ_Book4_수량산출_자전거도로포장수량 11" xfId="19326"/>
    <cellStyle name="ℓ_Book4_수량산출_자전거도로포장수량 12" xfId="22626"/>
    <cellStyle name="ℓ_Book4_수량산출_자전거도로포장수량 12 2" xfId="35060"/>
    <cellStyle name="ℓ_Book4_수량산출_자전거도로포장수량 13" xfId="18930"/>
    <cellStyle name="ℓ_Book4_수량산출_자전거도로포장수량 13 2" xfId="31635"/>
    <cellStyle name="ℓ_Book4_수량산출_자전거도로포장수량 14" xfId="23976"/>
    <cellStyle name="ℓ_Book4_수량산출_자전거도로포장수량 14 2" xfId="36407"/>
    <cellStyle name="ℓ_Book4_수량산출_자전거도로포장수량 15" xfId="24287"/>
    <cellStyle name="ℓ_Book4_수량산출_자전거도로포장수량 15 2" xfId="36718"/>
    <cellStyle name="ℓ_Book4_수량산출_자전거도로포장수량 16" xfId="23864"/>
    <cellStyle name="ℓ_Book4_수량산출_자전거도로포장수량 16 2" xfId="36295"/>
    <cellStyle name="ℓ_Book4_수량산출_자전거도로포장수량 17" xfId="24635"/>
    <cellStyle name="ℓ_Book4_수량산출_자전거도로포장수량 17 2" xfId="37066"/>
    <cellStyle name="ℓ_Book4_수량산출_자전거도로포장수량 18" xfId="20151"/>
    <cellStyle name="ℓ_Book4_수량산출_자전거도로포장수량 18 2" xfId="32597"/>
    <cellStyle name="ℓ_Book4_수량산출_자전거도로포장수량 19" xfId="20538"/>
    <cellStyle name="ℓ_Book4_수량산출_자전거도로포장수량 19 2" xfId="32983"/>
    <cellStyle name="ℓ_Book4_수량산출_자전거도로포장수량 2" xfId="13389"/>
    <cellStyle name="ℓ_Book4_수량산출_자전거도로포장수량 2 2" xfId="26257"/>
    <cellStyle name="ℓ_Book4_수량산출_자전거도로포장수량 20" xfId="23026"/>
    <cellStyle name="ℓ_Book4_수량산출_자전거도로포장수량 20 2" xfId="35459"/>
    <cellStyle name="ℓ_Book4_수량산출_자전거도로포장수량 21" xfId="19743"/>
    <cellStyle name="ℓ_Book4_수량산출_자전거도로포장수량 21 2" xfId="32196"/>
    <cellStyle name="ℓ_Book4_수량산출_자전거도로포장수량 3" xfId="16137"/>
    <cellStyle name="ℓ_Book4_수량산출_자전거도로포장수량 3 2" xfId="28920"/>
    <cellStyle name="ℓ_Book4_수량산출_자전거도로포장수량 4" xfId="17389"/>
    <cellStyle name="ℓ_Book4_수량산출_자전거도로포장수량 4 2" xfId="30118"/>
    <cellStyle name="ℓ_Book4_수량산출_자전거도로포장수량 5" xfId="12918"/>
    <cellStyle name="ℓ_Book4_수량산출_자전거도로포장수량 5 2" xfId="25794"/>
    <cellStyle name="ℓ_Book4_수량산출_자전거도로포장수량 6" xfId="14791"/>
    <cellStyle name="ℓ_Book4_수량산출_자전거도로포장수량 6 2" xfId="27614"/>
    <cellStyle name="ℓ_Book4_수량산출_자전거도로포장수량 7" xfId="13823"/>
    <cellStyle name="ℓ_Book4_수량산출_자전거도로포장수량 7 2" xfId="26682"/>
    <cellStyle name="ℓ_Book4_수량산출_자전거도로포장수량 8" xfId="16882"/>
    <cellStyle name="ℓ_Book4_수량산출_자전거도로포장수량 8 2" xfId="29657"/>
    <cellStyle name="ℓ_Book4_수량산출_자전거도로포장수량 9" xfId="17061"/>
    <cellStyle name="ℓ_Book4_수량산출_자전거도로포장수량 9 2" xfId="29797"/>
    <cellStyle name="ℓ_Book4_인월중군소하천" xfId="2586"/>
    <cellStyle name="ℓ_Book4_인월중군소하천 10" xfId="15731"/>
    <cellStyle name="ℓ_Book4_인월중군소하천 10 2" xfId="28531"/>
    <cellStyle name="ℓ_Book4_인월중군소하천 11" xfId="19327"/>
    <cellStyle name="ℓ_Book4_인월중군소하천 12" xfId="22625"/>
    <cellStyle name="ℓ_Book4_인월중군소하천 12 2" xfId="35059"/>
    <cellStyle name="ℓ_Book4_인월중군소하천 13" xfId="23210"/>
    <cellStyle name="ℓ_Book4_인월중군소하천 13 2" xfId="35643"/>
    <cellStyle name="ℓ_Book4_인월중군소하천 14" xfId="23975"/>
    <cellStyle name="ℓ_Book4_인월중군소하천 14 2" xfId="36406"/>
    <cellStyle name="ℓ_Book4_인월중군소하천 15" xfId="24286"/>
    <cellStyle name="ℓ_Book4_인월중군소하천 15 2" xfId="36717"/>
    <cellStyle name="ℓ_Book4_인월중군소하천 16" xfId="19730"/>
    <cellStyle name="ℓ_Book4_인월중군소하천 16 2" xfId="32183"/>
    <cellStyle name="ℓ_Book4_인월중군소하천 17" xfId="24634"/>
    <cellStyle name="ℓ_Book4_인월중군소하천 17 2" xfId="37065"/>
    <cellStyle name="ℓ_Book4_인월중군소하천 18" xfId="22090"/>
    <cellStyle name="ℓ_Book4_인월중군소하천 18 2" xfId="34526"/>
    <cellStyle name="ℓ_Book4_인월중군소하천 19" xfId="24371"/>
    <cellStyle name="ℓ_Book4_인월중군소하천 19 2" xfId="36802"/>
    <cellStyle name="ℓ_Book4_인월중군소하천 2" xfId="13390"/>
    <cellStyle name="ℓ_Book4_인월중군소하천 2 2" xfId="26258"/>
    <cellStyle name="ℓ_Book4_인월중군소하천 20" xfId="18387"/>
    <cellStyle name="ℓ_Book4_인월중군소하천 20 2" xfId="31093"/>
    <cellStyle name="ℓ_Book4_인월중군소하천 21" xfId="24899"/>
    <cellStyle name="ℓ_Book4_인월중군소하천 21 2" xfId="37330"/>
    <cellStyle name="ℓ_Book4_인월중군소하천 3" xfId="16136"/>
    <cellStyle name="ℓ_Book4_인월중군소하천 3 2" xfId="28919"/>
    <cellStyle name="ℓ_Book4_인월중군소하천 4" xfId="17388"/>
    <cellStyle name="ℓ_Book4_인월중군소하천 4 2" xfId="30117"/>
    <cellStyle name="ℓ_Book4_인월중군소하천 5" xfId="16777"/>
    <cellStyle name="ℓ_Book4_인월중군소하천 5 2" xfId="29552"/>
    <cellStyle name="ℓ_Book4_인월중군소하천 6" xfId="15276"/>
    <cellStyle name="ℓ_Book4_인월중군소하천 6 2" xfId="28093"/>
    <cellStyle name="ℓ_Book4_인월중군소하천 7" xfId="17485"/>
    <cellStyle name="ℓ_Book4_인월중군소하천 7 2" xfId="30207"/>
    <cellStyle name="ℓ_Book4_인월중군소하천 8" xfId="15767"/>
    <cellStyle name="ℓ_Book4_인월중군소하천 8 2" xfId="28566"/>
    <cellStyle name="ℓ_Book4_인월중군소하천 9" xfId="17218"/>
    <cellStyle name="ℓ_Book4_인월중군소하천 9 2" xfId="29952"/>
    <cellStyle name="ℓ_Book4_인월중군소하천_자전거도로구조물공수량" xfId="2587"/>
    <cellStyle name="ℓ_Book4_인월중군소하천_자전거도로구조물공수량 10" xfId="14200"/>
    <cellStyle name="ℓ_Book4_인월중군소하천_자전거도로구조물공수량 10 2" xfId="27048"/>
    <cellStyle name="ℓ_Book4_인월중군소하천_자전거도로구조물공수량 11" xfId="19328"/>
    <cellStyle name="ℓ_Book4_인월중군소하천_자전거도로구조물공수량 12" xfId="22624"/>
    <cellStyle name="ℓ_Book4_인월중군소하천_자전거도로구조물공수량 12 2" xfId="35058"/>
    <cellStyle name="ℓ_Book4_인월중군소하천_자전거도로구조물공수량 13" xfId="21555"/>
    <cellStyle name="ℓ_Book4_인월중군소하천_자전거도로구조물공수량 13 2" xfId="33992"/>
    <cellStyle name="ℓ_Book4_인월중군소하천_자전거도로구조물공수량 14" xfId="23974"/>
    <cellStyle name="ℓ_Book4_인월중군소하천_자전거도로구조물공수량 14 2" xfId="36405"/>
    <cellStyle name="ℓ_Book4_인월중군소하천_자전거도로구조물공수량 15" xfId="24285"/>
    <cellStyle name="ℓ_Book4_인월중군소하천_자전거도로구조물공수량 15 2" xfId="36716"/>
    <cellStyle name="ℓ_Book4_인월중군소하천_자전거도로구조물공수량 16" xfId="22133"/>
    <cellStyle name="ℓ_Book4_인월중군소하천_자전거도로구조물공수량 16 2" xfId="34569"/>
    <cellStyle name="ℓ_Book4_인월중군소하천_자전거도로구조물공수량 17" xfId="24633"/>
    <cellStyle name="ℓ_Book4_인월중군소하천_자전거도로구조물공수량 17 2" xfId="37064"/>
    <cellStyle name="ℓ_Book4_인월중군소하천_자전거도로구조물공수량 18" xfId="21817"/>
    <cellStyle name="ℓ_Book4_인월중군소하천_자전거도로구조물공수량 18 2" xfId="34254"/>
    <cellStyle name="ℓ_Book4_인월중군소하천_자전거도로구조물공수량 19" xfId="18523"/>
    <cellStyle name="ℓ_Book4_인월중군소하천_자전거도로구조물공수량 19 2" xfId="31228"/>
    <cellStyle name="ℓ_Book4_인월중군소하천_자전거도로구조물공수량 2" xfId="13391"/>
    <cellStyle name="ℓ_Book4_인월중군소하천_자전거도로구조물공수량 2 2" xfId="26259"/>
    <cellStyle name="ℓ_Book4_인월중군소하천_자전거도로구조물공수량 20" xfId="18817"/>
    <cellStyle name="ℓ_Book4_인월중군소하천_자전거도로구조물공수량 20 2" xfId="31522"/>
    <cellStyle name="ℓ_Book4_인월중군소하천_자전거도로구조물공수량 21" xfId="21739"/>
    <cellStyle name="ℓ_Book4_인월중군소하천_자전거도로구조물공수량 21 2" xfId="34176"/>
    <cellStyle name="ℓ_Book4_인월중군소하천_자전거도로구조물공수량 3" xfId="16135"/>
    <cellStyle name="ℓ_Book4_인월중군소하천_자전거도로구조물공수량 3 2" xfId="28918"/>
    <cellStyle name="ℓ_Book4_인월중군소하천_자전거도로구조물공수량 4" xfId="17387"/>
    <cellStyle name="ℓ_Book4_인월중군소하천_자전거도로구조물공수량 4 2" xfId="30116"/>
    <cellStyle name="ℓ_Book4_인월중군소하천_자전거도로구조물공수량 5" xfId="15487"/>
    <cellStyle name="ℓ_Book4_인월중군소하천_자전거도로구조물공수량 5 2" xfId="28296"/>
    <cellStyle name="ℓ_Book4_인월중군소하천_자전거도로구조물공수량 6" xfId="13229"/>
    <cellStyle name="ℓ_Book4_인월중군소하천_자전거도로구조물공수량 6 2" xfId="26097"/>
    <cellStyle name="ℓ_Book4_인월중군소하천_자전거도로구조물공수량 7" xfId="15412"/>
    <cellStyle name="ℓ_Book4_인월중군소하천_자전거도로구조물공수량 7 2" xfId="28226"/>
    <cellStyle name="ℓ_Book4_인월중군소하천_자전거도로구조물공수량 8" xfId="13671"/>
    <cellStyle name="ℓ_Book4_인월중군소하천_자전거도로구조물공수량 8 2" xfId="26537"/>
    <cellStyle name="ℓ_Book4_인월중군소하천_자전거도로구조물공수량 9" xfId="17824"/>
    <cellStyle name="ℓ_Book4_인월중군소하천_자전거도로구조물공수량 9 2" xfId="30540"/>
    <cellStyle name="ℓ_Book4_인월중군소하천_자전거도로포장수량" xfId="2588"/>
    <cellStyle name="ℓ_Book4_인월중군소하천_자전거도로포장수량 10" xfId="17429"/>
    <cellStyle name="ℓ_Book4_인월중군소하천_자전거도로포장수량 10 2" xfId="30152"/>
    <cellStyle name="ℓ_Book4_인월중군소하천_자전거도로포장수량 11" xfId="19329"/>
    <cellStyle name="ℓ_Book4_인월중군소하천_자전거도로포장수량 12" xfId="22623"/>
    <cellStyle name="ℓ_Book4_인월중군소하천_자전거도로포장수량 12 2" xfId="35057"/>
    <cellStyle name="ℓ_Book4_인월중군소하천_자전거도로포장수량 13" xfId="21556"/>
    <cellStyle name="ℓ_Book4_인월중군소하천_자전거도로포장수량 13 2" xfId="33993"/>
    <cellStyle name="ℓ_Book4_인월중군소하천_자전거도로포장수량 14" xfId="23132"/>
    <cellStyle name="ℓ_Book4_인월중군소하천_자전거도로포장수량 14 2" xfId="35565"/>
    <cellStyle name="ℓ_Book4_인월중군소하천_자전거도로포장수량 15" xfId="24284"/>
    <cellStyle name="ℓ_Book4_인월중군소하천_자전거도로포장수량 15 2" xfId="36715"/>
    <cellStyle name="ℓ_Book4_인월중군소하천_자전거도로포장수량 16" xfId="18614"/>
    <cellStyle name="ℓ_Book4_인월중군소하천_자전거도로포장수량 16 2" xfId="31319"/>
    <cellStyle name="ℓ_Book4_인월중군소하천_자전거도로포장수량 17" xfId="20262"/>
    <cellStyle name="ℓ_Book4_인월중군소하천_자전거도로포장수량 17 2" xfId="32707"/>
    <cellStyle name="ℓ_Book4_인월중군소하천_자전거도로포장수량 18" xfId="24098"/>
    <cellStyle name="ℓ_Book4_인월중군소하천_자전거도로포장수량 18 2" xfId="36529"/>
    <cellStyle name="ℓ_Book4_인월중군소하천_자전거도로포장수량 19" xfId="18647"/>
    <cellStyle name="ℓ_Book4_인월중군소하천_자전거도로포장수량 19 2" xfId="31352"/>
    <cellStyle name="ℓ_Book4_인월중군소하천_자전거도로포장수량 2" xfId="13392"/>
    <cellStyle name="ℓ_Book4_인월중군소하천_자전거도로포장수량 2 2" xfId="26260"/>
    <cellStyle name="ℓ_Book4_인월중군소하천_자전거도로포장수량 20" xfId="20574"/>
    <cellStyle name="ℓ_Book4_인월중군소하천_자전거도로포장수량 20 2" xfId="33019"/>
    <cellStyle name="ℓ_Book4_인월중군소하천_자전거도로포장수량 21" xfId="23434"/>
    <cellStyle name="ℓ_Book4_인월중군소하천_자전거도로포장수량 21 2" xfId="35865"/>
    <cellStyle name="ℓ_Book4_인월중군소하천_자전거도로포장수량 3" xfId="16134"/>
    <cellStyle name="ℓ_Book4_인월중군소하천_자전거도로포장수량 3 2" xfId="28917"/>
    <cellStyle name="ℓ_Book4_인월중군소하천_자전거도로포장수량 4" xfId="17386"/>
    <cellStyle name="ℓ_Book4_인월중군소하천_자전거도로포장수량 4 2" xfId="30115"/>
    <cellStyle name="ℓ_Book4_인월중군소하천_자전거도로포장수량 5" xfId="15488"/>
    <cellStyle name="ℓ_Book4_인월중군소하천_자전거도로포장수량 5 2" xfId="28297"/>
    <cellStyle name="ℓ_Book4_인월중군소하천_자전거도로포장수량 6" xfId="13409"/>
    <cellStyle name="ℓ_Book4_인월중군소하천_자전거도로포장수량 6 2" xfId="26277"/>
    <cellStyle name="ℓ_Book4_인월중군소하천_자전거도로포장수량 7" xfId="17486"/>
    <cellStyle name="ℓ_Book4_인월중군소하천_자전거도로포장수량 7 2" xfId="30208"/>
    <cellStyle name="ℓ_Book4_인월중군소하천_자전거도로포장수량 8" xfId="12593"/>
    <cellStyle name="ℓ_Book4_인월중군소하천_자전거도로포장수량 8 2" xfId="25472"/>
    <cellStyle name="ℓ_Book4_인월중군소하천_자전거도로포장수량 9" xfId="13058"/>
    <cellStyle name="ℓ_Book4_인월중군소하천_자전거도로포장수량 9 2" xfId="25927"/>
    <cellStyle name="ℓ_Book4_자전거도로구조물공수량" xfId="2589"/>
    <cellStyle name="ℓ_Book4_자전거도로구조물공수량 10" xfId="12542"/>
    <cellStyle name="ℓ_Book4_자전거도로구조물공수량 10 2" xfId="25422"/>
    <cellStyle name="ℓ_Book4_자전거도로구조물공수량 11" xfId="19330"/>
    <cellStyle name="ℓ_Book4_자전거도로구조물공수량 12" xfId="19775"/>
    <cellStyle name="ℓ_Book4_자전거도로구조물공수량 12 2" xfId="32225"/>
    <cellStyle name="ℓ_Book4_자전거도로구조물공수량 13" xfId="21557"/>
    <cellStyle name="ℓ_Book4_자전거도로구조물공수량 13 2" xfId="33994"/>
    <cellStyle name="ℓ_Book4_자전거도로구조물공수량 14" xfId="23973"/>
    <cellStyle name="ℓ_Book4_자전거도로구조물공수량 14 2" xfId="36404"/>
    <cellStyle name="ℓ_Book4_자전거도로구조물공수량 15" xfId="24283"/>
    <cellStyle name="ℓ_Book4_자전거도로구조물공수량 15 2" xfId="36714"/>
    <cellStyle name="ℓ_Book4_자전거도로구조물공수량 16" xfId="23133"/>
    <cellStyle name="ℓ_Book4_자전거도로구조물공수량 16 2" xfId="35566"/>
    <cellStyle name="ℓ_Book4_자전거도로구조물공수량 17" xfId="24632"/>
    <cellStyle name="ℓ_Book4_자전거도로구조물공수량 17 2" xfId="37063"/>
    <cellStyle name="ℓ_Book4_자전거도로구조물공수량 18" xfId="19256"/>
    <cellStyle name="ℓ_Book4_자전거도로구조물공수량 18 2" xfId="31911"/>
    <cellStyle name="ℓ_Book4_자전거도로구조물공수량 19" xfId="19178"/>
    <cellStyle name="ℓ_Book4_자전거도로구조물공수량 19 2" xfId="31833"/>
    <cellStyle name="ℓ_Book4_자전거도로구조물공수량 2" xfId="13393"/>
    <cellStyle name="ℓ_Book4_자전거도로구조물공수량 2 2" xfId="26261"/>
    <cellStyle name="ℓ_Book4_자전거도로구조물공수량 20" xfId="22409"/>
    <cellStyle name="ℓ_Book4_자전거도로구조물공수량 20 2" xfId="34843"/>
    <cellStyle name="ℓ_Book4_자전거도로구조물공수량 21" xfId="21740"/>
    <cellStyle name="ℓ_Book4_자전거도로구조물공수량 21 2" xfId="34177"/>
    <cellStyle name="ℓ_Book4_자전거도로구조물공수량 3" xfId="16133"/>
    <cellStyle name="ℓ_Book4_자전거도로구조물공수량 3 2" xfId="28916"/>
    <cellStyle name="ℓ_Book4_자전거도로구조물공수량 4" xfId="17385"/>
    <cellStyle name="ℓ_Book4_자전거도로구조물공수량 4 2" xfId="30114"/>
    <cellStyle name="ℓ_Book4_자전거도로구조물공수량 5" xfId="15489"/>
    <cellStyle name="ℓ_Book4_자전거도로구조물공수량 5 2" xfId="28298"/>
    <cellStyle name="ℓ_Book4_자전거도로구조물공수량 6" xfId="13228"/>
    <cellStyle name="ℓ_Book4_자전거도로구조물공수량 6 2" xfId="26096"/>
    <cellStyle name="ℓ_Book4_자전거도로구조물공수량 7" xfId="13822"/>
    <cellStyle name="ℓ_Book4_자전거도로구조물공수량 7 2" xfId="26681"/>
    <cellStyle name="ℓ_Book4_자전거도로구조물공수량 8" xfId="14616"/>
    <cellStyle name="ℓ_Book4_자전거도로구조물공수량 8 2" xfId="27442"/>
    <cellStyle name="ℓ_Book4_자전거도로구조물공수량 9" xfId="13922"/>
    <cellStyle name="ℓ_Book4_자전거도로구조물공수량 9 2" xfId="26781"/>
    <cellStyle name="ℓ_Book4_자전거도로포장수량" xfId="2590"/>
    <cellStyle name="ℓ_Book4_자전거도로포장수량 10" xfId="12664"/>
    <cellStyle name="ℓ_Book4_자전거도로포장수량 10 2" xfId="25543"/>
    <cellStyle name="ℓ_Book4_자전거도로포장수량 11" xfId="19331"/>
    <cellStyle name="ℓ_Book4_자전거도로포장수량 12" xfId="22622"/>
    <cellStyle name="ℓ_Book4_자전거도로포장수량 12 2" xfId="35056"/>
    <cellStyle name="ℓ_Book4_자전거도로포장수량 13" xfId="21558"/>
    <cellStyle name="ℓ_Book4_자전거도로포장수량 13 2" xfId="33995"/>
    <cellStyle name="ℓ_Book4_자전거도로포장수량 14" xfId="23972"/>
    <cellStyle name="ℓ_Book4_자전거도로포장수량 14 2" xfId="36403"/>
    <cellStyle name="ℓ_Book4_자전거도로포장수량 15" xfId="24282"/>
    <cellStyle name="ℓ_Book4_자전거도로포장수량 15 2" xfId="36713"/>
    <cellStyle name="ℓ_Book4_자전거도로포장수량 16" xfId="19183"/>
    <cellStyle name="ℓ_Book4_자전거도로포장수량 16 2" xfId="31838"/>
    <cellStyle name="ℓ_Book4_자전거도로포장수량 17" xfId="24631"/>
    <cellStyle name="ℓ_Book4_자전거도로포장수량 17 2" xfId="37062"/>
    <cellStyle name="ℓ_Book4_자전거도로포장수량 18" xfId="18907"/>
    <cellStyle name="ℓ_Book4_자전거도로포장수량 18 2" xfId="31612"/>
    <cellStyle name="ℓ_Book4_자전거도로포장수량 19" xfId="18447"/>
    <cellStyle name="ℓ_Book4_자전거도로포장수량 19 2" xfId="31152"/>
    <cellStyle name="ℓ_Book4_자전거도로포장수량 2" xfId="13394"/>
    <cellStyle name="ℓ_Book4_자전거도로포장수량 2 2" xfId="26262"/>
    <cellStyle name="ℓ_Book4_자전거도로포장수량 20" xfId="23811"/>
    <cellStyle name="ℓ_Book4_자전거도로포장수량 20 2" xfId="36242"/>
    <cellStyle name="ℓ_Book4_자전거도로포장수량 21" xfId="24021"/>
    <cellStyle name="ℓ_Book4_자전거도로포장수량 21 2" xfId="36452"/>
    <cellStyle name="ℓ_Book4_자전거도로포장수량 3" xfId="16909"/>
    <cellStyle name="ℓ_Book4_자전거도로포장수량 3 2" xfId="29684"/>
    <cellStyle name="ℓ_Book4_자전거도로포장수량 4" xfId="17384"/>
    <cellStyle name="ℓ_Book4_자전거도로포장수량 4 2" xfId="30113"/>
    <cellStyle name="ℓ_Book4_자전거도로포장수량 5" xfId="15490"/>
    <cellStyle name="ℓ_Book4_자전거도로포장수량 5 2" xfId="28299"/>
    <cellStyle name="ℓ_Book4_자전거도로포장수량 6" xfId="13408"/>
    <cellStyle name="ℓ_Book4_자전거도로포장수량 6 2" xfId="26276"/>
    <cellStyle name="ℓ_Book4_자전거도로포장수량 7" xfId="17105"/>
    <cellStyle name="ℓ_Book4_자전거도로포장수량 7 2" xfId="29840"/>
    <cellStyle name="ℓ_Book4_자전거도로포장수량 8" xfId="12573"/>
    <cellStyle name="ℓ_Book4_자전거도로포장수량 8 2" xfId="25453"/>
    <cellStyle name="ℓ_Book4_자전거도로포장수량 9" xfId="17825"/>
    <cellStyle name="ℓ_Book4_자전거도로포장수량 9 2" xfId="30541"/>
    <cellStyle name="ℓ_수량전체" xfId="2591"/>
    <cellStyle name="ℓ_수량전체 10" xfId="14062"/>
    <cellStyle name="ℓ_수량전체 10 2" xfId="26910"/>
    <cellStyle name="ℓ_수량전체 11" xfId="19332"/>
    <cellStyle name="ℓ_수량전체 12" xfId="22621"/>
    <cellStyle name="ℓ_수량전체 12 2" xfId="35055"/>
    <cellStyle name="ℓ_수량전체 13" xfId="23211"/>
    <cellStyle name="ℓ_수량전체 13 2" xfId="35644"/>
    <cellStyle name="ℓ_수량전체 14" xfId="23971"/>
    <cellStyle name="ℓ_수량전체 14 2" xfId="36402"/>
    <cellStyle name="ℓ_수량전체 15" xfId="21731"/>
    <cellStyle name="ℓ_수량전체 15 2" xfId="34168"/>
    <cellStyle name="ℓ_수량전체 16" xfId="19729"/>
    <cellStyle name="ℓ_수량전체 16 2" xfId="32182"/>
    <cellStyle name="ℓ_수량전체 17" xfId="24630"/>
    <cellStyle name="ℓ_수량전체 17 2" xfId="37061"/>
    <cellStyle name="ℓ_수량전체 18" xfId="20736"/>
    <cellStyle name="ℓ_수량전체 18 2" xfId="33176"/>
    <cellStyle name="ℓ_수량전체 19" xfId="18291"/>
    <cellStyle name="ℓ_수량전체 19 2" xfId="30997"/>
    <cellStyle name="ℓ_수량전체 2" xfId="13395"/>
    <cellStyle name="ℓ_수량전체 2 2" xfId="26263"/>
    <cellStyle name="ℓ_수량전체 20" xfId="24565"/>
    <cellStyle name="ℓ_수량전체 20 2" xfId="36996"/>
    <cellStyle name="ℓ_수량전체 21" xfId="23894"/>
    <cellStyle name="ℓ_수량전체 21 2" xfId="36325"/>
    <cellStyle name="ℓ_수량전체 3" xfId="16908"/>
    <cellStyle name="ℓ_수량전체 3 2" xfId="29683"/>
    <cellStyle name="ℓ_수량전체 4" xfId="13984"/>
    <cellStyle name="ℓ_수량전체 4 2" xfId="26841"/>
    <cellStyle name="ℓ_수량전체 5" xfId="16778"/>
    <cellStyle name="ℓ_수량전체 5 2" xfId="29553"/>
    <cellStyle name="ℓ_수량전체 6" xfId="12744"/>
    <cellStyle name="ℓ_수량전체 6 2" xfId="25621"/>
    <cellStyle name="ℓ_수량전체 7" xfId="14694"/>
    <cellStyle name="ℓ_수량전체 7 2" xfId="27520"/>
    <cellStyle name="ℓ_수량전체 8" xfId="12592"/>
    <cellStyle name="ℓ_수량전체 8 2" xfId="25471"/>
    <cellStyle name="ℓ_수량전체 9" xfId="13040"/>
    <cellStyle name="ℓ_수량전체 9 2" xfId="25914"/>
    <cellStyle name="ℓ_수량전체_도로수량양식" xfId="2592"/>
    <cellStyle name="ℓ_수량전체_도로수량양식 10" xfId="12798"/>
    <cellStyle name="ℓ_수량전체_도로수량양식 10 2" xfId="25674"/>
    <cellStyle name="ℓ_수량전체_도로수량양식 11" xfId="19333"/>
    <cellStyle name="ℓ_수량전체_도로수량양식 12" xfId="22620"/>
    <cellStyle name="ℓ_수량전체_도로수량양식 12 2" xfId="35054"/>
    <cellStyle name="ℓ_수량전체_도로수량양식 13" xfId="21559"/>
    <cellStyle name="ℓ_수량전체_도로수량양식 13 2" xfId="33996"/>
    <cellStyle name="ℓ_수량전체_도로수량양식 14" xfId="23970"/>
    <cellStyle name="ℓ_수량전체_도로수량양식 14 2" xfId="36401"/>
    <cellStyle name="ℓ_수량전체_도로수량양식 15" xfId="24281"/>
    <cellStyle name="ℓ_수량전체_도로수량양식 15 2" xfId="36712"/>
    <cellStyle name="ℓ_수량전체_도로수량양식 16" xfId="23719"/>
    <cellStyle name="ℓ_수량전체_도로수량양식 16 2" xfId="36150"/>
    <cellStyle name="ℓ_수량전체_도로수량양식 17" xfId="24629"/>
    <cellStyle name="ℓ_수량전체_도로수량양식 17 2" xfId="37060"/>
    <cellStyle name="ℓ_수량전체_도로수량양식 18" xfId="18862"/>
    <cellStyle name="ℓ_수량전체_도로수량양식 18 2" xfId="31567"/>
    <cellStyle name="ℓ_수량전체_도로수량양식 19" xfId="23913"/>
    <cellStyle name="ℓ_수량전체_도로수량양식 19 2" xfId="36344"/>
    <cellStyle name="ℓ_수량전체_도로수량양식 2" xfId="13396"/>
    <cellStyle name="ℓ_수량전체_도로수량양식 2 2" xfId="26264"/>
    <cellStyle name="ℓ_수량전체_도로수량양식 20" xfId="19905"/>
    <cellStyle name="ℓ_수량전체_도로수량양식 20 2" xfId="32354"/>
    <cellStyle name="ℓ_수량전체_도로수량양식 21" xfId="19552"/>
    <cellStyle name="ℓ_수량전체_도로수량양식 21 2" xfId="32007"/>
    <cellStyle name="ℓ_수량전체_도로수량양식 3" xfId="16907"/>
    <cellStyle name="ℓ_수량전체_도로수량양식 3 2" xfId="29682"/>
    <cellStyle name="ℓ_수량전체_도로수량양식 4" xfId="17383"/>
    <cellStyle name="ℓ_수량전체_도로수량양식 4 2" xfId="30112"/>
    <cellStyle name="ℓ_수량전체_도로수량양식 5" xfId="15491"/>
    <cellStyle name="ℓ_수량전체_도로수량양식 5 2" xfId="28300"/>
    <cellStyle name="ℓ_수량전체_도로수량양식 6" xfId="13227"/>
    <cellStyle name="ℓ_수량전체_도로수량양식 6 2" xfId="26095"/>
    <cellStyle name="ℓ_수량전체_도로수량양식 7" xfId="12671"/>
    <cellStyle name="ℓ_수량전체_도로수량양식 7 2" xfId="25550"/>
    <cellStyle name="ℓ_수량전체_도로수량양식 8" xfId="15292"/>
    <cellStyle name="ℓ_수량전체_도로수량양식 8 2" xfId="28109"/>
    <cellStyle name="ℓ_수량전체_도로수량양식 9" xfId="17826"/>
    <cellStyle name="ℓ_수량전체_도로수량양식 9 2" xfId="30542"/>
    <cellStyle name="ℓ_수량전체_도로수량양식_자전거도로구조물공수량" xfId="2593"/>
    <cellStyle name="ℓ_수량전체_도로수량양식_자전거도로구조물공수량 10" xfId="17799"/>
    <cellStyle name="ℓ_수량전체_도로수량양식_자전거도로구조물공수량 10 2" xfId="30516"/>
    <cellStyle name="ℓ_수량전체_도로수량양식_자전거도로구조물공수량 11" xfId="19334"/>
    <cellStyle name="ℓ_수량전체_도로수량양식_자전거도로구조물공수량 12" xfId="22619"/>
    <cellStyle name="ℓ_수량전체_도로수량양식_자전거도로구조물공수량 12 2" xfId="35053"/>
    <cellStyle name="ℓ_수량전체_도로수량양식_자전거도로구조물공수량 13" xfId="21560"/>
    <cellStyle name="ℓ_수량전체_도로수량양식_자전거도로구조물공수량 13 2" xfId="33997"/>
    <cellStyle name="ℓ_수량전체_도로수량양식_자전거도로구조물공수량 14" xfId="23969"/>
    <cellStyle name="ℓ_수량전체_도로수량양식_자전거도로구조물공수량 14 2" xfId="36400"/>
    <cellStyle name="ℓ_수량전체_도로수량양식_자전거도로구조물공수량 15" xfId="24280"/>
    <cellStyle name="ℓ_수량전체_도로수량양식_자전거도로구조물공수량 15 2" xfId="36711"/>
    <cellStyle name="ℓ_수량전체_도로수량양식_자전거도로구조물공수량 16" xfId="23720"/>
    <cellStyle name="ℓ_수량전체_도로수량양식_자전거도로구조물공수량 16 2" xfId="36151"/>
    <cellStyle name="ℓ_수량전체_도로수량양식_자전거도로구조물공수량 17" xfId="24628"/>
    <cellStyle name="ℓ_수량전체_도로수량양식_자전거도로구조물공수량 17 2" xfId="37059"/>
    <cellStyle name="ℓ_수량전체_도로수량양식_자전거도로구조물공수량 18" xfId="24099"/>
    <cellStyle name="ℓ_수량전체_도로수량양식_자전거도로구조물공수량 18 2" xfId="36530"/>
    <cellStyle name="ℓ_수량전체_도로수량양식_자전거도로구조물공수량 19" xfId="22630"/>
    <cellStyle name="ℓ_수량전체_도로수량양식_자전거도로구조물공수량 19 2" xfId="35064"/>
    <cellStyle name="ℓ_수량전체_도로수량양식_자전거도로구조물공수량 2" xfId="13397"/>
    <cellStyle name="ℓ_수량전체_도로수량양식_자전거도로구조물공수량 2 2" xfId="26265"/>
    <cellStyle name="ℓ_수량전체_도로수량양식_자전거도로구조물공수량 20" xfId="20573"/>
    <cellStyle name="ℓ_수량전체_도로수량양식_자전거도로구조물공수량 20 2" xfId="33018"/>
    <cellStyle name="ℓ_수량전체_도로수량양식_자전거도로구조물공수량 21" xfId="23114"/>
    <cellStyle name="ℓ_수량전체_도로수량양식_자전거도로구조물공수량 21 2" xfId="35547"/>
    <cellStyle name="ℓ_수량전체_도로수량양식_자전거도로구조물공수량 3" xfId="16906"/>
    <cellStyle name="ℓ_수량전체_도로수량양식_자전거도로구조물공수량 3 2" xfId="29681"/>
    <cellStyle name="ℓ_수량전체_도로수량양식_자전거도로구조물공수량 4" xfId="17382"/>
    <cellStyle name="ℓ_수량전체_도로수량양식_자전거도로구조물공수량 4 2" xfId="30111"/>
    <cellStyle name="ℓ_수량전체_도로수량양식_자전거도로구조물공수량 5" xfId="15492"/>
    <cellStyle name="ℓ_수량전체_도로수량양식_자전거도로구조물공수량 5 2" xfId="28301"/>
    <cellStyle name="ℓ_수량전체_도로수량양식_자전거도로구조물공수량 6" xfId="13407"/>
    <cellStyle name="ℓ_수량전체_도로수량양식_자전거도로구조물공수량 6 2" xfId="26275"/>
    <cellStyle name="ℓ_수량전체_도로수량양식_자전거도로구조물공수량 7" xfId="14228"/>
    <cellStyle name="ℓ_수량전체_도로수량양식_자전거도로구조물공수량 7 2" xfId="27074"/>
    <cellStyle name="ℓ_수량전체_도로수량양식_자전거도로구조물공수량 8" xfId="17965"/>
    <cellStyle name="ℓ_수량전체_도로수량양식_자전거도로구조물공수량 8 2" xfId="30677"/>
    <cellStyle name="ℓ_수량전체_도로수량양식_자전거도로구조물공수량 9" xfId="17709"/>
    <cellStyle name="ℓ_수량전체_도로수량양식_자전거도로구조물공수량 9 2" xfId="30426"/>
    <cellStyle name="ℓ_수량전체_도로수량양식_자전거도로포장수량" xfId="2594"/>
    <cellStyle name="ℓ_수량전체_도로수량양식_자전거도로포장수량 10" xfId="17086"/>
    <cellStyle name="ℓ_수량전체_도로수량양식_자전거도로포장수량 10 2" xfId="29822"/>
    <cellStyle name="ℓ_수량전체_도로수량양식_자전거도로포장수량 11" xfId="19335"/>
    <cellStyle name="ℓ_수량전체_도로수량양식_자전거도로포장수량 12" xfId="20805"/>
    <cellStyle name="ℓ_수량전체_도로수량양식_자전거도로포장수량 12 2" xfId="33242"/>
    <cellStyle name="ℓ_수량전체_도로수량양식_자전거도로포장수량 13" xfId="21561"/>
    <cellStyle name="ℓ_수량전체_도로수량양식_자전거도로포장수량 13 2" xfId="33998"/>
    <cellStyle name="ℓ_수량전체_도로수량양식_자전거도로포장수량 14" xfId="23968"/>
    <cellStyle name="ℓ_수량전체_도로수량양식_자전거도로포장수량 14 2" xfId="36399"/>
    <cellStyle name="ℓ_수량전체_도로수량양식_자전거도로포장수량 15" xfId="24279"/>
    <cellStyle name="ℓ_수량전체_도로수량양식_자전거도로포장수량 15 2" xfId="36710"/>
    <cellStyle name="ℓ_수량전체_도로수량양식_자전거도로포장수량 16" xfId="23721"/>
    <cellStyle name="ℓ_수량전체_도로수량양식_자전거도로포장수량 16 2" xfId="36152"/>
    <cellStyle name="ℓ_수량전체_도로수량양식_자전거도로포장수량 17" xfId="24627"/>
    <cellStyle name="ℓ_수량전체_도로수량양식_자전거도로포장수량 17 2" xfId="37058"/>
    <cellStyle name="ℓ_수량전체_도로수량양식_자전거도로포장수량 18" xfId="22243"/>
    <cellStyle name="ℓ_수량전체_도로수량양식_자전거도로포장수량 18 2" xfId="34678"/>
    <cellStyle name="ℓ_수량전체_도로수량양식_자전거도로포장수량 19" xfId="23914"/>
    <cellStyle name="ℓ_수량전체_도로수량양식_자전거도로포장수량 19 2" xfId="36345"/>
    <cellStyle name="ℓ_수량전체_도로수량양식_자전거도로포장수량 2" xfId="13398"/>
    <cellStyle name="ℓ_수량전체_도로수량양식_자전거도로포장수량 2 2" xfId="26266"/>
    <cellStyle name="ℓ_수량전체_도로수량양식_자전거도로포장수량 20" xfId="21077"/>
    <cellStyle name="ℓ_수량전체_도로수량양식_자전거도로포장수량 20 2" xfId="33514"/>
    <cellStyle name="ℓ_수량전체_도로수량양식_자전거도로포장수량 21" xfId="22369"/>
    <cellStyle name="ℓ_수량전체_도로수량양식_자전거도로포장수량 21 2" xfId="34803"/>
    <cellStyle name="ℓ_수량전체_도로수량양식_자전거도로포장수량 3" xfId="16132"/>
    <cellStyle name="ℓ_수량전체_도로수량양식_자전거도로포장수량 3 2" xfId="28915"/>
    <cellStyle name="ℓ_수량전체_도로수량양식_자전거도로포장수량 4" xfId="17381"/>
    <cellStyle name="ℓ_수량전체_도로수량양식_자전거도로포장수량 4 2" xfId="30110"/>
    <cellStyle name="ℓ_수량전체_도로수량양식_자전거도로포장수량 5" xfId="15493"/>
    <cellStyle name="ℓ_수량전체_도로수량양식_자전거도로포장수량 5 2" xfId="28302"/>
    <cellStyle name="ℓ_수량전체_도로수량양식_자전거도로포장수량 6" xfId="13226"/>
    <cellStyle name="ℓ_수량전체_도로수량양식_자전거도로포장수량 6 2" xfId="26094"/>
    <cellStyle name="ℓ_수량전체_도로수량양식_자전거도로포장수량 7" xfId="13696"/>
    <cellStyle name="ℓ_수량전체_도로수량양식_자전거도로포장수량 7 2" xfId="26560"/>
    <cellStyle name="ℓ_수량전체_도로수량양식_자전거도로포장수량 8" xfId="13620"/>
    <cellStyle name="ℓ_수량전체_도로수량양식_자전거도로포장수량 8 2" xfId="26488"/>
    <cellStyle name="ℓ_수량전체_도로수량양식_자전거도로포장수량 9" xfId="17827"/>
    <cellStyle name="ℓ_수량전체_도로수량양식_자전거도로포장수량 9 2" xfId="30543"/>
    <cellStyle name="ℓ_수량전체_수량산출" xfId="2595"/>
    <cellStyle name="ℓ_수량전체_수량산출 10" xfId="17798"/>
    <cellStyle name="ℓ_수량전체_수량산출 10 2" xfId="30515"/>
    <cellStyle name="ℓ_수량전체_수량산출 11" xfId="19336"/>
    <cellStyle name="ℓ_수량전체_수량산출 12" xfId="19774"/>
    <cellStyle name="ℓ_수량전체_수량산출 12 2" xfId="32224"/>
    <cellStyle name="ℓ_수량전체_수량산출 13" xfId="21562"/>
    <cellStyle name="ℓ_수량전체_수량산출 13 2" xfId="33999"/>
    <cellStyle name="ℓ_수량전체_수량산출 14" xfId="19566"/>
    <cellStyle name="ℓ_수량전체_수량산출 14 2" xfId="32021"/>
    <cellStyle name="ℓ_수량전체_수량산출 15" xfId="24278"/>
    <cellStyle name="ℓ_수량전체_수량산출 15 2" xfId="36709"/>
    <cellStyle name="ℓ_수량전체_수량산출 16" xfId="18613"/>
    <cellStyle name="ℓ_수량전체_수량산출 16 2" xfId="31318"/>
    <cellStyle name="ℓ_수량전체_수량산출 17" xfId="24013"/>
    <cellStyle name="ℓ_수량전체_수량산출 17 2" xfId="36444"/>
    <cellStyle name="ℓ_수량전체_수량산출 18" xfId="23615"/>
    <cellStyle name="ℓ_수량전체_수량산출 18 2" xfId="36046"/>
    <cellStyle name="ℓ_수량전체_수량산출 19" xfId="18524"/>
    <cellStyle name="ℓ_수량전체_수량산출 19 2" xfId="31229"/>
    <cellStyle name="ℓ_수량전체_수량산출 2" xfId="13399"/>
    <cellStyle name="ℓ_수량전체_수량산출 2 2" xfId="26267"/>
    <cellStyle name="ℓ_수량전체_수량산출 20" xfId="24460"/>
    <cellStyle name="ℓ_수량전체_수량산출 20 2" xfId="36891"/>
    <cellStyle name="ℓ_수량전체_수량산출 21" xfId="21741"/>
    <cellStyle name="ℓ_수량전체_수량산출 21 2" xfId="34178"/>
    <cellStyle name="ℓ_수량전체_수량산출 3" xfId="16131"/>
    <cellStyle name="ℓ_수량전체_수량산출 3 2" xfId="28914"/>
    <cellStyle name="ℓ_수량전체_수량산출 4" xfId="17380"/>
    <cellStyle name="ℓ_수량전체_수량산출 4 2" xfId="30109"/>
    <cellStyle name="ℓ_수량전체_수량산출 5" xfId="15494"/>
    <cellStyle name="ℓ_수량전체_수량산출 5 2" xfId="28303"/>
    <cellStyle name="ℓ_수량전체_수량산출 6" xfId="15970"/>
    <cellStyle name="ℓ_수량전체_수량산출 6 2" xfId="28768"/>
    <cellStyle name="ℓ_수량전체_수량산출 7" xfId="14369"/>
    <cellStyle name="ℓ_수량전체_수량산출 7 2" xfId="27202"/>
    <cellStyle name="ℓ_수량전체_수량산출 8" xfId="15799"/>
    <cellStyle name="ℓ_수량전체_수량산출 8 2" xfId="28598"/>
    <cellStyle name="ℓ_수량전체_수량산출 9" xfId="14604"/>
    <cellStyle name="ℓ_수량전체_수량산출 9 2" xfId="27430"/>
    <cellStyle name="ℓ_수량전체_수량산출_자전거도로구조물공수량" xfId="2596"/>
    <cellStyle name="ℓ_수량전체_수량산출_자전거도로구조물공수량 10" xfId="17270"/>
    <cellStyle name="ℓ_수량전체_수량산출_자전거도로구조물공수량 10 2" xfId="30003"/>
    <cellStyle name="ℓ_수량전체_수량산출_자전거도로구조물공수량 11" xfId="19337"/>
    <cellStyle name="ℓ_수량전체_수량산출_자전거도로구조물공수량 12" xfId="20804"/>
    <cellStyle name="ℓ_수량전체_수량산출_자전거도로구조물공수량 12 2" xfId="33241"/>
    <cellStyle name="ℓ_수량전체_수량산출_자전거도로구조물공수량 13" xfId="18931"/>
    <cellStyle name="ℓ_수량전체_수량산출_자전거도로구조물공수량 13 2" xfId="31636"/>
    <cellStyle name="ℓ_수량전체_수량산출_자전거도로구조물공수량 14" xfId="23967"/>
    <cellStyle name="ℓ_수량전체_수량산출_자전거도로구조물공수량 14 2" xfId="36398"/>
    <cellStyle name="ℓ_수량전체_수량산출_자전거도로구조물공수량 15" xfId="24277"/>
    <cellStyle name="ℓ_수량전체_수량산출_자전거도로구조물공수량 15 2" xfId="36708"/>
    <cellStyle name="ℓ_수량전체_수량산출_자전거도로구조물공수량 16" xfId="23863"/>
    <cellStyle name="ℓ_수량전체_수량산출_자전거도로구조물공수량 16 2" xfId="36294"/>
    <cellStyle name="ℓ_수량전체_수량산출_자전거도로구조물공수량 17" xfId="24626"/>
    <cellStyle name="ℓ_수량전체_수량산출_자전거도로구조물공수량 17 2" xfId="37057"/>
    <cellStyle name="ℓ_수량전체_수량산출_자전거도로구조물공수량 18" xfId="21772"/>
    <cellStyle name="ℓ_수량전체_수량산출_자전거도로구조물공수량 18 2" xfId="34209"/>
    <cellStyle name="ℓ_수량전체_수량산출_자전거도로구조물공수량 19" xfId="24413"/>
    <cellStyle name="ℓ_수량전체_수량산출_자전거도로구조물공수량 19 2" xfId="36844"/>
    <cellStyle name="ℓ_수량전체_수량산출_자전거도로구조물공수량 2" xfId="13400"/>
    <cellStyle name="ℓ_수량전체_수량산출_자전거도로구조물공수량 2 2" xfId="26268"/>
    <cellStyle name="ℓ_수량전체_수량산출_자전거도로구조물공수량 20" xfId="23844"/>
    <cellStyle name="ℓ_수량전체_수량산출_자전거도로구조물공수량 20 2" xfId="36275"/>
    <cellStyle name="ℓ_수량전체_수량산출_자전거도로구조물공수량 21" xfId="20537"/>
    <cellStyle name="ℓ_수량전체_수량산출_자전거도로구조물공수량 21 2" xfId="32982"/>
    <cellStyle name="ℓ_수량전체_수량산출_자전거도로구조물공수량 3" xfId="16130"/>
    <cellStyle name="ℓ_수량전체_수량산출_자전거도로구조물공수량 3 2" xfId="28913"/>
    <cellStyle name="ℓ_수량전체_수량산출_자전거도로구조물공수량 4" xfId="17379"/>
    <cellStyle name="ℓ_수량전체_수량산출_자전거도로구조물공수량 4 2" xfId="30108"/>
    <cellStyle name="ℓ_수량전체_수량산출_자전거도로구조물공수량 5" xfId="12919"/>
    <cellStyle name="ℓ_수량전체_수량산출_자전거도로구조물공수량 5 2" xfId="25795"/>
    <cellStyle name="ℓ_수량전체_수량산출_자전거도로구조물공수량 6" xfId="14790"/>
    <cellStyle name="ℓ_수량전체_수량산출_자전거도로구조물공수량 6 2" xfId="27613"/>
    <cellStyle name="ℓ_수량전체_수량산출_자전거도로구조물공수량 7" xfId="15457"/>
    <cellStyle name="ℓ_수량전체_수량산출_자전거도로구조물공수량 7 2" xfId="28266"/>
    <cellStyle name="ℓ_수량전체_수량산출_자전거도로구조물공수량 8" xfId="13173"/>
    <cellStyle name="ℓ_수량전체_수량산출_자전거도로구조물공수량 8 2" xfId="26041"/>
    <cellStyle name="ℓ_수량전체_수량산출_자전거도로구조물공수량 9" xfId="12940"/>
    <cellStyle name="ℓ_수량전체_수량산출_자전거도로구조물공수량 9 2" xfId="25815"/>
    <cellStyle name="ℓ_수량전체_수량산출_자전거도로포장수량" xfId="2597"/>
    <cellStyle name="ℓ_수량전체_수량산출_자전거도로포장수량 10" xfId="15732"/>
    <cellStyle name="ℓ_수량전체_수량산출_자전거도로포장수량 10 2" xfId="28532"/>
    <cellStyle name="ℓ_수량전체_수량산출_자전거도로포장수량 11" xfId="19338"/>
    <cellStyle name="ℓ_수량전체_수량산출_자전거도로포장수량 12" xfId="19773"/>
    <cellStyle name="ℓ_수량전체_수량산출_자전거도로포장수량 12 2" xfId="32223"/>
    <cellStyle name="ℓ_수량전체_수량산출_자전거도로포장수량 13" xfId="19682"/>
    <cellStyle name="ℓ_수량전체_수량산출_자전거도로포장수량 13 2" xfId="32136"/>
    <cellStyle name="ℓ_수량전체_수량산출_자전거도로포장수량 14" xfId="23966"/>
    <cellStyle name="ℓ_수량전체_수량산출_자전거도로포장수량 14 2" xfId="36397"/>
    <cellStyle name="ℓ_수량전체_수량산출_자전거도로포장수량 15" xfId="24276"/>
    <cellStyle name="ℓ_수량전체_수량산출_자전거도로포장수량 15 2" xfId="36707"/>
    <cellStyle name="ℓ_수량전체_수량산출_자전거도로포장수량 16" xfId="19728"/>
    <cellStyle name="ℓ_수량전체_수량산출_자전거도로포장수량 16 2" xfId="32181"/>
    <cellStyle name="ℓ_수량전체_수량산출_자전거도로포장수량 17" xfId="24625"/>
    <cellStyle name="ℓ_수량전체_수량산출_자전거도로포장수량 17 2" xfId="37056"/>
    <cellStyle name="ℓ_수량전체_수량산출_자전거도로포장수량 18" xfId="23783"/>
    <cellStyle name="ℓ_수량전체_수량산출_자전거도로포장수량 18 2" xfId="36214"/>
    <cellStyle name="ℓ_수량전체_수량산출_자전거도로포장수량 19" xfId="18937"/>
    <cellStyle name="ℓ_수량전체_수량산출_자전거도로포장수량 19 2" xfId="31642"/>
    <cellStyle name="ℓ_수량전체_수량산출_자전거도로포장수량 2" xfId="13401"/>
    <cellStyle name="ℓ_수량전체_수량산출_자전거도로포장수량 2 2" xfId="26269"/>
    <cellStyle name="ℓ_수량전체_수량산출_자전거도로포장수량 20" xfId="24339"/>
    <cellStyle name="ℓ_수량전체_수량산출_자전거도로포장수량 20 2" xfId="36770"/>
    <cellStyle name="ℓ_수량전체_수량산출_자전거도로포장수량 21" xfId="20916"/>
    <cellStyle name="ℓ_수량전체_수량산출_자전거도로포장수량 21 2" xfId="33353"/>
    <cellStyle name="ℓ_수량전체_수량산출_자전거도로포장수량 3" xfId="16129"/>
    <cellStyle name="ℓ_수량전체_수량산출_자전거도로포장수량 3 2" xfId="28912"/>
    <cellStyle name="ℓ_수량전체_수량산출_자전거도로포장수량 4" xfId="17378"/>
    <cellStyle name="ℓ_수량전체_수량산출_자전거도로포장수량 4 2" xfId="30107"/>
    <cellStyle name="ℓ_수량전체_수량산출_자전거도로포장수량 5" xfId="16779"/>
    <cellStyle name="ℓ_수량전체_수량산출_자전거도로포장수량 5 2" xfId="29554"/>
    <cellStyle name="ℓ_수량전체_수량산출_자전거도로포장수량 6" xfId="17245"/>
    <cellStyle name="ℓ_수량전체_수량산출_자전거도로포장수량 6 2" xfId="29979"/>
    <cellStyle name="ℓ_수량전체_수량산출_자전거도로포장수량 7" xfId="15458"/>
    <cellStyle name="ℓ_수량전체_수량산출_자전거도로포장수량 7 2" xfId="28267"/>
    <cellStyle name="ℓ_수량전체_수량산출_자전거도로포장수량 8" xfId="12594"/>
    <cellStyle name="ℓ_수량전체_수량산출_자전거도로포장수량 8 2" xfId="25473"/>
    <cellStyle name="ℓ_수량전체_수량산출_자전거도로포장수량 9" xfId="17828"/>
    <cellStyle name="ℓ_수량전체_수량산출_자전거도로포장수량 9 2" xfId="30544"/>
    <cellStyle name="ℓ_수량전체_인월중군소하천" xfId="2598"/>
    <cellStyle name="ℓ_수량전체_인월중군소하천 10" xfId="15814"/>
    <cellStyle name="ℓ_수량전체_인월중군소하천 10 2" xfId="28613"/>
    <cellStyle name="ℓ_수량전체_인월중군소하천 11" xfId="19339"/>
    <cellStyle name="ℓ_수량전체_인월중군소하천 12" xfId="22618"/>
    <cellStyle name="ℓ_수량전체_인월중군소하천 12 2" xfId="35052"/>
    <cellStyle name="ℓ_수량전체_인월중군소하천 13" xfId="18932"/>
    <cellStyle name="ℓ_수량전체_인월중군소하천 13 2" xfId="31637"/>
    <cellStyle name="ℓ_수량전체_인월중군소하천 14" xfId="23965"/>
    <cellStyle name="ℓ_수량전체_인월중군소하천 14 2" xfId="36396"/>
    <cellStyle name="ℓ_수량전체_인월중군소하천 15" xfId="23387"/>
    <cellStyle name="ℓ_수량전체_인월중군소하천 15 2" xfId="35819"/>
    <cellStyle name="ℓ_수량전체_인월중군소하천 16" xfId="23862"/>
    <cellStyle name="ℓ_수량전체_인월중군소하천 16 2" xfId="36293"/>
    <cellStyle name="ℓ_수량전체_인월중군소하천 17" xfId="24624"/>
    <cellStyle name="ℓ_수량전체_인월중군소하천 17 2" xfId="37055"/>
    <cellStyle name="ℓ_수량전체_인월중군소하천 18" xfId="23402"/>
    <cellStyle name="ℓ_수량전체_인월중군소하천 18 2" xfId="35833"/>
    <cellStyle name="ℓ_수량전체_인월중군소하천 19" xfId="22160"/>
    <cellStyle name="ℓ_수량전체_인월중군소하천 19 2" xfId="34596"/>
    <cellStyle name="ℓ_수량전체_인월중군소하천 2" xfId="13402"/>
    <cellStyle name="ℓ_수량전체_인월중군소하천 2 2" xfId="26270"/>
    <cellStyle name="ℓ_수량전체_인월중군소하천 20" xfId="22282"/>
    <cellStyle name="ℓ_수량전체_인월중군소하천 20 2" xfId="34716"/>
    <cellStyle name="ℓ_수량전체_인월중군소하천 21" xfId="19095"/>
    <cellStyle name="ℓ_수량전체_인월중군소하천 21 2" xfId="31800"/>
    <cellStyle name="ℓ_수량전체_인월중군소하천 3" xfId="16128"/>
    <cellStyle name="ℓ_수량전체_인월중군소하천 3 2" xfId="28911"/>
    <cellStyle name="ℓ_수량전체_인월중군소하천 4" xfId="13983"/>
    <cellStyle name="ℓ_수량전체_인월중군소하천 4 2" xfId="26840"/>
    <cellStyle name="ℓ_수량전체_인월중군소하천 5" xfId="12920"/>
    <cellStyle name="ℓ_수량전체_인월중군소하천 5 2" xfId="25796"/>
    <cellStyle name="ℓ_수량전체_인월중군소하천 6" xfId="14789"/>
    <cellStyle name="ℓ_수량전체_인월중군소하천 6 2" xfId="27612"/>
    <cellStyle name="ℓ_수량전체_인월중군소하천 7" xfId="15880"/>
    <cellStyle name="ℓ_수량전체_인월중군소하천 7 2" xfId="28678"/>
    <cellStyle name="ℓ_수량전체_인월중군소하천 8" xfId="15293"/>
    <cellStyle name="ℓ_수량전체_인월중군소하천 8 2" xfId="28110"/>
    <cellStyle name="ℓ_수량전체_인월중군소하천 9" xfId="12939"/>
    <cellStyle name="ℓ_수량전체_인월중군소하천 9 2" xfId="25814"/>
    <cellStyle name="ℓ_수량전체_인월중군소하천_자전거도로구조물공수량" xfId="2599"/>
    <cellStyle name="ℓ_수량전체_인월중군소하천_자전거도로구조물공수량 10" xfId="14028"/>
    <cellStyle name="ℓ_수량전체_인월중군소하천_자전거도로구조물공수량 10 2" xfId="26879"/>
    <cellStyle name="ℓ_수량전체_인월중군소하천_자전거도로구조물공수량 11" xfId="19340"/>
    <cellStyle name="ℓ_수량전체_인월중군소하천_자전거도로구조물공수량 12" xfId="22986"/>
    <cellStyle name="ℓ_수량전체_인월중군소하천_자전거도로구조물공수량 12 2" xfId="35419"/>
    <cellStyle name="ℓ_수량전체_인월중군소하천_자전거도로구조물공수량 13" xfId="20788"/>
    <cellStyle name="ℓ_수량전체_인월중군소하천_자전거도로구조물공수량 13 2" xfId="33227"/>
    <cellStyle name="ℓ_수량전체_인월중군소하천_자전거도로구조물공수량 14" xfId="23964"/>
    <cellStyle name="ℓ_수량전체_인월중군소하천_자전거도로구조물공수량 14 2" xfId="36395"/>
    <cellStyle name="ℓ_수량전체_인월중군소하천_자전거도로구조물공수량 15" xfId="24275"/>
    <cellStyle name="ℓ_수량전체_인월중군소하천_자전거도로구조물공수량 15 2" xfId="36706"/>
    <cellStyle name="ℓ_수량전체_인월중군소하천_자전거도로구조물공수량 16" xfId="18745"/>
    <cellStyle name="ℓ_수량전체_인월중군소하천_자전거도로구조물공수량 16 2" xfId="31450"/>
    <cellStyle name="ℓ_수량전체_인월중군소하천_자전거도로구조물공수량 17" xfId="24623"/>
    <cellStyle name="ℓ_수량전체_인월중군소하천_자전거도로구조물공수량 17 2" xfId="37054"/>
    <cellStyle name="ℓ_수량전체_인월중군소하천_자전거도로구조물공수량 18" xfId="22089"/>
    <cellStyle name="ℓ_수량전체_인월중군소하천_자전거도로구조물공수량 18 2" xfId="34525"/>
    <cellStyle name="ℓ_수량전체_인월중군소하천_자전거도로구조물공수량 19" xfId="24372"/>
    <cellStyle name="ℓ_수량전체_인월중군소하천_자전거도로구조물공수량 19 2" xfId="36803"/>
    <cellStyle name="ℓ_수량전체_인월중군소하천_자전거도로구조물공수량 2" xfId="13403"/>
    <cellStyle name="ℓ_수량전체_인월중군소하천_자전거도로구조물공수량 2 2" xfId="26271"/>
    <cellStyle name="ℓ_수량전체_인월중군소하천_자전거도로구조물공수량 20" xfId="18427"/>
    <cellStyle name="ℓ_수량전체_인월중군소하천_자전거도로구조물공수량 20 2" xfId="31132"/>
    <cellStyle name="ℓ_수량전체_인월중군소하천_자전거도로구조물공수량 21" xfId="24426"/>
    <cellStyle name="ℓ_수량전체_인월중군소하천_자전거도로구조물공수량 21 2" xfId="36857"/>
    <cellStyle name="ℓ_수량전체_인월중군소하천_자전거도로구조물공수량 3" xfId="16127"/>
    <cellStyle name="ℓ_수량전체_인월중군소하천_자전거도로구조물공수량 3 2" xfId="28910"/>
    <cellStyle name="ℓ_수량전체_인월중군소하천_자전거도로구조물공수량 4" xfId="17377"/>
    <cellStyle name="ℓ_수량전체_인월중군소하천_자전거도로구조물공수량 4 2" xfId="30106"/>
    <cellStyle name="ℓ_수량전체_인월중군소하천_자전거도로구조물공수량 5" xfId="16780"/>
    <cellStyle name="ℓ_수량전체_인월중군소하천_자전거도로구조물공수량 5 2" xfId="29555"/>
    <cellStyle name="ℓ_수량전체_인월중군소하천_자전거도로구조물공수량 6" xfId="14138"/>
    <cellStyle name="ℓ_수량전체_인월중군소하천_자전거도로구조물공수량 6 2" xfId="26986"/>
    <cellStyle name="ℓ_수량전체_인월중군소하천_자전거도로구조물공수량 7" xfId="13774"/>
    <cellStyle name="ℓ_수량전체_인월중군소하천_자전거도로구조물공수량 7 2" xfId="26635"/>
    <cellStyle name="ℓ_수량전체_인월중군소하천_자전거도로구조물공수량 8" xfId="12574"/>
    <cellStyle name="ℓ_수량전체_인월중군소하천_자전거도로구조물공수량 8 2" xfId="25454"/>
    <cellStyle name="ℓ_수량전체_인월중군소하천_자전거도로구조물공수량 9" xfId="17829"/>
    <cellStyle name="ℓ_수량전체_인월중군소하천_자전거도로구조물공수량 9 2" xfId="30545"/>
    <cellStyle name="ℓ_수량전체_인월중군소하천_자전거도로포장수량" xfId="2600"/>
    <cellStyle name="ℓ_수량전체_인월중군소하천_자전거도로포장수량 10" xfId="16708"/>
    <cellStyle name="ℓ_수량전체_인월중군소하천_자전거도로포장수량 10 2" xfId="29484"/>
    <cellStyle name="ℓ_수량전체_인월중군소하천_자전거도로포장수량 11" xfId="19341"/>
    <cellStyle name="ℓ_수량전체_인월중군소하천_자전거도로포장수량 12" xfId="22617"/>
    <cellStyle name="ℓ_수량전체_인월중군소하천_자전거도로포장수량 12 2" xfId="35051"/>
    <cellStyle name="ℓ_수량전체_인월중군소하천_자전거도로포장수량 13" xfId="21563"/>
    <cellStyle name="ℓ_수량전체_인월중군소하천_자전거도로포장수량 13 2" xfId="34000"/>
    <cellStyle name="ℓ_수량전체_인월중군소하천_자전거도로포장수량 14" xfId="23963"/>
    <cellStyle name="ℓ_수량전체_인월중군소하천_자전거도로포장수량 14 2" xfId="36394"/>
    <cellStyle name="ℓ_수량전체_인월중군소하천_자전거도로포장수량 15" xfId="24274"/>
    <cellStyle name="ℓ_수량전체_인월중군소하천_자전거도로포장수량 15 2" xfId="36705"/>
    <cellStyle name="ℓ_수량전체_인월중군소하천_자전거도로포장수량 16" xfId="22132"/>
    <cellStyle name="ℓ_수량전체_인월중군소하천_자전거도로포장수량 16 2" xfId="34568"/>
    <cellStyle name="ℓ_수량전체_인월중군소하천_자전거도로포장수량 17" xfId="24622"/>
    <cellStyle name="ℓ_수량전체_인월중군소하천_자전거도로포장수량 17 2" xfId="37053"/>
    <cellStyle name="ℓ_수량전체_인월중군소하천_자전거도로포장수량 18" xfId="20603"/>
    <cellStyle name="ℓ_수량전체_인월중군소하천_자전거도로포장수량 18 2" xfId="33047"/>
    <cellStyle name="ℓ_수량전체_인월중군소하천_자전거도로포장수량 19" xfId="19957"/>
    <cellStyle name="ℓ_수량전체_인월중군소하천_자전거도로포장수량 19 2" xfId="32406"/>
    <cellStyle name="ℓ_수량전체_인월중군소하천_자전거도로포장수량 2" xfId="13404"/>
    <cellStyle name="ℓ_수량전체_인월중군소하천_자전거도로포장수량 2 2" xfId="26272"/>
    <cellStyle name="ℓ_수량전체_인월중군소하천_자전거도로포장수량 20" xfId="18816"/>
    <cellStyle name="ℓ_수량전체_인월중군소하천_자전거도로포장수량 20 2" xfId="31521"/>
    <cellStyle name="ℓ_수량전체_인월중군소하천_자전거도로포장수량 21" xfId="21742"/>
    <cellStyle name="ℓ_수량전체_인월중군소하천_자전거도로포장수량 21 2" xfId="34179"/>
    <cellStyle name="ℓ_수량전체_인월중군소하천_자전거도로포장수량 3" xfId="16126"/>
    <cellStyle name="ℓ_수량전체_인월중군소하천_자전거도로포장수량 3 2" xfId="28909"/>
    <cellStyle name="ℓ_수량전체_인월중군소하천_자전거도로포장수량 4" xfId="17376"/>
    <cellStyle name="ℓ_수량전체_인월중군소하천_자전거도로포장수량 4 2" xfId="30105"/>
    <cellStyle name="ℓ_수량전체_인월중군소하천_자전거도로포장수량 5" xfId="15495"/>
    <cellStyle name="ℓ_수량전체_인월중군소하천_자전거도로포장수량 5 2" xfId="28304"/>
    <cellStyle name="ℓ_수량전체_인월중군소하천_자전거도로포장수량 6" xfId="13225"/>
    <cellStyle name="ℓ_수량전체_인월중군소하천_자전거도로포장수량 6 2" xfId="26093"/>
    <cellStyle name="ℓ_수량전체_인월중군소하천_자전거도로포장수량 7" xfId="13773"/>
    <cellStyle name="ℓ_수량전체_인월중군소하천_자전거도로포장수량 7 2" xfId="26634"/>
    <cellStyle name="ℓ_수량전체_인월중군소하천_자전거도로포장수량 8" xfId="15633"/>
    <cellStyle name="ℓ_수량전체_인월중군소하천_자전거도로포장수량 8 2" xfId="28442"/>
    <cellStyle name="ℓ_수량전체_인월중군소하천_자전거도로포장수량 9" xfId="12938"/>
    <cellStyle name="ℓ_수량전체_인월중군소하천_자전거도로포장수량 9 2" xfId="25813"/>
    <cellStyle name="ℓ_수량전체_자전거도로구조물공수량" xfId="2601"/>
    <cellStyle name="ℓ_수량전체_자전거도로구조물공수량 10" xfId="17192"/>
    <cellStyle name="ℓ_수량전체_자전거도로구조물공수량 10 2" xfId="29926"/>
    <cellStyle name="ℓ_수량전체_자전거도로구조물공수량 11" xfId="19342"/>
    <cellStyle name="ℓ_수량전체_자전거도로구조물공수량 12" xfId="22616"/>
    <cellStyle name="ℓ_수량전체_자전거도로구조물공수량 12 2" xfId="35050"/>
    <cellStyle name="ℓ_수량전체_자전거도로구조물공수량 13" xfId="21161"/>
    <cellStyle name="ℓ_수량전체_자전거도로구조물공수량 13 2" xfId="33598"/>
    <cellStyle name="ℓ_수량전체_자전거도로구조물공수량 14" xfId="23962"/>
    <cellStyle name="ℓ_수량전체_자전거도로구조물공수량 14 2" xfId="36393"/>
    <cellStyle name="ℓ_수량전체_자전거도로구조물공수량 15" xfId="24273"/>
    <cellStyle name="ℓ_수량전체_자전거도로구조물공수량 15 2" xfId="36704"/>
    <cellStyle name="ℓ_수량전체_자전거도로구조물공수량 16" xfId="21618"/>
    <cellStyle name="ℓ_수량전체_자전거도로구조물공수량 16 2" xfId="34055"/>
    <cellStyle name="ℓ_수량전체_자전거도로구조물공수량 17" xfId="24621"/>
    <cellStyle name="ℓ_수량전체_자전거도로구조물공수량 17 2" xfId="37052"/>
    <cellStyle name="ℓ_수량전체_자전거도로구조물공수량 18" xfId="22062"/>
    <cellStyle name="ℓ_수량전체_자전거도로구조물공수량 18 2" xfId="34499"/>
    <cellStyle name="ℓ_수량전체_자전거도로구조물공수량 19" xfId="18458"/>
    <cellStyle name="ℓ_수량전체_자전거도로구조물공수량 19 2" xfId="31163"/>
    <cellStyle name="ℓ_수량전체_자전거도로구조물공수량 2" xfId="13405"/>
    <cellStyle name="ℓ_수량전체_자전거도로구조물공수량 2 2" xfId="26273"/>
    <cellStyle name="ℓ_수량전체_자전거도로구조물공수량 20" xfId="20975"/>
    <cellStyle name="ℓ_수량전체_자전거도로구조물공수량 20 2" xfId="33412"/>
    <cellStyle name="ℓ_수량전체_자전거도로구조물공수량 21" xfId="23128"/>
    <cellStyle name="ℓ_수량전체_자전거도로구조물공수량 21 2" xfId="35561"/>
    <cellStyle name="ℓ_수량전체_자전거도로구조물공수량 3" xfId="16125"/>
    <cellStyle name="ℓ_수량전체_자전거도로구조물공수량 3 2" xfId="28908"/>
    <cellStyle name="ℓ_수량전체_자전거도로구조물공수량 4" xfId="17375"/>
    <cellStyle name="ℓ_수량전체_자전거도로구조물공수량 4 2" xfId="30104"/>
    <cellStyle name="ℓ_수량전체_자전거도로구조물공수량 5" xfId="14324"/>
    <cellStyle name="ℓ_수량전체_자전거도로구조물공수량 5 2" xfId="27157"/>
    <cellStyle name="ℓ_수량전체_자전거도로구조물공수량 6" xfId="12820"/>
    <cellStyle name="ℓ_수량전체_자전거도로구조물공수량 6 2" xfId="25696"/>
    <cellStyle name="ℓ_수량전체_자전거도로구조물공수량 7" xfId="14545"/>
    <cellStyle name="ℓ_수량전체_자전거도로구조물공수량 7 2" xfId="27373"/>
    <cellStyle name="ℓ_수량전체_자전거도로구조물공수량 8" xfId="14617"/>
    <cellStyle name="ℓ_수량전체_자전거도로구조물공수량 8 2" xfId="27443"/>
    <cellStyle name="ℓ_수량전체_자전거도로구조물공수량 9" xfId="17830"/>
    <cellStyle name="ℓ_수량전체_자전거도로구조물공수량 9 2" xfId="30546"/>
    <cellStyle name="ℓ_수량전체_자전거도로포장수량" xfId="2602"/>
    <cellStyle name="ℓ_수량전체_자전거도로포장수량 10" xfId="17797"/>
    <cellStyle name="ℓ_수량전체_자전거도로포장수량 10 2" xfId="30514"/>
    <cellStyle name="ℓ_수량전체_자전거도로포장수량 11" xfId="19343"/>
    <cellStyle name="ℓ_수량전체_자전거도로포장수량 12" xfId="22615"/>
    <cellStyle name="ℓ_수량전체_자전거도로포장수량 12 2" xfId="35049"/>
    <cellStyle name="ℓ_수량전체_자전거도로포장수량 13" xfId="21564"/>
    <cellStyle name="ℓ_수량전체_자전거도로포장수량 13 2" xfId="34001"/>
    <cellStyle name="ℓ_수량전체_자전거도로포장수량 14" xfId="23961"/>
    <cellStyle name="ℓ_수량전체_자전거도로포장수량 14 2" xfId="36392"/>
    <cellStyle name="ℓ_수량전체_자전거도로포장수량 15" xfId="24272"/>
    <cellStyle name="ℓ_수량전체_자전거도로포장수량 15 2" xfId="36703"/>
    <cellStyle name="ℓ_수량전체_자전거도로포장수량 16" xfId="23722"/>
    <cellStyle name="ℓ_수량전체_자전거도로포장수량 16 2" xfId="36153"/>
    <cellStyle name="ℓ_수량전체_자전거도로포장수량 17" xfId="24620"/>
    <cellStyle name="ℓ_수량전체_자전거도로포장수량 17 2" xfId="37051"/>
    <cellStyle name="ℓ_수량전체_자전거도로포장수량 18" xfId="24532"/>
    <cellStyle name="ℓ_수량전체_자전거도로포장수량 18 2" xfId="36963"/>
    <cellStyle name="ℓ_수량전체_자전거도로포장수량 19" xfId="23397"/>
    <cellStyle name="ℓ_수량전체_자전거도로포장수량 19 2" xfId="35829"/>
    <cellStyle name="ℓ_수량전체_자전거도로포장수량 2" xfId="13406"/>
    <cellStyle name="ℓ_수량전체_자전거도로포장수량 2 2" xfId="26274"/>
    <cellStyle name="ℓ_수량전체_자전거도로포장수량 20" xfId="24461"/>
    <cellStyle name="ℓ_수량전체_자전거도로포장수량 20 2" xfId="36892"/>
    <cellStyle name="ℓ_수량전체_자전거도로포장수량 21" xfId="21743"/>
    <cellStyle name="ℓ_수량전체_자전거도로포장수량 21 2" xfId="34180"/>
    <cellStyle name="ℓ_수량전체_자전거도로포장수량 3" xfId="16124"/>
    <cellStyle name="ℓ_수량전체_자전거도로포장수량 3 2" xfId="28907"/>
    <cellStyle name="ℓ_수량전체_자전거도로포장수량 4" xfId="17374"/>
    <cellStyle name="ℓ_수량전체_자전거도로포장수량 4 2" xfId="30103"/>
    <cellStyle name="ℓ_수량전체_자전거도로포장수량 5" xfId="15496"/>
    <cellStyle name="ℓ_수량전체_자전거도로포장수량 5 2" xfId="28305"/>
    <cellStyle name="ℓ_수량전체_자전거도로포장수량 6" xfId="15969"/>
    <cellStyle name="ℓ_수량전체_자전거도로포장수량 6 2" xfId="28767"/>
    <cellStyle name="ℓ_수량전체_자전거도로포장수량 7" xfId="12801"/>
    <cellStyle name="ℓ_수량전체_자전거도로포장수량 7 2" xfId="25677"/>
    <cellStyle name="ℓ_수량전체_자전거도로포장수량 8" xfId="15808"/>
    <cellStyle name="ℓ_수량전체_자전거도로포장수량 8 2" xfId="28607"/>
    <cellStyle name="ℓ_수량전체_자전거도로포장수량 9" xfId="13796"/>
    <cellStyle name="ℓ_수량전체_자전거도로포장수량 9 2" xfId="26655"/>
    <cellStyle name="L`" xfId="2603"/>
    <cellStyle name="les" xfId="2604"/>
    <cellStyle name="LongDesc" xfId="5804"/>
    <cellStyle name="LongDesc 10" xfId="15564"/>
    <cellStyle name="LongDesc 10 2" xfId="28373"/>
    <cellStyle name="LongDesc 11" xfId="20717"/>
    <cellStyle name="LongDesc 12" xfId="19032"/>
    <cellStyle name="LongDesc 12 2" xfId="31737"/>
    <cellStyle name="LongDesc 13" xfId="19975"/>
    <cellStyle name="LongDesc 13 2" xfId="32423"/>
    <cellStyle name="LongDesc 14" xfId="20106"/>
    <cellStyle name="LongDesc 14 2" xfId="32552"/>
    <cellStyle name="LongDesc 15" xfId="19670"/>
    <cellStyle name="LongDesc 15 2" xfId="32124"/>
    <cellStyle name="LongDesc 16" xfId="24306"/>
    <cellStyle name="LongDesc 16 2" xfId="36737"/>
    <cellStyle name="LongDesc 17" xfId="18249"/>
    <cellStyle name="LongDesc 17 2" xfId="30956"/>
    <cellStyle name="LongDesc 18" xfId="22054"/>
    <cellStyle name="LongDesc 18 2" xfId="34491"/>
    <cellStyle name="LongDesc 19" xfId="20267"/>
    <cellStyle name="LongDesc 19 2" xfId="32712"/>
    <cellStyle name="LongDesc 2" xfId="14630"/>
    <cellStyle name="LongDesc 2 2" xfId="27456"/>
    <cellStyle name="LongDesc 20" xfId="20936"/>
    <cellStyle name="LongDesc 20 2" xfId="33373"/>
    <cellStyle name="LongDesc 21" xfId="22088"/>
    <cellStyle name="LongDesc 21 2" xfId="34524"/>
    <cellStyle name="LongDesc 3" xfId="13024"/>
    <cellStyle name="LongDesc 3 2" xfId="25899"/>
    <cellStyle name="LongDesc 4" xfId="12702"/>
    <cellStyle name="LongDesc 4 2" xfId="25581"/>
    <cellStyle name="LongDesc 5" xfId="17431"/>
    <cellStyle name="LongDesc 5 2" xfId="30154"/>
    <cellStyle name="LongDesc 6" xfId="16567"/>
    <cellStyle name="LongDesc 6 2" xfId="29343"/>
    <cellStyle name="LongDesc 7" xfId="17200"/>
    <cellStyle name="LongDesc 7 2" xfId="29934"/>
    <cellStyle name="LongDesc 8" xfId="12413"/>
    <cellStyle name="LongDesc 8 2" xfId="25293"/>
    <cellStyle name="LongDesc 9" xfId="12429"/>
    <cellStyle name="LongDesc 9 2" xfId="25309"/>
    <cellStyle name="M" xfId="2605"/>
    <cellStyle name="M 2" xfId="10363"/>
    <cellStyle name="M 2 2" xfId="11245"/>
    <cellStyle name="M 2 2 10" xfId="15660"/>
    <cellStyle name="M 2 2 11" xfId="14092"/>
    <cellStyle name="M 2 2 11 2" xfId="26940"/>
    <cellStyle name="M 2 2 12" xfId="22916"/>
    <cellStyle name="M 2 2 12 2" xfId="35350"/>
    <cellStyle name="M 2 2 13" xfId="21246"/>
    <cellStyle name="M 2 2 13 2" xfId="33683"/>
    <cellStyle name="M 2 2 14" xfId="18503"/>
    <cellStyle name="M 2 2 14 2" xfId="31208"/>
    <cellStyle name="M 2 2 15" xfId="23695"/>
    <cellStyle name="M 2 2 15 2" xfId="36126"/>
    <cellStyle name="M 2 2 16" xfId="24073"/>
    <cellStyle name="M 2 2 16 2" xfId="36504"/>
    <cellStyle name="M 2 2 17" xfId="22225"/>
    <cellStyle name="M 2 2 17 2" xfId="34660"/>
    <cellStyle name="M 2 2 18" xfId="24353"/>
    <cellStyle name="M 2 2 18 2" xfId="36784"/>
    <cellStyle name="M 2 2 19" xfId="18683"/>
    <cellStyle name="M 2 2 19 2" xfId="31388"/>
    <cellStyle name="M 2 2 2" xfId="16439"/>
    <cellStyle name="M 2 2 2 2" xfId="29215"/>
    <cellStyle name="M 2 2 20" xfId="20883"/>
    <cellStyle name="M 2 2 20 2" xfId="33320"/>
    <cellStyle name="M 2 2 21" xfId="22176"/>
    <cellStyle name="M 2 2 21 2" xfId="34612"/>
    <cellStyle name="M 2 2 22" xfId="18485"/>
    <cellStyle name="M 2 2 22 2" xfId="31190"/>
    <cellStyle name="M 2 2 23" xfId="18420"/>
    <cellStyle name="M 2 2 23 2" xfId="31125"/>
    <cellStyle name="M 2 2 24" xfId="25156"/>
    <cellStyle name="M 2 2 3" xfId="15121"/>
    <cellStyle name="M 2 2 3 2" xfId="27940"/>
    <cellStyle name="M 2 2 4" xfId="14358"/>
    <cellStyle name="M 2 2 4 2" xfId="27191"/>
    <cellStyle name="M 2 2 5" xfId="15282"/>
    <cellStyle name="M 2 2 5 2" xfId="28099"/>
    <cellStyle name="M 2 2 6" xfId="15351"/>
    <cellStyle name="M 2 2 6 2" xfId="28168"/>
    <cellStyle name="M 2 2 7" xfId="12985"/>
    <cellStyle name="M 2 2 7 2" xfId="25860"/>
    <cellStyle name="M 2 2 8" xfId="16498"/>
    <cellStyle name="M 2 2 8 2" xfId="29274"/>
    <cellStyle name="M 2 2 9" xfId="17726"/>
    <cellStyle name="M 2 2 9 2" xfId="30443"/>
    <cellStyle name="M 3" xfId="10364"/>
    <cellStyle name="M 3 2" xfId="11246"/>
    <cellStyle name="M 3 2 10" xfId="16028"/>
    <cellStyle name="M 3 2 11" xfId="17066"/>
    <cellStyle name="M 3 2 11 2" xfId="29802"/>
    <cellStyle name="M 3 2 12" xfId="22917"/>
    <cellStyle name="M 3 2 12 2" xfId="35351"/>
    <cellStyle name="M 3 2 13" xfId="21245"/>
    <cellStyle name="M 3 2 13 2" xfId="33682"/>
    <cellStyle name="M 3 2 14" xfId="18504"/>
    <cellStyle name="M 3 2 14 2" xfId="31209"/>
    <cellStyle name="M 3 2 15" xfId="23694"/>
    <cellStyle name="M 3 2 15 2" xfId="36125"/>
    <cellStyle name="M 3 2 16" xfId="24072"/>
    <cellStyle name="M 3 2 16 2" xfId="36503"/>
    <cellStyle name="M 3 2 17" xfId="23781"/>
    <cellStyle name="M 3 2 17 2" xfId="36212"/>
    <cellStyle name="M 3 2 18" xfId="24352"/>
    <cellStyle name="M 3 2 18 2" xfId="36783"/>
    <cellStyle name="M 3 2 19" xfId="19862"/>
    <cellStyle name="M 3 2 19 2" xfId="32312"/>
    <cellStyle name="M 3 2 2" xfId="16440"/>
    <cellStyle name="M 3 2 2 2" xfId="29216"/>
    <cellStyle name="M 3 2 20" xfId="18725"/>
    <cellStyle name="M 3 2 20 2" xfId="31430"/>
    <cellStyle name="M 3 2 21" xfId="24441"/>
    <cellStyle name="M 3 2 21 2" xfId="36872"/>
    <cellStyle name="M 3 2 22" xfId="19965"/>
    <cellStyle name="M 3 2 22 2" xfId="32413"/>
    <cellStyle name="M 3 2 23" xfId="18417"/>
    <cellStyle name="M 3 2 23 2" xfId="31122"/>
    <cellStyle name="M 3 2 24" xfId="25157"/>
    <cellStyle name="M 3 2 3" xfId="15120"/>
    <cellStyle name="M 3 2 3 2" xfId="27939"/>
    <cellStyle name="M 3 2 4" xfId="14160"/>
    <cellStyle name="M 3 2 4 2" xfId="27008"/>
    <cellStyle name="M 3 2 5" xfId="15283"/>
    <cellStyle name="M 3 2 5 2" xfId="28100"/>
    <cellStyle name="M 3 2 6" xfId="13930"/>
    <cellStyle name="M 3 2 6 2" xfId="26789"/>
    <cellStyle name="M 3 2 7" xfId="14289"/>
    <cellStyle name="M 3 2 7 2" xfId="27122"/>
    <cellStyle name="M 3 2 8" xfId="16800"/>
    <cellStyle name="M 3 2 8 2" xfId="29575"/>
    <cellStyle name="M 3 2 9" xfId="16512"/>
    <cellStyle name="M 3 2 9 2" xfId="29288"/>
    <cellStyle name="M 4" xfId="10365"/>
    <cellStyle name="M 4 2" xfId="11247"/>
    <cellStyle name="M 4 2 10" xfId="15661"/>
    <cellStyle name="M 4 2 11" xfId="12925"/>
    <cellStyle name="M 4 2 11 2" xfId="25801"/>
    <cellStyle name="M 4 2 12" xfId="22918"/>
    <cellStyle name="M 4 2 12 2" xfId="35352"/>
    <cellStyle name="M 4 2 13" xfId="21244"/>
    <cellStyle name="M 4 2 13 2" xfId="33681"/>
    <cellStyle name="M 4 2 14" xfId="18505"/>
    <cellStyle name="M 4 2 14 2" xfId="31210"/>
    <cellStyle name="M 4 2 15" xfId="19192"/>
    <cellStyle name="M 4 2 15 2" xfId="31847"/>
    <cellStyle name="M 4 2 16" xfId="24071"/>
    <cellStyle name="M 4 2 16 2" xfId="36502"/>
    <cellStyle name="M 4 2 17" xfId="24151"/>
    <cellStyle name="M 4 2 17 2" xfId="36582"/>
    <cellStyle name="M 4 2 18" xfId="24351"/>
    <cellStyle name="M 4 2 18 2" xfId="36782"/>
    <cellStyle name="M 4 2 19" xfId="24564"/>
    <cellStyle name="M 4 2 19 2" xfId="36995"/>
    <cellStyle name="M 4 2 2" xfId="16441"/>
    <cellStyle name="M 4 2 2 2" xfId="29217"/>
    <cellStyle name="M 4 2 20" xfId="20893"/>
    <cellStyle name="M 4 2 20 2" xfId="33330"/>
    <cellStyle name="M 4 2 21" xfId="20111"/>
    <cellStyle name="M 4 2 21 2" xfId="32557"/>
    <cellStyle name="M 4 2 22" xfId="21725"/>
    <cellStyle name="M 4 2 22 2" xfId="34162"/>
    <cellStyle name="M 4 2 23" xfId="20705"/>
    <cellStyle name="M 4 2 23 2" xfId="33148"/>
    <cellStyle name="M 4 2 24" xfId="25158"/>
    <cellStyle name="M 4 2 3" xfId="15119"/>
    <cellStyle name="M 4 2 3 2" xfId="27938"/>
    <cellStyle name="M 4 2 4" xfId="14357"/>
    <cellStyle name="M 4 2 4 2" xfId="27190"/>
    <cellStyle name="M 4 2 5" xfId="16739"/>
    <cellStyle name="M 4 2 5 2" xfId="29515"/>
    <cellStyle name="M 4 2 6" xfId="15352"/>
    <cellStyle name="M 4 2 6 2" xfId="28169"/>
    <cellStyle name="M 4 2 7" xfId="12984"/>
    <cellStyle name="M 4 2 7 2" xfId="25859"/>
    <cellStyle name="M 4 2 8" xfId="16619"/>
    <cellStyle name="M 4 2 8 2" xfId="29395"/>
    <cellStyle name="M 4 2 9" xfId="13812"/>
    <cellStyle name="M 4 2 9 2" xfId="26671"/>
    <cellStyle name="M 5" xfId="10366"/>
    <cellStyle name="M 5 2" xfId="11248"/>
    <cellStyle name="M 5 2 10" xfId="16167"/>
    <cellStyle name="M 5 2 11" xfId="15305"/>
    <cellStyle name="M 5 2 11 2" xfId="28122"/>
    <cellStyle name="M 5 2 12" xfId="22919"/>
    <cellStyle name="M 5 2 12 2" xfId="35353"/>
    <cellStyle name="M 5 2 13" xfId="21243"/>
    <cellStyle name="M 5 2 13 2" xfId="33680"/>
    <cellStyle name="M 5 2 14" xfId="18506"/>
    <cellStyle name="M 5 2 14 2" xfId="31211"/>
    <cellStyle name="M 5 2 15" xfId="20712"/>
    <cellStyle name="M 5 2 15 2" xfId="33155"/>
    <cellStyle name="M 5 2 16" xfId="24070"/>
    <cellStyle name="M 5 2 16 2" xfId="36501"/>
    <cellStyle name="M 5 2 17" xfId="22224"/>
    <cellStyle name="M 5 2 17 2" xfId="34659"/>
    <cellStyle name="M 5 2 18" xfId="24350"/>
    <cellStyle name="M 5 2 18 2" xfId="36781"/>
    <cellStyle name="M 5 2 19" xfId="24563"/>
    <cellStyle name="M 5 2 19 2" xfId="36994"/>
    <cellStyle name="M 5 2 2" xfId="16442"/>
    <cellStyle name="M 5 2 2 2" xfId="29218"/>
    <cellStyle name="M 5 2 20" xfId="22107"/>
    <cellStyle name="M 5 2 20 2" xfId="34543"/>
    <cellStyle name="M 5 2 21" xfId="24440"/>
    <cellStyle name="M 5 2 21 2" xfId="36871"/>
    <cellStyle name="M 5 2 22" xfId="22633"/>
    <cellStyle name="M 5 2 22 2" xfId="35067"/>
    <cellStyle name="M 5 2 23" xfId="22968"/>
    <cellStyle name="M 5 2 23 2" xfId="35402"/>
    <cellStyle name="M 5 2 24" xfId="25159"/>
    <cellStyle name="M 5 2 3" xfId="15118"/>
    <cellStyle name="M 5 2 3 2" xfId="27937"/>
    <cellStyle name="M 5 2 4" xfId="14159"/>
    <cellStyle name="M 5 2 4 2" xfId="27007"/>
    <cellStyle name="M 5 2 5" xfId="17301"/>
    <cellStyle name="M 5 2 5 2" xfId="30030"/>
    <cellStyle name="M 5 2 6" xfId="13931"/>
    <cellStyle name="M 5 2 6 2" xfId="26790"/>
    <cellStyle name="M 5 2 7" xfId="14077"/>
    <cellStyle name="M 5 2 7 2" xfId="26925"/>
    <cellStyle name="M 5 2 8" xfId="16585"/>
    <cellStyle name="M 5 2 8 2" xfId="29361"/>
    <cellStyle name="M 5 2 9" xfId="14559"/>
    <cellStyle name="M 5 2 9 2" xfId="27387"/>
    <cellStyle name="M 6" xfId="10367"/>
    <cellStyle name="M 6 2" xfId="11249"/>
    <cellStyle name="M 6 2 10" xfId="15662"/>
    <cellStyle name="M 6 2 11" xfId="14243"/>
    <cellStyle name="M 6 2 11 2" xfId="27083"/>
    <cellStyle name="M 6 2 12" xfId="22920"/>
    <cellStyle name="M 6 2 12 2" xfId="35354"/>
    <cellStyle name="M 6 2 13" xfId="21242"/>
    <cellStyle name="M 6 2 13 2" xfId="33679"/>
    <cellStyle name="M 6 2 14" xfId="18507"/>
    <cellStyle name="M 6 2 14 2" xfId="31212"/>
    <cellStyle name="M 6 2 15" xfId="19193"/>
    <cellStyle name="M 6 2 15 2" xfId="31848"/>
    <cellStyle name="M 6 2 16" xfId="18898"/>
    <cellStyle name="M 6 2 16 2" xfId="31603"/>
    <cellStyle name="M 6 2 17" xfId="23064"/>
    <cellStyle name="M 6 2 17 2" xfId="35497"/>
    <cellStyle name="M 6 2 18" xfId="24349"/>
    <cellStyle name="M 6 2 18 2" xfId="36780"/>
    <cellStyle name="M 6 2 19" xfId="23824"/>
    <cellStyle name="M 6 2 19 2" xfId="36255"/>
    <cellStyle name="M 6 2 2" xfId="16443"/>
    <cellStyle name="M 6 2 2 2" xfId="29219"/>
    <cellStyle name="M 6 2 20" xfId="22461"/>
    <cellStyle name="M 6 2 20 2" xfId="34895"/>
    <cellStyle name="M 6 2 21" xfId="18723"/>
    <cellStyle name="M 6 2 21 2" xfId="31428"/>
    <cellStyle name="M 6 2 22" xfId="23386"/>
    <cellStyle name="M 6 2 22 2" xfId="35818"/>
    <cellStyle name="M 6 2 23" xfId="20094"/>
    <cellStyle name="M 6 2 23 2" xfId="32540"/>
    <cellStyle name="M 6 2 24" xfId="25160"/>
    <cellStyle name="M 6 2 3" xfId="15117"/>
    <cellStyle name="M 6 2 3 2" xfId="27936"/>
    <cellStyle name="M 6 2 4" xfId="14356"/>
    <cellStyle name="M 6 2 4 2" xfId="27189"/>
    <cellStyle name="M 6 2 5" xfId="15284"/>
    <cellStyle name="M 6 2 5 2" xfId="28101"/>
    <cellStyle name="M 6 2 6" xfId="15353"/>
    <cellStyle name="M 6 2 6 2" xfId="28170"/>
    <cellStyle name="M 6 2 7" xfId="12983"/>
    <cellStyle name="M 6 2 7 2" xfId="25858"/>
    <cellStyle name="M 6 2 8" xfId="12931"/>
    <cellStyle name="M 6 2 8 2" xfId="25807"/>
    <cellStyle name="M 6 2 9" xfId="13030"/>
    <cellStyle name="M 6 2 9 2" xfId="25905"/>
    <cellStyle name="M 7" xfId="11244"/>
    <cellStyle name="M 7 10" xfId="17113"/>
    <cellStyle name="M 7 11" xfId="17930"/>
    <cellStyle name="M 7 11 2" xfId="30642"/>
    <cellStyle name="M 7 12" xfId="22915"/>
    <cellStyle name="M 7 12 2" xfId="35349"/>
    <cellStyle name="M 7 13" xfId="21247"/>
    <cellStyle name="M 7 13 2" xfId="33684"/>
    <cellStyle name="M 7 14" xfId="18502"/>
    <cellStyle name="M 7 14 2" xfId="31207"/>
    <cellStyle name="M 7 15" xfId="23696"/>
    <cellStyle name="M 7 15 2" xfId="36127"/>
    <cellStyle name="M 7 16" xfId="24074"/>
    <cellStyle name="M 7 16 2" xfId="36505"/>
    <cellStyle name="M 7 17" xfId="22226"/>
    <cellStyle name="M 7 17 2" xfId="34661"/>
    <cellStyle name="M 7 18" xfId="19072"/>
    <cellStyle name="M 7 18 2" xfId="31777"/>
    <cellStyle name="M 7 19" xfId="19669"/>
    <cellStyle name="M 7 19 2" xfId="32123"/>
    <cellStyle name="M 7 2" xfId="16438"/>
    <cellStyle name="M 7 2 2" xfId="29214"/>
    <cellStyle name="M 7 20" xfId="22108"/>
    <cellStyle name="M 7 20 2" xfId="34544"/>
    <cellStyle name="M 7 21" xfId="24442"/>
    <cellStyle name="M 7 21 2" xfId="36873"/>
    <cellStyle name="M 7 22" xfId="18835"/>
    <cellStyle name="M 7 22 2" xfId="31540"/>
    <cellStyle name="M 7 23" xfId="18868"/>
    <cellStyle name="M 7 23 2" xfId="31573"/>
    <cellStyle name="M 7 24" xfId="25155"/>
    <cellStyle name="M 7 3" xfId="15122"/>
    <cellStyle name="M 7 3 2" xfId="27941"/>
    <cellStyle name="M 7 4" xfId="14161"/>
    <cellStyle name="M 7 4 2" xfId="27009"/>
    <cellStyle name="M 7 5" xfId="17302"/>
    <cellStyle name="M 7 5 2" xfId="30031"/>
    <cellStyle name="M 7 6" xfId="13929"/>
    <cellStyle name="M 7 6 2" xfId="26788"/>
    <cellStyle name="M 7 7" xfId="14078"/>
    <cellStyle name="M 7 7 2" xfId="26926"/>
    <cellStyle name="M 7 8" xfId="12557"/>
    <cellStyle name="M 7 8 2" xfId="25437"/>
    <cellStyle name="M 7 9" xfId="17567"/>
    <cellStyle name="M 7 9 2" xfId="30285"/>
    <cellStyle name="M_Boo2" xfId="2606"/>
    <cellStyle name="M_Boo2 10" xfId="17796"/>
    <cellStyle name="M_Boo2 10 2" xfId="30513"/>
    <cellStyle name="M_Boo2 11" xfId="19346"/>
    <cellStyle name="M_Boo2 12" xfId="22614"/>
    <cellStyle name="M_Boo2 12 2" xfId="35048"/>
    <cellStyle name="M_Boo2 13" xfId="21568"/>
    <cellStyle name="M_Boo2 13 2" xfId="34005"/>
    <cellStyle name="M_Boo2 14" xfId="19567"/>
    <cellStyle name="M_Boo2 14 2" xfId="32022"/>
    <cellStyle name="M_Boo2 15" xfId="24271"/>
    <cellStyle name="M_Boo2 15 2" xfId="36702"/>
    <cellStyle name="M_Boo2 16" xfId="23723"/>
    <cellStyle name="M_Boo2 16 2" xfId="36154"/>
    <cellStyle name="M_Boo2 17" xfId="18288"/>
    <cellStyle name="M_Boo2 17 2" xfId="30994"/>
    <cellStyle name="M_Boo2 18" xfId="18260"/>
    <cellStyle name="M_Boo2 18 2" xfId="30966"/>
    <cellStyle name="M_Boo2 19" xfId="20251"/>
    <cellStyle name="M_Boo2 19 2" xfId="32696"/>
    <cellStyle name="M_Boo2 2" xfId="13410"/>
    <cellStyle name="M_Boo2 2 2" xfId="26278"/>
    <cellStyle name="M_Boo2 20" xfId="24462"/>
    <cellStyle name="M_Boo2 20 2" xfId="36893"/>
    <cellStyle name="M_Boo2 21" xfId="21744"/>
    <cellStyle name="M_Boo2 21 2" xfId="34181"/>
    <cellStyle name="M_Boo2 3" xfId="16123"/>
    <cellStyle name="M_Boo2 3 2" xfId="28906"/>
    <cellStyle name="M_Boo2 4" xfId="17372"/>
    <cellStyle name="M_Boo2 4 2" xfId="30101"/>
    <cellStyle name="M_Boo2 5" xfId="15500"/>
    <cellStyle name="M_Boo2 5 2" xfId="28309"/>
    <cellStyle name="M_Boo2 6" xfId="15968"/>
    <cellStyle name="M_Boo2 6 2" xfId="28766"/>
    <cellStyle name="M_Boo2 7" xfId="15411"/>
    <cellStyle name="M_Boo2 7 2" xfId="28225"/>
    <cellStyle name="M_Boo2 8" xfId="12595"/>
    <cellStyle name="M_Boo2 8 2" xfId="25474"/>
    <cellStyle name="M_Boo2 9" xfId="18098"/>
    <cellStyle name="M_Boo2 9 2" xfId="30809"/>
    <cellStyle name="M_Boo2_도로수량양식" xfId="2607"/>
    <cellStyle name="M_Boo2_도로수량양식 10" xfId="12561"/>
    <cellStyle name="M_Boo2_도로수량양식 10 2" xfId="25441"/>
    <cellStyle name="M_Boo2_도로수량양식 11" xfId="19347"/>
    <cellStyle name="M_Boo2_도로수량양식 12" xfId="22613"/>
    <cellStyle name="M_Boo2_도로수량양식 12 2" xfId="35047"/>
    <cellStyle name="M_Boo2_도로수량양식 13" xfId="21569"/>
    <cellStyle name="M_Boo2_도로수량양식 13 2" xfId="34006"/>
    <cellStyle name="M_Boo2_도로수량양식 14" xfId="21773"/>
    <cellStyle name="M_Boo2_도로수량양식 14 2" xfId="34210"/>
    <cellStyle name="M_Boo2_도로수량양식 15" xfId="21732"/>
    <cellStyle name="M_Boo2_도로수량양식 15 2" xfId="34169"/>
    <cellStyle name="M_Boo2_도로수량양식 16" xfId="23724"/>
    <cellStyle name="M_Boo2_도로수량양식 16 2" xfId="36155"/>
    <cellStyle name="M_Boo2_도로수량양식 17" xfId="18623"/>
    <cellStyle name="M_Boo2_도로수량양식 17 2" xfId="31328"/>
    <cellStyle name="M_Boo2_도로수량양식 18" xfId="23460"/>
    <cellStyle name="M_Boo2_도로수량양식 18 2" xfId="35891"/>
    <cellStyle name="M_Boo2_도로수량양식 19" xfId="19958"/>
    <cellStyle name="M_Boo2_도로수량양식 19 2" xfId="32407"/>
    <cellStyle name="M_Boo2_도로수량양식 2" xfId="13411"/>
    <cellStyle name="M_Boo2_도로수량양식 2 2" xfId="26279"/>
    <cellStyle name="M_Boo2_도로수량양식 20" xfId="18815"/>
    <cellStyle name="M_Boo2_도로수량양식 20 2" xfId="31520"/>
    <cellStyle name="M_Boo2_도로수량양식 21" xfId="22150"/>
    <cellStyle name="M_Boo2_도로수량양식 21 2" xfId="34586"/>
    <cellStyle name="M_Boo2_도로수량양식 3" xfId="16122"/>
    <cellStyle name="M_Boo2_도로수량양식 3 2" xfId="28905"/>
    <cellStyle name="M_Boo2_도로수량양식 4" xfId="13982"/>
    <cellStyle name="M_Boo2_도로수량양식 4 2" xfId="26839"/>
    <cellStyle name="M_Boo2_도로수량양식 5" xfId="15501"/>
    <cellStyle name="M_Boo2_도로수량양식 5 2" xfId="28310"/>
    <cellStyle name="M_Boo2_도로수량양식 6" xfId="13224"/>
    <cellStyle name="M_Boo2_도로수량양식 6 2" xfId="26092"/>
    <cellStyle name="M_Boo2_도로수량양식 7" xfId="13824"/>
    <cellStyle name="M_Boo2_도로수량양식 7 2" xfId="26683"/>
    <cellStyle name="M_Boo2_도로수량양식 8" xfId="17964"/>
    <cellStyle name="M_Boo2_도로수량양식 8 2" xfId="30676"/>
    <cellStyle name="M_Boo2_도로수량양식 9" xfId="13676"/>
    <cellStyle name="M_Boo2_도로수량양식 9 2" xfId="26542"/>
    <cellStyle name="M_Boo2_도로수량양식_자전거도로구조물공수량" xfId="2608"/>
    <cellStyle name="M_Boo2_도로수량양식_자전거도로구조물공수량 10" xfId="17795"/>
    <cellStyle name="M_Boo2_도로수량양식_자전거도로구조물공수량 10 2" xfId="30512"/>
    <cellStyle name="M_Boo2_도로수량양식_자전거도로구조물공수량 11" xfId="19348"/>
    <cellStyle name="M_Boo2_도로수량양식_자전거도로구조물공수량 12" xfId="22612"/>
    <cellStyle name="M_Boo2_도로수량양식_자전거도로구조물공수량 12 2" xfId="35046"/>
    <cellStyle name="M_Boo2_도로수량양식_자전거도로구조물공수량 13" xfId="21570"/>
    <cellStyle name="M_Boo2_도로수량양식_자전거도로구조물공수량 13 2" xfId="34007"/>
    <cellStyle name="M_Boo2_도로수량양식_자전거도로구조물공수량 14" xfId="23729"/>
    <cellStyle name="M_Boo2_도로수량양식_자전거도로구조물공수량 14 2" xfId="36160"/>
    <cellStyle name="M_Boo2_도로수량양식_자전거도로구조물공수량 15" xfId="20338"/>
    <cellStyle name="M_Boo2_도로수량양식_자전거도로구조물공수량 15 2" xfId="32783"/>
    <cellStyle name="M_Boo2_도로수량양식_자전거도로구조물공수량 16" xfId="23083"/>
    <cellStyle name="M_Boo2_도로수량양식_자전거도로구조물공수량 16 2" xfId="35516"/>
    <cellStyle name="M_Boo2_도로수량양식_자전거도로구조물공수량 17" xfId="18408"/>
    <cellStyle name="M_Boo2_도로수량양식_자전거도로구조물공수량 17 2" xfId="31113"/>
    <cellStyle name="M_Boo2_도로수량양식_자전거도로구조물공수량 18" xfId="23038"/>
    <cellStyle name="M_Boo2_도로수량양식_자전거도로구조물공수량 18 2" xfId="35471"/>
    <cellStyle name="M_Boo2_도로수량양식_자전거도로구조물공수량 19" xfId="20400"/>
    <cellStyle name="M_Boo2_도로수량양식_자전거도로구조물공수량 19 2" xfId="32845"/>
    <cellStyle name="M_Boo2_도로수량양식_자전거도로구조물공수량 2" xfId="13412"/>
    <cellStyle name="M_Boo2_도로수량양식_자전거도로구조물공수량 2 2" xfId="26280"/>
    <cellStyle name="M_Boo2_도로수량양식_자전거도로구조물공수량 20" xfId="24463"/>
    <cellStyle name="M_Boo2_도로수량양식_자전거도로구조물공수량 20 2" xfId="36894"/>
    <cellStyle name="M_Boo2_도로수량양식_자전거도로구조물공수량 21" xfId="20385"/>
    <cellStyle name="M_Boo2_도로수량양식_자전거도로구조물공수량 21 2" xfId="32830"/>
    <cellStyle name="M_Boo2_도로수량양식_자전거도로구조물공수량 3" xfId="16121"/>
    <cellStyle name="M_Boo2_도로수량양식_자전거도로구조물공수량 3 2" xfId="28904"/>
    <cellStyle name="M_Boo2_도로수량양식_자전거도로구조물공수량 4" xfId="13756"/>
    <cellStyle name="M_Boo2_도로수량양식_자전거도로구조물공수량 4 2" xfId="26617"/>
    <cellStyle name="M_Boo2_도로수량양식_자전거도로구조물공수량 5" xfId="15502"/>
    <cellStyle name="M_Boo2_도로수량양식_자전거도로구조물공수량 5 2" xfId="28311"/>
    <cellStyle name="M_Boo2_도로수량양식_자전거도로구조물공수량 6" xfId="15967"/>
    <cellStyle name="M_Boo2_도로수량양식_자전거도로구조물공수량 6 2" xfId="28765"/>
    <cellStyle name="M_Boo2_도로수량양식_자전거도로구조물공수량 7" xfId="17488"/>
    <cellStyle name="M_Boo2_도로수량양식_자전거도로구조물공수량 7 2" xfId="30210"/>
    <cellStyle name="M_Boo2_도로수량양식_자전거도로구조물공수량 8" xfId="15807"/>
    <cellStyle name="M_Boo2_도로수량양식_자전거도로구조물공수량 8 2" xfId="28606"/>
    <cellStyle name="M_Boo2_도로수량양식_자전거도로구조물공수량 9" xfId="13917"/>
    <cellStyle name="M_Boo2_도로수량양식_자전거도로구조물공수량 9 2" xfId="26776"/>
    <cellStyle name="M_Boo2_도로수량양식_자전거도로포장수량" xfId="2609"/>
    <cellStyle name="M_Boo2_도로수량양식_자전거도로포장수량 10" xfId="15650"/>
    <cellStyle name="M_Boo2_도로수량양식_자전거도로포장수량 10 2" xfId="28457"/>
    <cellStyle name="M_Boo2_도로수량양식_자전거도로포장수량 11" xfId="19349"/>
    <cellStyle name="M_Boo2_도로수량양식_자전거도로포장수량 12" xfId="22611"/>
    <cellStyle name="M_Boo2_도로수량양식_자전거도로포장수량 12 2" xfId="35045"/>
    <cellStyle name="M_Boo2_도로수량양식_자전거도로포장수량 13" xfId="21571"/>
    <cellStyle name="M_Boo2_도로수량양식_자전거도로포장수량 13 2" xfId="34008"/>
    <cellStyle name="M_Boo2_도로수량양식_자전거도로포장수량 14" xfId="23728"/>
    <cellStyle name="M_Boo2_도로수량양식_자전거도로포장수량 14 2" xfId="36159"/>
    <cellStyle name="M_Boo2_도로수량양식_자전거도로포장수량 15" xfId="18455"/>
    <cellStyle name="M_Boo2_도로수량양식_자전거도로포장수량 15 2" xfId="31160"/>
    <cellStyle name="M_Boo2_도로수량양식_자전거도로포장수량 16" xfId="21540"/>
    <cellStyle name="M_Boo2_도로수량양식_자전거도로포장수량 16 2" xfId="33977"/>
    <cellStyle name="M_Boo2_도로수량양식_자전거도로포장수량 17" xfId="18258"/>
    <cellStyle name="M_Boo2_도로수량양식_자전거도로포장수량 17 2" xfId="30964"/>
    <cellStyle name="M_Boo2_도로수량양식_자전거도로포장수량 18" xfId="19828"/>
    <cellStyle name="M_Boo2_도로수량양식_자전거도로포장수량 18 2" xfId="32278"/>
    <cellStyle name="M_Boo2_도로수량양식_자전거도로포장수량 19" xfId="18284"/>
    <cellStyle name="M_Boo2_도로수량양식_자전거도로포장수량 19 2" xfId="30990"/>
    <cellStyle name="M_Boo2_도로수량양식_자전거도로포장수량 2" xfId="13413"/>
    <cellStyle name="M_Boo2_도로수량양식_자전거도로포장수량 2 2" xfId="26281"/>
    <cellStyle name="M_Boo2_도로수량양식_자전거도로포장수량 20" xfId="18814"/>
    <cellStyle name="M_Boo2_도로수량양식_자전거도로포장수량 20 2" xfId="31519"/>
    <cellStyle name="M_Boo2_도로수량양식_자전거도로포장수량 21" xfId="24311"/>
    <cellStyle name="M_Boo2_도로수량양식_자전거도로포장수량 21 2" xfId="36742"/>
    <cellStyle name="M_Boo2_도로수량양식_자전거도로포장수량 3" xfId="16120"/>
    <cellStyle name="M_Boo2_도로수량양식_자전거도로포장수량 3 2" xfId="28903"/>
    <cellStyle name="M_Boo2_도로수량양식_자전거도로포장수량 4" xfId="13981"/>
    <cellStyle name="M_Boo2_도로수량양식_자전거도로포장수량 4 2" xfId="26838"/>
    <cellStyle name="M_Boo2_도로수량양식_자전거도로포장수량 5" xfId="15503"/>
    <cellStyle name="M_Boo2_도로수량양식_자전거도로포장수량 5 2" xfId="28312"/>
    <cellStyle name="M_Boo2_도로수량양식_자전거도로포장수량 6" xfId="13223"/>
    <cellStyle name="M_Boo2_도로수량양식_자전거도로포장수량 6 2" xfId="26091"/>
    <cellStyle name="M_Boo2_도로수량양식_자전거도로포장수량 7" xfId="17489"/>
    <cellStyle name="M_Boo2_도로수량양식_자전거도로포장수량 7 2" xfId="30211"/>
    <cellStyle name="M_Boo2_도로수량양식_자전거도로포장수량 8" xfId="13672"/>
    <cellStyle name="M_Boo2_도로수량양식_자전거도로포장수량 8 2" xfId="26538"/>
    <cellStyle name="M_Boo2_도로수량양식_자전거도로포장수량 9" xfId="14267"/>
    <cellStyle name="M_Boo2_도로수량양식_자전거도로포장수량 9 2" xfId="27102"/>
    <cellStyle name="M_Boo2_수량산출" xfId="2610"/>
    <cellStyle name="M_Boo2_수량산출 10" xfId="17794"/>
    <cellStyle name="M_Boo2_수량산출 10 2" xfId="30511"/>
    <cellStyle name="M_Boo2_수량산출 11" xfId="19350"/>
    <cellStyle name="M_Boo2_수량산출 12" xfId="22610"/>
    <cellStyle name="M_Boo2_수량산출 12 2" xfId="35044"/>
    <cellStyle name="M_Boo2_수량산출 13" xfId="21572"/>
    <cellStyle name="M_Boo2_수량산출 13 2" xfId="34009"/>
    <cellStyle name="M_Boo2_수량산출 14" xfId="23423"/>
    <cellStyle name="M_Boo2_수량산출 14 2" xfId="35854"/>
    <cellStyle name="M_Boo2_수량산출 15" xfId="18396"/>
    <cellStyle name="M_Boo2_수량산출 15 2" xfId="31101"/>
    <cellStyle name="M_Boo2_수량산출 16" xfId="23082"/>
    <cellStyle name="M_Boo2_수량산출 16 2" xfId="35515"/>
    <cellStyle name="M_Boo2_수량산출 17" xfId="20092"/>
    <cellStyle name="M_Boo2_수량산출 17 2" xfId="32538"/>
    <cellStyle name="M_Boo2_수량산출 18" xfId="22051"/>
    <cellStyle name="M_Boo2_수량산출 18 2" xfId="34488"/>
    <cellStyle name="M_Boo2_수량산출 19" xfId="22265"/>
    <cellStyle name="M_Boo2_수량산출 19 2" xfId="34700"/>
    <cellStyle name="M_Boo2_수량산출 2" xfId="13414"/>
    <cellStyle name="M_Boo2_수량산출 2 2" xfId="26282"/>
    <cellStyle name="M_Boo2_수량산출 20" xfId="24464"/>
    <cellStyle name="M_Boo2_수량산출 20 2" xfId="36895"/>
    <cellStyle name="M_Boo2_수량산출 21" xfId="20057"/>
    <cellStyle name="M_Boo2_수량산출 21 2" xfId="32503"/>
    <cellStyle name="M_Boo2_수량산출 3" xfId="16904"/>
    <cellStyle name="M_Boo2_수량산출 3 2" xfId="29679"/>
    <cellStyle name="M_Boo2_수량산출 4" xfId="13755"/>
    <cellStyle name="M_Boo2_수량산출 4 2" xfId="26616"/>
    <cellStyle name="M_Boo2_수량산출 5" xfId="15504"/>
    <cellStyle name="M_Boo2_수량산출 5 2" xfId="28313"/>
    <cellStyle name="M_Boo2_수량산출 6" xfId="13357"/>
    <cellStyle name="M_Boo2_수량산출 6 2" xfId="26225"/>
    <cellStyle name="M_Boo2_수량산출 7" xfId="15410"/>
    <cellStyle name="M_Boo2_수량산출 7 2" xfId="28224"/>
    <cellStyle name="M_Boo2_수량산출 8" xfId="12575"/>
    <cellStyle name="M_Boo2_수량산출 8 2" xfId="25455"/>
    <cellStyle name="M_Boo2_수량산출 9" xfId="16015"/>
    <cellStyle name="M_Boo2_수량산출 9 2" xfId="28813"/>
    <cellStyle name="M_Boo2_수량산출_자전거도로구조물공수량" xfId="2611"/>
    <cellStyle name="M_Boo2_수량산출_자전거도로구조물공수량 10" xfId="14868"/>
    <cellStyle name="M_Boo2_수량산출_자전거도로구조물공수량 10 2" xfId="27690"/>
    <cellStyle name="M_Boo2_수량산출_자전거도로구조물공수량 11" xfId="19351"/>
    <cellStyle name="M_Boo2_수량산출_자전거도로구조물공수량 12" xfId="22609"/>
    <cellStyle name="M_Boo2_수량산출_자전거도로구조물공수량 12 2" xfId="35043"/>
    <cellStyle name="M_Boo2_수량산출_자전거도로구조물공수량 13" xfId="21573"/>
    <cellStyle name="M_Boo2_수량산출_자전거도로구조물공수량 13 2" xfId="34010"/>
    <cellStyle name="M_Boo2_수량산출_자전거도로구조물공수량 14" xfId="23424"/>
    <cellStyle name="M_Boo2_수량산출_자전거도로구조물공수량 14 2" xfId="35855"/>
    <cellStyle name="M_Boo2_수량산출_자전거도로구조물공수량 15" xfId="19809"/>
    <cellStyle name="M_Boo2_수량산출_자전거도로구조물공수량 15 2" xfId="32259"/>
    <cellStyle name="M_Boo2_수량산출_자전거도로구조물공수량 16" xfId="23081"/>
    <cellStyle name="M_Boo2_수량산출_자전거도로구조물공수량 16 2" xfId="35514"/>
    <cellStyle name="M_Boo2_수량산출_자전거도로구조물공수량 17" xfId="18407"/>
    <cellStyle name="M_Boo2_수량산출_자전거도로구조물공수량 17 2" xfId="31112"/>
    <cellStyle name="M_Boo2_수량산출_자전거도로구조물공수량 18" xfId="23268"/>
    <cellStyle name="M_Boo2_수량산출_자전거도로구조물공수량 18 2" xfId="35700"/>
    <cellStyle name="M_Boo2_수량산출_자전거도로구조물공수량 19" xfId="21975"/>
    <cellStyle name="M_Boo2_수량산출_자전거도로구조물공수량 19 2" xfId="34412"/>
    <cellStyle name="M_Boo2_수량산출_자전거도로구조물공수량 2" xfId="13415"/>
    <cellStyle name="M_Boo2_수량산출_자전거도로구조물공수량 2 2" xfId="26283"/>
    <cellStyle name="M_Boo2_수량산출_자전거도로구조물공수량 20" xfId="18813"/>
    <cellStyle name="M_Boo2_수량산출_자전거도로구조물공수량 20 2" xfId="31518"/>
    <cellStyle name="M_Boo2_수량산출_자전거도로구조물공수량 21" xfId="18750"/>
    <cellStyle name="M_Boo2_수량산출_자전거도로구조물공수량 21 2" xfId="31455"/>
    <cellStyle name="M_Boo2_수량산출_자전거도로구조물공수량 3" xfId="16119"/>
    <cellStyle name="M_Boo2_수량산출_자전거도로구조물공수량 3 2" xfId="28902"/>
    <cellStyle name="M_Boo2_수량산출_자전거도로구조물공수량 4" xfId="14438"/>
    <cellStyle name="M_Boo2_수량산출_자전거도로구조물공수량 4 2" xfId="27271"/>
    <cellStyle name="M_Boo2_수량산출_자전거도로구조물공수량 5" xfId="15505"/>
    <cellStyle name="M_Boo2_수량산출_자전거도로구조물공수량 5 2" xfId="28314"/>
    <cellStyle name="M_Boo2_수량산출_자전거도로구조물공수량 6" xfId="13222"/>
    <cellStyle name="M_Boo2_수량산출_자전거도로구조물공수량 6 2" xfId="26090"/>
    <cellStyle name="M_Boo2_수량산출_자전거도로구조물공수량 7" xfId="12669"/>
    <cellStyle name="M_Boo2_수량산출_자전거도로구조물공수량 7 2" xfId="25548"/>
    <cellStyle name="M_Boo2_수량산출_자전거도로구조물공수량 8" xfId="14610"/>
    <cellStyle name="M_Boo2_수량산출_자전거도로구조물공수량 8 2" xfId="27436"/>
    <cellStyle name="M_Boo2_수량산출_자전거도로구조물공수량 9" xfId="16947"/>
    <cellStyle name="M_Boo2_수량산출_자전거도로구조물공수량 9 2" xfId="29722"/>
    <cellStyle name="M_Boo2_수량산출_자전거도로포장수량" xfId="2612"/>
    <cellStyle name="M_Boo2_수량산출_자전거도로포장수량 10" xfId="17793"/>
    <cellStyle name="M_Boo2_수량산출_자전거도로포장수량 10 2" xfId="30510"/>
    <cellStyle name="M_Boo2_수량산출_자전거도로포장수량 11" xfId="19352"/>
    <cellStyle name="M_Boo2_수량산출_자전거도로포장수량 12" xfId="22608"/>
    <cellStyle name="M_Boo2_수량산출_자전거도로포장수량 12 2" xfId="35042"/>
    <cellStyle name="M_Boo2_수량산출_자전거도로포장수량 13" xfId="21574"/>
    <cellStyle name="M_Boo2_수량산출_자전거도로포장수량 13 2" xfId="34011"/>
    <cellStyle name="M_Boo2_수량산출_자전거도로포장수량 14" xfId="21774"/>
    <cellStyle name="M_Boo2_수량산출_자전거도로포장수량 14 2" xfId="34211"/>
    <cellStyle name="M_Boo2_수량산출_자전거도로포장수량 15" xfId="23328"/>
    <cellStyle name="M_Boo2_수량산출_자전거도로포장수량 15 2" xfId="35760"/>
    <cellStyle name="M_Boo2_수량산출_자전거도로포장수량 16" xfId="19875"/>
    <cellStyle name="M_Boo2_수량산출_자전거도로포장수량 16 2" xfId="32325"/>
    <cellStyle name="M_Boo2_수량산출_자전거도로포장수량 17" xfId="24094"/>
    <cellStyle name="M_Boo2_수량산출_자전거도로포장수량 17 2" xfId="36525"/>
    <cellStyle name="M_Boo2_수량산출_자전거도로포장수량 18" xfId="20265"/>
    <cellStyle name="M_Boo2_수량산출_자전거도로포장수량 18 2" xfId="32710"/>
    <cellStyle name="M_Boo2_수량산출_자전거도로포장수량 19" xfId="23277"/>
    <cellStyle name="M_Boo2_수량산출_자전거도로포장수량 19 2" xfId="35709"/>
    <cellStyle name="M_Boo2_수량산출_자전거도로포장수량 2" xfId="13416"/>
    <cellStyle name="M_Boo2_수량산출_자전거도로포장수량 2 2" xfId="26284"/>
    <cellStyle name="M_Boo2_수량산출_자전거도로포장수량 20" xfId="24465"/>
    <cellStyle name="M_Boo2_수량산출_자전거도로포장수량 20 2" xfId="36896"/>
    <cellStyle name="M_Boo2_수량산출_자전거도로포장수량 21" xfId="20783"/>
    <cellStyle name="M_Boo2_수량산출_자전거도로포장수량 21 2" xfId="33222"/>
    <cellStyle name="M_Boo2_수량산출_자전거도로포장수량 3" xfId="16118"/>
    <cellStyle name="M_Boo2_수량산출_자전거도로포장수량 3 2" xfId="28901"/>
    <cellStyle name="M_Boo2_수량산출_자전거도로포장수량 4" xfId="14437"/>
    <cellStyle name="M_Boo2_수량산출_자전거도로포장수량 4 2" xfId="27270"/>
    <cellStyle name="M_Boo2_수량산출_자전거도로포장수량 5" xfId="15506"/>
    <cellStyle name="M_Boo2_수량산출_자전거도로포장수량 5 2" xfId="28315"/>
    <cellStyle name="M_Boo2_수량산출_자전거도로포장수량 6" xfId="15966"/>
    <cellStyle name="M_Boo2_수량산출_자전거도로포장수량 6 2" xfId="28764"/>
    <cellStyle name="M_Boo2_수량산출_자전거도로포장수량 7" xfId="14505"/>
    <cellStyle name="M_Boo2_수량산출_자전거도로포장수량 7 2" xfId="27333"/>
    <cellStyle name="M_Boo2_수량산출_자전거도로포장수량 8" xfId="12591"/>
    <cellStyle name="M_Boo2_수량산출_자전거도로포장수량 8 2" xfId="25470"/>
    <cellStyle name="M_Boo2_수량산출_자전거도로포장수량 9" xfId="14772"/>
    <cellStyle name="M_Boo2_수량산출_자전거도로포장수량 9 2" xfId="27597"/>
    <cellStyle name="M_Boo2_인월중군소하천" xfId="2613"/>
    <cellStyle name="M_Boo2_인월중군소하천 10" xfId="14002"/>
    <cellStyle name="M_Boo2_인월중군소하천 10 2" xfId="26858"/>
    <cellStyle name="M_Boo2_인월중군소하천 11" xfId="19353"/>
    <cellStyle name="M_Boo2_인월중군소하천 12" xfId="22607"/>
    <cellStyle name="M_Boo2_인월중군소하천 12 2" xfId="35041"/>
    <cellStyle name="M_Boo2_인월중군소하천 13" xfId="21575"/>
    <cellStyle name="M_Boo2_인월중군소하천 13 2" xfId="34012"/>
    <cellStyle name="M_Boo2_인월중군소하천 14" xfId="21853"/>
    <cellStyle name="M_Boo2_인월중군소하천 14 2" xfId="34290"/>
    <cellStyle name="M_Boo2_인월중군소하천 15" xfId="19810"/>
    <cellStyle name="M_Boo2_인월중군소하천 15 2" xfId="32260"/>
    <cellStyle name="M_Boo2_인월중군소하천 16" xfId="22128"/>
    <cellStyle name="M_Boo2_인월중군소하천 16 2" xfId="34564"/>
    <cellStyle name="M_Boo2_인월중군소하천 17" xfId="20825"/>
    <cellStyle name="M_Boo2_인월중군소하천 17 2" xfId="33262"/>
    <cellStyle name="M_Boo2_인월중군소하천 18" xfId="19827"/>
    <cellStyle name="M_Boo2_인월중군소하천 18 2" xfId="32277"/>
    <cellStyle name="M_Boo2_인월중군소하천 19" xfId="23258"/>
    <cellStyle name="M_Boo2_인월중군소하천 19 2" xfId="35690"/>
    <cellStyle name="M_Boo2_인월중군소하천 2" xfId="13417"/>
    <cellStyle name="M_Boo2_인월중군소하천 2 2" xfId="26285"/>
    <cellStyle name="M_Boo2_인월중군소하천 20" xfId="18812"/>
    <cellStyle name="M_Boo2_인월중군소하천 20 2" xfId="31517"/>
    <cellStyle name="M_Boo2_인월중군소하천 21" xfId="22302"/>
    <cellStyle name="M_Boo2_인월중군소하천 21 2" xfId="34736"/>
    <cellStyle name="M_Boo2_인월중군소하천 3" xfId="16117"/>
    <cellStyle name="M_Boo2_인월중군소하천 3 2" xfId="28900"/>
    <cellStyle name="M_Boo2_인월중군소하천 4" xfId="14436"/>
    <cellStyle name="M_Boo2_인월중군소하천 4 2" xfId="27269"/>
    <cellStyle name="M_Boo2_인월중군소하천 5" xfId="15507"/>
    <cellStyle name="M_Boo2_인월중군소하천 5 2" xfId="28316"/>
    <cellStyle name="M_Boo2_인월중군소하천 6" xfId="13221"/>
    <cellStyle name="M_Boo2_인월중군소하천 6 2" xfId="26089"/>
    <cellStyle name="M_Boo2_인월중군소하천 7" xfId="14543"/>
    <cellStyle name="M_Boo2_인월중군소하천 7 2" xfId="27371"/>
    <cellStyle name="M_Boo2_인월중군소하천 8" xfId="13673"/>
    <cellStyle name="M_Boo2_인월중군소하천 8 2" xfId="26539"/>
    <cellStyle name="M_Boo2_인월중군소하천 9" xfId="16946"/>
    <cellStyle name="M_Boo2_인월중군소하천 9 2" xfId="29721"/>
    <cellStyle name="M_Boo2_인월중군소하천_자전거도로구조물공수량" xfId="2614"/>
    <cellStyle name="M_Boo2_인월중군소하천_자전거도로구조물공수량 10" xfId="17792"/>
    <cellStyle name="M_Boo2_인월중군소하천_자전거도로구조물공수량 10 2" xfId="30509"/>
    <cellStyle name="M_Boo2_인월중군소하천_자전거도로구조물공수량 11" xfId="19354"/>
    <cellStyle name="M_Boo2_인월중군소하천_자전거도로구조물공수량 12" xfId="22606"/>
    <cellStyle name="M_Boo2_인월중군소하천_자전거도로구조물공수량 12 2" xfId="35040"/>
    <cellStyle name="M_Boo2_인월중군소하천_자전거도로구조물공수량 13" xfId="21576"/>
    <cellStyle name="M_Boo2_인월중군소하천_자전거도로구조물공수량 13 2" xfId="34013"/>
    <cellStyle name="M_Boo2_인월중군소하천_자전거도로구조물공수량 14" xfId="23437"/>
    <cellStyle name="M_Boo2_인월중군소하천_자전거도로구조물공수량 14 2" xfId="35868"/>
    <cellStyle name="M_Boo2_인월중군소하천_자전거도로구조물공수량 15" xfId="23329"/>
    <cellStyle name="M_Boo2_인월중군소하천_자전거도로구조물공수량 15 2" xfId="35761"/>
    <cellStyle name="M_Boo2_인월중군소하천_자전거도로구조물공수량 16" xfId="22127"/>
    <cellStyle name="M_Boo2_인월중군소하천_자전거도로구조물공수량 16 2" xfId="34563"/>
    <cellStyle name="M_Boo2_인월중군소하천_자전거도로구조물공수량 17" xfId="23025"/>
    <cellStyle name="M_Boo2_인월중군소하천_자전거도로구조물공수량 17 2" xfId="35458"/>
    <cellStyle name="M_Boo2_인월중군소하천_자전거도로구조물공수량 18" xfId="23161"/>
    <cellStyle name="M_Boo2_인월중군소하천_자전거도로구조물공수량 18 2" xfId="35594"/>
    <cellStyle name="M_Boo2_인월중군소하천_자전거도로구조물공수량 19" xfId="18662"/>
    <cellStyle name="M_Boo2_인월중군소하천_자전거도로구조물공수량 19 2" xfId="31367"/>
    <cellStyle name="M_Boo2_인월중군소하천_자전거도로구조물공수량 2" xfId="13418"/>
    <cellStyle name="M_Boo2_인월중군소하천_자전거도로구조물공수량 2 2" xfId="26286"/>
    <cellStyle name="M_Boo2_인월중군소하천_자전거도로구조물공수량 20" xfId="24466"/>
    <cellStyle name="M_Boo2_인월중군소하천_자전거도로구조물공수량 20 2" xfId="36897"/>
    <cellStyle name="M_Boo2_인월중군소하천_자전거도로구조물공수량 21" xfId="19603"/>
    <cellStyle name="M_Boo2_인월중군소하천_자전거도로구조물공수량 21 2" xfId="32058"/>
    <cellStyle name="M_Boo2_인월중군소하천_자전거도로구조물공수량 3" xfId="16116"/>
    <cellStyle name="M_Boo2_인월중군소하천_자전거도로구조물공수량 3 2" xfId="28899"/>
    <cellStyle name="M_Boo2_인월중군소하천_자전거도로구조물공수량 4" xfId="14435"/>
    <cellStyle name="M_Boo2_인월중군소하천_자전거도로구조물공수량 4 2" xfId="27268"/>
    <cellStyle name="M_Boo2_인월중군소하천_자전거도로구조물공수량 5" xfId="15508"/>
    <cellStyle name="M_Boo2_인월중군소하천_자전거도로구조물공수량 5 2" xfId="28317"/>
    <cellStyle name="M_Boo2_인월중군소하천_자전거도로구조물공수량 6" xfId="15965"/>
    <cellStyle name="M_Boo2_인월중군소하천_자전거도로구조물공수량 6 2" xfId="28763"/>
    <cellStyle name="M_Boo2_인월중군소하천_자전거도로구조물공수량 7" xfId="12585"/>
    <cellStyle name="M_Boo2_인월중군소하천_자전거도로구조물공수량 7 2" xfId="25464"/>
    <cellStyle name="M_Boo2_인월중군소하천_자전거도로구조물공수량 8" xfId="15922"/>
    <cellStyle name="M_Boo2_인월중군소하천_자전거도로구조물공수량 8 2" xfId="28720"/>
    <cellStyle name="M_Boo2_인월중군소하천_자전거도로구조물공수량 9" xfId="13960"/>
    <cellStyle name="M_Boo2_인월중군소하천_자전거도로구조물공수량 9 2" xfId="26818"/>
    <cellStyle name="M_Boo2_인월중군소하천_자전거도로포장수량" xfId="2615"/>
    <cellStyle name="M_Boo2_인월중군소하천_자전거도로포장수량 10" xfId="12976"/>
    <cellStyle name="M_Boo2_인월중군소하천_자전거도로포장수량 10 2" xfId="25851"/>
    <cellStyle name="M_Boo2_인월중군소하천_자전거도로포장수량 11" xfId="19355"/>
    <cellStyle name="M_Boo2_인월중군소하천_자전거도로포장수량 12" xfId="22605"/>
    <cellStyle name="M_Boo2_인월중군소하천_자전거도로포장수량 12 2" xfId="35039"/>
    <cellStyle name="M_Boo2_인월중군소하천_자전거도로포장수량 13" xfId="21577"/>
    <cellStyle name="M_Boo2_인월중군소하천_자전거도로포장수량 13 2" xfId="34014"/>
    <cellStyle name="M_Boo2_인월중군소하천_자전거도로포장수량 14" xfId="20924"/>
    <cellStyle name="M_Boo2_인월중군소하천_자전거도로포장수량 14 2" xfId="33361"/>
    <cellStyle name="M_Boo2_인월중군소하천_자전거도로포장수량 15" xfId="19575"/>
    <cellStyle name="M_Boo2_인월중군소하천_자전거도로포장수량 15 2" xfId="32030"/>
    <cellStyle name="M_Boo2_인월중군소하천_자전거도로포장수량 16" xfId="21068"/>
    <cellStyle name="M_Boo2_인월중군소하천_자전거도로포장수량 16 2" xfId="33505"/>
    <cellStyle name="M_Boo2_인월중군소하천_자전거도로포장수량 17" xfId="24383"/>
    <cellStyle name="M_Boo2_인월중군소하천_자전거도로포장수량 17 2" xfId="36814"/>
    <cellStyle name="M_Boo2_인월중군소하천_자전거도로포장수량 18" xfId="21501"/>
    <cellStyle name="M_Boo2_인월중군소하천_자전거도로포장수량 18 2" xfId="33938"/>
    <cellStyle name="M_Boo2_인월중군소하천_자전거도로포장수량 19" xfId="18445"/>
    <cellStyle name="M_Boo2_인월중군소하천_자전거도로포장수량 19 2" xfId="31150"/>
    <cellStyle name="M_Boo2_인월중군소하천_자전거도로포장수량 2" xfId="13419"/>
    <cellStyle name="M_Boo2_인월중군소하천_자전거도로포장수량 2 2" xfId="26287"/>
    <cellStyle name="M_Boo2_인월중군소하천_자전거도로포장수량 20" xfId="22336"/>
    <cellStyle name="M_Boo2_인월중군소하천_자전거도로포장수량 20 2" xfId="34770"/>
    <cellStyle name="M_Boo2_인월중군소하천_자전거도로포장수량 21" xfId="23643"/>
    <cellStyle name="M_Boo2_인월중군소하천_자전거도로포장수량 21 2" xfId="36074"/>
    <cellStyle name="M_Boo2_인월중군소하천_자전거도로포장수량 3" xfId="16115"/>
    <cellStyle name="M_Boo2_인월중군소하천_자전거도로포장수량 3 2" xfId="28898"/>
    <cellStyle name="M_Boo2_인월중군소하천_자전거도로포장수량 4" xfId="13754"/>
    <cellStyle name="M_Boo2_인월중군소하천_자전거도로포장수량 4 2" xfId="26615"/>
    <cellStyle name="M_Boo2_인월중군소하천_자전거도로포장수량 5" xfId="15509"/>
    <cellStyle name="M_Boo2_인월중군소하천_자전거도로포장수량 5 2" xfId="28318"/>
    <cellStyle name="M_Boo2_인월중군소하천_자전거도로포장수량 6" xfId="13220"/>
    <cellStyle name="M_Boo2_인월중군소하천_자전거도로포장수량 6 2" xfId="26088"/>
    <cellStyle name="M_Boo2_인월중군소하천_자전거도로포장수량 7" xfId="12668"/>
    <cellStyle name="M_Boo2_인월중군소하천_자전거도로포장수량 7 2" xfId="25547"/>
    <cellStyle name="M_Boo2_인월중군소하천_자전거도로포장수량 8" xfId="15365"/>
    <cellStyle name="M_Boo2_인월중군소하천_자전거도로포장수량 8 2" xfId="28182"/>
    <cellStyle name="M_Boo2_인월중군소하천_자전거도로포장수량 9" xfId="16945"/>
    <cellStyle name="M_Boo2_인월중군소하천_자전거도로포장수량 9 2" xfId="29720"/>
    <cellStyle name="M_Boo2_자전거도로구조물공수량" xfId="2616"/>
    <cellStyle name="M_Boo2_자전거도로구조물공수량 10" xfId="17791"/>
    <cellStyle name="M_Boo2_자전거도로구조물공수량 10 2" xfId="30508"/>
    <cellStyle name="M_Boo2_자전거도로구조물공수량 11" xfId="19356"/>
    <cellStyle name="M_Boo2_자전거도로구조물공수량 12" xfId="22604"/>
    <cellStyle name="M_Boo2_자전거도로구조물공수량 12 2" xfId="35038"/>
    <cellStyle name="M_Boo2_자전거도로구조물공수량 13" xfId="21578"/>
    <cellStyle name="M_Boo2_자전거도로구조물공수량 13 2" xfId="34015"/>
    <cellStyle name="M_Boo2_자전거도로구조물공수량 14" xfId="22338"/>
    <cellStyle name="M_Boo2_자전거도로구조물공수량 14 2" xfId="34772"/>
    <cellStyle name="M_Boo2_자전거도로구조물공수량 15" xfId="19811"/>
    <cellStyle name="M_Boo2_자전거도로구조물공수량 15 2" xfId="32261"/>
    <cellStyle name="M_Boo2_자전거도로구조물공수량 16" xfId="23080"/>
    <cellStyle name="M_Boo2_자전거도로구조물공수량 16 2" xfId="35513"/>
    <cellStyle name="M_Boo2_자전거도로구조물공수량 17" xfId="24382"/>
    <cellStyle name="M_Boo2_자전거도로구조물공수량 17 2" xfId="36813"/>
    <cellStyle name="M_Boo2_자전거도로구조물공수량 18" xfId="19266"/>
    <cellStyle name="M_Boo2_자전거도로구조물공수량 18 2" xfId="31921"/>
    <cellStyle name="M_Boo2_자전거도로구조물공수량 19" xfId="24195"/>
    <cellStyle name="M_Boo2_자전거도로구조물공수량 19 2" xfId="36626"/>
    <cellStyle name="M_Boo2_자전거도로구조물공수량 2" xfId="13420"/>
    <cellStyle name="M_Boo2_자전거도로구조물공수량 2 2" xfId="26288"/>
    <cellStyle name="M_Boo2_자전거도로구조물공수량 20" xfId="24467"/>
    <cellStyle name="M_Boo2_자전거도로구조물공수량 20 2" xfId="36898"/>
    <cellStyle name="M_Boo2_자전거도로구조물공수량 21" xfId="18479"/>
    <cellStyle name="M_Boo2_자전거도로구조물공수량 21 2" xfId="31184"/>
    <cellStyle name="M_Boo2_자전거도로구조물공수량 3" xfId="16114"/>
    <cellStyle name="M_Boo2_자전거도로구조물공수량 3 2" xfId="28897"/>
    <cellStyle name="M_Boo2_자전거도로구조물공수량 4" xfId="16382"/>
    <cellStyle name="M_Boo2_자전거도로구조물공수량 4 2" xfId="29158"/>
    <cellStyle name="M_Boo2_자전거도로구조물공수량 5" xfId="15510"/>
    <cellStyle name="M_Boo2_자전거도로구조물공수량 5 2" xfId="28319"/>
    <cellStyle name="M_Boo2_자전거도로구조물공수량 6" xfId="15964"/>
    <cellStyle name="M_Boo2_자전거도로구조물공수량 6 2" xfId="28762"/>
    <cellStyle name="M_Boo2_자전거도로구조물공수량 7" xfId="15927"/>
    <cellStyle name="M_Boo2_자전거도로구조물공수량 7 2" xfId="28725"/>
    <cellStyle name="M_Boo2_자전거도로구조물공수량 8" xfId="17963"/>
    <cellStyle name="M_Boo2_자전거도로구조물공수량 8 2" xfId="30675"/>
    <cellStyle name="M_Boo2_자전거도로구조물공수량 9" xfId="13609"/>
    <cellStyle name="M_Boo2_자전거도로구조물공수량 9 2" xfId="26477"/>
    <cellStyle name="M_Boo2_자전거도로포장수량" xfId="2617"/>
    <cellStyle name="M_Boo2_자전거도로포장수량 10" xfId="15460"/>
    <cellStyle name="M_Boo2_자전거도로포장수량 10 2" xfId="28269"/>
    <cellStyle name="M_Boo2_자전거도로포장수량 11" xfId="19357"/>
    <cellStyle name="M_Boo2_자전거도로포장수량 12" xfId="22603"/>
    <cellStyle name="M_Boo2_자전거도로포장수량 12 2" xfId="35037"/>
    <cellStyle name="M_Boo2_자전거도로포장수량 13" xfId="21579"/>
    <cellStyle name="M_Boo2_자전거도로포장수량 13 2" xfId="34016"/>
    <cellStyle name="M_Boo2_자전거도로포장수량 14" xfId="20693"/>
    <cellStyle name="M_Boo2_자전거도로포장수량 14 2" xfId="33136"/>
    <cellStyle name="M_Boo2_자전거도로포장수량 15" xfId="21802"/>
    <cellStyle name="M_Boo2_자전거도로포장수량 15 2" xfId="34239"/>
    <cellStyle name="M_Boo2_자전거도로포장수량 16" xfId="23079"/>
    <cellStyle name="M_Boo2_자전거도로포장수량 16 2" xfId="35512"/>
    <cellStyle name="M_Boo2_자전거도로포장수량 17" xfId="19153"/>
    <cellStyle name="M_Boo2_자전거도로포장수량 17 2" xfId="31808"/>
    <cellStyle name="M_Boo2_자전거도로포장수량 18" xfId="22061"/>
    <cellStyle name="M_Boo2_자전거도로포장수량 18 2" xfId="34498"/>
    <cellStyle name="M_Boo2_자전거도로포장수량 19" xfId="24196"/>
    <cellStyle name="M_Boo2_자전거도로포장수량 19 2" xfId="36627"/>
    <cellStyle name="M_Boo2_자전거도로포장수량 2" xfId="13421"/>
    <cellStyle name="M_Boo2_자전거도로포장수량 2 2" xfId="26289"/>
    <cellStyle name="M_Boo2_자전거도로포장수량 20" xfId="21974"/>
    <cellStyle name="M_Boo2_자전거도로포장수량 20 2" xfId="34411"/>
    <cellStyle name="M_Boo2_자전거도로포장수량 21" xfId="21745"/>
    <cellStyle name="M_Boo2_자전거도로포장수량 21 2" xfId="34182"/>
    <cellStyle name="M_Boo2_자전거도로포장수량 3" xfId="16113"/>
    <cellStyle name="M_Boo2_자전거도로포장수량 3 2" xfId="28896"/>
    <cellStyle name="M_Boo2_자전거도로포장수량 4" xfId="16184"/>
    <cellStyle name="M_Boo2_자전거도로포장수량 4 2" xfId="28960"/>
    <cellStyle name="M_Boo2_자전거도로포장수량 5" xfId="15511"/>
    <cellStyle name="M_Boo2_자전거도로포장수량 5 2" xfId="28320"/>
    <cellStyle name="M_Boo2_자전거도로포장수량 6" xfId="13219"/>
    <cellStyle name="M_Boo2_자전거도로포장수량 6 2" xfId="26087"/>
    <cellStyle name="M_Boo2_자전거도로포장수량 7" xfId="13772"/>
    <cellStyle name="M_Boo2_자전거도로포장수량 7 2" xfId="26633"/>
    <cellStyle name="M_Boo2_자전거도로포장수량 8" xfId="17330"/>
    <cellStyle name="M_Boo2_자전거도로포장수량 8 2" xfId="30059"/>
    <cellStyle name="M_Boo2_자전거도로포장수량 9" xfId="16086"/>
    <cellStyle name="M_Boo2_자전거도로포장수량 9 2" xfId="28869"/>
    <cellStyle name="M_Book2" xfId="2618"/>
    <cellStyle name="M_Book2 10" xfId="17790"/>
    <cellStyle name="M_Book2 10 2" xfId="30507"/>
    <cellStyle name="M_Book2 11" xfId="19358"/>
    <cellStyle name="M_Book2 12" xfId="22602"/>
    <cellStyle name="M_Book2 12 2" xfId="35036"/>
    <cellStyle name="M_Book2 13" xfId="21580"/>
    <cellStyle name="M_Book2 13 2" xfId="34017"/>
    <cellStyle name="M_Book2 14" xfId="21775"/>
    <cellStyle name="M_Book2 14 2" xfId="34212"/>
    <cellStyle name="M_Book2 15" xfId="19812"/>
    <cellStyle name="M_Book2 15 2" xfId="32262"/>
    <cellStyle name="M_Book2 16" xfId="20595"/>
    <cellStyle name="M_Book2 16 2" xfId="33039"/>
    <cellStyle name="M_Book2 17" xfId="24095"/>
    <cellStyle name="M_Book2 17 2" xfId="36526"/>
    <cellStyle name="M_Book2 18" xfId="23160"/>
    <cellStyle name="M_Book2 18 2" xfId="35593"/>
    <cellStyle name="M_Book2 19" xfId="20596"/>
    <cellStyle name="M_Book2 19 2" xfId="33040"/>
    <cellStyle name="M_Book2 2" xfId="13422"/>
    <cellStyle name="M_Book2 2 2" xfId="26290"/>
    <cellStyle name="M_Book2 20" xfId="24468"/>
    <cellStyle name="M_Book2 20 2" xfId="36899"/>
    <cellStyle name="M_Book2 21" xfId="20490"/>
    <cellStyle name="M_Book2 21 2" xfId="32935"/>
    <cellStyle name="M_Book2 3" xfId="16112"/>
    <cellStyle name="M_Book2 3 2" xfId="28895"/>
    <cellStyle name="M_Book2 4" xfId="16378"/>
    <cellStyle name="M_Book2 4 2" xfId="29154"/>
    <cellStyle name="M_Book2 5" xfId="15512"/>
    <cellStyle name="M_Book2 5 2" xfId="28321"/>
    <cellStyle name="M_Book2 6" xfId="15963"/>
    <cellStyle name="M_Book2 6 2" xfId="28761"/>
    <cellStyle name="M_Book2 7" xfId="13702"/>
    <cellStyle name="M_Book2 7 2" xfId="26566"/>
    <cellStyle name="M_Book2 8" xfId="17962"/>
    <cellStyle name="M_Book2 8 2" xfId="30674"/>
    <cellStyle name="M_Book2 9" xfId="13720"/>
    <cellStyle name="M_Book2 9 2" xfId="26581"/>
    <cellStyle name="M_Book2_도로수량양식" xfId="2619"/>
    <cellStyle name="M_Book2_도로수량양식 10" xfId="15459"/>
    <cellStyle name="M_Book2_도로수량양식 10 2" xfId="28268"/>
    <cellStyle name="M_Book2_도로수량양식 11" xfId="19359"/>
    <cellStyle name="M_Book2_도로수량양식 12" xfId="22601"/>
    <cellStyle name="M_Book2_도로수량양식 12 2" xfId="35035"/>
    <cellStyle name="M_Book2_도로수량양식 13" xfId="21581"/>
    <cellStyle name="M_Book2_도로수량양식 13 2" xfId="34018"/>
    <cellStyle name="M_Book2_도로수량양식 14" xfId="23960"/>
    <cellStyle name="M_Book2_도로수량양식 14 2" xfId="36391"/>
    <cellStyle name="M_Book2_도로수량양식 15" xfId="21803"/>
    <cellStyle name="M_Book2_도로수량양식 15 2" xfId="34240"/>
    <cellStyle name="M_Book2_도로수량양식 16" xfId="22126"/>
    <cellStyle name="M_Book2_도로수량양식 16 2" xfId="34562"/>
    <cellStyle name="M_Book2_도로수량양식 17" xfId="24618"/>
    <cellStyle name="M_Book2_도로수량양식 17 2" xfId="37049"/>
    <cellStyle name="M_Book2_도로수량양식 18" xfId="22060"/>
    <cellStyle name="M_Book2_도로수량양식 18 2" xfId="34497"/>
    <cellStyle name="M_Book2_도로수량양식 19" xfId="23797"/>
    <cellStyle name="M_Book2_도로수량양식 19 2" xfId="36228"/>
    <cellStyle name="M_Book2_도로수량양식 2" xfId="13423"/>
    <cellStyle name="M_Book2_도로수량양식 2 2" xfId="26291"/>
    <cellStyle name="M_Book2_도로수량양식 20" xfId="22298"/>
    <cellStyle name="M_Book2_도로수량양식 20 2" xfId="34732"/>
    <cellStyle name="M_Book2_도로수량양식 21" xfId="22151"/>
    <cellStyle name="M_Book2_도로수량양식 21 2" xfId="34587"/>
    <cellStyle name="M_Book2_도로수량양식 3" xfId="16111"/>
    <cellStyle name="M_Book2_도로수량양식 3 2" xfId="28894"/>
    <cellStyle name="M_Book2_도로수량양식 4" xfId="16390"/>
    <cellStyle name="M_Book2_도로수량양식 4 2" xfId="29166"/>
    <cellStyle name="M_Book2_도로수량양식 5" xfId="15513"/>
    <cellStyle name="M_Book2_도로수량양식 5 2" xfId="28322"/>
    <cellStyle name="M_Book2_도로수량양식 6" xfId="13218"/>
    <cellStyle name="M_Book2_도로수량양식 6 2" xfId="26086"/>
    <cellStyle name="M_Book2_도로수량양식 7" xfId="15613"/>
    <cellStyle name="M_Book2_도로수량양식 7 2" xfId="28422"/>
    <cellStyle name="M_Book2_도로수량양식 8" xfId="16998"/>
    <cellStyle name="M_Book2_도로수량양식 8 2" xfId="29773"/>
    <cellStyle name="M_Book2_도로수량양식 9" xfId="13039"/>
    <cellStyle name="M_Book2_도로수량양식 9 2" xfId="25913"/>
    <cellStyle name="M_Book2_도로수량양식_자전거도로구조물공수량" xfId="2620"/>
    <cellStyle name="M_Book2_도로수량양식_자전거도로구조물공수량 10" xfId="17789"/>
    <cellStyle name="M_Book2_도로수량양식_자전거도로구조물공수량 10 2" xfId="30506"/>
    <cellStyle name="M_Book2_도로수량양식_자전거도로구조물공수량 11" xfId="19360"/>
    <cellStyle name="M_Book2_도로수량양식_자전거도로구조물공수량 12" xfId="22600"/>
    <cellStyle name="M_Book2_도로수량양식_자전거도로구조물공수량 12 2" xfId="35034"/>
    <cellStyle name="M_Book2_도로수량양식_자전거도로구조물공수량 13" xfId="21582"/>
    <cellStyle name="M_Book2_도로수량양식_자전거도로구조물공수량 13 2" xfId="34019"/>
    <cellStyle name="M_Book2_도로수량양식_자전거도로구조물공수량 14" xfId="23959"/>
    <cellStyle name="M_Book2_도로수량양식_자전거도로구조물공수량 14 2" xfId="36390"/>
    <cellStyle name="M_Book2_도로수량양식_자전거도로구조물공수량 15" xfId="21733"/>
    <cellStyle name="M_Book2_도로수량양식_자전거도로구조물공수량 15 2" xfId="34170"/>
    <cellStyle name="M_Book2_도로수량양식_자전거도로구조물공수량 16" xfId="22125"/>
    <cellStyle name="M_Book2_도로수량양식_자전거도로구조물공수량 16 2" xfId="34561"/>
    <cellStyle name="M_Book2_도로수량양식_자전거도로구조물공수량 17" xfId="24617"/>
    <cellStyle name="M_Book2_도로수량양식_자전거도로구조물공수량 17 2" xfId="37048"/>
    <cellStyle name="M_Book2_도로수량양식_자전거도로구조물공수량 18" xfId="23124"/>
    <cellStyle name="M_Book2_도로수량양식_자전거도로구조물공수량 18 2" xfId="35557"/>
    <cellStyle name="M_Book2_도로수량양식_자전거도로구조물공수량 19" xfId="22178"/>
    <cellStyle name="M_Book2_도로수량양식_자전거도로구조물공수량 19 2" xfId="34614"/>
    <cellStyle name="M_Book2_도로수량양식_자전거도로구조물공수량 2" xfId="13424"/>
    <cellStyle name="M_Book2_도로수량양식_자전거도로구조물공수량 2 2" xfId="26292"/>
    <cellStyle name="M_Book2_도로수량양식_자전거도로구조물공수량 20" xfId="24469"/>
    <cellStyle name="M_Book2_도로수량양식_자전거도로구조물공수량 20 2" xfId="36900"/>
    <cellStyle name="M_Book2_도로수량양식_자전거도로구조물공수량 21" xfId="21746"/>
    <cellStyle name="M_Book2_도로수량양식_자전거도로구조물공수량 21 2" xfId="34183"/>
    <cellStyle name="M_Book2_도로수량양식_자전거도로구조물공수량 3" xfId="16110"/>
    <cellStyle name="M_Book2_도로수량양식_자전거도로구조물공수량 3 2" xfId="28893"/>
    <cellStyle name="M_Book2_도로수량양식_자전거도로구조물공수량 4" xfId="13980"/>
    <cellStyle name="M_Book2_도로수량양식_자전거도로구조물공수량 4 2" xfId="26837"/>
    <cellStyle name="M_Book2_도로수량양식_자전거도로구조물공수량 5" xfId="15514"/>
    <cellStyle name="M_Book2_도로수량양식_자전거도로구조물공수량 5 2" xfId="28323"/>
    <cellStyle name="M_Book2_도로수량양식_자전거도로구조물공수량 6" xfId="14629"/>
    <cellStyle name="M_Book2_도로수량양식_자전거도로구조물공수량 6 2" xfId="27455"/>
    <cellStyle name="M_Book2_도로수량양식_자전거도로구조물공수량 7" xfId="14087"/>
    <cellStyle name="M_Book2_도로수량양식_자전거도로구조물공수량 7 2" xfId="26935"/>
    <cellStyle name="M_Book2_도로수량양식_자전거도로구조물공수량 8" xfId="15243"/>
    <cellStyle name="M_Book2_도로수량양식_자전거도로구조물공수량 8 2" xfId="28061"/>
    <cellStyle name="M_Book2_도로수량양식_자전거도로구조물공수량 9" xfId="17831"/>
    <cellStyle name="M_Book2_도로수량양식_자전거도로구조물공수량 9 2" xfId="30547"/>
    <cellStyle name="M_Book2_도로수량양식_자전거도로포장수량" xfId="2621"/>
    <cellStyle name="M_Book2_도로수량양식_자전거도로포장수량 10" xfId="15455"/>
    <cellStyle name="M_Book2_도로수량양식_자전거도로포장수량 10 2" xfId="28264"/>
    <cellStyle name="M_Book2_도로수량양식_자전거도로포장수량 11" xfId="19361"/>
    <cellStyle name="M_Book2_도로수량양식_자전거도로포장수량 12" xfId="22599"/>
    <cellStyle name="M_Book2_도로수량양식_자전거도로포장수량 12 2" xfId="35033"/>
    <cellStyle name="M_Book2_도로수량양식_자전거도로포장수량 13" xfId="21583"/>
    <cellStyle name="M_Book2_도로수량양식_자전거도로포장수량 13 2" xfId="34020"/>
    <cellStyle name="M_Book2_도로수량양식_자전거도로포장수량 14" xfId="23958"/>
    <cellStyle name="M_Book2_도로수량양식_자전거도로포장수량 14 2" xfId="36389"/>
    <cellStyle name="M_Book2_도로수량양식_자전거도로포장수량 15" xfId="19720"/>
    <cellStyle name="M_Book2_도로수량양식_자전거도로포장수량 15 2" xfId="32173"/>
    <cellStyle name="M_Book2_도로수량양식_자전거도로포장수량 16" xfId="21539"/>
    <cellStyle name="M_Book2_도로수량양식_자전거도로포장수량 16 2" xfId="33976"/>
    <cellStyle name="M_Book2_도로수량양식_자전거도로포장수량 17" xfId="24616"/>
    <cellStyle name="M_Book2_도로수량양식_자전거도로포장수량 17 2" xfId="37047"/>
    <cellStyle name="M_Book2_도로수량양식_자전거도로포장수량 18" xfId="22059"/>
    <cellStyle name="M_Book2_도로수량양식_자전거도로포장수량 18 2" xfId="34496"/>
    <cellStyle name="M_Book2_도로수량양식_자전거도로포장수량 19" xfId="19088"/>
    <cellStyle name="M_Book2_도로수량양식_자전거도로포장수량 19 2" xfId="31793"/>
    <cellStyle name="M_Book2_도로수량양식_자전거도로포장수량 2" xfId="13425"/>
    <cellStyle name="M_Book2_도로수량양식_자전거도로포장수량 2 2" xfId="26293"/>
    <cellStyle name="M_Book2_도로수량양식_자전거도로포장수량 20" xfId="18811"/>
    <cellStyle name="M_Book2_도로수량양식_자전거도로포장수량 20 2" xfId="31516"/>
    <cellStyle name="M_Book2_도로수량양식_자전거도로포장수량 21" xfId="18342"/>
    <cellStyle name="M_Book2_도로수량양식_자전거도로포장수량 21 2" xfId="31048"/>
    <cellStyle name="M_Book2_도로수량양식_자전거도로포장수량 3" xfId="16109"/>
    <cellStyle name="M_Book2_도로수량양식_자전거도로포장수량 3 2" xfId="28892"/>
    <cellStyle name="M_Book2_도로수량양식_자전거도로포장수량 4" xfId="13753"/>
    <cellStyle name="M_Book2_도로수량양식_자전거도로포장수량 4 2" xfId="26614"/>
    <cellStyle name="M_Book2_도로수량양식_자전거도로포장수량 5" xfId="15515"/>
    <cellStyle name="M_Book2_도로수량양식_자전거도로포장수량 5 2" xfId="28324"/>
    <cellStyle name="M_Book2_도로수량양식_자전거도로포장수량 6" xfId="13217"/>
    <cellStyle name="M_Book2_도로수량양식_자전거도로포장수량 6 2" xfId="26085"/>
    <cellStyle name="M_Book2_도로수량양식_자전거도로포장수량 7" xfId="13771"/>
    <cellStyle name="M_Book2_도로수량양식_자전거도로포장수량 7 2" xfId="26632"/>
    <cellStyle name="M_Book2_도로수량양식_자전거도로포장수량 8" xfId="13683"/>
    <cellStyle name="M_Book2_도로수량양식_자전거도로포장수량 8 2" xfId="26548"/>
    <cellStyle name="M_Book2_도로수량양식_자전거도로포장수량 9" xfId="14695"/>
    <cellStyle name="M_Book2_도로수량양식_자전거도로포장수량 9 2" xfId="27521"/>
    <cellStyle name="M_Book2_수량산출" xfId="2622"/>
    <cellStyle name="M_Book2_수량산출 10" xfId="17788"/>
    <cellStyle name="M_Book2_수량산출 10 2" xfId="30505"/>
    <cellStyle name="M_Book2_수량산출 11" xfId="19362"/>
    <cellStyle name="M_Book2_수량산출 12" xfId="22598"/>
    <cellStyle name="M_Book2_수량산출 12 2" xfId="35032"/>
    <cellStyle name="M_Book2_수량산출 13" xfId="21584"/>
    <cellStyle name="M_Book2_수량산출 13 2" xfId="34021"/>
    <cellStyle name="M_Book2_수량산출 14" xfId="23957"/>
    <cellStyle name="M_Book2_수량산출 14 2" xfId="36388"/>
    <cellStyle name="M_Book2_수량산출 15" xfId="24270"/>
    <cellStyle name="M_Book2_수량산출 15 2" xfId="36701"/>
    <cellStyle name="M_Book2_수량산출 16" xfId="23078"/>
    <cellStyle name="M_Book2_수량산출 16 2" xfId="35511"/>
    <cellStyle name="M_Book2_수량산출 17" xfId="24615"/>
    <cellStyle name="M_Book2_수량산출 17 2" xfId="37046"/>
    <cellStyle name="M_Book2_수량산출 18" xfId="20725"/>
    <cellStyle name="M_Book2_수량산출 18 2" xfId="33165"/>
    <cellStyle name="M_Book2_수량산출 19" xfId="19278"/>
    <cellStyle name="M_Book2_수량산출 19 2" xfId="31933"/>
    <cellStyle name="M_Book2_수량산출 2" xfId="13426"/>
    <cellStyle name="M_Book2_수량산출 2 2" xfId="26294"/>
    <cellStyle name="M_Book2_수량산출 20" xfId="24470"/>
    <cellStyle name="M_Book2_수량산출 20 2" xfId="36901"/>
    <cellStyle name="M_Book2_수량산출 21" xfId="24847"/>
    <cellStyle name="M_Book2_수량산출 21 2" xfId="37278"/>
    <cellStyle name="M_Book2_수량산출 3" xfId="16108"/>
    <cellStyle name="M_Book2_수량산출 3 2" xfId="28891"/>
    <cellStyle name="M_Book2_수량산출 4" xfId="17371"/>
    <cellStyle name="M_Book2_수량산출 4 2" xfId="30100"/>
    <cellStyle name="M_Book2_수량산출 5" xfId="15516"/>
    <cellStyle name="M_Book2_수량산출 5 2" xfId="28325"/>
    <cellStyle name="M_Book2_수량산출 6" xfId="13356"/>
    <cellStyle name="M_Book2_수량산출 6 2" xfId="26224"/>
    <cellStyle name="M_Book2_수량산출 7" xfId="14293"/>
    <cellStyle name="M_Book2_수량산출 7 2" xfId="27126"/>
    <cellStyle name="M_Book2_수량산출 8" xfId="15820"/>
    <cellStyle name="M_Book2_수량산출 8 2" xfId="28618"/>
    <cellStyle name="M_Book2_수량산출 9" xfId="17832"/>
    <cellStyle name="M_Book2_수량산출 9 2" xfId="30548"/>
    <cellStyle name="M_Book2_수량산출_자전거도로구조물공수량" xfId="2623"/>
    <cellStyle name="M_Book2_수량산출_자전거도로구조물공수량 10" xfId="13076"/>
    <cellStyle name="M_Book2_수량산출_자전거도로구조물공수량 10 2" xfId="25945"/>
    <cellStyle name="M_Book2_수량산출_자전거도로구조물공수량 11" xfId="19363"/>
    <cellStyle name="M_Book2_수량산출_자전거도로구조물공수량 12" xfId="22597"/>
    <cellStyle name="M_Book2_수량산출_자전거도로구조물공수량 12 2" xfId="35031"/>
    <cellStyle name="M_Book2_수량산출_자전거도로구조물공수량 13" xfId="21585"/>
    <cellStyle name="M_Book2_수량산출_자전거도로구조물공수량 13 2" xfId="34022"/>
    <cellStyle name="M_Book2_수량산출_자전거도로구조물공수량 14" xfId="23956"/>
    <cellStyle name="M_Book2_수량산출_자전거도로구조물공수량 14 2" xfId="36387"/>
    <cellStyle name="M_Book2_수량산출_자전거도로구조물공수량 15" xfId="24269"/>
    <cellStyle name="M_Book2_수량산출_자전거도로구조물공수량 15 2" xfId="36700"/>
    <cellStyle name="M_Book2_수량산출_자전거도로구조물공수량 16" xfId="22124"/>
    <cellStyle name="M_Book2_수량산출_자전거도로구조물공수량 16 2" xfId="34560"/>
    <cellStyle name="M_Book2_수량산출_자전거도로구조물공수량 17" xfId="24614"/>
    <cellStyle name="M_Book2_수량산출_자전거도로구조물공수량 17 2" xfId="37045"/>
    <cellStyle name="M_Book2_수량산출_자전거도로구조물공수량 18" xfId="19826"/>
    <cellStyle name="M_Book2_수량산출_자전거도로구조물공수량 18 2" xfId="32276"/>
    <cellStyle name="M_Book2_수량산출_자전거도로구조물공수량 19" xfId="21073"/>
    <cellStyle name="M_Book2_수량산출_자전거도로구조물공수량 19 2" xfId="33510"/>
    <cellStyle name="M_Book2_수량산출_자전거도로구조물공수량 2" xfId="13427"/>
    <cellStyle name="M_Book2_수량산출_자전거도로구조물공수량 2 2" xfId="26295"/>
    <cellStyle name="M_Book2_수량산출_자전거도로구조물공수량 20" xfId="23671"/>
    <cellStyle name="M_Book2_수량산출_자전거도로구조물공수량 20 2" xfId="36102"/>
    <cellStyle name="M_Book2_수량산출_자전거도로구조물공수량 21" xfId="22212"/>
    <cellStyle name="M_Book2_수량산출_자전거도로구조물공수량 21 2" xfId="34647"/>
    <cellStyle name="M_Book2_수량산출_자전거도로구조물공수량 3" xfId="16107"/>
    <cellStyle name="M_Book2_수량산출_자전거도로구조물공수량 3 2" xfId="28890"/>
    <cellStyle name="M_Book2_수량산출_자전거도로구조물공수량 4" xfId="17370"/>
    <cellStyle name="M_Book2_수량산출_자전거도로구조물공수량 4 2" xfId="30099"/>
    <cellStyle name="M_Book2_수량산출_자전거도로구조물공수량 5" xfId="15517"/>
    <cellStyle name="M_Book2_수량산출_자전거도로구조물공수량 5 2" xfId="28326"/>
    <cellStyle name="M_Book2_수량산출_자전거도로구조물공수량 6" xfId="13216"/>
    <cellStyle name="M_Book2_수량산출_자전거도로구조물공수량 6 2" xfId="26084"/>
    <cellStyle name="M_Book2_수량산출_자전거도로구조물공수량 7" xfId="13701"/>
    <cellStyle name="M_Book2_수량산출_자전거도로구조물공수량 7 2" xfId="26565"/>
    <cellStyle name="M_Book2_수량산출_자전거도로구조물공수량 8" xfId="15768"/>
    <cellStyle name="M_Book2_수량산출_자전거도로구조물공수량 8 2" xfId="28567"/>
    <cellStyle name="M_Book2_수량산출_자전거도로구조물공수량 9" xfId="12782"/>
    <cellStyle name="M_Book2_수량산출_자전거도로구조물공수량 9 2" xfId="25658"/>
    <cellStyle name="M_Book2_수량산출_자전거도로포장수량" xfId="2624"/>
    <cellStyle name="M_Book2_수량산출_자전거도로포장수량 10" xfId="17282"/>
    <cellStyle name="M_Book2_수량산출_자전거도로포장수량 10 2" xfId="30011"/>
    <cellStyle name="M_Book2_수량산출_자전거도로포장수량 11" xfId="19364"/>
    <cellStyle name="M_Book2_수량산출_자전거도로포장수량 12" xfId="22596"/>
    <cellStyle name="M_Book2_수량산출_자전거도로포장수량 12 2" xfId="35030"/>
    <cellStyle name="M_Book2_수량산출_자전거도로포장수량 13" xfId="21586"/>
    <cellStyle name="M_Book2_수량산출_자전거도로포장수량 13 2" xfId="34023"/>
    <cellStyle name="M_Book2_수량산출_자전거도로포장수량 14" xfId="23955"/>
    <cellStyle name="M_Book2_수량산출_자전거도로포장수량 14 2" xfId="36386"/>
    <cellStyle name="M_Book2_수량산출_자전거도로포장수량 15" xfId="24268"/>
    <cellStyle name="M_Book2_수량산출_자전거도로포장수량 15 2" xfId="36699"/>
    <cellStyle name="M_Book2_수량산출_자전거도로포장수량 16" xfId="21538"/>
    <cellStyle name="M_Book2_수량산출_자전거도로포장수량 16 2" xfId="33975"/>
    <cellStyle name="M_Book2_수량산출_자전거도로포장수량 17" xfId="24613"/>
    <cellStyle name="M_Book2_수량산출_자전거도로포장수량 17 2" xfId="37044"/>
    <cellStyle name="M_Book2_수량산출_자전거도로포장수량 18" xfId="23842"/>
    <cellStyle name="M_Book2_수량산출_자전거도로포장수량 18 2" xfId="36273"/>
    <cellStyle name="M_Book2_수량산출_자전거도로포장수량 19" xfId="23632"/>
    <cellStyle name="M_Book2_수량산출_자전거도로포장수량 19 2" xfId="36063"/>
    <cellStyle name="M_Book2_수량산출_자전거도로포장수량 2" xfId="13428"/>
    <cellStyle name="M_Book2_수량산출_자전거도로포장수량 2 2" xfId="26296"/>
    <cellStyle name="M_Book2_수량산출_자전거도로포장수량 20" xfId="24471"/>
    <cellStyle name="M_Book2_수량산출_자전거도로포장수량 20 2" xfId="36902"/>
    <cellStyle name="M_Book2_수량산출_자전거도로포장수량 21" xfId="24896"/>
    <cellStyle name="M_Book2_수량산출_자전거도로포장수량 21 2" xfId="37327"/>
    <cellStyle name="M_Book2_수량산출_자전거도로포장수량 3" xfId="16106"/>
    <cellStyle name="M_Book2_수량산출_자전거도로포장수량 3 2" xfId="28889"/>
    <cellStyle name="M_Book2_수량산출_자전거도로포장수량 4" xfId="17369"/>
    <cellStyle name="M_Book2_수량산출_자전거도로포장수량 4 2" xfId="30098"/>
    <cellStyle name="M_Book2_수량산출_자전거도로포장수량 5" xfId="15518"/>
    <cellStyle name="M_Book2_수량산출_자전거도로포장수량 5 2" xfId="28327"/>
    <cellStyle name="M_Book2_수량산출_자전거도로포장수량 6" xfId="13355"/>
    <cellStyle name="M_Book2_수량산출_자전거도로포장수량 6 2" xfId="26223"/>
    <cellStyle name="M_Book2_수량산출_자전거도로포장수량 7" xfId="13700"/>
    <cellStyle name="M_Book2_수량산출_자전거도로포장수량 7 2" xfId="26564"/>
    <cellStyle name="M_Book2_수량산출_자전거도로포장수량 8" xfId="14222"/>
    <cellStyle name="M_Book2_수량산출_자전거도로포장수량 8 2" xfId="27068"/>
    <cellStyle name="M_Book2_수량산출_자전거도로포장수량 9" xfId="17971"/>
    <cellStyle name="M_Book2_수량산출_자전거도로포장수량 9 2" xfId="30683"/>
    <cellStyle name="M_Book2_인월중군소하천" xfId="2625"/>
    <cellStyle name="M_Book2_인월중군소하천 10" xfId="14102"/>
    <cellStyle name="M_Book2_인월중군소하천 10 2" xfId="26950"/>
    <cellStyle name="M_Book2_인월중군소하천 11" xfId="19365"/>
    <cellStyle name="M_Book2_인월중군소하천 12" xfId="22595"/>
    <cellStyle name="M_Book2_인월중군소하천 12 2" xfId="35029"/>
    <cellStyle name="M_Book2_인월중군소하천 13" xfId="21587"/>
    <cellStyle name="M_Book2_인월중군소하천 13 2" xfId="34024"/>
    <cellStyle name="M_Book2_인월중군소하천 14" xfId="19568"/>
    <cellStyle name="M_Book2_인월중군소하천 14 2" xfId="32023"/>
    <cellStyle name="M_Book2_인월중군소하천 15" xfId="24267"/>
    <cellStyle name="M_Book2_인월중군소하천 15 2" xfId="36698"/>
    <cellStyle name="M_Book2_인월중군소하천 16" xfId="19874"/>
    <cellStyle name="M_Book2_인월중군소하천 16 2" xfId="32324"/>
    <cellStyle name="M_Book2_인월중군소하천 17" xfId="22200"/>
    <cellStyle name="M_Book2_인월중군소하천 17 2" xfId="34635"/>
    <cellStyle name="M_Book2_인월중군소하천 18" xfId="21042"/>
    <cellStyle name="M_Book2_인월중군소하천 18 2" xfId="33479"/>
    <cellStyle name="M_Book2_인월중군소하천 19" xfId="22002"/>
    <cellStyle name="M_Book2_인월중군소하천 19 2" xfId="34439"/>
    <cellStyle name="M_Book2_인월중군소하천 2" xfId="13429"/>
    <cellStyle name="M_Book2_인월중군소하천 2 2" xfId="26297"/>
    <cellStyle name="M_Book2_인월중군소하천 20" xfId="23672"/>
    <cellStyle name="M_Book2_인월중군소하천 20 2" xfId="36103"/>
    <cellStyle name="M_Book2_인월중군소하천 21" xfId="24895"/>
    <cellStyle name="M_Book2_인월중군소하천 21 2" xfId="37326"/>
    <cellStyle name="M_Book2_인월중군소하천 3" xfId="16105"/>
    <cellStyle name="M_Book2_인월중군소하천 3 2" xfId="28888"/>
    <cellStyle name="M_Book2_인월중군소하천 4" xfId="17368"/>
    <cellStyle name="M_Book2_인월중군소하천 4 2" xfId="30097"/>
    <cellStyle name="M_Book2_인월중군소하천 5" xfId="15519"/>
    <cellStyle name="M_Book2_인월중군소하천 5 2" xfId="28328"/>
    <cellStyle name="M_Book2_인월중군소하천 6" xfId="13215"/>
    <cellStyle name="M_Book2_인월중군소하천 6 2" xfId="26083"/>
    <cellStyle name="M_Book2_인월중군소하천 7" xfId="13699"/>
    <cellStyle name="M_Book2_인월중군소하천 7 2" xfId="26563"/>
    <cellStyle name="M_Book2_인월중군소하천 8" xfId="17010"/>
    <cellStyle name="M_Book2_인월중군소하천 8 2" xfId="29785"/>
    <cellStyle name="M_Book2_인월중군소하천 9" xfId="16087"/>
    <cellStyle name="M_Book2_인월중군소하천 9 2" xfId="28870"/>
    <cellStyle name="M_Book2_인월중군소하천_자전거도로구조물공수량" xfId="2626"/>
    <cellStyle name="M_Book2_인월중군소하천_자전거도로구조물공수량 10" xfId="17787"/>
    <cellStyle name="M_Book2_인월중군소하천_자전거도로구조물공수량 10 2" xfId="30504"/>
    <cellStyle name="M_Book2_인월중군소하천_자전거도로구조물공수량 11" xfId="19366"/>
    <cellStyle name="M_Book2_인월중군소하천_자전거도로구조물공수량 12" xfId="22594"/>
    <cellStyle name="M_Book2_인월중군소하천_자전거도로구조물공수량 12 2" xfId="35028"/>
    <cellStyle name="M_Book2_인월중군소하천_자전거도로구조물공수량 13" xfId="21588"/>
    <cellStyle name="M_Book2_인월중군소하천_자전거도로구조물공수량 13 2" xfId="34025"/>
    <cellStyle name="M_Book2_인월중군소하천_자전거도로구조물공수량 14" xfId="21776"/>
    <cellStyle name="M_Book2_인월중군소하천_자전거도로구조물공수량 14 2" xfId="34213"/>
    <cellStyle name="M_Book2_인월중군소하천_자전거도로구조물공수량 15" xfId="24266"/>
    <cellStyle name="M_Book2_인월중군소하천_자전거도로구조물공수량 15 2" xfId="36697"/>
    <cellStyle name="M_Book2_인월중군소하천_자전거도로구조물공수량 16" xfId="19873"/>
    <cellStyle name="M_Book2_인월중군소하천_자전거도로구조물공수량 16 2" xfId="32323"/>
    <cellStyle name="M_Book2_인월중군소하천_자전거도로구조물공수량 17" xfId="18603"/>
    <cellStyle name="M_Book2_인월중군소하천_자전거도로구조물공수량 17 2" xfId="31308"/>
    <cellStyle name="M_Book2_인월중군소하천_자전거도로구조물공수량 18" xfId="24325"/>
    <cellStyle name="M_Book2_인월중군소하천_자전거도로구조물공수량 18 2" xfId="36756"/>
    <cellStyle name="M_Book2_인월중군소하천_자전거도로구조물공수량 19" xfId="21751"/>
    <cellStyle name="M_Book2_인월중군소하천_자전거도로구조물공수량 19 2" xfId="34188"/>
    <cellStyle name="M_Book2_인월중군소하천_자전거도로구조물공수량 2" xfId="13430"/>
    <cellStyle name="M_Book2_인월중군소하천_자전거도로구조물공수량 2 2" xfId="26298"/>
    <cellStyle name="M_Book2_인월중군소하천_자전거도로구조물공수량 20" xfId="24472"/>
    <cellStyle name="M_Book2_인월중군소하천_자전거도로구조물공수량 20 2" xfId="36903"/>
    <cellStyle name="M_Book2_인월중군소하천_자전거도로구조물공수량 21" xfId="24894"/>
    <cellStyle name="M_Book2_인월중군소하천_자전거도로구조물공수량 21 2" xfId="37325"/>
    <cellStyle name="M_Book2_인월중군소하천_자전거도로구조물공수량 3" xfId="16104"/>
    <cellStyle name="M_Book2_인월중군소하천_자전거도로구조물공수량 3 2" xfId="28887"/>
    <cellStyle name="M_Book2_인월중군소하천_자전거도로구조물공수량 4" xfId="17367"/>
    <cellStyle name="M_Book2_인월중군소하천_자전거도로구조물공수량 4 2" xfId="30096"/>
    <cellStyle name="M_Book2_인월중군소하천_자전거도로구조물공수량 5" xfId="15520"/>
    <cellStyle name="M_Book2_인월중군소하천_자전거도로구조물공수량 5 2" xfId="28329"/>
    <cellStyle name="M_Book2_인월중군소하천_자전거도로구조물공수량 6" xfId="15962"/>
    <cellStyle name="M_Book2_인월중군소하천_자전거도로구조물공수량 6 2" xfId="28760"/>
    <cellStyle name="M_Book2_인월중군소하천_자전거도로구조물공수량 7" xfId="13698"/>
    <cellStyle name="M_Book2_인월중군소하천_자전거도로구조물공수량 7 2" xfId="26562"/>
    <cellStyle name="M_Book2_인월중군소하천_자전거도로구조물공수량 8" xfId="17011"/>
    <cellStyle name="M_Book2_인월중군소하천_자전거도로구조물공수량 8 2" xfId="29786"/>
    <cellStyle name="M_Book2_인월중군소하천_자전거도로구조물공수량 9" xfId="13719"/>
    <cellStyle name="M_Book2_인월중군소하천_자전거도로구조물공수량 9 2" xfId="26580"/>
    <cellStyle name="M_Book2_인월중군소하천_자전거도로포장수량" xfId="2627"/>
    <cellStyle name="M_Book2_인월중군소하천_자전거도로포장수량 10" xfId="12860"/>
    <cellStyle name="M_Book2_인월중군소하천_자전거도로포장수량 10 2" xfId="25736"/>
    <cellStyle name="M_Book2_인월중군소하천_자전거도로포장수량 11" xfId="19367"/>
    <cellStyle name="M_Book2_인월중군소하천_자전거도로포장수량 12" xfId="22593"/>
    <cellStyle name="M_Book2_인월중군소하천_자전거도로포장수량 12 2" xfId="35027"/>
    <cellStyle name="M_Book2_인월중군소하천_자전거도로포장수량 13" xfId="21589"/>
    <cellStyle name="M_Book2_인월중군소하천_자전거도로포장수량 13 2" xfId="34026"/>
    <cellStyle name="M_Book2_인월중군소하천_자전거도로포장수량 14" xfId="20925"/>
    <cellStyle name="M_Book2_인월중군소하천_자전거도로포장수량 14 2" xfId="33362"/>
    <cellStyle name="M_Book2_인월중군소하천_자전거도로포장수량 15" xfId="24265"/>
    <cellStyle name="M_Book2_인월중군소하천_자전거도로포장수량 15 2" xfId="36696"/>
    <cellStyle name="M_Book2_인월중군소하천_자전거도로포장수량 16" xfId="19872"/>
    <cellStyle name="M_Book2_인월중군소하천_자전거도로포장수량 16 2" xfId="32322"/>
    <cellStyle name="M_Book2_인월중군소하천_자전거도로포장수량 17" xfId="24381"/>
    <cellStyle name="M_Book2_인월중군소하천_자전거도로포장수량 17 2" xfId="36812"/>
    <cellStyle name="M_Book2_인월중군소하천_자전거도로포장수량 18" xfId="18905"/>
    <cellStyle name="M_Book2_인월중군소하천_자전거도로포장수량 18 2" xfId="31610"/>
    <cellStyle name="M_Book2_인월중군소하천_자전거도로포장수량 19" xfId="19783"/>
    <cellStyle name="M_Book2_인월중군소하천_자전거도로포장수량 19 2" xfId="32233"/>
    <cellStyle name="M_Book2_인월중군소하천_자전거도로포장수량 2" xfId="13431"/>
    <cellStyle name="M_Book2_인월중군소하천_자전거도로포장수량 2 2" xfId="26299"/>
    <cellStyle name="M_Book2_인월중군소하천_자전거도로포장수량 20" xfId="19904"/>
    <cellStyle name="M_Book2_인월중군소하천_자전거도로포장수량 20 2" xfId="32353"/>
    <cellStyle name="M_Book2_인월중군소하천_자전거도로포장수량 21" xfId="24848"/>
    <cellStyle name="M_Book2_인월중군소하천_자전거도로포장수량 21 2" xfId="37279"/>
    <cellStyle name="M_Book2_인월중군소하천_자전거도로포장수량 3" xfId="16103"/>
    <cellStyle name="M_Book2_인월중군소하천_자전거도로포장수량 3 2" xfId="28886"/>
    <cellStyle name="M_Book2_인월중군소하천_자전거도로포장수량 4" xfId="17366"/>
    <cellStyle name="M_Book2_인월중군소하천_자전거도로포장수량 4 2" xfId="30095"/>
    <cellStyle name="M_Book2_인월중군소하천_자전거도로포장수량 5" xfId="15521"/>
    <cellStyle name="M_Book2_인월중군소하천_자전거도로포장수량 5 2" xfId="28330"/>
    <cellStyle name="M_Book2_인월중군소하천_자전거도로포장수량 6" xfId="13214"/>
    <cellStyle name="M_Book2_인월중군소하천_자전거도로포장수량 6 2" xfId="26082"/>
    <cellStyle name="M_Book2_인월중군소하천_자전거도로포장수량 7" xfId="13697"/>
    <cellStyle name="M_Book2_인월중군소하천_자전거도로포장수량 7 2" xfId="26561"/>
    <cellStyle name="M_Book2_인월중군소하천_자전거도로포장수량 8" xfId="13036"/>
    <cellStyle name="M_Book2_인월중군소하천_자전거도로포장수량 8 2" xfId="25911"/>
    <cellStyle name="M_Book2_인월중군소하천_자전거도로포장수량 9" xfId="16607"/>
    <cellStyle name="M_Book2_인월중군소하천_자전거도로포장수량 9 2" xfId="29383"/>
    <cellStyle name="M_Book2_자전거도로구조물공수량" xfId="2628"/>
    <cellStyle name="M_Book2_자전거도로구조물공수량 10" xfId="17786"/>
    <cellStyle name="M_Book2_자전거도로구조물공수량 10 2" xfId="30503"/>
    <cellStyle name="M_Book2_자전거도로구조물공수량 11" xfId="19368"/>
    <cellStyle name="M_Book2_자전거도로구조물공수량 12" xfId="22592"/>
    <cellStyle name="M_Book2_자전거도로구조물공수량 12 2" xfId="35026"/>
    <cellStyle name="M_Book2_자전거도로구조물공수량 13" xfId="21590"/>
    <cellStyle name="M_Book2_자전거도로구조물공수량 13 2" xfId="34027"/>
    <cellStyle name="M_Book2_자전거도로구조물공수량 14" xfId="23110"/>
    <cellStyle name="M_Book2_자전거도로구조물공수량 14 2" xfId="35543"/>
    <cellStyle name="M_Book2_자전거도로구조물공수량 15" xfId="23388"/>
    <cellStyle name="M_Book2_자전거도로구조물공수량 15 2" xfId="35820"/>
    <cellStyle name="M_Book2_자전거도로구조물공수량 16" xfId="21537"/>
    <cellStyle name="M_Book2_자전거도로구조물공수량 16 2" xfId="33974"/>
    <cellStyle name="M_Book2_자전거도로구조물공수량 17" xfId="20835"/>
    <cellStyle name="M_Book2_자전거도로구조물공수량 17 2" xfId="33272"/>
    <cellStyle name="M_Book2_자전거도로구조물공수량 18" xfId="22239"/>
    <cellStyle name="M_Book2_자전거도로구조물공수량 18 2" xfId="34674"/>
    <cellStyle name="M_Book2_자전거도로구조물공수량 19" xfId="22003"/>
    <cellStyle name="M_Book2_자전거도로구조물공수량 19 2" xfId="34440"/>
    <cellStyle name="M_Book2_자전거도로구조물공수량 2" xfId="13432"/>
    <cellStyle name="M_Book2_자전거도로구조물공수량 2 2" xfId="26300"/>
    <cellStyle name="M_Book2_자전거도로구조물공수량 20" xfId="24473"/>
    <cellStyle name="M_Book2_자전거도로구조물공수량 20 2" xfId="36904"/>
    <cellStyle name="M_Book2_자전거도로구조물공수량 21" xfId="18624"/>
    <cellStyle name="M_Book2_자전거도로구조물공수량 21 2" xfId="31329"/>
    <cellStyle name="M_Book2_자전거도로구조물공수량 3" xfId="16102"/>
    <cellStyle name="M_Book2_자전거도로구조물공수량 3 2" xfId="28885"/>
    <cellStyle name="M_Book2_자전거도로구조물공수량 4" xfId="13979"/>
    <cellStyle name="M_Book2_자전거도로구조물공수량 4 2" xfId="26836"/>
    <cellStyle name="M_Book2_자전거도로구조물공수량 5" xfId="15522"/>
    <cellStyle name="M_Book2_자전거도로구조물공수량 5 2" xfId="28331"/>
    <cellStyle name="M_Book2_자전거도로구조물공수량 6" xfId="13354"/>
    <cellStyle name="M_Book2_자전거도로구조물공수량 6 2" xfId="26222"/>
    <cellStyle name="M_Book2_자전거도로구조물공수량 7" xfId="17141"/>
    <cellStyle name="M_Book2_자전거도로구조물공수량 7 2" xfId="29875"/>
    <cellStyle name="M_Book2_자전거도로구조물공수량 8" xfId="14042"/>
    <cellStyle name="M_Book2_자전거도로구조물공수량 8 2" xfId="26891"/>
    <cellStyle name="M_Book2_자전거도로구조물공수량 9" xfId="17841"/>
    <cellStyle name="M_Book2_자전거도로구조물공수량 9 2" xfId="30557"/>
    <cellStyle name="M_Book2_자전거도로포장수량" xfId="2629"/>
    <cellStyle name="M_Book2_자전거도로포장수량 10" xfId="15464"/>
    <cellStyle name="M_Book2_자전거도로포장수량 10 2" xfId="28273"/>
    <cellStyle name="M_Book2_자전거도로포장수량 11" xfId="19369"/>
    <cellStyle name="M_Book2_자전거도로포장수량 12" xfId="22591"/>
    <cellStyle name="M_Book2_자전거도로포장수량 12 2" xfId="35025"/>
    <cellStyle name="M_Book2_자전거도로포장수량 13" xfId="21591"/>
    <cellStyle name="M_Book2_자전거도로포장수량 13 2" xfId="34028"/>
    <cellStyle name="M_Book2_자전거도로포장수량 14" xfId="20694"/>
    <cellStyle name="M_Book2_자전거도로포장수량 14 2" xfId="33137"/>
    <cellStyle name="M_Book2_자전거도로포장수량 15" xfId="19721"/>
    <cellStyle name="M_Book2_자전거도로포장수량 15 2" xfId="32174"/>
    <cellStyle name="M_Book2_자전거도로포장수량 16" xfId="19871"/>
    <cellStyle name="M_Book2_자전거도로포장수량 16 2" xfId="32321"/>
    <cellStyle name="M_Book2_자전거도로포장수량 17" xfId="20138"/>
    <cellStyle name="M_Book2_자전거도로포장수량 17 2" xfId="32584"/>
    <cellStyle name="M_Book2_자전거도로포장수량 18" xfId="18287"/>
    <cellStyle name="M_Book2_자전거도로포장수량 18 2" xfId="30993"/>
    <cellStyle name="M_Book2_자전거도로포장수량 19" xfId="22004"/>
    <cellStyle name="M_Book2_자전거도로포장수량 19 2" xfId="34441"/>
    <cellStyle name="M_Book2_자전거도로포장수량 2" xfId="13433"/>
    <cellStyle name="M_Book2_자전거도로포장수량 2 2" xfId="26301"/>
    <cellStyle name="M_Book2_자전거도로포장수량 20" xfId="23673"/>
    <cellStyle name="M_Book2_자전거도로포장수량 20 2" xfId="36104"/>
    <cellStyle name="M_Book2_자전거도로포장수량 21" xfId="24320"/>
    <cellStyle name="M_Book2_자전거도로포장수량 21 2" xfId="36751"/>
    <cellStyle name="M_Book2_자전거도로포장수량 3" xfId="16101"/>
    <cellStyle name="M_Book2_자전거도로포장수량 3 2" xfId="28884"/>
    <cellStyle name="M_Book2_자전거도로포장수량 4" xfId="13752"/>
    <cellStyle name="M_Book2_자전거도로포장수량 4 2" xfId="26613"/>
    <cellStyle name="M_Book2_자전거도로포장수량 5" xfId="15523"/>
    <cellStyle name="M_Book2_자전거도로포장수량 5 2" xfId="28332"/>
    <cellStyle name="M_Book2_자전거도로포장수량 6" xfId="13213"/>
    <cellStyle name="M_Book2_자전거도로포장수량 6 2" xfId="26081"/>
    <cellStyle name="M_Book2_자전거도로포장수량 7" xfId="14086"/>
    <cellStyle name="M_Book2_자전거도로포장수량 7 2" xfId="26934"/>
    <cellStyle name="M_Book2_자전거도로포장수량 8" xfId="17961"/>
    <cellStyle name="M_Book2_자전거도로포장수량 8 2" xfId="30673"/>
    <cellStyle name="M_Book2_자전거도로포장수량 9" xfId="13608"/>
    <cellStyle name="M_Book2_자전거도로포장수량 9 2" xfId="26476"/>
    <cellStyle name="M_Book4" xfId="2630"/>
    <cellStyle name="M_Book4 10" xfId="17785"/>
    <cellStyle name="M_Book4 10 2" xfId="30502"/>
    <cellStyle name="M_Book4 11" xfId="19370"/>
    <cellStyle name="M_Book4 12" xfId="22590"/>
    <cellStyle name="M_Book4 12 2" xfId="35024"/>
    <cellStyle name="M_Book4 13" xfId="21592"/>
    <cellStyle name="M_Book4 13 2" xfId="34029"/>
    <cellStyle name="M_Book4 14" xfId="20926"/>
    <cellStyle name="M_Book4 14 2" xfId="33363"/>
    <cellStyle name="M_Book4 15" xfId="19813"/>
    <cellStyle name="M_Book4 15 2" xfId="32263"/>
    <cellStyle name="M_Book4 16" xfId="23077"/>
    <cellStyle name="M_Book4 16 2" xfId="35510"/>
    <cellStyle name="M_Book4 17" xfId="21698"/>
    <cellStyle name="M_Book4 17 2" xfId="34135"/>
    <cellStyle name="M_Book4 18" xfId="19666"/>
    <cellStyle name="M_Book4 18 2" xfId="32120"/>
    <cellStyle name="M_Book4 19" xfId="22005"/>
    <cellStyle name="M_Book4 19 2" xfId="34442"/>
    <cellStyle name="M_Book4 2" xfId="13434"/>
    <cellStyle name="M_Book4 2 2" xfId="26302"/>
    <cellStyle name="M_Book4 20" xfId="20542"/>
    <cellStyle name="M_Book4 20 2" xfId="32987"/>
    <cellStyle name="M_Book4 21" xfId="20137"/>
    <cellStyle name="M_Book4 21 2" xfId="32583"/>
    <cellStyle name="M_Book4 3" xfId="16100"/>
    <cellStyle name="M_Book4 3 2" xfId="28883"/>
    <cellStyle name="M_Book4 4" xfId="14434"/>
    <cellStyle name="M_Book4 4 2" xfId="27267"/>
    <cellStyle name="M_Book4 5" xfId="15524"/>
    <cellStyle name="M_Book4 5 2" xfId="28333"/>
    <cellStyle name="M_Book4 6" xfId="14627"/>
    <cellStyle name="M_Book4 6 2" xfId="27453"/>
    <cellStyle name="M_Book4 7" xfId="12861"/>
    <cellStyle name="M_Book4 7 2" xfId="25737"/>
    <cellStyle name="M_Book4 8" xfId="12442"/>
    <cellStyle name="M_Book4 8 2" xfId="25322"/>
    <cellStyle name="M_Book4 9" xfId="13614"/>
    <cellStyle name="M_Book4 9 2" xfId="26482"/>
    <cellStyle name="M_Book4_도로수량양식" xfId="2631"/>
    <cellStyle name="M_Book4_도로수량양식 10" xfId="15463"/>
    <cellStyle name="M_Book4_도로수량양식 10 2" xfId="28272"/>
    <cellStyle name="M_Book4_도로수량양식 11" xfId="19371"/>
    <cellStyle name="M_Book4_도로수량양식 12" xfId="22589"/>
    <cellStyle name="M_Book4_도로수량양식 12 2" xfId="35023"/>
    <cellStyle name="M_Book4_도로수량양식 13" xfId="21593"/>
    <cellStyle name="M_Book4_도로수량양식 13 2" xfId="34030"/>
    <cellStyle name="M_Book4_도로수량양식 14" xfId="21854"/>
    <cellStyle name="M_Book4_도로수량양식 14 2" xfId="34291"/>
    <cellStyle name="M_Book4_도로수량양식 15" xfId="23887"/>
    <cellStyle name="M_Book4_도로수량양식 15 2" xfId="36318"/>
    <cellStyle name="M_Book4_도로수량양식 16" xfId="21838"/>
    <cellStyle name="M_Book4_도로수량양식 16 2" xfId="34275"/>
    <cellStyle name="M_Book4_도로수량양식 17" xfId="20824"/>
    <cellStyle name="M_Book4_도로수량양식 17 2" xfId="33261"/>
    <cellStyle name="M_Book4_도로수량양식 18" xfId="22541"/>
    <cellStyle name="M_Book4_도로수량양식 18 2" xfId="34975"/>
    <cellStyle name="M_Book4_도로수량양식 19" xfId="22006"/>
    <cellStyle name="M_Book4_도로수량양식 19 2" xfId="34443"/>
    <cellStyle name="M_Book4_도로수량양식 2" xfId="13435"/>
    <cellStyle name="M_Book4_도로수량양식 2 2" xfId="26303"/>
    <cellStyle name="M_Book4_도로수량양식 20" xfId="21785"/>
    <cellStyle name="M_Book4_도로수량양식 20 2" xfId="34222"/>
    <cellStyle name="M_Book4_도로수량양식 21" xfId="18486"/>
    <cellStyle name="M_Book4_도로수량양식 21 2" xfId="31191"/>
    <cellStyle name="M_Book4_도로수량양식 3" xfId="16099"/>
    <cellStyle name="M_Book4_도로수량양식 3 2" xfId="28882"/>
    <cellStyle name="M_Book4_도로수량양식 4" xfId="12611"/>
    <cellStyle name="M_Book4_도로수량양식 4 2" xfId="25490"/>
    <cellStyle name="M_Book4_도로수량양식 5" xfId="15525"/>
    <cellStyle name="M_Book4_도로수량양식 5 2" xfId="28334"/>
    <cellStyle name="M_Book4_도로수량양식 6" xfId="13212"/>
    <cellStyle name="M_Book4_도로수량양식 6 2" xfId="26080"/>
    <cellStyle name="M_Book4_도로수량양식 7" xfId="13695"/>
    <cellStyle name="M_Book4_도로수량양식 7 2" xfId="26559"/>
    <cellStyle name="M_Book4_도로수량양식 8" xfId="12769"/>
    <cellStyle name="M_Book4_도로수량양식 8 2" xfId="25646"/>
    <cellStyle name="M_Book4_도로수량양식 9" xfId="15706"/>
    <cellStyle name="M_Book4_도로수량양식 9 2" xfId="28506"/>
    <cellStyle name="M_Book4_도로수량양식_자전거도로구조물공수량" xfId="2632"/>
    <cellStyle name="M_Book4_도로수량양식_자전거도로구조물공수량 10" xfId="17784"/>
    <cellStyle name="M_Book4_도로수량양식_자전거도로구조물공수량 10 2" xfId="30501"/>
    <cellStyle name="M_Book4_도로수량양식_자전거도로구조물공수량 11" xfId="19372"/>
    <cellStyle name="M_Book4_도로수량양식_자전거도로구조물공수량 12" xfId="22588"/>
    <cellStyle name="M_Book4_도로수량양식_자전거도로구조물공수량 12 2" xfId="35022"/>
    <cellStyle name="M_Book4_도로수량양식_자전거도로구조물공수량 13" xfId="21594"/>
    <cellStyle name="M_Book4_도로수량양식_자전거도로구조물공수량 13 2" xfId="34031"/>
    <cellStyle name="M_Book4_도로수량양식_자전거도로구조물공수량 14" xfId="21855"/>
    <cellStyle name="M_Book4_도로수량양식_자전거도로구조물공수량 14 2" xfId="34292"/>
    <cellStyle name="M_Book4_도로수량양식_자전거도로구조물공수량 15" xfId="21734"/>
    <cellStyle name="M_Book4_도로수량양식_자전거도로구조물공수량 15 2" xfId="34171"/>
    <cellStyle name="M_Book4_도로수량양식_자전거도로구조물공수량 16" xfId="21536"/>
    <cellStyle name="M_Book4_도로수량양식_자전거도로구조물공수량 16 2" xfId="33973"/>
    <cellStyle name="M_Book4_도로수량양식_자전거도로구조물공수량 17" xfId="22049"/>
    <cellStyle name="M_Book4_도로수량양식_자전거도로구조물공수량 17 2" xfId="34486"/>
    <cellStyle name="M_Book4_도로수량양식_자전거도로구조물공수량 18" xfId="20735"/>
    <cellStyle name="M_Book4_도로수량양식_자전거도로구조물공수량 18 2" xfId="33175"/>
    <cellStyle name="M_Book4_도로수량양식_자전거도로구조물공수량 19" xfId="22007"/>
    <cellStyle name="M_Book4_도로수량양식_자전거도로구조물공수량 19 2" xfId="34444"/>
    <cellStyle name="M_Book4_도로수량양식_자전거도로구조물공수량 2" xfId="13436"/>
    <cellStyle name="M_Book4_도로수량양식_자전거도로구조물공수량 2 2" xfId="26304"/>
    <cellStyle name="M_Book4_도로수량양식_자전거도로구조물공수량 20" xfId="20706"/>
    <cellStyle name="M_Book4_도로수량양식_자전거도로구조물공수량 20 2" xfId="33149"/>
    <cellStyle name="M_Book4_도로수량양식_자전거도로구조물공수량 21" xfId="23046"/>
    <cellStyle name="M_Book4_도로수량양식_자전거도로구조물공수량 21 2" xfId="35479"/>
    <cellStyle name="M_Book4_도로수량양식_자전거도로구조물공수량 3" xfId="16098"/>
    <cellStyle name="M_Book4_도로수량양식_자전거도로구조물공수량 3 2" xfId="28881"/>
    <cellStyle name="M_Book4_도로수량양식_자전거도로구조물공수량 4" xfId="13978"/>
    <cellStyle name="M_Book4_도로수량양식_자전거도로구조물공수량 4 2" xfId="26835"/>
    <cellStyle name="M_Book4_도로수량양식_자전거도로구조물공수량 5" xfId="15526"/>
    <cellStyle name="M_Book4_도로수량양식_자전거도로구조물공수량 5 2" xfId="28335"/>
    <cellStyle name="M_Book4_도로수량양식_자전거도로구조물공수량 6" xfId="13353"/>
    <cellStyle name="M_Book4_도로수량양식_자전거도로구조물공수량 6 2" xfId="26221"/>
    <cellStyle name="M_Book4_도로수량양식_자전거도로구조물공수량 7" xfId="13694"/>
    <cellStyle name="M_Book4_도로수량양식_자전거도로구조물공수량 7 2" xfId="26558"/>
    <cellStyle name="M_Book4_도로수량양식_자전거도로구조물공수량 8" xfId="15297"/>
    <cellStyle name="M_Book4_도로수량양식_자전거도로구조물공수량 8 2" xfId="28114"/>
    <cellStyle name="M_Book4_도로수량양식_자전거도로구조물공수량 9" xfId="16944"/>
    <cellStyle name="M_Book4_도로수량양식_자전거도로구조물공수량 9 2" xfId="29719"/>
    <cellStyle name="M_Book4_도로수량양식_자전거도로포장수량" xfId="2633"/>
    <cellStyle name="M_Book4_도로수량양식_자전거도로포장수량 10" xfId="15825"/>
    <cellStyle name="M_Book4_도로수량양식_자전거도로포장수량 10 2" xfId="28623"/>
    <cellStyle name="M_Book4_도로수량양식_자전거도로포장수량 11" xfId="19373"/>
    <cellStyle name="M_Book4_도로수량양식_자전거도로포장수량 12" xfId="22587"/>
    <cellStyle name="M_Book4_도로수량양식_자전거도로포장수량 12 2" xfId="35021"/>
    <cellStyle name="M_Book4_도로수량양식_자전거도로포장수량 13" xfId="21595"/>
    <cellStyle name="M_Book4_도로수량양식_자전거도로포장수량 13 2" xfId="34032"/>
    <cellStyle name="M_Book4_도로수량양식_자전거도로포장수량 14" xfId="21856"/>
    <cellStyle name="M_Book4_도로수량양식_자전거도로포장수량 14 2" xfId="34293"/>
    <cellStyle name="M_Book4_도로수량양식_자전거도로포장수량 15" xfId="21804"/>
    <cellStyle name="M_Book4_도로수량양식_자전거도로포장수량 15 2" xfId="34241"/>
    <cellStyle name="M_Book4_도로수량양식_자전거도로포장수량 16" xfId="21535"/>
    <cellStyle name="M_Book4_도로수량양식_자전거도로포장수량 16 2" xfId="33972"/>
    <cellStyle name="M_Book4_도로수량양식_자전거도로포장수량 17" xfId="22294"/>
    <cellStyle name="M_Book4_도로수량양식_자전거도로포장수량 17 2" xfId="34728"/>
    <cellStyle name="M_Book4_도로수량양식_자전거도로포장수량 18" xfId="22058"/>
    <cellStyle name="M_Book4_도로수량양식_자전거도로포장수량 18 2" xfId="34495"/>
    <cellStyle name="M_Book4_도로수량양식_자전거도로포장수량 19" xfId="18758"/>
    <cellStyle name="M_Book4_도로수량양식_자전거도로포장수량 19 2" xfId="31463"/>
    <cellStyle name="M_Book4_도로수량양식_자전거도로포장수량 2" xfId="13437"/>
    <cellStyle name="M_Book4_도로수량양식_자전거도로포장수량 2 2" xfId="26305"/>
    <cellStyle name="M_Book4_도로수량양식_자전거도로포장수량 20" xfId="20751"/>
    <cellStyle name="M_Book4_도로수량양식_자전거도로포장수량 20 2" xfId="33190"/>
    <cellStyle name="M_Book4_도로수량양식_자전거도로포장수량 21" xfId="21696"/>
    <cellStyle name="M_Book4_도로수량양식_자전거도로포장수량 21 2" xfId="34133"/>
    <cellStyle name="M_Book4_도로수량양식_자전거도로포장수량 3" xfId="16903"/>
    <cellStyle name="M_Book4_도로수량양식_자전거도로포장수량 3 2" xfId="29678"/>
    <cellStyle name="M_Book4_도로수량양식_자전거도로포장수량 4" xfId="14433"/>
    <cellStyle name="M_Book4_도로수량양식_자전거도로포장수량 4 2" xfId="27266"/>
    <cellStyle name="M_Book4_도로수량양식_자전거도로포장수량 5" xfId="15527"/>
    <cellStyle name="M_Book4_도로수량양식_자전거도로포장수량 5 2" xfId="28336"/>
    <cellStyle name="M_Book4_도로수량양식_자전거도로포장수량 6" xfId="13211"/>
    <cellStyle name="M_Book4_도로수량양식_자전거도로포장수량 6 2" xfId="26079"/>
    <cellStyle name="M_Book4_도로수량양식_자전거도로포장수량 7" xfId="14020"/>
    <cellStyle name="M_Book4_도로수량양식_자전거도로포장수량 7 2" xfId="26871"/>
    <cellStyle name="M_Book4_도로수량양식_자전거도로포장수량 8" xfId="14618"/>
    <cellStyle name="M_Book4_도로수량양식_자전거도로포장수량 8 2" xfId="27444"/>
    <cellStyle name="M_Book4_도로수량양식_자전거도로포장수량 9" xfId="13841"/>
    <cellStyle name="M_Book4_도로수량양식_자전거도로포장수량 9 2" xfId="26700"/>
    <cellStyle name="M_Book4_수량산출" xfId="2634"/>
    <cellStyle name="M_Book4_수량산출 10" xfId="17783"/>
    <cellStyle name="M_Book4_수량산출 10 2" xfId="30500"/>
    <cellStyle name="M_Book4_수량산출 11" xfId="19374"/>
    <cellStyle name="M_Book4_수량산출 12" xfId="22586"/>
    <cellStyle name="M_Book4_수량산출 12 2" xfId="35020"/>
    <cellStyle name="M_Book4_수량산출 13" xfId="21596"/>
    <cellStyle name="M_Book4_수량산출 13 2" xfId="34033"/>
    <cellStyle name="M_Book4_수량산출 14" xfId="21857"/>
    <cellStyle name="M_Book4_수량산출 14 2" xfId="34294"/>
    <cellStyle name="M_Book4_수량산출 15" xfId="19814"/>
    <cellStyle name="M_Book4_수량산출 15 2" xfId="32264"/>
    <cellStyle name="M_Book4_수량산출 16" xfId="22374"/>
    <cellStyle name="M_Book4_수량산출 16 2" xfId="34808"/>
    <cellStyle name="M_Book4_수량산출 17" xfId="21697"/>
    <cellStyle name="M_Book4_수량산출 17 2" xfId="34134"/>
    <cellStyle name="M_Book4_수량산출 18" xfId="20668"/>
    <cellStyle name="M_Book4_수량산출 18 2" xfId="33112"/>
    <cellStyle name="M_Book4_수량산출 19" xfId="22008"/>
    <cellStyle name="M_Book4_수량산출 19 2" xfId="34445"/>
    <cellStyle name="M_Book4_수량산출 2" xfId="13438"/>
    <cellStyle name="M_Book4_수량산출 2 2" xfId="26306"/>
    <cellStyle name="M_Book4_수량산출 20" xfId="24474"/>
    <cellStyle name="M_Book4_수량산출 20 2" xfId="36905"/>
    <cellStyle name="M_Book4_수량산출 21" xfId="21727"/>
    <cellStyle name="M_Book4_수량산출 21 2" xfId="34164"/>
    <cellStyle name="M_Book4_수량산출 3" xfId="16097"/>
    <cellStyle name="M_Book4_수량산출 3 2" xfId="28880"/>
    <cellStyle name="M_Book4_수량산출 4" xfId="14432"/>
    <cellStyle name="M_Book4_수량산출 4 2" xfId="27265"/>
    <cellStyle name="M_Book4_수량산출 5" xfId="15528"/>
    <cellStyle name="M_Book4_수량산출 5 2" xfId="28337"/>
    <cellStyle name="M_Book4_수량산출 6" xfId="14626"/>
    <cellStyle name="M_Book4_수량산출 6 2" xfId="27452"/>
    <cellStyle name="M_Book4_수량산출 7" xfId="12411"/>
    <cellStyle name="M_Book4_수량산출 7 2" xfId="25291"/>
    <cellStyle name="M_Book4_수량산출 8" xfId="15227"/>
    <cellStyle name="M_Book4_수량산출 8 2" xfId="28045"/>
    <cellStyle name="M_Book4_수량산출 9" xfId="15705"/>
    <cellStyle name="M_Book4_수량산출 9 2" xfId="28505"/>
    <cellStyle name="M_Book4_수량산출_자전거도로구조물공수량" xfId="2635"/>
    <cellStyle name="M_Book4_수량산출_자전거도로구조물공수량 10" xfId="12541"/>
    <cellStyle name="M_Book4_수량산출_자전거도로구조물공수량 10 2" xfId="25421"/>
    <cellStyle name="M_Book4_수량산출_자전거도로구조물공수량 11" xfId="19375"/>
    <cellStyle name="M_Book4_수량산출_자전거도로구조물공수량 12" xfId="22585"/>
    <cellStyle name="M_Book4_수량산출_자전거도로구조물공수량 12 2" xfId="35019"/>
    <cellStyle name="M_Book4_수량산출_자전거도로구조물공수량 13" xfId="21597"/>
    <cellStyle name="M_Book4_수량산출_자전거도로구조물공수량 13 2" xfId="34034"/>
    <cellStyle name="M_Book4_수량산출_자전거도로구조물공수량 14" xfId="21858"/>
    <cellStyle name="M_Book4_수량산출_자전거도로구조물공수량 14 2" xfId="34295"/>
    <cellStyle name="M_Book4_수량산출_자전거도로구조물공수량 15" xfId="22533"/>
    <cellStyle name="M_Book4_수량산출_자전거도로구조물공수량 15 2" xfId="34967"/>
    <cellStyle name="M_Book4_수량산출_자전거도로구조물공수량 16" xfId="19182"/>
    <cellStyle name="M_Book4_수량산출_자전거도로구조물공수량 16 2" xfId="31837"/>
    <cellStyle name="M_Book4_수량산출_자전거도로구조물공수량 17" xfId="20344"/>
    <cellStyle name="M_Book4_수량산출_자전거도로구조물공수량 17 2" xfId="32789"/>
    <cellStyle name="M_Book4_수량산출_자전거도로구조물공수량 18" xfId="22057"/>
    <cellStyle name="M_Book4_수량산출_자전거도로구조물공수량 18 2" xfId="34494"/>
    <cellStyle name="M_Book4_수량산출_자전거도로구조물공수량 19" xfId="22009"/>
    <cellStyle name="M_Book4_수량산출_자전거도로구조물공수량 19 2" xfId="34446"/>
    <cellStyle name="M_Book4_수량산출_자전거도로구조물공수량 2" xfId="13439"/>
    <cellStyle name="M_Book4_수량산출_자전거도로구조물공수량 2 2" xfId="26307"/>
    <cellStyle name="M_Book4_수량산출_자전거도로구조물공수량 20" xfId="24727"/>
    <cellStyle name="M_Book4_수량산출_자전거도로구조물공수량 20 2" xfId="37158"/>
    <cellStyle name="M_Book4_수량산출_자전거도로구조물공수량 21" xfId="22627"/>
    <cellStyle name="M_Book4_수량산출_자전거도로구조물공수량 21 2" xfId="35061"/>
    <cellStyle name="M_Book4_수량산출_자전거도로구조물공수량 3" xfId="16096"/>
    <cellStyle name="M_Book4_수량산출_자전거도로구조물공수량 3 2" xfId="28879"/>
    <cellStyle name="M_Book4_수량산출_자전거도로구조물공수량 4" xfId="14431"/>
    <cellStyle name="M_Book4_수량산출_자전거도로구조물공수량 4 2" xfId="27264"/>
    <cellStyle name="M_Book4_수량산출_자전거도로구조물공수량 5" xfId="15529"/>
    <cellStyle name="M_Book4_수량산출_자전거도로구조물공수량 5 2" xfId="28338"/>
    <cellStyle name="M_Book4_수량산출_자전거도로구조물공수량 6" xfId="13210"/>
    <cellStyle name="M_Book4_수량산출_자전거도로구조물공수량 6 2" xfId="26078"/>
    <cellStyle name="M_Book4_수량산출_자전거도로구조물공수량 7" xfId="17435"/>
    <cellStyle name="M_Book4_수량산출_자전거도로구조물공수량 7 2" xfId="30157"/>
    <cellStyle name="M_Book4_수량산출_자전거도로구조물공수량 8" xfId="17261"/>
    <cellStyle name="M_Book4_수량산출_자전거도로구조물공수량 8 2" xfId="29994"/>
    <cellStyle name="M_Book4_수량산출_자전거도로구조물공수량 9" xfId="15704"/>
    <cellStyle name="M_Book4_수량산출_자전거도로구조물공수량 9 2" xfId="28504"/>
    <cellStyle name="M_Book4_수량산출_자전거도로포장수량" xfId="2636"/>
    <cellStyle name="M_Book4_수량산출_자전거도로포장수량 10" xfId="17782"/>
    <cellStyle name="M_Book4_수량산출_자전거도로포장수량 10 2" xfId="30499"/>
    <cellStyle name="M_Book4_수량산출_자전거도로포장수량 11" xfId="19376"/>
    <cellStyle name="M_Book4_수량산출_자전거도로포장수량 12" xfId="22584"/>
    <cellStyle name="M_Book4_수량산출_자전거도로포장수량 12 2" xfId="35018"/>
    <cellStyle name="M_Book4_수량산출_자전거도로포장수량 13" xfId="21598"/>
    <cellStyle name="M_Book4_수량산출_자전거도로포장수량 13 2" xfId="34035"/>
    <cellStyle name="M_Book4_수량산출_자전거도로포장수량 14" xfId="21859"/>
    <cellStyle name="M_Book4_수량산출_자전거도로포장수량 14 2" xfId="34296"/>
    <cellStyle name="M_Book4_수량산출_자전거도로포장수량 15" xfId="19815"/>
    <cellStyle name="M_Book4_수량산출_자전거도로포장수량 15 2" xfId="32265"/>
    <cellStyle name="M_Book4_수량산출_자전거도로포장수량 16" xfId="22643"/>
    <cellStyle name="M_Book4_수량산출_자전거도로포장수량 16 2" xfId="35077"/>
    <cellStyle name="M_Book4_수량산출_자전거도로포장수량 17" xfId="23208"/>
    <cellStyle name="M_Book4_수량산출_자전거도로포장수량 17 2" xfId="35641"/>
    <cellStyle name="M_Book4_수량산출_자전거도로포장수량 18" xfId="23841"/>
    <cellStyle name="M_Book4_수량산출_자전거도로포장수량 18 2" xfId="36272"/>
    <cellStyle name="M_Book4_수량산출_자전거도로포장수량 19" xfId="21791"/>
    <cellStyle name="M_Book4_수량산출_자전거도로포장수량 19 2" xfId="34228"/>
    <cellStyle name="M_Book4_수량산출_자전거도로포장수량 2" xfId="13440"/>
    <cellStyle name="M_Book4_수량산출_자전거도로포장수량 2 2" xfId="26308"/>
    <cellStyle name="M_Book4_수량산출_자전거도로포장수량 20" xfId="24475"/>
    <cellStyle name="M_Book4_수량산출_자전거도로포장수량 20 2" xfId="36906"/>
    <cellStyle name="M_Book4_수량산출_자전거도로포장수량 21" xfId="20502"/>
    <cellStyle name="M_Book4_수량산출_자전거도로포장수량 21 2" xfId="32947"/>
    <cellStyle name="M_Book4_수량산출_자전거도로포장수량 3" xfId="16902"/>
    <cellStyle name="M_Book4_수량산출_자전거도로포장수량 3 2" xfId="29677"/>
    <cellStyle name="M_Book4_수량산출_자전거도로포장수량 4" xfId="14430"/>
    <cellStyle name="M_Book4_수량산출_자전거도로포장수량 4 2" xfId="27263"/>
    <cellStyle name="M_Book4_수량산출_자전거도로포장수량 5" xfId="15530"/>
    <cellStyle name="M_Book4_수량산출_자전거도로포장수량 5 2" xfId="28339"/>
    <cellStyle name="M_Book4_수량산출_자전거도로포장수량 6" xfId="13352"/>
    <cellStyle name="M_Book4_수량산출_자전거도로포장수량 6 2" xfId="26220"/>
    <cellStyle name="M_Book4_수량산출_자전거도로포장수량 7" xfId="17142"/>
    <cellStyle name="M_Book4_수량산출_자전거도로포장수량 7 2" xfId="29876"/>
    <cellStyle name="M_Book4_수량산출_자전거도로포장수량 8" xfId="15298"/>
    <cellStyle name="M_Book4_수량산출_자전거도로포장수량 8 2" xfId="28115"/>
    <cellStyle name="M_Book4_수량산출_자전거도로포장수량 9" xfId="13913"/>
    <cellStyle name="M_Book4_수량산출_자전거도로포장수량 9 2" xfId="26772"/>
    <cellStyle name="M_Book4_인월중군소하천" xfId="2637"/>
    <cellStyle name="M_Book4_인월중군소하천 10" xfId="13166"/>
    <cellStyle name="M_Book4_인월중군소하천 10 2" xfId="26034"/>
    <cellStyle name="M_Book4_인월중군소하천 11" xfId="19377"/>
    <cellStyle name="M_Book4_인월중군소하천 12" xfId="22583"/>
    <cellStyle name="M_Book4_인월중군소하천 12 2" xfId="35017"/>
    <cellStyle name="M_Book4_인월중군소하천 13" xfId="21599"/>
    <cellStyle name="M_Book4_인월중군소하천 13 2" xfId="34036"/>
    <cellStyle name="M_Book4_인월중군소하천 14" xfId="20927"/>
    <cellStyle name="M_Book4_인월중군소하천 14 2" xfId="33364"/>
    <cellStyle name="M_Book4_인월중군소하천 15" xfId="22534"/>
    <cellStyle name="M_Book4_인월중군소하천 15 2" xfId="34968"/>
    <cellStyle name="M_Book4_인월중군소하천 16" xfId="21534"/>
    <cellStyle name="M_Book4_인월중군소하천 16 2" xfId="33971"/>
    <cellStyle name="M_Book4_인월중군소하천 17" xfId="23503"/>
    <cellStyle name="M_Book4_인월중군소하천 17 2" xfId="35934"/>
    <cellStyle name="M_Book4_인월중군소하천 18" xfId="20259"/>
    <cellStyle name="M_Book4_인월중군소하천 18 2" xfId="32704"/>
    <cellStyle name="M_Book4_인월중군소하천 19" xfId="22010"/>
    <cellStyle name="M_Book4_인월중군소하천 19 2" xfId="34447"/>
    <cellStyle name="M_Book4_인월중군소하천 2" xfId="13441"/>
    <cellStyle name="M_Book4_인월중군소하천 2 2" xfId="26309"/>
    <cellStyle name="M_Book4_인월중군소하천 20" xfId="24726"/>
    <cellStyle name="M_Book4_인월중군소하천 20 2" xfId="37157"/>
    <cellStyle name="M_Book4_인월중군소하천 21" xfId="23184"/>
    <cellStyle name="M_Book4_인월중군소하천 21 2" xfId="35617"/>
    <cellStyle name="M_Book4_인월중군소하천 3" xfId="16901"/>
    <cellStyle name="M_Book4_인월중군소하천 3 2" xfId="29676"/>
    <cellStyle name="M_Book4_인월중군소하천 4" xfId="14429"/>
    <cellStyle name="M_Book4_인월중군소하천 4 2" xfId="27262"/>
    <cellStyle name="M_Book4_인월중군소하천 5" xfId="15531"/>
    <cellStyle name="M_Book4_인월중군소하천 5 2" xfId="28340"/>
    <cellStyle name="M_Book4_인월중군소하천 6" xfId="13209"/>
    <cellStyle name="M_Book4_인월중군소하천 6 2" xfId="26077"/>
    <cellStyle name="M_Book4_인월중군소하천 7" xfId="14019"/>
    <cellStyle name="M_Book4_인월중군소하천 7 2" xfId="26870"/>
    <cellStyle name="M_Book4_인월중군소하천 8" xfId="13055"/>
    <cellStyle name="M_Book4_인월중군소하천 8 2" xfId="25924"/>
    <cellStyle name="M_Book4_인월중군소하천 9" xfId="15339"/>
    <cellStyle name="M_Book4_인월중군소하천 9 2" xfId="28156"/>
    <cellStyle name="M_Book4_인월중군소하천_자전거도로구조물공수량" xfId="2638"/>
    <cellStyle name="M_Book4_인월중군소하천_자전거도로구조물공수량 10" xfId="17781"/>
    <cellStyle name="M_Book4_인월중군소하천_자전거도로구조물공수량 10 2" xfId="30498"/>
    <cellStyle name="M_Book4_인월중군소하천_자전거도로구조물공수량 11" xfId="19378"/>
    <cellStyle name="M_Book4_인월중군소하천_자전거도로구조물공수량 12" xfId="22582"/>
    <cellStyle name="M_Book4_인월중군소하천_자전거도로구조물공수량 12 2" xfId="35016"/>
    <cellStyle name="M_Book4_인월중군소하천_자전거도로구조물공수량 13" xfId="21600"/>
    <cellStyle name="M_Book4_인월중군소하천_자전거도로구조물공수량 13 2" xfId="34037"/>
    <cellStyle name="M_Book4_인월중군소하천_자전거도로구조물공수량 14" xfId="19156"/>
    <cellStyle name="M_Book4_인월중군소하천_자전거도로구조물공수량 14 2" xfId="31811"/>
    <cellStyle name="M_Book4_인월중군소하천_자전거도로구조물공수량 15" xfId="20593"/>
    <cellStyle name="M_Book4_인월중군소하천_자전거도로구조물공수량 15 2" xfId="33037"/>
    <cellStyle name="M_Book4_인월중군소하천_자전거도로구조물공수량 16" xfId="22123"/>
    <cellStyle name="M_Book4_인월중군소하천_자전거도로구조물공수량 16 2" xfId="34559"/>
    <cellStyle name="M_Book4_인월중군소하천_자전거도로구조물공수량 17" xfId="22048"/>
    <cellStyle name="M_Book4_인월중군소하천_자전거도로구조물공수량 17 2" xfId="34485"/>
    <cellStyle name="M_Book4_인월중군소하천_자전거도로구조물공수량 18" xfId="21076"/>
    <cellStyle name="M_Book4_인월중군소하천_자전거도로구조물공수량 18 2" xfId="33513"/>
    <cellStyle name="M_Book4_인월중군소하천_자전거도로구조물공수량 19" xfId="23259"/>
    <cellStyle name="M_Book4_인월중군소하천_자전거도로구조물공수량 19 2" xfId="35691"/>
    <cellStyle name="M_Book4_인월중군소하천_자전거도로구조물공수량 2" xfId="13442"/>
    <cellStyle name="M_Book4_인월중군소하천_자전거도로구조물공수량 2 2" xfId="26310"/>
    <cellStyle name="M_Book4_인월중군소하천_자전거도로구조물공수량 20" xfId="24476"/>
    <cellStyle name="M_Book4_인월중군소하천_자전거도로구조물공수량 20 2" xfId="36907"/>
    <cellStyle name="M_Book4_인월중군소하천_자전거도로구조물공수량 21" xfId="18341"/>
    <cellStyle name="M_Book4_인월중군소하천_자전거도로구조물공수량 21 2" xfId="31047"/>
    <cellStyle name="M_Book4_인월중군소하천_자전거도로구조물공수량 3" xfId="16900"/>
    <cellStyle name="M_Book4_인월중군소하천_자전거도로구조물공수량 3 2" xfId="29675"/>
    <cellStyle name="M_Book4_인월중군소하천_자전거도로구조물공수량 4" xfId="14428"/>
    <cellStyle name="M_Book4_인월중군소하천_자전거도로구조물공수량 4 2" xfId="27261"/>
    <cellStyle name="M_Book4_인월중군소하천_자전거도로구조물공수량 5" xfId="15532"/>
    <cellStyle name="M_Book4_인월중군소하천_자전거도로구조물공수량 5 2" xfId="28341"/>
    <cellStyle name="M_Book4_인월중군소하천_자전거도로구조물공수량 6" xfId="14625"/>
    <cellStyle name="M_Book4_인월중군소하천_자전거도로구조물공수량 6 2" xfId="27451"/>
    <cellStyle name="M_Book4_인월중군소하천_자전거도로구조물공수량 7" xfId="17143"/>
    <cellStyle name="M_Book4_인월중군소하천_자전거도로구조물공수량 7 2" xfId="29877"/>
    <cellStyle name="M_Book4_인월중군소하천_자전거도로구조물공수량 8" xfId="17960"/>
    <cellStyle name="M_Book4_인월중군소하천_자전거도로구조물공수량 8 2" xfId="30672"/>
    <cellStyle name="M_Book4_인월중군소하천_자전거도로구조물공수량 9" xfId="15349"/>
    <cellStyle name="M_Book4_인월중군소하천_자전거도로구조물공수량 9 2" xfId="28166"/>
    <cellStyle name="M_Book4_인월중군소하천_자전거도로포장수량" xfId="2639"/>
    <cellStyle name="M_Book4_인월중군소하천_자전거도로포장수량 10" xfId="12540"/>
    <cellStyle name="M_Book4_인월중군소하천_자전거도로포장수량 10 2" xfId="25420"/>
    <cellStyle name="M_Book4_인월중군소하천_자전거도로포장수량 11" xfId="19379"/>
    <cellStyle name="M_Book4_인월중군소하천_자전거도로포장수량 12" xfId="22581"/>
    <cellStyle name="M_Book4_인월중군소하천_자전거도로포장수량 12 2" xfId="35015"/>
    <cellStyle name="M_Book4_인월중군소하천_자전거도로포장수량 13" xfId="21601"/>
    <cellStyle name="M_Book4_인월중군소하천_자전거도로포장수량 13 2" xfId="34038"/>
    <cellStyle name="M_Book4_인월중군소하천_자전거도로포장수량 14" xfId="20928"/>
    <cellStyle name="M_Book4_인월중군소하천_자전거도로포장수량 14 2" xfId="33365"/>
    <cellStyle name="M_Book4_인월중군소하천_자전거도로포장수량 15" xfId="21227"/>
    <cellStyle name="M_Book4_인월중군소하천_자전거도로포장수량 15 2" xfId="33664"/>
    <cellStyle name="M_Book4_인월중군소하천_자전거도로포장수량 16" xfId="22122"/>
    <cellStyle name="M_Book4_인월중군소하천_자전거도로포장수량 16 2" xfId="34558"/>
    <cellStyle name="M_Book4_인월중군소하천_자전거도로포장수량 17" xfId="22047"/>
    <cellStyle name="M_Book4_인월중군소하천_자전거도로포장수량 17 2" xfId="34484"/>
    <cellStyle name="M_Book4_인월중군소하천_자전거도로포장수량 18" xfId="23267"/>
    <cellStyle name="M_Book4_인월중군소하천_자전거도로포장수량 18 2" xfId="35699"/>
    <cellStyle name="M_Book4_인월중군소하천_자전거도로포장수량 19" xfId="19561"/>
    <cellStyle name="M_Book4_인월중군소하천_자전거도로포장수량 19 2" xfId="32016"/>
    <cellStyle name="M_Book4_인월중군소하천_자전거도로포장수량 2" xfId="13443"/>
    <cellStyle name="M_Book4_인월중군소하천_자전거도로포장수량 2 2" xfId="26311"/>
    <cellStyle name="M_Book4_인월중군소하천_자전거도로포장수량 20" xfId="24725"/>
    <cellStyle name="M_Book4_인월중군소하천_자전거도로포장수량 20 2" xfId="37156"/>
    <cellStyle name="M_Book4_인월중군소하천_자전거도로포장수량 21" xfId="23134"/>
    <cellStyle name="M_Book4_인월중군소하천_자전거도로포장수량 21 2" xfId="35567"/>
    <cellStyle name="M_Book4_인월중군소하천_자전거도로포장수량 3" xfId="16899"/>
    <cellStyle name="M_Book4_인월중군소하천_자전거도로포장수량 3 2" xfId="29674"/>
    <cellStyle name="M_Book4_인월중군소하천_자전거도로포장수량 4" xfId="14427"/>
    <cellStyle name="M_Book4_인월중군소하천_자전거도로포장수량 4 2" xfId="27260"/>
    <cellStyle name="M_Book4_인월중군소하천_자전거도로포장수량 5" xfId="15533"/>
    <cellStyle name="M_Book4_인월중군소하천_자전거도로포장수량 5 2" xfId="28342"/>
    <cellStyle name="M_Book4_인월중군소하천_자전거도로포장수량 6" xfId="13208"/>
    <cellStyle name="M_Book4_인월중군소하천_자전거도로포장수량 6 2" xfId="26076"/>
    <cellStyle name="M_Book4_인월중군소하천_자전거도로포장수량 7" xfId="14018"/>
    <cellStyle name="M_Book4_인월중군소하천_자전거도로포장수량 7 2" xfId="26869"/>
    <cellStyle name="M_Book4_인월중군소하천_자전거도로포장수량 8" xfId="14014"/>
    <cellStyle name="M_Book4_인월중군소하천_자전거도로포장수량 8 2" xfId="26865"/>
    <cellStyle name="M_Book4_인월중군소하천_자전거도로포장수량 9" xfId="13920"/>
    <cellStyle name="M_Book4_인월중군소하천_자전거도로포장수량 9 2" xfId="26779"/>
    <cellStyle name="M_Book4_자전거도로구조물공수량" xfId="2640"/>
    <cellStyle name="M_Book4_자전거도로구조물공수량 10" xfId="17780"/>
    <cellStyle name="M_Book4_자전거도로구조물공수량 10 2" xfId="30497"/>
    <cellStyle name="M_Book4_자전거도로구조물공수량 11" xfId="19380"/>
    <cellStyle name="M_Book4_자전거도로구조물공수량 12" xfId="22580"/>
    <cellStyle name="M_Book4_자전거도로구조물공수량 12 2" xfId="35014"/>
    <cellStyle name="M_Book4_자전거도로구조물공수량 13" xfId="21602"/>
    <cellStyle name="M_Book4_자전거도로구조물공수량 13 2" xfId="34039"/>
    <cellStyle name="M_Book4_자전거도로구조물공수량 14" xfId="21860"/>
    <cellStyle name="M_Book4_자전거도로구조물공수량 14 2" xfId="34297"/>
    <cellStyle name="M_Book4_자전거도로구조물공수량 15" xfId="23068"/>
    <cellStyle name="M_Book4_자전거도로구조물공수량 15 2" xfId="35501"/>
    <cellStyle name="M_Book4_자전거도로구조물공수량 16" xfId="22121"/>
    <cellStyle name="M_Book4_자전거도로구조물공수량 16 2" xfId="34557"/>
    <cellStyle name="M_Book4_자전거도로구조물공수량 17" xfId="22046"/>
    <cellStyle name="M_Book4_자전거도로구조물공수량 17 2" xfId="34483"/>
    <cellStyle name="M_Book4_자전거도로구조물공수량 18" xfId="22377"/>
    <cellStyle name="M_Book4_자전거도로구조물공수량 18 2" xfId="34811"/>
    <cellStyle name="M_Book4_자전거도로구조물공수량 19" xfId="18759"/>
    <cellStyle name="M_Book4_자전거도로구조물공수량 19 2" xfId="31464"/>
    <cellStyle name="M_Book4_자전거도로구조물공수량 2" xfId="13444"/>
    <cellStyle name="M_Book4_자전거도로구조물공수량 2 2" xfId="26312"/>
    <cellStyle name="M_Book4_자전거도로구조물공수량 20" xfId="22852"/>
    <cellStyle name="M_Book4_자전거도로구조물공수량 20 2" xfId="35286"/>
    <cellStyle name="M_Book4_자전거도로구조물공수량 21" xfId="20389"/>
    <cellStyle name="M_Book4_자전거도로구조물공수량 21 2" xfId="32834"/>
    <cellStyle name="M_Book4_자전거도로구조물공수량 3" xfId="16898"/>
    <cellStyle name="M_Book4_자전거도로구조물공수량 3 2" xfId="29673"/>
    <cellStyle name="M_Book4_자전거도로구조물공수량 4" xfId="14426"/>
    <cellStyle name="M_Book4_자전거도로구조물공수량 4 2" xfId="27259"/>
    <cellStyle name="M_Book4_자전거도로구조물공수량 5" xfId="15534"/>
    <cellStyle name="M_Book4_자전거도로구조물공수량 5 2" xfId="28343"/>
    <cellStyle name="M_Book4_자전거도로구조물공수량 6" xfId="13351"/>
    <cellStyle name="M_Book4_자전거도로구조물공수량 6 2" xfId="26219"/>
    <cellStyle name="M_Book4_자전거도로구조물공수량 7" xfId="13770"/>
    <cellStyle name="M_Book4_자전거도로구조물공수량 7 2" xfId="26631"/>
    <cellStyle name="M_Book4_자전거도로구조물공수량 8" xfId="16588"/>
    <cellStyle name="M_Book4_자전거도로구조물공수량 8 2" xfId="29364"/>
    <cellStyle name="M_Book4_자전거도로구조물공수량 9" xfId="12418"/>
    <cellStyle name="M_Book4_자전거도로구조물공수량 9 2" xfId="25298"/>
    <cellStyle name="M_Book4_자전거도로포장수량" xfId="2641"/>
    <cellStyle name="M_Book4_자전거도로포장수량 10" xfId="14205"/>
    <cellStyle name="M_Book4_자전거도로포장수량 10 2" xfId="27053"/>
    <cellStyle name="M_Book4_자전거도로포장수량 11" xfId="19381"/>
    <cellStyle name="M_Book4_자전거도로포장수량 12" xfId="22579"/>
    <cellStyle name="M_Book4_자전거도로포장수량 12 2" xfId="35013"/>
    <cellStyle name="M_Book4_자전거도로포장수량 13" xfId="21603"/>
    <cellStyle name="M_Book4_자전거도로포장수량 13 2" xfId="34040"/>
    <cellStyle name="M_Book4_자전거도로포장수량 14" xfId="21861"/>
    <cellStyle name="M_Book4_자전거도로포장수량 14 2" xfId="34298"/>
    <cellStyle name="M_Book4_자전거도로포장수량 15" xfId="22894"/>
    <cellStyle name="M_Book4_자전거도로포장수량 15 2" xfId="35328"/>
    <cellStyle name="M_Book4_자전거도로포장수량 16" xfId="22120"/>
    <cellStyle name="M_Book4_자전거도로포장수량 16 2" xfId="34556"/>
    <cellStyle name="M_Book4_자전거도로포장수량 17" xfId="22045"/>
    <cellStyle name="M_Book4_자전거도로포장수량 17 2" xfId="34482"/>
    <cellStyle name="M_Book4_자전거도로포장수량 18" xfId="19824"/>
    <cellStyle name="M_Book4_자전거도로포장수량 18 2" xfId="32274"/>
    <cellStyle name="M_Book4_자전거도로포장수량 19" xfId="23130"/>
    <cellStyle name="M_Book4_자전거도로포장수량 19 2" xfId="35563"/>
    <cellStyle name="M_Book4_자전거도로포장수량 2" xfId="13445"/>
    <cellStyle name="M_Book4_자전거도로포장수량 2 2" xfId="26313"/>
    <cellStyle name="M_Book4_자전거도로포장수량 20" xfId="22886"/>
    <cellStyle name="M_Book4_자전거도로포장수량 20 2" xfId="35320"/>
    <cellStyle name="M_Book4_자전거도로포장수량 21" xfId="19966"/>
    <cellStyle name="M_Book4_자전거도로포장수량 21 2" xfId="32414"/>
    <cellStyle name="M_Book4_자전거도로포장수량 3" xfId="13805"/>
    <cellStyle name="M_Book4_자전거도로포장수량 3 2" xfId="26664"/>
    <cellStyle name="M_Book4_자전거도로포장수량 4" xfId="14425"/>
    <cellStyle name="M_Book4_자전거도로포장수량 4 2" xfId="27258"/>
    <cellStyle name="M_Book4_자전거도로포장수량 5" xfId="15535"/>
    <cellStyle name="M_Book4_자전거도로포장수량 5 2" xfId="28344"/>
    <cellStyle name="M_Book4_자전거도로포장수량 6" xfId="13207"/>
    <cellStyle name="M_Book4_자전거도로포장수량 6 2" xfId="26075"/>
    <cellStyle name="M_Book4_자전거도로포장수량 7" xfId="16463"/>
    <cellStyle name="M_Book4_자전거도로포장수량 7 2" xfId="29239"/>
    <cellStyle name="M_Book4_자전거도로포장수량 8" xfId="17908"/>
    <cellStyle name="M_Book4_자전거도로포장수량 8 2" xfId="30622"/>
    <cellStyle name="M_Book4_자전거도로포장수량 9" xfId="15435"/>
    <cellStyle name="M_Book4_자전거도로포장수량 9 2" xfId="28244"/>
    <cellStyle name="M_수량전체" xfId="2642"/>
    <cellStyle name="M_수량전체 10" xfId="17779"/>
    <cellStyle name="M_수량전체 10 2" xfId="30496"/>
    <cellStyle name="M_수량전체 11" xfId="19382"/>
    <cellStyle name="M_수량전체 12" xfId="22578"/>
    <cellStyle name="M_수량전체 12 2" xfId="35012"/>
    <cellStyle name="M_수량전체 13" xfId="21604"/>
    <cellStyle name="M_수량전체 13 2" xfId="34041"/>
    <cellStyle name="M_수량전체 14" xfId="21862"/>
    <cellStyle name="M_수량전체 14 2" xfId="34299"/>
    <cellStyle name="M_수량전체 15" xfId="23069"/>
    <cellStyle name="M_수량전체 15 2" xfId="35502"/>
    <cellStyle name="M_수량전체 16" xfId="22119"/>
    <cellStyle name="M_수량전체 16 2" xfId="34555"/>
    <cellStyle name="M_수량전체 17" xfId="22044"/>
    <cellStyle name="M_수량전체 17 2" xfId="34481"/>
    <cellStyle name="M_수량전체 18" xfId="24326"/>
    <cellStyle name="M_수량전체 18 2" xfId="36757"/>
    <cellStyle name="M_수량전체 19" xfId="23084"/>
    <cellStyle name="M_수량전체 19 2" xfId="35517"/>
    <cellStyle name="M_수량전체 2" xfId="13446"/>
    <cellStyle name="M_수량전체 2 2" xfId="26314"/>
    <cellStyle name="M_수량전체 20" xfId="22418"/>
    <cellStyle name="M_수량전체 20 2" xfId="34852"/>
    <cellStyle name="M_수량전체 21" xfId="22191"/>
    <cellStyle name="M_수량전체 21 2" xfId="34626"/>
    <cellStyle name="M_수량전체 3" xfId="16095"/>
    <cellStyle name="M_수량전체 3 2" xfId="28878"/>
    <cellStyle name="M_수량전체 4" xfId="14424"/>
    <cellStyle name="M_수량전체 4 2" xfId="27257"/>
    <cellStyle name="M_수량전체 5" xfId="15536"/>
    <cellStyle name="M_수량전체 5 2" xfId="28345"/>
    <cellStyle name="M_수량전체 6" xfId="15961"/>
    <cellStyle name="M_수량전체 6 2" xfId="28759"/>
    <cellStyle name="M_수량전체 7" xfId="12800"/>
    <cellStyle name="M_수량전체 7 2" xfId="25676"/>
    <cellStyle name="M_수량전체 8" xfId="17959"/>
    <cellStyle name="M_수량전체 8 2" xfId="30671"/>
    <cellStyle name="M_수량전체 9" xfId="16943"/>
    <cellStyle name="M_수량전체 9 2" xfId="29718"/>
    <cellStyle name="M_수량전체_도로수량양식" xfId="2643"/>
    <cellStyle name="M_수량전체_도로수량양식 10" xfId="12549"/>
    <cellStyle name="M_수량전체_도로수량양식 10 2" xfId="25429"/>
    <cellStyle name="M_수량전체_도로수량양식 11" xfId="19383"/>
    <cellStyle name="M_수량전체_도로수량양식 12" xfId="22577"/>
    <cellStyle name="M_수량전체_도로수량양식 12 2" xfId="35011"/>
    <cellStyle name="M_수량전체_도로수량양식 13" xfId="21605"/>
    <cellStyle name="M_수량전체_도로수량양식 13 2" xfId="34042"/>
    <cellStyle name="M_수량전체_도로수량양식 14" xfId="21863"/>
    <cellStyle name="M_수량전체_도로수량양식 14 2" xfId="34300"/>
    <cellStyle name="M_수량전체_도로수량양식 15" xfId="22536"/>
    <cellStyle name="M_수량전체_도로수량양식 15 2" xfId="34970"/>
    <cellStyle name="M_수량전체_도로수량양식 16" xfId="22118"/>
    <cellStyle name="M_수량전체_도로수량양식 16 2" xfId="34554"/>
    <cellStyle name="M_수량전체_도로수량양식 17" xfId="18257"/>
    <cellStyle name="M_수량전체_도로수량양식 17 2" xfId="30963"/>
    <cellStyle name="M_수량전체_도로수량양식 18" xfId="21808"/>
    <cellStyle name="M_수량전체_도로수량양식 18 2" xfId="34245"/>
    <cellStyle name="M_수량전체_도로수량양식 19" xfId="19562"/>
    <cellStyle name="M_수량전체_도로수량양식 19 2" xfId="32017"/>
    <cellStyle name="M_수량전체_도로수량양식 2" xfId="13447"/>
    <cellStyle name="M_수량전체_도로수량양식 2 2" xfId="26315"/>
    <cellStyle name="M_수량전체_도로수량양식 20" xfId="20685"/>
    <cellStyle name="M_수량전체_도로수량양식 20 2" xfId="33129"/>
    <cellStyle name="M_수량전체_도로수량양식 21" xfId="18437"/>
    <cellStyle name="M_수량전체_도로수량양식 21 2" xfId="31142"/>
    <cellStyle name="M_수량전체_도로수량양식 3" xfId="16094"/>
    <cellStyle name="M_수량전체_도로수량양식 3 2" xfId="28877"/>
    <cellStyle name="M_수량전체_도로수량양식 4" xfId="14423"/>
    <cellStyle name="M_수량전체_도로수량양식 4 2" xfId="27256"/>
    <cellStyle name="M_수량전체_도로수량양식 5" xfId="15537"/>
    <cellStyle name="M_수량전체_도로수량양식 5 2" xfId="28346"/>
    <cellStyle name="M_수량전체_도로수량양식 6" xfId="13206"/>
    <cellStyle name="M_수량전체_도로수량양식 6 2" xfId="26074"/>
    <cellStyle name="M_수량전체_도로수량양식 7" xfId="15987"/>
    <cellStyle name="M_수량전체_도로수량양식 7 2" xfId="28785"/>
    <cellStyle name="M_수량전체_도로수량양식 8" xfId="15821"/>
    <cellStyle name="M_수량전체_도로수량양식 8 2" xfId="28619"/>
    <cellStyle name="M_수량전체_도로수량양식 9" xfId="16942"/>
    <cellStyle name="M_수량전체_도로수량양식 9 2" xfId="29717"/>
    <cellStyle name="M_수량전체_도로수량양식_자전거도로구조물공수량" xfId="2644"/>
    <cellStyle name="M_수량전체_도로수량양식_자전거도로구조물공수량 10" xfId="17778"/>
    <cellStyle name="M_수량전체_도로수량양식_자전거도로구조물공수량 10 2" xfId="30495"/>
    <cellStyle name="M_수량전체_도로수량양식_자전거도로구조물공수량 11" xfId="19384"/>
    <cellStyle name="M_수량전체_도로수량양식_자전거도로구조물공수량 12" xfId="22576"/>
    <cellStyle name="M_수량전체_도로수량양식_자전거도로구조물공수량 12 2" xfId="35010"/>
    <cellStyle name="M_수량전체_도로수량양식_자전거도로구조물공수량 13" xfId="21606"/>
    <cellStyle name="M_수량전체_도로수량양식_자전거도로구조물공수량 13 2" xfId="34043"/>
    <cellStyle name="M_수량전체_도로수량양식_자전거도로구조물공수량 14" xfId="21864"/>
    <cellStyle name="M_수량전체_도로수량양식_자전거도로구조물공수량 14 2" xfId="34301"/>
    <cellStyle name="M_수량전체_도로수량양식_자전거도로구조물공수량 15" xfId="23070"/>
    <cellStyle name="M_수량전체_도로수량양식_자전거도로구조물공수량 15 2" xfId="35503"/>
    <cellStyle name="M_수량전체_도로수량양식_자전거도로구조물공수량 16" xfId="22117"/>
    <cellStyle name="M_수량전체_도로수량양식_자전거도로구조물공수량 16 2" xfId="34553"/>
    <cellStyle name="M_수량전체_도로수량양식_자전거도로구조물공수량 17" xfId="20823"/>
    <cellStyle name="M_수량전체_도로수량양식_자전거도로구조물공수량 17 2" xfId="33260"/>
    <cellStyle name="M_수량전체_도로수량양식_자전거도로구조물공수량 18" xfId="24327"/>
    <cellStyle name="M_수량전체_도로수량양식_자전거도로구조물공수량 18 2" xfId="36758"/>
    <cellStyle name="M_수량전체_도로수량양식_자전거도로구조물공수량 19" xfId="20656"/>
    <cellStyle name="M_수량전체_도로수량양식_자전거도로구조물공수량 19 2" xfId="33100"/>
    <cellStyle name="M_수량전체_도로수량양식_자전거도로구조물공수량 2" xfId="13448"/>
    <cellStyle name="M_수량전체_도로수량양식_자전거도로구조물공수량 2 2" xfId="26316"/>
    <cellStyle name="M_수량전체_도로수량양식_자전거도로구조물공수량 20" xfId="23810"/>
    <cellStyle name="M_수량전체_도로수량양식_자전거도로구조물공수량 20 2" xfId="36241"/>
    <cellStyle name="M_수량전체_도로수량양식_자전거도로구조물공수량 21" xfId="18760"/>
    <cellStyle name="M_수량전체_도로수량양식_자전거도로구조물공수량 21 2" xfId="31465"/>
    <cellStyle name="M_수량전체_도로수량양식_자전거도로구조물공수량 3" xfId="16093"/>
    <cellStyle name="M_수량전체_도로수량양식_자전거도로구조물공수량 3 2" xfId="28876"/>
    <cellStyle name="M_수량전체_도로수량양식_자전거도로구조물공수량 4" xfId="14422"/>
    <cellStyle name="M_수량전체_도로수량양식_자전거도로구조물공수량 4 2" xfId="27255"/>
    <cellStyle name="M_수량전체_도로수량양식_자전거도로구조물공수량 5" xfId="15538"/>
    <cellStyle name="M_수량전체_도로수량양식_자전거도로구조물공수량 5 2" xfId="28347"/>
    <cellStyle name="M_수량전체_도로수량양식_자전거도로구조물공수량 6" xfId="13350"/>
    <cellStyle name="M_수량전체_도로수량양식_자전거도로구조물공수량 6 2" xfId="26218"/>
    <cellStyle name="M_수량전체_도로수량양식_자전거도로구조물공수량 7" xfId="13505"/>
    <cellStyle name="M_수량전체_도로수량양식_자전거도로구조물공수량 7 2" xfId="26373"/>
    <cellStyle name="M_수량전체_도로수량양식_자전거도로구조물공수량 8" xfId="14075"/>
    <cellStyle name="M_수량전체_도로수량양식_자전거도로구조물공수량 8 2" xfId="26923"/>
    <cellStyle name="M_수량전체_도로수량양식_자전거도로구조물공수량 9" xfId="13082"/>
    <cellStyle name="M_수량전체_도로수량양식_자전거도로구조물공수량 9 2" xfId="25951"/>
    <cellStyle name="M_수량전체_도로수량양식_자전거도로포장수량" xfId="2645"/>
    <cellStyle name="M_수량전체_도로수량양식_자전거도로포장수량 10" xfId="15589"/>
    <cellStyle name="M_수량전체_도로수량양식_자전거도로포장수량 10 2" xfId="28398"/>
    <cellStyle name="M_수량전체_도로수량양식_자전거도로포장수량 11" xfId="19385"/>
    <cellStyle name="M_수량전체_도로수량양식_자전거도로포장수량 12" xfId="22575"/>
    <cellStyle name="M_수량전체_도로수량양식_자전거도로포장수량 12 2" xfId="35009"/>
    <cellStyle name="M_수량전체_도로수량양식_자전거도로포장수량 13" xfId="21607"/>
    <cellStyle name="M_수량전체_도로수량양식_자전거도로포장수량 13 2" xfId="34044"/>
    <cellStyle name="M_수량전체_도로수량양식_자전거도로포장수량 14" xfId="21865"/>
    <cellStyle name="M_수량전체_도로수량양식_자전거도로포장수량 14 2" xfId="34302"/>
    <cellStyle name="M_수량전체_도로수량양식_자전거도로포장수량 15" xfId="21805"/>
    <cellStyle name="M_수량전체_도로수량양식_자전거도로포장수량 15 2" xfId="34242"/>
    <cellStyle name="M_수량전체_도로수량양식_자전거도로포장수량 16" xfId="22116"/>
    <cellStyle name="M_수량전체_도로수량양식_자전거도로포장수량 16 2" xfId="34552"/>
    <cellStyle name="M_수량전체_도로수량양식_자전거도로포장수량 17" xfId="18406"/>
    <cellStyle name="M_수량전체_도로수량양식_자전거도로포장수량 17 2" xfId="31111"/>
    <cellStyle name="M_수량전체_도로수량양식_자전거도로포장수량 18" xfId="19823"/>
    <cellStyle name="M_수량전체_도로수량양식_자전거도로포장수량 18 2" xfId="32273"/>
    <cellStyle name="M_수량전체_도로수량양식_자전거도로포장수량 19" xfId="21948"/>
    <cellStyle name="M_수량전체_도로수량양식_자전거도로포장수량 19 2" xfId="34385"/>
    <cellStyle name="M_수량전체_도로수량양식_자전거도로포장수량 2" xfId="13449"/>
    <cellStyle name="M_수량전체_도로수량양식_자전거도로포장수량 2 2" xfId="26317"/>
    <cellStyle name="M_수량전체_도로수량양식_자전거도로포장수량 20" xfId="24305"/>
    <cellStyle name="M_수량전체_도로수량양식_자전거도로포장수량 20 2" xfId="36736"/>
    <cellStyle name="M_수량전체_도로수량양식_자전거도로포장수량 21" xfId="18890"/>
    <cellStyle name="M_수량전체_도로수량양식_자전거도로포장수량 21 2" xfId="31595"/>
    <cellStyle name="M_수량전체_도로수량양식_자전거도로포장수량 3" xfId="16092"/>
    <cellStyle name="M_수량전체_도로수량양식_자전거도로포장수량 3 2" xfId="28875"/>
    <cellStyle name="M_수량전체_도로수량양식_자전거도로포장수량 4" xfId="12447"/>
    <cellStyle name="M_수량전체_도로수량양식_자전거도로포장수량 4 2" xfId="25327"/>
    <cellStyle name="M_수량전체_도로수량양식_자전거도로포장수량 5" xfId="15539"/>
    <cellStyle name="M_수량전체_도로수량양식_자전거도로포장수량 5 2" xfId="28348"/>
    <cellStyle name="M_수량전체_도로수량양식_자전거도로포장수량 6" xfId="13205"/>
    <cellStyle name="M_수량전체_도로수량양식_자전거도로포장수량 6 2" xfId="26073"/>
    <cellStyle name="M_수량전체_도로수량양식_자전거도로포장수량 7" xfId="14226"/>
    <cellStyle name="M_수량전체_도로수량양식_자전거도로포장수량 7 2" xfId="27072"/>
    <cellStyle name="M_수량전체_도로수량양식_자전거도로포장수량 8" xfId="15769"/>
    <cellStyle name="M_수량전체_도로수량양식_자전거도로포장수량 8 2" xfId="28568"/>
    <cellStyle name="M_수량전체_도로수량양식_자전거도로포장수량 9" xfId="14060"/>
    <cellStyle name="M_수량전체_도로수량양식_자전거도로포장수량 9 2" xfId="26908"/>
    <cellStyle name="M_수량전체_수량산출" xfId="2646"/>
    <cellStyle name="M_수량전체_수량산출 10" xfId="17777"/>
    <cellStyle name="M_수량전체_수량산출 10 2" xfId="30494"/>
    <cellStyle name="M_수량전체_수량산출 11" xfId="19386"/>
    <cellStyle name="M_수량전체_수량산출 12" xfId="22574"/>
    <cellStyle name="M_수량전체_수량산출 12 2" xfId="35008"/>
    <cellStyle name="M_수량전체_수량산출 13" xfId="21608"/>
    <cellStyle name="M_수량전체_수량산출 13 2" xfId="34045"/>
    <cellStyle name="M_수량전체_수량산출 14" xfId="20929"/>
    <cellStyle name="M_수량전체_수량산출 14 2" xfId="33366"/>
    <cellStyle name="M_수량전체_수량산출 15" xfId="21067"/>
    <cellStyle name="M_수량전체_수량산출 15 2" xfId="33504"/>
    <cellStyle name="M_수량전체_수량산출 16" xfId="22115"/>
    <cellStyle name="M_수량전체_수량산출 16 2" xfId="34551"/>
    <cellStyle name="M_수량전체_수량산출 17" xfId="23504"/>
    <cellStyle name="M_수량전체_수량산출 17 2" xfId="35935"/>
    <cellStyle name="M_수량전체_수량산출 18" xfId="18663"/>
    <cellStyle name="M_수량전체_수량산출 18 2" xfId="31368"/>
    <cellStyle name="M_수량전체_수량산출 19" xfId="22011"/>
    <cellStyle name="M_수량전체_수량산출 19 2" xfId="34448"/>
    <cellStyle name="M_수량전체_수량산출 2" xfId="13450"/>
    <cellStyle name="M_수량전체_수량산출 2 2" xfId="26318"/>
    <cellStyle name="M_수량전체_수량산출 20" xfId="24477"/>
    <cellStyle name="M_수량전체_수량산출 20 2" xfId="36908"/>
    <cellStyle name="M_수량전체_수량산출 21" xfId="23642"/>
    <cellStyle name="M_수량전체_수량산출 21 2" xfId="36073"/>
    <cellStyle name="M_수량전체_수량산출 3" xfId="16897"/>
    <cellStyle name="M_수량전체_수량산출 3 2" xfId="29672"/>
    <cellStyle name="M_수량전체_수량산출 4" xfId="16599"/>
    <cellStyle name="M_수량전체_수량산출 4 2" xfId="29375"/>
    <cellStyle name="M_수량전체_수량산출 5" xfId="15540"/>
    <cellStyle name="M_수량전체_수량산출 5 2" xfId="28349"/>
    <cellStyle name="M_수량전체_수량산출 6" xfId="15960"/>
    <cellStyle name="M_수량전체_수량산출 6 2" xfId="28758"/>
    <cellStyle name="M_수량전체_수량산출 7" xfId="14882"/>
    <cellStyle name="M_수량전체_수량산출 7 2" xfId="27703"/>
    <cellStyle name="M_수량전체_수량산출 8" xfId="16510"/>
    <cellStyle name="M_수량전체_수량산출 8 2" xfId="29286"/>
    <cellStyle name="M_수량전체_수량산출 9" xfId="16379"/>
    <cellStyle name="M_수량전체_수량산출 9 2" xfId="29155"/>
    <cellStyle name="M_수량전체_수량산출_자전거도로구조물공수량" xfId="2647"/>
    <cellStyle name="M_수량전체_수량산출_자전거도로구조물공수량 10" xfId="15806"/>
    <cellStyle name="M_수량전체_수량산출_자전거도로구조물공수량 10 2" xfId="28605"/>
    <cellStyle name="M_수량전체_수량산출_자전거도로구조물공수량 11" xfId="19387"/>
    <cellStyle name="M_수량전체_수량산출_자전거도로구조물공수량 12" xfId="22573"/>
    <cellStyle name="M_수량전체_수량산출_자전거도로구조물공수량 12 2" xfId="35007"/>
    <cellStyle name="M_수량전체_수량산출_자전거도로구조물공수량 13" xfId="21609"/>
    <cellStyle name="M_수량전체_수량산출_자전거도로구조물공수량 13 2" xfId="34046"/>
    <cellStyle name="M_수량전체_수량산출_자전거도로구조물공수량 14" xfId="21286"/>
    <cellStyle name="M_수량전체_수량산출_자전거도로구조물공수량 14 2" xfId="33723"/>
    <cellStyle name="M_수량전체_수량산출_자전거도로구조물공수량 15" xfId="21806"/>
    <cellStyle name="M_수량전체_수량산출_자전거도로구조물공수량 15 2" xfId="34243"/>
    <cellStyle name="M_수량전체_수량산출_자전거도로구조물공수량 16" xfId="21533"/>
    <cellStyle name="M_수량전체_수량산출_자전거도로구조물공수량 16 2" xfId="33970"/>
    <cellStyle name="M_수량전체_수량산출_자전거도로구조물공수량 17" xfId="18256"/>
    <cellStyle name="M_수량전체_수량산출_자전거도로구조물공수량 17 2" xfId="30962"/>
    <cellStyle name="M_수량전체_수량산출_자전거도로구조물공수량 18" xfId="22540"/>
    <cellStyle name="M_수량전체_수량산출_자전거도로구조물공수량 18 2" xfId="34974"/>
    <cellStyle name="M_수량전체_수량산출_자전거도로구조물공수량 19" xfId="24012"/>
    <cellStyle name="M_수량전체_수량산출_자전거도로구조물공수량 19 2" xfId="36443"/>
    <cellStyle name="M_수량전체_수량산출_자전거도로구조물공수량 2" xfId="13451"/>
    <cellStyle name="M_수량전체_수량산출_자전거도로구조물공수량 2 2" xfId="26319"/>
    <cellStyle name="M_수량전체_수량산출_자전거도로구조물공수량 20" xfId="20598"/>
    <cellStyle name="M_수량전체_수량산출_자전거도로구조물공수량 20 2" xfId="33042"/>
    <cellStyle name="M_수량전체_수량산출_자전거도로구조물공수량 21" xfId="19604"/>
    <cellStyle name="M_수량전체_수량산출_자전거도로구조물공수량 21 2" xfId="32059"/>
    <cellStyle name="M_수량전체_수량산출_자전거도로구조물공수량 3" xfId="16091"/>
    <cellStyle name="M_수량전체_수량산출_자전거도로구조물공수량 3 2" xfId="28874"/>
    <cellStyle name="M_수량전체_수량산출_자전거도로구조물공수량 4" xfId="15879"/>
    <cellStyle name="M_수량전체_수량산출_자전거도로구조물공수량 4 2" xfId="28677"/>
    <cellStyle name="M_수량전체_수량산출_자전거도로구조물공수량 5" xfId="15541"/>
    <cellStyle name="M_수량전체_수량산출_자전거도로구조물공수량 5 2" xfId="28350"/>
    <cellStyle name="M_수량전체_수량산출_자전거도로구조물공수량 6" xfId="13204"/>
    <cellStyle name="M_수량전체_수량산출_자전거도로구조물공수량 6 2" xfId="26072"/>
    <cellStyle name="M_수량전체_수량산출_자전거도로구조물공수량 7" xfId="14546"/>
    <cellStyle name="M_수량전체_수량산출_자전거도로구조물공수량 7 2" xfId="27374"/>
    <cellStyle name="M_수량전체_수량산출_자전거도로구조물공수량 8" xfId="17012"/>
    <cellStyle name="M_수량전체_수량산출_자전거도로구조물공수량 8 2" xfId="29787"/>
    <cellStyle name="M_수량전체_수량산출_자전거도로구조물공수량 9" xfId="15817"/>
    <cellStyle name="M_수량전체_수량산출_자전거도로구조물공수량 9 2" xfId="28615"/>
    <cellStyle name="M_수량전체_수량산출_자전거도로포장수량" xfId="2648"/>
    <cellStyle name="M_수량전체_수량산출_자전거도로포장수량 10" xfId="17776"/>
    <cellStyle name="M_수량전체_수량산출_자전거도로포장수량 10 2" xfId="30493"/>
    <cellStyle name="M_수량전체_수량산출_자전거도로포장수량 11" xfId="19388"/>
    <cellStyle name="M_수량전체_수량산출_자전거도로포장수량 12" xfId="22572"/>
    <cellStyle name="M_수량전체_수량산출_자전거도로포장수량 12 2" xfId="35006"/>
    <cellStyle name="M_수량전체_수량산출_자전거도로포장수량 13" xfId="21610"/>
    <cellStyle name="M_수량전체_수량산출_자전거도로포장수량 13 2" xfId="34047"/>
    <cellStyle name="M_수량전체_수량산출_자전거도로포장수량 14" xfId="23116"/>
    <cellStyle name="M_수량전체_수량산출_자전거도로포장수량 14 2" xfId="35549"/>
    <cellStyle name="M_수량전체_수량산출_자전거도로포장수량 15" xfId="19816"/>
    <cellStyle name="M_수량전체_수량산출_자전거도로포장수량 15 2" xfId="32266"/>
    <cellStyle name="M_수량전체_수량산출_자전거도로포장수량 16" xfId="21532"/>
    <cellStyle name="M_수량전체_수량산출_자전거도로포장수량 16 2" xfId="33969"/>
    <cellStyle name="M_수량전체_수량산출_자전거도로포장수량 17" xfId="18255"/>
    <cellStyle name="M_수량전체_수량산출_자전거도로포장수량 17 2" xfId="30961"/>
    <cellStyle name="M_수량전체_수량산출_자전거도로포장수량 18" xfId="19535"/>
    <cellStyle name="M_수량전체_수량산출_자전거도로포장수량 18 2" xfId="31990"/>
    <cellStyle name="M_수량전체_수량산출_자전거도로포장수량 19" xfId="24197"/>
    <cellStyle name="M_수량전체_수량산출_자전거도로포장수량 19 2" xfId="36628"/>
    <cellStyle name="M_수량전체_수량산출_자전거도로포장수량 2" xfId="13452"/>
    <cellStyle name="M_수량전체_수량산출_자전거도로포장수량 2 2" xfId="26320"/>
    <cellStyle name="M_수량전체_수량산출_자전거도로포장수량 20" xfId="18882"/>
    <cellStyle name="M_수량전체_수량산출_자전거도로포장수량 20 2" xfId="31587"/>
    <cellStyle name="M_수량전체_수량산출_자전거도로포장수량 21" xfId="20329"/>
    <cellStyle name="M_수량전체_수량산출_자전거도로포장수량 21 2" xfId="32774"/>
    <cellStyle name="M_수량전체_수량산출_자전거도로포장수량 3" xfId="16090"/>
    <cellStyle name="M_수량전체_수량산출_자전거도로포장수량 3 2" xfId="28873"/>
    <cellStyle name="M_수량전체_수량산출_자전거도로포장수량 4" xfId="14420"/>
    <cellStyle name="M_수량전체_수량산출_자전거도로포장수량 4 2" xfId="27253"/>
    <cellStyle name="M_수량전체_수량산출_자전거도로포장수량 5" xfId="15542"/>
    <cellStyle name="M_수량전체_수량산출_자전거도로포장수량 5 2" xfId="28351"/>
    <cellStyle name="M_수량전체_수량산출_자전거도로포장수량 6" xfId="13349"/>
    <cellStyle name="M_수량전체_수량산출_자전거도로포장수량 6 2" xfId="26217"/>
    <cellStyle name="M_수량전체_수량산출_자전거도로포장수량 7" xfId="12799"/>
    <cellStyle name="M_수량전체_수량산출_자전거도로포장수량 7 2" xfId="25675"/>
    <cellStyle name="M_수량전체_수량산출_자전거도로포장수량 8" xfId="12759"/>
    <cellStyle name="M_수량전체_수량산출_자전거도로포장수량 8 2" xfId="25636"/>
    <cellStyle name="M_수량전체_수량산출_자전거도로포장수량 9" xfId="12996"/>
    <cellStyle name="M_수량전체_수량산출_자전거도로포장수량 9 2" xfId="25871"/>
    <cellStyle name="M_수량전체_인월중군소하천" xfId="2649"/>
    <cellStyle name="M_수량전체_인월중군소하천 10" xfId="13956"/>
    <cellStyle name="M_수량전체_인월중군소하천 10 2" xfId="26814"/>
    <cellStyle name="M_수량전체_인월중군소하천 11" xfId="19389"/>
    <cellStyle name="M_수량전체_인월중군소하천 12" xfId="22571"/>
    <cellStyle name="M_수량전체_인월중군소하천 12 2" xfId="35005"/>
    <cellStyle name="M_수량전체_인월중군소하천 13" xfId="21611"/>
    <cellStyle name="M_수량전체_인월중군소하천 13 2" xfId="34048"/>
    <cellStyle name="M_수량전체_인월중군소하천 14" xfId="20930"/>
    <cellStyle name="M_수량전체_인월중군소하천 14 2" xfId="33367"/>
    <cellStyle name="M_수량전체_인월중군소하천 15" xfId="21228"/>
    <cellStyle name="M_수량전체_인월중군소하천 15 2" xfId="33665"/>
    <cellStyle name="M_수량전체_인월중군소하천 16" xfId="21531"/>
    <cellStyle name="M_수량전체_인월중군소하천 16 2" xfId="33968"/>
    <cellStyle name="M_수량전체_인월중군소하천 17" xfId="18254"/>
    <cellStyle name="M_수량전체_인월중군소하천 17 2" xfId="30960"/>
    <cellStyle name="M_수량전체_인월중군소하천 18" xfId="19822"/>
    <cellStyle name="M_수량전체_인월중군소하천 18 2" xfId="32272"/>
    <cellStyle name="M_수량전체_인월중군소하천 19" xfId="24202"/>
    <cellStyle name="M_수량전체_인월중군소하천 19 2" xfId="36633"/>
    <cellStyle name="M_수량전체_인월중군소하천 2" xfId="13453"/>
    <cellStyle name="M_수량전체_인월중군소하천 2 2" xfId="26321"/>
    <cellStyle name="M_수량전체_인월중군소하천 20" xfId="20917"/>
    <cellStyle name="M_수량전체_인월중군소하천 20 2" xfId="33354"/>
    <cellStyle name="M_수량전체_인월중군소하천 21" xfId="22433"/>
    <cellStyle name="M_수량전체_인월중군소하천 21 2" xfId="34867"/>
    <cellStyle name="M_수량전체_인월중군소하천 3" xfId="16089"/>
    <cellStyle name="M_수량전체_인월중군소하천 3 2" xfId="28872"/>
    <cellStyle name="M_수량전체_인월중군소하천 4" xfId="14419"/>
    <cellStyle name="M_수량전체_인월중군소하천 4 2" xfId="27252"/>
    <cellStyle name="M_수량전체_인월중군소하천 5" xfId="15543"/>
    <cellStyle name="M_수량전체_인월중군소하천 5 2" xfId="28352"/>
    <cellStyle name="M_수량전체_인월중군소하천 6" xfId="13203"/>
    <cellStyle name="M_수량전체_인월중군소하천 6 2" xfId="26071"/>
    <cellStyle name="M_수량전체_인월중군소하천 7" xfId="14544"/>
    <cellStyle name="M_수량전체_인월중군소하천 7 2" xfId="27372"/>
    <cellStyle name="M_수량전체_인월중군소하천 8" xfId="15770"/>
    <cellStyle name="M_수량전체_인월중군소하천 8 2" xfId="28569"/>
    <cellStyle name="M_수량전체_인월중군소하천 9" xfId="12755"/>
    <cellStyle name="M_수량전체_인월중군소하천 9 2" xfId="25632"/>
    <cellStyle name="M_수량전체_인월중군소하천_자전거도로구조물공수량" xfId="2650"/>
    <cellStyle name="M_수량전체_인월중군소하천_자전거도로구조물공수량 10" xfId="17775"/>
    <cellStyle name="M_수량전체_인월중군소하천_자전거도로구조물공수량 10 2" xfId="30492"/>
    <cellStyle name="M_수량전체_인월중군소하천_자전거도로구조물공수량 11" xfId="19390"/>
    <cellStyle name="M_수량전체_인월중군소하천_자전거도로구조물공수량 12" xfId="22570"/>
    <cellStyle name="M_수량전체_인월중군소하천_자전거도로구조물공수량 12 2" xfId="35004"/>
    <cellStyle name="M_수량전체_인월중군소하천_자전거도로구조물공수량 13" xfId="21612"/>
    <cellStyle name="M_수량전체_인월중군소하천_자전거도로구조물공수량 13 2" xfId="34049"/>
    <cellStyle name="M_수량전체_인월중군소하천_자전거도로구조물공수량 14" xfId="21866"/>
    <cellStyle name="M_수량전체_인월중군소하천_자전거도로구조물공수량 14 2" xfId="34303"/>
    <cellStyle name="M_수량전체_인월중군소하천_자전거도로구조물공수량 15" xfId="23071"/>
    <cellStyle name="M_수량전체_인월중군소하천_자전거도로구조물공수량 15 2" xfId="35504"/>
    <cellStyle name="M_수량전체_인월중군소하천_자전거도로구조물공수량 16" xfId="21530"/>
    <cellStyle name="M_수량전체_인월중군소하천_자전거도로구조물공수량 16 2" xfId="33967"/>
    <cellStyle name="M_수량전체_인월중군소하천_자전거도로구조물공수량 17" xfId="22043"/>
    <cellStyle name="M_수량전체_인월중군소하천_자전거도로구조물공수량 17 2" xfId="34480"/>
    <cellStyle name="M_수량전체_인월중군소하천_자전거도로구조물공수량 18" xfId="23840"/>
    <cellStyle name="M_수량전체_인월중군소하천_자전거도로구조물공수량 18 2" xfId="36271"/>
    <cellStyle name="M_수량전체_인월중군소하천_자전거도로구조물공수량 19" xfId="19551"/>
    <cellStyle name="M_수량전체_인월중군소하천_자전거도로구조물공수량 19 2" xfId="32006"/>
    <cellStyle name="M_수량전체_인월중군소하천_자전거도로구조물공수량 2" xfId="13454"/>
    <cellStyle name="M_수량전체_인월중군소하천_자전거도로구조물공수량 2 2" xfId="26322"/>
    <cellStyle name="M_수량전체_인월중군소하천_자전거도로구조물공수량 20" xfId="23809"/>
    <cellStyle name="M_수량전체_인월중군소하천_자전거도로구조물공수량 20 2" xfId="36240"/>
    <cellStyle name="M_수량전체_인월중군소하천_자전거도로구조물공수량 21" xfId="20886"/>
    <cellStyle name="M_수량전체_인월중군소하천_자전거도로구조물공수량 21 2" xfId="33323"/>
    <cellStyle name="M_수량전체_인월중군소하천_자전거도로구조물공수량 3" xfId="16896"/>
    <cellStyle name="M_수량전체_인월중군소하천_자전거도로구조물공수량 3 2" xfId="29671"/>
    <cellStyle name="M_수량전체_인월중군소하천_자전거도로구조물공수량 4" xfId="14418"/>
    <cellStyle name="M_수량전체_인월중군소하천_자전거도로구조물공수량 4 2" xfId="27251"/>
    <cellStyle name="M_수량전체_인월중군소하천_자전거도로구조물공수량 5" xfId="15544"/>
    <cellStyle name="M_수량전체_인월중군소하천_자전거도로구조물공수량 5 2" xfId="28353"/>
    <cellStyle name="M_수량전체_인월중군소하천_자전거도로구조물공수량 6" xfId="13347"/>
    <cellStyle name="M_수량전체_인월중군소하천_자전거도로구조물공수량 6 2" xfId="26215"/>
    <cellStyle name="M_수량전체_인월중군소하천_자전거도로구조물공수량 7" xfId="13317"/>
    <cellStyle name="M_수량전체_인월중군소하천_자전거도로구조물공수량 7 2" xfId="26185"/>
    <cellStyle name="M_수량전체_인월중군소하천_자전거도로구조물공수량 8" xfId="13168"/>
    <cellStyle name="M_수량전체_인월중군소하천_자전거도로구조물공수량 8 2" xfId="26036"/>
    <cellStyle name="M_수량전체_인월중군소하천_자전거도로구조물공수량 9" xfId="14001"/>
    <cellStyle name="M_수량전체_인월중군소하천_자전거도로구조물공수량 9 2" xfId="26857"/>
    <cellStyle name="M_수량전체_인월중군소하천_자전거도로포장수량" xfId="2651"/>
    <cellStyle name="M_수량전체_인월중군소하천_자전거도로포장수량 10" xfId="16616"/>
    <cellStyle name="M_수량전체_인월중군소하천_자전거도로포장수량 10 2" xfId="29392"/>
    <cellStyle name="M_수량전체_인월중군소하천_자전거도로포장수량 11" xfId="19391"/>
    <cellStyle name="M_수량전체_인월중군소하천_자전거도로포장수량 12" xfId="22569"/>
    <cellStyle name="M_수량전체_인월중군소하천_자전거도로포장수량 12 2" xfId="35003"/>
    <cellStyle name="M_수량전체_인월중군소하천_자전거도로포장수량 13" xfId="21613"/>
    <cellStyle name="M_수량전체_인월중군소하천_자전거도로포장수량 13 2" xfId="34050"/>
    <cellStyle name="M_수량전체_인월중군소하천_자전거도로포장수량 14" xfId="21867"/>
    <cellStyle name="M_수량전체_인월중군소하천_자전거도로포장수량 14 2" xfId="34304"/>
    <cellStyle name="M_수량전체_인월중군소하천_자전거도로포장수량 15" xfId="19026"/>
    <cellStyle name="M_수량전체_인월중군소하천_자전거도로포장수량 15 2" xfId="31731"/>
    <cellStyle name="M_수량전체_인월중군소하천_자전거도로포장수량 16" xfId="21132"/>
    <cellStyle name="M_수량전체_인월중군소하천_자전거도로포장수량 16 2" xfId="33569"/>
    <cellStyle name="M_수량전체_인월중군소하천_자전거도로포장수량 17" xfId="18886"/>
    <cellStyle name="M_수량전체_인월중군소하천_자전거도로포장수량 17 2" xfId="31591"/>
    <cellStyle name="M_수량전체_인월중군소하천_자전거도로포장수량 18" xfId="22539"/>
    <cellStyle name="M_수량전체_인월중군소하천_자전거도로포장수량 18 2" xfId="34973"/>
    <cellStyle name="M_수량전체_인월중군소하천_자전거도로포장수량 19" xfId="22012"/>
    <cellStyle name="M_수량전체_인월중군소하천_자전거도로포장수량 19 2" xfId="34449"/>
    <cellStyle name="M_수량전체_인월중군소하천_자전거도로포장수량 2" xfId="13455"/>
    <cellStyle name="M_수량전체_인월중군소하천_자전거도로포장수량 2 2" xfId="26323"/>
    <cellStyle name="M_수량전체_인월중군소하천_자전거도로포장수량 20" xfId="23674"/>
    <cellStyle name="M_수량전체_인월중군소하천_자전거도로포장수량 20 2" xfId="36105"/>
    <cellStyle name="M_수량전체_인월중군소하천_자전거도로포장수량 21" xfId="22427"/>
    <cellStyle name="M_수량전체_인월중군소하천_자전거도로포장수량 21 2" xfId="34861"/>
    <cellStyle name="M_수량전체_인월중군소하천_자전거도로포장수량 3" xfId="16895"/>
    <cellStyle name="M_수량전체_인월중군소하천_자전거도로포장수량 3 2" xfId="29670"/>
    <cellStyle name="M_수량전체_인월중군소하천_자전거도로포장수량 4" xfId="14417"/>
    <cellStyle name="M_수량전체_인월중군소하천_자전거도로포장수량 4 2" xfId="27250"/>
    <cellStyle name="M_수량전체_인월중군소하천_자전거도로포장수량 5" xfId="15545"/>
    <cellStyle name="M_수량전체_인월중군소하천_자전거도로포장수량 5 2" xfId="28354"/>
    <cellStyle name="M_수량전체_인월중군소하천_자전거도로포장수량 6" xfId="13202"/>
    <cellStyle name="M_수량전체_인월중군소하천_자전거도로포장수량 6 2" xfId="26070"/>
    <cellStyle name="M_수량전체_인월중군소하천_자전거도로포장수량 7" xfId="14591"/>
    <cellStyle name="M_수량전체_인월중군소하천_자전거도로포장수량 7 2" xfId="27417"/>
    <cellStyle name="M_수량전체_인월중군소하천_자전거도로포장수량 8" xfId="17013"/>
    <cellStyle name="M_수량전체_인월중군소하천_자전거도로포장수량 8 2" xfId="29788"/>
    <cellStyle name="M_수량전체_인월중군소하천_자전거도로포장수량 9" xfId="15241"/>
    <cellStyle name="M_수량전체_인월중군소하천_자전거도로포장수량 9 2" xfId="28059"/>
    <cellStyle name="M_수량전체_자전거도로구조물공수량" xfId="2652"/>
    <cellStyle name="M_수량전체_자전거도로구조물공수량 10" xfId="17774"/>
    <cellStyle name="M_수량전체_자전거도로구조물공수량 10 2" xfId="30491"/>
    <cellStyle name="M_수량전체_자전거도로구조물공수량 11" xfId="19392"/>
    <cellStyle name="M_수량전체_자전거도로구조물공수량 12" xfId="22568"/>
    <cellStyle name="M_수량전체_자전거도로구조물공수량 12 2" xfId="35002"/>
    <cellStyle name="M_수량전체_자전거도로구조물공수량 13" xfId="21614"/>
    <cellStyle name="M_수량전체_자전거도로구조물공수량 13 2" xfId="34051"/>
    <cellStyle name="M_수량전체_자전거도로구조물공수량 14" xfId="21868"/>
    <cellStyle name="M_수량전체_자전거도로구조물공수량 14 2" xfId="34305"/>
    <cellStyle name="M_수량전체_자전거도로구조물공수량 15" xfId="23072"/>
    <cellStyle name="M_수량전체_자전거도로구조물공수량 15 2" xfId="35505"/>
    <cellStyle name="M_수량전체_자전거도로구조물공수량 16" xfId="23727"/>
    <cellStyle name="M_수량전체_자전거도로구조물공수량 16 2" xfId="36158"/>
    <cellStyle name="M_수량전체_자전거도로구조물공수량 17" xfId="20503"/>
    <cellStyle name="M_수량전체_자전거도로구조물공수량 17 2" xfId="32948"/>
    <cellStyle name="M_수량전체_자전거도로구조물공수량 18" xfId="20734"/>
    <cellStyle name="M_수량전체_자전거도로구조물공수량 18 2" xfId="33174"/>
    <cellStyle name="M_수량전체_자전거도로구조물공수량 19" xfId="23872"/>
    <cellStyle name="M_수량전체_자전거도로구조물공수량 19 2" xfId="36303"/>
    <cellStyle name="M_수량전체_자전거도로구조물공수량 2" xfId="13456"/>
    <cellStyle name="M_수량전체_자전거도로구조물공수량 2 2" xfId="26324"/>
    <cellStyle name="M_수량전체_자전거도로구조물공수량 20" xfId="18881"/>
    <cellStyle name="M_수량전체_자전거도로구조물공수량 20 2" xfId="31586"/>
    <cellStyle name="M_수량전체_자전거도로구조물공수량 21" xfId="19231"/>
    <cellStyle name="M_수량전체_자전거도로구조물공수량 21 2" xfId="31886"/>
    <cellStyle name="M_수량전체_자전거도로구조물공수량 3" xfId="16894"/>
    <cellStyle name="M_수량전체_자전거도로구조물공수량 3 2" xfId="29669"/>
    <cellStyle name="M_수량전체_자전거도로구조물공수량 4" xfId="16384"/>
    <cellStyle name="M_수량전체_자전거도로구조물공수량 4 2" xfId="29160"/>
    <cellStyle name="M_수량전체_자전거도로구조물공수량 5" xfId="15546"/>
    <cellStyle name="M_수량전체_자전거도로구조물공수량 5 2" xfId="28355"/>
    <cellStyle name="M_수량전체_자전거도로구조물공수량 6" xfId="13346"/>
    <cellStyle name="M_수량전체_자전거도로구조물공수량 6 2" xfId="26214"/>
    <cellStyle name="M_수량전체_자전거도로구조물공수량 7" xfId="15612"/>
    <cellStyle name="M_수량전체_자전거도로구조물공수량 7 2" xfId="28421"/>
    <cellStyle name="M_수량전체_자전거도로구조물공수량 8" xfId="17756"/>
    <cellStyle name="M_수량전체_자전거도로구조물공수량 8 2" xfId="30473"/>
    <cellStyle name="M_수량전체_자전거도로구조물공수량 9" xfId="13989"/>
    <cellStyle name="M_수량전체_자전거도로구조물공수량 9 2" xfId="26846"/>
    <cellStyle name="M_수량전체_자전거도로포장수량" xfId="2653"/>
    <cellStyle name="M_수량전체_자전거도로포장수량 10" xfId="16617"/>
    <cellStyle name="M_수량전체_자전거도로포장수량 10 2" xfId="29393"/>
    <cellStyle name="M_수량전체_자전거도로포장수량 11" xfId="19393"/>
    <cellStyle name="M_수량전체_자전거도로포장수량 12" xfId="22567"/>
    <cellStyle name="M_수량전체_자전거도로포장수량 12 2" xfId="35001"/>
    <cellStyle name="M_수량전체_자전거도로포장수량 13" xfId="21615"/>
    <cellStyle name="M_수량전체_자전거도로포장수량 13 2" xfId="34052"/>
    <cellStyle name="M_수량전체_자전거도로포장수량 14" xfId="21869"/>
    <cellStyle name="M_수량전체_자전거도로포장수량 14 2" xfId="34306"/>
    <cellStyle name="M_수량전체_자전거도로포장수량 15" xfId="22537"/>
    <cellStyle name="M_수량전체_자전거도로포장수량 15 2" xfId="34971"/>
    <cellStyle name="M_수량전체_자전거도로포장수량 16" xfId="19284"/>
    <cellStyle name="M_수량전체_자전거도로포장수량 16 2" xfId="31937"/>
    <cellStyle name="M_수량전체_자전거도로포장수량 17" xfId="20822"/>
    <cellStyle name="M_수량전체_자전거도로포장수량 17 2" xfId="33259"/>
    <cellStyle name="M_수량전체_자전거도로포장수량 18" xfId="19821"/>
    <cellStyle name="M_수량전체_자전거도로포장수량 18 2" xfId="32271"/>
    <cellStyle name="M_수량전체_자전거도로포장수량 19" xfId="23873"/>
    <cellStyle name="M_수량전체_자전거도로포장수량 19 2" xfId="36304"/>
    <cellStyle name="M_수량전체_자전거도로포장수량 2" xfId="13457"/>
    <cellStyle name="M_수량전체_자전거도로포장수량 2 2" xfId="26325"/>
    <cellStyle name="M_수량전체_자전거도로포장수량 20" xfId="23675"/>
    <cellStyle name="M_수량전체_자전거도로포장수량 20 2" xfId="36106"/>
    <cellStyle name="M_수량전체_자전거도로포장수량 21" xfId="21728"/>
    <cellStyle name="M_수량전체_자전거도로포장수량 21 2" xfId="34165"/>
    <cellStyle name="M_수량전체_자전거도로포장수량 3" xfId="16088"/>
    <cellStyle name="M_수량전체_자전거도로포장수량 3 2" xfId="28871"/>
    <cellStyle name="M_수량전체_자전거도로포장수량 4" xfId="14416"/>
    <cellStyle name="M_수량전체_자전거도로포장수량 4 2" xfId="27249"/>
    <cellStyle name="M_수량전체_자전거도로포장수량 5" xfId="15547"/>
    <cellStyle name="M_수량전체_자전거도로포장수량 5 2" xfId="28356"/>
    <cellStyle name="M_수량전체_자전거도로포장수량 6" xfId="13201"/>
    <cellStyle name="M_수량전체_자전거도로포장수량 6 2" xfId="26069"/>
    <cellStyle name="M_수량전체_자전거도로포장수량 7" xfId="15456"/>
    <cellStyle name="M_수량전체_자전거도로포장수량 7 2" xfId="28265"/>
    <cellStyle name="M_수량전체_자전거도로포장수량 8" xfId="17014"/>
    <cellStyle name="M_수량전체_자전거도로포장수량 8 2" xfId="29789"/>
    <cellStyle name="M_수량전체_자전거도로포장수량 9" xfId="12754"/>
    <cellStyle name="M_수량전체_자전거도로포장수량 9 2" xfId="25631"/>
    <cellStyle name="M2" xfId="2654"/>
    <cellStyle name="M2 2" xfId="10368"/>
    <cellStyle name="M2 2 2" xfId="11251"/>
    <cellStyle name="M2 2 2 10" xfId="15663"/>
    <cellStyle name="M2 2 2 11" xfId="13003"/>
    <cellStyle name="M2 2 2 11 2" xfId="25878"/>
    <cellStyle name="M2 2 2 12" xfId="22922"/>
    <cellStyle name="M2 2 2 12 2" xfId="35356"/>
    <cellStyle name="M2 2 2 13" xfId="21240"/>
    <cellStyle name="M2 2 2 13 2" xfId="33677"/>
    <cellStyle name="M2 2 2 14" xfId="18509"/>
    <cellStyle name="M2 2 2 14 2" xfId="31214"/>
    <cellStyle name="M2 2 2 15" xfId="19194"/>
    <cellStyle name="M2 2 2 15 2" xfId="31849"/>
    <cellStyle name="M2 2 2 16" xfId="18899"/>
    <cellStyle name="M2 2 2 16 2" xfId="31604"/>
    <cellStyle name="M2 2 2 17" xfId="24150"/>
    <cellStyle name="M2 2 2 17 2" xfId="36581"/>
    <cellStyle name="M2 2 2 18" xfId="24347"/>
    <cellStyle name="M2 2 2 18 2" xfId="36778"/>
    <cellStyle name="M2 2 2 19" xfId="24573"/>
    <cellStyle name="M2 2 2 19 2" xfId="37004"/>
    <cellStyle name="M2 2 2 2" xfId="16445"/>
    <cellStyle name="M2 2 2 2 2" xfId="29221"/>
    <cellStyle name="M2 2 2 20" xfId="19882"/>
    <cellStyle name="M2 2 2 20 2" xfId="32332"/>
    <cellStyle name="M2 2 2 21" xfId="24316"/>
    <cellStyle name="M2 2 2 21 2" xfId="36747"/>
    <cellStyle name="M2 2 2 22" xfId="23492"/>
    <cellStyle name="M2 2 2 22 2" xfId="35923"/>
    <cellStyle name="M2 2 2 23" xfId="23462"/>
    <cellStyle name="M2 2 2 23 2" xfId="35893"/>
    <cellStyle name="M2 2 2 24" xfId="25162"/>
    <cellStyle name="M2 2 2 3" xfId="15115"/>
    <cellStyle name="M2 2 2 3 2" xfId="27934"/>
    <cellStyle name="M2 2 2 4" xfId="14355"/>
    <cellStyle name="M2 2 2 4 2" xfId="27188"/>
    <cellStyle name="M2 2 2 5" xfId="16740"/>
    <cellStyle name="M2 2 2 5 2" xfId="29516"/>
    <cellStyle name="M2 2 2 6" xfId="15354"/>
    <cellStyle name="M2 2 2 6 2" xfId="28171"/>
    <cellStyle name="M2 2 2 7" xfId="12982"/>
    <cellStyle name="M2 2 2 7 2" xfId="25857"/>
    <cellStyle name="M2 2 2 8" xfId="17408"/>
    <cellStyle name="M2 2 2 8 2" xfId="30136"/>
    <cellStyle name="M2 2 2 9" xfId="15670"/>
    <cellStyle name="M2 2 2 9 2" xfId="28470"/>
    <cellStyle name="M2 3" xfId="10369"/>
    <cellStyle name="M2 3 2" xfId="11252"/>
    <cellStyle name="M2 3 2 10" xfId="14233"/>
    <cellStyle name="M2 3 2 11" xfId="14780"/>
    <cellStyle name="M2 3 2 11 2" xfId="27605"/>
    <cellStyle name="M2 3 2 12" xfId="22923"/>
    <cellStyle name="M2 3 2 12 2" xfId="35357"/>
    <cellStyle name="M2 3 2 13" xfId="21239"/>
    <cellStyle name="M2 3 2 13 2" xfId="33676"/>
    <cellStyle name="M2 3 2 14" xfId="18510"/>
    <cellStyle name="M2 3 2 14 2" xfId="31215"/>
    <cellStyle name="M2 3 2 15" xfId="23135"/>
    <cellStyle name="M2 3 2 15 2" xfId="35568"/>
    <cellStyle name="M2 3 2 16" xfId="18352"/>
    <cellStyle name="M2 3 2 16 2" xfId="31058"/>
    <cellStyle name="M2 3 2 17" xfId="24149"/>
    <cellStyle name="M2 3 2 17 2" xfId="36580"/>
    <cellStyle name="M2 3 2 18" xfId="24346"/>
    <cellStyle name="M2 3 2 18 2" xfId="36777"/>
    <cellStyle name="M2 3 2 19" xfId="24562"/>
    <cellStyle name="M2 3 2 19 2" xfId="36993"/>
    <cellStyle name="M2 3 2 2" xfId="16446"/>
    <cellStyle name="M2 3 2 2 2" xfId="29222"/>
    <cellStyle name="M2 3 2 20" xfId="22106"/>
    <cellStyle name="M2 3 2 20 2" xfId="34542"/>
    <cellStyle name="M2 3 2 21" xfId="24438"/>
    <cellStyle name="M2 3 2 21 2" xfId="36869"/>
    <cellStyle name="M2 3 2 22" xfId="22632"/>
    <cellStyle name="M2 3 2 22 2" xfId="35066"/>
    <cellStyle name="M2 3 2 23" xfId="20100"/>
    <cellStyle name="M2 3 2 23 2" xfId="32546"/>
    <cellStyle name="M2 3 2 24" xfId="25163"/>
    <cellStyle name="M2 3 2 3" xfId="15114"/>
    <cellStyle name="M2 3 2 3 2" xfId="27933"/>
    <cellStyle name="M2 3 2 4" xfId="14157"/>
    <cellStyle name="M2 3 2 4 2" xfId="27005"/>
    <cellStyle name="M2 3 2 5" xfId="17300"/>
    <cellStyle name="M2 3 2 5 2" xfId="30029"/>
    <cellStyle name="M2 3 2 6" xfId="13933"/>
    <cellStyle name="M2 3 2 6 2" xfId="26792"/>
    <cellStyle name="M2 3 2 7" xfId="14076"/>
    <cellStyle name="M2 3 2 7 2" xfId="26924"/>
    <cellStyle name="M2 3 2 8" xfId="16995"/>
    <cellStyle name="M2 3 2 8 2" xfId="29770"/>
    <cellStyle name="M2 3 2 9" xfId="14393"/>
    <cellStyle name="M2 3 2 9 2" xfId="27226"/>
    <cellStyle name="M2 4" xfId="10370"/>
    <cellStyle name="M2 4 2" xfId="11253"/>
    <cellStyle name="M2 4 2 10" xfId="16046"/>
    <cellStyle name="M2 4 2 11" xfId="16051"/>
    <cellStyle name="M2 4 2 11 2" xfId="28834"/>
    <cellStyle name="M2 4 2 12" xfId="22924"/>
    <cellStyle name="M2 4 2 12 2" xfId="35358"/>
    <cellStyle name="M2 4 2 13" xfId="21238"/>
    <cellStyle name="M2 4 2 13 2" xfId="33675"/>
    <cellStyle name="M2 4 2 14" xfId="18511"/>
    <cellStyle name="M2 4 2 14 2" xfId="31216"/>
    <cellStyle name="M2 4 2 15" xfId="19195"/>
    <cellStyle name="M2 4 2 15 2" xfId="31850"/>
    <cellStyle name="M2 4 2 16" xfId="18900"/>
    <cellStyle name="M2 4 2 16 2" xfId="31605"/>
    <cellStyle name="M2 4 2 17" xfId="23122"/>
    <cellStyle name="M2 4 2 17 2" xfId="35555"/>
    <cellStyle name="M2 4 2 18" xfId="24345"/>
    <cellStyle name="M2 4 2 18 2" xfId="36776"/>
    <cellStyle name="M2 4 2 19" xfId="24561"/>
    <cellStyle name="M2 4 2 19 2" xfId="36992"/>
    <cellStyle name="M2 4 2 2" xfId="16447"/>
    <cellStyle name="M2 4 2 2 2" xfId="29223"/>
    <cellStyle name="M2 4 2 20" xfId="19063"/>
    <cellStyle name="M2 4 2 20 2" xfId="31768"/>
    <cellStyle name="M2 4 2 21" xfId="24040"/>
    <cellStyle name="M2 4 2 21 2" xfId="36471"/>
    <cellStyle name="M2 4 2 22" xfId="20844"/>
    <cellStyle name="M2 4 2 22 2" xfId="33281"/>
    <cellStyle name="M2 4 2 23" xfId="18421"/>
    <cellStyle name="M2 4 2 23 2" xfId="31126"/>
    <cellStyle name="M2 4 2 24" xfId="25164"/>
    <cellStyle name="M2 4 2 3" xfId="15113"/>
    <cellStyle name="M2 4 2 3 2" xfId="27932"/>
    <cellStyle name="M2 4 2 4" xfId="14354"/>
    <cellStyle name="M2 4 2 4 2" xfId="27187"/>
    <cellStyle name="M2 4 2 5" xfId="17299"/>
    <cellStyle name="M2 4 2 5 2" xfId="30028"/>
    <cellStyle name="M2 4 2 6" xfId="15355"/>
    <cellStyle name="M2 4 2 6 2" xfId="28172"/>
    <cellStyle name="M2 4 2 7" xfId="12981"/>
    <cellStyle name="M2 4 2 7 2" xfId="25856"/>
    <cellStyle name="M2 4 2 8" xfId="16620"/>
    <cellStyle name="M2 4 2 8 2" xfId="29396"/>
    <cellStyle name="M2 4 2 9" xfId="15669"/>
    <cellStyle name="M2 4 2 9 2" xfId="28469"/>
    <cellStyle name="M2 5" xfId="10371"/>
    <cellStyle name="M2 5 2" xfId="11254"/>
    <cellStyle name="M2 5 2 10" xfId="15251"/>
    <cellStyle name="M2 5 2 11" xfId="17443"/>
    <cellStyle name="M2 5 2 11 2" xfId="30165"/>
    <cellStyle name="M2 5 2 12" xfId="22925"/>
    <cellStyle name="M2 5 2 12 2" xfId="35359"/>
    <cellStyle name="M2 5 2 13" xfId="21237"/>
    <cellStyle name="M2 5 2 13 2" xfId="33674"/>
    <cellStyle name="M2 5 2 14" xfId="18512"/>
    <cellStyle name="M2 5 2 14 2" xfId="31217"/>
    <cellStyle name="M2 5 2 15" xfId="23136"/>
    <cellStyle name="M2 5 2 15 2" xfId="35569"/>
    <cellStyle name="M2 5 2 16" xfId="21552"/>
    <cellStyle name="M2 5 2 16 2" xfId="33989"/>
    <cellStyle name="M2 5 2 17" xfId="24148"/>
    <cellStyle name="M2 5 2 17 2" xfId="36579"/>
    <cellStyle name="M2 5 2 18" xfId="18440"/>
    <cellStyle name="M2 5 2 18 2" xfId="31145"/>
    <cellStyle name="M2 5 2 19" xfId="24560"/>
    <cellStyle name="M2 5 2 19 2" xfId="36991"/>
    <cellStyle name="M2 5 2 2" xfId="16448"/>
    <cellStyle name="M2 5 2 2 2" xfId="29224"/>
    <cellStyle name="M2 5 2 20" xfId="22105"/>
    <cellStyle name="M2 5 2 20 2" xfId="34541"/>
    <cellStyle name="M2 5 2 21" xfId="24437"/>
    <cellStyle name="M2 5 2 21 2" xfId="36868"/>
    <cellStyle name="M2 5 2 22" xfId="20063"/>
    <cellStyle name="M2 5 2 22 2" xfId="32509"/>
    <cellStyle name="M2 5 2 23" xfId="23802"/>
    <cellStyle name="M2 5 2 23 2" xfId="36233"/>
    <cellStyle name="M2 5 2 24" xfId="25165"/>
    <cellStyle name="M2 5 2 3" xfId="15112"/>
    <cellStyle name="M2 5 2 3 2" xfId="27931"/>
    <cellStyle name="M2 5 2 4" xfId="14156"/>
    <cellStyle name="M2 5 2 4 2" xfId="27004"/>
    <cellStyle name="M2 5 2 5" xfId="14595"/>
    <cellStyle name="M2 5 2 5 2" xfId="27421"/>
    <cellStyle name="M2 5 2 6" xfId="13934"/>
    <cellStyle name="M2 5 2 6 2" xfId="26793"/>
    <cellStyle name="M2 5 2 7" xfId="15878"/>
    <cellStyle name="M2 5 2 7 2" xfId="28676"/>
    <cellStyle name="M2 5 2 8" xfId="14784"/>
    <cellStyle name="M2 5 2 8 2" xfId="27609"/>
    <cellStyle name="M2 5 2 9" xfId="15058"/>
    <cellStyle name="M2 5 2 9 2" xfId="27879"/>
    <cellStyle name="M2 6" xfId="10372"/>
    <cellStyle name="M2 6 2" xfId="11255"/>
    <cellStyle name="M2 6 2 10" xfId="15664"/>
    <cellStyle name="M2 6 2 11" xfId="12774"/>
    <cellStyle name="M2 6 2 11 2" xfId="25651"/>
    <cellStyle name="M2 6 2 12" xfId="22926"/>
    <cellStyle name="M2 6 2 12 2" xfId="35360"/>
    <cellStyle name="M2 6 2 13" xfId="21236"/>
    <cellStyle name="M2 6 2 13 2" xfId="33673"/>
    <cellStyle name="M2 6 2 14" xfId="18513"/>
    <cellStyle name="M2 6 2 14 2" xfId="31218"/>
    <cellStyle name="M2 6 2 15" xfId="19196"/>
    <cellStyle name="M2 6 2 15 2" xfId="31851"/>
    <cellStyle name="M2 6 2 16" xfId="18901"/>
    <cellStyle name="M2 6 2 16 2" xfId="31606"/>
    <cellStyle name="M2 6 2 17" xfId="24147"/>
    <cellStyle name="M2 6 2 17 2" xfId="36578"/>
    <cellStyle name="M2 6 2 18" xfId="20895"/>
    <cellStyle name="M2 6 2 18 2" xfId="33332"/>
    <cellStyle name="M2 6 2 19" xfId="24559"/>
    <cellStyle name="M2 6 2 19 2" xfId="36990"/>
    <cellStyle name="M2 6 2 2" xfId="16449"/>
    <cellStyle name="M2 6 2 2 2" xfId="29225"/>
    <cellStyle name="M2 6 2 20" xfId="18450"/>
    <cellStyle name="M2 6 2 20 2" xfId="31155"/>
    <cellStyle name="M2 6 2 21" xfId="18645"/>
    <cellStyle name="M2 6 2 21 2" xfId="31350"/>
    <cellStyle name="M2 6 2 22" xfId="23493"/>
    <cellStyle name="M2 6 2 22 2" xfId="35924"/>
    <cellStyle name="M2 6 2 23" xfId="23461"/>
    <cellStyle name="M2 6 2 23 2" xfId="35892"/>
    <cellStyle name="M2 6 2 24" xfId="25166"/>
    <cellStyle name="M2 6 2 3" xfId="15111"/>
    <cellStyle name="M2 6 2 3 2" xfId="27930"/>
    <cellStyle name="M2 6 2 4" xfId="14353"/>
    <cellStyle name="M2 6 2 4 2" xfId="27186"/>
    <cellStyle name="M2 6 2 5" xfId="17298"/>
    <cellStyle name="M2 6 2 5 2" xfId="30027"/>
    <cellStyle name="M2 6 2 6" xfId="15356"/>
    <cellStyle name="M2 6 2 6 2" xfId="28173"/>
    <cellStyle name="M2 6 2 7" xfId="12980"/>
    <cellStyle name="M2 6 2 7 2" xfId="25855"/>
    <cellStyle name="M2 6 2 8" xfId="17409"/>
    <cellStyle name="M2 6 2 8 2" xfId="30137"/>
    <cellStyle name="M2 6 2 9" xfId="15423"/>
    <cellStyle name="M2 6 2 9 2" xfId="28237"/>
    <cellStyle name="M2 7" xfId="11250"/>
    <cellStyle name="M2 7 10" xfId="16029"/>
    <cellStyle name="M2 7 11" xfId="14273"/>
    <cellStyle name="M2 7 11 2" xfId="27108"/>
    <cellStyle name="M2 7 12" xfId="22921"/>
    <cellStyle name="M2 7 12 2" xfId="35355"/>
    <cellStyle name="M2 7 13" xfId="21241"/>
    <cellStyle name="M2 7 13 2" xfId="33678"/>
    <cellStyle name="M2 7 14" xfId="18508"/>
    <cellStyle name="M2 7 14 2" xfId="31213"/>
    <cellStyle name="M2 7 15" xfId="20713"/>
    <cellStyle name="M2 7 15 2" xfId="33156"/>
    <cellStyle name="M2 7 16" xfId="18489"/>
    <cellStyle name="M2 7 16 2" xfId="31194"/>
    <cellStyle name="M2 7 17" xfId="23780"/>
    <cellStyle name="M2 7 17 2" xfId="36211"/>
    <cellStyle name="M2 7 18" xfId="24348"/>
    <cellStyle name="M2 7 18 2" xfId="36779"/>
    <cellStyle name="M2 7 19" xfId="24574"/>
    <cellStyle name="M2 7 19 2" xfId="37005"/>
    <cellStyle name="M2 7 2" xfId="16444"/>
    <cellStyle name="M2 7 2 2" xfId="29220"/>
    <cellStyle name="M2 7 20" xfId="23901"/>
    <cellStyle name="M2 7 20 2" xfId="36332"/>
    <cellStyle name="M2 7 21" xfId="24439"/>
    <cellStyle name="M2 7 21 2" xfId="36870"/>
    <cellStyle name="M2 7 22" xfId="19964"/>
    <cellStyle name="M2 7 22 2" xfId="32412"/>
    <cellStyle name="M2 7 23" xfId="19175"/>
    <cellStyle name="M2 7 23 2" xfId="31830"/>
    <cellStyle name="M2 7 24" xfId="25161"/>
    <cellStyle name="M2 7 3" xfId="15116"/>
    <cellStyle name="M2 7 3 2" xfId="27935"/>
    <cellStyle name="M2 7 4" xfId="14158"/>
    <cellStyle name="M2 7 4 2" xfId="27006"/>
    <cellStyle name="M2 7 5" xfId="14555"/>
    <cellStyle name="M2 7 5 2" xfId="27383"/>
    <cellStyle name="M2 7 6" xfId="13932"/>
    <cellStyle name="M2 7 6 2" xfId="26791"/>
    <cellStyle name="M2 7 7" xfId="14288"/>
    <cellStyle name="M2 7 7 2" xfId="27121"/>
    <cellStyle name="M2 7 8" xfId="12558"/>
    <cellStyle name="M2 7 8 2" xfId="25438"/>
    <cellStyle name="M2 7 9" xfId="13072"/>
    <cellStyle name="M2 7 9 2" xfId="25941"/>
    <cellStyle name="M3" xfId="2655"/>
    <cellStyle name="M3 2" xfId="10373"/>
    <cellStyle name="M3 2 2" xfId="11257"/>
    <cellStyle name="M3 2 2 10" xfId="15430"/>
    <cellStyle name="M3 2 2 11" xfId="15417"/>
    <cellStyle name="M3 2 2 11 2" xfId="28231"/>
    <cellStyle name="M3 2 2 12" xfId="22928"/>
    <cellStyle name="M3 2 2 12 2" xfId="35362"/>
    <cellStyle name="M3 2 2 13" xfId="21234"/>
    <cellStyle name="M3 2 2 13 2" xfId="33671"/>
    <cellStyle name="M3 2 2 14" xfId="18515"/>
    <cellStyle name="M3 2 2 14 2" xfId="31220"/>
    <cellStyle name="M3 2 2 15" xfId="19197"/>
    <cellStyle name="M3 2 2 15 2" xfId="31852"/>
    <cellStyle name="M3 2 2 16" xfId="18902"/>
    <cellStyle name="M3 2 2 16 2" xfId="31607"/>
    <cellStyle name="M3 2 2 17" xfId="24145"/>
    <cellStyle name="M3 2 2 17 2" xfId="36576"/>
    <cellStyle name="M3 2 2 18" xfId="18935"/>
    <cellStyle name="M3 2 2 18 2" xfId="31640"/>
    <cellStyle name="M3 2 2 19" xfId="24227"/>
    <cellStyle name="M3 2 2 19 2" xfId="36658"/>
    <cellStyle name="M3 2 2 2" xfId="16451"/>
    <cellStyle name="M3 2 2 2 2" xfId="29227"/>
    <cellStyle name="M3 2 2 20" xfId="23256"/>
    <cellStyle name="M3 2 2 20 2" xfId="35688"/>
    <cellStyle name="M3 2 2 21" xfId="24039"/>
    <cellStyle name="M3 2 2 21 2" xfId="36470"/>
    <cellStyle name="M3 2 2 22" xfId="24667"/>
    <cellStyle name="M3 2 2 22 2" xfId="37098"/>
    <cellStyle name="M3 2 2 23" xfId="20347"/>
    <cellStyle name="M3 2 2 23 2" xfId="32792"/>
    <cellStyle name="M3 2 2 24" xfId="25168"/>
    <cellStyle name="M3 2 2 3" xfId="15109"/>
    <cellStyle name="M3 2 2 3 2" xfId="27928"/>
    <cellStyle name="M3 2 2 4" xfId="14352"/>
    <cellStyle name="M3 2 2 4 2" xfId="27185"/>
    <cellStyle name="M3 2 2 5" xfId="17296"/>
    <cellStyle name="M3 2 2 5 2" xfId="30025"/>
    <cellStyle name="M3 2 2 6" xfId="15357"/>
    <cellStyle name="M3 2 2 6 2" xfId="28174"/>
    <cellStyle name="M3 2 2 7" xfId="12979"/>
    <cellStyle name="M3 2 2 7 2" xfId="25854"/>
    <cellStyle name="M3 2 2 8" xfId="17410"/>
    <cellStyle name="M3 2 2 8 2" xfId="30138"/>
    <cellStyle name="M3 2 2 9" xfId="15668"/>
    <cellStyle name="M3 2 2 9 2" xfId="28468"/>
    <cellStyle name="M3 3" xfId="10374"/>
    <cellStyle name="M3 3 2" xfId="11258"/>
    <cellStyle name="M3 3 2 10" xfId="16030"/>
    <cellStyle name="M3 3 2 11" xfId="13029"/>
    <cellStyle name="M3 3 2 11 2" xfId="25904"/>
    <cellStyle name="M3 3 2 12" xfId="22929"/>
    <cellStyle name="M3 3 2 12 2" xfId="35363"/>
    <cellStyle name="M3 3 2 13" xfId="21233"/>
    <cellStyle name="M3 3 2 13 2" xfId="33670"/>
    <cellStyle name="M3 3 2 14" xfId="18516"/>
    <cellStyle name="M3 3 2 14 2" xfId="31221"/>
    <cellStyle name="M3 3 2 15" xfId="23138"/>
    <cellStyle name="M3 3 2 15 2" xfId="35571"/>
    <cellStyle name="M3 3 2 16" xfId="21553"/>
    <cellStyle name="M3 3 2 16 2" xfId="33990"/>
    <cellStyle name="M3 3 2 17" xfId="20947"/>
    <cellStyle name="M3 3 2 17 2" xfId="33384"/>
    <cellStyle name="M3 3 2 18" xfId="18480"/>
    <cellStyle name="M3 3 2 18 2" xfId="31185"/>
    <cellStyle name="M3 3 2 19" xfId="20746"/>
    <cellStyle name="M3 3 2 19 2" xfId="33186"/>
    <cellStyle name="M3 3 2 2" xfId="16452"/>
    <cellStyle name="M3 3 2 2 2" xfId="29228"/>
    <cellStyle name="M3 3 2 20" xfId="22103"/>
    <cellStyle name="M3 3 2 20 2" xfId="34539"/>
    <cellStyle name="M3 3 2 21" xfId="24435"/>
    <cellStyle name="M3 3 2 21 2" xfId="36866"/>
    <cellStyle name="M3 3 2 22" xfId="24666"/>
    <cellStyle name="M3 3 2 22 2" xfId="37097"/>
    <cellStyle name="M3 3 2 23" xfId="19150"/>
    <cellStyle name="M3 3 2 23 2" xfId="31806"/>
    <cellStyle name="M3 3 2 24" xfId="25169"/>
    <cellStyle name="M3 3 2 3" xfId="15108"/>
    <cellStyle name="M3 3 2 3 2" xfId="27927"/>
    <cellStyle name="M3 3 2 4" xfId="14154"/>
    <cellStyle name="M3 3 2 4 2" xfId="27002"/>
    <cellStyle name="M3 3 2 5" xfId="17295"/>
    <cellStyle name="M3 3 2 5 2" xfId="30024"/>
    <cellStyle name="M3 3 2 6" xfId="13936"/>
    <cellStyle name="M3 3 2 6 2" xfId="26795"/>
    <cellStyle name="M3 3 2 7" xfId="14412"/>
    <cellStyle name="M3 3 2 7 2" xfId="27245"/>
    <cellStyle name="M3 3 2 8" xfId="12559"/>
    <cellStyle name="M3 3 2 8 2" xfId="25439"/>
    <cellStyle name="M3 3 2 9" xfId="17936"/>
    <cellStyle name="M3 3 2 9 2" xfId="30648"/>
    <cellStyle name="M3 4" xfId="10375"/>
    <cellStyle name="M3 4 2" xfId="11259"/>
    <cellStyle name="M3 4 2 10" xfId="12775"/>
    <cellStyle name="M3 4 2 11" xfId="13002"/>
    <cellStyle name="M3 4 2 11 2" xfId="25877"/>
    <cellStyle name="M3 4 2 12" xfId="22930"/>
    <cellStyle name="M3 4 2 12 2" xfId="35364"/>
    <cellStyle name="M3 4 2 13" xfId="21232"/>
    <cellStyle name="M3 4 2 13 2" xfId="33669"/>
    <cellStyle name="M3 4 2 14" xfId="18517"/>
    <cellStyle name="M3 4 2 14 2" xfId="31222"/>
    <cellStyle name="M3 4 2 15" xfId="19198"/>
    <cellStyle name="M3 4 2 15 2" xfId="31853"/>
    <cellStyle name="M3 4 2 16" xfId="18903"/>
    <cellStyle name="M3 4 2 16 2" xfId="31608"/>
    <cellStyle name="M3 4 2 17" xfId="22847"/>
    <cellStyle name="M3 4 2 17 2" xfId="35281"/>
    <cellStyle name="M3 4 2 18" xfId="22465"/>
    <cellStyle name="M3 4 2 18 2" xfId="34899"/>
    <cellStyle name="M3 4 2 19" xfId="21229"/>
    <cellStyle name="M3 4 2 19 2" xfId="33666"/>
    <cellStyle name="M3 4 2 2" xfId="16453"/>
    <cellStyle name="M3 4 2 2 2" xfId="29229"/>
    <cellStyle name="M3 4 2 20" xfId="18347"/>
    <cellStyle name="M3 4 2 20 2" xfId="31053"/>
    <cellStyle name="M3 4 2 21" xfId="22339"/>
    <cellStyle name="M3 4 2 21 2" xfId="34773"/>
    <cellStyle name="M3 4 2 22" xfId="24665"/>
    <cellStyle name="M3 4 2 22 2" xfId="37096"/>
    <cellStyle name="M3 4 2 23" xfId="20692"/>
    <cellStyle name="M3 4 2 23 2" xfId="33135"/>
    <cellStyle name="M3 4 2 24" xfId="25170"/>
    <cellStyle name="M3 4 2 3" xfId="15107"/>
    <cellStyle name="M3 4 2 3 2" xfId="27926"/>
    <cellStyle name="M3 4 2 4" xfId="14351"/>
    <cellStyle name="M3 4 2 4 2" xfId="27184"/>
    <cellStyle name="M3 4 2 5" xfId="15932"/>
    <cellStyle name="M3 4 2 5 2" xfId="28730"/>
    <cellStyle name="M3 4 2 6" xfId="17208"/>
    <cellStyle name="M3 4 2 6 2" xfId="29942"/>
    <cellStyle name="M3 4 2 7" xfId="12978"/>
    <cellStyle name="M3 4 2 7 2" xfId="25853"/>
    <cellStyle name="M3 4 2 8" xfId="12932"/>
    <cellStyle name="M3 4 2 8 2" xfId="25808"/>
    <cellStyle name="M3 4 2 9" xfId="17725"/>
    <cellStyle name="M3 4 2 9 2" xfId="30442"/>
    <cellStyle name="M3 5" xfId="10376"/>
    <cellStyle name="M3 5 2" xfId="11260"/>
    <cellStyle name="M3 5 2 10" xfId="16169"/>
    <cellStyle name="M3 5 2 11" xfId="15304"/>
    <cellStyle name="M3 5 2 11 2" xfId="28121"/>
    <cellStyle name="M3 5 2 12" xfId="22931"/>
    <cellStyle name="M3 5 2 12 2" xfId="35365"/>
    <cellStyle name="M3 5 2 13" xfId="21231"/>
    <cellStyle name="M3 5 2 13 2" xfId="33668"/>
    <cellStyle name="M3 5 2 14" xfId="18518"/>
    <cellStyle name="M3 5 2 14 2" xfId="31223"/>
    <cellStyle name="M3 5 2 15" xfId="23139"/>
    <cellStyle name="M3 5 2 15 2" xfId="35572"/>
    <cellStyle name="M3 5 2 16" xfId="23050"/>
    <cellStyle name="M3 5 2 16 2" xfId="35483"/>
    <cellStyle name="M3 5 2 17" xfId="18586"/>
    <cellStyle name="M3 5 2 17 2" xfId="31291"/>
    <cellStyle name="M3 5 2 18" xfId="19956"/>
    <cellStyle name="M3 5 2 18 2" xfId="32405"/>
    <cellStyle name="M3 5 2 19" xfId="20055"/>
    <cellStyle name="M3 5 2 19 2" xfId="32501"/>
    <cellStyle name="M3 5 2 2" xfId="16454"/>
    <cellStyle name="M3 5 2 2 2" xfId="29230"/>
    <cellStyle name="M3 5 2 20" xfId="23432"/>
    <cellStyle name="M3 5 2 20 2" xfId="35863"/>
    <cellStyle name="M3 5 2 21" xfId="24434"/>
    <cellStyle name="M3 5 2 21 2" xfId="36865"/>
    <cellStyle name="M3 5 2 22" xfId="23385"/>
    <cellStyle name="M3 5 2 22 2" xfId="35817"/>
    <cellStyle name="M3 5 2 23" xfId="20954"/>
    <cellStyle name="M3 5 2 23 2" xfId="33391"/>
    <cellStyle name="M3 5 2 24" xfId="25171"/>
    <cellStyle name="M3 5 2 3" xfId="15106"/>
    <cellStyle name="M3 5 2 3 2" xfId="27925"/>
    <cellStyle name="M3 5 2 4" xfId="14153"/>
    <cellStyle name="M3 5 2 4 2" xfId="27001"/>
    <cellStyle name="M3 5 2 5" xfId="16741"/>
    <cellStyle name="M3 5 2 5 2" xfId="29517"/>
    <cellStyle name="M3 5 2 6" xfId="13937"/>
    <cellStyle name="M3 5 2 6 2" xfId="26796"/>
    <cellStyle name="M3 5 2 7" xfId="14411"/>
    <cellStyle name="M3 5 2 7 2" xfId="27244"/>
    <cellStyle name="M3 5 2 8" xfId="15763"/>
    <cellStyle name="M3 5 2 8 2" xfId="28562"/>
    <cellStyle name="M3 5 2 9" xfId="14248"/>
    <cellStyle name="M3 5 2 9 2" xfId="27085"/>
    <cellStyle name="M3 6" xfId="10377"/>
    <cellStyle name="M3 6 2" xfId="11261"/>
    <cellStyle name="M3 6 2 10" xfId="15431"/>
    <cellStyle name="M3 6 2 11" xfId="14039"/>
    <cellStyle name="M3 6 2 11 2" xfId="26888"/>
    <cellStyle name="M3 6 2 12" xfId="22932"/>
    <cellStyle name="M3 6 2 12 2" xfId="35366"/>
    <cellStyle name="M3 6 2 13" xfId="21230"/>
    <cellStyle name="M3 6 2 13 2" xfId="33667"/>
    <cellStyle name="M3 6 2 14" xfId="18519"/>
    <cellStyle name="M3 6 2 14 2" xfId="31224"/>
    <cellStyle name="M3 6 2 15" xfId="19199"/>
    <cellStyle name="M3 6 2 15 2" xfId="31854"/>
    <cellStyle name="M3 6 2 16" xfId="18904"/>
    <cellStyle name="M3 6 2 16 2" xfId="31609"/>
    <cellStyle name="M3 6 2 17" xfId="22863"/>
    <cellStyle name="M3 6 2 17 2" xfId="35297"/>
    <cellStyle name="M3 6 2 18" xfId="19071"/>
    <cellStyle name="M3 6 2 18 2" xfId="31776"/>
    <cellStyle name="M3 6 2 19" xfId="24558"/>
    <cellStyle name="M3 6 2 19 2" xfId="36989"/>
    <cellStyle name="M3 6 2 2" xfId="16455"/>
    <cellStyle name="M3 6 2 2 2" xfId="29231"/>
    <cellStyle name="M3 6 2 20" xfId="19062"/>
    <cellStyle name="M3 6 2 20 2" xfId="31767"/>
    <cellStyle name="M3 6 2 21" xfId="24038"/>
    <cellStyle name="M3 6 2 21 2" xfId="36469"/>
    <cellStyle name="M3 6 2 22" xfId="19963"/>
    <cellStyle name="M3 6 2 22 2" xfId="32411"/>
    <cellStyle name="M3 6 2 23" xfId="18422"/>
    <cellStyle name="M3 6 2 23 2" xfId="31127"/>
    <cellStyle name="M3 6 2 24" xfId="25172"/>
    <cellStyle name="M3 6 2 3" xfId="15105"/>
    <cellStyle name="M3 6 2 3 2" xfId="27924"/>
    <cellStyle name="M3 6 2 4" xfId="14350"/>
    <cellStyle name="M3 6 2 4 2" xfId="27183"/>
    <cellStyle name="M3 6 2 5" xfId="15933"/>
    <cellStyle name="M3 6 2 5 2" xfId="28731"/>
    <cellStyle name="M3 6 2 6" xfId="17207"/>
    <cellStyle name="M3 6 2 6 2" xfId="29941"/>
    <cellStyle name="M3 6 2 7" xfId="12977"/>
    <cellStyle name="M3 6 2 7 2" xfId="25852"/>
    <cellStyle name="M3 6 2 8" xfId="12933"/>
    <cellStyle name="M3 6 2 8 2" xfId="25809"/>
    <cellStyle name="M3 6 2 9" xfId="17505"/>
    <cellStyle name="M3 6 2 9 2" xfId="30227"/>
    <cellStyle name="M3 7" xfId="11256"/>
    <cellStyle name="M3 7 10" xfId="16168"/>
    <cellStyle name="M3 7 11" xfId="14796"/>
    <cellStyle name="M3 7 11 2" xfId="27619"/>
    <cellStyle name="M3 7 12" xfId="22927"/>
    <cellStyle name="M3 7 12 2" xfId="35361"/>
    <cellStyle name="M3 7 13" xfId="21235"/>
    <cellStyle name="M3 7 13 2" xfId="33672"/>
    <cellStyle name="M3 7 14" xfId="18514"/>
    <cellStyle name="M3 7 14 2" xfId="31219"/>
    <cellStyle name="M3 7 15" xfId="23137"/>
    <cellStyle name="M3 7 15 2" xfId="35570"/>
    <cellStyle name="M3 7 16" xfId="22273"/>
    <cellStyle name="M3 7 16 2" xfId="34708"/>
    <cellStyle name="M3 7 17" xfId="24146"/>
    <cellStyle name="M3 7 17 2" xfId="36577"/>
    <cellStyle name="M3 7 18" xfId="18481"/>
    <cellStyle name="M3 7 18 2" xfId="31186"/>
    <cellStyle name="M3 7 19" xfId="20745"/>
    <cellStyle name="M3 7 19 2" xfId="33185"/>
    <cellStyle name="M3 7 2" xfId="16450"/>
    <cellStyle name="M3 7 2 2" xfId="29226"/>
    <cellStyle name="M3 7 20" xfId="22104"/>
    <cellStyle name="M3 7 20 2" xfId="34540"/>
    <cellStyle name="M3 7 21" xfId="24436"/>
    <cellStyle name="M3 7 21 2" xfId="36867"/>
    <cellStyle name="M3 7 22" xfId="20308"/>
    <cellStyle name="M3 7 22 2" xfId="32753"/>
    <cellStyle name="M3 7 23" xfId="20953"/>
    <cellStyle name="M3 7 23 2" xfId="33390"/>
    <cellStyle name="M3 7 24" xfId="25167"/>
    <cellStyle name="M3 7 3" xfId="15110"/>
    <cellStyle name="M3 7 3 2" xfId="27929"/>
    <cellStyle name="M3 7 4" xfId="14155"/>
    <cellStyle name="M3 7 4 2" xfId="27003"/>
    <cellStyle name="M3 7 5" xfId="17297"/>
    <cellStyle name="M3 7 5 2" xfId="30026"/>
    <cellStyle name="M3 7 6" xfId="13935"/>
    <cellStyle name="M3 7 6 2" xfId="26794"/>
    <cellStyle name="M3 7 7" xfId="14202"/>
    <cellStyle name="M3 7 7 2" xfId="27050"/>
    <cellStyle name="M3 7 8" xfId="16586"/>
    <cellStyle name="M3 7 8 2" xfId="29362"/>
    <cellStyle name="M3 7 9" xfId="17937"/>
    <cellStyle name="M3 7 9 2" xfId="30649"/>
    <cellStyle name="Midtitle" xfId="2656"/>
    <cellStyle name="Midtitle 2" xfId="5805"/>
    <cellStyle name="Midtitle 2 2" xfId="11262"/>
    <cellStyle name="Miglia - Stile1" xfId="2657"/>
    <cellStyle name="Miglia - Stile2" xfId="2658"/>
    <cellStyle name="Miglia - Stile3" xfId="2659"/>
    <cellStyle name="Miglia - Stile4" xfId="2660"/>
    <cellStyle name="Miglia - Stile5" xfId="2661"/>
    <cellStyle name="Milliers [0]_Arabian Spec" xfId="2662"/>
    <cellStyle name="Milliers_Arabian Spec" xfId="2663"/>
    <cellStyle name="mma_CASH &amp; DSO" xfId="2664"/>
    <cellStyle name="Model" xfId="2665"/>
    <cellStyle name="Mon?aire [0]_Arabian Spec" xfId="2666"/>
    <cellStyle name="Mon?aire_Arabian Spec" xfId="2667"/>
    <cellStyle name="MS Proofing Tools" xfId="2668"/>
    <cellStyle name="no dec" xfId="2669"/>
    <cellStyle name="NO." xfId="10378"/>
    <cellStyle name="nohs" xfId="10379"/>
    <cellStyle name="normal" xfId="5806"/>
    <cellStyle name="Normal - Stile6" xfId="2670"/>
    <cellStyle name="Normal - Stile7" xfId="2671"/>
    <cellStyle name="Normal - Stile8" xfId="2672"/>
    <cellStyle name="Normal - Style1" xfId="2673"/>
    <cellStyle name="Normal - Style1 2" xfId="5807"/>
    <cellStyle name="Normal - Style1 3" xfId="5808"/>
    <cellStyle name="Normal - Style1 4" xfId="11699"/>
    <cellStyle name="Normal - Style1 5" xfId="11700"/>
    <cellStyle name="Normal - Style1 6" xfId="11701"/>
    <cellStyle name="Normal - Style1 7" xfId="11702"/>
    <cellStyle name="Normal - Style1 8" xfId="11703"/>
    <cellStyle name="Normal - Style1 9" xfId="11704"/>
    <cellStyle name="Normal - Style1_가로등 일제정비공사 토목" xfId="11705"/>
    <cellStyle name="Normal - Style2" xfId="2674"/>
    <cellStyle name="Normal - Style3" xfId="2675"/>
    <cellStyle name="Normal - Style4" xfId="2676"/>
    <cellStyle name="Normal - Style5" xfId="2677"/>
    <cellStyle name="Normal - Style6" xfId="2678"/>
    <cellStyle name="Normal - Style7" xfId="2679"/>
    <cellStyle name="Normal - Style8" xfId="2680"/>
    <cellStyle name="Normal - 유형1" xfId="2681"/>
    <cellStyle name="normal 2" xfId="11263"/>
    <cellStyle name="normal 3" xfId="11116"/>
    <cellStyle name="normal 4" xfId="11172"/>
    <cellStyle name="normal 5" xfId="10937"/>
    <cellStyle name="Normal_ SG&amp;A Bridge" xfId="11706"/>
    <cellStyle name="Normal忈OTD thru NOR " xfId="2682"/>
    <cellStyle name="N䁯rmal_MCOE Summary (5)_98선급금" xfId="10380"/>
    <cellStyle name="Œ…?æ맖?e [0.00]_laroux" xfId="2683"/>
    <cellStyle name="Œ…?æ맖?e_laroux" xfId="2684"/>
    <cellStyle name="oft Excel]_x000d__x000a_Comment=The open=/f lines load custom functions into the Paste Function list._x000d__x000a_Maximized=3_x000d__x000a_AutoFormat=" xfId="2685"/>
    <cellStyle name="oh" xfId="5809"/>
    <cellStyle name="Output" xfId="5810"/>
    <cellStyle name="Output 2" xfId="11391"/>
    <cellStyle name="Output 2 10" xfId="16999"/>
    <cellStyle name="Output 2 10 2" xfId="29774"/>
    <cellStyle name="Output 2 11" xfId="13848"/>
    <cellStyle name="Output 2 11 2" xfId="26707"/>
    <cellStyle name="Output 2 12" xfId="23013"/>
    <cellStyle name="Output 2 12 2" xfId="35446"/>
    <cellStyle name="Output 2 13" xfId="21129"/>
    <cellStyle name="Output 2 13 2" xfId="33566"/>
    <cellStyle name="Output 2 14" xfId="20382"/>
    <cellStyle name="Output 2 14 2" xfId="32827"/>
    <cellStyle name="Output 2 15" xfId="20314"/>
    <cellStyle name="Output 2 15 2" xfId="32759"/>
    <cellStyle name="Output 2 16" xfId="20778"/>
    <cellStyle name="Output 2 16 2" xfId="33217"/>
    <cellStyle name="Output 2 17" xfId="23749"/>
    <cellStyle name="Output 2 17 2" xfId="36180"/>
    <cellStyle name="Output 2 18" xfId="18765"/>
    <cellStyle name="Output 2 18 2" xfId="31470"/>
    <cellStyle name="Output 2 19" xfId="24112"/>
    <cellStyle name="Output 2 19 2" xfId="36543"/>
    <cellStyle name="Output 2 2" xfId="16547"/>
    <cellStyle name="Output 2 2 2" xfId="29323"/>
    <cellStyle name="Output 2 20" xfId="23187"/>
    <cellStyle name="Output 2 20 2" xfId="35620"/>
    <cellStyle name="Output 2 21" xfId="23185"/>
    <cellStyle name="Output 2 21 2" xfId="35618"/>
    <cellStyle name="Output 2 22" xfId="23888"/>
    <cellStyle name="Output 2 22 2" xfId="36319"/>
    <cellStyle name="Output 2 23" xfId="23037"/>
    <cellStyle name="Output 2 23 2" xfId="35470"/>
    <cellStyle name="Output 2 24" xfId="25226"/>
    <cellStyle name="Output 2 3" xfId="12632"/>
    <cellStyle name="Output 2 3 2" xfId="25511"/>
    <cellStyle name="Output 2 4" xfId="14110"/>
    <cellStyle name="Output 2 4 2" xfId="26958"/>
    <cellStyle name="Output 2 5" xfId="12847"/>
    <cellStyle name="Output 2 5 2" xfId="25723"/>
    <cellStyle name="Output 2 6" xfId="12867"/>
    <cellStyle name="Output 2 6 2" xfId="25743"/>
    <cellStyle name="Output 2 7" xfId="12562"/>
    <cellStyle name="Output 2 7 2" xfId="25442"/>
    <cellStyle name="Output 2 8" xfId="15570"/>
    <cellStyle name="Output 2 8 2" xfId="28379"/>
    <cellStyle name="Output 2 9" xfId="16885"/>
    <cellStyle name="Output 2 9 2" xfId="29660"/>
    <cellStyle name="Percent" xfId="2686"/>
    <cellStyle name="Percent [2]" xfId="2687"/>
    <cellStyle name="Percent 2" xfId="5811"/>
    <cellStyle name="Percent_@설계설명서1" xfId="11707"/>
    <cellStyle name="PRICE2" xfId="2688"/>
    <cellStyle name="PropGenCurrencyFormat" xfId="10381"/>
    <cellStyle name="R?" xfId="2689"/>
    <cellStyle name="Released" xfId="5812"/>
    <cellStyle name="Released 10" xfId="12398"/>
    <cellStyle name="Released 10 2" xfId="25278"/>
    <cellStyle name="Released 11" xfId="20721"/>
    <cellStyle name="Released 12" xfId="19027"/>
    <cellStyle name="Released 12 2" xfId="31732"/>
    <cellStyle name="Released 13" xfId="19980"/>
    <cellStyle name="Released 13 2" xfId="32428"/>
    <cellStyle name="Released 14" xfId="20360"/>
    <cellStyle name="Released 14 2" xfId="32805"/>
    <cellStyle name="Released 15" xfId="19080"/>
    <cellStyle name="Released 15 2" xfId="31785"/>
    <cellStyle name="Released 16" xfId="21221"/>
    <cellStyle name="Released 16 2" xfId="33658"/>
    <cellStyle name="Released 17" xfId="22893"/>
    <cellStyle name="Released 17 2" xfId="35327"/>
    <cellStyle name="Released 18" xfId="20506"/>
    <cellStyle name="Released 18 2" xfId="32951"/>
    <cellStyle name="Released 19" xfId="20594"/>
    <cellStyle name="Released 19 2" xfId="33038"/>
    <cellStyle name="Released 2" xfId="14638"/>
    <cellStyle name="Released 2 2" xfId="27464"/>
    <cellStyle name="Released 20" xfId="24165"/>
    <cellStyle name="Released 20 2" xfId="36596"/>
    <cellStyle name="Released 21" xfId="22368"/>
    <cellStyle name="Released 21 2" xfId="34802"/>
    <cellStyle name="Released 3" xfId="13022"/>
    <cellStyle name="Released 3 2" xfId="25897"/>
    <cellStyle name="Released 4" xfId="12696"/>
    <cellStyle name="Released 4 2" xfId="25575"/>
    <cellStyle name="Released 5" xfId="14443"/>
    <cellStyle name="Released 5 2" xfId="27276"/>
    <cellStyle name="Released 6" xfId="12770"/>
    <cellStyle name="Released 6 2" xfId="25647"/>
    <cellStyle name="Released 7" xfId="12550"/>
    <cellStyle name="Released 7 2" xfId="25430"/>
    <cellStyle name="Released 8" xfId="16511"/>
    <cellStyle name="Released 8 2" xfId="29287"/>
    <cellStyle name="Released 9" xfId="17712"/>
    <cellStyle name="Released 9 2" xfId="30429"/>
    <cellStyle name="RevList" xfId="2690"/>
    <cellStyle name="S " xfId="11708"/>
    <cellStyle name="sche|_x0005_" xfId="2691"/>
    <cellStyle name="setup" xfId="2692"/>
    <cellStyle name="STANDARD" xfId="2693"/>
    <cellStyle name="STD" xfId="2694"/>
    <cellStyle name="Sub" xfId="2695"/>
    <cellStyle name="subhead" xfId="2696"/>
    <cellStyle name="Subtotal" xfId="2697"/>
    <cellStyle name="testtitle" xfId="2698"/>
    <cellStyle name="testtitle 2" xfId="5813"/>
    <cellStyle name="testtitle 2 2" xfId="11264"/>
    <cellStyle name="þ?b?þ?b?þ?b?þ?b?þ?b?þ?b?þ?b灌þ?b?þ?&lt;?b?þ?b濬þ?b?þ?b?þ昰_x0018_?þ????_x0008_" xfId="10382"/>
    <cellStyle name="þ൚b⍼þ൪b⎨þൺb⏜þඊb␌þකb濰þඪb瀠þයb灌þ්b炈þ宐&lt;෢b濈þෲb濬þขb瀐þฒb瀰þ昰_x0018_⋸þ㤕䰀ጤܕ_x0008_" xfId="10383"/>
    <cellStyle name="þ_x001d_ð'&amp;Oy?Hy9_x0008__x000f__x0007_æ_x0007__x0007__x0001__x0001_" xfId="2699"/>
    <cellStyle name="þ_x001d_ð'&amp;Oy?Hy9_x0008__x000f__x0007_æ_x0007__x0007__x0001__x0001_ 2" xfId="4573"/>
    <cellStyle name="þ_x001d_ð'&amp;Oy?Hy9_x0008__x000f__x0007_æ_x0007__x0007__x0001__x0001_ 2 2" xfId="11265"/>
    <cellStyle name="Title" xfId="2700"/>
    <cellStyle name="title [1]" xfId="2701"/>
    <cellStyle name="title [2]" xfId="2702"/>
    <cellStyle name="Title 10" xfId="16884"/>
    <cellStyle name="Title 10 2" xfId="29659"/>
    <cellStyle name="Title 11" xfId="12949"/>
    <cellStyle name="Title 11 2" xfId="25824"/>
    <cellStyle name="Title 12" xfId="12440"/>
    <cellStyle name="Title 12 2" xfId="25320"/>
    <cellStyle name="Title 13" xfId="14179"/>
    <cellStyle name="Title 13 2" xfId="27027"/>
    <cellStyle name="Title 14" xfId="13199"/>
    <cellStyle name="Title 14 2" xfId="26067"/>
    <cellStyle name="Title 15" xfId="13710"/>
    <cellStyle name="Title 15 2" xfId="26571"/>
    <cellStyle name="Title 16" xfId="15454"/>
    <cellStyle name="Title 16 2" xfId="28263"/>
    <cellStyle name="Title 17" xfId="15822"/>
    <cellStyle name="Title 17 2" xfId="28620"/>
    <cellStyle name="Title 18" xfId="12913"/>
    <cellStyle name="Title 18 2" xfId="25789"/>
    <cellStyle name="Title 19" xfId="13843"/>
    <cellStyle name="Title 19 2" xfId="26702"/>
    <cellStyle name="Title 2" xfId="10384"/>
    <cellStyle name="Title 2 2" xfId="11266"/>
    <cellStyle name="Title 2 2 10" xfId="14046"/>
    <cellStyle name="Title 2 2 10 2" xfId="26895"/>
    <cellStyle name="Title 2 2 11" xfId="22933"/>
    <cellStyle name="Title 2 2 11 2" xfId="35367"/>
    <cellStyle name="Title 2 2 12" xfId="21226"/>
    <cellStyle name="Title 2 2 12 2" xfId="33663"/>
    <cellStyle name="Title 2 2 13" xfId="20142"/>
    <cellStyle name="Title 2 2 13 2" xfId="32588"/>
    <cellStyle name="Title 2 2 14" xfId="23275"/>
    <cellStyle name="Title 2 2 14 2" xfId="35707"/>
    <cellStyle name="Title 2 2 15" xfId="18925"/>
    <cellStyle name="Title 2 2 15 2" xfId="31630"/>
    <cellStyle name="Title 2 2 16" xfId="23145"/>
    <cellStyle name="Title 2 2 16 2" xfId="35578"/>
    <cellStyle name="Title 2 2 17" xfId="19145"/>
    <cellStyle name="Title 2 2 17 2" xfId="31801"/>
    <cellStyle name="Title 2 2 18" xfId="21529"/>
    <cellStyle name="Title 2 2 18 2" xfId="33966"/>
    <cellStyle name="Title 2 2 19" xfId="24433"/>
    <cellStyle name="Title 2 2 19 2" xfId="36864"/>
    <cellStyle name="Title 2 2 2" xfId="16460"/>
    <cellStyle name="Title 2 2 2 2" xfId="29236"/>
    <cellStyle name="Title 2 2 20" xfId="18834"/>
    <cellStyle name="Title 2 2 20 2" xfId="31539"/>
    <cellStyle name="Title 2 2 21" xfId="20095"/>
    <cellStyle name="Title 2 2 21 2" xfId="32541"/>
    <cellStyle name="Title 2 2 3" xfId="12580"/>
    <cellStyle name="Title 2 2 3 2" xfId="25459"/>
    <cellStyle name="Title 2 2 4" xfId="14150"/>
    <cellStyle name="Title 2 2 4 2" xfId="26998"/>
    <cellStyle name="Title 2 2 5" xfId="16742"/>
    <cellStyle name="Title 2 2 5 2" xfId="29518"/>
    <cellStyle name="Title 2 2 6" xfId="13940"/>
    <cellStyle name="Title 2 2 6 2" xfId="26798"/>
    <cellStyle name="Title 2 2 7" xfId="14881"/>
    <cellStyle name="Title 2 2 7 2" xfId="27702"/>
    <cellStyle name="Title 2 2 8" xfId="14131"/>
    <cellStyle name="Title 2 2 8 2" xfId="26979"/>
    <cellStyle name="Title 2 2 9" xfId="14058"/>
    <cellStyle name="Title 2 2 9 2" xfId="26906"/>
    <cellStyle name="Title 2 3" xfId="15984"/>
    <cellStyle name="Title 2 3 2" xfId="28782"/>
    <cellStyle name="Title 20" xfId="12689"/>
    <cellStyle name="Title 20 2" xfId="25568"/>
    <cellStyle name="Title 21" xfId="13232"/>
    <cellStyle name="Title 21 2" xfId="26100"/>
    <cellStyle name="Title 22" xfId="18219"/>
    <cellStyle name="Title 22 2" xfId="30926"/>
    <cellStyle name="Title 23" xfId="19400"/>
    <cellStyle name="Title 23 2" xfId="31956"/>
    <cellStyle name="Title 24" xfId="22535"/>
    <cellStyle name="Title 24 2" xfId="34969"/>
    <cellStyle name="Title 25" xfId="21637"/>
    <cellStyle name="Title 25 2" xfId="34074"/>
    <cellStyle name="Title 26" xfId="20848"/>
    <cellStyle name="Title 26 2" xfId="33285"/>
    <cellStyle name="Title 27" xfId="20614"/>
    <cellStyle name="Title 27 2" xfId="33058"/>
    <cellStyle name="Title 28" xfId="20046"/>
    <cellStyle name="Title 28 2" xfId="32492"/>
    <cellStyle name="Title 29" xfId="19825"/>
    <cellStyle name="Title 29 2" xfId="32275"/>
    <cellStyle name="Title 3" xfId="10385"/>
    <cellStyle name="Title 3 2" xfId="11267"/>
    <cellStyle name="Title 3 2 10" xfId="15921"/>
    <cellStyle name="Title 3 2 10 2" xfId="28719"/>
    <cellStyle name="Title 3 2 11" xfId="22934"/>
    <cellStyle name="Title 3 2 11 2" xfId="35368"/>
    <cellStyle name="Title 3 2 12" xfId="21225"/>
    <cellStyle name="Title 3 2 12 2" xfId="33662"/>
    <cellStyle name="Title 3 2 13" xfId="20390"/>
    <cellStyle name="Title 3 2 13 2" xfId="32835"/>
    <cellStyle name="Title 3 2 14" xfId="23892"/>
    <cellStyle name="Title 3 2 14 2" xfId="36323"/>
    <cellStyle name="Title 3 2 15" xfId="18906"/>
    <cellStyle name="Title 3 2 15 2" xfId="31611"/>
    <cellStyle name="Title 3 2 16" xfId="24315"/>
    <cellStyle name="Title 3 2 16 2" xfId="36746"/>
    <cellStyle name="Title 3 2 17" xfId="20747"/>
    <cellStyle name="Title 3 2 17 2" xfId="33187"/>
    <cellStyle name="Title 3 2 18" xfId="23255"/>
    <cellStyle name="Title 3 2 18 2" xfId="35687"/>
    <cellStyle name="Title 3 2 19" xfId="24037"/>
    <cellStyle name="Title 3 2 19 2" xfId="36468"/>
    <cellStyle name="Title 3 2 2" xfId="16461"/>
    <cellStyle name="Title 3 2 2 2" xfId="29237"/>
    <cellStyle name="Title 3 2 20" xfId="23384"/>
    <cellStyle name="Title 3 2 20 2" xfId="35816"/>
    <cellStyle name="Title 3 2 21" xfId="20897"/>
    <cellStyle name="Title 3 2 21 2" xfId="33334"/>
    <cellStyle name="Title 3 2 3" xfId="12581"/>
    <cellStyle name="Title 3 2 3 2" xfId="25460"/>
    <cellStyle name="Title 3 2 4" xfId="14347"/>
    <cellStyle name="Title 3 2 4 2" xfId="27180"/>
    <cellStyle name="Title 3 2 5" xfId="16709"/>
    <cellStyle name="Title 3 2 5 2" xfId="29485"/>
    <cellStyle name="Title 3 2 6" xfId="15358"/>
    <cellStyle name="Title 3 2 6 2" xfId="28175"/>
    <cellStyle name="Title 3 2 7" xfId="14297"/>
    <cellStyle name="Title 3 2 7 2" xfId="27130"/>
    <cellStyle name="Title 3 2 8" xfId="15444"/>
    <cellStyle name="Title 3 2 8 2" xfId="28253"/>
    <cellStyle name="Title 3 2 9" xfId="16932"/>
    <cellStyle name="Title 3 2 9 2" xfId="29707"/>
    <cellStyle name="Title 3 3" xfId="15985"/>
    <cellStyle name="Title 3 3 2" xfId="28783"/>
    <cellStyle name="Title 30" xfId="22363"/>
    <cellStyle name="Title 30 2" xfId="34797"/>
    <cellStyle name="Title 31" xfId="18871"/>
    <cellStyle name="Title 31 2" xfId="31576"/>
    <cellStyle name="Title 32" xfId="18556"/>
    <cellStyle name="Title 32 2" xfId="31261"/>
    <cellStyle name="Title 33" xfId="19574"/>
    <cellStyle name="Title 33 2" xfId="32029"/>
    <cellStyle name="Title 34" xfId="19530"/>
    <cellStyle name="Title 34 2" xfId="31985"/>
    <cellStyle name="Title 35" xfId="22013"/>
    <cellStyle name="Title 35 2" xfId="34450"/>
    <cellStyle name="Title 36" xfId="20956"/>
    <cellStyle name="Title 36 2" xfId="33393"/>
    <cellStyle name="Title 37" xfId="24518"/>
    <cellStyle name="Title 37 2" xfId="36949"/>
    <cellStyle name="Title 38" xfId="25104"/>
    <cellStyle name="Title 4" xfId="10386"/>
    <cellStyle name="Title 4 2" xfId="11268"/>
    <cellStyle name="Title 4 2 10" xfId="16953"/>
    <cellStyle name="Title 4 2 10 2" xfId="29728"/>
    <cellStyle name="Title 4 2 11" xfId="22935"/>
    <cellStyle name="Title 4 2 11 2" xfId="35369"/>
    <cellStyle name="Title 4 2 12" xfId="21224"/>
    <cellStyle name="Title 4 2 12 2" xfId="33661"/>
    <cellStyle name="Title 4 2 13" xfId="20141"/>
    <cellStyle name="Title 4 2 13 2" xfId="32587"/>
    <cellStyle name="Title 4 2 14" xfId="23891"/>
    <cellStyle name="Title 4 2 14 2" xfId="36322"/>
    <cellStyle name="Title 4 2 15" xfId="19973"/>
    <cellStyle name="Title 4 2 15 2" xfId="32421"/>
    <cellStyle name="Title 4 2 16" xfId="24314"/>
    <cellStyle name="Title 4 2 16 2" xfId="36745"/>
    <cellStyle name="Title 4 2 17" xfId="19031"/>
    <cellStyle name="Title 4 2 17 2" xfId="31736"/>
    <cellStyle name="Title 4 2 18" xfId="19283"/>
    <cellStyle name="Title 4 2 18 2" xfId="31936"/>
    <cellStyle name="Title 4 2 19" xfId="24432"/>
    <cellStyle name="Title 4 2 19 2" xfId="36863"/>
    <cellStyle name="Title 4 2 2" xfId="16462"/>
    <cellStyle name="Title 4 2 2 2" xfId="29238"/>
    <cellStyle name="Title 4 2 20" xfId="18833"/>
    <cellStyle name="Title 4 2 20 2" xfId="31538"/>
    <cellStyle name="Title 4 2 21" xfId="23622"/>
    <cellStyle name="Title 4 2 21 2" xfId="36053"/>
    <cellStyle name="Title 4 2 3" xfId="12582"/>
    <cellStyle name="Title 4 2 3 2" xfId="25461"/>
    <cellStyle name="Title 4 2 4" xfId="14149"/>
    <cellStyle name="Title 4 2 4 2" xfId="26997"/>
    <cellStyle name="Title 4 2 5" xfId="16743"/>
    <cellStyle name="Title 4 2 5 2" xfId="29519"/>
    <cellStyle name="Title 4 2 6" xfId="13941"/>
    <cellStyle name="Title 4 2 6 2" xfId="26799"/>
    <cellStyle name="Title 4 2 7" xfId="13344"/>
    <cellStyle name="Title 4 2 7 2" xfId="26212"/>
    <cellStyle name="Title 4 2 8" xfId="17563"/>
    <cellStyle name="Title 4 2 8 2" xfId="30283"/>
    <cellStyle name="Title 4 2 9" xfId="15741"/>
    <cellStyle name="Title 4 2 9 2" xfId="28540"/>
    <cellStyle name="Title 4 3" xfId="15986"/>
    <cellStyle name="Title 4 3 2" xfId="28784"/>
    <cellStyle name="Title 5" xfId="10926"/>
    <cellStyle name="Title 5 10" xfId="15274"/>
    <cellStyle name="Title 5 10 2" xfId="28091"/>
    <cellStyle name="Title 5 11" xfId="22652"/>
    <cellStyle name="Title 5 11 2" xfId="35086"/>
    <cellStyle name="Title 5 12" xfId="21511"/>
    <cellStyle name="Title 5 12 2" xfId="33948"/>
    <cellStyle name="Title 5 13" xfId="20239"/>
    <cellStyle name="Title 5 13 2" xfId="32684"/>
    <cellStyle name="Title 5 14" xfId="20331"/>
    <cellStyle name="Title 5 14 2" xfId="32776"/>
    <cellStyle name="Title 5 15" xfId="19523"/>
    <cellStyle name="Title 5 15 2" xfId="31978"/>
    <cellStyle name="Title 5 16" xfId="20243"/>
    <cellStyle name="Title 5 16 2" xfId="32688"/>
    <cellStyle name="Title 5 17" xfId="22842"/>
    <cellStyle name="Title 5 17 2" xfId="35276"/>
    <cellStyle name="Title 5 18" xfId="23205"/>
    <cellStyle name="Title 5 18 2" xfId="35638"/>
    <cellStyle name="Title 5 19" xfId="24729"/>
    <cellStyle name="Title 5 19 2" xfId="37160"/>
    <cellStyle name="Title 5 2" xfId="16192"/>
    <cellStyle name="Title 5 2 2" xfId="28968"/>
    <cellStyle name="Title 5 20" xfId="18409"/>
    <cellStyle name="Title 5 20 2" xfId="31114"/>
    <cellStyle name="Title 5 21" xfId="21983"/>
    <cellStyle name="Title 5 21 2" xfId="34420"/>
    <cellStyle name="Title 5 3" xfId="14453"/>
    <cellStyle name="Title 5 3 2" xfId="27285"/>
    <cellStyle name="Title 5 4" xfId="15477"/>
    <cellStyle name="Title 5 4 2" xfId="28286"/>
    <cellStyle name="Title 5 5" xfId="12807"/>
    <cellStyle name="Title 5 5 2" xfId="25683"/>
    <cellStyle name="Title 5 6" xfId="14709"/>
    <cellStyle name="Title 5 6 2" xfId="27535"/>
    <cellStyle name="Title 5 7" xfId="13681"/>
    <cellStyle name="Title 5 7 2" xfId="26546"/>
    <cellStyle name="Title 5 8" xfId="16581"/>
    <cellStyle name="Title 5 8 2" xfId="29357"/>
    <cellStyle name="Title 5 9" xfId="12975"/>
    <cellStyle name="Title 5 9 2" xfId="25850"/>
    <cellStyle name="Title 6" xfId="10936"/>
    <cellStyle name="Title 6 10" xfId="12553"/>
    <cellStyle name="Title 6 10 2" xfId="25433"/>
    <cellStyle name="Title 6 11" xfId="22660"/>
    <cellStyle name="Title 6 11 2" xfId="35094"/>
    <cellStyle name="Title 6 12" xfId="21502"/>
    <cellStyle name="Title 6 12 2" xfId="33939"/>
    <cellStyle name="Title 6 13" xfId="20236"/>
    <cellStyle name="Title 6 13 2" xfId="32682"/>
    <cellStyle name="Title 6 14" xfId="20082"/>
    <cellStyle name="Title 6 14 2" xfId="32528"/>
    <cellStyle name="Title 6 15" xfId="19524"/>
    <cellStyle name="Title 6 15 2" xfId="31979"/>
    <cellStyle name="Title 6 16" xfId="18616"/>
    <cellStyle name="Title 6 16 2" xfId="31321"/>
    <cellStyle name="Title 6 17" xfId="21118"/>
    <cellStyle name="Title 6 17 2" xfId="33555"/>
    <cellStyle name="Title 6 18" xfId="18667"/>
    <cellStyle name="Title 6 18 2" xfId="31372"/>
    <cellStyle name="Title 6 19" xfId="19778"/>
    <cellStyle name="Title 6 19 2" xfId="32228"/>
    <cellStyle name="Title 6 2" xfId="16201"/>
    <cellStyle name="Title 6 2 2" xfId="28977"/>
    <cellStyle name="Title 6 20" xfId="20878"/>
    <cellStyle name="Title 6 20 2" xfId="33315"/>
    <cellStyle name="Title 6 21" xfId="20294"/>
    <cellStyle name="Title 6 21 2" xfId="32739"/>
    <cellStyle name="Title 6 3" xfId="15883"/>
    <cellStyle name="Title 6 3 2" xfId="28681"/>
    <cellStyle name="Title 6 4" xfId="15472"/>
    <cellStyle name="Title 6 4 2" xfId="28281"/>
    <cellStyle name="Title 6 5" xfId="12812"/>
    <cellStyle name="Title 6 5 2" xfId="25688"/>
    <cellStyle name="Title 6 6" xfId="17108"/>
    <cellStyle name="Title 6 6 2" xfId="29843"/>
    <cellStyle name="Title 6 7" xfId="13662"/>
    <cellStyle name="Title 6 7 2" xfId="26530"/>
    <cellStyle name="Title 6 8" xfId="14398"/>
    <cellStyle name="Title 6 8 2" xfId="27231"/>
    <cellStyle name="Title 6 9" xfId="15672"/>
    <cellStyle name="Title 6 9 2" xfId="28472"/>
    <cellStyle name="Title 7" xfId="11387"/>
    <cellStyle name="Title 7 10" xfId="14506"/>
    <cellStyle name="Title 7 10 2" xfId="27334"/>
    <cellStyle name="Title 7 11" xfId="23010"/>
    <cellStyle name="Title 7 11 2" xfId="35443"/>
    <cellStyle name="Title 7 12" xfId="21133"/>
    <cellStyle name="Title 7 12 2" xfId="33570"/>
    <cellStyle name="Title 7 13" xfId="20384"/>
    <cellStyle name="Title 7 13 2" xfId="32829"/>
    <cellStyle name="Title 7 14" xfId="20316"/>
    <cellStyle name="Title 7 14 2" xfId="32761"/>
    <cellStyle name="Title 7 15" xfId="20776"/>
    <cellStyle name="Title 7 15 2" xfId="33215"/>
    <cellStyle name="Title 7 16" xfId="18795"/>
    <cellStyle name="Title 7 16 2" xfId="31500"/>
    <cellStyle name="Title 7 17" xfId="24113"/>
    <cellStyle name="Title 7 17 2" xfId="36544"/>
    <cellStyle name="Title 7 18" xfId="23188"/>
    <cellStyle name="Title 7 18 2" xfId="35621"/>
    <cellStyle name="Title 7 19" xfId="23494"/>
    <cellStyle name="Title 7 19 2" xfId="35925"/>
    <cellStyle name="Title 7 2" xfId="16544"/>
    <cellStyle name="Title 7 2 2" xfId="29320"/>
    <cellStyle name="Title 7 20" xfId="21976"/>
    <cellStyle name="Title 7 20 2" xfId="34413"/>
    <cellStyle name="Title 7 21" xfId="20942"/>
    <cellStyle name="Title 7 21 2" xfId="33379"/>
    <cellStyle name="Title 7 3" xfId="12629"/>
    <cellStyle name="Title 7 3 2" xfId="25508"/>
    <cellStyle name="Title 7 4" xfId="14112"/>
    <cellStyle name="Title 7 4 2" xfId="26960"/>
    <cellStyle name="Title 7 5" xfId="12844"/>
    <cellStyle name="Title 7 5 2" xfId="25720"/>
    <cellStyle name="Title 7 6" xfId="12864"/>
    <cellStyle name="Title 7 6 2" xfId="25740"/>
    <cellStyle name="Title 7 7" xfId="15237"/>
    <cellStyle name="Title 7 7 2" xfId="28055"/>
    <cellStyle name="Title 7 8" xfId="15568"/>
    <cellStyle name="Title 7 8 2" xfId="28377"/>
    <cellStyle name="Title 7 9" xfId="13703"/>
    <cellStyle name="Title 7 9 2" xfId="26567"/>
    <cellStyle name="Title 8" xfId="11386"/>
    <cellStyle name="Title 8 10" xfId="17189"/>
    <cellStyle name="Title 8 10 2" xfId="29923"/>
    <cellStyle name="Title 8 11" xfId="23009"/>
    <cellStyle name="Title 8 11 2" xfId="35442"/>
    <cellStyle name="Title 8 12" xfId="21134"/>
    <cellStyle name="Title 8 12 2" xfId="33571"/>
    <cellStyle name="Title 8 13" xfId="20134"/>
    <cellStyle name="Title 8 13 2" xfId="32580"/>
    <cellStyle name="Title 8 14" xfId="20070"/>
    <cellStyle name="Title 8 14 2" xfId="32516"/>
    <cellStyle name="Title 8 15" xfId="19977"/>
    <cellStyle name="Title 8 15 2" xfId="32425"/>
    <cellStyle name="Title 8 16" xfId="23147"/>
    <cellStyle name="Title 8 16 2" xfId="35580"/>
    <cellStyle name="Title 8 17" xfId="23410"/>
    <cellStyle name="Title 8 17 2" xfId="35841"/>
    <cellStyle name="Title 8 18" xfId="19014"/>
    <cellStyle name="Title 8 18 2" xfId="31719"/>
    <cellStyle name="Title 8 19" xfId="22845"/>
    <cellStyle name="Title 8 19 2" xfId="35279"/>
    <cellStyle name="Title 8 2" xfId="16543"/>
    <cellStyle name="Title 8 2 2" xfId="29319"/>
    <cellStyle name="Title 8 20" xfId="24481"/>
    <cellStyle name="Title 8 20 2" xfId="36912"/>
    <cellStyle name="Title 8 21" xfId="24855"/>
    <cellStyle name="Title 8 21 2" xfId="37286"/>
    <cellStyle name="Title 8 3" xfId="12628"/>
    <cellStyle name="Title 8 3 2" xfId="25507"/>
    <cellStyle name="Title 8 4" xfId="14315"/>
    <cellStyle name="Title 8 4 2" xfId="27148"/>
    <cellStyle name="Title 8 5" xfId="12843"/>
    <cellStyle name="Title 8 5 2" xfId="25719"/>
    <cellStyle name="Title 8 6" xfId="15481"/>
    <cellStyle name="Title 8 6 2" xfId="28290"/>
    <cellStyle name="Title 8 7" xfId="13056"/>
    <cellStyle name="Title 8 7 2" xfId="25925"/>
    <cellStyle name="Title 8 8" xfId="14843"/>
    <cellStyle name="Title 8 8 2" xfId="27666"/>
    <cellStyle name="Title 8 9" xfId="15691"/>
    <cellStyle name="Title 8 9 2" xfId="28491"/>
    <cellStyle name="Title 9" xfId="13503"/>
    <cellStyle name="Title 9 2" xfId="26371"/>
    <cellStyle name="Title_1.내역서" xfId="5814"/>
    <cellStyle name="Title1" xfId="2703"/>
    <cellStyle name="Title2" xfId="2704"/>
    <cellStyle name="TON" xfId="2705"/>
    <cellStyle name="TON 10" xfId="15061"/>
    <cellStyle name="TON 10 2" xfId="27882"/>
    <cellStyle name="TON 11" xfId="17401"/>
    <cellStyle name="TON 11 2" xfId="30129"/>
    <cellStyle name="TON 12" xfId="16941"/>
    <cellStyle name="TON 12 2" xfId="29716"/>
    <cellStyle name="TON 13" xfId="18171"/>
    <cellStyle name="TON 13 2" xfId="30878"/>
    <cellStyle name="TON 14" xfId="19403"/>
    <cellStyle name="TON 15" xfId="23327"/>
    <cellStyle name="TON 15 2" xfId="35759"/>
    <cellStyle name="TON 16" xfId="23580"/>
    <cellStyle name="TON 16 2" xfId="36011"/>
    <cellStyle name="TON 17" xfId="20615"/>
    <cellStyle name="TON 17 2" xfId="33059"/>
    <cellStyle name="TON 18" xfId="21301"/>
    <cellStyle name="TON 18 2" xfId="33738"/>
    <cellStyle name="TON 19" xfId="20856"/>
    <cellStyle name="TON 19 2" xfId="33293"/>
    <cellStyle name="ton 2" xfId="5815"/>
    <cellStyle name="TON 20" xfId="22293"/>
    <cellStyle name="TON 20 2" xfId="34727"/>
    <cellStyle name="TON 21" xfId="22325"/>
    <cellStyle name="TON 21 2" xfId="34759"/>
    <cellStyle name="TON 22" xfId="19041"/>
    <cellStyle name="TON 22 2" xfId="31746"/>
    <cellStyle name="TON 23" xfId="23686"/>
    <cellStyle name="TON 23 2" xfId="36117"/>
    <cellStyle name="TON 24" xfId="24950"/>
    <cellStyle name="TON 24 2" xfId="37381"/>
    <cellStyle name="TON 25" xfId="25041"/>
    <cellStyle name="TON 25 2" xfId="37472"/>
    <cellStyle name="TON 3" xfId="13504"/>
    <cellStyle name="TON 3 2" xfId="26372"/>
    <cellStyle name="TON 4" xfId="16085"/>
    <cellStyle name="TON 4 2" xfId="28868"/>
    <cellStyle name="TON 5" xfId="15325"/>
    <cellStyle name="TON 5 2" xfId="28142"/>
    <cellStyle name="TON 6" xfId="12438"/>
    <cellStyle name="TON 6 2" xfId="25318"/>
    <cellStyle name="TON 7" xfId="16955"/>
    <cellStyle name="TON 7 2" xfId="29730"/>
    <cellStyle name="TON 8" xfId="17668"/>
    <cellStyle name="TON 8 2" xfId="30385"/>
    <cellStyle name="TON 9" xfId="15626"/>
    <cellStyle name="TON 9 2" xfId="28435"/>
    <cellStyle name="Total" xfId="2706"/>
    <cellStyle name="Total 2" xfId="10387"/>
    <cellStyle name="Total 2 2" xfId="11269"/>
    <cellStyle name="Total 3" xfId="10388"/>
    <cellStyle name="Total 3 2" xfId="11270"/>
    <cellStyle name="Total 4" xfId="10389"/>
    <cellStyle name="Total 4 2" xfId="11271"/>
    <cellStyle name="Total 5" xfId="10390"/>
    <cellStyle name="Total 5 2" xfId="11272"/>
    <cellStyle name="Total 6" xfId="10391"/>
    <cellStyle name="Total 6 2" xfId="11273"/>
    <cellStyle name="Total 7" xfId="10392"/>
    <cellStyle name="Total 7 2" xfId="11274"/>
    <cellStyle name="Total 8" xfId="10393"/>
    <cellStyle name="UM" xfId="2707"/>
    <cellStyle name="Unprot" xfId="5816"/>
    <cellStyle name="Unprot$" xfId="5817"/>
    <cellStyle name="Unprotect" xfId="5818"/>
    <cellStyle name="W?rung [0]_Ausdruck RUND (D)" xfId="5819"/>
    <cellStyle name="W?rung_Ausdruck RUND (D)" xfId="5820"/>
    <cellStyle name="XLS'|_x0005_t" xfId="2708"/>
    <cellStyle name="μU¿¡ ¿A´A CIAIÆU¸μAⓒ" xfId="2709"/>
    <cellStyle name="パーセント_技計ｾﾝﾀ" xfId="10394"/>
    <cellStyle name="ハイパーリンク" xfId="2710"/>
    <cellStyle name="ଃਁȋ⤂Ā飰ˠ" xfId="2711"/>
    <cellStyle name="ଃਁȋ⤂Ā飰ˠ 2" xfId="10395"/>
    <cellStyle name="|?ドE" xfId="2712"/>
    <cellStyle name="" xfId="11709"/>
    <cellStyle name="가운데" xfId="2713"/>
    <cellStyle name="가운데 10" xfId="15676"/>
    <cellStyle name="가운데 10 2" xfId="28476"/>
    <cellStyle name="가운데 11" xfId="19406"/>
    <cellStyle name="가운데 12" xfId="22531"/>
    <cellStyle name="가운데 12 2" xfId="34965"/>
    <cellStyle name="가운데 13" xfId="21639"/>
    <cellStyle name="가운데 13 2" xfId="34076"/>
    <cellStyle name="가운데 14" xfId="18726"/>
    <cellStyle name="가운데 14 2" xfId="31431"/>
    <cellStyle name="가운데 15" xfId="22542"/>
    <cellStyle name="가운데 15 2" xfId="34976"/>
    <cellStyle name="가운데 16" xfId="23394"/>
    <cellStyle name="가운데 16 2" xfId="35826"/>
    <cellStyle name="가운데 17" xfId="20286"/>
    <cellStyle name="가운데 17 2" xfId="32731"/>
    <cellStyle name="가운데 18" xfId="22979"/>
    <cellStyle name="가운데 18 2" xfId="35412"/>
    <cellStyle name="가운데 19" xfId="22014"/>
    <cellStyle name="가운데 19 2" xfId="34451"/>
    <cellStyle name="가운데 2" xfId="13506"/>
    <cellStyle name="가운데 2 2" xfId="26374"/>
    <cellStyle name="가운데 20" xfId="21088"/>
    <cellStyle name="가운데 20 2" xfId="33525"/>
    <cellStyle name="가운데 21" xfId="18670"/>
    <cellStyle name="가운데 21 2" xfId="31375"/>
    <cellStyle name="가운데 3" xfId="16881"/>
    <cellStyle name="가운데 3 2" xfId="29656"/>
    <cellStyle name="가운데 4" xfId="15875"/>
    <cellStyle name="가운데 4 2" xfId="28673"/>
    <cellStyle name="가운데 5" xfId="15549"/>
    <cellStyle name="가운데 5 2" xfId="28358"/>
    <cellStyle name="가운데 6" xfId="15952"/>
    <cellStyle name="가운데 6 2" xfId="28750"/>
    <cellStyle name="가운데 7" xfId="13077"/>
    <cellStyle name="가운데 7 2" xfId="25946"/>
    <cellStyle name="가운데 8" xfId="14534"/>
    <cellStyle name="가운데 8 2" xfId="27362"/>
    <cellStyle name="가운데 9" xfId="13758"/>
    <cellStyle name="가운데 9 2" xfId="26619"/>
    <cellStyle name="강조색1 2" xfId="5821"/>
    <cellStyle name="강조색1 3" xfId="11710"/>
    <cellStyle name="강조색1 4" xfId="11711"/>
    <cellStyle name="강조색1 5" xfId="11712"/>
    <cellStyle name="강조색1 6" xfId="11713"/>
    <cellStyle name="강조색1 7" xfId="11714"/>
    <cellStyle name="강조색1 8" xfId="11715"/>
    <cellStyle name="강조색2 2" xfId="5822"/>
    <cellStyle name="강조색2 3" xfId="11716"/>
    <cellStyle name="강조색2 4" xfId="11717"/>
    <cellStyle name="강조색2 5" xfId="11718"/>
    <cellStyle name="강조색2 6" xfId="11719"/>
    <cellStyle name="강조색2 7" xfId="11720"/>
    <cellStyle name="강조색2 8" xfId="11721"/>
    <cellStyle name="강조색3 2" xfId="5823"/>
    <cellStyle name="강조색3 3" xfId="11722"/>
    <cellStyle name="강조색3 4" xfId="11723"/>
    <cellStyle name="강조색3 5" xfId="11724"/>
    <cellStyle name="강조색3 6" xfId="11725"/>
    <cellStyle name="강조색3 7" xfId="11726"/>
    <cellStyle name="강조색3 8" xfId="11727"/>
    <cellStyle name="강조색4 2" xfId="5824"/>
    <cellStyle name="강조색4 3" xfId="11728"/>
    <cellStyle name="강조색4 4" xfId="11729"/>
    <cellStyle name="강조색4 5" xfId="11730"/>
    <cellStyle name="강조색4 6" xfId="11731"/>
    <cellStyle name="강조색4 7" xfId="11732"/>
    <cellStyle name="강조색4 8" xfId="11733"/>
    <cellStyle name="강조색5 2" xfId="5825"/>
    <cellStyle name="강조색5 3" xfId="11734"/>
    <cellStyle name="강조색5 4" xfId="11735"/>
    <cellStyle name="강조색5 5" xfId="11736"/>
    <cellStyle name="강조색5 6" xfId="11737"/>
    <cellStyle name="강조색5 7" xfId="11738"/>
    <cellStyle name="강조색5 8" xfId="11739"/>
    <cellStyle name="강조색6 2" xfId="5826"/>
    <cellStyle name="강조색6 3" xfId="11740"/>
    <cellStyle name="강조색6 4" xfId="11741"/>
    <cellStyle name="강조색6 5" xfId="11742"/>
    <cellStyle name="강조색6 6" xfId="11743"/>
    <cellStyle name="강조색6 7" xfId="11744"/>
    <cellStyle name="강조색6 8" xfId="11745"/>
    <cellStyle name="개" xfId="2714"/>
    <cellStyle name="개 10" xfId="14773"/>
    <cellStyle name="개 10 2" xfId="27598"/>
    <cellStyle name="개 11" xfId="19407"/>
    <cellStyle name="개 12" xfId="22530"/>
    <cellStyle name="개 12 2" xfId="34964"/>
    <cellStyle name="개 13" xfId="21640"/>
    <cellStyle name="개 13 2" xfId="34077"/>
    <cellStyle name="개 14" xfId="22662"/>
    <cellStyle name="개 14 2" xfId="35096"/>
    <cellStyle name="개 15" xfId="19830"/>
    <cellStyle name="개 15 2" xfId="32280"/>
    <cellStyle name="개 16" xfId="24119"/>
    <cellStyle name="개 16 2" xfId="36550"/>
    <cellStyle name="개 17" xfId="20042"/>
    <cellStyle name="개 17 2" xfId="32488"/>
    <cellStyle name="개 18" xfId="21041"/>
    <cellStyle name="개 18 2" xfId="33478"/>
    <cellStyle name="개 19" xfId="22015"/>
    <cellStyle name="개 19 2" xfId="34452"/>
    <cellStyle name="개 2" xfId="13507"/>
    <cellStyle name="개 2 2" xfId="26375"/>
    <cellStyle name="개 20" xfId="23808"/>
    <cellStyle name="개 20 2" xfId="36239"/>
    <cellStyle name="개 21" xfId="22848"/>
    <cellStyle name="개 21 2" xfId="35282"/>
    <cellStyle name="개 3" xfId="16880"/>
    <cellStyle name="개 3 2" xfId="29655"/>
    <cellStyle name="개 4" xfId="15874"/>
    <cellStyle name="개 4 2" xfId="28672"/>
    <cellStyle name="개 5" xfId="14197"/>
    <cellStyle name="개 5 2" xfId="27045"/>
    <cellStyle name="개 6" xfId="13196"/>
    <cellStyle name="개 6 2" xfId="26064"/>
    <cellStyle name="개 7" xfId="14660"/>
    <cellStyle name="개 7 2" xfId="27486"/>
    <cellStyle name="개 8" xfId="14535"/>
    <cellStyle name="개 8 2" xfId="27363"/>
    <cellStyle name="개 9" xfId="14574"/>
    <cellStyle name="개 9 2" xfId="27400"/>
    <cellStyle name="개_02-포장-1" xfId="2715"/>
    <cellStyle name="개_02-포장-1 10" xfId="15420"/>
    <cellStyle name="개_02-포장-1 10 2" xfId="28234"/>
    <cellStyle name="개_02-포장-1 11" xfId="19408"/>
    <cellStyle name="개_02-포장-1 12" xfId="22529"/>
    <cellStyle name="개_02-포장-1 12 2" xfId="34963"/>
    <cellStyle name="개_02-포장-1 13" xfId="21641"/>
    <cellStyle name="개_02-포장-1 13 2" xfId="34078"/>
    <cellStyle name="개_02-포장-1 14" xfId="21777"/>
    <cellStyle name="개_02-포장-1 14 2" xfId="34214"/>
    <cellStyle name="개_02-포장-1 15" xfId="22543"/>
    <cellStyle name="개_02-포장-1 15 2" xfId="34977"/>
    <cellStyle name="개_02-포장-1 16" xfId="22099"/>
    <cellStyle name="개_02-포장-1 16 2" xfId="34535"/>
    <cellStyle name="개_02-포장-1 17" xfId="24096"/>
    <cellStyle name="개_02-포장-1 17 2" xfId="36527"/>
    <cellStyle name="개_02-포장-1 18" xfId="23839"/>
    <cellStyle name="개_02-포장-1 18 2" xfId="36270"/>
    <cellStyle name="개_02-포장-1 19" xfId="22016"/>
    <cellStyle name="개_02-포장-1 19 2" xfId="34453"/>
    <cellStyle name="개_02-포장-1 2" xfId="13508"/>
    <cellStyle name="개_02-포장-1 2 2" xfId="26376"/>
    <cellStyle name="개_02-포장-1 20" xfId="24050"/>
    <cellStyle name="개_02-포장-1 20 2" xfId="36481"/>
    <cellStyle name="개_02-포장-1 21" xfId="18800"/>
    <cellStyle name="개_02-포장-1 21 2" xfId="31505"/>
    <cellStyle name="개_02-포장-1 3" xfId="16879"/>
    <cellStyle name="개_02-포장-1 3 2" xfId="29654"/>
    <cellStyle name="개_02-포장-1 4" xfId="12436"/>
    <cellStyle name="개_02-포장-1 4 2" xfId="25316"/>
    <cellStyle name="개_02-포장-1 5" xfId="16702"/>
    <cellStyle name="개_02-포장-1 5 2" xfId="29478"/>
    <cellStyle name="개_02-포장-1 6" xfId="13343"/>
    <cellStyle name="개_02-포장-1 6 2" xfId="26211"/>
    <cellStyle name="개_02-포장-1 7" xfId="13767"/>
    <cellStyle name="개_02-포장-1 7 2" xfId="26628"/>
    <cellStyle name="개_02-포장-1 8" xfId="16413"/>
    <cellStyle name="개_02-포장-1 8 2" xfId="29189"/>
    <cellStyle name="개_02-포장-1 9" xfId="16582"/>
    <cellStyle name="개_02-포장-1 9 2" xfId="29358"/>
    <cellStyle name="개_02-포장-1_Boo2" xfId="2716"/>
    <cellStyle name="개_02-포장-1_Boo2 10" xfId="15203"/>
    <cellStyle name="개_02-포장-1_Boo2 10 2" xfId="28021"/>
    <cellStyle name="개_02-포장-1_Boo2 11" xfId="19409"/>
    <cellStyle name="개_02-포장-1_Boo2 12" xfId="22528"/>
    <cellStyle name="개_02-포장-1_Boo2 12 2" xfId="34962"/>
    <cellStyle name="개_02-포장-1_Boo2 13" xfId="21642"/>
    <cellStyle name="개_02-포장-1_Boo2 13 2" xfId="34079"/>
    <cellStyle name="개_02-포장-1_Boo2 14" xfId="20491"/>
    <cellStyle name="개_02-포장-1_Boo2 14 2" xfId="32936"/>
    <cellStyle name="개_02-포장-1_Boo2 15" xfId="19831"/>
    <cellStyle name="개_02-포장-1_Boo2 15 2" xfId="32281"/>
    <cellStyle name="개_02-포장-1_Boo2 16" xfId="20720"/>
    <cellStyle name="개_02-포장-1_Boo2 16 2" xfId="33161"/>
    <cellStyle name="개_02-포장-1_Boo2 17" xfId="18841"/>
    <cellStyle name="개_02-포장-1_Boo2 17 2" xfId="31546"/>
    <cellStyle name="개_02-포장-1_Boo2 18" xfId="19820"/>
    <cellStyle name="개_02-포장-1_Boo2 18 2" xfId="32270"/>
    <cellStyle name="개_02-포장-1_Boo2 19" xfId="21980"/>
    <cellStyle name="개_02-포장-1_Boo2 19 2" xfId="34417"/>
    <cellStyle name="개_02-포장-1_Boo2 2" xfId="13509"/>
    <cellStyle name="개_02-포장-1_Boo2 2 2" xfId="26377"/>
    <cellStyle name="개_02-포장-1_Boo2 20" xfId="18880"/>
    <cellStyle name="개_02-포장-1_Boo2 20 2" xfId="31585"/>
    <cellStyle name="개_02-포장-1_Boo2 21" xfId="21891"/>
    <cellStyle name="개_02-포장-1_Boo2 21 2" xfId="34328"/>
    <cellStyle name="개_02-포장-1_Boo2 3" xfId="16878"/>
    <cellStyle name="개_02-포장-1_Boo2 3 2" xfId="29653"/>
    <cellStyle name="개_02-포장-1_Boo2 4" xfId="15873"/>
    <cellStyle name="개_02-포장-1_Boo2 4 2" xfId="28671"/>
    <cellStyle name="개_02-포장-1_Boo2 5" xfId="15550"/>
    <cellStyle name="개_02-포장-1_Boo2 5 2" xfId="28359"/>
    <cellStyle name="개_02-포장-1_Boo2 6" xfId="13195"/>
    <cellStyle name="개_02-포장-1_Boo2 6 2" xfId="26063"/>
    <cellStyle name="개_02-포장-1_Boo2 7" xfId="13766"/>
    <cellStyle name="개_02-포장-1_Boo2 7 2" xfId="26627"/>
    <cellStyle name="개_02-포장-1_Boo2 8" xfId="15711"/>
    <cellStyle name="개_02-포장-1_Boo2 8 2" xfId="28511"/>
    <cellStyle name="개_02-포장-1_Boo2 9" xfId="17248"/>
    <cellStyle name="개_02-포장-1_Boo2 9 2" xfId="29981"/>
    <cellStyle name="개_02-포장-1_Boo2_도로수량양식" xfId="2717"/>
    <cellStyle name="개_02-포장-1_Boo2_도로수량양식 10" xfId="15677"/>
    <cellStyle name="개_02-포장-1_Boo2_도로수량양식 10 2" xfId="28477"/>
    <cellStyle name="개_02-포장-1_Boo2_도로수량양식 11" xfId="19410"/>
    <cellStyle name="개_02-포장-1_Boo2_도로수량양식 12" xfId="23325"/>
    <cellStyle name="개_02-포장-1_Boo2_도로수량양식 12 2" xfId="35757"/>
    <cellStyle name="개_02-포장-1_Boo2_도로수량양식 13" xfId="21643"/>
    <cellStyle name="개_02-포장-1_Boo2_도로수량양식 13 2" xfId="34080"/>
    <cellStyle name="개_02-포장-1_Boo2_도로수량양식 14" xfId="21778"/>
    <cellStyle name="개_02-포장-1_Boo2_도로수량양식 14 2" xfId="34215"/>
    <cellStyle name="개_02-포장-1_Boo2_도로수량양식 15" xfId="22544"/>
    <cellStyle name="개_02-포장-1_Boo2_도로수량양식 15 2" xfId="34978"/>
    <cellStyle name="개_02-포장-1_Boo2_도로수량양식 16" xfId="24120"/>
    <cellStyle name="개_02-포장-1_Boo2_도로수량양식 16 2" xfId="36551"/>
    <cellStyle name="개_02-포장-1_Boo2_도로수량양식 17" xfId="19396"/>
    <cellStyle name="개_02-포장-1_Boo2_도로수량양식 17 2" xfId="31952"/>
    <cellStyle name="개_02-포장-1_Boo2_도로수량양식 18" xfId="23838"/>
    <cellStyle name="개_02-포장-1_Boo2_도로수량양식 18 2" xfId="36269"/>
    <cellStyle name="개_02-포장-1_Boo2_도로수량양식 19" xfId="19534"/>
    <cellStyle name="개_02-포장-1_Boo2_도로수량양식 19 2" xfId="31989"/>
    <cellStyle name="개_02-포장-1_Boo2_도로수량양식 2" xfId="13510"/>
    <cellStyle name="개_02-포장-1_Boo2_도로수량양식 2 2" xfId="26378"/>
    <cellStyle name="개_02-포장-1_Boo2_도로수량양식 20" xfId="24051"/>
    <cellStyle name="개_02-포장-1_Boo2_도로수량양식 20 2" xfId="36482"/>
    <cellStyle name="개_02-포장-1_Boo2_도로수량양식 21" xfId="21192"/>
    <cellStyle name="개_02-포장-1_Boo2_도로수량양식 21 2" xfId="33629"/>
    <cellStyle name="개_02-포장-1_Boo2_도로수량양식 3" xfId="16877"/>
    <cellStyle name="개_02-포장-1_Boo2_도로수량양식 3 2" xfId="29652"/>
    <cellStyle name="개_02-포장-1_Boo2_도로수량양식 4" xfId="12435"/>
    <cellStyle name="개_02-포장-1_Boo2_도로수량양식 4 2" xfId="25315"/>
    <cellStyle name="개_02-포장-1_Boo2_도로수량양식 5" xfId="17065"/>
    <cellStyle name="개_02-포장-1_Boo2_도로수량양식 5 2" xfId="29801"/>
    <cellStyle name="개_02-포장-1_Boo2_도로수량양식 6" xfId="15951"/>
    <cellStyle name="개_02-포장-1_Boo2_도로수량양식 6 2" xfId="28749"/>
    <cellStyle name="개_02-포장-1_Boo2_도로수량양식 7" xfId="17087"/>
    <cellStyle name="개_02-포장-1_Boo2_도로수량양식 7 2" xfId="29823"/>
    <cellStyle name="개_02-포장-1_Boo2_도로수량양식 8" xfId="15599"/>
    <cellStyle name="개_02-포장-1_Boo2_도로수량양식 8 2" xfId="28408"/>
    <cellStyle name="개_02-포장-1_Boo2_도로수량양식 9" xfId="17972"/>
    <cellStyle name="개_02-포장-1_Boo2_도로수량양식 9 2" xfId="30684"/>
    <cellStyle name="개_02-포장-1_Boo2_도로수량양식_자전거도로구조물공수량" xfId="2718"/>
    <cellStyle name="개_02-포장-1_Boo2_도로수량양식_자전거도로구조물공수량 10" xfId="18170"/>
    <cellStyle name="개_02-포장-1_Boo2_도로수량양식_자전거도로구조물공수량 10 2" xfId="30877"/>
    <cellStyle name="개_02-포장-1_Boo2_도로수량양식_자전거도로구조물공수량 11" xfId="19411"/>
    <cellStyle name="개_02-포장-1_Boo2_도로수량양식_자전거도로구조물공수량 12" xfId="23324"/>
    <cellStyle name="개_02-포장-1_Boo2_도로수량양식_자전거도로구조물공수량 12 2" xfId="35756"/>
    <cellStyle name="개_02-포장-1_Boo2_도로수량양식_자전거도로구조물공수량 13" xfId="23578"/>
    <cellStyle name="개_02-포장-1_Boo2_도로수량양식_자전거도로구조물공수량 13 2" xfId="36009"/>
    <cellStyle name="개_02-포장-1_Boo2_도로수량양식_자전거도로구조물공수량 14" xfId="23954"/>
    <cellStyle name="개_02-포장-1_Boo2_도로수량양식_자전거도로구조물공수량 14 2" xfId="36385"/>
    <cellStyle name="개_02-포장-1_Boo2_도로수량양식_자전거도로구조물공수량 15" xfId="20237"/>
    <cellStyle name="개_02-포장-1_Boo2_도로수량양식_자전거도로구조물공수량 15 2" xfId="32683"/>
    <cellStyle name="개_02-포장-1_Boo2_도로수량양식_자전거도로구조물공수량 16" xfId="23519"/>
    <cellStyle name="개_02-포장-1_Boo2_도로수량양식_자전거도로구조물공수량 16 2" xfId="35950"/>
    <cellStyle name="개_02-포장-1_Boo2_도로수량양식_자전거도로구조물공수량 17" xfId="24612"/>
    <cellStyle name="개_02-포장-1_Boo2_도로수량양식_자전거도로구조물공수량 17 2" xfId="37043"/>
    <cellStyle name="개_02-포장-1_Boo2_도로수량양식_자전거도로구조물공수량 18" xfId="19772"/>
    <cellStyle name="개_02-포장-1_Boo2_도로수량양식_자전거도로구조물공수량 18 2" xfId="32222"/>
    <cellStyle name="개_02-포장-1_Boo2_도로수량양식_자전거도로구조물공수량 19" xfId="22188"/>
    <cellStyle name="개_02-포장-1_Boo2_도로수량양식_자전거도로구조물공수량 19 2" xfId="34623"/>
    <cellStyle name="개_02-포장-1_Boo2_도로수량양식_자전거도로구조물공수량 2" xfId="13511"/>
    <cellStyle name="개_02-포장-1_Boo2_도로수량양식_자전거도로구조물공수량 2 2" xfId="26379"/>
    <cellStyle name="개_02-포장-1_Boo2_도로수량양식_자전거도로구조물공수량 20" xfId="24949"/>
    <cellStyle name="개_02-포장-1_Boo2_도로수량양식_자전거도로구조물공수량 20 2" xfId="37380"/>
    <cellStyle name="개_02-포장-1_Boo2_도로수량양식_자전거도로구조물공수량 21" xfId="25040"/>
    <cellStyle name="개_02-포장-1_Boo2_도로수량양식_자전거도로구조물공수량 21 2" xfId="37471"/>
    <cellStyle name="개_02-포장-1_Boo2_도로수량양식_자전거도로구조물공수량 3" xfId="16876"/>
    <cellStyle name="개_02-포장-1_Boo2_도로수량양식_자전거도로구조물공수량 3 2" xfId="29651"/>
    <cellStyle name="개_02-포장-1_Boo2_도로수량양식_자전거도로구조물공수량 4" xfId="13751"/>
    <cellStyle name="개_02-포장-1_Boo2_도로수량양식_자전거도로구조물공수량 4 2" xfId="26612"/>
    <cellStyle name="개_02-포장-1_Boo2_도로수량양식_자전거도로구조물공수량 5" xfId="16608"/>
    <cellStyle name="개_02-포장-1_Boo2_도로수량양식_자전거도로구조물공수량 5 2" xfId="29384"/>
    <cellStyle name="개_02-포장-1_Boo2_도로수량양식_자전거도로구조물공수량 6" xfId="17667"/>
    <cellStyle name="개_02-포장-1_Boo2_도로수량양식_자전거도로구조물공수량 6 2" xfId="30384"/>
    <cellStyle name="개_02-포장-1_Boo2_도로수량양식_자전거도로구조물공수량 7" xfId="14292"/>
    <cellStyle name="개_02-포장-1_Boo2_도로수량양식_자전거도로구조물공수량 7 2" xfId="27125"/>
    <cellStyle name="개_02-포장-1_Boo2_도로수량양식_자전거도로구조물공수량 8" xfId="14214"/>
    <cellStyle name="개_02-포장-1_Boo2_도로수량양식_자전거도로구조물공수량 8 2" xfId="27060"/>
    <cellStyle name="개_02-포장-1_Boo2_도로수량양식_자전거도로구조물공수량 9" xfId="15811"/>
    <cellStyle name="개_02-포장-1_Boo2_도로수량양식_자전거도로구조물공수량 9 2" xfId="28610"/>
    <cellStyle name="개_02-포장-1_Boo2_도로수량양식_자전거도로포장수량" xfId="2719"/>
    <cellStyle name="개_02-포장-1_Boo2_도로수량양식_자전거도로포장수량 10" xfId="18169"/>
    <cellStyle name="개_02-포장-1_Boo2_도로수량양식_자전거도로포장수량 10 2" xfId="30876"/>
    <cellStyle name="개_02-포장-1_Boo2_도로수량양식_자전거도로포장수량 11" xfId="19412"/>
    <cellStyle name="개_02-포장-1_Boo2_도로수량양식_자전거도로포장수량 12" xfId="22527"/>
    <cellStyle name="개_02-포장-1_Boo2_도로수량양식_자전거도로포장수량 12 2" xfId="34961"/>
    <cellStyle name="개_02-포장-1_Boo2_도로수량양식_자전거도로포장수량 13" xfId="23577"/>
    <cellStyle name="개_02-포장-1_Boo2_도로수량양식_자전거도로포장수량 13 2" xfId="36008"/>
    <cellStyle name="개_02-포장-1_Boo2_도로수량양식_자전거도로포장수량 14" xfId="19714"/>
    <cellStyle name="개_02-포장-1_Boo2_도로수량양식_자전거도로포장수량 14 2" xfId="32167"/>
    <cellStyle name="개_02-포장-1_Boo2_도로수량양식_자전거도로포장수량 15" xfId="20330"/>
    <cellStyle name="개_02-포장-1_Boo2_도로수량양식_자전거도로포장수량 15 2" xfId="32775"/>
    <cellStyle name="개_02-포장-1_Boo2_도로수량양식_자전거도로포장수량 16" xfId="19549"/>
    <cellStyle name="개_02-포장-1_Boo2_도로수량양식_자전거도로포장수량 16 2" xfId="32004"/>
    <cellStyle name="개_02-포장-1_Boo2_도로수량양식_자전거도로포장수량 17" xfId="19723"/>
    <cellStyle name="개_02-포장-1_Boo2_도로수량양식_자전거도로포장수량 17 2" xfId="32176"/>
    <cellStyle name="개_02-포장-1_Boo2_도로수량양식_자전거도로포장수량 18" xfId="23837"/>
    <cellStyle name="개_02-포장-1_Boo2_도로수량양식_자전거도로포장수량 18 2" xfId="36268"/>
    <cellStyle name="개_02-포장-1_Boo2_도로수량양식_자전거도로포장수량 19" xfId="24741"/>
    <cellStyle name="개_02-포장-1_Boo2_도로수량양식_자전거도로포장수량 19 2" xfId="37172"/>
    <cellStyle name="개_02-포장-1_Boo2_도로수량양식_자전거도로포장수량 2" xfId="13512"/>
    <cellStyle name="개_02-포장-1_Boo2_도로수량양식_자전거도로포장수량 2 2" xfId="26380"/>
    <cellStyle name="개_02-포장-1_Boo2_도로수량양식_자전거도로포장수량 20" xfId="24948"/>
    <cellStyle name="개_02-포장-1_Boo2_도로수량양식_자전거도로포장수량 20 2" xfId="37379"/>
    <cellStyle name="개_02-포장-1_Boo2_도로수량양식_자전거도로포장수량 21" xfId="25039"/>
    <cellStyle name="개_02-포장-1_Boo2_도로수량양식_자전거도로포장수량 21 2" xfId="37470"/>
    <cellStyle name="개_02-포장-1_Boo2_도로수량양식_자전거도로포장수량 3" xfId="16875"/>
    <cellStyle name="개_02-포장-1_Boo2_도로수량양식_자전거도로포장수량 3 2" xfId="29650"/>
    <cellStyle name="개_02-포장-1_Boo2_도로수량양식_자전거도로포장수량 4" xfId="15882"/>
    <cellStyle name="개_02-포장-1_Boo2_도로수량양식_자전거도로포장수량 4 2" xfId="28680"/>
    <cellStyle name="개_02-포장-1_Boo2_도로수량양식_자전거도로포장수량 5" xfId="16956"/>
    <cellStyle name="개_02-포장-1_Boo2_도로수량양식_자전거도로포장수량 5 2" xfId="29731"/>
    <cellStyle name="개_02-포장-1_Boo2_도로수량양식_자전거도로포장수량 6" xfId="17666"/>
    <cellStyle name="개_02-포장-1_Boo2_도로수량양식_자전거도로포장수량 6 2" xfId="30383"/>
    <cellStyle name="개_02-포장-1_Boo2_도로수량양식_자전거도로포장수량 7" xfId="17492"/>
    <cellStyle name="개_02-포장-1_Boo2_도로수량양식_자전거도로포장수량 7 2" xfId="30214"/>
    <cellStyle name="개_02-포장-1_Boo2_도로수량양식_자전거도로포장수량 8" xfId="16178"/>
    <cellStyle name="개_02-포장-1_Boo2_도로수량양식_자전거도로포장수량 8 2" xfId="28955"/>
    <cellStyle name="개_02-포장-1_Boo2_도로수량양식_자전거도로포장수량 9" xfId="18096"/>
    <cellStyle name="개_02-포장-1_Boo2_도로수량양식_자전거도로포장수량 9 2" xfId="30807"/>
    <cellStyle name="개_02-포장-1_Boo2_수량산출" xfId="2720"/>
    <cellStyle name="개_02-포장-1_Boo2_수량산출 10" xfId="14774"/>
    <cellStyle name="개_02-포장-1_Boo2_수량산출 10 2" xfId="27599"/>
    <cellStyle name="개_02-포장-1_Boo2_수량산출 11" xfId="19413"/>
    <cellStyle name="개_02-포장-1_Boo2_수량산출 12" xfId="22526"/>
    <cellStyle name="개_02-포장-1_Boo2_수량산출 12 2" xfId="34960"/>
    <cellStyle name="개_02-포장-1_Boo2_수량산출 13" xfId="21644"/>
    <cellStyle name="개_02-포장-1_Boo2_수량산출 13 2" xfId="34081"/>
    <cellStyle name="개_02-포장-1_Boo2_수량산출 14" xfId="19569"/>
    <cellStyle name="개_02-포장-1_Boo2_수량산출 14 2" xfId="32024"/>
    <cellStyle name="개_02-포장-1_Boo2_수량산출 15" xfId="20914"/>
    <cellStyle name="개_02-포장-1_Boo2_수량산출 15 2" xfId="33351"/>
    <cellStyle name="개_02-포장-1_Boo2_수량산출 16" xfId="21837"/>
    <cellStyle name="개_02-포장-1_Boo2_수량산출 16 2" xfId="34274"/>
    <cellStyle name="개_02-포장-1_Boo2_수량산출 17" xfId="23047"/>
    <cellStyle name="개_02-포장-1_Boo2_수량산출 17 2" xfId="35480"/>
    <cellStyle name="개_02-포장-1_Boo2_수량산출 18" xfId="24793"/>
    <cellStyle name="개_02-포장-1_Boo2_수량산출 18 2" xfId="37224"/>
    <cellStyle name="개_02-포장-1_Boo2_수량산출 19" xfId="24205"/>
    <cellStyle name="개_02-포장-1_Boo2_수량산출 19 2" xfId="36636"/>
    <cellStyle name="개_02-포장-1_Boo2_수량산출 2" xfId="13513"/>
    <cellStyle name="개_02-포장-1_Boo2_수량산출 2 2" xfId="26381"/>
    <cellStyle name="개_02-포장-1_Boo2_수량산출 20" xfId="23807"/>
    <cellStyle name="개_02-포장-1_Boo2_수량산출 20 2" xfId="36238"/>
    <cellStyle name="개_02-포장-1_Boo2_수량산출 21" xfId="19282"/>
    <cellStyle name="개_02-포장-1_Boo2_수량산출 21 2" xfId="31935"/>
    <cellStyle name="개_02-포장-1_Boo2_수량산출 3" xfId="16874"/>
    <cellStyle name="개_02-포장-1_Boo2_수량산출 3 2" xfId="29649"/>
    <cellStyle name="개_02-포장-1_Boo2_수량산출 4" xfId="13750"/>
    <cellStyle name="개_02-포장-1_Boo2_수량산출 4 2" xfId="26611"/>
    <cellStyle name="개_02-포장-1_Boo2_수량산출 5" xfId="13165"/>
    <cellStyle name="개_02-포장-1_Boo2_수량산출 5 2" xfId="26033"/>
    <cellStyle name="개_02-포장-1_Boo2_수량산출 6" xfId="13194"/>
    <cellStyle name="개_02-포장-1_Boo2_수량산출 6 2" xfId="26062"/>
    <cellStyle name="개_02-포장-1_Boo2_수량산출 7" xfId="13820"/>
    <cellStyle name="개_02-포장-1_Boo2_수량산출 7 2" xfId="26679"/>
    <cellStyle name="개_02-포장-1_Boo2_수량산출 8" xfId="15103"/>
    <cellStyle name="개_02-포장-1_Boo2_수량산출 8 2" xfId="27922"/>
    <cellStyle name="개_02-포장-1_Boo2_수량산출 9" xfId="17973"/>
    <cellStyle name="개_02-포장-1_Boo2_수량산출 9 2" xfId="30685"/>
    <cellStyle name="개_02-포장-1_Boo2_수량산출_자전거도로구조물공수량" xfId="2721"/>
    <cellStyle name="개_02-포장-1_Boo2_수량산출_자전거도로구조물공수량 10" xfId="15678"/>
    <cellStyle name="개_02-포장-1_Boo2_수량산출_자전거도로구조물공수량 10 2" xfId="28478"/>
    <cellStyle name="개_02-포장-1_Boo2_수량산출_자전거도로구조물공수량 11" xfId="19414"/>
    <cellStyle name="개_02-포장-1_Boo2_수량산출_자전거도로구조물공수량 12" xfId="22525"/>
    <cellStyle name="개_02-포장-1_Boo2_수량산출_자전거도로구조물공수량 12 2" xfId="34959"/>
    <cellStyle name="개_02-포장-1_Boo2_수량산출_자전거도로구조물공수량 13" xfId="21645"/>
    <cellStyle name="개_02-포장-1_Boo2_수량산출_자전거도로구조물공수량 13 2" xfId="34082"/>
    <cellStyle name="개_02-포장-1_Boo2_수량산출_자전거도로구조물공수량 14" xfId="23953"/>
    <cellStyle name="개_02-포장-1_Boo2_수량산출_자전거도로구조물공수량 14 2" xfId="36384"/>
    <cellStyle name="개_02-포장-1_Boo2_수량산출_자전거도로구조물공수량 15" xfId="24264"/>
    <cellStyle name="개_02-포장-1_Boo2_수량산출_자전거도로구조물공수량 15 2" xfId="36695"/>
    <cellStyle name="개_02-포장-1_Boo2_수량산출_자전거도로구조물공수량 16" xfId="18612"/>
    <cellStyle name="개_02-포장-1_Boo2_수량산출_자전거도로구조물공수량 16 2" xfId="31317"/>
    <cellStyle name="개_02-포장-1_Boo2_수량산출_자전거도로구조물공수량 17" xfId="24611"/>
    <cellStyle name="개_02-포장-1_Boo2_수량산출_자전거도로구조물공수량 17 2" xfId="37042"/>
    <cellStyle name="개_02-포장-1_Boo2_수량산출_자전거도로구조물공수량 18" xfId="24792"/>
    <cellStyle name="개_02-포장-1_Boo2_수량산출_자전거도로구조물공수량 18 2" xfId="37223"/>
    <cellStyle name="개_02-포장-1_Boo2_수량산출_자전거도로구조물공수량 19" xfId="24206"/>
    <cellStyle name="개_02-포장-1_Boo2_수량산출_자전거도로구조물공수량 19 2" xfId="36637"/>
    <cellStyle name="개_02-포장-1_Boo2_수량산출_자전거도로구조물공수량 2" xfId="13514"/>
    <cellStyle name="개_02-포장-1_Boo2_수량산출_자전거도로구조물공수량 2 2" xfId="26382"/>
    <cellStyle name="개_02-포장-1_Boo2_수량산출_자전거도로구조물공수량 20" xfId="19060"/>
    <cellStyle name="개_02-포장-1_Boo2_수량산출_자전거도로구조물공수량 20 2" xfId="31765"/>
    <cellStyle name="개_02-포장-1_Boo2_수량산출_자전거도로구조물공수량 21" xfId="21839"/>
    <cellStyle name="개_02-포장-1_Boo2_수량산출_자전거도로구조물공수량 21 2" xfId="34276"/>
    <cellStyle name="개_02-포장-1_Boo2_수량산출_자전거도로구조물공수량 3" xfId="16873"/>
    <cellStyle name="개_02-포장-1_Boo2_수량산출_자전거도로구조물공수량 3 2" xfId="29648"/>
    <cellStyle name="개_02-포장-1_Boo2_수량산출_자전거도로구조물공수량 4" xfId="17365"/>
    <cellStyle name="개_02-포장-1_Boo2_수량산출_자전거도로구조물공수량 4 2" xfId="30094"/>
    <cellStyle name="개_02-포장-1_Boo2_수량산출_자전거도로구조물공수량 5" xfId="15551"/>
    <cellStyle name="개_02-포장-1_Boo2_수량산출_자전거도로구조물공수량 5 2" xfId="28360"/>
    <cellStyle name="개_02-포장-1_Boo2_수량산출_자전거도로구조물공수량 6" xfId="13342"/>
    <cellStyle name="개_02-포장-1_Boo2_수량산출_자전거도로구조물공수량 6 2" xfId="26210"/>
    <cellStyle name="개_02-포장-1_Boo2_수량산출_자전거도로구조물공수량 7" xfId="17493"/>
    <cellStyle name="개_02-포장-1_Boo2_수량산출_자전거도로구조물공수량 7 2" xfId="30215"/>
    <cellStyle name="개_02-포장-1_Boo2_수량산출_자전거도로구조물공수량 8" xfId="15712"/>
    <cellStyle name="개_02-포장-1_Boo2_수량산출_자전거도로구조물공수량 8 2" xfId="28512"/>
    <cellStyle name="개_02-포장-1_Boo2_수량산출_자전거도로구조물공수량 9" xfId="17974"/>
    <cellStyle name="개_02-포장-1_Boo2_수량산출_자전거도로구조물공수량 9 2" xfId="30686"/>
    <cellStyle name="개_02-포장-1_Boo2_수량산출_자전거도로포장수량" xfId="2722"/>
    <cellStyle name="개_02-포장-1_Boo2_수량산출_자전거도로포장수량 10" xfId="12710"/>
    <cellStyle name="개_02-포장-1_Boo2_수량산출_자전거도로포장수량 10 2" xfId="25588"/>
    <cellStyle name="개_02-포장-1_Boo2_수량산출_자전거도로포장수량 11" xfId="19415"/>
    <cellStyle name="개_02-포장-1_Boo2_수량산출_자전거도로포장수량 12" xfId="22524"/>
    <cellStyle name="개_02-포장-1_Boo2_수량산출_자전거도로포장수량 12 2" xfId="34958"/>
    <cellStyle name="개_02-포장-1_Boo2_수량산출_자전거도로포장수량 13" xfId="21646"/>
    <cellStyle name="개_02-포장-1_Boo2_수량산출_자전거도로포장수량 13 2" xfId="34083"/>
    <cellStyle name="개_02-포장-1_Boo2_수량산출_자전거도로포장수량 14" xfId="23952"/>
    <cellStyle name="개_02-포장-1_Boo2_수량산출_자전거도로포장수량 14 2" xfId="36383"/>
    <cellStyle name="개_02-포장-1_Boo2_수량산출_자전거도로포장수량 15" xfId="21936"/>
    <cellStyle name="개_02-포장-1_Boo2_수량산출_자전거도로포장수량 15 2" xfId="34373"/>
    <cellStyle name="개_02-포장-1_Boo2_수량산출_자전거도로포장수량 16" xfId="22098"/>
    <cellStyle name="개_02-포장-1_Boo2_수량산출_자전거도로포장수량 16 2" xfId="34534"/>
    <cellStyle name="개_02-포장-1_Boo2_수량산출_자전거도로포장수량 17" xfId="24610"/>
    <cellStyle name="개_02-포장-1_Boo2_수량산출_자전거도로포장수량 17 2" xfId="37041"/>
    <cellStyle name="개_02-포장-1_Boo2_수량산출_자전거도로포장수량 18" xfId="19819"/>
    <cellStyle name="개_02-포장-1_Boo2_수량산출_자전거도로포장수량 18 2" xfId="32269"/>
    <cellStyle name="개_02-포장-1_Boo2_수량산출_자전거도로포장수량 19" xfId="23776"/>
    <cellStyle name="개_02-포장-1_Boo2_수량산출_자전거도로포장수량 19 2" xfId="36207"/>
    <cellStyle name="개_02-포장-1_Boo2_수량산출_자전거도로포장수량 2" xfId="13515"/>
    <cellStyle name="개_02-포장-1_Boo2_수량산출_자전거도로포장수량 2 2" xfId="26383"/>
    <cellStyle name="개_02-포장-1_Boo2_수량산출_자전거도로포장수량 20" xfId="18879"/>
    <cellStyle name="개_02-포장-1_Boo2_수량산출_자전거도로포장수량 20 2" xfId="31584"/>
    <cellStyle name="개_02-포장-1_Boo2_수량산출_자전거도로포장수량 21" xfId="19168"/>
    <cellStyle name="개_02-포장-1_Boo2_수량산출_자전거도로포장수량 21 2" xfId="31823"/>
    <cellStyle name="개_02-포장-1_Boo2_수량산출_자전거도로포장수량 3" xfId="16872"/>
    <cellStyle name="개_02-포장-1_Boo2_수량산출_자전거도로포장수량 3 2" xfId="29647"/>
    <cellStyle name="개_02-포장-1_Boo2_수량산출_자전거도로포장수량 4" xfId="13749"/>
    <cellStyle name="개_02-포장-1_Boo2_수량산출_자전거도로포장수량 4 2" xfId="26610"/>
    <cellStyle name="개_02-포장-1_Boo2_수량산출_자전거도로포장수량 5" xfId="15552"/>
    <cellStyle name="개_02-포장-1_Boo2_수량산출_자전거도로포장수량 5 2" xfId="28361"/>
    <cellStyle name="개_02-포장-1_Boo2_수량산출_자전거도로포장수량 6" xfId="13193"/>
    <cellStyle name="개_02-포장-1_Boo2_수량산출_자전거도로포장수량 6 2" xfId="26061"/>
    <cellStyle name="개_02-포장-1_Boo2_수량산출_자전거도로포장수량 7" xfId="15408"/>
    <cellStyle name="개_02-포장-1_Boo2_수량산출_자전거도로포장수량 7 2" xfId="28222"/>
    <cellStyle name="개_02-포장-1_Boo2_수량산출_자전거도로포장수량 8" xfId="15713"/>
    <cellStyle name="개_02-포장-1_Boo2_수량산출_자전거도로포장수량 8 2" xfId="28513"/>
    <cellStyle name="개_02-포장-1_Boo2_수량산출_자전거도로포장수량 9" xfId="17975"/>
    <cellStyle name="개_02-포장-1_Boo2_수량산출_자전거도로포장수량 9 2" xfId="30687"/>
    <cellStyle name="개_02-포장-1_Boo2_인월중군소하천" xfId="2723"/>
    <cellStyle name="개_02-포장-1_Boo2_인월중군소하천 10" xfId="15611"/>
    <cellStyle name="개_02-포장-1_Boo2_인월중군소하천 10 2" xfId="28420"/>
    <cellStyle name="개_02-포장-1_Boo2_인월중군소하천 11" xfId="19416"/>
    <cellStyle name="개_02-포장-1_Boo2_인월중군소하천 12" xfId="23323"/>
    <cellStyle name="개_02-포장-1_Boo2_인월중군소하천 12 2" xfId="35755"/>
    <cellStyle name="개_02-포장-1_Boo2_인월중군소하천 13" xfId="21647"/>
    <cellStyle name="개_02-포장-1_Boo2_인월중군소하천 13 2" xfId="34084"/>
    <cellStyle name="개_02-포장-1_Boo2_인월중군소하천 14" xfId="23951"/>
    <cellStyle name="개_02-포장-1_Boo2_인월중군소하천 14 2" xfId="36382"/>
    <cellStyle name="개_02-포장-1_Boo2_인월중군소하천 15" xfId="18442"/>
    <cellStyle name="개_02-포장-1_Boo2_인월중군소하천 15 2" xfId="31147"/>
    <cellStyle name="개_02-포장-1_Boo2_인월중군소하천 16" xfId="23650"/>
    <cellStyle name="개_02-포장-1_Boo2_인월중군소하천 16 2" xfId="36081"/>
    <cellStyle name="개_02-포장-1_Boo2_인월중군소하천 17" xfId="24609"/>
    <cellStyle name="개_02-포장-1_Boo2_인월중군소하천 17 2" xfId="37040"/>
    <cellStyle name="개_02-포장-1_Boo2_인월중군소하천 18" xfId="20800"/>
    <cellStyle name="개_02-포장-1_Boo2_인월중군소하천 18 2" xfId="33238"/>
    <cellStyle name="개_02-포장-1_Boo2_인월중군소하천 19" xfId="22017"/>
    <cellStyle name="개_02-포장-1_Boo2_인월중군소하천 19 2" xfId="34454"/>
    <cellStyle name="개_02-포장-1_Boo2_인월중군소하천 2" xfId="13516"/>
    <cellStyle name="개_02-포장-1_Boo2_인월중군소하천 2 2" xfId="26384"/>
    <cellStyle name="개_02-포장-1_Boo2_인월중군소하천 20" xfId="20654"/>
    <cellStyle name="개_02-포장-1_Boo2_인월중군소하천 20 2" xfId="33098"/>
    <cellStyle name="개_02-포장-1_Boo2_인월중군소하천 21" xfId="21769"/>
    <cellStyle name="개_02-포장-1_Boo2_인월중군소하천 21 2" xfId="34206"/>
    <cellStyle name="개_02-포장-1_Boo2_인월중군소하천 3" xfId="16871"/>
    <cellStyle name="개_02-포장-1_Boo2_인월중군소하천 3 2" xfId="29646"/>
    <cellStyle name="개_02-포장-1_Boo2_인월중군소하천 4" xfId="13977"/>
    <cellStyle name="개_02-포장-1_Boo2_인월중군소하천 4 2" xfId="26834"/>
    <cellStyle name="개_02-포장-1_Boo2_인월중군소하천 5" xfId="15553"/>
    <cellStyle name="개_02-포장-1_Boo2_인월중군소하천 5 2" xfId="28362"/>
    <cellStyle name="개_02-포장-1_Boo2_인월중군소하천 6" xfId="15950"/>
    <cellStyle name="개_02-포장-1_Boo2_인월중군소하천 6 2" xfId="28748"/>
    <cellStyle name="개_02-포장-1_Boo2_인월중군소하천 7" xfId="13765"/>
    <cellStyle name="개_02-포장-1_Boo2_인월중군소하천 7 2" xfId="26626"/>
    <cellStyle name="개_02-포장-1_Boo2_인월중군소하천 8" xfId="17015"/>
    <cellStyle name="개_02-포장-1_Boo2_인월중군소하천 8 2" xfId="29790"/>
    <cellStyle name="개_02-포장-1_Boo2_인월중군소하천 9" xfId="14344"/>
    <cellStyle name="개_02-포장-1_Boo2_인월중군소하천 9 2" xfId="27177"/>
    <cellStyle name="개_02-포장-1_Boo2_인월중군소하천_자전거도로구조물공수량" xfId="2724"/>
    <cellStyle name="개_02-포장-1_Boo2_인월중군소하천_자전거도로구조물공수량 10" xfId="18168"/>
    <cellStyle name="개_02-포장-1_Boo2_인월중군소하천_자전거도로구조물공수량 10 2" xfId="30875"/>
    <cellStyle name="개_02-포장-1_Boo2_인월중군소하천_자전거도로구조물공수량 11" xfId="19417"/>
    <cellStyle name="개_02-포장-1_Boo2_인월중군소하천_자전거도로구조물공수량 12" xfId="22523"/>
    <cellStyle name="개_02-포장-1_Boo2_인월중군소하천_자전거도로구조물공수량 12 2" xfId="34957"/>
    <cellStyle name="개_02-포장-1_Boo2_인월중군소하천_자전거도로구조물공수량 13" xfId="23576"/>
    <cellStyle name="개_02-포장-1_Boo2_인월중군소하천_자전거도로구조물공수량 13 2" xfId="36007"/>
    <cellStyle name="개_02-포장-1_Boo2_인월중군소하천_자전거도로구조물공수량 14" xfId="18728"/>
    <cellStyle name="개_02-포장-1_Boo2_인월중군소하천_자전거도로구조물공수량 14 2" xfId="31433"/>
    <cellStyle name="개_02-포장-1_Boo2_인월중군소하천_자전거도로구조물공수량 15" xfId="24263"/>
    <cellStyle name="개_02-포장-1_Boo2_인월중군소하천_자전거도로구조물공수량 15 2" xfId="36694"/>
    <cellStyle name="개_02-포장-1_Boo2_인월중군소하천_자전거도로구조물공수량 16" xfId="20959"/>
    <cellStyle name="개_02-포장-1_Boo2_인월중군소하천_자전거도로구조물공수량 16 2" xfId="33396"/>
    <cellStyle name="개_02-포장-1_Boo2_인월중군소하천_자전거도로구조물공수량 17" xfId="20285"/>
    <cellStyle name="개_02-포장-1_Boo2_인월중군소하천_자전거도로구조물공수량 17 2" xfId="32730"/>
    <cellStyle name="개_02-포장-1_Boo2_인월중군소하천_자전거도로구조물공수량 18" xfId="21807"/>
    <cellStyle name="개_02-포장-1_Boo2_인월중군소하천_자전거도로구조물공수량 18 2" xfId="34244"/>
    <cellStyle name="개_02-포장-1_Boo2_인월중군소하천_자전거도로구조물공수량 19" xfId="22201"/>
    <cellStyle name="개_02-포장-1_Boo2_인월중군소하천_자전거도로구조물공수량 19 2" xfId="34636"/>
    <cellStyle name="개_02-포장-1_Boo2_인월중군소하천_자전거도로구조물공수량 2" xfId="13517"/>
    <cellStyle name="개_02-포장-1_Boo2_인월중군소하천_자전거도로구조물공수량 2 2" xfId="26385"/>
    <cellStyle name="개_02-포장-1_Boo2_인월중군소하천_자전거도로구조물공수량 20" xfId="24947"/>
    <cellStyle name="개_02-포장-1_Boo2_인월중군소하천_자전거도로구조물공수량 20 2" xfId="37378"/>
    <cellStyle name="개_02-포장-1_Boo2_인월중군소하천_자전거도로구조물공수량 21" xfId="25038"/>
    <cellStyle name="개_02-포장-1_Boo2_인월중군소하천_자전거도로구조물공수량 21 2" xfId="37469"/>
    <cellStyle name="개_02-포장-1_Boo2_인월중군소하천_자전거도로구조물공수량 3" xfId="16870"/>
    <cellStyle name="개_02-포장-1_Boo2_인월중군소하천_자전거도로구조물공수량 3 2" xfId="29645"/>
    <cellStyle name="개_02-포장-1_Boo2_인월중군소하천_자전거도로구조물공수량 4" xfId="17364"/>
    <cellStyle name="개_02-포장-1_Boo2_인월중군소하천_자전거도로구조물공수량 4 2" xfId="30093"/>
    <cellStyle name="개_02-포장-1_Boo2_인월중군소하천_자전거도로구조물공수량 5" xfId="16957"/>
    <cellStyle name="개_02-포장-1_Boo2_인월중군소하천_자전거도로구조물공수량 5 2" xfId="29732"/>
    <cellStyle name="개_02-포장-1_Boo2_인월중군소하천_자전거도로구조물공수량 6" xfId="17665"/>
    <cellStyle name="개_02-포장-1_Boo2_인월중군소하천_자전거도로구조물공수량 6 2" xfId="30382"/>
    <cellStyle name="개_02-포장-1_Boo2_인월중군소하천_자전거도로구조물공수량 7" xfId="13764"/>
    <cellStyle name="개_02-포장-1_Boo2_인월중군소하천_자전거도로구조물공수량 7 2" xfId="26625"/>
    <cellStyle name="개_02-포장-1_Boo2_인월중군소하천_자전거도로구조물공수량 8" xfId="15714"/>
    <cellStyle name="개_02-포장-1_Boo2_인월중군소하천_자전거도로구조물공수량 8 2" xfId="28514"/>
    <cellStyle name="개_02-포장-1_Boo2_인월중군소하천_자전거도로구조물공수량 9" xfId="16940"/>
    <cellStyle name="개_02-포장-1_Boo2_인월중군소하천_자전거도로구조물공수량 9 2" xfId="29715"/>
    <cellStyle name="개_02-포장-1_Boo2_인월중군소하천_자전거도로포장수량" xfId="2725"/>
    <cellStyle name="개_02-포장-1_Boo2_인월중군소하천_자전거도로포장수량 10" xfId="14775"/>
    <cellStyle name="개_02-포장-1_Boo2_인월중군소하천_자전거도로포장수량 10 2" xfId="27600"/>
    <cellStyle name="개_02-포장-1_Boo2_인월중군소하천_자전거도로포장수량 11" xfId="19418"/>
    <cellStyle name="개_02-포장-1_Boo2_인월중군소하천_자전거도로포장수량 12" xfId="22522"/>
    <cellStyle name="개_02-포장-1_Boo2_인월중군소하천_자전거도로포장수량 12 2" xfId="34956"/>
    <cellStyle name="개_02-포장-1_Boo2_인월중군소하천_자전거도로포장수량 13" xfId="21648"/>
    <cellStyle name="개_02-포장-1_Boo2_인월중군소하천_자전거도로포장수량 13 2" xfId="34085"/>
    <cellStyle name="개_02-포장-1_Boo2_인월중군소하천_자전거도로포장수량 14" xfId="20616"/>
    <cellStyle name="개_02-포장-1_Boo2_인월중군소하천_자전거도로포장수량 14 2" xfId="33060"/>
    <cellStyle name="개_02-포장-1_Boo2_인월중군소하천_자전거도로포장수량 15" xfId="24262"/>
    <cellStyle name="개_02-포장-1_Boo2_인월중군소하천_자전거도로포장수량 15 2" xfId="36693"/>
    <cellStyle name="개_02-포장-1_Boo2_인월중군소하천_자전거도로포장수량 16" xfId="23651"/>
    <cellStyle name="개_02-포장-1_Boo2_인월중군소하천_자전거도로포장수량 16 2" xfId="36082"/>
    <cellStyle name="개_02-포장-1_Boo2_인월중군소하천_자전거도로포장수량 17" xfId="18735"/>
    <cellStyle name="개_02-포장-1_Boo2_인월중군소하천_자전거도로포장수량 17 2" xfId="31440"/>
    <cellStyle name="개_02-포장-1_Boo2_인월중군소하천_자전거도로포장수량 18" xfId="19764"/>
    <cellStyle name="개_02-포장-1_Boo2_인월중군소하천_자전거도로포장수량 18 2" xfId="32217"/>
    <cellStyle name="개_02-포장-1_Boo2_인월중군소하천_자전거도로포장수량 19" xfId="22018"/>
    <cellStyle name="개_02-포장-1_Boo2_인월중군소하천_자전거도로포장수량 19 2" xfId="34455"/>
    <cellStyle name="개_02-포장-1_Boo2_인월중군소하천_자전거도로포장수량 2" xfId="13518"/>
    <cellStyle name="개_02-포장-1_Boo2_인월중군소하천_자전거도로포장수량 2 2" xfId="26386"/>
    <cellStyle name="개_02-포장-1_Boo2_인월중군소하천_자전거도로포장수량 20" xfId="23806"/>
    <cellStyle name="개_02-포장-1_Boo2_인월중군소하천_자전거도로포장수량 20 2" xfId="36237"/>
    <cellStyle name="개_02-포장-1_Boo2_인월중군소하천_자전거도로포장수량 21" xfId="19169"/>
    <cellStyle name="개_02-포장-1_Boo2_인월중군소하천_자전거도로포장수량 21 2" xfId="31824"/>
    <cellStyle name="개_02-포장-1_Boo2_인월중군소하천_자전거도로포장수량 3" xfId="16869"/>
    <cellStyle name="개_02-포장-1_Boo2_인월중군소하천_자전거도로포장수량 3 2" xfId="29644"/>
    <cellStyle name="개_02-포장-1_Boo2_인월중군소하천_자전거도로포장수량 4" xfId="17363"/>
    <cellStyle name="개_02-포장-1_Boo2_인월중군소하천_자전거도로포장수량 4 2" xfId="30092"/>
    <cellStyle name="개_02-포장-1_Boo2_인월중군소하천_자전거도로포장수량 5" xfId="14377"/>
    <cellStyle name="개_02-포장-1_Boo2_인월중군소하천_자전거도로포장수량 5 2" xfId="27210"/>
    <cellStyle name="개_02-포장-1_Boo2_인월중군소하천_자전거도로포장수량 6" xfId="13192"/>
    <cellStyle name="개_02-포장-1_Boo2_인월중군소하천_자전거도로포장수량 6 2" xfId="26060"/>
    <cellStyle name="개_02-포장-1_Boo2_인월중군소하천_자전거도로포장수량 7" xfId="13763"/>
    <cellStyle name="개_02-포장-1_Boo2_인월중군소하천_자전거도로포장수량 7 2" xfId="26624"/>
    <cellStyle name="개_02-포장-1_Boo2_인월중군소하천_자전거도로포장수량 8" xfId="17402"/>
    <cellStyle name="개_02-포장-1_Boo2_인월중군소하천_자전거도로포장수량 8 2" xfId="30130"/>
    <cellStyle name="개_02-포장-1_Boo2_인월중군소하천_자전거도로포장수량 9" xfId="13686"/>
    <cellStyle name="개_02-포장-1_Boo2_인월중군소하천_자전거도로포장수량 9 2" xfId="26551"/>
    <cellStyle name="개_02-포장-1_Boo2_자전거도로구조물공수량" xfId="2726"/>
    <cellStyle name="개_02-포장-1_Boo2_자전거도로구조물공수량 10" xfId="15679"/>
    <cellStyle name="개_02-포장-1_Boo2_자전거도로구조물공수량 10 2" xfId="28479"/>
    <cellStyle name="개_02-포장-1_Boo2_자전거도로구조물공수량 11" xfId="19419"/>
    <cellStyle name="개_02-포장-1_Boo2_자전거도로구조물공수량 12" xfId="22521"/>
    <cellStyle name="개_02-포장-1_Boo2_자전거도로구조물공수량 12 2" xfId="34955"/>
    <cellStyle name="개_02-포장-1_Boo2_자전거도로구조물공수량 13" xfId="21649"/>
    <cellStyle name="개_02-포장-1_Boo2_자전거도로구조물공수량 13 2" xfId="34086"/>
    <cellStyle name="개_02-포장-1_Boo2_자전거도로구조물공수량 14" xfId="18730"/>
    <cellStyle name="개_02-포장-1_Boo2_자전거도로구조물공수량 14 2" xfId="31435"/>
    <cellStyle name="개_02-포장-1_Boo2_자전거도로구조물공수량 15" xfId="24261"/>
    <cellStyle name="개_02-포장-1_Boo2_자전거도로구조물공수량 15 2" xfId="36692"/>
    <cellStyle name="개_02-포장-1_Boo2_자전거도로구조물공수량 16" xfId="21528"/>
    <cellStyle name="개_02-포장-1_Boo2_자전거도로구조물공수량 16 2" xfId="33965"/>
    <cellStyle name="개_02-포장-1_Boo2_자전거도로구조물공수량 17" xfId="22345"/>
    <cellStyle name="개_02-포장-1_Boo2_자전거도로구조물공수량 17 2" xfId="34779"/>
    <cellStyle name="개_02-포장-1_Boo2_자전거도로구조물공수량 18" xfId="24791"/>
    <cellStyle name="개_02-포장-1_Boo2_자전거도로구조물공수량 18 2" xfId="37222"/>
    <cellStyle name="개_02-포장-1_Boo2_자전거도로구조물공수량 19" xfId="19584"/>
    <cellStyle name="개_02-포장-1_Boo2_자전거도로구조물공수량 19 2" xfId="32039"/>
    <cellStyle name="개_02-포장-1_Boo2_자전거도로구조물공수량 2" xfId="13519"/>
    <cellStyle name="개_02-포장-1_Boo2_자전거도로구조물공수량 2 2" xfId="26387"/>
    <cellStyle name="개_02-포장-1_Boo2_자전거도로구조물공수량 20" xfId="24052"/>
    <cellStyle name="개_02-포장-1_Boo2_자전거도로구조물공수량 20 2" xfId="36483"/>
    <cellStyle name="개_02-포장-1_Boo2_자전거도로구조물공수량 21" xfId="18801"/>
    <cellStyle name="개_02-포장-1_Boo2_자전거도로구조물공수량 21 2" xfId="31506"/>
    <cellStyle name="개_02-포장-1_Boo2_자전거도로구조물공수량 3" xfId="16868"/>
    <cellStyle name="개_02-포장-1_Boo2_자전거도로구조물공수량 3 2" xfId="29643"/>
    <cellStyle name="개_02-포장-1_Boo2_자전거도로구조물공수량 4" xfId="17362"/>
    <cellStyle name="개_02-포장-1_Boo2_자전거도로구조물공수량 4 2" xfId="30091"/>
    <cellStyle name="개_02-포장-1_Boo2_자전거도로구조물공수량 5" xfId="14180"/>
    <cellStyle name="개_02-포장-1_Boo2_자전거도로구조물공수량 5 2" xfId="27028"/>
    <cellStyle name="개_02-포장-1_Boo2_자전거도로구조물공수량 6" xfId="13341"/>
    <cellStyle name="개_02-포장-1_Boo2_자전거도로구조물공수량 6 2" xfId="26209"/>
    <cellStyle name="개_02-포장-1_Boo2_자전거도로구조물공수량 7" xfId="15321"/>
    <cellStyle name="개_02-포장-1_Boo2_자전거도로구조물공수량 7 2" xfId="28138"/>
    <cellStyle name="개_02-포장-1_Boo2_자전거도로구조물공수량 8" xfId="17016"/>
    <cellStyle name="개_02-포장-1_Boo2_자전거도로구조물공수량 8 2" xfId="29791"/>
    <cellStyle name="개_02-포장-1_Boo2_자전거도로구조물공수량 9" xfId="12688"/>
    <cellStyle name="개_02-포장-1_Boo2_자전거도로구조물공수량 9 2" xfId="25567"/>
    <cellStyle name="개_02-포장-1_Boo2_자전거도로포장수량" xfId="2727"/>
    <cellStyle name="개_02-포장-1_Boo2_자전거도로포장수량 10" xfId="15204"/>
    <cellStyle name="개_02-포장-1_Boo2_자전거도로포장수량 10 2" xfId="28022"/>
    <cellStyle name="개_02-포장-1_Boo2_자전거도로포장수량 11" xfId="19420"/>
    <cellStyle name="개_02-포장-1_Boo2_자전거도로포장수량 12" xfId="22520"/>
    <cellStyle name="개_02-포장-1_Boo2_자전거도로포장수량 12 2" xfId="34954"/>
    <cellStyle name="개_02-포장-1_Boo2_자전거도로포장수량 13" xfId="21650"/>
    <cellStyle name="개_02-포장-1_Boo2_자전거도로포장수량 13 2" xfId="34087"/>
    <cellStyle name="개_02-포장-1_Boo2_자전거도로포장수량 14" xfId="20617"/>
    <cellStyle name="개_02-포장-1_Boo2_자전거도로포장수량 14 2" xfId="33061"/>
    <cellStyle name="개_02-포장-1_Boo2_자전거도로포장수량 15" xfId="19832"/>
    <cellStyle name="개_02-포장-1_Boo2_자전거도로포장수량 15 2" xfId="32282"/>
    <cellStyle name="개_02-포장-1_Boo2_자전거도로포장수량 16" xfId="23652"/>
    <cellStyle name="개_02-포장-1_Boo2_자전거도로포장수량 16 2" xfId="36083"/>
    <cellStyle name="개_02-포장-1_Boo2_자전거도로포장수량 17" xfId="18954"/>
    <cellStyle name="개_02-포장-1_Boo2_자전거도로포장수량 17 2" xfId="31659"/>
    <cellStyle name="개_02-포장-1_Boo2_자전거도로포장수량 18" xfId="19818"/>
    <cellStyle name="개_02-포장-1_Boo2_자전거도로포장수량 18 2" xfId="32268"/>
    <cellStyle name="개_02-포장-1_Boo2_자전거도로포장수량 19" xfId="20851"/>
    <cellStyle name="개_02-포장-1_Boo2_자전거도로포장수량 19 2" xfId="33288"/>
    <cellStyle name="개_02-포장-1_Boo2_자전거도로포장수량 2" xfId="13520"/>
    <cellStyle name="개_02-포장-1_Boo2_자전거도로포장수량 2 2" xfId="26388"/>
    <cellStyle name="개_02-포장-1_Boo2_자전거도로포장수량 20" xfId="20955"/>
    <cellStyle name="개_02-포장-1_Boo2_자전거도로포장수량 20 2" xfId="33392"/>
    <cellStyle name="개_02-포장-1_Boo2_자전거도로포장수량 21" xfId="19170"/>
    <cellStyle name="개_02-포장-1_Boo2_자전거도로포장수량 21 2" xfId="31825"/>
    <cellStyle name="개_02-포장-1_Boo2_자전거도로포장수량 3" xfId="13804"/>
    <cellStyle name="개_02-포장-1_Boo2_자전거도로포장수량 3 2" xfId="26663"/>
    <cellStyle name="개_02-포장-1_Boo2_자전거도로포장수량 4" xfId="16596"/>
    <cellStyle name="개_02-포장-1_Boo2_자전거도로포장수량 4 2" xfId="29372"/>
    <cellStyle name="개_02-포장-1_Boo2_자전거도로포장수량 5" xfId="15554"/>
    <cellStyle name="개_02-포장-1_Boo2_자전거도로포장수량 5 2" xfId="28363"/>
    <cellStyle name="개_02-포장-1_Boo2_자전거도로포장수량 6" xfId="13191"/>
    <cellStyle name="개_02-포장-1_Boo2_자전거도로포장수량 6 2" xfId="26059"/>
    <cellStyle name="개_02-포장-1_Boo2_자전거도로포장수량 7" xfId="15803"/>
    <cellStyle name="개_02-포장-1_Boo2_자전거도로포장수량 7 2" xfId="28602"/>
    <cellStyle name="개_02-포장-1_Boo2_자전거도로포장수량 8" xfId="17406"/>
    <cellStyle name="개_02-포장-1_Boo2_자전거도로포장수량 8 2" xfId="30134"/>
    <cellStyle name="개_02-포장-1_Boo2_자전거도로포장수량 9" xfId="15402"/>
    <cellStyle name="개_02-포장-1_Boo2_자전거도로포장수량 9 2" xfId="28216"/>
    <cellStyle name="개_02-포장-1_Book2" xfId="2728"/>
    <cellStyle name="개_02-포장-1_Book2 10" xfId="15680"/>
    <cellStyle name="개_02-포장-1_Book2 10 2" xfId="28480"/>
    <cellStyle name="개_02-포장-1_Book2 11" xfId="19421"/>
    <cellStyle name="개_02-포장-1_Book2 12" xfId="22519"/>
    <cellStyle name="개_02-포장-1_Book2 12 2" xfId="34953"/>
    <cellStyle name="개_02-포장-1_Book2 13" xfId="21651"/>
    <cellStyle name="개_02-포장-1_Book2 13 2" xfId="34088"/>
    <cellStyle name="개_02-포장-1_Book2 14" xfId="18732"/>
    <cellStyle name="개_02-포장-1_Book2 14 2" xfId="31437"/>
    <cellStyle name="개_02-포장-1_Book2 15" xfId="22545"/>
    <cellStyle name="개_02-포장-1_Book2 15 2" xfId="34979"/>
    <cellStyle name="개_02-포장-1_Book2 16" xfId="20711"/>
    <cellStyle name="개_02-포장-1_Book2 16 2" xfId="33154"/>
    <cellStyle name="개_02-포장-1_Book2 17" xfId="19888"/>
    <cellStyle name="개_02-포장-1_Book2 17 2" xfId="32338"/>
    <cellStyle name="개_02-포장-1_Book2 18" xfId="22978"/>
    <cellStyle name="개_02-포장-1_Book2 18 2" xfId="35411"/>
    <cellStyle name="개_02-포장-1_Book2 19" xfId="20863"/>
    <cellStyle name="개_02-포장-1_Book2 19 2" xfId="33300"/>
    <cellStyle name="개_02-포장-1_Book2 2" xfId="13521"/>
    <cellStyle name="개_02-포장-1_Book2 2 2" xfId="26389"/>
    <cellStyle name="개_02-포장-1_Book2 20" xfId="24053"/>
    <cellStyle name="개_02-포장-1_Book2 20 2" xfId="36484"/>
    <cellStyle name="개_02-포장-1_Book2 21" xfId="20789"/>
    <cellStyle name="개_02-포장-1_Book2 21 2" xfId="33228"/>
    <cellStyle name="개_02-포장-1_Book2 3" xfId="16867"/>
    <cellStyle name="개_02-포장-1_Book2 3 2" xfId="29642"/>
    <cellStyle name="개_02-포장-1_Book2 4" xfId="16595"/>
    <cellStyle name="개_02-포장-1_Book2 4 2" xfId="29371"/>
    <cellStyle name="개_02-포장-1_Book2 5" xfId="14378"/>
    <cellStyle name="개_02-포장-1_Book2 5 2" xfId="27211"/>
    <cellStyle name="개_02-포장-1_Book2 6" xfId="15949"/>
    <cellStyle name="개_02-포장-1_Book2 6 2" xfId="28747"/>
    <cellStyle name="개_02-포장-1_Book2 7" xfId="17548"/>
    <cellStyle name="개_02-포장-1_Book2 7 2" xfId="30269"/>
    <cellStyle name="개_02-포장-1_Book2 8" xfId="12704"/>
    <cellStyle name="개_02-포장-1_Book2 8 2" xfId="25582"/>
    <cellStyle name="개_02-포장-1_Book2 9" xfId="12715"/>
    <cellStyle name="개_02-포장-1_Book2 9 2" xfId="25592"/>
    <cellStyle name="개_02-포장-1_Book2_도로수량양식" xfId="2729"/>
    <cellStyle name="개_02-포장-1_Book2_도로수량양식 10" xfId="14776"/>
    <cellStyle name="개_02-포장-1_Book2_도로수량양식 10 2" xfId="27601"/>
    <cellStyle name="개_02-포장-1_Book2_도로수량양식 11" xfId="19422"/>
    <cellStyle name="개_02-포장-1_Book2_도로수량양식 12" xfId="22518"/>
    <cellStyle name="개_02-포장-1_Book2_도로수량양식 12 2" xfId="34952"/>
    <cellStyle name="개_02-포장-1_Book2_도로수량양식 13" xfId="21652"/>
    <cellStyle name="개_02-포장-1_Book2_도로수량양식 13 2" xfId="34089"/>
    <cellStyle name="개_02-포장-1_Book2_도로수량양식 14" xfId="22887"/>
    <cellStyle name="개_02-포장-1_Book2_도로수량양식 14 2" xfId="35321"/>
    <cellStyle name="개_02-포장-1_Book2_도로수량양식 15" xfId="19833"/>
    <cellStyle name="개_02-포장-1_Book2_도로수량양식 15 2" xfId="32283"/>
    <cellStyle name="개_02-포장-1_Book2_도로수량양식 16" xfId="19181"/>
    <cellStyle name="개_02-포장-1_Book2_도로수량양식 16 2" xfId="31836"/>
    <cellStyle name="개_02-포장-1_Book2_도로수량양식 17" xfId="22314"/>
    <cellStyle name="개_02-포장-1_Book2_도로수량양식 17 2" xfId="34748"/>
    <cellStyle name="개_02-포장-1_Book2_도로수량양식 18" xfId="19547"/>
    <cellStyle name="개_02-포장-1_Book2_도로수량양식 18 2" xfId="32002"/>
    <cellStyle name="개_02-포장-1_Book2_도로수량양식 19" xfId="18285"/>
    <cellStyle name="개_02-포장-1_Book2_도로수량양식 19 2" xfId="30991"/>
    <cellStyle name="개_02-포장-1_Book2_도로수량양식 2" xfId="13522"/>
    <cellStyle name="개_02-포장-1_Book2_도로수량양식 2 2" xfId="26390"/>
    <cellStyle name="개_02-포장-1_Book2_도로수량양식 20" xfId="23805"/>
    <cellStyle name="개_02-포장-1_Book2_도로수량양식 20 2" xfId="36236"/>
    <cellStyle name="개_02-포장-1_Book2_도로수량양식 21" xfId="20634"/>
    <cellStyle name="개_02-포장-1_Book2_도로수량양식 21 2" xfId="33078"/>
    <cellStyle name="개_02-포장-1_Book2_도로수량양식 3" xfId="13803"/>
    <cellStyle name="개_02-포장-1_Book2_도로수량양식 3 2" xfId="26662"/>
    <cellStyle name="개_02-포장-1_Book2_도로수량양식 4" xfId="16594"/>
    <cellStyle name="개_02-포장-1_Book2_도로수량양식 4 2" xfId="29370"/>
    <cellStyle name="개_02-포장-1_Book2_도로수량양식 5" xfId="15555"/>
    <cellStyle name="개_02-포장-1_Book2_도로수량양식 5 2" xfId="28364"/>
    <cellStyle name="개_02-포장-1_Book2_도로수량양식 6" xfId="13190"/>
    <cellStyle name="개_02-포장-1_Book2_도로수량양식 6 2" xfId="26058"/>
    <cellStyle name="개_02-포장-1_Book2_도로수량양식 7" xfId="13762"/>
    <cellStyle name="개_02-포장-1_Book2_도로수량양식 7 2" xfId="26623"/>
    <cellStyle name="개_02-포장-1_Book2_도로수량양식 8" xfId="13663"/>
    <cellStyle name="개_02-포장-1_Book2_도로수량양식 8 2" xfId="26531"/>
    <cellStyle name="개_02-포장-1_Book2_도로수량양식 9" xfId="12992"/>
    <cellStyle name="개_02-포장-1_Book2_도로수량양식 9 2" xfId="25867"/>
    <cellStyle name="개_02-포장-1_Book2_도로수량양식_자전거도로구조물공수량" xfId="2730"/>
    <cellStyle name="개_02-포장-1_Book2_도로수량양식_자전거도로구조물공수량 10" xfId="14098"/>
    <cellStyle name="개_02-포장-1_Book2_도로수량양식_자전거도로구조물공수량 10 2" xfId="26946"/>
    <cellStyle name="개_02-포장-1_Book2_도로수량양식_자전거도로구조물공수량 11" xfId="19423"/>
    <cellStyle name="개_02-포장-1_Book2_도로수량양식_자전거도로구조물공수량 12" xfId="22517"/>
    <cellStyle name="개_02-포장-1_Book2_도로수량양식_자전거도로구조물공수량 12 2" xfId="34951"/>
    <cellStyle name="개_02-포장-1_Book2_도로수량양식_자전거도로구조물공수량 13" xfId="21653"/>
    <cellStyle name="개_02-포장-1_Book2_도로수량양식_자전거도로구조물공수량 13 2" xfId="34090"/>
    <cellStyle name="개_02-포장-1_Book2_도로수량양식_자전거도로구조물공수량 14" xfId="21314"/>
    <cellStyle name="개_02-포장-1_Book2_도로수량양식_자전거도로구조물공수량 14 2" xfId="33751"/>
    <cellStyle name="개_02-포장-1_Book2_도로수량양식_자전거도로구조물공수량 15" xfId="22546"/>
    <cellStyle name="개_02-포장-1_Book2_도로수량양식_자전거도로구조물공수량 15 2" xfId="34980"/>
    <cellStyle name="개_02-포장-1_Book2_도로수량양식_자전거도로구조물공수량 16" xfId="23653"/>
    <cellStyle name="개_02-포장-1_Book2_도로수량양식_자전거도로구조물공수량 16 2" xfId="36084"/>
    <cellStyle name="개_02-포장-1_Book2_도로수량양식_자전거도로구조물공수량 17" xfId="19404"/>
    <cellStyle name="개_02-포장-1_Book2_도로수량양식_자전거도로구조물공수량 17 2" xfId="31959"/>
    <cellStyle name="개_02-포장-1_Book2_도로수량양식_자전거도로구조물공수량 18" xfId="21107"/>
    <cellStyle name="개_02-포장-1_Book2_도로수량양식_자전거도로구조물공수량 18 2" xfId="33544"/>
    <cellStyle name="개_02-포장-1_Book2_도로수량양식_자전거도로구조물공수량 19" xfId="20864"/>
    <cellStyle name="개_02-포장-1_Book2_도로수량양식_자전거도로구조물공수량 19 2" xfId="33301"/>
    <cellStyle name="개_02-포장-1_Book2_도로수량양식_자전거도로구조물공수량 2" xfId="13523"/>
    <cellStyle name="개_02-포장-1_Book2_도로수량양식_자전거도로구조물공수량 2 2" xfId="26391"/>
    <cellStyle name="개_02-포장-1_Book2_도로수량양식_자전거도로구조물공수량 20" xfId="23506"/>
    <cellStyle name="개_02-포장-1_Book2_도로수량양식_자전거도로구조물공수량 20 2" xfId="35937"/>
    <cellStyle name="개_02-포장-1_Book2_도로수량양식_자전거도로구조물공수량 21" xfId="22156"/>
    <cellStyle name="개_02-포장-1_Book2_도로수량양식_자전거도로구조물공수량 21 2" xfId="34592"/>
    <cellStyle name="개_02-포장-1_Book2_도로수량양식_자전거도로구조물공수량 3" xfId="16866"/>
    <cellStyle name="개_02-포장-1_Book2_도로수량양식_자전거도로구조물공수량 3 2" xfId="29641"/>
    <cellStyle name="개_02-포장-1_Book2_도로수량양식_자전거도로구조물공수량 4" xfId="16593"/>
    <cellStyle name="개_02-포장-1_Book2_도로수량양식_자전거도로구조물공수량 4 2" xfId="29369"/>
    <cellStyle name="개_02-포장-1_Book2_도로수량양식_자전거도로구조물공수량 5" xfId="15556"/>
    <cellStyle name="개_02-포장-1_Book2_도로수량양식_자전거도로구조물공수량 5 2" xfId="28365"/>
    <cellStyle name="개_02-포장-1_Book2_도로수량양식_자전거도로구조물공수량 6" xfId="13340"/>
    <cellStyle name="개_02-포장-1_Book2_도로수량양식_자전거도로구조물공수량 6 2" xfId="26208"/>
    <cellStyle name="개_02-포장-1_Book2_도로수량양식_자전거도로구조물공수량 7" xfId="12859"/>
    <cellStyle name="개_02-포장-1_Book2_도로수량양식_자전거도로구조물공수량 7 2" xfId="25735"/>
    <cellStyle name="개_02-포장-1_Book2_도로수량양식_자전거도로구조물공수량 8" xfId="13693"/>
    <cellStyle name="개_02-포장-1_Book2_도로수량양식_자전거도로구조물공수량 8 2" xfId="26557"/>
    <cellStyle name="개_02-포장-1_Book2_도로수량양식_자전거도로구조물공수량 9" xfId="15703"/>
    <cellStyle name="개_02-포장-1_Book2_도로수량양식_자전거도로구조물공수량 9 2" xfId="28503"/>
    <cellStyle name="개_02-포장-1_Book2_도로수량양식_자전거도로포장수량" xfId="2731"/>
    <cellStyle name="개_02-포장-1_Book2_도로수량양식_자전거도로포장수량 10" xfId="12711"/>
    <cellStyle name="개_02-포장-1_Book2_도로수량양식_자전거도로포장수량 10 2" xfId="25589"/>
    <cellStyle name="개_02-포장-1_Book2_도로수량양식_자전거도로포장수량 11" xfId="19424"/>
    <cellStyle name="개_02-포장-1_Book2_도로수량양식_자전거도로포장수량 12" xfId="22516"/>
    <cellStyle name="개_02-포장-1_Book2_도로수량양식_자전거도로포장수량 12 2" xfId="34950"/>
    <cellStyle name="개_02-포장-1_Book2_도로수량양식_자전거도로포장수량 13" xfId="21654"/>
    <cellStyle name="개_02-포장-1_Book2_도로수량양식_자전거도로포장수량 13 2" xfId="34091"/>
    <cellStyle name="개_02-포장-1_Book2_도로수량양식_자전거도로포장수량 14" xfId="21517"/>
    <cellStyle name="개_02-포장-1_Book2_도로수량양식_자전거도로포장수량 14 2" xfId="33954"/>
    <cellStyle name="개_02-포장-1_Book2_도로수량양식_자전거도로포장수량 15" xfId="19834"/>
    <cellStyle name="개_02-포장-1_Book2_도로수량양식_자전거도로포장수량 15 2" xfId="32284"/>
    <cellStyle name="개_02-포장-1_Book2_도로수량양식_자전거도로포장수량 16" xfId="18611"/>
    <cellStyle name="개_02-포장-1_Book2_도로수량양식_자전거도로포장수량 16 2" xfId="31316"/>
    <cellStyle name="개_02-포장-1_Book2_도로수량양식_자전거도로포장수량 17" xfId="22313"/>
    <cellStyle name="개_02-포장-1_Book2_도로수량양식_자전거도로포장수량 17 2" xfId="34747"/>
    <cellStyle name="개_02-포장-1_Book2_도로수량양식_자전거도로포장수량 18" xfId="20680"/>
    <cellStyle name="개_02-포장-1_Book2_도로수량양식_자전거도로포장수량 18 2" xfId="33124"/>
    <cellStyle name="개_02-포장-1_Book2_도로수량양식_자전거도로포장수량 19" xfId="20150"/>
    <cellStyle name="개_02-포장-1_Book2_도로수량양식_자전거도로포장수량 19 2" xfId="32596"/>
    <cellStyle name="개_02-포장-1_Book2_도로수량양식_자전거도로포장수량 2" xfId="13524"/>
    <cellStyle name="개_02-포장-1_Book2_도로수량양식_자전거도로포장수량 2 2" xfId="26392"/>
    <cellStyle name="개_02-포장-1_Book2_도로수량양식_자전거도로포장수량 20" xfId="18878"/>
    <cellStyle name="개_02-포장-1_Book2_도로수량양식_자전거도로포장수량 20 2" xfId="31583"/>
    <cellStyle name="개_02-포장-1_Book2_도로수량양식_자전거도로포장수량 21" xfId="19594"/>
    <cellStyle name="개_02-포장-1_Book2_도로수량양식_자전거도로포장수량 21 2" xfId="32049"/>
    <cellStyle name="개_02-포장-1_Book2_도로수량양식_자전거도로포장수량 3" xfId="16865"/>
    <cellStyle name="개_02-포장-1_Book2_도로수량양식_자전거도로포장수량 3 2" xfId="29640"/>
    <cellStyle name="개_02-포장-1_Book2_도로수량양식_자전거도로포장수량 4" xfId="16592"/>
    <cellStyle name="개_02-포장-1_Book2_도로수량양식_자전거도로포장수량 4 2" xfId="29368"/>
    <cellStyle name="개_02-포장-1_Book2_도로수량양식_자전거도로포장수량 5" xfId="14181"/>
    <cellStyle name="개_02-포장-1_Book2_도로수량양식_자전거도로포장수량 5 2" xfId="27029"/>
    <cellStyle name="개_02-포장-1_Book2_도로수량양식_자전거도로포장수량 6" xfId="13189"/>
    <cellStyle name="개_02-포장-1_Book2_도로수량양식_자전거도로포장수량 6 2" xfId="26057"/>
    <cellStyle name="개_02-포장-1_Book2_도로수량양식_자전거도로포장수량 7" xfId="13607"/>
    <cellStyle name="개_02-포장-1_Book2_도로수량양식_자전거도로포장수량 7 2" xfId="26475"/>
    <cellStyle name="개_02-포장-1_Book2_도로수량양식_자전거도로포장수량 8" xfId="13174"/>
    <cellStyle name="개_02-포장-1_Book2_도로수량양식_자전거도로포장수량 8 2" xfId="26042"/>
    <cellStyle name="개_02-포장-1_Book2_도로수량양식_자전거도로포장수량 9" xfId="15702"/>
    <cellStyle name="개_02-포장-1_Book2_도로수량양식_자전거도로포장수량 9 2" xfId="28502"/>
    <cellStyle name="개_02-포장-1_Book2_수량산출" xfId="2732"/>
    <cellStyle name="개_02-포장-1_Book2_수량산출 10" xfId="13833"/>
    <cellStyle name="개_02-포장-1_Book2_수량산출 10 2" xfId="26692"/>
    <cellStyle name="개_02-포장-1_Book2_수량산출 11" xfId="19425"/>
    <cellStyle name="개_02-포장-1_Book2_수량산출 12" xfId="22515"/>
    <cellStyle name="개_02-포장-1_Book2_수량산출 12 2" xfId="34949"/>
    <cellStyle name="개_02-포장-1_Book2_수량산출 13" xfId="21655"/>
    <cellStyle name="개_02-포장-1_Book2_수량산출 13 2" xfId="34092"/>
    <cellStyle name="개_02-포장-1_Book2_수량산출 14" xfId="21322"/>
    <cellStyle name="개_02-포장-1_Book2_수량산출 14 2" xfId="33759"/>
    <cellStyle name="개_02-포장-1_Book2_수량산출 15" xfId="22547"/>
    <cellStyle name="개_02-포장-1_Book2_수량산출 15 2" xfId="34981"/>
    <cellStyle name="개_02-포장-1_Book2_수량산출 16" xfId="18610"/>
    <cellStyle name="개_02-포장-1_Book2_수량산출 16 2" xfId="31315"/>
    <cellStyle name="개_02-포장-1_Book2_수량산출 17" xfId="22344"/>
    <cellStyle name="개_02-포장-1_Book2_수량산출 17 2" xfId="34778"/>
    <cellStyle name="개_02-포장-1_Book2_수량산출 18" xfId="20249"/>
    <cellStyle name="개_02-포장-1_Book2_수량산출 18 2" xfId="32694"/>
    <cellStyle name="개_02-포장-1_Book2_수량산출 19" xfId="24568"/>
    <cellStyle name="개_02-포장-1_Book2_수량산출 19 2" xfId="36999"/>
    <cellStyle name="개_02-포장-1_Book2_수량산출 2" xfId="13525"/>
    <cellStyle name="개_02-포장-1_Book2_수량산출 2 2" xfId="26393"/>
    <cellStyle name="개_02-포장-1_Book2_수량산출 20" xfId="23382"/>
    <cellStyle name="개_02-포장-1_Book2_수량산출 20 2" xfId="35814"/>
    <cellStyle name="개_02-포장-1_Book2_수량산출 21" xfId="23121"/>
    <cellStyle name="개_02-포장-1_Book2_수량산출 21 2" xfId="35554"/>
    <cellStyle name="개_02-포장-1_Book2_수량산출 3" xfId="13802"/>
    <cellStyle name="개_02-포장-1_Book2_수량산출 3 2" xfId="26661"/>
    <cellStyle name="개_02-포장-1_Book2_수량산출 4" xfId="16591"/>
    <cellStyle name="개_02-포장-1_Book2_수량산출 4 2" xfId="29367"/>
    <cellStyle name="개_02-포장-1_Book2_수량산출 5" xfId="15557"/>
    <cellStyle name="개_02-포장-1_Book2_수량산출 5 2" xfId="28366"/>
    <cellStyle name="개_02-포장-1_Book2_수량산출 6" xfId="15948"/>
    <cellStyle name="개_02-포장-1_Book2_수량산출 6 2" xfId="28746"/>
    <cellStyle name="개_02-포장-1_Book2_수량산출 7" xfId="12858"/>
    <cellStyle name="개_02-포장-1_Book2_수량산출 7 2" xfId="25734"/>
    <cellStyle name="개_02-포장-1_Book2_수량산출 8" xfId="15418"/>
    <cellStyle name="개_02-포장-1_Book2_수량산출 8 2" xfId="28232"/>
    <cellStyle name="개_02-포장-1_Book2_수량산출 9" xfId="16939"/>
    <cellStyle name="개_02-포장-1_Book2_수량산출 9 2" xfId="29714"/>
    <cellStyle name="개_02-포장-1_Book2_수량산출_자전거도로구조물공수량" xfId="2733"/>
    <cellStyle name="개_02-포장-1_Book2_수량산출_자전거도로구조물공수량 10" xfId="14777"/>
    <cellStyle name="개_02-포장-1_Book2_수량산출_자전거도로구조물공수량 10 2" xfId="27602"/>
    <cellStyle name="개_02-포장-1_Book2_수량산출_자전거도로구조물공수량 11" xfId="19426"/>
    <cellStyle name="개_02-포장-1_Book2_수량산출_자전거도로구조물공수량 12" xfId="22514"/>
    <cellStyle name="개_02-포장-1_Book2_수량산출_자전거도로구조물공수량 12 2" xfId="34948"/>
    <cellStyle name="개_02-포장-1_Book2_수량산출_자전거도로구조물공수량 13" xfId="21656"/>
    <cellStyle name="개_02-포장-1_Book2_수량산출_자전거도로구조물공수량 13 2" xfId="34093"/>
    <cellStyle name="개_02-포장-1_Book2_수량산출_자전거도로구조물공수량 14" xfId="21293"/>
    <cellStyle name="개_02-포장-1_Book2_수량산출_자전거도로구조물공수량 14 2" xfId="33730"/>
    <cellStyle name="개_02-포장-1_Book2_수량산출_자전거도로구조물공수량 15" xfId="19835"/>
    <cellStyle name="개_02-포장-1_Book2_수량산출_자전거도로구조물공수량 15 2" xfId="32285"/>
    <cellStyle name="개_02-포장-1_Book2_수량산출_자전거도로구조물공수량 16" xfId="23654"/>
    <cellStyle name="개_02-포장-1_Book2_수량산출_자전거도로구조물공수량 16 2" xfId="36085"/>
    <cellStyle name="개_02-포장-1_Book2_수량산출_자전거도로구조물공수량 17" xfId="22312"/>
    <cellStyle name="개_02-포장-1_Book2_수량산출_자전거도로구조물공수량 17 2" xfId="34746"/>
    <cellStyle name="개_02-포장-1_Book2_수량산출_자전거도로구조물공수량 18" xfId="19546"/>
    <cellStyle name="개_02-포장-1_Book2_수량산출_자전거도로구조물공수량 18 2" xfId="32001"/>
    <cellStyle name="개_02-포장-1_Book2_수량산출_자전거도로구조물공수량 19" xfId="20097"/>
    <cellStyle name="개_02-포장-1_Book2_수량산출_자전거도로구조물공수량 19 2" xfId="32543"/>
    <cellStyle name="개_02-포장-1_Book2_수량산출_자전거도로구조물공수량 2" xfId="13526"/>
    <cellStyle name="개_02-포장-1_Book2_수량산출_자전거도로구조물공수량 2 2" xfId="26394"/>
    <cellStyle name="개_02-포장-1_Book2_수량산출_자전거도로구조물공수량 20" xfId="23804"/>
    <cellStyle name="개_02-포장-1_Book2_수량산출_자전거도로구조물공수량 20 2" xfId="36235"/>
    <cellStyle name="개_02-포장-1_Book2_수량산출_자전거도로구조물공수량 21" xfId="18428"/>
    <cellStyle name="개_02-포장-1_Book2_수량산출_자전거도로구조물공수량 21 2" xfId="31133"/>
    <cellStyle name="개_02-포장-1_Book2_수량산출_자전거도로구조물공수량 3" xfId="16864"/>
    <cellStyle name="개_02-포장-1_Book2_수량산출_자전거도로구조물공수량 3 2" xfId="29639"/>
    <cellStyle name="개_02-포장-1_Book2_수량산출_자전거도로구조물공수량 4" xfId="14403"/>
    <cellStyle name="개_02-포장-1_Book2_수량산출_자전거도로구조물공수량 4 2" xfId="27236"/>
    <cellStyle name="개_02-포장-1_Book2_수량산출_자전거도로구조물공수량 5" xfId="15558"/>
    <cellStyle name="개_02-포장-1_Book2_수량산출_자전거도로구조물공수량 5 2" xfId="28367"/>
    <cellStyle name="개_02-포장-1_Book2_수량산출_자전거도로구조물공수량 6" xfId="13188"/>
    <cellStyle name="개_02-포장-1_Book2_수량산출_자전거도로구조물공수량 6 2" xfId="26056"/>
    <cellStyle name="개_02-포장-1_Book2_수량산출_자전거도로구조물공수량 7" xfId="13821"/>
    <cellStyle name="개_02-포장-1_Book2_수량산출_자전거도로구조물공수량 7 2" xfId="26680"/>
    <cellStyle name="개_02-포장-1_Book2_수량산출_자전거도로구조물공수량 8" xfId="17958"/>
    <cellStyle name="개_02-포장-1_Book2_수량산출_자전거도로구조물공수량 8 2" xfId="30670"/>
    <cellStyle name="개_02-포장-1_Book2_수량산출_자전거도로구조물공수량 9" xfId="17976"/>
    <cellStyle name="개_02-포장-1_Book2_수량산출_자전거도로구조물공수량 9 2" xfId="30688"/>
    <cellStyle name="개_02-포장-1_Book2_수량산출_자전거도로포장수량" xfId="2734"/>
    <cellStyle name="개_02-포장-1_Book2_수량산출_자전거도로포장수량 10" xfId="15135"/>
    <cellStyle name="개_02-포장-1_Book2_수량산출_자전거도로포장수량 10 2" xfId="27954"/>
    <cellStyle name="개_02-포장-1_Book2_수량산출_자전거도로포장수량 11" xfId="19427"/>
    <cellStyle name="개_02-포장-1_Book2_수량산출_자전거도로포장수량 12" xfId="22513"/>
    <cellStyle name="개_02-포장-1_Book2_수량산출_자전거도로포장수량 12 2" xfId="34947"/>
    <cellStyle name="개_02-포장-1_Book2_수량산출_자전거도로포장수량 13" xfId="21657"/>
    <cellStyle name="개_02-포장-1_Book2_수량산출_자전거도로포장수량 13 2" xfId="34094"/>
    <cellStyle name="개_02-포장-1_Book2_수량산출_자전거도로포장수량 14" xfId="23950"/>
    <cellStyle name="개_02-포장-1_Book2_수량산출_자전거도로포장수량 14 2" xfId="36381"/>
    <cellStyle name="개_02-포장-1_Book2_수량산출_자전거도로포장수량 15" xfId="22548"/>
    <cellStyle name="개_02-포장-1_Book2_수량산출_자전거도로포장수량 15 2" xfId="34982"/>
    <cellStyle name="개_02-포장-1_Book2_수량산출_자전거도로포장수량 16" xfId="23655"/>
    <cellStyle name="개_02-포장-1_Book2_수량산출_자전거도로포장수량 16 2" xfId="36086"/>
    <cellStyle name="개_02-포장-1_Book2_수량산출_자전거도로포장수량 17" xfId="24608"/>
    <cellStyle name="개_02-포장-1_Book2_수량산출_자전거도로포장수량 17 2" xfId="37039"/>
    <cellStyle name="개_02-포장-1_Book2_수량산출_자전거도로포장수량 18" xfId="18659"/>
    <cellStyle name="개_02-포장-1_Book2_수량산출_자전거도로포장수량 18 2" xfId="31364"/>
    <cellStyle name="개_02-포장-1_Book2_수량산출_자전거도로포장수량 19" xfId="19601"/>
    <cellStyle name="개_02-포장-1_Book2_수량산출_자전거도로포장수량 19 2" xfId="32056"/>
    <cellStyle name="개_02-포장-1_Book2_수량산출_자전거도로포장수량 2" xfId="13527"/>
    <cellStyle name="개_02-포장-1_Book2_수량산출_자전거도로포장수량 2 2" xfId="26395"/>
    <cellStyle name="개_02-포장-1_Book2_수량산출_자전거도로포장수량 20" xfId="23507"/>
    <cellStyle name="개_02-포장-1_Book2_수량산출_자전거도로포장수량 20 2" xfId="35938"/>
    <cellStyle name="개_02-포장-1_Book2_수량산출_자전거도로포장수량 21" xfId="23751"/>
    <cellStyle name="개_02-포장-1_Book2_수량산출_자전거도로포장수량 21 2" xfId="36182"/>
    <cellStyle name="개_02-포장-1_Book2_수량산출_자전거도로포장수량 3" xfId="16863"/>
    <cellStyle name="개_02-포장-1_Book2_수량산출_자전거도로포장수량 3 2" xfId="29638"/>
    <cellStyle name="개_02-포장-1_Book2_수량산출_자전거도로포장수량 4" xfId="15872"/>
    <cellStyle name="개_02-포장-1_Book2_수량산출_자전거도로포장수량 4 2" xfId="28670"/>
    <cellStyle name="개_02-포장-1_Book2_수량산출_자전거도로포장수량 5" xfId="14379"/>
    <cellStyle name="개_02-포장-1_Book2_수량산출_자전거도로포장수량 5 2" xfId="27212"/>
    <cellStyle name="개_02-포장-1_Book2_수량산출_자전거도로포장수량 6" xfId="13339"/>
    <cellStyle name="개_02-포장-1_Book2_수량산출_자전거도로포장수량 6 2" xfId="26207"/>
    <cellStyle name="개_02-포장-1_Book2_수량산출_자전거도로포장수량 7" xfId="15991"/>
    <cellStyle name="개_02-포장-1_Book2_수량산출_자전거도로포장수량 7 2" xfId="28789"/>
    <cellStyle name="개_02-포장-1_Book2_수량산출_자전거도로포장수량 8" xfId="15809"/>
    <cellStyle name="개_02-포장-1_Book2_수량산출_자전거도로포장수량 8 2" xfId="28608"/>
    <cellStyle name="개_02-포장-1_Book2_수량산출_자전거도로포장수량 9" xfId="17977"/>
    <cellStyle name="개_02-포장-1_Book2_수량산출_자전거도로포장수량 9 2" xfId="30689"/>
    <cellStyle name="개_02-포장-1_Book2_인월중군소하천" xfId="2735"/>
    <cellStyle name="개_02-포장-1_Book2_인월중군소하천 10" xfId="15205"/>
    <cellStyle name="개_02-포장-1_Book2_인월중군소하천 10 2" xfId="28023"/>
    <cellStyle name="개_02-포장-1_Book2_인월중군소하천 11" xfId="19428"/>
    <cellStyle name="개_02-포장-1_Book2_인월중군소하천 12" xfId="22512"/>
    <cellStyle name="개_02-포장-1_Book2_인월중군소하천 12 2" xfId="34946"/>
    <cellStyle name="개_02-포장-1_Book2_인월중군소하천 13" xfId="21658"/>
    <cellStyle name="개_02-포장-1_Book2_인월중군소하천 13 2" xfId="34095"/>
    <cellStyle name="개_02-포장-1_Book2_인월중군소하천 14" xfId="23949"/>
    <cellStyle name="개_02-포장-1_Book2_인월중군소하천 14 2" xfId="36380"/>
    <cellStyle name="개_02-포장-1_Book2_인월중군소하천 15" xfId="19836"/>
    <cellStyle name="개_02-포장-1_Book2_인월중군소하천 15 2" xfId="32286"/>
    <cellStyle name="개_02-포장-1_Book2_인월중군소하천 16" xfId="22097"/>
    <cellStyle name="개_02-포장-1_Book2_인월중군소하천 16 2" xfId="34533"/>
    <cellStyle name="개_02-포장-1_Book2_인월중군소하천 17" xfId="24607"/>
    <cellStyle name="개_02-포장-1_Book2_인월중군소하천 17 2" xfId="37038"/>
    <cellStyle name="개_02-포장-1_Book2_인월중군소하천 18" xfId="20679"/>
    <cellStyle name="개_02-포장-1_Book2_인월중군소하천 18 2" xfId="33123"/>
    <cellStyle name="개_02-포장-1_Book2_인월중군소하천 19" xfId="21085"/>
    <cellStyle name="개_02-포장-1_Book2_인월중군소하천 19 2" xfId="33522"/>
    <cellStyle name="개_02-포장-1_Book2_인월중군소하천 2" xfId="13528"/>
    <cellStyle name="개_02-포장-1_Book2_인월중군소하천 2 2" xfId="26396"/>
    <cellStyle name="개_02-포장-1_Book2_인월중군소하천 20" xfId="24478"/>
    <cellStyle name="개_02-포장-1_Book2_인월중군소하천 20 2" xfId="36909"/>
    <cellStyle name="개_02-포장-1_Book2_인월중군소하천 21" xfId="20923"/>
    <cellStyle name="개_02-포장-1_Book2_인월중군소하천 21 2" xfId="33360"/>
    <cellStyle name="개_02-포장-1_Book2_인월중군소하천 3" xfId="16862"/>
    <cellStyle name="개_02-포장-1_Book2_인월중군소하천 3 2" xfId="29637"/>
    <cellStyle name="개_02-포장-1_Book2_인월중군소하천 4" xfId="12434"/>
    <cellStyle name="개_02-포장-1_Book2_인월중군소하천 4 2" xfId="25314"/>
    <cellStyle name="개_02-포장-1_Book2_인월중군소하천 5" xfId="14182"/>
    <cellStyle name="개_02-포장-1_Book2_인월중군소하천 5 2" xfId="27030"/>
    <cellStyle name="개_02-포장-1_Book2_인월중군소하천 6" xfId="13187"/>
    <cellStyle name="개_02-포장-1_Book2_인월중군소하천 6 2" xfId="26055"/>
    <cellStyle name="개_02-포장-1_Book2_인월중군소하천 7" xfId="17264"/>
    <cellStyle name="개_02-포장-1_Book2_인월중군소하천 7 2" xfId="29997"/>
    <cellStyle name="개_02-포장-1_Book2_인월중군소하천 8" xfId="17260"/>
    <cellStyle name="개_02-포장-1_Book2_인월중군소하천 8 2" xfId="29993"/>
    <cellStyle name="개_02-포장-1_Book2_인월중군소하천 9" xfId="17978"/>
    <cellStyle name="개_02-포장-1_Book2_인월중군소하천 9 2" xfId="30690"/>
    <cellStyle name="개_02-포장-1_Book2_인월중군소하천_자전거도로구조물공수량" xfId="2736"/>
    <cellStyle name="개_02-포장-1_Book2_인월중군소하천_자전거도로구조물공수량 10" xfId="13769"/>
    <cellStyle name="개_02-포장-1_Book2_인월중군소하천_자전거도로구조물공수량 10 2" xfId="26630"/>
    <cellStyle name="개_02-포장-1_Book2_인월중군소하천_자전거도로구조물공수량 11" xfId="19429"/>
    <cellStyle name="개_02-포장-1_Book2_인월중군소하천_자전거도로구조물공수량 12" xfId="22511"/>
    <cellStyle name="개_02-포장-1_Book2_인월중군소하천_자전거도로구조물공수량 12 2" xfId="34945"/>
    <cellStyle name="개_02-포장-1_Book2_인월중군소하천_자전거도로구조물공수량 13" xfId="21659"/>
    <cellStyle name="개_02-포장-1_Book2_인월중군소하천_자전거도로구조물공수량 13 2" xfId="34096"/>
    <cellStyle name="개_02-포장-1_Book2_인월중군소하천_자전거도로구조물공수량 14" xfId="23948"/>
    <cellStyle name="개_02-포장-1_Book2_인월중군소하천_자전거도로구조물공수량 14 2" xfId="36379"/>
    <cellStyle name="개_02-포장-1_Book2_인월중군소하천_자전거도로구조물공수량 15" xfId="21043"/>
    <cellStyle name="개_02-포장-1_Book2_인월중군소하천_자전거도로구조물공수량 15 2" xfId="33480"/>
    <cellStyle name="개_02-포장-1_Book2_인월중군소하천_자전거도로구조물공수량 16" xfId="18429"/>
    <cellStyle name="개_02-포장-1_Book2_인월중군소하천_자전거도로구조물공수량 16 2" xfId="31134"/>
    <cellStyle name="개_02-포장-1_Book2_인월중군소하천_자전거도로구조물공수량 17" xfId="24606"/>
    <cellStyle name="개_02-포장-1_Book2_인월중군소하천_자전거도로구조물공수량 17 2" xfId="37037"/>
    <cellStyle name="개_02-포장-1_Book2_인월중군소하천_자전거도로구조물공수량 18" xfId="19177"/>
    <cellStyle name="개_02-포장-1_Book2_인월중군소하천_자전거도로구조물공수량 18 2" xfId="31832"/>
    <cellStyle name="개_02-포장-1_Book2_인월중군소하천_자전거도로구조물공수량 19" xfId="18823"/>
    <cellStyle name="개_02-포장-1_Book2_인월중군소하천_자전거도로구조물공수량 19 2" xfId="31528"/>
    <cellStyle name="개_02-포장-1_Book2_인월중군소하천_자전거도로구조물공수량 2" xfId="13529"/>
    <cellStyle name="개_02-포장-1_Book2_인월중군소하천_자전거도로구조물공수량 2 2" xfId="26397"/>
    <cellStyle name="개_02-포장-1_Book2_인월중군소하천_자전거도로구조물공수량 20" xfId="23381"/>
    <cellStyle name="개_02-포장-1_Book2_인월중군소하천_자전거도로구조물공수량 20 2" xfId="35813"/>
    <cellStyle name="개_02-포장-1_Book2_인월중군소하천_자전거도로구조물공수량 21" xfId="19171"/>
    <cellStyle name="개_02-포장-1_Book2_인월중군소하천_자전거도로구조물공수량 21 2" xfId="31826"/>
    <cellStyle name="개_02-포장-1_Book2_인월중군소하천_자전거도로구조물공수량 3" xfId="16861"/>
    <cellStyle name="개_02-포장-1_Book2_인월중군소하천_자전거도로구조물공수량 3 2" xfId="29636"/>
    <cellStyle name="개_02-포장-1_Book2_인월중군소하천_자전거도로구조물공수량 4" xfId="15871"/>
    <cellStyle name="개_02-포장-1_Book2_인월중군소하천_자전거도로구조물공수량 4 2" xfId="28669"/>
    <cellStyle name="개_02-포장-1_Book2_인월중군소하천_자전거도로구조물공수량 5" xfId="15559"/>
    <cellStyle name="개_02-포장-1_Book2_인월중군소하천_자전거도로구조물공수량 5 2" xfId="28368"/>
    <cellStyle name="개_02-포장-1_Book2_인월중군소하천_자전거도로구조물공수량 6" xfId="15947"/>
    <cellStyle name="개_02-포장-1_Book2_인월중군소하천_자전거도로구조물공수량 6 2" xfId="28745"/>
    <cellStyle name="개_02-포장-1_Book2_인월중군소하천_자전거도로구조물공수량 7" xfId="17265"/>
    <cellStyle name="개_02-포장-1_Book2_인월중군소하천_자전거도로구조물공수량 7 2" xfId="29998"/>
    <cellStyle name="개_02-포장-1_Book2_인월중군소하천_자전거도로구조물공수량 8" xfId="15299"/>
    <cellStyle name="개_02-포장-1_Book2_인월중군소하천_자전거도로구조물공수량 8 2" xfId="28116"/>
    <cellStyle name="개_02-포장-1_Book2_인월중군소하천_자전거도로구조물공수량 9" xfId="17979"/>
    <cellStyle name="개_02-포장-1_Book2_인월중군소하천_자전거도로구조물공수량 9 2" xfId="30691"/>
    <cellStyle name="개_02-포장-1_Book2_인월중군소하천_자전거도로포장수량" xfId="2737"/>
    <cellStyle name="개_02-포장-1_Book2_인월중군소하천_자전거도로포장수량 10" xfId="14778"/>
    <cellStyle name="개_02-포장-1_Book2_인월중군소하천_자전거도로포장수량 10 2" xfId="27603"/>
    <cellStyle name="개_02-포장-1_Book2_인월중군소하천_자전거도로포장수량 11" xfId="19430"/>
    <cellStyle name="개_02-포장-1_Book2_인월중군소하천_자전거도로포장수량 12" xfId="22510"/>
    <cellStyle name="개_02-포장-1_Book2_인월중군소하천_자전거도로포장수량 12 2" xfId="34944"/>
    <cellStyle name="개_02-포장-1_Book2_인월중군소하천_자전거도로포장수량 13" xfId="21660"/>
    <cellStyle name="개_02-포장-1_Book2_인월중군소하천_자전거도로포장수량 13 2" xfId="34097"/>
    <cellStyle name="개_02-포장-1_Book2_인월중군소하천_자전거도로포장수량 14" xfId="23947"/>
    <cellStyle name="개_02-포장-1_Book2_인월중군소하천_자전거도로포장수량 14 2" xfId="36378"/>
    <cellStyle name="개_02-포장-1_Book2_인월중군소하천_자전거도로포장수량 15" xfId="24260"/>
    <cellStyle name="개_02-포장-1_Book2_인월중군소하천_자전거도로포장수량 15 2" xfId="36691"/>
    <cellStyle name="개_02-포장-1_Book2_인월중군소하천_자전거도로포장수량 16" xfId="19903"/>
    <cellStyle name="개_02-포장-1_Book2_인월중군소하천_자전거도로포장수량 16 2" xfId="32352"/>
    <cellStyle name="개_02-포장-1_Book2_인월중군소하천_자전거도로포장수량 17" xfId="24605"/>
    <cellStyle name="개_02-포장-1_Book2_인월중군소하천_자전거도로포장수량 17 2" xfId="37036"/>
    <cellStyle name="개_02-포장-1_Book2_인월중군소하천_자전거도로포장수량 18" xfId="19545"/>
    <cellStyle name="개_02-포장-1_Book2_인월중군소하천_자전거도로포장수량 18 2" xfId="32000"/>
    <cellStyle name="개_02-포장-1_Book2_인월중군소하천_자전거도로포장수량 19" xfId="21070"/>
    <cellStyle name="개_02-포장-1_Book2_인월중군소하천_자전거도로포장수량 19 2" xfId="33507"/>
    <cellStyle name="개_02-포장-1_Book2_인월중군소하천_자전거도로포장수량 2" xfId="13530"/>
    <cellStyle name="개_02-포장-1_Book2_인월중군소하천_자전거도로포장수량 2 2" xfId="26398"/>
    <cellStyle name="개_02-포장-1_Book2_인월중군소하천_자전거도로포장수량 20" xfId="18877"/>
    <cellStyle name="개_02-포장-1_Book2_인월중군소하천_자전거도로포장수량 20 2" xfId="31582"/>
    <cellStyle name="개_02-포장-1_Book2_인월중군소하천_자전거도로포장수량 21" xfId="22417"/>
    <cellStyle name="개_02-포장-1_Book2_인월중군소하천_자전거도로포장수량 21 2" xfId="34851"/>
    <cellStyle name="개_02-포장-1_Book2_인월중군소하천_자전거도로포장수량 3" xfId="16860"/>
    <cellStyle name="개_02-포장-1_Book2_인월중군소하천_자전거도로포장수량 3 2" xfId="29635"/>
    <cellStyle name="개_02-포장-1_Book2_인월중군소하천_자전거도로포장수량 4" xfId="17361"/>
    <cellStyle name="개_02-포장-1_Book2_인월중군소하천_자전거도로포장수량 4 2" xfId="30090"/>
    <cellStyle name="개_02-포장-1_Book2_인월중군소하천_자전거도로포장수량 5" xfId="14204"/>
    <cellStyle name="개_02-포장-1_Book2_인월중군소하천_자전거도로포장수량 5 2" xfId="27052"/>
    <cellStyle name="개_02-포장-1_Book2_인월중군소하천_자전거도로포장수량 6" xfId="13186"/>
    <cellStyle name="개_02-포장-1_Book2_인월중군소하천_자전거도로포장수량 6 2" xfId="26054"/>
    <cellStyle name="개_02-포장-1_Book2_인월중군소하천_자전거도로포장수량 7" xfId="13627"/>
    <cellStyle name="개_02-포장-1_Book2_인월중군소하천_자전거도로포장수량 7 2" xfId="26495"/>
    <cellStyle name="개_02-포장-1_Book2_인월중군소하천_자전거도로포장수량 8" xfId="17017"/>
    <cellStyle name="개_02-포장-1_Book2_인월중군소하천_자전거도로포장수량 8 2" xfId="29792"/>
    <cellStyle name="개_02-포장-1_Book2_인월중군소하천_자전거도로포장수량 9" xfId="12661"/>
    <cellStyle name="개_02-포장-1_Book2_인월중군소하천_자전거도로포장수량 9 2" xfId="25540"/>
    <cellStyle name="개_02-포장-1_Book2_자전거도로구조물공수량" xfId="2738"/>
    <cellStyle name="개_02-포장-1_Book2_자전거도로구조물공수량 10" xfId="15681"/>
    <cellStyle name="개_02-포장-1_Book2_자전거도로구조물공수량 10 2" xfId="28481"/>
    <cellStyle name="개_02-포장-1_Book2_자전거도로구조물공수량 11" xfId="19431"/>
    <cellStyle name="개_02-포장-1_Book2_자전거도로구조물공수량 12" xfId="22509"/>
    <cellStyle name="개_02-포장-1_Book2_자전거도로구조물공수량 12 2" xfId="34943"/>
    <cellStyle name="개_02-포장-1_Book2_자전거도로구조물공수량 13" xfId="21661"/>
    <cellStyle name="개_02-포장-1_Book2_자전거도로구조물공수량 13 2" xfId="34098"/>
    <cellStyle name="개_02-포장-1_Book2_자전거도로구조물공수량 14" xfId="18747"/>
    <cellStyle name="개_02-포장-1_Book2_자전거도로구조물공수량 14 2" xfId="31452"/>
    <cellStyle name="개_02-포장-1_Book2_자전거도로구조물공수량 15" xfId="24259"/>
    <cellStyle name="개_02-포장-1_Book2_자전거도로구조물공수량 15 2" xfId="36690"/>
    <cellStyle name="개_02-포장-1_Book2_자전거도로구조물공수량 16" xfId="23095"/>
    <cellStyle name="개_02-포장-1_Book2_자전거도로구조물공수량 16 2" xfId="35528"/>
    <cellStyle name="개_02-포장-1_Book2_자전거도로구조물공수량 17" xfId="20722"/>
    <cellStyle name="개_02-포장-1_Book2_자전거도로구조물공수량 17 2" xfId="33162"/>
    <cellStyle name="개_02-포장-1_Book2_자전거도로구조물공수량 18" xfId="21106"/>
    <cellStyle name="개_02-포장-1_Book2_자전거도로구조물공수량 18 2" xfId="33543"/>
    <cellStyle name="개_02-포장-1_Book2_자전거도로구조물공수량 19" xfId="21752"/>
    <cellStyle name="개_02-포장-1_Book2_자전거도로구조물공수량 19 2" xfId="34189"/>
    <cellStyle name="개_02-포장-1_Book2_자전거도로구조물공수량 2" xfId="13531"/>
    <cellStyle name="개_02-포장-1_Book2_자전거도로구조물공수량 2 2" xfId="26399"/>
    <cellStyle name="개_02-포장-1_Book2_자전거도로구조물공수량 20" xfId="23508"/>
    <cellStyle name="개_02-포장-1_Book2_자전거도로구조물공수량 20 2" xfId="35939"/>
    <cellStyle name="개_02-포장-1_Book2_자전거도로구조물공수량 21" xfId="23752"/>
    <cellStyle name="개_02-포장-1_Book2_자전거도로구조물공수량 21 2" xfId="36183"/>
    <cellStyle name="개_02-포장-1_Book2_자전거도로구조물공수량 3" xfId="16859"/>
    <cellStyle name="개_02-포장-1_Book2_자전거도로구조물공수량 3 2" xfId="29634"/>
    <cellStyle name="개_02-포장-1_Book2_자전거도로구조물공수량 4" xfId="17360"/>
    <cellStyle name="개_02-포장-1_Book2_자전거도로구조물공수량 4 2" xfId="30089"/>
    <cellStyle name="개_02-포장-1_Book2_자전거도로구조물공수량 5" xfId="14380"/>
    <cellStyle name="개_02-포장-1_Book2_자전거도로구조물공수량 5 2" xfId="27213"/>
    <cellStyle name="개_02-포장-1_Book2_자전거도로구조물공수량 6" xfId="13338"/>
    <cellStyle name="개_02-포장-1_Book2_자전거도로구조물공수량 6 2" xfId="26206"/>
    <cellStyle name="개_02-포장-1_Book2_자전거도로구조물공수량 7" xfId="14580"/>
    <cellStyle name="개_02-포장-1_Book2_자전거도로구조물공수량 7 2" xfId="27406"/>
    <cellStyle name="개_02-포장-1_Book2_자전거도로구조물공수량 8" xfId="15715"/>
    <cellStyle name="개_02-포장-1_Book2_자전거도로구조물공수량 8 2" xfId="28515"/>
    <cellStyle name="개_02-포장-1_Book2_자전거도로구조물공수량 9" xfId="16795"/>
    <cellStyle name="개_02-포장-1_Book2_자전거도로구조물공수량 9 2" xfId="29570"/>
    <cellStyle name="개_02-포장-1_Book2_자전거도로포장수량" xfId="2739"/>
    <cellStyle name="개_02-포장-1_Book2_자전거도로포장수량 10" xfId="15319"/>
    <cellStyle name="개_02-포장-1_Book2_자전거도로포장수량 10 2" xfId="28136"/>
    <cellStyle name="개_02-포장-1_Book2_자전거도로포장수량 11" xfId="19432"/>
    <cellStyle name="개_02-포장-1_Book2_자전거도로포장수량 12" xfId="22508"/>
    <cellStyle name="개_02-포장-1_Book2_자전거도로포장수량 12 2" xfId="34942"/>
    <cellStyle name="개_02-포장-1_Book2_자전거도로포장수량 13" xfId="21662"/>
    <cellStyle name="개_02-포장-1_Book2_자전거도로포장수량 13 2" xfId="34099"/>
    <cellStyle name="개_02-포장-1_Book2_자전거도로포장수량 14" xfId="22888"/>
    <cellStyle name="개_02-포장-1_Book2_자전거도로포장수량 14 2" xfId="35322"/>
    <cellStyle name="개_02-포장-1_Book2_자전거도로포장수량 15" xfId="24258"/>
    <cellStyle name="개_02-포장-1_Book2_자전거도로포장수량 15 2" xfId="36689"/>
    <cellStyle name="개_02-포장-1_Book2_자전거도로포장수량 16" xfId="19902"/>
    <cellStyle name="개_02-포장-1_Book2_자전거도로포장수량 16 2" xfId="32351"/>
    <cellStyle name="개_02-포장-1_Book2_자전거도로포장수량 17" xfId="23060"/>
    <cellStyle name="개_02-포장-1_Book2_자전거도로포장수량 17 2" xfId="35493"/>
    <cellStyle name="개_02-포장-1_Book2_자전거도로포장수량 18" xfId="20678"/>
    <cellStyle name="개_02-포장-1_Book2_자전거도로포장수량 18 2" xfId="33122"/>
    <cellStyle name="개_02-포장-1_Book2_자전거도로포장수량 19" xfId="24375"/>
    <cellStyle name="개_02-포장-1_Book2_자전거도로포장수량 19 2" xfId="36806"/>
    <cellStyle name="개_02-포장-1_Book2_자전거도로포장수량 2" xfId="13532"/>
    <cellStyle name="개_02-포장-1_Book2_자전거도로포장수량 2 2" xfId="26400"/>
    <cellStyle name="개_02-포장-1_Book2_자전거도로포장수량 20" xfId="22646"/>
    <cellStyle name="개_02-포장-1_Book2_자전거도로포장수량 20 2" xfId="35080"/>
    <cellStyle name="개_02-포장-1_Book2_자전거도로포장수량 21" xfId="23869"/>
    <cellStyle name="개_02-포장-1_Book2_자전거도로포장수량 21 2" xfId="36300"/>
    <cellStyle name="개_02-포장-1_Book2_자전거도로포장수량 3" xfId="16858"/>
    <cellStyle name="개_02-포장-1_Book2_자전거도로포장수량 3 2" xfId="29633"/>
    <cellStyle name="개_02-포장-1_Book2_자전거도로포장수량 4" xfId="17359"/>
    <cellStyle name="개_02-포장-1_Book2_자전거도로포장수량 4 2" xfId="30088"/>
    <cellStyle name="개_02-포장-1_Book2_자전거도로포장수량 5" xfId="14183"/>
    <cellStyle name="개_02-포장-1_Book2_자전거도로포장수량 5 2" xfId="27031"/>
    <cellStyle name="개_02-포장-1_Book2_자전거도로포장수량 6" xfId="13185"/>
    <cellStyle name="개_02-포장-1_Book2_자전거도로포장수량 6 2" xfId="26053"/>
    <cellStyle name="개_02-포장-1_Book2_자전거도로포장수량 7" xfId="14688"/>
    <cellStyle name="개_02-포장-1_Book2_자전거도로포장수량 7 2" xfId="27514"/>
    <cellStyle name="개_02-포장-1_Book2_자전거도로포장수량 8" xfId="15716"/>
    <cellStyle name="개_02-포장-1_Book2_자전거도로포장수량 8 2" xfId="28516"/>
    <cellStyle name="개_02-포장-1_Book2_자전거도로포장수량 9" xfId="15185"/>
    <cellStyle name="개_02-포장-1_Book2_자전거도로포장수량 9 2" xfId="28004"/>
    <cellStyle name="개_02-포장-1_Book4" xfId="2740"/>
    <cellStyle name="개_02-포장-1_Book4 10" xfId="15682"/>
    <cellStyle name="개_02-포장-1_Book4 10 2" xfId="28482"/>
    <cellStyle name="개_02-포장-1_Book4 11" xfId="19433"/>
    <cellStyle name="개_02-포장-1_Book4 12" xfId="22507"/>
    <cellStyle name="개_02-포장-1_Book4 12 2" xfId="34941"/>
    <cellStyle name="개_02-포장-1_Book4 13" xfId="21663"/>
    <cellStyle name="개_02-포장-1_Book4 13 2" xfId="34100"/>
    <cellStyle name="개_02-포장-1_Book4 14" xfId="21313"/>
    <cellStyle name="개_02-포장-1_Book4 14 2" xfId="33750"/>
    <cellStyle name="개_02-포장-1_Book4 15" xfId="24257"/>
    <cellStyle name="개_02-포장-1_Book4 15 2" xfId="36688"/>
    <cellStyle name="개_02-포장-1_Book4 16" xfId="19519"/>
    <cellStyle name="개_02-포장-1_Book4 16 2" xfId="31974"/>
    <cellStyle name="개_02-포장-1_Book4 17" xfId="19255"/>
    <cellStyle name="개_02-포장-1_Book4 17 2" xfId="31910"/>
    <cellStyle name="개_02-포장-1_Book4 18" xfId="21973"/>
    <cellStyle name="개_02-포장-1_Book4 18 2" xfId="34410"/>
    <cellStyle name="개_02-포장-1_Book4 19" xfId="24376"/>
    <cellStyle name="개_02-포장-1_Book4 19 2" xfId="36807"/>
    <cellStyle name="개_02-포장-1_Book4 2" xfId="13533"/>
    <cellStyle name="개_02-포장-1_Book4 2 2" xfId="26401"/>
    <cellStyle name="개_02-포장-1_Book4 20" xfId="23380"/>
    <cellStyle name="개_02-포장-1_Book4 20 2" xfId="35812"/>
    <cellStyle name="개_02-포장-1_Book4 21" xfId="23206"/>
    <cellStyle name="개_02-포장-1_Book4 21 2" xfId="35639"/>
    <cellStyle name="개_02-포장-1_Book4 3" xfId="16857"/>
    <cellStyle name="개_02-포장-1_Book4 3 2" xfId="29632"/>
    <cellStyle name="개_02-포장-1_Book4 4" xfId="17358"/>
    <cellStyle name="개_02-포장-1_Book4 4 2" xfId="30087"/>
    <cellStyle name="개_02-포장-1_Book4 5" xfId="14381"/>
    <cellStyle name="개_02-포장-1_Book4 5 2" xfId="27214"/>
    <cellStyle name="개_02-포장-1_Book4 6" xfId="16714"/>
    <cellStyle name="개_02-포장-1_Book4 6 2" xfId="29490"/>
    <cellStyle name="개_02-포장-1_Book4 7" xfId="13626"/>
    <cellStyle name="개_02-포장-1_Book4 7 2" xfId="26494"/>
    <cellStyle name="개_02-포장-1_Book4 8" xfId="13070"/>
    <cellStyle name="개_02-포장-1_Book4 8 2" xfId="25939"/>
    <cellStyle name="개_02-포장-1_Book4 9" xfId="16388"/>
    <cellStyle name="개_02-포장-1_Book4 9 2" xfId="29164"/>
    <cellStyle name="개_02-포장-1_Book4_도로수량양식" xfId="2741"/>
    <cellStyle name="개_02-포장-1_Book4_도로수량양식 10" xfId="12676"/>
    <cellStyle name="개_02-포장-1_Book4_도로수량양식 10 2" xfId="25555"/>
    <cellStyle name="개_02-포장-1_Book4_도로수량양식 11" xfId="19434"/>
    <cellStyle name="개_02-포장-1_Book4_도로수량양식 12" xfId="22506"/>
    <cellStyle name="개_02-포장-1_Book4_도로수량양식 12 2" xfId="34940"/>
    <cellStyle name="개_02-포장-1_Book4_도로수량양식 13" xfId="21664"/>
    <cellStyle name="개_02-포장-1_Book4_도로수량양식 13 2" xfId="34101"/>
    <cellStyle name="개_02-포장-1_Book4_도로수량양식 14" xfId="21308"/>
    <cellStyle name="개_02-포장-1_Book4_도로수량양식 14 2" xfId="33745"/>
    <cellStyle name="개_02-포장-1_Book4_도로수량양식 15" xfId="19837"/>
    <cellStyle name="개_02-포장-1_Book4_도로수량양식 15 2" xfId="32287"/>
    <cellStyle name="개_02-포장-1_Book4_도로수량양식 16" xfId="22362"/>
    <cellStyle name="개_02-포장-1_Book4_도로수량양식 16 2" xfId="34796"/>
    <cellStyle name="개_02-포장-1_Book4_도로수량양식 17" xfId="18274"/>
    <cellStyle name="개_02-포장-1_Book4_도로수량양식 17 2" xfId="30980"/>
    <cellStyle name="개_02-포장-1_Book4_도로수량양식 18" xfId="19544"/>
    <cellStyle name="개_02-포장-1_Book4_도로수량양식 18 2" xfId="31999"/>
    <cellStyle name="개_02-포장-1_Book4_도로수량양식 19" xfId="24377"/>
    <cellStyle name="개_02-포장-1_Book4_도로수량양식 19 2" xfId="36808"/>
    <cellStyle name="개_02-포장-1_Book4_도로수량양식 2" xfId="13534"/>
    <cellStyle name="개_02-포장-1_Book4_도로수량양식 2 2" xfId="26402"/>
    <cellStyle name="개_02-포장-1_Book4_도로수량양식 20" xfId="18876"/>
    <cellStyle name="개_02-포장-1_Book4_도로수량양식 20 2" xfId="31581"/>
    <cellStyle name="개_02-포장-1_Book4_도로수량양식 21" xfId="22432"/>
    <cellStyle name="개_02-포장-1_Book4_도로수량양식 21 2" xfId="34866"/>
    <cellStyle name="개_02-포장-1_Book4_도로수량양식 3" xfId="16856"/>
    <cellStyle name="개_02-포장-1_Book4_도로수량양식 3 2" xfId="29631"/>
    <cellStyle name="개_02-포장-1_Book4_도로수량양식 4" xfId="12433"/>
    <cellStyle name="개_02-포장-1_Book4_도로수량양식 4 2" xfId="25313"/>
    <cellStyle name="개_02-포장-1_Book4_도로수량양식 5" xfId="17002"/>
    <cellStyle name="개_02-포장-1_Book4_도로수량양식 5 2" xfId="29777"/>
    <cellStyle name="개_02-포장-1_Book4_도로수량양식 6" xfId="13184"/>
    <cellStyle name="개_02-포장-1_Book4_도로수량양식 6 2" xfId="26052"/>
    <cellStyle name="개_02-포장-1_Book4_도로수량양식 7" xfId="15141"/>
    <cellStyle name="개_02-포장-1_Book4_도로수량양식 7 2" xfId="27960"/>
    <cellStyle name="개_02-포장-1_Book4_도로수량양식 8" xfId="13844"/>
    <cellStyle name="개_02-포장-1_Book4_도로수량양식 8 2" xfId="26703"/>
    <cellStyle name="개_02-포장-1_Book4_도로수량양식 9" xfId="18030"/>
    <cellStyle name="개_02-포장-1_Book4_도로수량양식 9 2" xfId="30741"/>
    <cellStyle name="개_02-포장-1_Book4_도로수량양식_자전거도로구조물공수량" xfId="2742"/>
    <cellStyle name="개_02-포장-1_Book4_도로수량양식_자전거도로구조물공수량 10" xfId="13834"/>
    <cellStyle name="개_02-포장-1_Book4_도로수량양식_자전거도로구조물공수량 10 2" xfId="26693"/>
    <cellStyle name="개_02-포장-1_Book4_도로수량양식_자전거도로구조물공수량 11" xfId="19435"/>
    <cellStyle name="개_02-포장-1_Book4_도로수량양식_자전거도로구조물공수량 12" xfId="22505"/>
    <cellStyle name="개_02-포장-1_Book4_도로수량양식_자전거도로구조물공수량 12 2" xfId="34939"/>
    <cellStyle name="개_02-포장-1_Book4_도로수량양식_자전거도로구조물공수량 13" xfId="21665"/>
    <cellStyle name="개_02-포장-1_Book4_도로수량양식_자전거도로구조물공수량 13 2" xfId="34102"/>
    <cellStyle name="개_02-포장-1_Book4_도로수량양식_자전거도로구조물공수량 14" xfId="21321"/>
    <cellStyle name="개_02-포장-1_Book4_도로수량양식_자전거도로구조물공수량 14 2" xfId="33758"/>
    <cellStyle name="개_02-포장-1_Book4_도로수량양식_자전거도로구조물공수량 15" xfId="21044"/>
    <cellStyle name="개_02-포장-1_Book4_도로수량양식_자전거도로구조물공수량 15 2" xfId="33481"/>
    <cellStyle name="개_02-포장-1_Book4_도로수량양식_자전거도로구조물공수량 16" xfId="21949"/>
    <cellStyle name="개_02-포장-1_Book4_도로수량양식_자전거도로구조물공수량 16 2" xfId="34386"/>
    <cellStyle name="개_02-포장-1_Book4_도로수량양식_자전거도로구조물공수량 17" xfId="19247"/>
    <cellStyle name="개_02-포장-1_Book4_도로수량양식_자전거도로구조물공수량 17 2" xfId="31902"/>
    <cellStyle name="개_02-포장-1_Book4_도로수량양식_자전거도로구조물공수량 18" xfId="18658"/>
    <cellStyle name="개_02-포장-1_Book4_도로수량양식_자전거도로구조물공수량 18 2" xfId="31363"/>
    <cellStyle name="개_02-포장-1_Book4_도로수량양식_자전거도로구조물공수량 19" xfId="20488"/>
    <cellStyle name="개_02-포장-1_Book4_도로수량양식_자전거도로구조물공수량 19 2" xfId="32933"/>
    <cellStyle name="개_02-포장-1_Book4_도로수량양식_자전거도로구조물공수량 2" xfId="13535"/>
    <cellStyle name="개_02-포장-1_Book4_도로수량양식_자전거도로구조물공수량 2 2" xfId="26403"/>
    <cellStyle name="개_02-포장-1_Book4_도로수량양식_자전거도로구조물공수량 20" xfId="23509"/>
    <cellStyle name="개_02-포장-1_Book4_도로수량양식_자전거도로구조물공수량 20 2" xfId="35940"/>
    <cellStyle name="개_02-포장-1_Book4_도로수량양식_자전거도로구조물공수량 21" xfId="18293"/>
    <cellStyle name="개_02-포장-1_Book4_도로수량양식_자전거도로구조물공수량 21 2" xfId="30999"/>
    <cellStyle name="개_02-포장-1_Book4_도로수량양식_자전거도로구조물공수량 3" xfId="16855"/>
    <cellStyle name="개_02-포장-1_Book4_도로수량양식_자전거도로구조물공수량 3 2" xfId="29630"/>
    <cellStyle name="개_02-포장-1_Book4_도로수량양식_자전거도로구조물공수량 4" xfId="12432"/>
    <cellStyle name="개_02-포장-1_Book4_도로수량양식_자전거도로구조물공수량 4 2" xfId="25312"/>
    <cellStyle name="개_02-포장-1_Book4_도로수량양식_자전거도로구조물공수량 5" xfId="17003"/>
    <cellStyle name="개_02-포장-1_Book4_도로수량양식_자전거도로구조물공수량 5 2" xfId="29778"/>
    <cellStyle name="개_02-포장-1_Book4_도로수량양식_자전거도로구조물공수량 6" xfId="16713"/>
    <cellStyle name="개_02-포장-1_Book4_도로수량양식_자전거도로구조물공수량 6 2" xfId="29489"/>
    <cellStyle name="개_02-포장-1_Book4_도로수량양식_자전거도로구조물공수량 7" xfId="17326"/>
    <cellStyle name="개_02-포장-1_Book4_도로수량양식_자전거도로구조물공수량 7 2" xfId="30055"/>
    <cellStyle name="개_02-포장-1_Book4_도로수량양식_자전거도로구조물공수량 8" xfId="15452"/>
    <cellStyle name="개_02-포장-1_Book4_도로수량양식_자전거도로구조물공수량 8 2" xfId="28261"/>
    <cellStyle name="개_02-포장-1_Book4_도로수량양식_자전거도로구조물공수량 9" xfId="16938"/>
    <cellStyle name="개_02-포장-1_Book4_도로수량양식_자전거도로구조물공수량 9 2" xfId="29713"/>
    <cellStyle name="개_02-포장-1_Book4_도로수량양식_자전거도로포장수량" xfId="2743"/>
    <cellStyle name="개_02-포장-1_Book4_도로수량양식_자전거도로포장수량 10" xfId="17179"/>
    <cellStyle name="개_02-포장-1_Book4_도로수량양식_자전거도로포장수량 10 2" xfId="29913"/>
    <cellStyle name="개_02-포장-1_Book4_도로수량양식_자전거도로포장수량 11" xfId="19436"/>
    <cellStyle name="개_02-포장-1_Book4_도로수량양식_자전거도로포장수량 12" xfId="22504"/>
    <cellStyle name="개_02-포장-1_Book4_도로수량양식_자전거도로포장수량 12 2" xfId="34938"/>
    <cellStyle name="개_02-포장-1_Book4_도로수량양식_자전거도로포장수량 13" xfId="21666"/>
    <cellStyle name="개_02-포장-1_Book4_도로수량양식_자전거도로포장수량 13 2" xfId="34103"/>
    <cellStyle name="개_02-포장-1_Book4_도로수량양식_자전거도로포장수량 14" xfId="21294"/>
    <cellStyle name="개_02-포장-1_Book4_도로수량양식_자전거도로포장수량 14 2" xfId="33731"/>
    <cellStyle name="개_02-포장-1_Book4_도로수량양식_자전거도로포장수량 15" xfId="19838"/>
    <cellStyle name="개_02-포장-1_Book4_도로수량양식_자전거도로포장수량 15 2" xfId="32288"/>
    <cellStyle name="개_02-포장-1_Book4_도로수량양식_자전거도로포장수량 16" xfId="19244"/>
    <cellStyle name="개_02-포장-1_Book4_도로수량양식_자전거도로포장수량 16 2" xfId="31899"/>
    <cellStyle name="개_02-포장-1_Book4_도로수량양식_자전거도로포장수량 17" xfId="18975"/>
    <cellStyle name="개_02-포장-1_Book4_도로수량양식_자전거도로포장수량 17 2" xfId="31680"/>
    <cellStyle name="개_02-포장-1_Book4_도로수량양식_자전거도로포장수량 18" xfId="22471"/>
    <cellStyle name="개_02-포장-1_Book4_도로수량양식_자전거도로포장수량 18 2" xfId="34905"/>
    <cellStyle name="개_02-포장-1_Book4_도로수량양식_자전거도로포장수량 19" xfId="20303"/>
    <cellStyle name="개_02-포장-1_Book4_도로수량양식_자전거도로포장수량 19 2" xfId="32748"/>
    <cellStyle name="개_02-포장-1_Book4_도로수량양식_자전거도로포장수량 2" xfId="13536"/>
    <cellStyle name="개_02-포장-1_Book4_도로수량양식_자전거도로포장수량 2 2" xfId="26404"/>
    <cellStyle name="개_02-포장-1_Book4_도로수량양식_자전거도로포장수량 20" xfId="22846"/>
    <cellStyle name="개_02-포장-1_Book4_도로수량양식_자전거도로포장수량 20 2" xfId="35280"/>
    <cellStyle name="개_02-포장-1_Book4_도로수량양식_자전거도로포장수량 21" xfId="23623"/>
    <cellStyle name="개_02-포장-1_Book4_도로수량양식_자전거도로포장수량 21 2" xfId="36054"/>
    <cellStyle name="개_02-포장-1_Book4_도로수량양식_자전거도로포장수량 3" xfId="16854"/>
    <cellStyle name="개_02-포장-1_Book4_도로수량양식_자전거도로포장수량 3 2" xfId="29629"/>
    <cellStyle name="개_02-포장-1_Book4_도로수량양식_자전거도로포장수량 4" xfId="15870"/>
    <cellStyle name="개_02-포장-1_Book4_도로수량양식_자전거도로포장수량 4 2" xfId="28668"/>
    <cellStyle name="개_02-포장-1_Book4_도로수량양식_자전거도로포장수량 5" xfId="14198"/>
    <cellStyle name="개_02-포장-1_Book4_도로수량양식_자전거도로포장수량 5 2" xfId="27046"/>
    <cellStyle name="개_02-포장-1_Book4_도로수량양식_자전거도로포장수량 6" xfId="13183"/>
    <cellStyle name="개_02-포장-1_Book4_도로수량양식_자전거도로포장수량 6 2" xfId="26051"/>
    <cellStyle name="개_02-포장-1_Book4_도로수량양식_자전거도로포장수량 7" xfId="13761"/>
    <cellStyle name="개_02-포장-1_Book4_도로수량양식_자전거도로포장수량 7 2" xfId="26622"/>
    <cellStyle name="개_02-포장-1_Book4_도로수량양식_자전거도로포장수량 8" xfId="14657"/>
    <cellStyle name="개_02-포장-1_Book4_도로수량양식_자전거도로포장수량 8 2" xfId="27483"/>
    <cellStyle name="개_02-포장-1_Book4_도로수량양식_자전거도로포장수량 9" xfId="15743"/>
    <cellStyle name="개_02-포장-1_Book4_도로수량양식_자전거도로포장수량 9 2" xfId="28542"/>
    <cellStyle name="개_02-포장-1_Book4_수량산출" xfId="2744"/>
    <cellStyle name="개_02-포장-1_Book4_수량산출 10" xfId="15421"/>
    <cellStyle name="개_02-포장-1_Book4_수량산출 10 2" xfId="28235"/>
    <cellStyle name="개_02-포장-1_Book4_수량산출 11" xfId="19437"/>
    <cellStyle name="개_02-포장-1_Book4_수량산출 12" xfId="22503"/>
    <cellStyle name="개_02-포장-1_Book4_수량산출 12 2" xfId="34937"/>
    <cellStyle name="개_02-포장-1_Book4_수량산출 13" xfId="21667"/>
    <cellStyle name="개_02-포장-1_Book4_수량산출 13 2" xfId="34104"/>
    <cellStyle name="개_02-포장-1_Book4_수량산출 14" xfId="22839"/>
    <cellStyle name="개_02-포장-1_Book4_수량산출 14 2" xfId="35273"/>
    <cellStyle name="개_02-포장-1_Book4_수량산출 15" xfId="21045"/>
    <cellStyle name="개_02-포장-1_Book4_수량산출 15 2" xfId="33482"/>
    <cellStyle name="개_02-포장-1_Book4_수량산출 16" xfId="20101"/>
    <cellStyle name="개_02-포장-1_Book4_수량산출 16 2" xfId="32547"/>
    <cellStyle name="개_02-포장-1_Book4_수량산출 17" xfId="18895"/>
    <cellStyle name="개_02-포장-1_Book4_수량산출 17 2" xfId="31600"/>
    <cellStyle name="개_02-포장-1_Book4_수량산출 18" xfId="20799"/>
    <cellStyle name="개_02-포장-1_Book4_수량산출 18 2" xfId="33237"/>
    <cellStyle name="개_02-포장-1_Book4_수량산출 19" xfId="24378"/>
    <cellStyle name="개_02-포장-1_Book4_수량산출 19 2" xfId="36809"/>
    <cellStyle name="개_02-포장-1_Book4_수량산출 2" xfId="13537"/>
    <cellStyle name="개_02-포장-1_Book4_수량산출 2 2" xfId="26405"/>
    <cellStyle name="개_02-포장-1_Book4_수량산출 20" xfId="23847"/>
    <cellStyle name="개_02-포장-1_Book4_수량산출 20 2" xfId="36278"/>
    <cellStyle name="개_02-포장-1_Book4_수량산출 21" xfId="19172"/>
    <cellStyle name="개_02-포장-1_Book4_수량산출 21 2" xfId="31827"/>
    <cellStyle name="개_02-포장-1_Book4_수량산출 3" xfId="16853"/>
    <cellStyle name="개_02-포장-1_Book4_수량산출 3 2" xfId="29628"/>
    <cellStyle name="개_02-포장-1_Book4_수량산출 4" xfId="15869"/>
    <cellStyle name="개_02-포장-1_Book4_수량산출 4 2" xfId="28667"/>
    <cellStyle name="개_02-포장-1_Book4_수량산출 5" xfId="17064"/>
    <cellStyle name="개_02-포장-1_Book4_수량산출 5 2" xfId="29800"/>
    <cellStyle name="개_02-포장-1_Book4_수량산출 6" xfId="15946"/>
    <cellStyle name="개_02-포장-1_Book4_수량산출 6 2" xfId="28744"/>
    <cellStyle name="개_02-포장-1_Book4_수량산출 7" xfId="14085"/>
    <cellStyle name="개_02-포장-1_Book4_수량산출 7 2" xfId="26933"/>
    <cellStyle name="개_02-포장-1_Book4_수량산출 8" xfId="17764"/>
    <cellStyle name="개_02-포장-1_Book4_수량산출 8 2" xfId="30481"/>
    <cellStyle name="개_02-포장-1_Book4_수량산출 9" xfId="16937"/>
    <cellStyle name="개_02-포장-1_Book4_수량산출 9 2" xfId="29712"/>
    <cellStyle name="개_02-포장-1_Book4_수량산출_자전거도로구조물공수량" xfId="2745"/>
    <cellStyle name="개_02-포장-1_Book4_수량산출_자전거도로구조물공수량 10" xfId="12677"/>
    <cellStyle name="개_02-포장-1_Book4_수량산출_자전거도로구조물공수량 10 2" xfId="25556"/>
    <cellStyle name="개_02-포장-1_Book4_수량산출_자전거도로구조물공수량 11" xfId="19438"/>
    <cellStyle name="개_02-포장-1_Book4_수량산출_자전거도로구조물공수량 12" xfId="22502"/>
    <cellStyle name="개_02-포장-1_Book4_수량산출_자전거도로구조물공수량 12 2" xfId="34936"/>
    <cellStyle name="개_02-포장-1_Book4_수량산출_자전거도로구조물공수량 13" xfId="21668"/>
    <cellStyle name="개_02-포장-1_Book4_수량산출_자전거도로구조물공수량 13 2" xfId="34105"/>
    <cellStyle name="개_02-포장-1_Book4_수량산출_자전거도로구조물공수량 14" xfId="22838"/>
    <cellStyle name="개_02-포장-1_Book4_수량산출_자전거도로구조물공수량 14 2" xfId="35272"/>
    <cellStyle name="개_02-포장-1_Book4_수량산출_자전거도로구조물공수량 15" xfId="19839"/>
    <cellStyle name="개_02-포장-1_Book4_수량산출_자전거도로구조물공수량 15 2" xfId="32289"/>
    <cellStyle name="개_02-포장-1_Book4_수량산출_자전거도로구조물공수량 16" xfId="20719"/>
    <cellStyle name="개_02-포장-1_Book4_수량산출_자전거도로구조물공수량 16 2" xfId="33160"/>
    <cellStyle name="개_02-포장-1_Book4_수량산출_자전거도로구조물공수량 17" xfId="23056"/>
    <cellStyle name="개_02-포장-1_Book4_수량산출_자전거도로구조물공수량 17 2" xfId="35489"/>
    <cellStyle name="개_02-포장-1_Book4_수량산출_자전거도로구조물공수량 18" xfId="19079"/>
    <cellStyle name="개_02-포장-1_Book4_수량산출_자전거도로구조물공수량 18 2" xfId="31784"/>
    <cellStyle name="개_02-포장-1_Book4_수량산출_자전거도로구조물공수량 19" xfId="22019"/>
    <cellStyle name="개_02-포장-1_Book4_수량산출_자전거도로구조물공수량 19 2" xfId="34456"/>
    <cellStyle name="개_02-포장-1_Book4_수량산출_자전거도로구조물공수량 2" xfId="13538"/>
    <cellStyle name="개_02-포장-1_Book4_수량산출_자전거도로구조물공수량 2 2" xfId="26406"/>
    <cellStyle name="개_02-포장-1_Book4_수량산출_자전거도로구조물공수량 20" xfId="24479"/>
    <cellStyle name="개_02-포장-1_Book4_수량산출_자전거도로구조물공수량 20 2" xfId="36910"/>
    <cellStyle name="개_02-포장-1_Book4_수량산출_자전거도로구조물공수량 21" xfId="23377"/>
    <cellStyle name="개_02-포장-1_Book4_수량산출_자전거도로구조물공수량 21 2" xfId="35809"/>
    <cellStyle name="개_02-포장-1_Book4_수량산출_자전거도로구조물공수량 3" xfId="16852"/>
    <cellStyle name="개_02-포장-1_Book4_수량산출_자전거도로구조물공수량 3 2" xfId="29627"/>
    <cellStyle name="개_02-포장-1_Book4_수량산출_자전거도로구조물공수량 4" xfId="15868"/>
    <cellStyle name="개_02-포장-1_Book4_수량산출_자전거도로구조물공수량 4 2" xfId="28666"/>
    <cellStyle name="개_02-포장-1_Book4_수량산출_자전거도로구조물공수량 5" xfId="16703"/>
    <cellStyle name="개_02-포장-1_Book4_수량산출_자전거도로구조물공수량 5 2" xfId="29479"/>
    <cellStyle name="개_02-포장-1_Book4_수량산출_자전거도로구조물공수량 6" xfId="13182"/>
    <cellStyle name="개_02-포장-1_Book4_수량산출_자전거도로구조물공수량 6 2" xfId="26050"/>
    <cellStyle name="개_02-포장-1_Book4_수량산출_자전거도로구조물공수량 7" xfId="13760"/>
    <cellStyle name="개_02-포장-1_Book4_수량산출_자전거도로구조물공수량 7 2" xfId="26621"/>
    <cellStyle name="개_02-포장-1_Book4_수량산출_자전거도로구조물공수량 8" xfId="17765"/>
    <cellStyle name="개_02-포장-1_Book4_수량산출_자전거도로구조물공수량 8 2" xfId="30482"/>
    <cellStyle name="개_02-포장-1_Book4_수량산출_자전거도로구조물공수량 9" xfId="17421"/>
    <cellStyle name="개_02-포장-1_Book4_수량산출_자전거도로구조물공수량 9 2" xfId="30144"/>
    <cellStyle name="개_02-포장-1_Book4_수량산출_자전거도로포장수량" xfId="2746"/>
    <cellStyle name="개_02-포장-1_Book4_수량산출_자전거도로포장수량 10" xfId="13835"/>
    <cellStyle name="개_02-포장-1_Book4_수량산출_자전거도로포장수량 10 2" xfId="26694"/>
    <cellStyle name="개_02-포장-1_Book4_수량산출_자전거도로포장수량 11" xfId="19439"/>
    <cellStyle name="개_02-포장-1_Book4_수량산출_자전거도로포장수량 12" xfId="23322"/>
    <cellStyle name="개_02-포장-1_Book4_수량산출_자전거도로포장수량 12 2" xfId="35754"/>
    <cellStyle name="개_02-포장-1_Book4_수량산출_자전거도로포장수량 13" xfId="21669"/>
    <cellStyle name="개_02-포장-1_Book4_수량산출_자전거도로포장수량 13 2" xfId="34106"/>
    <cellStyle name="개_02-포장-1_Book4_수량산출_자전거도로포장수량 14" xfId="23120"/>
    <cellStyle name="개_02-포장-1_Book4_수량산출_자전거도로포장수량 14 2" xfId="35553"/>
    <cellStyle name="개_02-포장-1_Book4_수량산출_자전거도로포장수량 15" xfId="21046"/>
    <cellStyle name="개_02-포장-1_Book4_수량산출_자전거도로포장수량 15 2" xfId="33483"/>
    <cellStyle name="개_02-포장-1_Book4_수량산출_자전거도로포장수량 16" xfId="23656"/>
    <cellStyle name="개_02-포장-1_Book4_수량산출_자전거도로포장수량 16 2" xfId="36087"/>
    <cellStyle name="개_02-포장-1_Book4_수량산출_자전거도로포장수량 17" xfId="18357"/>
    <cellStyle name="개_02-포장-1_Book4_수량산출_자전거도로포장수량 17 2" xfId="31063"/>
    <cellStyle name="개_02-포장-1_Book4_수량산출_자전거도로포장수량 18" xfId="21972"/>
    <cellStyle name="개_02-포장-1_Book4_수량산출_자전거도로포장수량 18 2" xfId="34409"/>
    <cellStyle name="개_02-포장-1_Book4_수량산출_자전거도로포장수량 19" xfId="22020"/>
    <cellStyle name="개_02-포장-1_Book4_수량산출_자전거도로포장수량 19 2" xfId="34457"/>
    <cellStyle name="개_02-포장-1_Book4_수량산출_자전거도로포장수량 2" xfId="13539"/>
    <cellStyle name="개_02-포장-1_Book4_수량산출_자전거도로포장수량 2 2" xfId="26407"/>
    <cellStyle name="개_02-포장-1_Book4_수량산출_자전거도로포장수량 20" xfId="22390"/>
    <cellStyle name="개_02-포장-1_Book4_수량산출_자전거도로포장수량 20 2" xfId="34824"/>
    <cellStyle name="개_02-포장-1_Book4_수량산출_자전거도로포장수량 21" xfId="21075"/>
    <cellStyle name="개_02-포장-1_Book4_수량산출_자전거도로포장수량 21 2" xfId="33512"/>
    <cellStyle name="개_02-포장-1_Book4_수량산출_자전거도로포장수량 3" xfId="16851"/>
    <cellStyle name="개_02-포장-1_Book4_수량산출_자전거도로포장수량 3 2" xfId="29626"/>
    <cellStyle name="개_02-포장-1_Book4_수량산출_자전거도로포장수량 4" xfId="15867"/>
    <cellStyle name="개_02-포장-1_Book4_수량산출_자전거도로포장수량 4 2" xfId="28665"/>
    <cellStyle name="개_02-포장-1_Book4_수량산출_자전거도로포장수량 5" xfId="17063"/>
    <cellStyle name="개_02-포장-1_Book4_수량산출_자전거도로포장수량 5 2" xfId="29799"/>
    <cellStyle name="개_02-포장-1_Book4_수량산출_자전거도로포장수량 6" xfId="13337"/>
    <cellStyle name="개_02-포장-1_Book4_수량산출_자전거도로포장수량 6 2" xfId="26205"/>
    <cellStyle name="개_02-포장-1_Book4_수량산출_자전거도로포장수량 7" xfId="14579"/>
    <cellStyle name="개_02-포장-1_Book4_수량산출_자전거도로포장수량 7 2" xfId="27405"/>
    <cellStyle name="개_02-포장-1_Book4_수량산출_자전거도로포장수량 8" xfId="13845"/>
    <cellStyle name="개_02-포장-1_Book4_수량산출_자전거도로포장수량 8 2" xfId="26704"/>
    <cellStyle name="개_02-포장-1_Book4_수량산출_자전거도로포장수량 9" xfId="16042"/>
    <cellStyle name="개_02-포장-1_Book4_수량산출_자전거도로포장수량 9 2" xfId="28826"/>
    <cellStyle name="개_02-포장-1_Book4_인월중군소하천" xfId="2747"/>
    <cellStyle name="개_02-포장-1_Book4_인월중군소하천 10" xfId="18167"/>
    <cellStyle name="개_02-포장-1_Book4_인월중군소하천 10 2" xfId="30874"/>
    <cellStyle name="개_02-포장-1_Book4_인월중군소하천 11" xfId="19440"/>
    <cellStyle name="개_02-포장-1_Book4_인월중군소하천 12" xfId="22501"/>
    <cellStyle name="개_02-포장-1_Book4_인월중군소하천 12 2" xfId="34935"/>
    <cellStyle name="개_02-포장-1_Book4_인월중군소하천 13" xfId="23575"/>
    <cellStyle name="개_02-포장-1_Book4_인월중군소하천 13 2" xfId="36006"/>
    <cellStyle name="개_02-포장-1_Book4_인월중군소하천 14" xfId="22856"/>
    <cellStyle name="개_02-포장-1_Book4_인월중군소하천 14 2" xfId="35290"/>
    <cellStyle name="개_02-포장-1_Book4_인월중군소하천 15" xfId="19840"/>
    <cellStyle name="개_02-포장-1_Book4_인월중군소하천 15 2" xfId="32290"/>
    <cellStyle name="개_02-포장-1_Book4_인월중군소하천 16" xfId="20855"/>
    <cellStyle name="개_02-포장-1_Book4_인월중군소하천 16 2" xfId="33292"/>
    <cellStyle name="개_02-포장-1_Book4_인월중군소하천 17" xfId="22148"/>
    <cellStyle name="개_02-포장-1_Book4_인월중군소하천 17 2" xfId="34584"/>
    <cellStyle name="개_02-포장-1_Book4_인월중군소하천 18" xfId="20802"/>
    <cellStyle name="개_02-포장-1_Book4_인월중군소하천 18 2" xfId="33240"/>
    <cellStyle name="개_02-포장-1_Book4_인월중군소하천 19" xfId="20047"/>
    <cellStyle name="개_02-포장-1_Book4_인월중군소하천 19 2" xfId="32493"/>
    <cellStyle name="개_02-포장-1_Book4_인월중군소하천 2" xfId="13540"/>
    <cellStyle name="개_02-포장-1_Book4_인월중군소하천 2 2" xfId="26408"/>
    <cellStyle name="개_02-포장-1_Book4_인월중군소하천 20" xfId="24946"/>
    <cellStyle name="개_02-포장-1_Book4_인월중군소하천 20 2" xfId="37377"/>
    <cellStyle name="개_02-포장-1_Book4_인월중군소하천 21" xfId="25037"/>
    <cellStyle name="개_02-포장-1_Book4_인월중군소하천 21 2" xfId="37468"/>
    <cellStyle name="개_02-포장-1_Book4_인월중군소하천 3" xfId="16850"/>
    <cellStyle name="개_02-포장-1_Book4_인월중군소하천 3 2" xfId="29625"/>
    <cellStyle name="개_02-포장-1_Book4_인월중군소하천 4" xfId="15866"/>
    <cellStyle name="개_02-포장-1_Book4_인월중군소하천 4 2" xfId="28664"/>
    <cellStyle name="개_02-포장-1_Book4_인월중군소하천 5" xfId="16958"/>
    <cellStyle name="개_02-포장-1_Book4_인월중군소하천 5 2" xfId="29733"/>
    <cellStyle name="개_02-포장-1_Book4_인월중군소하천 6" xfId="17664"/>
    <cellStyle name="개_02-포장-1_Book4_인월중군소하천 6 2" xfId="30381"/>
    <cellStyle name="개_02-포장-1_Book4_인월중군소하천 7" xfId="17462"/>
    <cellStyle name="개_02-포장-1_Book4_인월중군소하천 7 2" xfId="30184"/>
    <cellStyle name="개_02-포장-1_Book4_인월중군소하천 8" xfId="12572"/>
    <cellStyle name="개_02-포장-1_Book4_인월중군소하천 8 2" xfId="25452"/>
    <cellStyle name="개_02-포장-1_Book4_인월중군소하천 9" xfId="13005"/>
    <cellStyle name="개_02-포장-1_Book4_인월중군소하천 9 2" xfId="25880"/>
    <cellStyle name="개_02-포장-1_Book4_인월중군소하천_자전거도로구조물공수량" xfId="2748"/>
    <cellStyle name="개_02-포장-1_Book4_인월중군소하천_자전거도로구조물공수량 10" xfId="17104"/>
    <cellStyle name="개_02-포장-1_Book4_인월중군소하천_자전거도로구조물공수량 10 2" xfId="29839"/>
    <cellStyle name="개_02-포장-1_Book4_인월중군소하천_자전거도로구조물공수량 11" xfId="19441"/>
    <cellStyle name="개_02-포장-1_Book4_인월중군소하천_자전거도로구조물공수량 12" xfId="22500"/>
    <cellStyle name="개_02-포장-1_Book4_인월중군소하천_자전거도로구조물공수량 12 2" xfId="34934"/>
    <cellStyle name="개_02-포장-1_Book4_인월중군소하천_자전거도로구조물공수량 13" xfId="21670"/>
    <cellStyle name="개_02-포장-1_Book4_인월중군소하천_자전거도로구조물공수량 13 2" xfId="34107"/>
    <cellStyle name="개_02-포장-1_Book4_인월중군소하천_자전거도로구조물공수량 14" xfId="23946"/>
    <cellStyle name="개_02-포장-1_Book4_인월중군소하천_자전거도로구조물공수량 14 2" xfId="36377"/>
    <cellStyle name="개_02-포장-1_Book4_인월중군소하천_자전거도로구조물공수량 15" xfId="21047"/>
    <cellStyle name="개_02-포장-1_Book4_인월중군소하천_자전거도로구조물공수량 15 2" xfId="33484"/>
    <cellStyle name="개_02-포장-1_Book4_인월중군소하천_자전거도로구조물공수량 16" xfId="19243"/>
    <cellStyle name="개_02-포장-1_Book4_인월중군소하천_자전거도로구조물공수량 16 2" xfId="31898"/>
    <cellStyle name="개_02-포장-1_Book4_인월중군소하천_자전거도로구조물공수량 17" xfId="24604"/>
    <cellStyle name="개_02-포장-1_Book4_인월중군소하천_자전거도로구조물공수량 17 2" xfId="37035"/>
    <cellStyle name="개_02-포장-1_Book4_인월중군소하천_자전거도로구조물공수량 18" xfId="19763"/>
    <cellStyle name="개_02-포장-1_Book4_인월중군소하천_자전거도로구조물공수량 18 2" xfId="32216"/>
    <cellStyle name="개_02-포장-1_Book4_인월중군소하천_자전거도로구조물공수량 19" xfId="22021"/>
    <cellStyle name="개_02-포장-1_Book4_인월중군소하천_자전거도로구조물공수량 19 2" xfId="34458"/>
    <cellStyle name="개_02-포장-1_Book4_인월중군소하천_자전거도로구조물공수량 2" xfId="13541"/>
    <cellStyle name="개_02-포장-1_Book4_인월중군소하천_자전거도로구조물공수량 2 2" xfId="26409"/>
    <cellStyle name="개_02-포장-1_Book4_인월중군소하천_자전거도로구조물공수량 20" xfId="24480"/>
    <cellStyle name="개_02-포장-1_Book4_인월중군소하천_자전거도로구조물공수량 20 2" xfId="36911"/>
    <cellStyle name="개_02-포장-1_Book4_인월중군소하천_자전거도로구조물공수량 21" xfId="18779"/>
    <cellStyle name="개_02-포장-1_Book4_인월중군소하천_자전거도로구조물공수량 21 2" xfId="31484"/>
    <cellStyle name="개_02-포장-1_Book4_인월중군소하천_자전거도로구조물공수량 3" xfId="16849"/>
    <cellStyle name="개_02-포장-1_Book4_인월중군소하천_자전거도로구조물공수량 3 2" xfId="29624"/>
    <cellStyle name="개_02-포장-1_Book4_인월중군소하천_자전거도로구조물공수량 4" xfId="15865"/>
    <cellStyle name="개_02-포장-1_Book4_인월중군소하천_자전거도로구조물공수량 4 2" xfId="28663"/>
    <cellStyle name="개_02-포장-1_Book4_인월중군소하천_자전거도로구조물공수량 5" xfId="17004"/>
    <cellStyle name="개_02-포장-1_Book4_인월중군소하천_자전거도로구조물공수량 5 2" xfId="29779"/>
    <cellStyle name="개_02-포장-1_Book4_인월중군소하천_자전거도로구조물공수량 6" xfId="13181"/>
    <cellStyle name="개_02-포장-1_Book4_인월중군소하천_자전거도로구조물공수량 6 2" xfId="26049"/>
    <cellStyle name="개_02-포장-1_Book4_인월중군소하천_자전거도로구조물공수량 7" xfId="13625"/>
    <cellStyle name="개_02-포장-1_Book4_인월중군소하천_자전거도로구조물공수량 7 2" xfId="26493"/>
    <cellStyle name="개_02-포장-1_Book4_인월중군소하천_자전거도로구조물공수량 8" xfId="17616"/>
    <cellStyle name="개_02-포장-1_Book4_인월중군소하천_자전거도로구조물공수량 8 2" xfId="30333"/>
    <cellStyle name="개_02-포장-1_Book4_인월중군소하천_자전거도로구조물공수량 9" xfId="17466"/>
    <cellStyle name="개_02-포장-1_Book4_인월중군소하천_자전거도로구조물공수량 9 2" xfId="30188"/>
    <cellStyle name="개_02-포장-1_Book4_인월중군소하천_자전거도로포장수량" xfId="2749"/>
    <cellStyle name="개_02-포장-1_Book4_인월중군소하천_자전거도로포장수량 10" xfId="17487"/>
    <cellStyle name="개_02-포장-1_Book4_인월중군소하천_자전거도로포장수량 10 2" xfId="30209"/>
    <cellStyle name="개_02-포장-1_Book4_인월중군소하천_자전거도로포장수량 11" xfId="19442"/>
    <cellStyle name="개_02-포장-1_Book4_인월중군소하천_자전거도로포장수량 12" xfId="23321"/>
    <cellStyle name="개_02-포장-1_Book4_인월중군소하천_자전거도로포장수량 12 2" xfId="35753"/>
    <cellStyle name="개_02-포장-1_Book4_인월중군소하천_자전거도로포장수량 13" xfId="21671"/>
    <cellStyle name="개_02-포장-1_Book4_인월중군소하천_자전거도로포장수량 13 2" xfId="34108"/>
    <cellStyle name="개_02-포장-1_Book4_인월중군소하천_자전거도로포장수량 14" xfId="23945"/>
    <cellStyle name="개_02-포장-1_Book4_인월중군소하천_자전거도로포장수량 14 2" xfId="36376"/>
    <cellStyle name="개_02-포장-1_Book4_인월중군소하천_자전거도로포장수량 15" xfId="19841"/>
    <cellStyle name="개_02-포장-1_Book4_인월중군소하천_자전거도로포장수량 15 2" xfId="32291"/>
    <cellStyle name="개_02-포장-1_Book4_인월중군소하천_자전거도로포장수량 16" xfId="23657"/>
    <cellStyle name="개_02-포장-1_Book4_인월중군소하천_자전거도로포장수량 16 2" xfId="36088"/>
    <cellStyle name="개_02-포장-1_Book4_인월중군소하천_자전거도로포장수량 17" xfId="24603"/>
    <cellStyle name="개_02-포장-1_Book4_인월중군소하천_자전거도로포장수량 17 2" xfId="37034"/>
    <cellStyle name="개_02-포장-1_Book4_인월중군소하천_자전거도로포장수량 18" xfId="24790"/>
    <cellStyle name="개_02-포장-1_Book4_인월중군소하천_자전거도로포장수량 18 2" xfId="37221"/>
    <cellStyle name="개_02-포장-1_Book4_인월중군소하천_자전거도로포장수량 19" xfId="24379"/>
    <cellStyle name="개_02-포장-1_Book4_인월중군소하천_자전거도로포장수량 19 2" xfId="36810"/>
    <cellStyle name="개_02-포장-1_Book4_인월중군소하천_자전거도로포장수량 2" xfId="13542"/>
    <cellStyle name="개_02-포장-1_Book4_인월중군소하천_자전거도로포장수량 2 2" xfId="26410"/>
    <cellStyle name="개_02-포장-1_Book4_인월중군소하천_자전거도로포장수량 20" xfId="19741"/>
    <cellStyle name="개_02-포장-1_Book4_인월중군소하천_자전거도로포장수량 20 2" xfId="32194"/>
    <cellStyle name="개_02-포장-1_Book4_인월중군소하천_자전거도로포장수량 21" xfId="22431"/>
    <cellStyle name="개_02-포장-1_Book4_인월중군소하천_자전거도로포장수량 21 2" xfId="34865"/>
    <cellStyle name="개_02-포장-1_Book4_인월중군소하천_자전거도로포장수량 3" xfId="16848"/>
    <cellStyle name="개_02-포장-1_Book4_인월중군소하천_자전거도로포장수량 3 2" xfId="29623"/>
    <cellStyle name="개_02-포장-1_Book4_인월중군소하천_자전거도로포장수량 4" xfId="15864"/>
    <cellStyle name="개_02-포장-1_Book4_인월중군소하천_자전거도로포장수량 4 2" xfId="28662"/>
    <cellStyle name="개_02-포장-1_Book4_인월중군소하천_자전거도로포장수량 5" xfId="17062"/>
    <cellStyle name="개_02-포장-1_Book4_인월중군소하천_자전거도로포장수량 5 2" xfId="29798"/>
    <cellStyle name="개_02-포장-1_Book4_인월중군소하천_자전거도로포장수량 6" xfId="13336"/>
    <cellStyle name="개_02-포장-1_Book4_인월중군소하천_자전거도로포장수량 6 2" xfId="26204"/>
    <cellStyle name="개_02-포장-1_Book4_인월중군소하천_자전거도로포장수량 7" xfId="13759"/>
    <cellStyle name="개_02-포장-1_Book4_인월중군소하천_자전거도로포장수량 7 2" xfId="26620"/>
    <cellStyle name="개_02-포장-1_Book4_인월중군소하천_자전거도로포장수량 8" xfId="15366"/>
    <cellStyle name="개_02-포장-1_Book4_인월중군소하천_자전거도로포장수량 8 2" xfId="28183"/>
    <cellStyle name="개_02-포장-1_Book4_인월중군소하천_자전거도로포장수량 9" xfId="16181"/>
    <cellStyle name="개_02-포장-1_Book4_인월중군소하천_자전거도로포장수량 9 2" xfId="28957"/>
    <cellStyle name="개_02-포장-1_Book4_자전거도로구조물공수량" xfId="2750"/>
    <cellStyle name="개_02-포장-1_Book4_자전거도로구조물공수량 10" xfId="18166"/>
    <cellStyle name="개_02-포장-1_Book4_자전거도로구조물공수량 10 2" xfId="30873"/>
    <cellStyle name="개_02-포장-1_Book4_자전거도로구조물공수량 11" xfId="19443"/>
    <cellStyle name="개_02-포장-1_Book4_자전거도로구조물공수량 12" xfId="23320"/>
    <cellStyle name="개_02-포장-1_Book4_자전거도로구조물공수량 12 2" xfId="35752"/>
    <cellStyle name="개_02-포장-1_Book4_자전거도로구조물공수량 13" xfId="23574"/>
    <cellStyle name="개_02-포장-1_Book4_자전거도로구조물공수량 13 2" xfId="36005"/>
    <cellStyle name="개_02-포장-1_Book4_자전거도로구조물공수량 14" xfId="22857"/>
    <cellStyle name="개_02-포장-1_Book4_자전거도로구조물공수량 14 2" xfId="35291"/>
    <cellStyle name="개_02-포장-1_Book4_자전거도로구조물공수량 15" xfId="21048"/>
    <cellStyle name="개_02-포장-1_Book4_자전거도로구조물공수량 15 2" xfId="33485"/>
    <cellStyle name="개_02-포장-1_Book4_자전거도로구조물공수량 16" xfId="20681"/>
    <cellStyle name="개_02-포장-1_Book4_자전거도로구조물공수량 16 2" xfId="33125"/>
    <cellStyle name="개_02-포장-1_Book4_자전거도로구조물공수량 17" xfId="22149"/>
    <cellStyle name="개_02-포장-1_Book4_자전거도로구조물공수량 17 2" xfId="34585"/>
    <cellStyle name="개_02-포장-1_Book4_자전거도로구조물공수량 18" xfId="23076"/>
    <cellStyle name="개_02-포장-1_Book4_자전거도로구조물공수량 18 2" xfId="35509"/>
    <cellStyle name="개_02-포장-1_Book4_자전거도로구조물공수량 19" xfId="22189"/>
    <cellStyle name="개_02-포장-1_Book4_자전거도로구조물공수량 19 2" xfId="34624"/>
    <cellStyle name="개_02-포장-1_Book4_자전거도로구조물공수량 2" xfId="13543"/>
    <cellStyle name="개_02-포장-1_Book4_자전거도로구조물공수량 2 2" xfId="26411"/>
    <cellStyle name="개_02-포장-1_Book4_자전거도로구조물공수량 20" xfId="24945"/>
    <cellStyle name="개_02-포장-1_Book4_자전거도로구조물공수량 20 2" xfId="37376"/>
    <cellStyle name="개_02-포장-1_Book4_자전거도로구조물공수량 21" xfId="25036"/>
    <cellStyle name="개_02-포장-1_Book4_자전거도로구조물공수량 21 2" xfId="37467"/>
    <cellStyle name="개_02-포장-1_Book4_자전거도로구조물공수량 3" xfId="16847"/>
    <cellStyle name="개_02-포장-1_Book4_자전거도로구조물공수량 3 2" xfId="29622"/>
    <cellStyle name="개_02-포장-1_Book4_자전거도로구조물공수량 4" xfId="12431"/>
    <cellStyle name="개_02-포장-1_Book4_자전거도로구조물공수량 4 2" xfId="25311"/>
    <cellStyle name="개_02-포장-1_Book4_자전거도로구조물공수량 5" xfId="16609"/>
    <cellStyle name="개_02-포장-1_Book4_자전거도로구조물공수량 5 2" xfId="29385"/>
    <cellStyle name="개_02-포장-1_Book4_자전거도로구조물공수량 6" xfId="17663"/>
    <cellStyle name="개_02-포장-1_Book4_자전거도로구조물공수량 6 2" xfId="30380"/>
    <cellStyle name="개_02-포장-1_Book4_자전거도로구조물공수량 7" xfId="14704"/>
    <cellStyle name="개_02-포장-1_Book4_자전거도로구조물공수량 7 2" xfId="27530"/>
    <cellStyle name="개_02-포장-1_Book4_자전거도로구조물공수량 8" xfId="17259"/>
    <cellStyle name="개_02-포장-1_Book4_자전거도로구조물공수량 8 2" xfId="29992"/>
    <cellStyle name="개_02-포장-1_Book4_자전거도로구조물공수량 9" xfId="17420"/>
    <cellStyle name="개_02-포장-1_Book4_자전거도로구조물공수량 9 2" xfId="30143"/>
    <cellStyle name="개_02-포장-1_Book4_자전거도로포장수량" xfId="2751"/>
    <cellStyle name="개_02-포장-1_Book4_자전거도로포장수량 10" xfId="18165"/>
    <cellStyle name="개_02-포장-1_Book4_자전거도로포장수량 10 2" xfId="30872"/>
    <cellStyle name="개_02-포장-1_Book4_자전거도로포장수량 11" xfId="19444"/>
    <cellStyle name="개_02-포장-1_Book4_자전거도로포장수량 12" xfId="23319"/>
    <cellStyle name="개_02-포장-1_Book4_자전거도로포장수량 12 2" xfId="35751"/>
    <cellStyle name="개_02-포장-1_Book4_자전거도로포장수량 13" xfId="23573"/>
    <cellStyle name="개_02-포장-1_Book4_자전거도로포장수량 13 2" xfId="36004"/>
    <cellStyle name="개_02-포장-1_Book4_자전거도로포장수량 14" xfId="22850"/>
    <cellStyle name="개_02-포장-1_Book4_자전거도로포장수량 14 2" xfId="35284"/>
    <cellStyle name="개_02-포장-1_Book4_자전거도로포장수량 15" xfId="24256"/>
    <cellStyle name="개_02-포장-1_Book4_자전거도로포장수량 15 2" xfId="36687"/>
    <cellStyle name="개_02-포장-1_Book4_자전거도로포장수량 16" xfId="23520"/>
    <cellStyle name="개_02-포장-1_Book4_자전거도로포장수량 16 2" xfId="35951"/>
    <cellStyle name="개_02-포장-1_Book4_자전거도로포장수량 17" xfId="18976"/>
    <cellStyle name="개_02-포장-1_Book4_자전거도로포장수량 17 2" xfId="31681"/>
    <cellStyle name="개_02-포장-1_Book4_자전거도로포장수량 18" xfId="19762"/>
    <cellStyle name="개_02-포장-1_Book4_자전거도로포장수량 18 2" xfId="32215"/>
    <cellStyle name="개_02-포장-1_Book4_자전거도로포장수량 19" xfId="20659"/>
    <cellStyle name="개_02-포장-1_Book4_자전거도로포장수량 19 2" xfId="33103"/>
    <cellStyle name="개_02-포장-1_Book4_자전거도로포장수량 2" xfId="13544"/>
    <cellStyle name="개_02-포장-1_Book4_자전거도로포장수량 2 2" xfId="26412"/>
    <cellStyle name="개_02-포장-1_Book4_자전거도로포장수량 20" xfId="24944"/>
    <cellStyle name="개_02-포장-1_Book4_자전거도로포장수량 20 2" xfId="37375"/>
    <cellStyle name="개_02-포장-1_Book4_자전거도로포장수량 21" xfId="25035"/>
    <cellStyle name="개_02-포장-1_Book4_자전거도로포장수량 21 2" xfId="37466"/>
    <cellStyle name="개_02-포장-1_Book4_자전거도로포장수량 3" xfId="16846"/>
    <cellStyle name="개_02-포장-1_Book4_자전거도로포장수량 3 2" xfId="29621"/>
    <cellStyle name="개_02-포장-1_Book4_자전거도로포장수량 4" xfId="17357"/>
    <cellStyle name="개_02-포장-1_Book4_자전거도로포장수량 4 2" xfId="30086"/>
    <cellStyle name="개_02-포장-1_Book4_자전거도로포장수량 5" xfId="16959"/>
    <cellStyle name="개_02-포장-1_Book4_자전거도로포장수량 5 2" xfId="29734"/>
    <cellStyle name="개_02-포장-1_Book4_자전거도로포장수량 6" xfId="17662"/>
    <cellStyle name="개_02-포장-1_Book4_자전거도로포장수량 6 2" xfId="30379"/>
    <cellStyle name="개_02-포장-1_Book4_자전거도로포장수량 7" xfId="13330"/>
    <cellStyle name="개_02-포장-1_Book4_자전거도로포장수량 7 2" xfId="26198"/>
    <cellStyle name="개_02-포장-1_Book4_자전거도로포장수량 8" xfId="15600"/>
    <cellStyle name="개_02-포장-1_Book4_자전거도로포장수량 8 2" xfId="28409"/>
    <cellStyle name="개_02-포장-1_Book4_자전거도로포장수량 9" xfId="15567"/>
    <cellStyle name="개_02-포장-1_Book4_자전거도로포장수량 9 2" xfId="28376"/>
    <cellStyle name="개_02-포장-1_수량전체" xfId="2752"/>
    <cellStyle name="개_02-포장-1_수량전체 10" xfId="18164"/>
    <cellStyle name="개_02-포장-1_수량전체 10 2" xfId="30871"/>
    <cellStyle name="개_02-포장-1_수량전체 11" xfId="19445"/>
    <cellStyle name="개_02-포장-1_수량전체 12" xfId="23318"/>
    <cellStyle name="개_02-포장-1_수량전체 12 2" xfId="35750"/>
    <cellStyle name="개_02-포장-1_수량전체 13" xfId="23572"/>
    <cellStyle name="개_02-포장-1_수량전체 13 2" xfId="36003"/>
    <cellStyle name="개_02-포장-1_수량전체 14" xfId="22849"/>
    <cellStyle name="개_02-포장-1_수량전체 14 2" xfId="35283"/>
    <cellStyle name="개_02-포장-1_수량전체 15" xfId="24255"/>
    <cellStyle name="개_02-포장-1_수량전체 15 2" xfId="36686"/>
    <cellStyle name="개_02-포장-1_수량전체 16" xfId="19548"/>
    <cellStyle name="개_02-포장-1_수량전체 16 2" xfId="32003"/>
    <cellStyle name="개_02-포장-1_수량전체 17" xfId="19249"/>
    <cellStyle name="개_02-포장-1_수량전체 17 2" xfId="31904"/>
    <cellStyle name="개_02-포장-1_수량전체 18" xfId="24789"/>
    <cellStyle name="개_02-포장-1_수량전체 18 2" xfId="37220"/>
    <cellStyle name="개_02-포장-1_수량전체 19" xfId="22190"/>
    <cellStyle name="개_02-포장-1_수량전체 19 2" xfId="34625"/>
    <cellStyle name="개_02-포장-1_수량전체 2" xfId="13545"/>
    <cellStyle name="개_02-포장-1_수량전체 2 2" xfId="26413"/>
    <cellStyle name="개_02-포장-1_수량전체 20" xfId="24943"/>
    <cellStyle name="개_02-포장-1_수량전체 20 2" xfId="37374"/>
    <cellStyle name="개_02-포장-1_수량전체 21" xfId="25034"/>
    <cellStyle name="개_02-포장-1_수량전체 21 2" xfId="37465"/>
    <cellStyle name="개_02-포장-1_수량전체 3" xfId="16845"/>
    <cellStyle name="개_02-포장-1_수량전체 3 2" xfId="29620"/>
    <cellStyle name="개_02-포장-1_수량전체 4" xfId="17356"/>
    <cellStyle name="개_02-포장-1_수량전체 4 2" xfId="30085"/>
    <cellStyle name="개_02-포장-1_수량전체 5" xfId="16960"/>
    <cellStyle name="개_02-포장-1_수량전체 5 2" xfId="29735"/>
    <cellStyle name="개_02-포장-1_수량전체 6" xfId="17661"/>
    <cellStyle name="개_02-포장-1_수량전체 6 2" xfId="30378"/>
    <cellStyle name="개_02-포장-1_수량전체 7" xfId="13624"/>
    <cellStyle name="개_02-포장-1_수량전체 7 2" xfId="26492"/>
    <cellStyle name="개_02-포장-1_수량전체 8" xfId="13332"/>
    <cellStyle name="개_02-포장-1_수량전체 8 2" xfId="26200"/>
    <cellStyle name="개_02-포장-1_수량전체 9" xfId="16775"/>
    <cellStyle name="개_02-포장-1_수량전체 9 2" xfId="29550"/>
    <cellStyle name="개_02-포장-1_수량전체_도로수량양식" xfId="2753"/>
    <cellStyle name="개_02-포장-1_수량전체_도로수량양식 10" xfId="18163"/>
    <cellStyle name="개_02-포장-1_수량전체_도로수량양식 10 2" xfId="30870"/>
    <cellStyle name="개_02-포장-1_수량전체_도로수량양식 11" xfId="19446"/>
    <cellStyle name="개_02-포장-1_수량전체_도로수량양식 12" xfId="23317"/>
    <cellStyle name="개_02-포장-1_수량전체_도로수량양식 12 2" xfId="35749"/>
    <cellStyle name="개_02-포장-1_수량전체_도로수량양식 13" xfId="23571"/>
    <cellStyle name="개_02-포장-1_수량전체_도로수량양식 13 2" xfId="36002"/>
    <cellStyle name="개_02-포장-1_수량전체_도로수량양식 14" xfId="19160"/>
    <cellStyle name="개_02-포장-1_수량전체_도로수량양식 14 2" xfId="31815"/>
    <cellStyle name="개_02-포장-1_수량전체_도로수량양식 15" xfId="19842"/>
    <cellStyle name="개_02-포장-1_수량전체_도로수량양식 15 2" xfId="32292"/>
    <cellStyle name="개_02-포장-1_수량전체_도로수량양식 16" xfId="23521"/>
    <cellStyle name="개_02-포장-1_수량전체_도로수량양식 16 2" xfId="35952"/>
    <cellStyle name="개_02-포장-1_수량전체_도로수량양식 17" xfId="18555"/>
    <cellStyle name="개_02-포장-1_수량전체_도로수량양식 17 2" xfId="31260"/>
    <cellStyle name="개_02-포장-1_수량전체_도로수량양식 18" xfId="24788"/>
    <cellStyle name="개_02-포장-1_수량전체_도로수량양식 18 2" xfId="37219"/>
    <cellStyle name="개_02-포장-1_수량전체_도로수량양식 19" xfId="19510"/>
    <cellStyle name="개_02-포장-1_수량전체_도로수량양식 19 2" xfId="31965"/>
    <cellStyle name="개_02-포장-1_수량전체_도로수량양식 2" xfId="13546"/>
    <cellStyle name="개_02-포장-1_수량전체_도로수량양식 2 2" xfId="26414"/>
    <cellStyle name="개_02-포장-1_수량전체_도로수량양식 20" xfId="24942"/>
    <cellStyle name="개_02-포장-1_수량전체_도로수량양식 20 2" xfId="37373"/>
    <cellStyle name="개_02-포장-1_수량전체_도로수량양식 21" xfId="25033"/>
    <cellStyle name="개_02-포장-1_수량전체_도로수량양식 21 2" xfId="37464"/>
    <cellStyle name="개_02-포장-1_수량전체_도로수량양식 3" xfId="16844"/>
    <cellStyle name="개_02-포장-1_수량전체_도로수량양식 3 2" xfId="29619"/>
    <cellStyle name="개_02-포장-1_수량전체_도로수량양식 4" xfId="15863"/>
    <cellStyle name="개_02-포장-1_수량전체_도로수량양식 4 2" xfId="28661"/>
    <cellStyle name="개_02-포장-1_수량전체_도로수량양식 5" xfId="16961"/>
    <cellStyle name="개_02-포장-1_수량전체_도로수량양식 5 2" xfId="29736"/>
    <cellStyle name="개_02-포장-1_수량전체_도로수량양식 6" xfId="17660"/>
    <cellStyle name="개_02-포장-1_수량전체_도로수량양식 6 2" xfId="30377"/>
    <cellStyle name="개_02-포장-1_수량전체_도로수량양식 7" xfId="12400"/>
    <cellStyle name="개_02-포장-1_수량전체_도로수량양식 7 2" xfId="25280"/>
    <cellStyle name="개_02-포장-1_수량전체_도로수량양식 8" xfId="15717"/>
    <cellStyle name="개_02-포장-1_수량전체_도로수량양식 8 2" xfId="28517"/>
    <cellStyle name="개_02-포장-1_수량전체_도로수량양식 9" xfId="16026"/>
    <cellStyle name="개_02-포장-1_수량전체_도로수량양식 9 2" xfId="28824"/>
    <cellStyle name="개_02-포장-1_수량전체_도로수량양식_자전거도로구조물공수량" xfId="2754"/>
    <cellStyle name="개_02-포장-1_수량전체_도로수량양식_자전거도로구조물공수량 10" xfId="18162"/>
    <cellStyle name="개_02-포장-1_수량전체_도로수량양식_자전거도로구조물공수량 10 2" xfId="30869"/>
    <cellStyle name="개_02-포장-1_수량전체_도로수량양식_자전거도로구조물공수량 11" xfId="19447"/>
    <cellStyle name="개_02-포장-1_수량전체_도로수량양식_자전거도로구조물공수량 12" xfId="19771"/>
    <cellStyle name="개_02-포장-1_수량전체_도로수량양식_자전거도로구조물공수량 12 2" xfId="32221"/>
    <cellStyle name="개_02-포장-1_수량전체_도로수량양식_자전거도로구조물공수량 13" xfId="23570"/>
    <cellStyle name="개_02-포장-1_수량전체_도로수량양식_자전거도로구조물공수량 13 2" xfId="36001"/>
    <cellStyle name="개_02-포장-1_수량전체_도로수량양식_자전거도로구조물공수량 14" xfId="23944"/>
    <cellStyle name="개_02-포장-1_수량전체_도로수량양식_자전거도로구조물공수량 14 2" xfId="36375"/>
    <cellStyle name="개_02-포장-1_수량전체_도로수량양식_자전거도로구조물공수량 15" xfId="21049"/>
    <cellStyle name="개_02-포장-1_수량전체_도로수량양식_자전거도로구조물공수량 15 2" xfId="33486"/>
    <cellStyle name="개_02-포장-1_수량전체_도로수량양식_자전거도로구조물공수량 16" xfId="18308"/>
    <cellStyle name="개_02-포장-1_수량전체_도로수량양식_자전거도로구조물공수량 16 2" xfId="31014"/>
    <cellStyle name="개_02-포장-1_수량전체_도로수량양식_자전거도로구조물공수량 17" xfId="24602"/>
    <cellStyle name="개_02-포장-1_수량전체_도로수량양식_자전거도로구조물공수량 17 2" xfId="37033"/>
    <cellStyle name="개_02-포장-1_수량전체_도로수량양식_자전거도로구조물공수량 18" xfId="24787"/>
    <cellStyle name="개_02-포장-1_수량전체_도로수량양식_자전거도로구조물공수량 18 2" xfId="37218"/>
    <cellStyle name="개_02-포장-1_수량전체_도로수량양식_자전거도로구조물공수량 19" xfId="24740"/>
    <cellStyle name="개_02-포장-1_수량전체_도로수량양식_자전거도로구조물공수량 19 2" xfId="37171"/>
    <cellStyle name="개_02-포장-1_수량전체_도로수량양식_자전거도로구조물공수량 2" xfId="13547"/>
    <cellStyle name="개_02-포장-1_수량전체_도로수량양식_자전거도로구조물공수량 2 2" xfId="26415"/>
    <cellStyle name="개_02-포장-1_수량전체_도로수량양식_자전거도로구조물공수량 20" xfId="24941"/>
    <cellStyle name="개_02-포장-1_수량전체_도로수량양식_자전거도로구조물공수량 20 2" xfId="37372"/>
    <cellStyle name="개_02-포장-1_수량전체_도로수량양식_자전거도로구조물공수량 21" xfId="25032"/>
    <cellStyle name="개_02-포장-1_수량전체_도로수량양식_자전거도로구조물공수량 21 2" xfId="37463"/>
    <cellStyle name="개_02-포장-1_수량전체_도로수량양식_자전거도로구조물공수량 3" xfId="16843"/>
    <cellStyle name="개_02-포장-1_수량전체_도로수량양식_자전거도로구조물공수량 3 2" xfId="29618"/>
    <cellStyle name="개_02-포장-1_수량전체_도로수량양식_자전거도로구조물공수량 4" xfId="15862"/>
    <cellStyle name="개_02-포장-1_수량전체_도로수량양식_자전거도로구조물공수량 4 2" xfId="28660"/>
    <cellStyle name="개_02-포장-1_수량전체_도로수량양식_자전거도로구조물공수량 5" xfId="16962"/>
    <cellStyle name="개_02-포장-1_수량전체_도로수량양식_자전거도로구조물공수량 5 2" xfId="29737"/>
    <cellStyle name="개_02-포장-1_수량전체_도로수량양식_자전거도로구조물공수량 6" xfId="17659"/>
    <cellStyle name="개_02-포장-1_수량전체_도로수량양식_자전거도로구조물공수량 6 2" xfId="30376"/>
    <cellStyle name="개_02-포장-1_수량전체_도로수량양식_자전거도로구조물공수량 7" xfId="13027"/>
    <cellStyle name="개_02-포장-1_수량전체_도로수량양식_자전거도로구조물공수량 7 2" xfId="25902"/>
    <cellStyle name="개_02-포장-1_수량전체_도로수량양식_자전거도로구조물공수량 8" xfId="15718"/>
    <cellStyle name="개_02-포장-1_수량전체_도로수량양식_자전거도로구조물공수량 8 2" xfId="28518"/>
    <cellStyle name="개_02-포장-1_수량전체_도로수량양식_자전거도로구조물공수량 9" xfId="15566"/>
    <cellStyle name="개_02-포장-1_수량전체_도로수량양식_자전거도로구조물공수량 9 2" xfId="28375"/>
    <cellStyle name="개_02-포장-1_수량전체_도로수량양식_자전거도로포장수량" xfId="2755"/>
    <cellStyle name="개_02-포장-1_수량전체_도로수량양식_자전거도로포장수량 10" xfId="17319"/>
    <cellStyle name="개_02-포장-1_수량전체_도로수량양식_자전거도로포장수량 10 2" xfId="30048"/>
    <cellStyle name="개_02-포장-1_수량전체_도로수량양식_자전거도로포장수량 11" xfId="19448"/>
    <cellStyle name="개_02-포장-1_수량전체_도로수량양식_자전거도로포장수량 12" xfId="22499"/>
    <cellStyle name="개_02-포장-1_수량전체_도로수량양식_자전거도로포장수량 12 2" xfId="34933"/>
    <cellStyle name="개_02-포장-1_수량전체_도로수량양식_자전거도로포장수량 13" xfId="19683"/>
    <cellStyle name="개_02-포장-1_수량전체_도로수량양식_자전거도로포장수량 13 2" xfId="32137"/>
    <cellStyle name="개_02-포장-1_수량전체_도로수량양식_자전거도로포장수량 14" xfId="21312"/>
    <cellStyle name="개_02-포장-1_수량전체_도로수량양식_자전거도로포장수량 14 2" xfId="33749"/>
    <cellStyle name="개_02-포장-1_수량전체_도로수량양식_자전거도로포장수량 15" xfId="19843"/>
    <cellStyle name="개_02-포장-1_수량전체_도로수량양식_자전거도로포장수량 15 2" xfId="32293"/>
    <cellStyle name="개_02-포장-1_수량전체_도로수량양식_자전거도로포장수량 16" xfId="19727"/>
    <cellStyle name="개_02-포장-1_수량전체_도로수량양식_자전거도로포장수량 16 2" xfId="32180"/>
    <cellStyle name="개_02-포장-1_수량전체_도로수량양식_자전거도로포장수량 17" xfId="22292"/>
    <cellStyle name="개_02-포장-1_수량전체_도로수량양식_자전거도로포장수량 17 2" xfId="34726"/>
    <cellStyle name="개_02-포장-1_수량전체_도로수량양식_자전거도로포장수량 18" xfId="24786"/>
    <cellStyle name="개_02-포장-1_수량전체_도로수량양식_자전거도로포장수량 18 2" xfId="37217"/>
    <cellStyle name="개_02-포장-1_수량전체_도로수량양식_자전거도로포장수량 19" xfId="18457"/>
    <cellStyle name="개_02-포장-1_수량전체_도로수량양식_자전거도로포장수량 19 2" xfId="31162"/>
    <cellStyle name="개_02-포장-1_수량전체_도로수량양식_자전거도로포장수량 2" xfId="13548"/>
    <cellStyle name="개_02-포장-1_수량전체_도로수량양식_자전거도로포장수량 2 2" xfId="26416"/>
    <cellStyle name="개_02-포장-1_수량전체_도로수량양식_자전거도로포장수량 20" xfId="20550"/>
    <cellStyle name="개_02-포장-1_수량전체_도로수량양식_자전거도로포장수량 20 2" xfId="32995"/>
    <cellStyle name="개_02-포장-1_수량전체_도로수량양식_자전거도로포장수량 21" xfId="20307"/>
    <cellStyle name="개_02-포장-1_수량전체_도로수량양식_자전거도로포장수량 21 2" xfId="32752"/>
    <cellStyle name="개_02-포장-1_수량전체_도로수량양식_자전거도로포장수량 3" xfId="16842"/>
    <cellStyle name="개_02-포장-1_수량전체_도로수량양식_자전거도로포장수량 3 2" xfId="29617"/>
    <cellStyle name="개_02-포장-1_수량전체_도로수량양식_자전거도로포장수량 4" xfId="15861"/>
    <cellStyle name="개_02-포장-1_수량전체_도로수량양식_자전거도로포장수량 4 2" xfId="28659"/>
    <cellStyle name="개_02-포장-1_수량전체_도로수량양식_자전거도로포장수량 5" xfId="16781"/>
    <cellStyle name="개_02-포장-1_수량전체_도로수량양식_자전거도로포장수량 5 2" xfId="29556"/>
    <cellStyle name="개_02-포장-1_수량전체_도로수량양식_자전거도로포장수량 6" xfId="14575"/>
    <cellStyle name="개_02-포장-1_수량전체_도로수량양식_자전거도로포장수량 6 2" xfId="27401"/>
    <cellStyle name="개_02-포장-1_수량전체_도로수량양식_자전거도로포장수량 7" xfId="13075"/>
    <cellStyle name="개_02-포장-1_수량전체_도로수량양식_자전거도로포장수량 7 2" xfId="25944"/>
    <cellStyle name="개_02-포장-1_수량전체_도로수량양식_자전거도로포장수량 8" xfId="15719"/>
    <cellStyle name="개_02-포장-1_수량전체_도로수량양식_자전거도로포장수량 8 2" xfId="28519"/>
    <cellStyle name="개_02-포장-1_수량전체_도로수량양식_자전거도로포장수량 9" xfId="16774"/>
    <cellStyle name="개_02-포장-1_수량전체_도로수량양식_자전거도로포장수량 9 2" xfId="29549"/>
    <cellStyle name="개_02-포장-1_수량전체_수량산출" xfId="2756"/>
    <cellStyle name="개_02-포장-1_수량전체_수량산출 10" xfId="12678"/>
    <cellStyle name="개_02-포장-1_수량전체_수량산출 10 2" xfId="25557"/>
    <cellStyle name="개_02-포장-1_수량전체_수량산출 11" xfId="19449"/>
    <cellStyle name="개_02-포장-1_수량전체_수량산출 12" xfId="22498"/>
    <cellStyle name="개_02-포장-1_수량전체_수량산출 12 2" xfId="34932"/>
    <cellStyle name="개_02-포장-1_수량전체_수량산출 13" xfId="21672"/>
    <cellStyle name="개_02-포장-1_수량전체_수량산출 13 2" xfId="34109"/>
    <cellStyle name="개_02-포장-1_수량전체_수량산출 14" xfId="21518"/>
    <cellStyle name="개_02-포장-1_수량전체_수량산출 14 2" xfId="33955"/>
    <cellStyle name="개_02-포장-1_수량전체_수량산출 15" xfId="19028"/>
    <cellStyle name="개_02-포장-1_수량전체_수량산출 15 2" xfId="31733"/>
    <cellStyle name="개_02-포장-1_수량전체_수량산출 16" xfId="23658"/>
    <cellStyle name="개_02-포장-1_수량전체_수량산출 16 2" xfId="36089"/>
    <cellStyle name="개_02-포장-1_수량전체_수량산출 17" xfId="20495"/>
    <cellStyle name="개_02-포장-1_수량전체_수량산출 17 2" xfId="32940"/>
    <cellStyle name="개_02-포장-1_수량전체_수량산출 18" xfId="24785"/>
    <cellStyle name="개_02-포장-1_수량전체_수량산출 18 2" xfId="37216"/>
    <cellStyle name="개_02-포장-1_수량전체_수량산출 19" xfId="24380"/>
    <cellStyle name="개_02-포장-1_수량전체_수량산출 19 2" xfId="36811"/>
    <cellStyle name="개_02-포장-1_수량전체_수량산출 2" xfId="13549"/>
    <cellStyle name="개_02-포장-1_수량전체_수량산출 2 2" xfId="26417"/>
    <cellStyle name="개_02-포장-1_수량전체_수량산출 20" xfId="18875"/>
    <cellStyle name="개_02-포장-1_수량전체_수량산출 20 2" xfId="31580"/>
    <cellStyle name="개_02-포장-1_수량전체_수량산출 21" xfId="22376"/>
    <cellStyle name="개_02-포장-1_수량전체_수량산출 21 2" xfId="34810"/>
    <cellStyle name="개_02-포장-1_수량전체_수량산출 3" xfId="13801"/>
    <cellStyle name="개_02-포장-1_수량전체_수량산출 3 2" xfId="26660"/>
    <cellStyle name="개_02-포장-1_수량전체_수량산출 4" xfId="15860"/>
    <cellStyle name="개_02-포장-1_수량전체_수량산출 4 2" xfId="28658"/>
    <cellStyle name="개_02-포장-1_수량전체_수량산출 5" xfId="14184"/>
    <cellStyle name="개_02-포장-1_수량전체_수량산출 5 2" xfId="27032"/>
    <cellStyle name="개_02-포장-1_수량전체_수량산출 6" xfId="13180"/>
    <cellStyle name="개_02-포장-1_수량전체_수량산출 6 2" xfId="26048"/>
    <cellStyle name="개_02-포장-1_수량전체_수량산출 7" xfId="14703"/>
    <cellStyle name="개_02-포장-1_수량전체_수량산출 7 2" xfId="27529"/>
    <cellStyle name="개_02-포장-1_수량전체_수량산출 8" xfId="13017"/>
    <cellStyle name="개_02-포장-1_수량전체_수량산출 8 2" xfId="25892"/>
    <cellStyle name="개_02-포장-1_수량전체_수량산출 9" xfId="15736"/>
    <cellStyle name="개_02-포장-1_수량전체_수량산출 9 2" xfId="28536"/>
    <cellStyle name="개_02-포장-1_수량전체_수량산출_자전거도로구조물공수량" xfId="2757"/>
    <cellStyle name="개_02-포장-1_수량전체_수량산출_자전거도로구조물공수량 10" xfId="13037"/>
    <cellStyle name="개_02-포장-1_수량전체_수량산출_자전거도로구조물공수량 10 2" xfId="25912"/>
    <cellStyle name="개_02-포장-1_수량전체_수량산출_자전거도로구조물공수량 11" xfId="19450"/>
    <cellStyle name="개_02-포장-1_수량전체_수량산출_자전거도로구조물공수량 12" xfId="22497"/>
    <cellStyle name="개_02-포장-1_수량전체_수량산출_자전거도로구조물공수량 12 2" xfId="34931"/>
    <cellStyle name="개_02-포장-1_수량전체_수량산출_자전거도로구조물공수량 13" xfId="21673"/>
    <cellStyle name="개_02-포장-1_수량전체_수량산출_자전거도로구조물공수량 13 2" xfId="34110"/>
    <cellStyle name="개_02-포장-1_수량전체_수량산출_자전거도로구조물공수량 14" xfId="21320"/>
    <cellStyle name="개_02-포장-1_수량전체_수량산출_자전거도로구조물공수량 14 2" xfId="33757"/>
    <cellStyle name="개_02-포장-1_수량전체_수량산출_자전거도로구조물공수량 15" xfId="24254"/>
    <cellStyle name="개_02-포장-1_수량전체_수량산출_자전거도로구조물공수량 15 2" xfId="36685"/>
    <cellStyle name="개_02-포장-1_수량전체_수량산출_자전거도로구조물공수량 16" xfId="21136"/>
    <cellStyle name="개_02-포장-1_수량전체_수량산출_자전거도로구조물공수량 16 2" xfId="33573"/>
    <cellStyle name="개_02-포장-1_수량전체_수량산출_자전거도로구조물공수량 17" xfId="18401"/>
    <cellStyle name="개_02-포장-1_수량전체_수량산출_자전거도로구조물공수량 17 2" xfId="31106"/>
    <cellStyle name="개_02-포장-1_수량전체_수량산출_자전거도로구조물공수량 18" xfId="23058"/>
    <cellStyle name="개_02-포장-1_수량전체_수량산출_자전거도로구조물공수량 18 2" xfId="35491"/>
    <cellStyle name="개_02-포장-1_수량전체_수량산출_자전거도로구조물공수량 19" xfId="20287"/>
    <cellStyle name="개_02-포장-1_수량전체_수량산출_자전거도로구조물공수량 19 2" xfId="32732"/>
    <cellStyle name="개_02-포장-1_수량전체_수량산출_자전거도로구조물공수량 2" xfId="13550"/>
    <cellStyle name="개_02-포장-1_수량전체_수량산출_자전거도로구조물공수량 2 2" xfId="26418"/>
    <cellStyle name="개_02-포장-1_수량전체_수량산출_자전거도로구조물공수량 20" xfId="19740"/>
    <cellStyle name="개_02-포장-1_수량전체_수량산출_자전거도로구조물공수량 20 2" xfId="32193"/>
    <cellStyle name="개_02-포장-1_수량전체_수량산출_자전거도로구조물공수량 21" xfId="19173"/>
    <cellStyle name="개_02-포장-1_수량전체_수량산출_자전거도로구조물공수량 21 2" xfId="31828"/>
    <cellStyle name="개_02-포장-1_수량전체_수량산출_자전거도로구조물공수량 3" xfId="16841"/>
    <cellStyle name="개_02-포장-1_수량전체_수량산출_자전거도로구조물공수량 3 2" xfId="29616"/>
    <cellStyle name="개_02-포장-1_수량전체_수량산출_자전거도로구조물공수량 4" xfId="17355"/>
    <cellStyle name="개_02-포장-1_수량전체_수량산출_자전거도로구조물공수량 4 2" xfId="30084"/>
    <cellStyle name="개_02-포장-1_수량전체_수량산출_자전거도로구조물공수량 5" xfId="14382"/>
    <cellStyle name="개_02-포장-1_수량전체_수량산출_자전거도로구조물공수량 5 2" xfId="27215"/>
    <cellStyle name="개_02-포장-1_수량전체_수량산출_자전거도로구조물공수량 6" xfId="15945"/>
    <cellStyle name="개_02-포장-1_수량전체_수량산출_자전거도로구조물공수량 6 2" xfId="28743"/>
    <cellStyle name="개_02-포장-1_수량전체_수량산출_자전거도로구조물공수량 7" xfId="14587"/>
    <cellStyle name="개_02-포장-1_수량전체_수량산출_자전거도로구조물공수량 7 2" xfId="27413"/>
    <cellStyle name="개_02-포장-1_수량전체_수량산출_자전거도로구조물공수량 8" xfId="17407"/>
    <cellStyle name="개_02-포장-1_수량전체_수량산출_자전거도로구조물공수량 8 2" xfId="30135"/>
    <cellStyle name="개_02-포장-1_수량전체_수량산출_자전거도로구조물공수량 9" xfId="15735"/>
    <cellStyle name="개_02-포장-1_수량전체_수량산출_자전거도로구조물공수량 9 2" xfId="28535"/>
    <cellStyle name="개_02-포장-1_수량전체_수량산출_자전거도로포장수량" xfId="2758"/>
    <cellStyle name="개_02-포장-1_수량전체_수량산출_자전거도로포장수량 10" xfId="12679"/>
    <cellStyle name="개_02-포장-1_수량전체_수량산출_자전거도로포장수량 10 2" xfId="25558"/>
    <cellStyle name="개_02-포장-1_수량전체_수량산출_자전거도로포장수량 11" xfId="19451"/>
    <cellStyle name="개_02-포장-1_수량전체_수량산출_자전거도로포장수량 12" xfId="22496"/>
    <cellStyle name="개_02-포장-1_수량전체_수량산출_자전거도로포장수량 12 2" xfId="34930"/>
    <cellStyle name="개_02-포장-1_수량전체_수량산출_자전거도로포장수량 13" xfId="21674"/>
    <cellStyle name="개_02-포장-1_수량전체_수량산출_자전거도로포장수량 13 2" xfId="34111"/>
    <cellStyle name="개_02-포장-1_수량전체_수량산출_자전거도로포장수량 14" xfId="21295"/>
    <cellStyle name="개_02-포장-1_수량전체_수량산출_자전거도로포장수량 14 2" xfId="33732"/>
    <cellStyle name="개_02-포장-1_수량전체_수량산출_자전거도로포장수량 15" xfId="19844"/>
    <cellStyle name="개_02-포장-1_수량전체_수량산출_자전거도로포장수량 15 2" xfId="32294"/>
    <cellStyle name="개_02-포장-1_수량전체_수량산출_자전거도로포장수량 16" xfId="24203"/>
    <cellStyle name="개_02-포장-1_수량전체_수량산출_자전거도로포장수량 16 2" xfId="36634"/>
    <cellStyle name="개_02-포장-1_수량전체_수량산출_자전거도로포장수량 17" xfId="20088"/>
    <cellStyle name="개_02-포장-1_수량전체_수량산출_자전거도로포장수량 17 2" xfId="32534"/>
    <cellStyle name="개_02-포장-1_수량전체_수량산출_자전거도로포장수량 18" xfId="23332"/>
    <cellStyle name="개_02-포장-1_수량전체_수량산출_자전거도로포장수량 18 2" xfId="35764"/>
    <cellStyle name="개_02-포장-1_수량전체_수량산출_자전거도로포장수량 19" xfId="22136"/>
    <cellStyle name="개_02-포장-1_수량전체_수량산출_자전거도로포장수량 19 2" xfId="34572"/>
    <cellStyle name="개_02-포장-1_수량전체_수량산출_자전거도로포장수량 2" xfId="13551"/>
    <cellStyle name="개_02-포장-1_수량전체_수량산출_자전거도로포장수량 2 2" xfId="26419"/>
    <cellStyle name="개_02-포장-1_수량전체_수량산출_자전거도로포장수량 20" xfId="22864"/>
    <cellStyle name="개_02-포장-1_수량전체_수량산출_자전거도로포장수량 20 2" xfId="35298"/>
    <cellStyle name="개_02-포장-1_수량전체_수량산출_자전거도로포장수량 21" xfId="19758"/>
    <cellStyle name="개_02-포장-1_수량전체_수량산출_자전거도로포장수량 21 2" xfId="32211"/>
    <cellStyle name="개_02-포장-1_수량전체_수량산출_자전거도로포장수량 3" xfId="16840"/>
    <cellStyle name="개_02-포장-1_수량전체_수량산출_자전거도로포장수량 3 2" xfId="29615"/>
    <cellStyle name="개_02-포장-1_수량전체_수량산출_자전거도로포장수량 4" xfId="15859"/>
    <cellStyle name="개_02-포장-1_수량전체_수량산출_자전거도로포장수량 4 2" xfId="28657"/>
    <cellStyle name="개_02-포장-1_수량전체_수량산출_자전거도로포장수량 5" xfId="15560"/>
    <cellStyle name="개_02-포장-1_수량전체_수량산출_자전거도로포장수량 5 2" xfId="28369"/>
    <cellStyle name="개_02-포장-1_수량전체_수량산출_자전거도로포장수량 6" xfId="13179"/>
    <cellStyle name="개_02-포장-1_수량전체_수량산출_자전거도로포장수량 6 2" xfId="26047"/>
    <cellStyle name="개_02-포장-1_수량전체_수량산출_자전거도로포장수량 7" xfId="14199"/>
    <cellStyle name="개_02-포장-1_수량전체_수량산출_자전거도로포장수량 7 2" xfId="27047"/>
    <cellStyle name="개_02-포장-1_수량전체_수량산출_자전거도로포장수량 8" xfId="17403"/>
    <cellStyle name="개_02-포장-1_수량전체_수량산출_자전거도로포장수량 8 2" xfId="30131"/>
    <cellStyle name="개_02-포장-1_수량전체_수량산출_자전거도로포장수량 9" xfId="14030"/>
    <cellStyle name="개_02-포장-1_수량전체_수량산출_자전거도로포장수량 9 2" xfId="26881"/>
    <cellStyle name="개_02-포장-1_수량전체_인월중군소하천" xfId="2759"/>
    <cellStyle name="개_02-포장-1_수량전체_인월중군소하천 10" xfId="12670"/>
    <cellStyle name="개_02-포장-1_수량전체_인월중군소하천 10 2" xfId="25549"/>
    <cellStyle name="개_02-포장-1_수량전체_인월중군소하천 11" xfId="19452"/>
    <cellStyle name="개_02-포장-1_수량전체_인월중군소하천 12" xfId="23316"/>
    <cellStyle name="개_02-포장-1_수량전체_인월중군소하천 12 2" xfId="35748"/>
    <cellStyle name="개_02-포장-1_수량전체_인월중군소하천 13" xfId="21675"/>
    <cellStyle name="개_02-포장-1_수량전체_인월중군소하천 13 2" xfId="34112"/>
    <cellStyle name="개_02-포장-1_수량전체_인월중군소하천 14" xfId="19161"/>
    <cellStyle name="개_02-포장-1_수량전체_인월중군소하천 14 2" xfId="31816"/>
    <cellStyle name="개_02-포장-1_수량전체_인월중군소하천 15" xfId="19029"/>
    <cellStyle name="개_02-포장-1_수량전체_인월중군소하천 15 2" xfId="31734"/>
    <cellStyle name="개_02-포장-1_수량전체_인월중군소하천 16" xfId="23659"/>
    <cellStyle name="개_02-포장-1_수량전체_인월중군소하천 16 2" xfId="36090"/>
    <cellStyle name="개_02-포장-1_수량전체_인월중군소하천 17" xfId="18400"/>
    <cellStyle name="개_02-포장-1_수량전체_인월중군소하천 17 2" xfId="31105"/>
    <cellStyle name="개_02-포장-1_수량전체_인월중군소하천 18" xfId="18362"/>
    <cellStyle name="개_02-포장-1_수량전체_인월중군소하천 18 2" xfId="31068"/>
    <cellStyle name="개_02-포장-1_수량전체_인월중군소하천 19" xfId="19585"/>
    <cellStyle name="개_02-포장-1_수량전체_인월중군소하천 19 2" xfId="32040"/>
    <cellStyle name="개_02-포장-1_수량전체_인월중군소하천 2" xfId="13552"/>
    <cellStyle name="개_02-포장-1_수량전체_인월중군소하천 2 2" xfId="26420"/>
    <cellStyle name="개_02-포장-1_수량전체_인월중군소하천 20" xfId="19223"/>
    <cellStyle name="개_02-포장-1_수량전체_인월중군소하천 20 2" xfId="31878"/>
    <cellStyle name="개_02-포장-1_수량전체_인월중군소하천 21" xfId="23237"/>
    <cellStyle name="개_02-포장-1_수량전체_인월중군소하천 21 2" xfId="35669"/>
    <cellStyle name="개_02-포장-1_수량전체_인월중군소하천 3" xfId="16084"/>
    <cellStyle name="개_02-포장-1_수량전체_인월중군소하천 3 2" xfId="28867"/>
    <cellStyle name="개_02-포장-1_수량전체_인월중군소하천 4" xfId="15858"/>
    <cellStyle name="개_02-포장-1_수량전체_인월중군소하천 4 2" xfId="28656"/>
    <cellStyle name="개_02-포장-1_수량전체_인월중군소하천 5" xfId="17320"/>
    <cellStyle name="개_02-포장-1_수량전체_인월중군소하천 5 2" xfId="30049"/>
    <cellStyle name="개_02-포장-1_수량전체_인월중군소하천 6" xfId="14624"/>
    <cellStyle name="개_02-포장-1_수량전체_인월중군소하천 6 2" xfId="27450"/>
    <cellStyle name="개_02-포장-1_수량전체_인월중군소하천 7" xfId="14593"/>
    <cellStyle name="개_02-포장-1_수량전체_인월중군소하천 7 2" xfId="27419"/>
    <cellStyle name="개_02-포장-1_수량전체_인월중군소하천 8" xfId="14600"/>
    <cellStyle name="개_02-포장-1_수량전체_인월중군소하천 8 2" xfId="27426"/>
    <cellStyle name="개_02-포장-1_수량전체_인월중군소하천 9" xfId="18031"/>
    <cellStyle name="개_02-포장-1_수량전체_인월중군소하천 9 2" xfId="30742"/>
    <cellStyle name="개_02-포장-1_수량전체_인월중군소하천_자전거도로구조물공수량" xfId="2760"/>
    <cellStyle name="개_02-포장-1_수량전체_인월중군소하천_자전거도로구조물공수량 10" xfId="18161"/>
    <cellStyle name="개_02-포장-1_수량전체_인월중군소하천_자전거도로구조물공수량 10 2" xfId="30868"/>
    <cellStyle name="개_02-포장-1_수량전체_인월중군소하천_자전거도로구조물공수량 11" xfId="19453"/>
    <cellStyle name="개_02-포장-1_수량전체_인월중군소하천_자전거도로구조물공수량 12" xfId="22495"/>
    <cellStyle name="개_02-포장-1_수량전체_인월중군소하천_자전거도로구조물공수량 12 2" xfId="34929"/>
    <cellStyle name="개_02-포장-1_수량전체_인월중군소하천_자전거도로구조물공수량 13" xfId="23569"/>
    <cellStyle name="개_02-포장-1_수량전체_인월중군소하천_자전거도로구조물공수량 13 2" xfId="36000"/>
    <cellStyle name="개_02-포장-1_수량전체_인월중군소하천_자전거도로구조물공수량 14" xfId="19162"/>
    <cellStyle name="개_02-포장-1_수량전체_인월중군소하천_자전거도로구조물공수량 14 2" xfId="31817"/>
    <cellStyle name="개_02-포장-1_수량전체_인월중군소하천_자전거도로구조물공수량 15" xfId="19845"/>
    <cellStyle name="개_02-포장-1_수량전체_인월중군소하천_자전거도로구조물공수량 15 2" xfId="32295"/>
    <cellStyle name="개_02-포장-1_수량전체_인월중군소하천_자전거도로구조물공수량 16" xfId="23522"/>
    <cellStyle name="개_02-포장-1_수량전체_인월중군소하천_자전거도로구조물공수량 16 2" xfId="35953"/>
    <cellStyle name="개_02-포장-1_수량전체_인월중군소하천_자전거도로구조물공수량 17" xfId="18554"/>
    <cellStyle name="개_02-포장-1_수량전체_인월중군소하천_자전거도로구조물공수량 17 2" xfId="31259"/>
    <cellStyle name="개_02-포장-1_수량전체_인월중군소하천_자전거도로구조물공수량 18" xfId="23075"/>
    <cellStyle name="개_02-포장-1_수량전체_인월중군소하천_자전거도로구조물공수량 18 2" xfId="35508"/>
    <cellStyle name="개_02-포장-1_수량전체_인월중군소하천_자전거도로구조물공수량 19" xfId="24649"/>
    <cellStyle name="개_02-포장-1_수량전체_인월중군소하천_자전거도로구조물공수량 19 2" xfId="37080"/>
    <cellStyle name="개_02-포장-1_수량전체_인월중군소하천_자전거도로구조물공수량 2" xfId="13553"/>
    <cellStyle name="개_02-포장-1_수량전체_인월중군소하천_자전거도로구조물공수량 2 2" xfId="26421"/>
    <cellStyle name="개_02-포장-1_수량전체_인월중군소하천_자전거도로구조물공수량 20" xfId="24940"/>
    <cellStyle name="개_02-포장-1_수량전체_인월중군소하천_자전거도로구조물공수량 20 2" xfId="37371"/>
    <cellStyle name="개_02-포장-1_수량전체_인월중군소하천_자전거도로구조물공수량 21" xfId="25031"/>
    <cellStyle name="개_02-포장-1_수량전체_인월중군소하천_자전거도로구조물공수량 21 2" xfId="37462"/>
    <cellStyle name="개_02-포장-1_수량전체_인월중군소하천_자전거도로구조물공수량 3" xfId="16083"/>
    <cellStyle name="개_02-포장-1_수량전체_인월중군소하천_자전거도로구조물공수량 3 2" xfId="28866"/>
    <cellStyle name="개_02-포장-1_수량전체_인월중군소하천_자전거도로구조물공수량 4" xfId="15857"/>
    <cellStyle name="개_02-포장-1_수량전체_인월중군소하천_자전거도로구조물공수량 4 2" xfId="28655"/>
    <cellStyle name="개_02-포장-1_수량전체_인월중군소하천_자전거도로구조물공수량 5" xfId="16963"/>
    <cellStyle name="개_02-포장-1_수량전체_인월중군소하천_자전거도로구조물공수량 5 2" xfId="29738"/>
    <cellStyle name="개_02-포장-1_수량전체_인월중군소하천_자전거도로구조물공수량 6" xfId="17658"/>
    <cellStyle name="개_02-포장-1_수량전체_인월중군소하천_자전거도로구조물공수량 6 2" xfId="30375"/>
    <cellStyle name="개_02-포장-1_수량전체_인월중군소하천_자전거도로구조물공수량 7" xfId="17327"/>
    <cellStyle name="개_02-포장-1_수량전체_인월중군소하천_자전거도로구조물공수량 7 2" xfId="30056"/>
    <cellStyle name="개_02-포장-1_수량전체_인월중군소하천_자전거도로구조물공수량 8" xfId="13846"/>
    <cellStyle name="개_02-포장-1_수량전체_인월중군소하천_자전거도로구조물공수량 8 2" xfId="26705"/>
    <cellStyle name="개_02-포장-1_수량전체_인월중군소하천_자전거도로구조물공수량 9" xfId="18032"/>
    <cellStyle name="개_02-포장-1_수량전체_인월중군소하천_자전거도로구조물공수량 9 2" xfId="30743"/>
    <cellStyle name="개_02-포장-1_수량전체_인월중군소하천_자전거도로포장수량" xfId="2761"/>
    <cellStyle name="개_02-포장-1_수량전체_인월중군소하천_자전거도로포장수량 10" xfId="12680"/>
    <cellStyle name="개_02-포장-1_수량전체_인월중군소하천_자전거도로포장수량 10 2" xfId="25559"/>
    <cellStyle name="개_02-포장-1_수량전체_인월중군소하천_자전거도로포장수량 11" xfId="19454"/>
    <cellStyle name="개_02-포장-1_수량전체_인월중군소하천_자전거도로포장수량 12" xfId="22494"/>
    <cellStyle name="개_02-포장-1_수량전체_인월중군소하천_자전거도로포장수량 12 2" xfId="34928"/>
    <cellStyle name="개_02-포장-1_수량전체_인월중군소하천_자전거도로포장수량 13" xfId="21676"/>
    <cellStyle name="개_02-포장-1_수량전체_인월중군소하천_자전거도로포장수량 13 2" xfId="34113"/>
    <cellStyle name="개_02-포장-1_수량전체_인월중군소하천_자전거도로포장수량 14" xfId="20618"/>
    <cellStyle name="개_02-포장-1_수량전체_인월중군소하천_자전거도로포장수량 14 2" xfId="33062"/>
    <cellStyle name="개_02-포장-1_수량전체_인월중군소하천_자전거도로포장수량 15" xfId="22549"/>
    <cellStyle name="개_02-포장-1_수량전체_인월중군소하천_자전거도로포장수량 15 2" xfId="34983"/>
    <cellStyle name="개_02-포장-1_수량전체_인월중군소하천_자전거도로포장수량 16" xfId="23660"/>
    <cellStyle name="개_02-포장-1_수량전체_인월중군소하천_자전거도로포장수량 16 2" xfId="36091"/>
    <cellStyle name="개_02-포장-1_수량전체_인월중군소하천_자전거도로포장수량 17" xfId="18448"/>
    <cellStyle name="개_02-포장-1_수량전체_인월중군소하천_자전거도로포장수량 17 2" xfId="31153"/>
    <cellStyle name="개_02-포장-1_수량전체_인월중군소하천_자전거도로포장수량 18" xfId="22270"/>
    <cellStyle name="개_02-포장-1_수량전체_인월중군소하천_자전거도로포장수량 18 2" xfId="34705"/>
    <cellStyle name="개_02-포장-1_수량전체_인월중군소하천_자전거도로포장수량 19" xfId="19586"/>
    <cellStyle name="개_02-포장-1_수량전체_인월중군소하천_자전거도로포장수량 19 2" xfId="32041"/>
    <cellStyle name="개_02-포장-1_수량전체_인월중군소하천_자전거도로포장수량 2" xfId="13554"/>
    <cellStyle name="개_02-포장-1_수량전체_인월중군소하천_자전거도로포장수량 2 2" xfId="26422"/>
    <cellStyle name="개_02-포장-1_수량전체_인월중군소하천_자전거도로포장수량 20" xfId="18874"/>
    <cellStyle name="개_02-포장-1_수량전체_인월중군소하천_자전거도로포장수량 20 2" xfId="31579"/>
    <cellStyle name="개_02-포장-1_수량전체_인월중군소하천_자전거도로포장수량 21" xfId="20264"/>
    <cellStyle name="개_02-포장-1_수량전체_인월중군소하천_자전거도로포장수량 21 2" xfId="32709"/>
    <cellStyle name="개_02-포장-1_수량전체_인월중군소하천_자전거도로포장수량 3" xfId="16839"/>
    <cellStyle name="개_02-포장-1_수량전체_인월중군소하천_자전거도로포장수량 3 2" xfId="29614"/>
    <cellStyle name="개_02-포장-1_수량전체_인월중군소하천_자전거도로포장수량 4" xfId="15856"/>
    <cellStyle name="개_02-포장-1_수량전체_인월중군소하천_자전거도로포장수량 4 2" xfId="28654"/>
    <cellStyle name="개_02-포장-1_수량전체_인월중군소하천_자전거도로포장수량 5" xfId="14185"/>
    <cellStyle name="개_02-포장-1_수량전체_인월중군소하천_자전거도로포장수량 5 2" xfId="27033"/>
    <cellStyle name="개_02-포장-1_수량전체_인월중군소하천_자전거도로포장수량 6" xfId="13178"/>
    <cellStyle name="개_02-포장-1_수량전체_인월중군소하천_자전거도로포장수량 6 2" xfId="26046"/>
    <cellStyle name="개_02-포장-1_수량전체_인월중군소하천_자전거도로포장수량 7" xfId="14578"/>
    <cellStyle name="개_02-포장-1_수량전체_인월중군소하천_자전거도로포장수량 7 2" xfId="27404"/>
    <cellStyle name="개_02-포장-1_수량전체_인월중군소하천_자전거도로포장수량 8" xfId="17617"/>
    <cellStyle name="개_02-포장-1_수량전체_인월중군소하천_자전거도로포장수량 8 2" xfId="30334"/>
    <cellStyle name="개_02-포장-1_수량전체_인월중군소하천_자전거도로포장수량 9" xfId="12649"/>
    <cellStyle name="개_02-포장-1_수량전체_인월중군소하천_자전거도로포장수량 9 2" xfId="25528"/>
    <cellStyle name="개_02-포장-1_수량전체_자전거도로구조물공수량" xfId="2762"/>
    <cellStyle name="개_02-포장-1_수량전체_자전거도로구조물공수량 10" xfId="15683"/>
    <cellStyle name="개_02-포장-1_수량전체_자전거도로구조물공수량 10 2" xfId="28483"/>
    <cellStyle name="개_02-포장-1_수량전체_자전거도로구조물공수량 11" xfId="19455"/>
    <cellStyle name="개_02-포장-1_수량전체_자전거도로구조물공수량 12" xfId="22493"/>
    <cellStyle name="개_02-포장-1_수량전체_자전거도로구조물공수량 12 2" xfId="34927"/>
    <cellStyle name="개_02-포장-1_수량전체_자전거도로구조물공수량 13" xfId="21677"/>
    <cellStyle name="개_02-포장-1_수량전체_자전거도로구조물공수량 13 2" xfId="34114"/>
    <cellStyle name="개_02-포장-1_수량전체_자전거도로구조물공수량 14" xfId="22341"/>
    <cellStyle name="개_02-포장-1_수량전체_자전거도로구조물공수량 14 2" xfId="34775"/>
    <cellStyle name="개_02-포장-1_수량전체_자전거도로구조물공수량 15" xfId="19846"/>
    <cellStyle name="개_02-포장-1_수량전체_자전거도로구조물공수량 15 2" xfId="32296"/>
    <cellStyle name="개_02-포장-1_수량전체_자전거도로구조물공수량 16" xfId="23661"/>
    <cellStyle name="개_02-포장-1_수량전체_자전거도로구조물공수량 16 2" xfId="36092"/>
    <cellStyle name="개_02-포장-1_수량전체_자전거도로구조물공수량 17" xfId="19528"/>
    <cellStyle name="개_02-포장-1_수량전체_자전거도로구조물공수량 17 2" xfId="31983"/>
    <cellStyle name="개_02-포장-1_수량전체_자전거도로구조물공수량 18" xfId="24784"/>
    <cellStyle name="개_02-포장-1_수량전체_자전거도로구조물공수량 18 2" xfId="37215"/>
    <cellStyle name="개_02-포장-1_수량전체_자전거도로구조물공수량 19" xfId="23157"/>
    <cellStyle name="개_02-포장-1_수량전체_자전거도로구조물공수량 19 2" xfId="35590"/>
    <cellStyle name="개_02-포장-1_수량전체_자전거도로구조물공수량 2" xfId="13555"/>
    <cellStyle name="개_02-포장-1_수량전체_자전거도로구조물공수량 2 2" xfId="26423"/>
    <cellStyle name="개_02-포장-1_수량전체_자전거도로구조물공수량 20" xfId="21820"/>
    <cellStyle name="개_02-포장-1_수량전체_자전거도로구조물공수량 20 2" xfId="34257"/>
    <cellStyle name="개_02-포장-1_수량전체_자전거도로구조물공수량 21" xfId="18802"/>
    <cellStyle name="개_02-포장-1_수량전체_자전거도로구조물공수량 21 2" xfId="31507"/>
    <cellStyle name="개_02-포장-1_수량전체_자전거도로구조물공수량 3" xfId="16838"/>
    <cellStyle name="개_02-포장-1_수량전체_자전거도로구조물공수량 3 2" xfId="29613"/>
    <cellStyle name="개_02-포장-1_수량전체_자전거도로구조물공수량 4" xfId="15855"/>
    <cellStyle name="개_02-포장-1_수량전체_자전거도로구조물공수량 4 2" xfId="28653"/>
    <cellStyle name="개_02-포장-1_수량전체_자전거도로구조물공수량 5" xfId="14383"/>
    <cellStyle name="개_02-포장-1_수량전체_자전거도로구조물공수량 5 2" xfId="27216"/>
    <cellStyle name="개_02-포장-1_수량전체_자전거도로구조물공수량 6" xfId="14623"/>
    <cellStyle name="개_02-포장-1_수량전체_자전거도로구조물공수량 6 2" xfId="27449"/>
    <cellStyle name="개_02-포장-1_수량전체_자전거도로구조물공수량 7" xfId="16892"/>
    <cellStyle name="개_02-포장-1_수량전체_자전거도로구조물공수량 7 2" xfId="29667"/>
    <cellStyle name="개_02-포장-1_수량전체_자전거도로구조물공수량 8" xfId="15367"/>
    <cellStyle name="개_02-포장-1_수량전체_자전거도로구조물공수량 8 2" xfId="28184"/>
    <cellStyle name="개_02-포장-1_수량전체_자전거도로구조물공수량 9" xfId="13326"/>
    <cellStyle name="개_02-포장-1_수량전체_자전거도로구조물공수량 9 2" xfId="26194"/>
    <cellStyle name="개_02-포장-1_수량전체_자전거도로포장수량" xfId="2763"/>
    <cellStyle name="개_02-포장-1_수량전체_자전거도로포장수량 10" xfId="12681"/>
    <cellStyle name="개_02-포장-1_수량전체_자전거도로포장수량 10 2" xfId="25560"/>
    <cellStyle name="개_02-포장-1_수량전체_자전거도로포장수량 11" xfId="19456"/>
    <cellStyle name="개_02-포장-1_수량전체_자전거도로포장수량 12" xfId="23315"/>
    <cellStyle name="개_02-포장-1_수량전체_자전거도로포장수량 12 2" xfId="35747"/>
    <cellStyle name="개_02-포장-1_수량전체_자전거도로포장수량 13" xfId="21678"/>
    <cellStyle name="개_02-포장-1_수량전체_자전거도로포장수량 13 2" xfId="34115"/>
    <cellStyle name="개_02-포장-1_수량전체_자전거도로포장수량 14" xfId="23118"/>
    <cellStyle name="개_02-포장-1_수량전체_자전거도로포장수량 14 2" xfId="35551"/>
    <cellStyle name="개_02-포장-1_수량전체_자전거도로포장수량 15" xfId="22550"/>
    <cellStyle name="개_02-포장-1_수량전체_자전거도로포장수량 15 2" xfId="34984"/>
    <cellStyle name="개_02-포장-1_수량전체_자전거도로포장수량 16" xfId="23662"/>
    <cellStyle name="개_02-포장-1_수량전체_자전거도로포장수량 16 2" xfId="36093"/>
    <cellStyle name="개_02-포장-1_수량전체_자전거도로포장수량 17" xfId="19397"/>
    <cellStyle name="개_02-포장-1_수량전체_자전거도로포장수량 17 2" xfId="31953"/>
    <cellStyle name="개_02-포장-1_수량전체_자전거도로포장수량 18" xfId="22470"/>
    <cellStyle name="개_02-포장-1_수량전체_자전거도로포장수량 18 2" xfId="34904"/>
    <cellStyle name="개_02-포장-1_수량전체_자전거도로포장수량 19" xfId="22022"/>
    <cellStyle name="개_02-포장-1_수량전체_자전거도로포장수량 19 2" xfId="34459"/>
    <cellStyle name="개_02-포장-1_수량전체_자전거도로포장수량 2" xfId="13556"/>
    <cellStyle name="개_02-포장-1_수량전체_자전거도로포장수량 2 2" xfId="26424"/>
    <cellStyle name="개_02-포장-1_수량전체_자전거도로포장수량 20" xfId="20541"/>
    <cellStyle name="개_02-포장-1_수량전체_자전거도로포장수량 20 2" xfId="32986"/>
    <cellStyle name="개_02-포장-1_수량전체_자전거도로포장수량 21" xfId="20256"/>
    <cellStyle name="개_02-포장-1_수량전체_자전거도로포장수량 21 2" xfId="32701"/>
    <cellStyle name="개_02-포장-1_수량전체_자전거도로포장수량 3" xfId="16837"/>
    <cellStyle name="개_02-포장-1_수량전체_자전거도로포장수량 3 2" xfId="29612"/>
    <cellStyle name="개_02-포장-1_수량전체_자전거도로포장수량 4" xfId="15854"/>
    <cellStyle name="개_02-포장-1_수량전체_자전거도로포장수량 4 2" xfId="28652"/>
    <cellStyle name="개_02-포장-1_수량전체_자전거도로포장수량 5" xfId="14186"/>
    <cellStyle name="개_02-포장-1_수량전체_자전거도로포장수량 5 2" xfId="27034"/>
    <cellStyle name="개_02-포장-1_수량전체_자전거도로포장수량 6" xfId="13177"/>
    <cellStyle name="개_02-포장-1_수량전체_자전거도로포장수량 6 2" xfId="26045"/>
    <cellStyle name="개_02-포장-1_수량전체_자전거도로포장수량 7" xfId="17328"/>
    <cellStyle name="개_02-포장-1_수량전체_자전거도로포장수량 7 2" xfId="30057"/>
    <cellStyle name="개_02-포장-1_수량전체_자전거도로포장수량 8" xfId="12997"/>
    <cellStyle name="개_02-포장-1_수량전체_자전거도로포장수량 8 2" xfId="25872"/>
    <cellStyle name="개_02-포장-1_수량전체_자전거도로포장수량 9" xfId="12955"/>
    <cellStyle name="개_02-포장-1_수량전체_자전거도로포장수량 9 2" xfId="25830"/>
    <cellStyle name="개_Boo2" xfId="2764"/>
    <cellStyle name="개_Boo2 10" xfId="18160"/>
    <cellStyle name="개_Boo2 10 2" xfId="30867"/>
    <cellStyle name="개_Boo2 11" xfId="19457"/>
    <cellStyle name="개_Boo2 12" xfId="23314"/>
    <cellStyle name="개_Boo2 12 2" xfId="35746"/>
    <cellStyle name="개_Boo2 13" xfId="23568"/>
    <cellStyle name="개_Boo2 13 2" xfId="35999"/>
    <cellStyle name="개_Boo2 14" xfId="19163"/>
    <cellStyle name="개_Boo2 14 2" xfId="31818"/>
    <cellStyle name="개_Boo2 15" xfId="19847"/>
    <cellStyle name="개_Boo2 15 2" xfId="32297"/>
    <cellStyle name="개_Boo2 16" xfId="18307"/>
    <cellStyle name="개_Boo2 16 2" xfId="31013"/>
    <cellStyle name="개_Boo2 17" xfId="18977"/>
    <cellStyle name="개_Boo2 17 2" xfId="31682"/>
    <cellStyle name="개_Boo2 18" xfId="24108"/>
    <cellStyle name="개_Boo2 18 2" xfId="36539"/>
    <cellStyle name="개_Boo2 19" xfId="19736"/>
    <cellStyle name="개_Boo2 19 2" xfId="32189"/>
    <cellStyle name="개_Boo2 2" xfId="13557"/>
    <cellStyle name="개_Boo2 2 2" xfId="26425"/>
    <cellStyle name="개_Boo2 20" xfId="24939"/>
    <cellStyle name="개_Boo2 20 2" xfId="37370"/>
    <cellStyle name="개_Boo2 21" xfId="25030"/>
    <cellStyle name="개_Boo2 21 2" xfId="37461"/>
    <cellStyle name="개_Boo2 3" xfId="16836"/>
    <cellStyle name="개_Boo2 3 2" xfId="29611"/>
    <cellStyle name="개_Boo2 4" xfId="15853"/>
    <cellStyle name="개_Boo2 4 2" xfId="28651"/>
    <cellStyle name="개_Boo2 5" xfId="16964"/>
    <cellStyle name="개_Boo2 5 2" xfId="29739"/>
    <cellStyle name="개_Boo2 6" xfId="17657"/>
    <cellStyle name="개_Boo2 6 2" xfId="30374"/>
    <cellStyle name="개_Boo2 7" xfId="13623"/>
    <cellStyle name="개_Boo2 7 2" xfId="26491"/>
    <cellStyle name="개_Boo2 8" xfId="15601"/>
    <cellStyle name="개_Boo2 8 2" xfId="28410"/>
    <cellStyle name="개_Boo2 9" xfId="17152"/>
    <cellStyle name="개_Boo2 9 2" xfId="29886"/>
    <cellStyle name="개_Boo2_도로수량양식" xfId="2765"/>
    <cellStyle name="개_Boo2_도로수량양식 10" xfId="18159"/>
    <cellStyle name="개_Boo2_도로수량양식 10 2" xfId="30866"/>
    <cellStyle name="개_Boo2_도로수량양식 11" xfId="19458"/>
    <cellStyle name="개_Boo2_도로수량양식 12" xfId="23313"/>
    <cellStyle name="개_Boo2_도로수량양식 12 2" xfId="35745"/>
    <cellStyle name="개_Boo2_도로수량양식 13" xfId="23567"/>
    <cellStyle name="개_Boo2_도로수량양식 13 2" xfId="35998"/>
    <cellStyle name="개_Boo2_도로수량양식 14" xfId="23119"/>
    <cellStyle name="개_Boo2_도로수량양식 14 2" xfId="35552"/>
    <cellStyle name="개_Boo2_도로수량양식 15" xfId="22551"/>
    <cellStyle name="개_Boo2_도로수량양식 15 2" xfId="34985"/>
    <cellStyle name="개_Boo2_도로수량양식 16" xfId="23523"/>
    <cellStyle name="개_Boo2_도로수량양식 16 2" xfId="35954"/>
    <cellStyle name="개_Boo2_도로수량양식 17" xfId="24204"/>
    <cellStyle name="개_Boo2_도로수량양식 17 2" xfId="36635"/>
    <cellStyle name="개_Boo2_도로수량양식 18" xfId="22056"/>
    <cellStyle name="개_Boo2_도로수량양식 18 2" xfId="34493"/>
    <cellStyle name="개_Boo2_도로수량양식 19" xfId="20682"/>
    <cellStyle name="개_Boo2_도로수량양식 19 2" xfId="33126"/>
    <cellStyle name="개_Boo2_도로수량양식 2" xfId="13558"/>
    <cellStyle name="개_Boo2_도로수량양식 2 2" xfId="26426"/>
    <cellStyle name="개_Boo2_도로수량양식 20" xfId="24938"/>
    <cellStyle name="개_Boo2_도로수량양식 20 2" xfId="37369"/>
    <cellStyle name="개_Boo2_도로수량양식 21" xfId="25029"/>
    <cellStyle name="개_Boo2_도로수량양식 21 2" xfId="37460"/>
    <cellStyle name="개_Boo2_도로수량양식 3" xfId="16835"/>
    <cellStyle name="개_Boo2_도로수량양식 3 2" xfId="29610"/>
    <cellStyle name="개_Boo2_도로수량양식 4" xfId="15852"/>
    <cellStyle name="개_Boo2_도로수량양식 4 2" xfId="28650"/>
    <cellStyle name="개_Boo2_도로수량양식 5" xfId="16965"/>
    <cellStyle name="개_Boo2_도로수량양식 5 2" xfId="29740"/>
    <cellStyle name="개_Boo2_도로수량양식 6" xfId="17656"/>
    <cellStyle name="개_Boo2_도로수량양식 6 2" xfId="30373"/>
    <cellStyle name="개_Boo2_도로수량양식 7" xfId="14888"/>
    <cellStyle name="개_Boo2_도로수량양식 7 2" xfId="27709"/>
    <cellStyle name="개_Boo2_도로수량양식 8" xfId="12998"/>
    <cellStyle name="개_Boo2_도로수량양식 8 2" xfId="25873"/>
    <cellStyle name="개_Boo2_도로수량양식 9" xfId="15942"/>
    <cellStyle name="개_Boo2_도로수량양식 9 2" xfId="28740"/>
    <cellStyle name="개_Boo2_도로수량양식_자전거도로구조물공수량" xfId="2766"/>
    <cellStyle name="개_Boo2_도로수량양식_자전거도로구조물공수량 10" xfId="18158"/>
    <cellStyle name="개_Boo2_도로수량양식_자전거도로구조물공수량 10 2" xfId="30865"/>
    <cellStyle name="개_Boo2_도로수량양식_자전거도로구조물공수량 11" xfId="19459"/>
    <cellStyle name="개_Boo2_도로수량양식_자전거도로구조물공수량 12" xfId="22492"/>
    <cellStyle name="개_Boo2_도로수량양식_자전거도로구조물공수량 12 2" xfId="34926"/>
    <cellStyle name="개_Boo2_도로수량양식_자전거도로구조물공수량 13" xfId="23566"/>
    <cellStyle name="개_Boo2_도로수량양식_자전거도로구조물공수량 13 2" xfId="35997"/>
    <cellStyle name="개_Boo2_도로수량양식_자전거도로구조물공수량 14" xfId="20619"/>
    <cellStyle name="개_Boo2_도로수량양식_자전거도로구조물공수량 14 2" xfId="33063"/>
    <cellStyle name="개_Boo2_도로수량양식_자전거도로구조물공수량 15" xfId="19848"/>
    <cellStyle name="개_Boo2_도로수량양식_자전거도로구조물공수량 15 2" xfId="32298"/>
    <cellStyle name="개_Boo2_도로수량양식_자전거도로구조물공수량 16" xfId="18306"/>
    <cellStyle name="개_Boo2_도로수량양식_자전거도로구조물공수량 16 2" xfId="31012"/>
    <cellStyle name="개_Boo2_도로수량양식_자전거도로구조물공수량 17" xfId="18664"/>
    <cellStyle name="개_Boo2_도로수량양식_자전거도로구조물공수량 17 2" xfId="31369"/>
    <cellStyle name="개_Boo2_도로수량양식_자전거도로구조물공수량 18" xfId="24783"/>
    <cellStyle name="개_Boo2_도로수량양식_자전거도로구조물공수량 18 2" xfId="37214"/>
    <cellStyle name="개_Boo2_도로수량양식_자전거도로구조물공수량 19" xfId="23045"/>
    <cellStyle name="개_Boo2_도로수량양식_자전거도로구조물공수량 19 2" xfId="35478"/>
    <cellStyle name="개_Boo2_도로수량양식_자전거도로구조물공수량 2" xfId="13559"/>
    <cellStyle name="개_Boo2_도로수량양식_자전거도로구조물공수량 2 2" xfId="26427"/>
    <cellStyle name="개_Boo2_도로수량양식_자전거도로구조물공수량 20" xfId="24937"/>
    <cellStyle name="개_Boo2_도로수량양식_자전거도로구조물공수량 20 2" xfId="37368"/>
    <cellStyle name="개_Boo2_도로수량양식_자전거도로구조물공수량 21" xfId="25028"/>
    <cellStyle name="개_Boo2_도로수량양식_자전거도로구조물공수량 21 2" xfId="37459"/>
    <cellStyle name="개_Boo2_도로수량양식_자전거도로구조물공수량 3" xfId="16834"/>
    <cellStyle name="개_Boo2_도로수량양식_자전거도로구조물공수량 3 2" xfId="29609"/>
    <cellStyle name="개_Boo2_도로수량양식_자전거도로구조물공수량 4" xfId="15851"/>
    <cellStyle name="개_Boo2_도로수량양식_자전거도로구조물공수량 4 2" xfId="28649"/>
    <cellStyle name="개_Boo2_도로수량양식_자전거도로구조물공수량 5" xfId="16966"/>
    <cellStyle name="개_Boo2_도로수량양식_자전거도로구조물공수량 5 2" xfId="29741"/>
    <cellStyle name="개_Boo2_도로수량양식_자전거도로구조물공수량 6" xfId="17655"/>
    <cellStyle name="개_Boo2_도로수량양식_자전거도로구조물공수량 6 2" xfId="30372"/>
    <cellStyle name="개_Boo2_도로수량양식_자전거도로구조물공수량 7" xfId="13818"/>
    <cellStyle name="개_Boo2_도로수량양식_자전거도로구조물공수량 7 2" xfId="26677"/>
    <cellStyle name="개_Boo2_도로수량양식_자전거도로구조물공수량 8" xfId="12760"/>
    <cellStyle name="개_Boo2_도로수량양식_자전거도로구조물공수량 8 2" xfId="25637"/>
    <cellStyle name="개_Boo2_도로수량양식_자전거도로구조물공수량 9" xfId="12648"/>
    <cellStyle name="개_Boo2_도로수량양식_자전거도로구조물공수량 9 2" xfId="25527"/>
    <cellStyle name="개_Boo2_도로수량양식_자전거도로포장수량" xfId="2767"/>
    <cellStyle name="개_Boo2_도로수량양식_자전거도로포장수량 10" xfId="16162"/>
    <cellStyle name="개_Boo2_도로수량양식_자전거도로포장수량 10 2" xfId="28945"/>
    <cellStyle name="개_Boo2_도로수량양식_자전거도로포장수량 11" xfId="19460"/>
    <cellStyle name="개_Boo2_도로수량양식_자전거도로포장수량 12" xfId="22491"/>
    <cellStyle name="개_Boo2_도로수량양식_자전거도로포장수량 12 2" xfId="34925"/>
    <cellStyle name="개_Boo2_도로수량양식_자전거도로포장수량 13" xfId="21679"/>
    <cellStyle name="개_Boo2_도로수량양식_자전거도로포장수량 13 2" xfId="34116"/>
    <cellStyle name="개_Boo2_도로수량양식_자전거도로포장수량 14" xfId="20620"/>
    <cellStyle name="개_Boo2_도로수량양식_자전거도로포장수량 14 2" xfId="33064"/>
    <cellStyle name="개_Boo2_도로수량양식_자전거도로포장수량 15" xfId="22552"/>
    <cellStyle name="개_Boo2_도로수량양식_자전거도로포장수량 15 2" xfId="34986"/>
    <cellStyle name="개_Boo2_도로수량양식_자전거도로포장수량 16" xfId="23663"/>
    <cellStyle name="개_Boo2_도로수량양식_자전거도로포장수량 16 2" xfId="36094"/>
    <cellStyle name="개_Boo2_도로수량양식_자전거도로포장수량 17" xfId="18364"/>
    <cellStyle name="개_Boo2_도로수량양식_자전거도로포장수량 17 2" xfId="31070"/>
    <cellStyle name="개_Boo2_도로수량양식_자전거도로포장수량 18" xfId="24782"/>
    <cellStyle name="개_Boo2_도로수량양식_자전거도로포장수량 18 2" xfId="37213"/>
    <cellStyle name="개_Boo2_도로수량양식_자전거도로포장수량 19" xfId="20349"/>
    <cellStyle name="개_Boo2_도로수량양식_자전거도로포장수량 19 2" xfId="32794"/>
    <cellStyle name="개_Boo2_도로수량양식_자전거도로포장수량 2" xfId="13560"/>
    <cellStyle name="개_Boo2_도로수량양식_자전거도로포장수량 2 2" xfId="26428"/>
    <cellStyle name="개_Boo2_도로수량양식_자전거도로포장수량 20" xfId="19739"/>
    <cellStyle name="개_Boo2_도로수량양식_자전거도로포장수량 20 2" xfId="32192"/>
    <cellStyle name="개_Boo2_도로수량양식_자전거도로포장수량 21" xfId="21770"/>
    <cellStyle name="개_Boo2_도로수량양식_자전거도로포장수량 21 2" xfId="34207"/>
    <cellStyle name="개_Boo2_도로수량양식_자전거도로포장수량 3" xfId="16833"/>
    <cellStyle name="개_Boo2_도로수량양식_자전거도로포장수량 3 2" xfId="29608"/>
    <cellStyle name="개_Boo2_도로수량양식_자전거도로포장수량 4" xfId="15850"/>
    <cellStyle name="개_Boo2_도로수량양식_자전거도로포장수량 4 2" xfId="28648"/>
    <cellStyle name="개_Boo2_도로수량양식_자전거도로포장수량 5" xfId="14384"/>
    <cellStyle name="개_Boo2_도로수량양식_자전거도로포장수량 5 2" xfId="27217"/>
    <cellStyle name="개_Boo2_도로수량양식_자전거도로포장수량 6" xfId="14622"/>
    <cellStyle name="개_Boo2_도로수량양식_자전거도로포장수량 6 2" xfId="27448"/>
    <cellStyle name="개_Boo2_도로수량양식_자전거도로포장수량 7" xfId="17190"/>
    <cellStyle name="개_Boo2_도로수량양식_자전거도로포장수량 7 2" xfId="29924"/>
    <cellStyle name="개_Boo2_도로수량양식_자전거도로포장수량 8" xfId="17258"/>
    <cellStyle name="개_Boo2_도로수량양식_자전거도로포장수량 8 2" xfId="29991"/>
    <cellStyle name="개_Boo2_도로수량양식_자전거도로포장수량 9" xfId="14553"/>
    <cellStyle name="개_Boo2_도로수량양식_자전거도로포장수량 9 2" xfId="27381"/>
    <cellStyle name="개_Boo2_수량산출" xfId="2768"/>
    <cellStyle name="개_Boo2_수량산출 10" xfId="12682"/>
    <cellStyle name="개_Boo2_수량산출 10 2" xfId="25561"/>
    <cellStyle name="개_Boo2_수량산출 11" xfId="19461"/>
    <cellStyle name="개_Boo2_수량산출 12" xfId="23312"/>
    <cellStyle name="개_Boo2_수량산출 12 2" xfId="35744"/>
    <cellStyle name="개_Boo2_수량산출 13" xfId="21680"/>
    <cellStyle name="개_Boo2_수량산출 13 2" xfId="34117"/>
    <cellStyle name="개_Boo2_수량산출 14" xfId="20621"/>
    <cellStyle name="개_Boo2_수량산출 14 2" xfId="33065"/>
    <cellStyle name="개_Boo2_수량산출 15" xfId="19849"/>
    <cellStyle name="개_Boo2_수량산출 15 2" xfId="32299"/>
    <cellStyle name="개_Boo2_수량산출 16" xfId="23664"/>
    <cellStyle name="개_Boo2_수량산출 16 2" xfId="36095"/>
    <cellStyle name="개_Boo2_수량산출 17" xfId="19402"/>
    <cellStyle name="개_Boo2_수량산출 17 2" xfId="31958"/>
    <cellStyle name="개_Boo2_수량산출 18" xfId="24781"/>
    <cellStyle name="개_Boo2_수량산출 18 2" xfId="37212"/>
    <cellStyle name="개_Boo2_수량산출 19" xfId="20667"/>
    <cellStyle name="개_Boo2_수량산출 19 2" xfId="33111"/>
    <cellStyle name="개_Boo2_수량산출 2" xfId="13561"/>
    <cellStyle name="개_Boo2_수량산출 2 2" xfId="26429"/>
    <cellStyle name="개_Boo2_수량산출 20" xfId="18873"/>
    <cellStyle name="개_Boo2_수량산출 20 2" xfId="31578"/>
    <cellStyle name="개_Boo2_수량산출 21" xfId="24698"/>
    <cellStyle name="개_Boo2_수량산출 21 2" xfId="37129"/>
    <cellStyle name="개_Boo2_수량산출 3" xfId="16832"/>
    <cellStyle name="개_Boo2_수량산출 3 2" xfId="29607"/>
    <cellStyle name="개_Boo2_수량산출 4" xfId="15849"/>
    <cellStyle name="개_Boo2_수량산출 4 2" xfId="28647"/>
    <cellStyle name="개_Boo2_수량산출 5" xfId="14187"/>
    <cellStyle name="개_Boo2_수량산출 5 2" xfId="27035"/>
    <cellStyle name="개_Boo2_수량산출 6" xfId="15926"/>
    <cellStyle name="개_Boo2_수량산출 6 2" xfId="28724"/>
    <cellStyle name="개_Boo2_수량산출 7" xfId="13023"/>
    <cellStyle name="개_Boo2_수량산출 7 2" xfId="25898"/>
    <cellStyle name="개_Boo2_수량산출 8" xfId="17404"/>
    <cellStyle name="개_Boo2_수량산출 8 2" xfId="30132"/>
    <cellStyle name="개_Boo2_수량산출 9" xfId="12714"/>
    <cellStyle name="개_Boo2_수량산출 9 2" xfId="25591"/>
    <cellStyle name="개_Boo2_수량산출_자전거도로구조물공수량" xfId="2769"/>
    <cellStyle name="개_Boo2_수량산출_자전거도로구조물공수량 10" xfId="18157"/>
    <cellStyle name="개_Boo2_수량산출_자전거도로구조물공수량 10 2" xfId="30864"/>
    <cellStyle name="개_Boo2_수량산출_자전거도로구조물공수량 11" xfId="19462"/>
    <cellStyle name="개_Boo2_수량산출_자전거도로구조물공수량 12" xfId="23311"/>
    <cellStyle name="개_Boo2_수량산출_자전거도로구조물공수량 12 2" xfId="35743"/>
    <cellStyle name="개_Boo2_수량산출_자전거도로구조물공수량 13" xfId="23565"/>
    <cellStyle name="개_Boo2_수량산출_자전거도로구조물공수량 13 2" xfId="35996"/>
    <cellStyle name="개_Boo2_수량산출_자전거도로구조물공수량 14" xfId="20622"/>
    <cellStyle name="개_Boo2_수량산출_자전거도로구조물공수량 14 2" xfId="33066"/>
    <cellStyle name="개_Boo2_수량산출_자전거도로구조물공수량 15" xfId="19030"/>
    <cellStyle name="개_Boo2_수량산출_자전거도로구조물공수량 15 2" xfId="31735"/>
    <cellStyle name="개_Boo2_수량산출_자전거도로구조물공수량 16" xfId="22287"/>
    <cellStyle name="개_Boo2_수량산출_자전거도로구조물공수량 16 2" xfId="34721"/>
    <cellStyle name="개_Boo2_수량산출_자전거도로구조물공수량 17" xfId="19254"/>
    <cellStyle name="개_Boo2_수량산출_자전거도로구조물공수량 17 2" xfId="31909"/>
    <cellStyle name="개_Boo2_수량산출_자전거도로구조물공수량 18" xfId="24109"/>
    <cellStyle name="개_Boo2_수량산출_자전거도로구조물공수량 18 2" xfId="36540"/>
    <cellStyle name="개_Boo2_수량산출_자전거도로구조물공수량 19" xfId="24668"/>
    <cellStyle name="개_Boo2_수량산출_자전거도로구조물공수량 19 2" xfId="37099"/>
    <cellStyle name="개_Boo2_수량산출_자전거도로구조물공수량 2" xfId="13562"/>
    <cellStyle name="개_Boo2_수량산출_자전거도로구조물공수량 2 2" xfId="26430"/>
    <cellStyle name="개_Boo2_수량산출_자전거도로구조물공수량 20" xfId="24936"/>
    <cellStyle name="개_Boo2_수량산출_자전거도로구조물공수량 20 2" xfId="37367"/>
    <cellStyle name="개_Boo2_수량산출_자전거도로구조물공수량 21" xfId="25027"/>
    <cellStyle name="개_Boo2_수량산출_자전거도로구조물공수량 21 2" xfId="37458"/>
    <cellStyle name="개_Boo2_수량산출_자전거도로구조물공수량 3" xfId="16082"/>
    <cellStyle name="개_Boo2_수량산출_자전거도로구조물공수량 3 2" xfId="28865"/>
    <cellStyle name="개_Boo2_수량산출_자전거도로구조물공수량 4" xfId="15848"/>
    <cellStyle name="개_Boo2_수량산출_자전거도로구조물공수량 4 2" xfId="28646"/>
    <cellStyle name="개_Boo2_수량산출_자전거도로구조물공수량 5" xfId="16967"/>
    <cellStyle name="개_Boo2_수량산출_자전거도로구조물공수량 5 2" xfId="29742"/>
    <cellStyle name="개_Boo2_수량산출_자전거도로구조물공수량 6" xfId="17654"/>
    <cellStyle name="개_Boo2_수량산출_자전거도로구조물공수량 6 2" xfId="30371"/>
    <cellStyle name="개_Boo2_수량산출_자전거도로구조물공수량 7" xfId="16934"/>
    <cellStyle name="개_Boo2_수량산출_자전거도로구조물공수량 7 2" xfId="29709"/>
    <cellStyle name="개_Boo2_수량산출_자전거도로구조물공수량 8" xfId="13847"/>
    <cellStyle name="개_Boo2_수량산출_자전거도로구조물공수량 8 2" xfId="26706"/>
    <cellStyle name="개_Boo2_수량산출_자전거도로구조물공수량 9" xfId="14596"/>
    <cellStyle name="개_Boo2_수량산출_자전거도로구조물공수량 9 2" xfId="27422"/>
    <cellStyle name="개_Boo2_수량산출_자전거도로포장수량" xfId="2770"/>
    <cellStyle name="개_Boo2_수량산출_자전거도로포장수량 10" xfId="18156"/>
    <cellStyle name="개_Boo2_수량산출_자전거도로포장수량 10 2" xfId="30863"/>
    <cellStyle name="개_Boo2_수량산출_자전거도로포장수량 11" xfId="19463"/>
    <cellStyle name="개_Boo2_수량산출_자전거도로포장수량 12" xfId="23310"/>
    <cellStyle name="개_Boo2_수량산출_자전거도로포장수량 12 2" xfId="35742"/>
    <cellStyle name="개_Boo2_수량산출_자전거도로포장수량 13" xfId="23564"/>
    <cellStyle name="개_Boo2_수량산출_자전거도로포장수량 13 2" xfId="35995"/>
    <cellStyle name="개_Boo2_수량산출_자전거도로포장수량 14" xfId="20623"/>
    <cellStyle name="개_Boo2_수량산출_자전거도로포장수량 14 2" xfId="33067"/>
    <cellStyle name="개_Boo2_수량산출_자전거도로포장수량 15" xfId="19850"/>
    <cellStyle name="개_Boo2_수량산출_자전거도로포장수량 15 2" xfId="32300"/>
    <cellStyle name="개_Boo2_수량산출_자전거도로포장수량 16" xfId="18305"/>
    <cellStyle name="개_Boo2_수량산출_자전거도로포장수량 16 2" xfId="31011"/>
    <cellStyle name="개_Boo2_수량산출_자전거도로포장수량 17" xfId="19401"/>
    <cellStyle name="개_Boo2_수량산출_자전거도로포장수량 17 2" xfId="31957"/>
    <cellStyle name="개_Boo2_수량산출_자전거도로포장수량 18" xfId="22055"/>
    <cellStyle name="개_Boo2_수량산출_자전거도로포장수량 18 2" xfId="34492"/>
    <cellStyle name="개_Boo2_수량산출_자전거도로포장수량 19" xfId="24669"/>
    <cellStyle name="개_Boo2_수량산출_자전거도로포장수량 19 2" xfId="37100"/>
    <cellStyle name="개_Boo2_수량산출_자전거도로포장수량 2" xfId="13563"/>
    <cellStyle name="개_Boo2_수량산출_자전거도로포장수량 2 2" xfId="26431"/>
    <cellStyle name="개_Boo2_수량산출_자전거도로포장수량 20" xfId="24935"/>
    <cellStyle name="개_Boo2_수량산출_자전거도로포장수량 20 2" xfId="37366"/>
    <cellStyle name="개_Boo2_수량산출_자전거도로포장수량 21" xfId="25026"/>
    <cellStyle name="개_Boo2_수량산출_자전거도로포장수량 21 2" xfId="37457"/>
    <cellStyle name="개_Boo2_수량산출_자전거도로포장수량 3" xfId="16081"/>
    <cellStyle name="개_Boo2_수량산출_자전거도로포장수량 3 2" xfId="28864"/>
    <cellStyle name="개_Boo2_수량산출_자전거도로포장수량 4" xfId="15847"/>
    <cellStyle name="개_Boo2_수량산출_자전거도로포장수량 4 2" xfId="28645"/>
    <cellStyle name="개_Boo2_수량산출_자전거도로포장수량 5" xfId="16968"/>
    <cellStyle name="개_Boo2_수량산출_자전거도로포장수량 5 2" xfId="29743"/>
    <cellStyle name="개_Boo2_수량산출_자전거도로포장수량 6" xfId="17653"/>
    <cellStyle name="개_Boo2_수량산출_자전거도로포장수량 6 2" xfId="30370"/>
    <cellStyle name="개_Boo2_수량산출_자전거도로포장수량 7" xfId="15812"/>
    <cellStyle name="개_Boo2_수량산출_자전거도로포장수량 7 2" xfId="28611"/>
    <cellStyle name="개_Boo2_수량산출_자전거도로포장수량 8" xfId="15186"/>
    <cellStyle name="개_Boo2_수량산출_자전거도로포장수량 8 2" xfId="28005"/>
    <cellStyle name="개_Boo2_수량산출_자전거도로포장수량 9" xfId="15734"/>
    <cellStyle name="개_Boo2_수량산출_자전거도로포장수량 9 2" xfId="28534"/>
    <cellStyle name="개_Boo2_인월중군소하천" xfId="2771"/>
    <cellStyle name="개_Boo2_인월중군소하천 10" xfId="18155"/>
    <cellStyle name="개_Boo2_인월중군소하천 10 2" xfId="30862"/>
    <cellStyle name="개_Boo2_인월중군소하천 11" xfId="19464"/>
    <cellStyle name="개_Boo2_인월중군소하천 12" xfId="23309"/>
    <cellStyle name="개_Boo2_인월중군소하천 12 2" xfId="35741"/>
    <cellStyle name="개_Boo2_인월중군소하천 13" xfId="23563"/>
    <cellStyle name="개_Boo2_인월중군소하천 13 2" xfId="35994"/>
    <cellStyle name="개_Boo2_인월중군소하천 14" xfId="19164"/>
    <cellStyle name="개_Boo2_인월중군소하천 14 2" xfId="31819"/>
    <cellStyle name="개_Boo2_인월중군소하천 15" xfId="21809"/>
    <cellStyle name="개_Boo2_인월중군소하천 15 2" xfId="34246"/>
    <cellStyle name="개_Boo2_인월중군소하천 16" xfId="23524"/>
    <cellStyle name="개_Boo2_인월중군소하천 16 2" xfId="35955"/>
    <cellStyle name="개_Boo2_인월중군소하천 17" xfId="20041"/>
    <cellStyle name="개_Boo2_인월중군소하천 17 2" xfId="32487"/>
    <cellStyle name="개_Boo2_인월중군소하천 18" xfId="24780"/>
    <cellStyle name="개_Boo2_인월중군소하천 18 2" xfId="37211"/>
    <cellStyle name="개_Boo2_인월중군소하천 19" xfId="24670"/>
    <cellStyle name="개_Boo2_인월중군소하천 19 2" xfId="37101"/>
    <cellStyle name="개_Boo2_인월중군소하천 2" xfId="13564"/>
    <cellStyle name="개_Boo2_인월중군소하천 2 2" xfId="26432"/>
    <cellStyle name="개_Boo2_인월중군소하천 20" xfId="24934"/>
    <cellStyle name="개_Boo2_인월중군소하천 20 2" xfId="37365"/>
    <cellStyle name="개_Boo2_인월중군소하천 21" xfId="25025"/>
    <cellStyle name="개_Boo2_인월중군소하천 21 2" xfId="37456"/>
    <cellStyle name="개_Boo2_인월중군소하천 3" xfId="16080"/>
    <cellStyle name="개_Boo2_인월중군소하천 3 2" xfId="28863"/>
    <cellStyle name="개_Boo2_인월중군소하천 4" xfId="15846"/>
    <cellStyle name="개_Boo2_인월중군소하천 4 2" xfId="28644"/>
    <cellStyle name="개_Boo2_인월중군소하천 5" xfId="16969"/>
    <cellStyle name="개_Boo2_인월중군소하천 5 2" xfId="29744"/>
    <cellStyle name="개_Boo2_인월중군소하천 6" xfId="17652"/>
    <cellStyle name="개_Boo2_인월중군소하천 6 2" xfId="30369"/>
    <cellStyle name="개_Boo2_인월중군소하천 7" xfId="14643"/>
    <cellStyle name="개_Boo2_인월중군소하천 7 2" xfId="27469"/>
    <cellStyle name="개_Boo2_인월중군소하천 8" xfId="16179"/>
    <cellStyle name="개_Boo2_인월중군소하천 8 2" xfId="28956"/>
    <cellStyle name="개_Boo2_인월중군소하천 9" xfId="14743"/>
    <cellStyle name="개_Boo2_인월중군소하천 9 2" xfId="27568"/>
    <cellStyle name="개_Boo2_인월중군소하천_자전거도로구조물공수량" xfId="2772"/>
    <cellStyle name="개_Boo2_인월중군소하천_자전거도로구조물공수량 10" xfId="18154"/>
    <cellStyle name="개_Boo2_인월중군소하천_자전거도로구조물공수량 10 2" xfId="30861"/>
    <cellStyle name="개_Boo2_인월중군소하천_자전거도로구조물공수량 11" xfId="19465"/>
    <cellStyle name="개_Boo2_인월중군소하천_자전거도로구조물공수량 12" xfId="23308"/>
    <cellStyle name="개_Boo2_인월중군소하천_자전거도로구조물공수량 12 2" xfId="35740"/>
    <cellStyle name="개_Boo2_인월중군소하천_자전거도로구조물공수량 13" xfId="23562"/>
    <cellStyle name="개_Boo2_인월중군소하천_자전거도로구조물공수량 13 2" xfId="35993"/>
    <cellStyle name="개_Boo2_인월중군소하천_자전거도로구조물공수량 14" xfId="20931"/>
    <cellStyle name="개_Boo2_인월중군소하천_자전거도로구조물공수량 14 2" xfId="33368"/>
    <cellStyle name="개_Boo2_인월중군소하천_자전거도로구조물공수량 15" xfId="19851"/>
    <cellStyle name="개_Boo2_인월중군소하천_자전거도로구조물공수량 15 2" xfId="32301"/>
    <cellStyle name="개_Boo2_인월중군소하천_자전거도로구조물공수량 16" xfId="18304"/>
    <cellStyle name="개_Boo2_인월중군소하천_자전거도로구조물공수량 16 2" xfId="31010"/>
    <cellStyle name="개_Boo2_인월중군소하천_자전거도로구조물공수량 17" xfId="19253"/>
    <cellStyle name="개_Boo2_인월중군소하천_자전거도로구조물공수량 17 2" xfId="31908"/>
    <cellStyle name="개_Boo2_인월중군소하천_자전거도로구조물공수량 18" xfId="24779"/>
    <cellStyle name="개_Boo2_인월중군소하천_자전거도로구조물공수량 18 2" xfId="37210"/>
    <cellStyle name="개_Boo2_인월중군소하천_자전거도로구조물공수량 19" xfId="24671"/>
    <cellStyle name="개_Boo2_인월중군소하천_자전거도로구조물공수량 19 2" xfId="37102"/>
    <cellStyle name="개_Boo2_인월중군소하천_자전거도로구조물공수량 2" xfId="13565"/>
    <cellStyle name="개_Boo2_인월중군소하천_자전거도로구조물공수량 2 2" xfId="26433"/>
    <cellStyle name="개_Boo2_인월중군소하천_자전거도로구조물공수량 20" xfId="24933"/>
    <cellStyle name="개_Boo2_인월중군소하천_자전거도로구조물공수량 20 2" xfId="37364"/>
    <cellStyle name="개_Boo2_인월중군소하천_자전거도로구조물공수량 21" xfId="25024"/>
    <cellStyle name="개_Boo2_인월중군소하천_자전거도로구조물공수량 21 2" xfId="37455"/>
    <cellStyle name="개_Boo2_인월중군소하천_자전거도로구조물공수량 3" xfId="16079"/>
    <cellStyle name="개_Boo2_인월중군소하천_자전거도로구조물공수량 3 2" xfId="28862"/>
    <cellStyle name="개_Boo2_인월중군소하천_자전거도로구조물공수량 4" xfId="15845"/>
    <cellStyle name="개_Boo2_인월중군소하천_자전거도로구조물공수량 4 2" xfId="28643"/>
    <cellStyle name="개_Boo2_인월중군소하천_자전거도로구조물공수량 5" xfId="16970"/>
    <cellStyle name="개_Boo2_인월중군소하천_자전거도로구조물공수량 5 2" xfId="29745"/>
    <cellStyle name="개_Boo2_인월중군소하천_자전거도로구조물공수량 6" xfId="17651"/>
    <cellStyle name="개_Boo2_인월중군소하천_자전거도로구조물공수량 6 2" xfId="30368"/>
    <cellStyle name="개_Boo2_인월중군소하천_자전거도로구조물공수량 7" xfId="14206"/>
    <cellStyle name="개_Boo2_인월중군소하천_자전거도로구조물공수량 7 2" xfId="27054"/>
    <cellStyle name="개_Boo2_인월중군소하천_자전거도로구조물공수량 8" xfId="14598"/>
    <cellStyle name="개_Boo2_인월중군소하천_자전거도로구조물공수량 8 2" xfId="27424"/>
    <cellStyle name="개_Boo2_인월중군소하천_자전거도로구조물공수량 9" xfId="12394"/>
    <cellStyle name="개_Boo2_인월중군소하천_자전거도로구조물공수량 9 2" xfId="25274"/>
    <cellStyle name="개_Boo2_인월중군소하천_자전거도로포장수량" xfId="2773"/>
    <cellStyle name="개_Boo2_인월중군소하천_자전거도로포장수량 10" xfId="18153"/>
    <cellStyle name="개_Boo2_인월중군소하천_자전거도로포장수량 10 2" xfId="30860"/>
    <cellStyle name="개_Boo2_인월중군소하천_자전거도로포장수량 11" xfId="19466"/>
    <cellStyle name="개_Boo2_인월중군소하천_자전거도로포장수량 12" xfId="23307"/>
    <cellStyle name="개_Boo2_인월중군소하천_자전거도로포장수량 12 2" xfId="35739"/>
    <cellStyle name="개_Boo2_인월중군소하천_자전거도로포장수량 13" xfId="23561"/>
    <cellStyle name="개_Boo2_인월중군소하천_자전거도로포장수량 13 2" xfId="35992"/>
    <cellStyle name="개_Boo2_인월중군소하천_자전거도로포장수량 14" xfId="20624"/>
    <cellStyle name="개_Boo2_인월중군소하천_자전거도로포장수량 14 2" xfId="33068"/>
    <cellStyle name="개_Boo2_인월중군소하천_자전거도로포장수량 15" xfId="21810"/>
    <cellStyle name="개_Boo2_인월중군소하천_자전거도로포장수량 15 2" xfId="34247"/>
    <cellStyle name="개_Boo2_인월중군소하천_자전거도로포장수량 16" xfId="23525"/>
    <cellStyle name="개_Boo2_인월중군소하천_자전거도로포장수량 16 2" xfId="35956"/>
    <cellStyle name="개_Boo2_인월중군소하천_자전거도로포장수량 17" xfId="22400"/>
    <cellStyle name="개_Boo2_인월중군소하천_자전거도로포장수량 17 2" xfId="34834"/>
    <cellStyle name="개_Boo2_인월중군소하천_자전거도로포장수량 18" xfId="24778"/>
    <cellStyle name="개_Boo2_인월중군소하천_자전거도로포장수량 18 2" xfId="37209"/>
    <cellStyle name="개_Boo2_인월중군소하천_자전거도로포장수량 19" xfId="24672"/>
    <cellStyle name="개_Boo2_인월중군소하천_자전거도로포장수량 19 2" xfId="37103"/>
    <cellStyle name="개_Boo2_인월중군소하천_자전거도로포장수량 2" xfId="13566"/>
    <cellStyle name="개_Boo2_인월중군소하천_자전거도로포장수량 2 2" xfId="26434"/>
    <cellStyle name="개_Boo2_인월중군소하천_자전거도로포장수량 20" xfId="24932"/>
    <cellStyle name="개_Boo2_인월중군소하천_자전거도로포장수량 20 2" xfId="37363"/>
    <cellStyle name="개_Boo2_인월중군소하천_자전거도로포장수량 21" xfId="25023"/>
    <cellStyle name="개_Boo2_인월중군소하천_자전거도로포장수량 21 2" xfId="37454"/>
    <cellStyle name="개_Boo2_인월중군소하천_자전거도로포장수량 3" xfId="16078"/>
    <cellStyle name="개_Boo2_인월중군소하천_자전거도로포장수량 3 2" xfId="28861"/>
    <cellStyle name="개_Boo2_인월중군소하천_자전거도로포장수량 4" xfId="15844"/>
    <cellStyle name="개_Boo2_인월중군소하천_자전거도로포장수량 4 2" xfId="28642"/>
    <cellStyle name="개_Boo2_인월중군소하천_자전거도로포장수량 5" xfId="16971"/>
    <cellStyle name="개_Boo2_인월중군소하천_자전거도로포장수량 5 2" xfId="29746"/>
    <cellStyle name="개_Boo2_인월중군소하천_자전거도로포장수량 6" xfId="17650"/>
    <cellStyle name="개_Boo2_인월중군소하천_자전거도로포장수량 6 2" xfId="30367"/>
    <cellStyle name="개_Boo2_인월중군소하천_자전거도로포장수량 7" xfId="14306"/>
    <cellStyle name="개_Boo2_인월중군소하천_자전거도로포장수량 7 2" xfId="27139"/>
    <cellStyle name="개_Boo2_인월중군소하천_자전거도로포장수량 8" xfId="15720"/>
    <cellStyle name="개_Boo2_인월중군소하천_자전거도로포장수량 8 2" xfId="28520"/>
    <cellStyle name="개_Boo2_인월중군소하천_자전거도로포장수량 9" xfId="13051"/>
    <cellStyle name="개_Boo2_인월중군소하천_자전거도로포장수량 9 2" xfId="25920"/>
    <cellStyle name="개_Boo2_자전거도로구조물공수량" xfId="2774"/>
    <cellStyle name="개_Boo2_자전거도로구조물공수량 10" xfId="18152"/>
    <cellStyle name="개_Boo2_자전거도로구조물공수량 10 2" xfId="30859"/>
    <cellStyle name="개_Boo2_자전거도로구조물공수량 11" xfId="19467"/>
    <cellStyle name="개_Boo2_자전거도로구조물공수량 12" xfId="23306"/>
    <cellStyle name="개_Boo2_자전거도로구조물공수량 12 2" xfId="35738"/>
    <cellStyle name="개_Boo2_자전거도로구조물공수량 13" xfId="23560"/>
    <cellStyle name="개_Boo2_자전거도로구조물공수량 13 2" xfId="35991"/>
    <cellStyle name="개_Boo2_자전거도로구조물공수량 14" xfId="20625"/>
    <cellStyle name="개_Boo2_자전거도로구조물공수량 14 2" xfId="33069"/>
    <cellStyle name="개_Boo2_자전거도로구조물공수량 15" xfId="19852"/>
    <cellStyle name="개_Boo2_자전거도로구조물공수량 15 2" xfId="32302"/>
    <cellStyle name="개_Boo2_자전거도로구조물공수량 16" xfId="18303"/>
    <cellStyle name="개_Boo2_자전거도로구조물공수량 16 2" xfId="31009"/>
    <cellStyle name="개_Boo2_자전거도로구조물공수량 17" xfId="19578"/>
    <cellStyle name="개_Boo2_자전거도로구조물공수량 17 2" xfId="32033"/>
    <cellStyle name="개_Boo2_자전거도로구조물공수량 18" xfId="24777"/>
    <cellStyle name="개_Boo2_자전거도로구조물공수량 18 2" xfId="37208"/>
    <cellStyle name="개_Boo2_자전거도로구조물공수량 19" xfId="24673"/>
    <cellStyle name="개_Boo2_자전거도로구조물공수량 19 2" xfId="37104"/>
    <cellStyle name="개_Boo2_자전거도로구조물공수량 2" xfId="13567"/>
    <cellStyle name="개_Boo2_자전거도로구조물공수량 2 2" xfId="26435"/>
    <cellStyle name="개_Boo2_자전거도로구조물공수량 20" xfId="24931"/>
    <cellStyle name="개_Boo2_자전거도로구조물공수량 20 2" xfId="37362"/>
    <cellStyle name="개_Boo2_자전거도로구조물공수량 21" xfId="25022"/>
    <cellStyle name="개_Boo2_자전거도로구조물공수량 21 2" xfId="37453"/>
    <cellStyle name="개_Boo2_자전거도로구조물공수량 3" xfId="16077"/>
    <cellStyle name="개_Boo2_자전거도로구조물공수량 3 2" xfId="28860"/>
    <cellStyle name="개_Boo2_자전거도로구조물공수량 4" xfId="15843"/>
    <cellStyle name="개_Boo2_자전거도로구조물공수량 4 2" xfId="28641"/>
    <cellStyle name="개_Boo2_자전거도로구조물공수량 5" xfId="16972"/>
    <cellStyle name="개_Boo2_자전거도로구조물공수량 5 2" xfId="29747"/>
    <cellStyle name="개_Boo2_자전거도로구조물공수량 6" xfId="17649"/>
    <cellStyle name="개_Boo2_자전거도로구조물공수량 6 2" xfId="30366"/>
    <cellStyle name="개_Boo2_자전거도로구조물공수량 7" xfId="14101"/>
    <cellStyle name="개_Boo2_자전거도로구조물공수량 7 2" xfId="26949"/>
    <cellStyle name="개_Boo2_자전거도로구조물공수량 8" xfId="17018"/>
    <cellStyle name="개_Boo2_자전거도로구조물공수량 8 2" xfId="29793"/>
    <cellStyle name="개_Boo2_자전거도로구조물공수량 9" xfId="15609"/>
    <cellStyle name="개_Boo2_자전거도로구조물공수량 9 2" xfId="28418"/>
    <cellStyle name="개_Boo2_자전거도로포장수량" xfId="2775"/>
    <cellStyle name="개_Boo2_자전거도로포장수량 10" xfId="18151"/>
    <cellStyle name="개_Boo2_자전거도로포장수량 10 2" xfId="30858"/>
    <cellStyle name="개_Boo2_자전거도로포장수량 11" xfId="19468"/>
    <cellStyle name="개_Boo2_자전거도로포장수량 12" xfId="23305"/>
    <cellStyle name="개_Boo2_자전거도로포장수량 12 2" xfId="35737"/>
    <cellStyle name="개_Boo2_자전거도로포장수량 13" xfId="23559"/>
    <cellStyle name="개_Boo2_자전거도로포장수량 13 2" xfId="35990"/>
    <cellStyle name="개_Boo2_자전거도로포장수량 14" xfId="18729"/>
    <cellStyle name="개_Boo2_자전거도로포장수량 14 2" xfId="31434"/>
    <cellStyle name="개_Boo2_자전거도로포장수량 15" xfId="22553"/>
    <cellStyle name="개_Boo2_자전거도로포장수량 15 2" xfId="34987"/>
    <cellStyle name="개_Boo2_자전거도로포장수량 16" xfId="23526"/>
    <cellStyle name="개_Boo2_자전거도로포장수량 16 2" xfId="35957"/>
    <cellStyle name="개_Boo2_자전거도로포장수량 17" xfId="20921"/>
    <cellStyle name="개_Boo2_자전거도로포장수량 17 2" xfId="33358"/>
    <cellStyle name="개_Boo2_자전거도로포장수량 18" xfId="24776"/>
    <cellStyle name="개_Boo2_자전거도로포장수량 18 2" xfId="37207"/>
    <cellStyle name="개_Boo2_자전거도로포장수량 19" xfId="24674"/>
    <cellStyle name="개_Boo2_자전거도로포장수량 19 2" xfId="37105"/>
    <cellStyle name="개_Boo2_자전거도로포장수량 2" xfId="13568"/>
    <cellStyle name="개_Boo2_자전거도로포장수량 2 2" xfId="26436"/>
    <cellStyle name="개_Boo2_자전거도로포장수량 20" xfId="24930"/>
    <cellStyle name="개_Boo2_자전거도로포장수량 20 2" xfId="37361"/>
    <cellStyle name="개_Boo2_자전거도로포장수량 21" xfId="25021"/>
    <cellStyle name="개_Boo2_자전거도로포장수량 21 2" xfId="37452"/>
    <cellStyle name="개_Boo2_자전거도로포장수량 3" xfId="16831"/>
    <cellStyle name="개_Boo2_자전거도로포장수량 3 2" xfId="29606"/>
    <cellStyle name="개_Boo2_자전거도로포장수량 4" xfId="15842"/>
    <cellStyle name="개_Boo2_자전거도로포장수량 4 2" xfId="28640"/>
    <cellStyle name="개_Boo2_자전거도로포장수량 5" xfId="16973"/>
    <cellStyle name="개_Boo2_자전거도로포장수량 5 2" xfId="29748"/>
    <cellStyle name="개_Boo2_자전거도로포장수량 6" xfId="17648"/>
    <cellStyle name="개_Boo2_자전거도로포장수량 6 2" xfId="30365"/>
    <cellStyle name="개_Boo2_자전거도로포장수량 7" xfId="13817"/>
    <cellStyle name="개_Boo2_자전거도로포장수량 7 2" xfId="26676"/>
    <cellStyle name="개_Boo2_자전거도로포장수량 8" xfId="12999"/>
    <cellStyle name="개_Boo2_자전거도로포장수량 8 2" xfId="25874"/>
    <cellStyle name="개_Boo2_자전거도로포장수량 9" xfId="17144"/>
    <cellStyle name="개_Boo2_자전거도로포장수량 9 2" xfId="29878"/>
    <cellStyle name="개_Book2" xfId="2776"/>
    <cellStyle name="개_Book2 10" xfId="18150"/>
    <cellStyle name="개_Book2 10 2" xfId="30857"/>
    <cellStyle name="개_Book2 11" xfId="19469"/>
    <cellStyle name="개_Book2 12" xfId="23304"/>
    <cellStyle name="개_Book2 12 2" xfId="35736"/>
    <cellStyle name="개_Book2 13" xfId="23558"/>
    <cellStyle name="개_Book2 13 2" xfId="35989"/>
    <cellStyle name="개_Book2 14" xfId="20626"/>
    <cellStyle name="개_Book2 14 2" xfId="33070"/>
    <cellStyle name="개_Book2 15" xfId="19853"/>
    <cellStyle name="개_Book2 15 2" xfId="32303"/>
    <cellStyle name="개_Book2 16" xfId="18302"/>
    <cellStyle name="개_Book2 16 2" xfId="31008"/>
    <cellStyle name="개_Book2 17" xfId="18454"/>
    <cellStyle name="개_Book2 17 2" xfId="31159"/>
    <cellStyle name="개_Book2 18" xfId="24775"/>
    <cellStyle name="개_Book2 18 2" xfId="37206"/>
    <cellStyle name="개_Book2 19" xfId="24675"/>
    <cellStyle name="개_Book2 19 2" xfId="37106"/>
    <cellStyle name="개_Book2 2" xfId="13569"/>
    <cellStyle name="개_Book2 2 2" xfId="26437"/>
    <cellStyle name="개_Book2 20" xfId="24929"/>
    <cellStyle name="개_Book2 20 2" xfId="37360"/>
    <cellStyle name="개_Book2 21" xfId="25020"/>
    <cellStyle name="개_Book2 21 2" xfId="37451"/>
    <cellStyle name="개_Book2 3" xfId="16830"/>
    <cellStyle name="개_Book2 3 2" xfId="29605"/>
    <cellStyle name="개_Book2 4" xfId="15841"/>
    <cellStyle name="개_Book2 4 2" xfId="28639"/>
    <cellStyle name="개_Book2 5" xfId="16974"/>
    <cellStyle name="개_Book2 5 2" xfId="29749"/>
    <cellStyle name="개_Book2 6" xfId="17647"/>
    <cellStyle name="개_Book2 6 2" xfId="30364"/>
    <cellStyle name="개_Book2 7" xfId="16751"/>
    <cellStyle name="개_Book2 7 2" xfId="29527"/>
    <cellStyle name="개_Book2 8" xfId="15602"/>
    <cellStyle name="개_Book2 8 2" xfId="28411"/>
    <cellStyle name="개_Book2 9" xfId="17833"/>
    <cellStyle name="개_Book2 9 2" xfId="30549"/>
    <cellStyle name="개_Book2_도로수량양식" xfId="2777"/>
    <cellStyle name="개_Book2_도로수량양식 10" xfId="18149"/>
    <cellStyle name="개_Book2_도로수량양식 10 2" xfId="30856"/>
    <cellStyle name="개_Book2_도로수량양식 11" xfId="19470"/>
    <cellStyle name="개_Book2_도로수량양식 12" xfId="23303"/>
    <cellStyle name="개_Book2_도로수량양식 12 2" xfId="35735"/>
    <cellStyle name="개_Book2_도로수량양식 13" xfId="23557"/>
    <cellStyle name="개_Book2_도로수량양식 13 2" xfId="35988"/>
    <cellStyle name="개_Book2_도로수량양식 14" xfId="23943"/>
    <cellStyle name="개_Book2_도로수량양식 14 2" xfId="36374"/>
    <cellStyle name="개_Book2_도로수량양식 15" xfId="22554"/>
    <cellStyle name="개_Book2_도로수량양식 15 2" xfId="34988"/>
    <cellStyle name="개_Book2_도로수량양식 16" xfId="23527"/>
    <cellStyle name="개_Book2_도로수량양식 16 2" xfId="35958"/>
    <cellStyle name="개_Book2_도로수량양식 17" xfId="24601"/>
    <cellStyle name="개_Book2_도로수량양식 17 2" xfId="37032"/>
    <cellStyle name="개_Book2_도로수량양식 18" xfId="24774"/>
    <cellStyle name="개_Book2_도로수량양식 18 2" xfId="37205"/>
    <cellStyle name="개_Book2_도로수량양식 19" xfId="24676"/>
    <cellStyle name="개_Book2_도로수량양식 19 2" xfId="37107"/>
    <cellStyle name="개_Book2_도로수량양식 2" xfId="13570"/>
    <cellStyle name="개_Book2_도로수량양식 2 2" xfId="26438"/>
    <cellStyle name="개_Book2_도로수량양식 20" xfId="24928"/>
    <cellStyle name="개_Book2_도로수량양식 20 2" xfId="37359"/>
    <cellStyle name="개_Book2_도로수량양식 21" xfId="25019"/>
    <cellStyle name="개_Book2_도로수량양식 21 2" xfId="37450"/>
    <cellStyle name="개_Book2_도로수량양식 3" xfId="16829"/>
    <cellStyle name="개_Book2_도로수량양식 3 2" xfId="29604"/>
    <cellStyle name="개_Book2_도로수량양식 4" xfId="15840"/>
    <cellStyle name="개_Book2_도로수량양식 4 2" xfId="28638"/>
    <cellStyle name="개_Book2_도로수량양식 5" xfId="16975"/>
    <cellStyle name="개_Book2_도로수량양식 5 2" xfId="29750"/>
    <cellStyle name="개_Book2_도로수량양식 6" xfId="17646"/>
    <cellStyle name="개_Book2_도로수량양식 6 2" xfId="30363"/>
    <cellStyle name="개_Book2_도로수량양식 7" xfId="13323"/>
    <cellStyle name="개_Book2_도로수량양식 7 2" xfId="26191"/>
    <cellStyle name="개_Book2_도로수량양식 8" xfId="13000"/>
    <cellStyle name="개_Book2_도로수량양식 8 2" xfId="25875"/>
    <cellStyle name="개_Book2_도로수량양식 9" xfId="16540"/>
    <cellStyle name="개_Book2_도로수량양식 9 2" xfId="29316"/>
    <cellStyle name="개_Book2_도로수량양식_자전거도로구조물공수량" xfId="2778"/>
    <cellStyle name="개_Book2_도로수량양식_자전거도로구조물공수량 10" xfId="18148"/>
    <cellStyle name="개_Book2_도로수량양식_자전거도로구조물공수량 10 2" xfId="30855"/>
    <cellStyle name="개_Book2_도로수량양식_자전거도로구조물공수량 11" xfId="19471"/>
    <cellStyle name="개_Book2_도로수량양식_자전거도로구조물공수량 12" xfId="23302"/>
    <cellStyle name="개_Book2_도로수량양식_자전거도로구조물공수량 12 2" xfId="35734"/>
    <cellStyle name="개_Book2_도로수량양식_자전거도로구조물공수량 13" xfId="23556"/>
    <cellStyle name="개_Book2_도로수량양식_자전거도로구조물공수량 13 2" xfId="35987"/>
    <cellStyle name="개_Book2_도로수량양식_자전거도로구조물공수량 14" xfId="18727"/>
    <cellStyle name="개_Book2_도로수량양식_자전거도로구조물공수량 14 2" xfId="31432"/>
    <cellStyle name="개_Book2_도로수량양식_자전거도로구조물공수량 15" xfId="19854"/>
    <cellStyle name="개_Book2_도로수량양식_자전거도로구조물공수량 15 2" xfId="32304"/>
    <cellStyle name="개_Book2_도로수량양식_자전거도로구조물공수량 16" xfId="22268"/>
    <cellStyle name="개_Book2_도로수량양식_자전거도로구조물공수량 16 2" xfId="34703"/>
    <cellStyle name="개_Book2_도로수량양식_자전거도로구조물공수량 17" xfId="20404"/>
    <cellStyle name="개_Book2_도로수량양식_자전거도로구조물공수량 17 2" xfId="32849"/>
    <cellStyle name="개_Book2_도로수량양식_자전거도로구조물공수량 18" xfId="24773"/>
    <cellStyle name="개_Book2_도로수량양식_자전거도로구조물공수량 18 2" xfId="37204"/>
    <cellStyle name="개_Book2_도로수량양식_자전거도로구조물공수량 19" xfId="24677"/>
    <cellStyle name="개_Book2_도로수량양식_자전거도로구조물공수량 19 2" xfId="37108"/>
    <cellStyle name="개_Book2_도로수량양식_자전거도로구조물공수량 2" xfId="13571"/>
    <cellStyle name="개_Book2_도로수량양식_자전거도로구조물공수량 2 2" xfId="26439"/>
    <cellStyle name="개_Book2_도로수량양식_자전거도로구조물공수량 20" xfId="24927"/>
    <cellStyle name="개_Book2_도로수량양식_자전거도로구조물공수량 20 2" xfId="37358"/>
    <cellStyle name="개_Book2_도로수량양식_자전거도로구조물공수량 21" xfId="25018"/>
    <cellStyle name="개_Book2_도로수량양식_자전거도로구조물공수량 21 2" xfId="37449"/>
    <cellStyle name="개_Book2_도로수량양식_자전거도로구조물공수량 3" xfId="16076"/>
    <cellStyle name="개_Book2_도로수량양식_자전거도로구조물공수량 3 2" xfId="28859"/>
    <cellStyle name="개_Book2_도로수량양식_자전거도로구조물공수량 4" xfId="15839"/>
    <cellStyle name="개_Book2_도로수량양식_자전거도로구조물공수량 4 2" xfId="28637"/>
    <cellStyle name="개_Book2_도로수량양식_자전거도로구조물공수량 5" xfId="16976"/>
    <cellStyle name="개_Book2_도로수량양식_자전거도로구조물공수량 5 2" xfId="29751"/>
    <cellStyle name="개_Book2_도로수량양식_자전거도로구조물공수량 6" xfId="17645"/>
    <cellStyle name="개_Book2_도로수량양식_자전거도로구조물공수량 6 2" xfId="30362"/>
    <cellStyle name="개_Book2_도로수량양식_자전거도로구조물공수량 7" xfId="14291"/>
    <cellStyle name="개_Book2_도로수량양식_자전거도로구조물공수량 7 2" xfId="27124"/>
    <cellStyle name="개_Book2_도로수량양식_자전거도로구조물공수량 8" xfId="17405"/>
    <cellStyle name="개_Book2_도로수량양식_자전거도로구조물공수량 8 2" xfId="30133"/>
    <cellStyle name="개_Book2_도로수량양식_자전거도로구조물공수량 9" xfId="12393"/>
    <cellStyle name="개_Book2_도로수량양식_자전거도로구조물공수량 9 2" xfId="25273"/>
    <cellStyle name="개_Book2_도로수량양식_자전거도로포장수량" xfId="2779"/>
    <cellStyle name="개_Book2_도로수량양식_자전거도로포장수량 10" xfId="18147"/>
    <cellStyle name="개_Book2_도로수량양식_자전거도로포장수량 10 2" xfId="30854"/>
    <cellStyle name="개_Book2_도로수량양식_자전거도로포장수량 11" xfId="19472"/>
    <cellStyle name="개_Book2_도로수량양식_자전거도로포장수량 12" xfId="23301"/>
    <cellStyle name="개_Book2_도로수량양식_자전거도로포장수량 12 2" xfId="35733"/>
    <cellStyle name="개_Book2_도로수량양식_자전거도로포장수량 13" xfId="23555"/>
    <cellStyle name="개_Book2_도로수량양식_자전거도로포장수량 13 2" xfId="35986"/>
    <cellStyle name="개_Book2_도로수량양식_자전거도로포장수량 14" xfId="20627"/>
    <cellStyle name="개_Book2_도로수량양식_자전거도로포장수량 14 2" xfId="33071"/>
    <cellStyle name="개_Book2_도로수량양식_자전거도로포장수량 15" xfId="22555"/>
    <cellStyle name="개_Book2_도로수량양식_자전거도로포장수량 15 2" xfId="34989"/>
    <cellStyle name="개_Book2_도로수량양식_자전거도로포장수량 16" xfId="23528"/>
    <cellStyle name="개_Book2_도로수량양식_자전거도로포장수량 16 2" xfId="35959"/>
    <cellStyle name="개_Book2_도로수량양식_자전거도로포장수량 17" xfId="20406"/>
    <cellStyle name="개_Book2_도로수량양식_자전거도로포장수량 17 2" xfId="32851"/>
    <cellStyle name="개_Book2_도로수량양식_자전거도로포장수량 18" xfId="24772"/>
    <cellStyle name="개_Book2_도로수량양식_자전거도로포장수량 18 2" xfId="37203"/>
    <cellStyle name="개_Book2_도로수량양식_자전거도로포장수량 19" xfId="24678"/>
    <cellStyle name="개_Book2_도로수량양식_자전거도로포장수량 19 2" xfId="37109"/>
    <cellStyle name="개_Book2_도로수량양식_자전거도로포장수량 2" xfId="13572"/>
    <cellStyle name="개_Book2_도로수량양식_자전거도로포장수량 2 2" xfId="26440"/>
    <cellStyle name="개_Book2_도로수량양식_자전거도로포장수량 20" xfId="24926"/>
    <cellStyle name="개_Book2_도로수량양식_자전거도로포장수량 20 2" xfId="37357"/>
    <cellStyle name="개_Book2_도로수량양식_자전거도로포장수량 21" xfId="25017"/>
    <cellStyle name="개_Book2_도로수량양식_자전거도로포장수량 21 2" xfId="37448"/>
    <cellStyle name="개_Book2_도로수량양식_자전거도로포장수량 3" xfId="16075"/>
    <cellStyle name="개_Book2_도로수량양식_자전거도로포장수량 3 2" xfId="28858"/>
    <cellStyle name="개_Book2_도로수량양식_자전거도로포장수량 4" xfId="15838"/>
    <cellStyle name="개_Book2_도로수량양식_자전거도로포장수량 4 2" xfId="28636"/>
    <cellStyle name="개_Book2_도로수량양식_자전거도로포장수량 5" xfId="16977"/>
    <cellStyle name="개_Book2_도로수량양식_자전거도로포장수량 5 2" xfId="29752"/>
    <cellStyle name="개_Book2_도로수량양식_자전거도로포장수량 6" xfId="17644"/>
    <cellStyle name="개_Book2_도로수량양식_자전거도로포장수량 6 2" xfId="30361"/>
    <cellStyle name="개_Book2_도로수량양식_자전거도로포장수량 7" xfId="17494"/>
    <cellStyle name="개_Book2_도로수량양식_자전거도로포장수량 7 2" xfId="30216"/>
    <cellStyle name="개_Book2_도로수량양식_자전거도로포장수량 8" xfId="13001"/>
    <cellStyle name="개_Book2_도로수량양식_자전거도로포장수량 8 2" xfId="25876"/>
    <cellStyle name="개_Book2_도로수량양식_자전거도로포장수량 9" xfId="15390"/>
    <cellStyle name="개_Book2_도로수량양식_자전거도로포장수량 9 2" xfId="28205"/>
    <cellStyle name="개_Book2_수량산출" xfId="2780"/>
    <cellStyle name="개_Book2_수량산출 10" xfId="18146"/>
    <cellStyle name="개_Book2_수량산출 10 2" xfId="30853"/>
    <cellStyle name="개_Book2_수량산출 11" xfId="19473"/>
    <cellStyle name="개_Book2_수량산출 12" xfId="23300"/>
    <cellStyle name="개_Book2_수량산출 12 2" xfId="35732"/>
    <cellStyle name="개_Book2_수량산출 13" xfId="23554"/>
    <cellStyle name="개_Book2_수량산출 13 2" xfId="35985"/>
    <cellStyle name="개_Book2_수량산출 14" xfId="23942"/>
    <cellStyle name="개_Book2_수량산출 14 2" xfId="36373"/>
    <cellStyle name="개_Book2_수량산출 15" xfId="24253"/>
    <cellStyle name="개_Book2_수량산출 15 2" xfId="36684"/>
    <cellStyle name="개_Book2_수량산출 16" xfId="20519"/>
    <cellStyle name="개_Book2_수량산출 16 2" xfId="32964"/>
    <cellStyle name="개_Book2_수량산출 17" xfId="24600"/>
    <cellStyle name="개_Book2_수량산출 17 2" xfId="37031"/>
    <cellStyle name="개_Book2_수량산출 18" xfId="24771"/>
    <cellStyle name="개_Book2_수량산출 18 2" xfId="37202"/>
    <cellStyle name="개_Book2_수량산출 19" xfId="24679"/>
    <cellStyle name="개_Book2_수량산출 19 2" xfId="37110"/>
    <cellStyle name="개_Book2_수량산출 2" xfId="13573"/>
    <cellStyle name="개_Book2_수량산출 2 2" xfId="26441"/>
    <cellStyle name="개_Book2_수량산출 20" xfId="24925"/>
    <cellStyle name="개_Book2_수량산출 20 2" xfId="37356"/>
    <cellStyle name="개_Book2_수량산출 21" xfId="25016"/>
    <cellStyle name="개_Book2_수량산출 21 2" xfId="37447"/>
    <cellStyle name="개_Book2_수량산출 3" xfId="16828"/>
    <cellStyle name="개_Book2_수량산출 3 2" xfId="29603"/>
    <cellStyle name="개_Book2_수량산출 4" xfId="17354"/>
    <cellStyle name="개_Book2_수량산출 4 2" xfId="30083"/>
    <cellStyle name="개_Book2_수량산출 5" xfId="16978"/>
    <cellStyle name="개_Book2_수량산출 5 2" xfId="29753"/>
    <cellStyle name="개_Book2_수량산출 6" xfId="17643"/>
    <cellStyle name="개_Book2_수량산출 6 2" xfId="30360"/>
    <cellStyle name="개_Book2_수량산출 7" xfId="12392"/>
    <cellStyle name="개_Book2_수량산출 7 2" xfId="25272"/>
    <cellStyle name="개_Book2_수량산출 8" xfId="14894"/>
    <cellStyle name="개_Book2_수량산출 8 2" xfId="27715"/>
    <cellStyle name="개_Book2_수량산출 9" xfId="17980"/>
    <cellStyle name="개_Book2_수량산출 9 2" xfId="30692"/>
    <cellStyle name="개_Book2_수량산출_자전거도로구조물공수량" xfId="2781"/>
    <cellStyle name="개_Book2_수량산출_자전거도로구조물공수량 10" xfId="18145"/>
    <cellStyle name="개_Book2_수량산출_자전거도로구조물공수량 10 2" xfId="30852"/>
    <cellStyle name="개_Book2_수량산출_자전거도로구조물공수량 11" xfId="19474"/>
    <cellStyle name="개_Book2_수량산출_자전거도로구조물공수량 12" xfId="23299"/>
    <cellStyle name="개_Book2_수량산출_자전거도로구조물공수량 12 2" xfId="35731"/>
    <cellStyle name="개_Book2_수량산출_자전거도로구조물공수량 13" xfId="23553"/>
    <cellStyle name="개_Book2_수량산출_자전거도로구조물공수량 13 2" xfId="35984"/>
    <cellStyle name="개_Book2_수량산출_자전거도로구조물공수량 14" xfId="23941"/>
    <cellStyle name="개_Book2_수량산출_자전거도로구조물공수량 14 2" xfId="36372"/>
    <cellStyle name="개_Book2_수량산출_자전거도로구조물공수량 15" xfId="19855"/>
    <cellStyle name="개_Book2_수량산출_자전거도로구조물공수량 15 2" xfId="32305"/>
    <cellStyle name="개_Book2_수량산출_자전거도로구조물공수량 16" xfId="24200"/>
    <cellStyle name="개_Book2_수량산출_자전거도로구조물공수량 16 2" xfId="36631"/>
    <cellStyle name="개_Book2_수량산출_자전거도로구조물공수량 17" xfId="24599"/>
    <cellStyle name="개_Book2_수량산출_자전거도로구조물공수량 17 2" xfId="37030"/>
    <cellStyle name="개_Book2_수량산출_자전거도로구조물공수량 18" xfId="24770"/>
    <cellStyle name="개_Book2_수량산출_자전거도로구조물공수량 18 2" xfId="37201"/>
    <cellStyle name="개_Book2_수량산출_자전거도로구조물공수량 19" xfId="24680"/>
    <cellStyle name="개_Book2_수량산출_자전거도로구조물공수량 19 2" xfId="37111"/>
    <cellStyle name="개_Book2_수량산출_자전거도로구조물공수량 2" xfId="13574"/>
    <cellStyle name="개_Book2_수량산출_자전거도로구조물공수량 2 2" xfId="26442"/>
    <cellStyle name="개_Book2_수량산출_자전거도로구조물공수량 20" xfId="24924"/>
    <cellStyle name="개_Book2_수량산출_자전거도로구조물공수량 20 2" xfId="37355"/>
    <cellStyle name="개_Book2_수량산출_자전거도로구조물공수량 21" xfId="25015"/>
    <cellStyle name="개_Book2_수량산출_자전거도로구조물공수량 21 2" xfId="37446"/>
    <cellStyle name="개_Book2_수량산출_자전거도로구조물공수량 3" xfId="16827"/>
    <cellStyle name="개_Book2_수량산출_자전거도로구조물공수량 3 2" xfId="29602"/>
    <cellStyle name="개_Book2_수량산출_자전거도로구조물공수량 4" xfId="15837"/>
    <cellStyle name="개_Book2_수량산출_자전거도로구조물공수량 4 2" xfId="28635"/>
    <cellStyle name="개_Book2_수량산출_자전거도로구조물공수량 5" xfId="16979"/>
    <cellStyle name="개_Book2_수량산출_자전거도로구조물공수량 5 2" xfId="29754"/>
    <cellStyle name="개_Book2_수량산출_자전거도로구조물공수량 6" xfId="17642"/>
    <cellStyle name="개_Book2_수량산출_자전거도로구조물공수량 6 2" xfId="30359"/>
    <cellStyle name="개_Book2_수량산출_자전거도로구조물공수량 7" xfId="13819"/>
    <cellStyle name="개_Book2_수량산출_자전거도로구조물공수량 7 2" xfId="26678"/>
    <cellStyle name="개_Book2_수량산출_자전거도로구조물공수량 8" xfId="17019"/>
    <cellStyle name="개_Book2_수량산출_자전거도로구조물공수량 8 2" xfId="29794"/>
    <cellStyle name="개_Book2_수량산출_자전거도로구조물공수량 9" xfId="17981"/>
    <cellStyle name="개_Book2_수량산출_자전거도로구조물공수량 9 2" xfId="30693"/>
    <cellStyle name="개_Book2_수량산출_자전거도로포장수량" xfId="2782"/>
    <cellStyle name="개_Book2_수량산출_자전거도로포장수량 10" xfId="18144"/>
    <cellStyle name="개_Book2_수량산출_자전거도로포장수량 10 2" xfId="30851"/>
    <cellStyle name="개_Book2_수량산출_자전거도로포장수량 11" xfId="19475"/>
    <cellStyle name="개_Book2_수량산출_자전거도로포장수량 12" xfId="23298"/>
    <cellStyle name="개_Book2_수량산출_자전거도로포장수량 12 2" xfId="35730"/>
    <cellStyle name="개_Book2_수량산출_자전거도로포장수량 13" xfId="23552"/>
    <cellStyle name="개_Book2_수량산출_자전거도로포장수량 13 2" xfId="35983"/>
    <cellStyle name="개_Book2_수량산출_자전거도로포장수량 14" xfId="23940"/>
    <cellStyle name="개_Book2_수량산출_자전거도로포장수량 14 2" xfId="36371"/>
    <cellStyle name="개_Book2_수량산출_자전거도로포장수량 15" xfId="22556"/>
    <cellStyle name="개_Book2_수량산출_자전거도로포장수량 15 2" xfId="34990"/>
    <cellStyle name="개_Book2_수량산출_자전거도로포장수량 16" xfId="19785"/>
    <cellStyle name="개_Book2_수량산출_자전거도로포장수량 16 2" xfId="32235"/>
    <cellStyle name="개_Book2_수량산출_자전거도로포장수량 17" xfId="24598"/>
    <cellStyle name="개_Book2_수량산출_자전거도로포장수량 17 2" xfId="37029"/>
    <cellStyle name="개_Book2_수량산출_자전거도로포장수량 18" xfId="24769"/>
    <cellStyle name="개_Book2_수량산출_자전거도로포장수량 18 2" xfId="37200"/>
    <cellStyle name="개_Book2_수량산출_자전거도로포장수량 19" xfId="24681"/>
    <cellStyle name="개_Book2_수량산출_자전거도로포장수량 19 2" xfId="37112"/>
    <cellStyle name="개_Book2_수량산출_자전거도로포장수량 2" xfId="13575"/>
    <cellStyle name="개_Book2_수량산출_자전거도로포장수량 2 2" xfId="26443"/>
    <cellStyle name="개_Book2_수량산출_자전거도로포장수량 20" xfId="24923"/>
    <cellStyle name="개_Book2_수량산출_자전거도로포장수량 20 2" xfId="37354"/>
    <cellStyle name="개_Book2_수량산출_자전거도로포장수량 21" xfId="25014"/>
    <cellStyle name="개_Book2_수량산출_자전거도로포장수량 21 2" xfId="37445"/>
    <cellStyle name="개_Book2_수량산출_자전거도로포장수량 3" xfId="16074"/>
    <cellStyle name="개_Book2_수량산출_자전거도로포장수량 3 2" xfId="28857"/>
    <cellStyle name="개_Book2_수량산출_자전거도로포장수량 4" xfId="15836"/>
    <cellStyle name="개_Book2_수량산출_자전거도로포장수량 4 2" xfId="28634"/>
    <cellStyle name="개_Book2_수량산출_자전거도로포장수량 5" xfId="17318"/>
    <cellStyle name="개_Book2_수량산출_자전거도로포장수량 5 2" xfId="30047"/>
    <cellStyle name="개_Book2_수량산출_자전거도로포장수량 6" xfId="17641"/>
    <cellStyle name="개_Book2_수량산출_자전거도로포장수량 6 2" xfId="30358"/>
    <cellStyle name="개_Book2_수량산출_자전거도로포장수량 7" xfId="17110"/>
    <cellStyle name="개_Book2_수량산출_자전거도로포장수량 7 2" xfId="29845"/>
    <cellStyle name="개_Book2_수량산출_자전거도로포장수량 8" xfId="17020"/>
    <cellStyle name="개_Book2_수량산출_자전거도로포장수량 8 2" xfId="29795"/>
    <cellStyle name="개_Book2_수량산출_자전거도로포장수량 9" xfId="17982"/>
    <cellStyle name="개_Book2_수량산출_자전거도로포장수량 9 2" xfId="30694"/>
    <cellStyle name="개_Book2_인월중군소하천" xfId="2783"/>
    <cellStyle name="개_Book2_인월중군소하천 10" xfId="18143"/>
    <cellStyle name="개_Book2_인월중군소하천 10 2" xfId="30850"/>
    <cellStyle name="개_Book2_인월중군소하천 11" xfId="19476"/>
    <cellStyle name="개_Book2_인월중군소하천 12" xfId="22490"/>
    <cellStyle name="개_Book2_인월중군소하천 12 2" xfId="34924"/>
    <cellStyle name="개_Book2_인월중군소하천 13" xfId="23551"/>
    <cellStyle name="개_Book2_인월중군소하천 13 2" xfId="35982"/>
    <cellStyle name="개_Book2_인월중군소하천 14" xfId="23939"/>
    <cellStyle name="개_Book2_인월중군소하천 14 2" xfId="36370"/>
    <cellStyle name="개_Book2_인월중군소하천 15" xfId="24252"/>
    <cellStyle name="개_Book2_인월중군소하천 15 2" xfId="36683"/>
    <cellStyle name="개_Book2_인월중군소하천 16" xfId="23529"/>
    <cellStyle name="개_Book2_인월중군소하천 16 2" xfId="35960"/>
    <cellStyle name="개_Book2_인월중군소하천 17" xfId="24597"/>
    <cellStyle name="개_Book2_인월중군소하천 17 2" xfId="37028"/>
    <cellStyle name="개_Book2_인월중군소하천 18" xfId="24768"/>
    <cellStyle name="개_Book2_인월중군소하천 18 2" xfId="37199"/>
    <cellStyle name="개_Book2_인월중군소하천 19" xfId="24682"/>
    <cellStyle name="개_Book2_인월중군소하천 19 2" xfId="37113"/>
    <cellStyle name="개_Book2_인월중군소하천 2" xfId="13576"/>
    <cellStyle name="개_Book2_인월중군소하천 2 2" xfId="26444"/>
    <cellStyle name="개_Book2_인월중군소하천 20" xfId="24922"/>
    <cellStyle name="개_Book2_인월중군소하천 20 2" xfId="37353"/>
    <cellStyle name="개_Book2_인월중군소하천 21" xfId="25013"/>
    <cellStyle name="개_Book2_인월중군소하천 21 2" xfId="37444"/>
    <cellStyle name="개_Book2_인월중군소하천 3" xfId="16073"/>
    <cellStyle name="개_Book2_인월중군소하천 3 2" xfId="28856"/>
    <cellStyle name="개_Book2_인월중군소하천 4" xfId="17353"/>
    <cellStyle name="개_Book2_인월중군소하천 4 2" xfId="30082"/>
    <cellStyle name="개_Book2_인월중군소하천 5" xfId="12539"/>
    <cellStyle name="개_Book2_인월중군소하천 5 2" xfId="25419"/>
    <cellStyle name="개_Book2_인월중군소하천 6" xfId="17640"/>
    <cellStyle name="개_Book2_인월중군소하천 6 2" xfId="30357"/>
    <cellStyle name="개_Book2_인월중군소하천 7" xfId="14577"/>
    <cellStyle name="개_Book2_인월중군소하천 7 2" xfId="27403"/>
    <cellStyle name="개_Book2_인월중군소하천 8" xfId="17021"/>
    <cellStyle name="개_Book2_인월중군소하천 8 2" xfId="29796"/>
    <cellStyle name="개_Book2_인월중군소하천 9" xfId="18109"/>
    <cellStyle name="개_Book2_인월중군소하천 9 2" xfId="30820"/>
    <cellStyle name="개_Book2_인월중군소하천_자전거도로구조물공수량" xfId="2784"/>
    <cellStyle name="개_Book2_인월중군소하천_자전거도로구조물공수량 10" xfId="15684"/>
    <cellStyle name="개_Book2_인월중군소하천_자전거도로구조물공수량 10 2" xfId="28484"/>
    <cellStyle name="개_Book2_인월중군소하천_자전거도로구조물공수량 11" xfId="19477"/>
    <cellStyle name="개_Book2_인월중군소하천_자전거도로구조물공수량 12" xfId="22489"/>
    <cellStyle name="개_Book2_인월중군소하천_자전거도로구조물공수량 12 2" xfId="34923"/>
    <cellStyle name="개_Book2_인월중군소하천_자전거도로구조물공수량 13" xfId="21681"/>
    <cellStyle name="개_Book2_인월중군소하천_자전거도로구조물공수량 13 2" xfId="34118"/>
    <cellStyle name="개_Book2_인월중군소하천_자전거도로구조물공수량 14" xfId="23938"/>
    <cellStyle name="개_Book2_인월중군소하천_자전거도로구조물공수량 14 2" xfId="36369"/>
    <cellStyle name="개_Book2_인월중군소하천_자전거도로구조물공수량 15" xfId="24251"/>
    <cellStyle name="개_Book2_인월중군소하천_자전거도로구조물공수량 15 2" xfId="36682"/>
    <cellStyle name="개_Book2_인월중군소하천_자전거도로구조물공수량 16" xfId="23665"/>
    <cellStyle name="개_Book2_인월중군소하천_자전거도로구조물공수량 16 2" xfId="36096"/>
    <cellStyle name="개_Book2_인월중군소하천_자전거도로구조물공수량 17" xfId="24596"/>
    <cellStyle name="개_Book2_인월중군소하천_자전거도로구조물공수량 17 2" xfId="37027"/>
    <cellStyle name="개_Book2_인월중군소하천_자전거도로구조물공수량 18" xfId="24767"/>
    <cellStyle name="개_Book2_인월중군소하천_자전거도로구조물공수량 18 2" xfId="37198"/>
    <cellStyle name="개_Book2_인월중군소하천_자전거도로구조물공수량 19" xfId="20732"/>
    <cellStyle name="개_Book2_인월중군소하천_자전거도로구조물공수량 19 2" xfId="33172"/>
    <cellStyle name="개_Book2_인월중군소하천_자전거도로구조물공수량 2" xfId="13577"/>
    <cellStyle name="개_Book2_인월중군소하천_자전거도로구조물공수량 2 2" xfId="26445"/>
    <cellStyle name="개_Book2_인월중군소하천_자전거도로구조물공수량 20" xfId="19738"/>
    <cellStyle name="개_Book2_인월중군소하천_자전거도로구조물공수량 20 2" xfId="32191"/>
    <cellStyle name="개_Book2_인월중군소하천_자전거도로구조물공수량 21" xfId="19984"/>
    <cellStyle name="개_Book2_인월중군소하천_자전거도로구조물공수량 21 2" xfId="32432"/>
    <cellStyle name="개_Book2_인월중군소하천_자전거도로구조물공수량 3" xfId="16826"/>
    <cellStyle name="개_Book2_인월중군소하천_자전거도로구조물공수량 3 2" xfId="29601"/>
    <cellStyle name="개_Book2_인월중군소하천_자전거도로구조물공수량 4" xfId="17352"/>
    <cellStyle name="개_Book2_인월중군소하천_자전거도로구조물공수량 4 2" xfId="30081"/>
    <cellStyle name="개_Book2_인월중군소하천_자전거도로구조물공수량 5" xfId="14385"/>
    <cellStyle name="개_Book2_인월중군소하천_자전거도로구조물공수량 5 2" xfId="27218"/>
    <cellStyle name="개_Book2_인월중군소하천_자전거도로구조물공수량 6" xfId="14621"/>
    <cellStyle name="개_Book2_인월중군소하천_자전거도로구조물공수량 6 2" xfId="27447"/>
    <cellStyle name="개_Book2_인월중군소하천_자전거도로구조물공수량 7" xfId="17495"/>
    <cellStyle name="개_Book2_인월중군소하천_자전거도로구조물공수량 7 2" xfId="30217"/>
    <cellStyle name="개_Book2_인월중군소하천_자전거도로구조물공수량 8" xfId="15721"/>
    <cellStyle name="개_Book2_인월중군소하천_자전거도로구조물공수량 8 2" xfId="28521"/>
    <cellStyle name="개_Book2_인월중군소하천_자전거도로구조물공수량 9" xfId="14890"/>
    <cellStyle name="개_Book2_인월중군소하천_자전거도로구조물공수량 9 2" xfId="27711"/>
    <cellStyle name="개_Book2_인월중군소하천_자전거도로포장수량" xfId="2785"/>
    <cellStyle name="개_Book2_인월중군소하천_자전거도로포장수량 10" xfId="12683"/>
    <cellStyle name="개_Book2_인월중군소하천_자전거도로포장수량 10 2" xfId="25562"/>
    <cellStyle name="개_Book2_인월중군소하천_자전거도로포장수량 11" xfId="19478"/>
    <cellStyle name="개_Book2_인월중군소하천_자전거도로포장수량 12" xfId="22488"/>
    <cellStyle name="개_Book2_인월중군소하천_자전거도로포장수량 12 2" xfId="34922"/>
    <cellStyle name="개_Book2_인월중군소하천_자전거도로포장수량 13" xfId="21682"/>
    <cellStyle name="개_Book2_인월중군소하천_자전거도로포장수량 13 2" xfId="34119"/>
    <cellStyle name="개_Book2_인월중군소하천_자전거도로포장수량 14" xfId="19715"/>
    <cellStyle name="개_Book2_인월중군소하천_자전거도로포장수량 14 2" xfId="32168"/>
    <cellStyle name="개_Book2_인월중군소하천_자전거도로포장수량 15" xfId="24250"/>
    <cellStyle name="개_Book2_인월중군소하천_자전거도로포장수량 15 2" xfId="36681"/>
    <cellStyle name="개_Book2_인월중군소하천_자전거도로포장수량 16" xfId="23666"/>
    <cellStyle name="개_Book2_인월중군소하천_자전거도로포장수량 16 2" xfId="36097"/>
    <cellStyle name="개_Book2_인월중군소하천_자전거도로포장수량 17" xfId="19241"/>
    <cellStyle name="개_Book2_인월중군소하천_자전거도로포장수량 17 2" xfId="31896"/>
    <cellStyle name="개_Book2_인월중군소하천_자전거도로포장수량 18" xfId="24766"/>
    <cellStyle name="개_Book2_인월중군소하천_자전거도로포장수량 18 2" xfId="37197"/>
    <cellStyle name="개_Book2_인월중군소하천_자전거도로포장수량 19" xfId="20733"/>
    <cellStyle name="개_Book2_인월중군소하천_자전거도로포장수량 19 2" xfId="33173"/>
    <cellStyle name="개_Book2_인월중군소하천_자전거도로포장수량 2" xfId="13578"/>
    <cellStyle name="개_Book2_인월중군소하천_자전거도로포장수량 2 2" xfId="26446"/>
    <cellStyle name="개_Book2_인월중군소하천_자전거도로포장수량 20" xfId="20540"/>
    <cellStyle name="개_Book2_인월중군소하천_자전거도로포장수량 20 2" xfId="32985"/>
    <cellStyle name="개_Book2_인월중군소하천_자전거도로포장수량 21" xfId="18336"/>
    <cellStyle name="개_Book2_인월중군소하천_자전거도로포장수량 21 2" xfId="31042"/>
    <cellStyle name="개_Book2_인월중군소하천_자전거도로포장수량 3" xfId="16072"/>
    <cellStyle name="개_Book2_인월중군소하천_자전거도로포장수량 3 2" xfId="28855"/>
    <cellStyle name="개_Book2_인월중군소하천_자전거도로포장수량 4" xfId="17351"/>
    <cellStyle name="개_Book2_인월중군소하천_자전거도로포장수량 4 2" xfId="30080"/>
    <cellStyle name="개_Book2_인월중군소하천_자전거도로포장수량 5" xfId="14188"/>
    <cellStyle name="개_Book2_인월중군소하천_자전거도로포장수량 5 2" xfId="27036"/>
    <cellStyle name="개_Book2_인월중군소하천_자전거도로포장수량 6" xfId="15925"/>
    <cellStyle name="개_Book2_인월중군소하천_자전거도로포장수량 6 2" xfId="28723"/>
    <cellStyle name="개_Book2_인월중군소하천_자전거도로포장수량 7" xfId="17496"/>
    <cellStyle name="개_Book2_인월중군소하천_자전거도로포장수량 7 2" xfId="30218"/>
    <cellStyle name="개_Book2_인월중군소하천_자전거도로포장수량 8" xfId="16414"/>
    <cellStyle name="개_Book2_인월중군소하천_자전거도로포장수량 8 2" xfId="29190"/>
    <cellStyle name="개_Book2_인월중군소하천_자전거도로포장수량 9" xfId="17419"/>
    <cellStyle name="개_Book2_인월중군소하천_자전거도로포장수량 9 2" xfId="30142"/>
    <cellStyle name="개_Book2_자전거도로구조물공수량" xfId="2786"/>
    <cellStyle name="개_Book2_자전거도로구조물공수량 10" xfId="17082"/>
    <cellStyle name="개_Book2_자전거도로구조물공수량 10 2" xfId="29818"/>
    <cellStyle name="개_Book2_자전거도로구조물공수량 11" xfId="19479"/>
    <cellStyle name="개_Book2_자전거도로구조물공수량 12" xfId="22487"/>
    <cellStyle name="개_Book2_자전거도로구조물공수량 12 2" xfId="34921"/>
    <cellStyle name="개_Book2_자전거도로구조물공수량 13" xfId="21683"/>
    <cellStyle name="개_Book2_자전거도로구조물공수량 13 2" xfId="34120"/>
    <cellStyle name="개_Book2_자전거도로구조물공수량 14" xfId="18731"/>
    <cellStyle name="개_Book2_자전거도로구조물공수량 14 2" xfId="31436"/>
    <cellStyle name="개_Book2_자전거도로구조물공수량 15" xfId="24249"/>
    <cellStyle name="개_Book2_자전거도로구조물공수량 15 2" xfId="36680"/>
    <cellStyle name="개_Book2_자전거도로구조물공수량 16" xfId="23667"/>
    <cellStyle name="개_Book2_자전거도로구조물공수량 16 2" xfId="36098"/>
    <cellStyle name="개_Book2_자전거도로구조물공수량 17" xfId="20821"/>
    <cellStyle name="개_Book2_자전거도로구조물공수량 17 2" xfId="33258"/>
    <cellStyle name="개_Book2_자전거도로구조물공수량 18" xfId="21971"/>
    <cellStyle name="개_Book2_자전거도로구조물공수량 18 2" xfId="34408"/>
    <cellStyle name="개_Book2_자전거도로구조물공수량 19" xfId="20639"/>
    <cellStyle name="개_Book2_자전거도로구조물공수량 19 2" xfId="33083"/>
    <cellStyle name="개_Book2_자전거도로구조물공수량 2" xfId="13579"/>
    <cellStyle name="개_Book2_자전거도로구조물공수량 2 2" xfId="26447"/>
    <cellStyle name="개_Book2_자전거도로구조물공수량 20" xfId="23848"/>
    <cellStyle name="개_Book2_자전거도로구조물공수량 20 2" xfId="36279"/>
    <cellStyle name="개_Book2_자전거도로구조물공수량 21" xfId="19672"/>
    <cellStyle name="개_Book2_자전거도로구조물공수량 21 2" xfId="32126"/>
    <cellStyle name="개_Book2_자전거도로구조물공수량 3" xfId="16825"/>
    <cellStyle name="개_Book2_자전거도로구조물공수량 3 2" xfId="29600"/>
    <cellStyle name="개_Book2_자전거도로구조물공수량 4" xfId="17350"/>
    <cellStyle name="개_Book2_자전거도로구조물공수량 4 2" xfId="30079"/>
    <cellStyle name="개_Book2_자전거도로구조물공수량 5" xfId="14386"/>
    <cellStyle name="개_Book2_자전거도로구조물공수량 5 2" xfId="27219"/>
    <cellStyle name="개_Book2_자전거도로구조물공수량 6" xfId="16376"/>
    <cellStyle name="개_Book2_자전거도로구조물공수량 6 2" xfId="29152"/>
    <cellStyle name="개_Book2_자전거도로구조물공수량 7" xfId="16891"/>
    <cellStyle name="개_Book2_자전거도로구조물공수량 7 2" xfId="29666"/>
    <cellStyle name="개_Book2_자전거도로구조물공수량 8" xfId="15722"/>
    <cellStyle name="개_Book2_자전거도로구조물공수량 8 2" xfId="28522"/>
    <cellStyle name="개_Book2_자전거도로구조물공수량 9" xfId="16041"/>
    <cellStyle name="개_Book2_자전거도로구조물공수량 9 2" xfId="28825"/>
    <cellStyle name="개_Book2_자전거도로포장수량" xfId="2787"/>
    <cellStyle name="개_Book2_자전거도로포장수량 10" xfId="17103"/>
    <cellStyle name="개_Book2_자전거도로포장수량 10 2" xfId="29838"/>
    <cellStyle name="개_Book2_자전거도로포장수량 11" xfId="19480"/>
    <cellStyle name="개_Book2_자전거도로포장수량 12" xfId="22486"/>
    <cellStyle name="개_Book2_자전거도로포장수량 12 2" xfId="34920"/>
    <cellStyle name="개_Book2_자전거도로포장수량 13" xfId="21684"/>
    <cellStyle name="개_Book2_자전거도로포장수량 13 2" xfId="34121"/>
    <cellStyle name="개_Book2_자전거도로포장수량 14" xfId="19165"/>
    <cellStyle name="개_Book2_자전거도로포장수량 14 2" xfId="31820"/>
    <cellStyle name="개_Book2_자전거도로포장수량 15" xfId="24248"/>
    <cellStyle name="개_Book2_자전거도로포장수량 15 2" xfId="36679"/>
    <cellStyle name="개_Book2_자전거도로포장수량 16" xfId="23668"/>
    <cellStyle name="개_Book2_자전거도로포장수량 16 2" xfId="36099"/>
    <cellStyle name="개_Book2_자전거도로포장수량 17" xfId="22291"/>
    <cellStyle name="개_Book2_자전거도로포장수량 17 2" xfId="34725"/>
    <cellStyle name="개_Book2_자전거도로포장수량 18" xfId="21040"/>
    <cellStyle name="개_Book2_자전거도로포장수량 18 2" xfId="33477"/>
    <cellStyle name="개_Book2_자전거도로포장수량 19" xfId="22023"/>
    <cellStyle name="개_Book2_자전거도로포장수량 19 2" xfId="34460"/>
    <cellStyle name="개_Book2_자전거도로포장수량 2" xfId="13580"/>
    <cellStyle name="개_Book2_자전거도로포장수량 2 2" xfId="26448"/>
    <cellStyle name="개_Book2_자전거도로포장수량 20" xfId="18872"/>
    <cellStyle name="개_Book2_자전거도로포장수량 20 2" xfId="31577"/>
    <cellStyle name="개_Book2_자전거도로포장수량 21" xfId="23438"/>
    <cellStyle name="개_Book2_자전거도로포장수량 21 2" xfId="35869"/>
    <cellStyle name="개_Book2_자전거도로포장수량 3" xfId="16824"/>
    <cellStyle name="개_Book2_자전거도로포장수량 3 2" xfId="29599"/>
    <cellStyle name="개_Book2_자전거도로포장수량 4" xfId="17349"/>
    <cellStyle name="개_Book2_자전거도로포장수량 4 2" xfId="30078"/>
    <cellStyle name="개_Book2_자전거도로포장수량 5" xfId="14189"/>
    <cellStyle name="개_Book2_자전거도로포장수량 5 2" xfId="27037"/>
    <cellStyle name="개_Book2_자전거도로포장수량 6" xfId="15924"/>
    <cellStyle name="개_Book2_자전거도로포장수량 6 2" xfId="28722"/>
    <cellStyle name="개_Book2_자전거도로포장수량 7" xfId="17497"/>
    <cellStyle name="개_Book2_자전거도로포장수량 7 2" xfId="30219"/>
    <cellStyle name="개_Book2_자전거도로포장수량 8" xfId="15723"/>
    <cellStyle name="개_Book2_자전거도로포장수량 8 2" xfId="28523"/>
    <cellStyle name="개_Book2_자전거도로포장수량 9" xfId="13050"/>
    <cellStyle name="개_Book2_자전거도로포장수량 9 2" xfId="25919"/>
    <cellStyle name="개_Book4" xfId="2788"/>
    <cellStyle name="개_Book4 10" xfId="17081"/>
    <cellStyle name="개_Book4 10 2" xfId="29817"/>
    <cellStyle name="개_Book4 11" xfId="19481"/>
    <cellStyle name="개_Book4 12" xfId="22485"/>
    <cellStyle name="개_Book4 12 2" xfId="34919"/>
    <cellStyle name="개_Book4 13" xfId="21685"/>
    <cellStyle name="개_Book4 13 2" xfId="34122"/>
    <cellStyle name="개_Book4 14" xfId="18733"/>
    <cellStyle name="개_Book4 14 2" xfId="31438"/>
    <cellStyle name="개_Book4 15" xfId="20915"/>
    <cellStyle name="개_Book4 15 2" xfId="33352"/>
    <cellStyle name="개_Book4 16" xfId="19518"/>
    <cellStyle name="개_Book4 16 2" xfId="31973"/>
    <cellStyle name="개_Book4 17" xfId="18553"/>
    <cellStyle name="개_Book4 17 2" xfId="31258"/>
    <cellStyle name="개_Book4 18" xfId="19761"/>
    <cellStyle name="개_Book4 18 2" xfId="32214"/>
    <cellStyle name="개_Book4 19" xfId="23366"/>
    <cellStyle name="개_Book4 19 2" xfId="35798"/>
    <cellStyle name="개_Book4 2" xfId="13581"/>
    <cellStyle name="개_Book4 2 2" xfId="26449"/>
    <cellStyle name="개_Book4 20" xfId="21821"/>
    <cellStyle name="개_Book4 20 2" xfId="34258"/>
    <cellStyle name="개_Book4 21" xfId="22157"/>
    <cellStyle name="개_Book4 21 2" xfId="34593"/>
    <cellStyle name="개_Book4 3" xfId="16823"/>
    <cellStyle name="개_Book4 3 2" xfId="29598"/>
    <cellStyle name="개_Book4 4" xfId="13748"/>
    <cellStyle name="개_Book4 4 2" xfId="26609"/>
    <cellStyle name="개_Book4 5" xfId="14387"/>
    <cellStyle name="개_Book4 5 2" xfId="27220"/>
    <cellStyle name="개_Book4 6" xfId="14620"/>
    <cellStyle name="개_Book4 6 2" xfId="27446"/>
    <cellStyle name="개_Book4 7" xfId="13815"/>
    <cellStyle name="개_Book4 7 2" xfId="26674"/>
    <cellStyle name="개_Book4 8" xfId="15724"/>
    <cellStyle name="개_Book4 8 2" xfId="28524"/>
    <cellStyle name="개_Book4 9" xfId="17235"/>
    <cellStyle name="개_Book4 9 2" xfId="29969"/>
    <cellStyle name="개_Book4_도로수량양식" xfId="2789"/>
    <cellStyle name="개_Book4_도로수량양식 10" xfId="12684"/>
    <cellStyle name="개_Book4_도로수량양식 10 2" xfId="25563"/>
    <cellStyle name="개_Book4_도로수량양식 11" xfId="19482"/>
    <cellStyle name="개_Book4_도로수량양식 12" xfId="22484"/>
    <cellStyle name="개_Book4_도로수량양식 12 2" xfId="34918"/>
    <cellStyle name="개_Book4_도로수량양식 13" xfId="21686"/>
    <cellStyle name="개_Book4_도로수량양식 13 2" xfId="34123"/>
    <cellStyle name="개_Book4_도로수량양식 14" xfId="19166"/>
    <cellStyle name="개_Book4_도로수량양식 14 2" xfId="31821"/>
    <cellStyle name="개_Book4_도로수량양식 15" xfId="19856"/>
    <cellStyle name="개_Book4_도로수량양식 15 2" xfId="32306"/>
    <cellStyle name="개_Book4_도로수량양식 16" xfId="22361"/>
    <cellStyle name="개_Book4_도로수량양식 16 2" xfId="34795"/>
    <cellStyle name="개_Book4_도로수량양식 17" xfId="18332"/>
    <cellStyle name="개_Book4_도로수량양식 17 2" xfId="31038"/>
    <cellStyle name="개_Book4_도로수량양식 18" xfId="19817"/>
    <cellStyle name="개_Book4_도로수량양식 18 2" xfId="32267"/>
    <cellStyle name="개_Book4_도로수량양식 19" xfId="22137"/>
    <cellStyle name="개_Book4_도로수량양식 19 2" xfId="34573"/>
    <cellStyle name="개_Book4_도로수량양식 2" xfId="13582"/>
    <cellStyle name="개_Book4_도로수량양식 2 2" xfId="26450"/>
    <cellStyle name="개_Book4_도로수량양식 20" xfId="18860"/>
    <cellStyle name="개_Book4_도로수량양식 20 2" xfId="31565"/>
    <cellStyle name="개_Book4_도로수량양식 21" xfId="20932"/>
    <cellStyle name="개_Book4_도로수량양식 21 2" xfId="33369"/>
    <cellStyle name="개_Book4_도로수량양식 3" xfId="16071"/>
    <cellStyle name="개_Book4_도로수량양식 3 2" xfId="28854"/>
    <cellStyle name="개_Book4_도로수량양식 4" xfId="15835"/>
    <cellStyle name="개_Book4_도로수량양식 4 2" xfId="28633"/>
    <cellStyle name="개_Book4_도로수량양식 5" xfId="14190"/>
    <cellStyle name="개_Book4_도로수량양식 5 2" xfId="27038"/>
    <cellStyle name="개_Book4_도로수량양식 6" xfId="15923"/>
    <cellStyle name="개_Book4_도로수량양식 6 2" xfId="28721"/>
    <cellStyle name="개_Book4_도로수량양식 7" xfId="17498"/>
    <cellStyle name="개_Book4_도로수량양식 7 2" xfId="30220"/>
    <cellStyle name="개_Book4_도로수량양식 8" xfId="15725"/>
    <cellStyle name="개_Book4_도로수량양식 8 2" xfId="28525"/>
    <cellStyle name="개_Book4_도로수량양식 9" xfId="17921"/>
    <cellStyle name="개_Book4_도로수량양식 9 2" xfId="30633"/>
    <cellStyle name="개_Book4_도로수량양식_자전거도로구조물공수량" xfId="2790"/>
    <cellStyle name="개_Book4_도로수량양식_자전거도로구조물공수량 10" xfId="16726"/>
    <cellStyle name="개_Book4_도로수량양식_자전거도로구조물공수량 10 2" xfId="29502"/>
    <cellStyle name="개_Book4_도로수량양식_자전거도로구조물공수량 11" xfId="19483"/>
    <cellStyle name="개_Book4_도로수량양식_자전거도로구조물공수량 12" xfId="22483"/>
    <cellStyle name="개_Book4_도로수량양식_자전거도로구조물공수량 12 2" xfId="34917"/>
    <cellStyle name="개_Book4_도로수량양식_자전거도로구조물공수량 13" xfId="21687"/>
    <cellStyle name="개_Book4_도로수량양식_자전거도로구조물공수량 13 2" xfId="34124"/>
    <cellStyle name="개_Book4_도로수량양식_자전거도로구조물공수량 14" xfId="23937"/>
    <cellStyle name="개_Book4_도로수량양식_자전거도로구조물공수량 14 2" xfId="36368"/>
    <cellStyle name="개_Book4_도로수량양식_자전거도로구조물공수량 15" xfId="22557"/>
    <cellStyle name="개_Book4_도로수량양식_자전거도로구조물공수량 15 2" xfId="34991"/>
    <cellStyle name="개_Book4_도로수량양식_자전거도로구조물공수량 16" xfId="21120"/>
    <cellStyle name="개_Book4_도로수량양식_자전거도로구조물공수량 16 2" xfId="33557"/>
    <cellStyle name="개_Book4_도로수량양식_자전거도로구조물공수량 17" xfId="24595"/>
    <cellStyle name="개_Book4_도로수량양식_자전거도로구조물공수량 17 2" xfId="37026"/>
    <cellStyle name="개_Book4_도로수량양식_자전거도로구조물공수량 18" xfId="19659"/>
    <cellStyle name="개_Book4_도로수량양식_자전거도로구조물공수량 18 2" xfId="32114"/>
    <cellStyle name="개_Book4_도로수량양식_자전거도로구조물공수량 19" xfId="22402"/>
    <cellStyle name="개_Book4_도로수량양식_자전거도로구조물공수량 19 2" xfId="34836"/>
    <cellStyle name="개_Book4_도로수량양식_자전거도로구조물공수량 2" xfId="13583"/>
    <cellStyle name="개_Book4_도로수량양식_자전거도로구조물공수량 2 2" xfId="26451"/>
    <cellStyle name="개_Book4_도로수량양식_자전거도로구조물공수량 20" xfId="19737"/>
    <cellStyle name="개_Book4_도로수량양식_자전거도로구조물공수량 20 2" xfId="32190"/>
    <cellStyle name="개_Book4_도로수량양식_자전거도로구조물공수량 21" xfId="20036"/>
    <cellStyle name="개_Book4_도로수량양식_자전거도로구조물공수량 21 2" xfId="32482"/>
    <cellStyle name="개_Book4_도로수량양식_자전거도로구조물공수량 3" xfId="16070"/>
    <cellStyle name="개_Book4_도로수량양식_자전거도로구조물공수량 3 2" xfId="28853"/>
    <cellStyle name="개_Book4_도로수량양식_자전거도로구조물공수량 4" xfId="15834"/>
    <cellStyle name="개_Book4_도로수량양식_자전거도로구조물공수량 4 2" xfId="28632"/>
    <cellStyle name="개_Book4_도로수량양식_자전거도로구조물공수량 5" xfId="14388"/>
    <cellStyle name="개_Book4_도로수량양식_자전거도로구조물공수량 5 2" xfId="27221"/>
    <cellStyle name="개_Book4_도로수량양식_자전거도로구조물공수량 6" xfId="16385"/>
    <cellStyle name="개_Book4_도로수량양식_자전거도로구조물공수량 6 2" xfId="29161"/>
    <cellStyle name="개_Book4_도로수량양식_자전거도로구조물공수량 7" xfId="16890"/>
    <cellStyle name="개_Book4_도로수량양식_자전거도로구조물공수량 7 2" xfId="29665"/>
    <cellStyle name="개_Book4_도로수량양식_자전거도로구조물공수량 8" xfId="17238"/>
    <cellStyle name="개_Book4_도로수량양식_자전거도로구조물공수량 8 2" xfId="29972"/>
    <cellStyle name="개_Book4_도로수량양식_자전거도로구조물공수량 9" xfId="15371"/>
    <cellStyle name="개_Book4_도로수량양식_자전거도로구조물공수량 9 2" xfId="28188"/>
    <cellStyle name="개_Book4_도로수량양식_자전거도로포장수량" xfId="2791"/>
    <cellStyle name="개_Book4_도로수량양식_자전거도로포장수량 10" xfId="15816"/>
    <cellStyle name="개_Book4_도로수량양식_자전거도로포장수량 10 2" xfId="28614"/>
    <cellStyle name="개_Book4_도로수량양식_자전거도로포장수량 11" xfId="19484"/>
    <cellStyle name="개_Book4_도로수량양식_자전거도로포장수량 12" xfId="23297"/>
    <cellStyle name="개_Book4_도로수량양식_자전거도로포장수량 12 2" xfId="35729"/>
    <cellStyle name="개_Book4_도로수량양식_자전거도로포장수량 13" xfId="21688"/>
    <cellStyle name="개_Book4_도로수량양식_자전거도로포장수량 13 2" xfId="34125"/>
    <cellStyle name="개_Book4_도로수량양식_자전거도로포장수량 14" xfId="21311"/>
    <cellStyle name="개_Book4_도로수량양식_자전거도로포장수량 14 2" xfId="33748"/>
    <cellStyle name="개_Book4_도로수량양식_자전거도로포장수량 15" xfId="19857"/>
    <cellStyle name="개_Book4_도로수량양식_자전거도로포장수량 15 2" xfId="32307"/>
    <cellStyle name="개_Book4_도로수량양식_자전거도로포장수량 16" xfId="18625"/>
    <cellStyle name="개_Book4_도로수량양식_자전거도로포장수량 16 2" xfId="31330"/>
    <cellStyle name="개_Book4_도로수량양식_자전거도로포장수량 17" xfId="19252"/>
    <cellStyle name="개_Book4_도로수량양식_자전거도로포장수량 17 2" xfId="31907"/>
    <cellStyle name="개_Book4_도로수량양식_자전거도로포장수량 18" xfId="23331"/>
    <cellStyle name="개_Book4_도로수량양식_자전거도로포장수량 18 2" xfId="35763"/>
    <cellStyle name="개_Book4_도로수량양식_자전거도로포장수량 19" xfId="22024"/>
    <cellStyle name="개_Book4_도로수량양식_자전거도로포장수량 19 2" xfId="34461"/>
    <cellStyle name="개_Book4_도로수량양식_자전거도로포장수량 2" xfId="13584"/>
    <cellStyle name="개_Book4_도로수량양식_자전거도로포장수량 2 2" xfId="26452"/>
    <cellStyle name="개_Book4_도로수량양식_자전거도로포장수량 20" xfId="23917"/>
    <cellStyle name="개_Book4_도로수량양식_자전거도로포장수량 20 2" xfId="36348"/>
    <cellStyle name="개_Book4_도로수량양식_자전거도로포장수량 21" xfId="21099"/>
    <cellStyle name="개_Book4_도로수량양식_자전거도로포장수량 21 2" xfId="33536"/>
    <cellStyle name="개_Book4_도로수량양식_자전거도로포장수량 3" xfId="16069"/>
    <cellStyle name="개_Book4_도로수량양식_자전거도로포장수량 3 2" xfId="28852"/>
    <cellStyle name="개_Book4_도로수량양식_자전거도로포장수량 4" xfId="15833"/>
    <cellStyle name="개_Book4_도로수량양식_자전거도로포장수량 4 2" xfId="28631"/>
    <cellStyle name="개_Book4_도로수량양식_자전거도로포장수량 5" xfId="15561"/>
    <cellStyle name="개_Book4_도로수량양식_자전거도로포장수량 5 2" xfId="28370"/>
    <cellStyle name="개_Book4_도로수량양식_자전거도로포장수량 6" xfId="13176"/>
    <cellStyle name="개_Book4_도로수량양식_자전거도로포장수량 6 2" xfId="26044"/>
    <cellStyle name="개_Book4_도로수량양식_자전거도로포장수량 7" xfId="17499"/>
    <cellStyle name="개_Book4_도로수량양식_자전거도로포장수량 7 2" xfId="30221"/>
    <cellStyle name="개_Book4_도로수량양식_자전거도로포장수량 8" xfId="15726"/>
    <cellStyle name="개_Book4_도로수량양식_자전거도로포장수량 8 2" xfId="28526"/>
    <cellStyle name="개_Book4_도로수량양식_자전거도로포장수량 9" xfId="12946"/>
    <cellStyle name="개_Book4_도로수량양식_자전거도로포장수량 9 2" xfId="25821"/>
    <cellStyle name="개_Book4_수량산출" xfId="2792"/>
    <cellStyle name="개_Book4_수량산출 10" xfId="18142"/>
    <cellStyle name="개_Book4_수량산출 10 2" xfId="30849"/>
    <cellStyle name="개_Book4_수량산출 11" xfId="19485"/>
    <cellStyle name="개_Book4_수량산출 12" xfId="23296"/>
    <cellStyle name="개_Book4_수량산출 12 2" xfId="35728"/>
    <cellStyle name="개_Book4_수량산출 13" xfId="23550"/>
    <cellStyle name="개_Book4_수량산출 13 2" xfId="35981"/>
    <cellStyle name="개_Book4_수량산출 14" xfId="21519"/>
    <cellStyle name="개_Book4_수량산출 14 2" xfId="33956"/>
    <cellStyle name="개_Book4_수량산출 15" xfId="22558"/>
    <cellStyle name="개_Book4_수량산출 15 2" xfId="34992"/>
    <cellStyle name="개_Book4_수량산출 16" xfId="18301"/>
    <cellStyle name="개_Book4_수량산출 16 2" xfId="31007"/>
    <cellStyle name="개_Book4_수량산출 17" xfId="18333"/>
    <cellStyle name="개_Book4_수량산출 17 2" xfId="31039"/>
    <cellStyle name="개_Book4_수량산출 18" xfId="19760"/>
    <cellStyle name="개_Book4_수량산출 18 2" xfId="32213"/>
    <cellStyle name="개_Book4_수량산출 19" xfId="24683"/>
    <cellStyle name="개_Book4_수량산출 19 2" xfId="37114"/>
    <cellStyle name="개_Book4_수량산출 2" xfId="13585"/>
    <cellStyle name="개_Book4_수량산출 2 2" xfId="26453"/>
    <cellStyle name="개_Book4_수량산출 20" xfId="24921"/>
    <cellStyle name="개_Book4_수량산출 20 2" xfId="37352"/>
    <cellStyle name="개_Book4_수량산출 21" xfId="25012"/>
    <cellStyle name="개_Book4_수량산출 21 2" xfId="37443"/>
    <cellStyle name="개_Book4_수량산출 3" xfId="16068"/>
    <cellStyle name="개_Book4_수량산출 3 2" xfId="28851"/>
    <cellStyle name="개_Book4_수량산출 4" xfId="15832"/>
    <cellStyle name="개_Book4_수량산출 4 2" xfId="28630"/>
    <cellStyle name="개_Book4_수량산출 5" xfId="16980"/>
    <cellStyle name="개_Book4_수량산출 5 2" xfId="29755"/>
    <cellStyle name="개_Book4_수량산출 6" xfId="17639"/>
    <cellStyle name="개_Book4_수량산출 6 2" xfId="30356"/>
    <cellStyle name="개_Book4_수량산출 7" xfId="13814"/>
    <cellStyle name="개_Book4_수량산출 7 2" xfId="26673"/>
    <cellStyle name="개_Book4_수량산출 8" xfId="13026"/>
    <cellStyle name="개_Book4_수량산출 8 2" xfId="25901"/>
    <cellStyle name="개_Book4_수량산출 9" xfId="15370"/>
    <cellStyle name="개_Book4_수량산출 9 2" xfId="28187"/>
    <cellStyle name="개_Book4_수량산출_자전거도로구조물공수량" xfId="2793"/>
    <cellStyle name="개_Book4_수량산출_자전거도로구조물공수량 10" xfId="18141"/>
    <cellStyle name="개_Book4_수량산출_자전거도로구조물공수량 10 2" xfId="30848"/>
    <cellStyle name="개_Book4_수량산출_자전거도로구조물공수량 11" xfId="19486"/>
    <cellStyle name="개_Book4_수량산출_자전거도로구조물공수량 12" xfId="23295"/>
    <cellStyle name="개_Book4_수량산출_자전거도로구조물공수량 12 2" xfId="35727"/>
    <cellStyle name="개_Book4_수량산출_자전거도로구조물공수량 13" xfId="23549"/>
    <cellStyle name="개_Book4_수량산출_자전거도로구조물공수량 13 2" xfId="35980"/>
    <cellStyle name="개_Book4_수량산출_자전거도로구조물공수량 14" xfId="21319"/>
    <cellStyle name="개_Book4_수량산출_자전거도로구조물공수량 14 2" xfId="33756"/>
    <cellStyle name="개_Book4_수량산출_자전거도로구조물공수량 15" xfId="24247"/>
    <cellStyle name="개_Book4_수량산출_자전거도로구조물공수량 15 2" xfId="36678"/>
    <cellStyle name="개_Book4_수량산출_자전거도로구조물공수량 16" xfId="23530"/>
    <cellStyle name="개_Book4_수량산출_자전거도로구조물공수량 16 2" xfId="35961"/>
    <cellStyle name="개_Book4_수량산출_자전거도로구조물공수량 17" xfId="22399"/>
    <cellStyle name="개_Book4_수량산출_자전거도로구조물공수량 17 2" xfId="34833"/>
    <cellStyle name="개_Book4_수량산출_자전거도로구조물공수량 18" xfId="23074"/>
    <cellStyle name="개_Book4_수량산출_자전거도로구조물공수량 18 2" xfId="35507"/>
    <cellStyle name="개_Book4_수량산출_자전거도로구조물공수량 19" xfId="24684"/>
    <cellStyle name="개_Book4_수량산출_자전거도로구조물공수량 19 2" xfId="37115"/>
    <cellStyle name="개_Book4_수량산출_자전거도로구조물공수량 2" xfId="13586"/>
    <cellStyle name="개_Book4_수량산출_자전거도로구조물공수량 2 2" xfId="26454"/>
    <cellStyle name="개_Book4_수량산출_자전거도로구조물공수량 20" xfId="24920"/>
    <cellStyle name="개_Book4_수량산출_자전거도로구조물공수량 20 2" xfId="37351"/>
    <cellStyle name="개_Book4_수량산출_자전거도로구조물공수량 21" xfId="25011"/>
    <cellStyle name="개_Book4_수량산출_자전거도로구조물공수량 21 2" xfId="37442"/>
    <cellStyle name="개_Book4_수량산출_자전거도로구조물공수량 3" xfId="16067"/>
    <cellStyle name="개_Book4_수량산출_자전거도로구조물공수량 3 2" xfId="28850"/>
    <cellStyle name="개_Book4_수량산출_자전거도로구조물공수량 4" xfId="17348"/>
    <cellStyle name="개_Book4_수량산출_자전거도로구조물공수량 4 2" xfId="30077"/>
    <cellStyle name="개_Book4_수량산출_자전거도로구조물공수량 5" xfId="16981"/>
    <cellStyle name="개_Book4_수량산출_자전거도로구조물공수량 5 2" xfId="29756"/>
    <cellStyle name="개_Book4_수량산출_자전거도로구조물공수량 6" xfId="17638"/>
    <cellStyle name="개_Book4_수량산출_자전거도로구조물공수량 6 2" xfId="30355"/>
    <cellStyle name="개_Book4_수량산출_자전거도로구조물공수량 7" xfId="17500"/>
    <cellStyle name="개_Book4_수량산출_자전거도로구조물공수량 7 2" xfId="30222"/>
    <cellStyle name="개_Book4_수량산출_자전거도로구조물공수량 8" xfId="17618"/>
    <cellStyle name="개_Book4_수량산출_자전거도로구조물공수량 8 2" xfId="30335"/>
    <cellStyle name="개_Book4_수량산출_자전거도로구조물공수량 9" xfId="17983"/>
    <cellStyle name="개_Book4_수량산출_자전거도로구조물공수량 9 2" xfId="30695"/>
    <cellStyle name="개_Book4_수량산출_자전거도로포장수량" xfId="2794"/>
    <cellStyle name="개_Book4_수량산출_자전거도로포장수량 10" xfId="18140"/>
    <cellStyle name="개_Book4_수량산출_자전거도로포장수량 10 2" xfId="30847"/>
    <cellStyle name="개_Book4_수량산출_자전거도로포장수량 11" xfId="19487"/>
    <cellStyle name="개_Book4_수량산출_자전거도로포장수량 12" xfId="23294"/>
    <cellStyle name="개_Book4_수량산출_자전거도로포장수량 12 2" xfId="35726"/>
    <cellStyle name="개_Book4_수량산출_자전거도로포장수량 13" xfId="23548"/>
    <cellStyle name="개_Book4_수량산출_자전거도로포장수량 13 2" xfId="35979"/>
    <cellStyle name="개_Book4_수량산출_자전거도로포장수량 14" xfId="23936"/>
    <cellStyle name="개_Book4_수량산출_자전거도로포장수량 14 2" xfId="36367"/>
    <cellStyle name="개_Book4_수량산출_자전거도로포장수량 15" xfId="19858"/>
    <cellStyle name="개_Book4_수량산출_자전거도로포장수량 15 2" xfId="32308"/>
    <cellStyle name="개_Book4_수량산출_자전거도로포장수량 16" xfId="18300"/>
    <cellStyle name="개_Book4_수량산출_자전거도로포장수량 16 2" xfId="31006"/>
    <cellStyle name="개_Book4_수량산출_자전거도로포장수량 17" xfId="24594"/>
    <cellStyle name="개_Book4_수량산출_자전거도로포장수량 17 2" xfId="37025"/>
    <cellStyle name="개_Book4_수량산출_자전거도로포장수량 18" xfId="24765"/>
    <cellStyle name="개_Book4_수량산출_자전거도로포장수량 18 2" xfId="37196"/>
    <cellStyle name="개_Book4_수량산출_자전거도로포장수량 19" xfId="24685"/>
    <cellStyle name="개_Book4_수량산출_자전거도로포장수량 19 2" xfId="37116"/>
    <cellStyle name="개_Book4_수량산출_자전거도로포장수량 2" xfId="13587"/>
    <cellStyle name="개_Book4_수량산출_자전거도로포장수량 2 2" xfId="26455"/>
    <cellStyle name="개_Book4_수량산출_자전거도로포장수량 20" xfId="24919"/>
    <cellStyle name="개_Book4_수량산출_자전거도로포장수량 20 2" xfId="37350"/>
    <cellStyle name="개_Book4_수량산출_자전거도로포장수량 21" xfId="25010"/>
    <cellStyle name="개_Book4_수량산출_자전거도로포장수량 21 2" xfId="37441"/>
    <cellStyle name="개_Book4_수량산출_자전거도로포장수량 3" xfId="16066"/>
    <cellStyle name="개_Book4_수량산출_자전거도로포장수량 3 2" xfId="28849"/>
    <cellStyle name="개_Book4_수량산출_자전거도로포장수량 4" xfId="15831"/>
    <cellStyle name="개_Book4_수량산출_자전거도로포장수량 4 2" xfId="28629"/>
    <cellStyle name="개_Book4_수량산출_자전거도로포장수량 5" xfId="16982"/>
    <cellStyle name="개_Book4_수량산출_자전거도로포장수량 5 2" xfId="29757"/>
    <cellStyle name="개_Book4_수량산출_자전거도로포장수량 6" xfId="17637"/>
    <cellStyle name="개_Book4_수량산출_자전거도로포장수량 6 2" xfId="30354"/>
    <cellStyle name="개_Book4_수량산출_자전거도로포장수량 7" xfId="16889"/>
    <cellStyle name="개_Book4_수량산출_자전거도로포장수량 7 2" xfId="29664"/>
    <cellStyle name="개_Book4_수량산출_자전거도로포장수량 8" xfId="15368"/>
    <cellStyle name="개_Book4_수량산출_자전거도로포장수량 8 2" xfId="28185"/>
    <cellStyle name="개_Book4_수량산출_자전거도로포장수량 9" xfId="17984"/>
    <cellStyle name="개_Book4_수량산출_자전거도로포장수량 9 2" xfId="30696"/>
    <cellStyle name="개_Book4_인월중군소하천" xfId="2795"/>
    <cellStyle name="개_Book4_인월중군소하천 10" xfId="18139"/>
    <cellStyle name="개_Book4_인월중군소하천 10 2" xfId="30846"/>
    <cellStyle name="개_Book4_인월중군소하천 11" xfId="19488"/>
    <cellStyle name="개_Book4_인월중군소하천 12" xfId="22482"/>
    <cellStyle name="개_Book4_인월중군소하천 12 2" xfId="34916"/>
    <cellStyle name="개_Book4_인월중군소하천 13" xfId="23547"/>
    <cellStyle name="개_Book4_인월중군소하천 13 2" xfId="35978"/>
    <cellStyle name="개_Book4_인월중군소하천 14" xfId="23935"/>
    <cellStyle name="개_Book4_인월중군소하천 14 2" xfId="36366"/>
    <cellStyle name="개_Book4_인월중군소하천 15" xfId="22559"/>
    <cellStyle name="개_Book4_인월중군소하천 15 2" xfId="34993"/>
    <cellStyle name="개_Book4_인월중군소하천 16" xfId="22286"/>
    <cellStyle name="개_Book4_인월중군소하천 16 2" xfId="34720"/>
    <cellStyle name="개_Book4_인월중군소하천 17" xfId="24593"/>
    <cellStyle name="개_Book4_인월중군소하천 17 2" xfId="37024"/>
    <cellStyle name="개_Book4_인월중군소하천 18" xfId="24764"/>
    <cellStyle name="개_Book4_인월중군소하천 18 2" xfId="37195"/>
    <cellStyle name="개_Book4_인월중군소하천 19" xfId="24686"/>
    <cellStyle name="개_Book4_인월중군소하천 19 2" xfId="37117"/>
    <cellStyle name="개_Book4_인월중군소하천 2" xfId="13588"/>
    <cellStyle name="개_Book4_인월중군소하천 2 2" xfId="26456"/>
    <cellStyle name="개_Book4_인월중군소하천 20" xfId="24918"/>
    <cellStyle name="개_Book4_인월중군소하천 20 2" xfId="37349"/>
    <cellStyle name="개_Book4_인월중군소하천 21" xfId="25009"/>
    <cellStyle name="개_Book4_인월중군소하천 21 2" xfId="37440"/>
    <cellStyle name="개_Book4_인월중군소하천 3" xfId="16065"/>
    <cellStyle name="개_Book4_인월중군소하천 3 2" xfId="28848"/>
    <cellStyle name="개_Book4_인월중군소하천 4" xfId="15830"/>
    <cellStyle name="개_Book4_인월중군소하천 4 2" xfId="28628"/>
    <cellStyle name="개_Book4_인월중군소하천 5" xfId="16983"/>
    <cellStyle name="개_Book4_인월중군소하천 5 2" xfId="29758"/>
    <cellStyle name="개_Book4_인월중군소하천 6" xfId="17636"/>
    <cellStyle name="개_Book4_인월중군소하천 6 2" xfId="30353"/>
    <cellStyle name="개_Book4_인월중군소하천 7" xfId="13816"/>
    <cellStyle name="개_Book4_인월중군소하천 7 2" xfId="26675"/>
    <cellStyle name="개_Book4_인월중군소하천 8" xfId="17257"/>
    <cellStyle name="개_Book4_인월중군소하천 8 2" xfId="29990"/>
    <cellStyle name="개_Book4_인월중군소하천 9" xfId="17985"/>
    <cellStyle name="개_Book4_인월중군소하천 9 2" xfId="30697"/>
    <cellStyle name="개_Book4_인월중군소하천_자전거도로구조물공수량" xfId="2796"/>
    <cellStyle name="개_Book4_인월중군소하천_자전거도로구조물공수량 10" xfId="15685"/>
    <cellStyle name="개_Book4_인월중군소하천_자전거도로구조물공수량 10 2" xfId="28485"/>
    <cellStyle name="개_Book4_인월중군소하천_자전거도로구조물공수량 11" xfId="19489"/>
    <cellStyle name="개_Book4_인월중군소하천_자전거도로구조물공수량 12" xfId="22481"/>
    <cellStyle name="개_Book4_인월중군소하천_자전거도로구조물공수량 12 2" xfId="34915"/>
    <cellStyle name="개_Book4_인월중군소하천_자전거도로구조물공수량 13" xfId="21689"/>
    <cellStyle name="개_Book4_인월중군소하천_자전거도로구조물공수량 13 2" xfId="34126"/>
    <cellStyle name="개_Book4_인월중군소하천_자전거도로구조물공수량 14" xfId="23934"/>
    <cellStyle name="개_Book4_인월중군소하천_자전거도로구조물공수량 14 2" xfId="36365"/>
    <cellStyle name="개_Book4_인월중군소하천_자전거도로구조물공수량 15" xfId="19859"/>
    <cellStyle name="개_Book4_인월중군소하천_자전거도로구조물공수량 15 2" xfId="32309"/>
    <cellStyle name="개_Book4_인월중군소하천_자전거도로구조물공수량 16" xfId="19517"/>
    <cellStyle name="개_Book4_인월중군소하천_자전거도로구조물공수량 16 2" xfId="31972"/>
    <cellStyle name="개_Book4_인월중군소하천_자전거도로구조물공수량 17" xfId="24592"/>
    <cellStyle name="개_Book4_인월중군소하천_자전거도로구조물공수량 17 2" xfId="37023"/>
    <cellStyle name="개_Book4_인월중군소하천_자전거도로구조물공수량 18" xfId="24763"/>
    <cellStyle name="개_Book4_인월중군소하천_자전거도로구조물공수량 18 2" xfId="37194"/>
    <cellStyle name="개_Book4_인월중군소하천_자전거도로구조물공수량 19" xfId="22138"/>
    <cellStyle name="개_Book4_인월중군소하천_자전거도로구조물공수량 19 2" xfId="34574"/>
    <cellStyle name="개_Book4_인월중군소하천_자전거도로구조물공수량 2" xfId="13589"/>
    <cellStyle name="개_Book4_인월중군소하천_자전거도로구조물공수량 2 2" xfId="26457"/>
    <cellStyle name="개_Book4_인월중군소하천_자전거도로구조물공수량 20" xfId="21784"/>
    <cellStyle name="개_Book4_인월중군소하천_자전거도로구조물공수량 20 2" xfId="34221"/>
    <cellStyle name="개_Book4_인월중군소하천_자전거도로구조물공수량 21" xfId="23238"/>
    <cellStyle name="개_Book4_인월중군소하천_자전거도로구조물공수량 21 2" xfId="35670"/>
    <cellStyle name="개_Book4_인월중군소하천_자전거도로구조물공수량 3" xfId="16064"/>
    <cellStyle name="개_Book4_인월중군소하천_자전거도로구조물공수량 3 2" xfId="28847"/>
    <cellStyle name="개_Book4_인월중군소하천_자전거도로구조물공수량 4" xfId="15829"/>
    <cellStyle name="개_Book4_인월중군소하천_자전거도로구조물공수량 4 2" xfId="28627"/>
    <cellStyle name="개_Book4_인월중군소하천_자전거도로구조물공수량 5" xfId="14526"/>
    <cellStyle name="개_Book4_인월중군소하천_자전거도로구조물공수량 5 2" xfId="27354"/>
    <cellStyle name="개_Book4_인월중군소하천_자전거도로구조물공수량 6" xfId="14619"/>
    <cellStyle name="개_Book4_인월중군소하천_자전거도로구조물공수량 6 2" xfId="27445"/>
    <cellStyle name="개_Book4_인월중군소하천_자전거도로구조물공수량 7" xfId="17501"/>
    <cellStyle name="개_Book4_인월중군소하천_자전거도로구조물공수량 7 2" xfId="30223"/>
    <cellStyle name="개_Book4_인월중군소하천_자전거도로구조물공수량 8" xfId="17237"/>
    <cellStyle name="개_Book4_인월중군소하천_자전거도로구조물공수량 8 2" xfId="29971"/>
    <cellStyle name="개_Book4_인월중군소하천_자전거도로구조물공수량 9" xfId="15701"/>
    <cellStyle name="개_Book4_인월중군소하천_자전거도로구조물공수량 9 2" xfId="28501"/>
    <cellStyle name="개_Book4_인월중군소하천_자전거도로포장수량" xfId="2797"/>
    <cellStyle name="개_Book4_인월중군소하천_자전거도로포장수량 10" xfId="16589"/>
    <cellStyle name="개_Book4_인월중군소하천_자전거도로포장수량 10 2" xfId="29365"/>
    <cellStyle name="개_Book4_인월중군소하천_자전거도로포장수량 11" xfId="19490"/>
    <cellStyle name="개_Book4_인월중군소하천_자전거도로포장수량 12" xfId="23293"/>
    <cellStyle name="개_Book4_인월중군소하천_자전거도로포장수량 12 2" xfId="35725"/>
    <cellStyle name="개_Book4_인월중군소하천_자전거도로포장수량 13" xfId="21690"/>
    <cellStyle name="개_Book4_인월중군소하천_자전거도로포장수량 13 2" xfId="34127"/>
    <cellStyle name="개_Book4_인월중군소하천_자전거도로포장수량 14" xfId="21296"/>
    <cellStyle name="개_Book4_인월중군소하천_자전거도로포장수량 14 2" xfId="33733"/>
    <cellStyle name="개_Book4_인월중군소하천_자전거도로포장수량 15" xfId="24246"/>
    <cellStyle name="개_Book4_인월중군소하천_자전거도로포장수량 15 2" xfId="36677"/>
    <cellStyle name="개_Book4_인월중군소하천_자전거도로포장수량 16" xfId="22360"/>
    <cellStyle name="개_Book4_인월중군소하천_자전거도로포장수량 16 2" xfId="34794"/>
    <cellStyle name="개_Book4_인월중군소하천_자전거도로포장수량 17" xfId="22330"/>
    <cellStyle name="개_Book4_인월중군소하천_자전거도로포장수량 17 2" xfId="34764"/>
    <cellStyle name="개_Book4_인월중군소하천_자전거도로포장수량 18" xfId="24762"/>
    <cellStyle name="개_Book4_인월중군소하천_자전거도로포장수량 18 2" xfId="37193"/>
    <cellStyle name="개_Book4_인월중군소하천_자전거도로포장수량 19" xfId="19264"/>
    <cellStyle name="개_Book4_인월중군소하천_자전거도로포장수량 19 2" xfId="31919"/>
    <cellStyle name="개_Book4_인월중군소하천_자전거도로포장수량 2" xfId="13590"/>
    <cellStyle name="개_Book4_인월중군소하천_자전거도로포장수량 2 2" xfId="26458"/>
    <cellStyle name="개_Book4_인월중군소하천_자전거도로포장수량 20" xfId="23800"/>
    <cellStyle name="개_Book4_인월중군소하천_자전거도로포장수량 20 2" xfId="36231"/>
    <cellStyle name="개_Book4_인월중군소하천_자전거도로포장수량 21" xfId="20933"/>
    <cellStyle name="개_Book4_인월중군소하천_자전거도로포장수량 21 2" xfId="33370"/>
    <cellStyle name="개_Book4_인월중군소하천_자전거도로포장수량 3" xfId="16063"/>
    <cellStyle name="개_Book4_인월중군소하천_자전거도로포장수량 3 2" xfId="28846"/>
    <cellStyle name="개_Book4_인월중군소하천_자전거도로포장수량 4" xfId="17347"/>
    <cellStyle name="개_Book4_인월중군소하천_자전거도로포장수량 4 2" xfId="30076"/>
    <cellStyle name="개_Book4_인월중군소하천_자전거도로포장수량 5" xfId="14191"/>
    <cellStyle name="개_Book4_인월중군소하천_자전거도로포장수량 5 2" xfId="27039"/>
    <cellStyle name="개_Book4_인월중군소하천_자전거도로포장수량 6" xfId="13175"/>
    <cellStyle name="개_Book4_인월중군소하천_자전거도로포장수량 6 2" xfId="26043"/>
    <cellStyle name="개_Book4_인월중군소하천_자전거도로포장수량 7" xfId="17502"/>
    <cellStyle name="개_Book4_인월중군소하천_자전거도로포장수량 7 2" xfId="30224"/>
    <cellStyle name="개_Book4_인월중군소하천_자전거도로포장수량 8" xfId="16418"/>
    <cellStyle name="개_Book4_인월중군소하천_자전거도로포장수량 8 2" xfId="29194"/>
    <cellStyle name="개_Book4_인월중군소하천_자전거도로포장수량 9" xfId="14397"/>
    <cellStyle name="개_Book4_인월중군소하천_자전거도로포장수량 9 2" xfId="27230"/>
    <cellStyle name="개_Book4_자전거도로구조물공수량" xfId="2798"/>
    <cellStyle name="개_Book4_자전거도로구조물공수량 10" xfId="18138"/>
    <cellStyle name="개_Book4_자전거도로구조물공수량 10 2" xfId="30845"/>
    <cellStyle name="개_Book4_자전거도로구조물공수량 11" xfId="19491"/>
    <cellStyle name="개_Book4_자전거도로구조물공수량 12" xfId="22480"/>
    <cellStyle name="개_Book4_자전거도로구조물공수량 12 2" xfId="34914"/>
    <cellStyle name="개_Book4_자전거도로구조물공수량 13" xfId="23546"/>
    <cellStyle name="개_Book4_자전거도로구조물공수량 13 2" xfId="35977"/>
    <cellStyle name="개_Book4_자전거도로구조물공수량 14" xfId="18748"/>
    <cellStyle name="개_Book4_자전거도로구조물공수량 14 2" xfId="31453"/>
    <cellStyle name="개_Book4_자전거도로구조물공수량 15" xfId="24245"/>
    <cellStyle name="개_Book4_자전거도로구조물공수량 15 2" xfId="36676"/>
    <cellStyle name="개_Book4_자전거도로구조물공수량 16" xfId="22267"/>
    <cellStyle name="개_Book4_자전거도로구조물공수량 16 2" xfId="34702"/>
    <cellStyle name="개_Book4_자전거도로구조물공수량 17" xfId="19251"/>
    <cellStyle name="개_Book4_자전거도로구조물공수량 17 2" xfId="31906"/>
    <cellStyle name="개_Book4_자전거도로구조물공수량 18" xfId="19658"/>
    <cellStyle name="개_Book4_자전거도로구조물공수량 18 2" xfId="32113"/>
    <cellStyle name="개_Book4_자전거도로구조물공수량 19" xfId="24687"/>
    <cellStyle name="개_Book4_자전거도로구조물공수량 19 2" xfId="37118"/>
    <cellStyle name="개_Book4_자전거도로구조물공수량 2" xfId="13591"/>
    <cellStyle name="개_Book4_자전거도로구조물공수량 2 2" xfId="26459"/>
    <cellStyle name="개_Book4_자전거도로구조물공수량 20" xfId="24917"/>
    <cellStyle name="개_Book4_자전거도로구조물공수량 20 2" xfId="37348"/>
    <cellStyle name="개_Book4_자전거도로구조물공수량 21" xfId="25008"/>
    <cellStyle name="개_Book4_자전거도로구조물공수량 21 2" xfId="37439"/>
    <cellStyle name="개_Book4_자전거도로구조물공수량 3" xfId="16062"/>
    <cellStyle name="개_Book4_자전거도로구조물공수량 3 2" xfId="28845"/>
    <cellStyle name="개_Book4_자전거도로구조물공수량 4" xfId="17346"/>
    <cellStyle name="개_Book4_자전거도로구조물공수량 4 2" xfId="30075"/>
    <cellStyle name="개_Book4_자전거도로구조물공수량 5" xfId="16984"/>
    <cellStyle name="개_Book4_자전거도로구조물공수량 5 2" xfId="29759"/>
    <cellStyle name="개_Book4_자전거도로구조물공수량 6" xfId="17635"/>
    <cellStyle name="개_Book4_자전거도로구조물공수량 6 2" xfId="30352"/>
    <cellStyle name="개_Book4_자전거도로구조물공수량 7" xfId="16888"/>
    <cellStyle name="개_Book4_자전거도로구조물공수량 7 2" xfId="29663"/>
    <cellStyle name="개_Book4_자전거도로구조물공수량 8" xfId="17805"/>
    <cellStyle name="개_Book4_자전거도로구조물공수량 8 2" xfId="30522"/>
    <cellStyle name="개_Book4_자전거도로구조물공수량 9" xfId="17986"/>
    <cellStyle name="개_Book4_자전거도로구조물공수량 9 2" xfId="30698"/>
    <cellStyle name="개_Book4_자전거도로포장수량" xfId="2799"/>
    <cellStyle name="개_Book4_자전거도로포장수량 10" xfId="15686"/>
    <cellStyle name="개_Book4_자전거도로포장수량 10 2" xfId="28486"/>
    <cellStyle name="개_Book4_자전거도로포장수량 11" xfId="19492"/>
    <cellStyle name="개_Book4_자전거도로포장수량 12" xfId="22479"/>
    <cellStyle name="개_Book4_자전거도로포장수량 12 2" xfId="34913"/>
    <cellStyle name="개_Book4_자전거도로포장수량 13" xfId="21691"/>
    <cellStyle name="개_Book4_자전거도로포장수량 13 2" xfId="34128"/>
    <cellStyle name="개_Book4_자전거도로포장수량 14" xfId="23933"/>
    <cellStyle name="개_Book4_자전거도로포장수량 14 2" xfId="36364"/>
    <cellStyle name="개_Book4_자전거도로포장수량 15" xfId="24244"/>
    <cellStyle name="개_Book4_자전거도로포장수량 15 2" xfId="36675"/>
    <cellStyle name="개_Book4_자전거도로포장수량 16" xfId="21527"/>
    <cellStyle name="개_Book4_자전거도로포장수량 16 2" xfId="33964"/>
    <cellStyle name="개_Book4_자전거도로포장수량 17" xfId="24591"/>
    <cellStyle name="개_Book4_자전거도로포장수량 17 2" xfId="37022"/>
    <cellStyle name="개_Book4_자전거도로포장수량 18" xfId="23330"/>
    <cellStyle name="개_Book4_자전거도로포장수량 18 2" xfId="35762"/>
    <cellStyle name="개_Book4_자전거도로포장수량 19" xfId="23158"/>
    <cellStyle name="개_Book4_자전거도로포장수량 19 2" xfId="35591"/>
    <cellStyle name="개_Book4_자전거도로포장수량 2" xfId="13592"/>
    <cellStyle name="개_Book4_자전거도로포장수량 2 2" xfId="26460"/>
    <cellStyle name="개_Book4_자전거도로포장수량 20" xfId="21110"/>
    <cellStyle name="개_Book4_자전거도로포장수량 20 2" xfId="33547"/>
    <cellStyle name="개_Book4_자전거도로포장수량 21" xfId="18540"/>
    <cellStyle name="개_Book4_자전거도로포장수량 21 2" xfId="31245"/>
    <cellStyle name="개_Book4_자전거도로포장수량 3" xfId="16061"/>
    <cellStyle name="개_Book4_자전거도로포장수량 3 2" xfId="28844"/>
    <cellStyle name="개_Book4_자전거도로포장수량 4" xfId="17345"/>
    <cellStyle name="개_Book4_자전거도로포장수량 4 2" xfId="30074"/>
    <cellStyle name="개_Book4_자전거도로포장수량 5" xfId="14389"/>
    <cellStyle name="개_Book4_자전거도로포장수량 5 2" xfId="27222"/>
    <cellStyle name="개_Book4_자전거도로포장수량 6" xfId="16203"/>
    <cellStyle name="개_Book4_자전거도로포장수량 6 2" xfId="28979"/>
    <cellStyle name="개_Book4_자전거도로포장수량 7" xfId="15440"/>
    <cellStyle name="개_Book4_자전거도로포장수량 7 2" xfId="28249"/>
    <cellStyle name="개_Book4_자전거도로포장수량 8" xfId="13836"/>
    <cellStyle name="개_Book4_자전거도로포장수량 8 2" xfId="26695"/>
    <cellStyle name="개_Book4_자전거도로포장수량 9" xfId="17987"/>
    <cellStyle name="개_Book4_자전거도로포장수량 9 2" xfId="30699"/>
    <cellStyle name="개_수량전체" xfId="2800"/>
    <cellStyle name="개_수량전체 10" xfId="16590"/>
    <cellStyle name="개_수량전체 10 2" xfId="29366"/>
    <cellStyle name="개_수량전체 11" xfId="19493"/>
    <cellStyle name="개_수량전체 12" xfId="22478"/>
    <cellStyle name="개_수량전체 12 2" xfId="34912"/>
    <cellStyle name="개_수량전체 13" xfId="21692"/>
    <cellStyle name="개_수량전체 13 2" xfId="34129"/>
    <cellStyle name="개_수량전체 14" xfId="23932"/>
    <cellStyle name="개_수량전체 14 2" xfId="36363"/>
    <cellStyle name="개_수량전체 15" xfId="22560"/>
    <cellStyle name="개_수량전체 15 2" xfId="34994"/>
    <cellStyle name="개_수량전체 16" xfId="23669"/>
    <cellStyle name="개_수량전체 16 2" xfId="36100"/>
    <cellStyle name="개_수량전체 17" xfId="24590"/>
    <cellStyle name="개_수량전체 17 2" xfId="37021"/>
    <cellStyle name="개_수량전체 18" xfId="24761"/>
    <cellStyle name="개_수량전체 18 2" xfId="37192"/>
    <cellStyle name="개_수량전체 19" xfId="19265"/>
    <cellStyle name="개_수량전체 19 2" xfId="31920"/>
    <cellStyle name="개_수량전체 2" xfId="13593"/>
    <cellStyle name="개_수량전체 2 2" xfId="26461"/>
    <cellStyle name="개_수량전체 20" xfId="20853"/>
    <cellStyle name="개_수량전체 20 2" xfId="33290"/>
    <cellStyle name="개_수량전체 21" xfId="20934"/>
    <cellStyle name="개_수량전체 21 2" xfId="33371"/>
    <cellStyle name="개_수량전체 3" xfId="16060"/>
    <cellStyle name="개_수량전체 3 2" xfId="28843"/>
    <cellStyle name="개_수량전체 4" xfId="15828"/>
    <cellStyle name="개_수량전체 4 2" xfId="28626"/>
    <cellStyle name="개_수량전체 5" xfId="15562"/>
    <cellStyle name="개_수량전체 5 2" xfId="28371"/>
    <cellStyle name="개_수량전체 6" xfId="14542"/>
    <cellStyle name="개_수량전체 6 2" xfId="27370"/>
    <cellStyle name="개_수량전체 7" xfId="13622"/>
    <cellStyle name="개_수량전체 7 2" xfId="26490"/>
    <cellStyle name="개_수량전체 8" xfId="15422"/>
    <cellStyle name="개_수량전체 8 2" xfId="28236"/>
    <cellStyle name="개_수량전체 9" xfId="17988"/>
    <cellStyle name="개_수량전체 9 2" xfId="30700"/>
    <cellStyle name="개_수량전체_도로수량양식" xfId="2801"/>
    <cellStyle name="개_수량전체_도로수량양식 10" xfId="15687"/>
    <cellStyle name="개_수량전체_도로수량양식 10 2" xfId="28487"/>
    <cellStyle name="개_수량전체_도로수량양식 11" xfId="19494"/>
    <cellStyle name="개_수량전체_도로수량양식 12" xfId="22477"/>
    <cellStyle name="개_수량전체_도로수량양식 12 2" xfId="34911"/>
    <cellStyle name="개_수량전체_도로수량양식 13" xfId="21693"/>
    <cellStyle name="개_수량전체_도로수량양식 13 2" xfId="34130"/>
    <cellStyle name="개_수량전체_도로수량양식 14" xfId="23931"/>
    <cellStyle name="개_수량전체_도로수량양식 14 2" xfId="36362"/>
    <cellStyle name="개_수량전체_도로수량양식 15" xfId="19860"/>
    <cellStyle name="개_수량전체_도로수량양식 15 2" xfId="32310"/>
    <cellStyle name="개_수량전체_도로수량양식 16" xfId="23670"/>
    <cellStyle name="개_수량전체_도로수량양식 16 2" xfId="36101"/>
    <cellStyle name="개_수량전체_도로수량양식 17" xfId="24589"/>
    <cellStyle name="개_수량전체_도로수량양식 17 2" xfId="37020"/>
    <cellStyle name="개_수량전체_도로수량양식 18" xfId="19657"/>
    <cellStyle name="개_수량전체_도로수량양식 18 2" xfId="32112"/>
    <cellStyle name="개_수량전체_도로수량양식 19" xfId="22139"/>
    <cellStyle name="개_수량전체_도로수량양식 19 2" xfId="34575"/>
    <cellStyle name="개_수량전체_도로수량양식 2" xfId="13594"/>
    <cellStyle name="개_수량전체_도로수량양식 2 2" xfId="26462"/>
    <cellStyle name="개_수량전체_도로수량양식 20" xfId="19222"/>
    <cellStyle name="개_수량전체_도로수량양식 20 2" xfId="31877"/>
    <cellStyle name="개_수량전체_도로수량양식 21" xfId="19186"/>
    <cellStyle name="개_수량전체_도로수량양식 21 2" xfId="31841"/>
    <cellStyle name="개_수량전체_도로수량양식 3" xfId="16059"/>
    <cellStyle name="개_수량전체_도로수량양식 3 2" xfId="28842"/>
    <cellStyle name="개_수량전체_도로수량양식 4" xfId="15827"/>
    <cellStyle name="개_수량전체_도로수량양식 4 2" xfId="28625"/>
    <cellStyle name="개_수량전체_도로수량양식 5" xfId="14192"/>
    <cellStyle name="개_수량전체_도로수량양식 5 2" xfId="27040"/>
    <cellStyle name="개_수량전체_도로수량양식 6" xfId="16386"/>
    <cellStyle name="개_수량전체_도로수량양식 6 2" xfId="29162"/>
    <cellStyle name="개_수량전체_도로수량양식 7" xfId="13329"/>
    <cellStyle name="개_수량전체_도로수량양식 7 2" xfId="26197"/>
    <cellStyle name="개_수량전체_도로수량양식 8" xfId="14099"/>
    <cellStyle name="개_수량전체_도로수량양식 8 2" xfId="26947"/>
    <cellStyle name="개_수량전체_도로수량양식 9" xfId="12544"/>
    <cellStyle name="개_수량전체_도로수량양식 9 2" xfId="25424"/>
    <cellStyle name="개_수량전체_도로수량양식_자전거도로구조물공수량" xfId="2802"/>
    <cellStyle name="개_수량전체_도로수량양식_자전거도로구조물공수량 10" xfId="12430"/>
    <cellStyle name="개_수량전체_도로수량양식_자전거도로구조물공수량 10 2" xfId="25310"/>
    <cellStyle name="개_수량전체_도로수량양식_자전거도로구조물공수량 11" xfId="19495"/>
    <cellStyle name="개_수량전체_도로수량양식_자전거도로구조물공수량 12" xfId="23292"/>
    <cellStyle name="개_수량전체_도로수량양식_자전거도로구조물공수량 12 2" xfId="35724"/>
    <cellStyle name="개_수량전체_도로수량양식_자전거도로구조물공수량 13" xfId="21694"/>
    <cellStyle name="개_수량전체_도로수량양식_자전거도로구조물공수량 13 2" xfId="34131"/>
    <cellStyle name="개_수량전체_도로수량양식_자전거도로구조물공수량 14" xfId="23930"/>
    <cellStyle name="개_수량전체_도로수량양식_자전거도로구조물공수량 14 2" xfId="36361"/>
    <cellStyle name="개_수량전체_도로수량양식_자전거도로구조물공수량 15" xfId="24243"/>
    <cellStyle name="개_수량전체_도로수량양식_자전거도로구조물공수량 15 2" xfId="36674"/>
    <cellStyle name="개_수량전체_도로수량양식_자전거도로구조물공수량 16" xfId="18836"/>
    <cellStyle name="개_수량전체_도로수량양식_자전거도로구조물공수량 16 2" xfId="31541"/>
    <cellStyle name="개_수량전체_도로수량양식_자전거도로구조물공수량 17" xfId="24588"/>
    <cellStyle name="개_수량전체_도로수량양식_자전거도로구조물공수량 17 2" xfId="37019"/>
    <cellStyle name="개_수량전체_도로수량양식_자전거도로구조물공수량 18" xfId="23073"/>
    <cellStyle name="개_수량전체_도로수량양식_자전거도로구조물공수량 18 2" xfId="35506"/>
    <cellStyle name="개_수량전체_도로수량양식_자전거도로구조물공수량 19" xfId="23159"/>
    <cellStyle name="개_수량전체_도로수량양식_자전거도로구조물공수량 19 2" xfId="35592"/>
    <cellStyle name="개_수량전체_도로수량양식_자전거도로구조물공수량 2" xfId="13595"/>
    <cellStyle name="개_수량전체_도로수량양식_자전거도로구조물공수량 2 2" xfId="26463"/>
    <cellStyle name="개_수량전체_도로수량양식_자전거도로구조물공수량 20" xfId="22436"/>
    <cellStyle name="개_수량전체_도로수량양식_자전거도로구조물공수량 20 2" xfId="34870"/>
    <cellStyle name="개_수량전체_도로수량양식_자전거도로구조물공수량 21" xfId="20935"/>
    <cellStyle name="개_수량전체_도로수량양식_자전거도로구조물공수량 21 2" xfId="33372"/>
    <cellStyle name="개_수량전체_도로수량양식_자전거도로구조물공수량 3" xfId="16058"/>
    <cellStyle name="개_수량전체_도로수량양식_자전거도로구조물공수량 3 2" xfId="28841"/>
    <cellStyle name="개_수량전체_도로수량양식_자전거도로구조물공수량 4" xfId="17344"/>
    <cellStyle name="개_수량전체_도로수량양식_자전거도로구조물공수량 4 2" xfId="30073"/>
    <cellStyle name="개_수량전체_도로수량양식_자전거도로구조물공수량 5" xfId="14390"/>
    <cellStyle name="개_수량전체_도로수량양식_자전거도로구조물공수량 5 2" xfId="27223"/>
    <cellStyle name="개_수량전체_도로수량양식_자전거도로구조물공수량 6" xfId="14541"/>
    <cellStyle name="개_수량전체_도로수량양식_자전거도로구조물공수량 6 2" xfId="27369"/>
    <cellStyle name="개_수량전체_도로수량양식_자전거도로구조물공수량 7" xfId="14702"/>
    <cellStyle name="개_수량전체_도로수량양식_자전거도로구조물공수량 7 2" xfId="27528"/>
    <cellStyle name="개_수량전체_도로수량양식_자전거도로구조물공수량 8" xfId="13837"/>
    <cellStyle name="개_수량전체_도로수량양식_자전거도로구조물공수량 8 2" xfId="26696"/>
    <cellStyle name="개_수량전체_도로수량양식_자전거도로구조물공수량 9" xfId="17989"/>
    <cellStyle name="개_수량전체_도로수량양식_자전거도로구조물공수량 9 2" xfId="30701"/>
    <cellStyle name="개_수량전체_도로수량양식_자전거도로포장수량" xfId="2803"/>
    <cellStyle name="개_수량전체_도로수량양식_자전거도로포장수량 10" xfId="18137"/>
    <cellStyle name="개_수량전체_도로수량양식_자전거도로포장수량 10 2" xfId="30844"/>
    <cellStyle name="개_수량전체_도로수량양식_자전거도로포장수량 11" xfId="19496"/>
    <cellStyle name="개_수량전체_도로수량양식_자전거도로포장수량 12" xfId="23291"/>
    <cellStyle name="개_수량전체_도로수량양식_자전거도로포장수량 12 2" xfId="35723"/>
    <cellStyle name="개_수량전체_도로수량양식_자전거도로포장수량 13" xfId="23545"/>
    <cellStyle name="개_수량전체_도로수량양식_자전거도로포장수량 13 2" xfId="35976"/>
    <cellStyle name="개_수량전체_도로수량양식_자전거도로포장수량 14" xfId="23929"/>
    <cellStyle name="개_수량전체_도로수량양식_자전거도로포장수량 14 2" xfId="36360"/>
    <cellStyle name="개_수량전체_도로수량양식_자전거도로포장수량 15" xfId="24242"/>
    <cellStyle name="개_수량전체_도로수량양식_자전거도로포장수량 15 2" xfId="36673"/>
    <cellStyle name="개_수량전체_도로수량양식_자전거도로포장수량 16" xfId="20309"/>
    <cellStyle name="개_수량전체_도로수량양식_자전거도로포장수량 16 2" xfId="32754"/>
    <cellStyle name="개_수량전체_도로수량양식_자전거도로포장수량 17" xfId="24587"/>
    <cellStyle name="개_수량전체_도로수량양식_자전거도로포장수량 17 2" xfId="37018"/>
    <cellStyle name="개_수량전체_도로수량양식_자전거도로포장수량 18" xfId="19759"/>
    <cellStyle name="개_수량전체_도로수량양식_자전거도로포장수량 18 2" xfId="32212"/>
    <cellStyle name="개_수량전체_도로수량양식_자전거도로포장수량 19" xfId="24688"/>
    <cellStyle name="개_수량전체_도로수량양식_자전거도로포장수량 19 2" xfId="37119"/>
    <cellStyle name="개_수량전체_도로수량양식_자전거도로포장수량 2" xfId="13596"/>
    <cellStyle name="개_수량전체_도로수량양식_자전거도로포장수량 2 2" xfId="26464"/>
    <cellStyle name="개_수량전체_도로수량양식_자전거도로포장수량 20" xfId="24916"/>
    <cellStyle name="개_수량전체_도로수량양식_자전거도로포장수량 20 2" xfId="37347"/>
    <cellStyle name="개_수량전체_도로수량양식_자전거도로포장수량 21" xfId="25007"/>
    <cellStyle name="개_수량전체_도로수량양식_자전거도로포장수량 21 2" xfId="37438"/>
    <cellStyle name="개_수량전체_도로수량양식_자전거도로포장수량 3" xfId="16057"/>
    <cellStyle name="개_수량전체_도로수량양식_자전거도로포장수량 3 2" xfId="28840"/>
    <cellStyle name="개_수량전체_도로수량양식_자전거도로포장수량 4" xfId="17343"/>
    <cellStyle name="개_수량전체_도로수량양식_자전거도로포장수량 4 2" xfId="30072"/>
    <cellStyle name="개_수량전체_도로수량양식_자전거도로포장수량 5" xfId="16985"/>
    <cellStyle name="개_수량전체_도로수량양식_자전거도로포장수량 5 2" xfId="29760"/>
    <cellStyle name="개_수량전체_도로수량양식_자전거도로포장수량 6" xfId="17634"/>
    <cellStyle name="개_수량전체_도로수량양식_자전거도로포장수량 6 2" xfId="30351"/>
    <cellStyle name="개_수량전체_도로수량양식_자전거도로포장수량 7" xfId="14586"/>
    <cellStyle name="개_수량전체_도로수량양식_자전거도로포장수량 7 2" xfId="27412"/>
    <cellStyle name="개_수량전체_도로수량양식_자전거도로포장수량 8" xfId="15369"/>
    <cellStyle name="개_수량전체_도로수량양식_자전거도로포장수량 8 2" xfId="28186"/>
    <cellStyle name="개_수량전체_도로수량양식_자전거도로포장수량 9" xfId="17990"/>
    <cellStyle name="개_수량전체_도로수량양식_자전거도로포장수량 9 2" xfId="30702"/>
    <cellStyle name="개_수량전체_수량산출" xfId="2804"/>
    <cellStyle name="개_수량전체_수량산출 10" xfId="18136"/>
    <cellStyle name="개_수량전체_수량산출 10 2" xfId="30843"/>
    <cellStyle name="개_수량전체_수량산출 11" xfId="19497"/>
    <cellStyle name="개_수량전체_수량산출 12" xfId="23290"/>
    <cellStyle name="개_수량전체_수량산출 12 2" xfId="35722"/>
    <cellStyle name="개_수량전체_수량산출 13" xfId="23544"/>
    <cellStyle name="개_수량전체_수량산출 13 2" xfId="35975"/>
    <cellStyle name="개_수량전체_수량산출 14" xfId="23928"/>
    <cellStyle name="개_수량전체_수량산출 14 2" xfId="36359"/>
    <cellStyle name="개_수량전체_수량산출 15" xfId="24241"/>
    <cellStyle name="개_수량전체_수량산출 15 2" xfId="36672"/>
    <cellStyle name="개_수량전체_수량산출 16" xfId="22285"/>
    <cellStyle name="개_수량전체_수량산출 16 2" xfId="34719"/>
    <cellStyle name="개_수량전체_수량산출 17" xfId="24586"/>
    <cellStyle name="개_수량전체_수량산출 17 2" xfId="37017"/>
    <cellStyle name="개_수량전체_수량산출 18" xfId="22538"/>
    <cellStyle name="개_수량전체_수량산출 18 2" xfId="34972"/>
    <cellStyle name="개_수량전체_수량산출 19" xfId="24689"/>
    <cellStyle name="개_수량전체_수량산출 19 2" xfId="37120"/>
    <cellStyle name="개_수량전체_수량산출 2" xfId="13597"/>
    <cellStyle name="개_수량전체_수량산출 2 2" xfId="26465"/>
    <cellStyle name="개_수량전체_수량산출 20" xfId="24915"/>
    <cellStyle name="개_수량전체_수량산출 20 2" xfId="37346"/>
    <cellStyle name="개_수량전체_수량산출 21" xfId="25006"/>
    <cellStyle name="개_수량전체_수량산출 21 2" xfId="37437"/>
    <cellStyle name="개_수량전체_수량산출 3" xfId="16056"/>
    <cellStyle name="개_수량전체_수량산출 3 2" xfId="28839"/>
    <cellStyle name="개_수량전체_수량산출 4" xfId="17342"/>
    <cellStyle name="개_수량전체_수량산출 4 2" xfId="30071"/>
    <cellStyle name="개_수량전체_수량산출 5" xfId="12643"/>
    <cellStyle name="개_수량전체_수량산출 5 2" xfId="25522"/>
    <cellStyle name="개_수량전체_수량산출 6" xfId="17633"/>
    <cellStyle name="개_수량전체_수량산출 6 2" xfId="30350"/>
    <cellStyle name="개_수량전체_수량산출 7" xfId="14592"/>
    <cellStyle name="개_수량전체_수량산출 7 2" xfId="27418"/>
    <cellStyle name="개_수량전체_수량산출 8" xfId="15727"/>
    <cellStyle name="개_수량전체_수량산출 8 2" xfId="28527"/>
    <cellStyle name="개_수량전체_수량산출 9" xfId="17991"/>
    <cellStyle name="개_수량전체_수량산출 9 2" xfId="30703"/>
    <cellStyle name="개_수량전체_수량산출_자전거도로구조물공수량" xfId="2805"/>
    <cellStyle name="개_수량전체_수량산출_자전거도로구조물공수량 10" xfId="18135"/>
    <cellStyle name="개_수량전체_수량산출_자전거도로구조물공수량 10 2" xfId="30842"/>
    <cellStyle name="개_수량전체_수량산출_자전거도로구조물공수량 11" xfId="19498"/>
    <cellStyle name="개_수량전체_수량산출_자전거도로구조물공수량 12" xfId="23289"/>
    <cellStyle name="개_수량전체_수량산출_자전거도로구조물공수량 12 2" xfId="35721"/>
    <cellStyle name="개_수량전체_수량산출_자전거도로구조물공수량 13" xfId="23543"/>
    <cellStyle name="개_수량전체_수량산출_자전거도로구조물공수량 13 2" xfId="35974"/>
    <cellStyle name="개_수량전체_수량산출_자전거도로구조물공수량 14" xfId="23927"/>
    <cellStyle name="개_수량전체_수량산출_자전거도로구조물공수량 14 2" xfId="36358"/>
    <cellStyle name="개_수량전체_수량산출_자전거도로구조물공수량 15" xfId="24240"/>
    <cellStyle name="개_수량전체_수량산출_자전거도로구조물공수량 15 2" xfId="36671"/>
    <cellStyle name="개_수량전체_수량산출_자전거도로구조물공수량 16" xfId="18299"/>
    <cellStyle name="개_수량전체_수량산출_자전거도로구조물공수량 16 2" xfId="31005"/>
    <cellStyle name="개_수량전체_수량산출_자전거도로구조물공수량 17" xfId="24585"/>
    <cellStyle name="개_수량전체_수량산출_자전거도로구조물공수량 17 2" xfId="37016"/>
    <cellStyle name="개_수량전체_수량산출_자전거도로구조물공수량 18" xfId="24760"/>
    <cellStyle name="개_수량전체_수량산출_자전거도로구조물공수량 18 2" xfId="37191"/>
    <cellStyle name="개_수량전체_수량산출_자전거도로구조물공수량 19" xfId="24690"/>
    <cellStyle name="개_수량전체_수량산출_자전거도로구조물공수량 19 2" xfId="37121"/>
    <cellStyle name="개_수량전체_수량산출_자전거도로구조물공수량 2" xfId="13598"/>
    <cellStyle name="개_수량전체_수량산출_자전거도로구조물공수량 2 2" xfId="26466"/>
    <cellStyle name="개_수량전체_수량산출_자전거도로구조물공수량 20" xfId="24914"/>
    <cellStyle name="개_수량전체_수량산출_자전거도로구조물공수량 20 2" xfId="37345"/>
    <cellStyle name="개_수량전체_수량산출_자전거도로구조물공수량 21" xfId="25005"/>
    <cellStyle name="개_수량전체_수량산출_자전거도로구조물공수량 21 2" xfId="37436"/>
    <cellStyle name="개_수량전체_수량산출_자전거도로구조물공수량 3" xfId="16822"/>
    <cellStyle name="개_수량전체_수량산출_자전거도로구조물공수량 3 2" xfId="29597"/>
    <cellStyle name="개_수량전체_수량산출_자전거도로구조물공수량 4" xfId="17341"/>
    <cellStyle name="개_수량전체_수량산출_자전거도로구조물공수량 4 2" xfId="30070"/>
    <cellStyle name="개_수량전체_수량산출_자전거도로구조물공수량 5" xfId="16986"/>
    <cellStyle name="개_수량전체_수량산출_자전거도로구조물공수량 5 2" xfId="29761"/>
    <cellStyle name="개_수량전체_수량산출_자전거도로구조물공수량 6" xfId="17632"/>
    <cellStyle name="개_수량전체_수량산출_자전거도로구조물공수량 6 2" xfId="30349"/>
    <cellStyle name="개_수량전체_수량산출_자전거도로구조물공수량 7" xfId="12788"/>
    <cellStyle name="개_수량전체_수량산출_자전거도로구조물공수량 7 2" xfId="25664"/>
    <cellStyle name="개_수량전체_수량산출_자전거도로구조물공수량 8" xfId="15728"/>
    <cellStyle name="개_수량전체_수량산출_자전거도로구조물공수량 8 2" xfId="28528"/>
    <cellStyle name="개_수량전체_수량산출_자전거도로구조물공수량 9" xfId="17992"/>
    <cellStyle name="개_수량전체_수량산출_자전거도로구조물공수량 9 2" xfId="30704"/>
    <cellStyle name="개_수량전체_수량산출_자전거도로포장수량" xfId="2806"/>
    <cellStyle name="개_수량전체_수량산출_자전거도로포장수량 10" xfId="18134"/>
    <cellStyle name="개_수량전체_수량산출_자전거도로포장수량 10 2" xfId="30841"/>
    <cellStyle name="개_수량전체_수량산출_자전거도로포장수량 11" xfId="19499"/>
    <cellStyle name="개_수량전체_수량산출_자전거도로포장수량 12" xfId="23288"/>
    <cellStyle name="개_수량전체_수량산출_자전거도로포장수량 12 2" xfId="35720"/>
    <cellStyle name="개_수량전체_수량산출_자전거도로포장수량 13" xfId="23542"/>
    <cellStyle name="개_수량전체_수량산출_자전거도로포장수량 13 2" xfId="35973"/>
    <cellStyle name="개_수량전체_수량산출_자전거도로포장수량 14" xfId="23926"/>
    <cellStyle name="개_수량전체_수량산출_자전거도로포장수량 14 2" xfId="36357"/>
    <cellStyle name="개_수량전체_수량산출_자전거도로포장수량 15" xfId="24239"/>
    <cellStyle name="개_수량전체_수량산출_자전거도로포장수량 15 2" xfId="36670"/>
    <cellStyle name="개_수량전체_수량산출_자전거도로포장수량 16" xfId="22284"/>
    <cellStyle name="개_수량전체_수량산출_자전거도로포장수량 16 2" xfId="34718"/>
    <cellStyle name="개_수량전체_수량산출_자전거도로포장수량 17" xfId="24584"/>
    <cellStyle name="개_수량전체_수량산출_자전거도로포장수량 17 2" xfId="37015"/>
    <cellStyle name="개_수량전체_수량산출_자전거도로포장수량 18" xfId="24759"/>
    <cellStyle name="개_수량전체_수량산출_자전거도로포장수량 18 2" xfId="37190"/>
    <cellStyle name="개_수량전체_수량산출_자전거도로포장수량 19" xfId="24691"/>
    <cellStyle name="개_수량전체_수량산출_자전거도로포장수량 19 2" xfId="37122"/>
    <cellStyle name="개_수량전체_수량산출_자전거도로포장수량 2" xfId="13599"/>
    <cellStyle name="개_수량전체_수량산출_자전거도로포장수량 2 2" xfId="26467"/>
    <cellStyle name="개_수량전체_수량산출_자전거도로포장수량 20" xfId="24913"/>
    <cellStyle name="개_수량전체_수량산출_자전거도로포장수량 20 2" xfId="37344"/>
    <cellStyle name="개_수량전체_수량산출_자전거도로포장수량 21" xfId="25004"/>
    <cellStyle name="개_수량전체_수량산출_자전거도로포장수량 21 2" xfId="37435"/>
    <cellStyle name="개_수량전체_수량산출_자전거도로포장수량 3" xfId="16821"/>
    <cellStyle name="개_수량전체_수량산출_자전거도로포장수량 3 2" xfId="29596"/>
    <cellStyle name="개_수량전체_수량산출_자전거도로포장수량 4" xfId="17340"/>
    <cellStyle name="개_수량전체_수량산출_자전거도로포장수량 4 2" xfId="30069"/>
    <cellStyle name="개_수량전체_수량산출_자전거도로포장수량 5" xfId="16987"/>
    <cellStyle name="개_수량전체_수량산출_자전거도로포장수량 5 2" xfId="29762"/>
    <cellStyle name="개_수량전체_수량산출_자전거도로포장수량 6" xfId="17631"/>
    <cellStyle name="개_수량전체_수량산출_자전거도로포장수량 6 2" xfId="30348"/>
    <cellStyle name="개_수량전체_수량산출_자전거도로포장수량 7" xfId="12663"/>
    <cellStyle name="개_수량전체_수량산출_자전거도로포장수량 7 2" xfId="25542"/>
    <cellStyle name="개_수량전체_수량산출_자전거도로포장수량 8" xfId="15729"/>
    <cellStyle name="개_수량전체_수량산출_자전거도로포장수량 8 2" xfId="28529"/>
    <cellStyle name="개_수량전체_수량산출_자전거도로포장수량 9" xfId="17834"/>
    <cellStyle name="개_수량전체_수량산출_자전거도로포장수량 9 2" xfId="30550"/>
    <cellStyle name="개_수량전체_인월중군소하천" xfId="2807"/>
    <cellStyle name="개_수량전체_인월중군소하천 10" xfId="18133"/>
    <cellStyle name="개_수량전체_인월중군소하천 10 2" xfId="30840"/>
    <cellStyle name="개_수량전체_인월중군소하천 11" xfId="19500"/>
    <cellStyle name="개_수량전체_인월중군소하천 12" xfId="23287"/>
    <cellStyle name="개_수량전체_인월중군소하천 12 2" xfId="35719"/>
    <cellStyle name="개_수량전체_인월중군소하천 13" xfId="23541"/>
    <cellStyle name="개_수량전체_인월중군소하천 13 2" xfId="35972"/>
    <cellStyle name="개_수량전체_인월중군소하천 14" xfId="23925"/>
    <cellStyle name="개_수량전체_인월중군소하천 14 2" xfId="36356"/>
    <cellStyle name="개_수량전체_인월중군소하천 15" xfId="24238"/>
    <cellStyle name="개_수량전체_인월중군소하천 15 2" xfId="36669"/>
    <cellStyle name="개_수량전체_인월중군소하천 16" xfId="18298"/>
    <cellStyle name="개_수량전체_인월중군소하천 16 2" xfId="31004"/>
    <cellStyle name="개_수량전체_인월중군소하천 17" xfId="24583"/>
    <cellStyle name="개_수량전체_인월중군소하천 17 2" xfId="37014"/>
    <cellStyle name="개_수량전체_인월중군소하천 18" xfId="24758"/>
    <cellStyle name="개_수량전체_인월중군소하천 18 2" xfId="37189"/>
    <cellStyle name="개_수량전체_인월중군소하천 19" xfId="24692"/>
    <cellStyle name="개_수량전체_인월중군소하천 19 2" xfId="37123"/>
    <cellStyle name="개_수량전체_인월중군소하천 2" xfId="13600"/>
    <cellStyle name="개_수량전체_인월중군소하천 2 2" xfId="26468"/>
    <cellStyle name="개_수량전체_인월중군소하천 20" xfId="24912"/>
    <cellStyle name="개_수량전체_인월중군소하천 20 2" xfId="37343"/>
    <cellStyle name="개_수량전체_인월중군소하천 21" xfId="25003"/>
    <cellStyle name="개_수량전체_인월중군소하천 21 2" xfId="37434"/>
    <cellStyle name="개_수량전체_인월중군소하천 3" xfId="16820"/>
    <cellStyle name="개_수량전체_인월중군소하천 3 2" xfId="29595"/>
    <cellStyle name="개_수량전체_인월중군소하천 4" xfId="17339"/>
    <cellStyle name="개_수량전체_인월중군소하천 4 2" xfId="30068"/>
    <cellStyle name="개_수량전체_인월중군소하천 5" xfId="14047"/>
    <cellStyle name="개_수량전체_인월중군소하천 5 2" xfId="26896"/>
    <cellStyle name="개_수량전체_인월중군소하천 6" xfId="17630"/>
    <cellStyle name="개_수량전체_인월중군소하천 6 2" xfId="30347"/>
    <cellStyle name="개_수량전체_인월중군소하천 7" xfId="17503"/>
    <cellStyle name="개_수량전체_인월중군소하천 7 2" xfId="30225"/>
    <cellStyle name="개_수량전체_인월중군소하천 8" xfId="17007"/>
    <cellStyle name="개_수량전체_인월중군소하천 8 2" xfId="29782"/>
    <cellStyle name="개_수량전체_인월중군소하천 9" xfId="17711"/>
    <cellStyle name="개_수량전체_인월중군소하천 9 2" xfId="30428"/>
    <cellStyle name="개_수량전체_인월중군소하천_자전거도로구조물공수량" xfId="2808"/>
    <cellStyle name="개_수량전체_인월중군소하천_자전거도로구조물공수량 10" xfId="18132"/>
    <cellStyle name="개_수량전체_인월중군소하천_자전거도로구조물공수량 10 2" xfId="30839"/>
    <cellStyle name="개_수량전체_인월중군소하천_자전거도로구조물공수량 11" xfId="19501"/>
    <cellStyle name="개_수량전체_인월중군소하천_자전거도로구조물공수량 12" xfId="23286"/>
    <cellStyle name="개_수량전체_인월중군소하천_자전거도로구조물공수량 12 2" xfId="35718"/>
    <cellStyle name="개_수량전체_인월중군소하천_자전거도로구조물공수량 13" xfId="23540"/>
    <cellStyle name="개_수량전체_인월중군소하천_자전거도로구조물공수량 13 2" xfId="35971"/>
    <cellStyle name="개_수량전체_인월중군소하천_자전거도로구조물공수량 14" xfId="23924"/>
    <cellStyle name="개_수량전체_인월중군소하천_자전거도로구조물공수량 14 2" xfId="36355"/>
    <cellStyle name="개_수량전체_인월중군소하천_자전거도로구조물공수량 15" xfId="24237"/>
    <cellStyle name="개_수량전체_인월중군소하천_자전거도로구조물공수량 15 2" xfId="36668"/>
    <cellStyle name="개_수량전체_인월중군소하천_자전거도로구조물공수량 16" xfId="18716"/>
    <cellStyle name="개_수량전체_인월중군소하천_자전거도로구조물공수량 16 2" xfId="31421"/>
    <cellStyle name="개_수량전체_인월중군소하천_자전거도로구조물공수량 17" xfId="24582"/>
    <cellStyle name="개_수량전체_인월중군소하천_자전거도로구조물공수량 17 2" xfId="37013"/>
    <cellStyle name="개_수량전체_인월중군소하천_자전거도로구조물공수량 18" xfId="24757"/>
    <cellStyle name="개_수량전체_인월중군소하천_자전거도로구조물공수량 18 2" xfId="37188"/>
    <cellStyle name="개_수량전체_인월중군소하천_자전거도로구조물공수량 19" xfId="24693"/>
    <cellStyle name="개_수량전체_인월중군소하천_자전거도로구조물공수량 19 2" xfId="37124"/>
    <cellStyle name="개_수량전체_인월중군소하천_자전거도로구조물공수량 2" xfId="13601"/>
    <cellStyle name="개_수량전체_인월중군소하천_자전거도로구조물공수량 2 2" xfId="26469"/>
    <cellStyle name="개_수량전체_인월중군소하천_자전거도로구조물공수량 20" xfId="24911"/>
    <cellStyle name="개_수량전체_인월중군소하천_자전거도로구조물공수량 20 2" xfId="37342"/>
    <cellStyle name="개_수량전체_인월중군소하천_자전거도로구조물공수량 21" xfId="25002"/>
    <cellStyle name="개_수량전체_인월중군소하천_자전거도로구조물공수량 21 2" xfId="37433"/>
    <cellStyle name="개_수량전체_인월중군소하천_자전거도로구조물공수량 3" xfId="16055"/>
    <cellStyle name="개_수량전체_인월중군소하천_자전거도로구조물공수량 3 2" xfId="28838"/>
    <cellStyle name="개_수량전체_인월중군소하천_자전거도로구조물공수량 4" xfId="17338"/>
    <cellStyle name="개_수량전체_인월중군소하천_자전거도로구조물공수량 4 2" xfId="30067"/>
    <cellStyle name="개_수량전체_인월중군소하천_자전거도로구조물공수량 5" xfId="14260"/>
    <cellStyle name="개_수량전체_인월중군소하천_자전거도로구조물공수량 5 2" xfId="27096"/>
    <cellStyle name="개_수량전체_인월중군소하천_자전거도로구조물공수량 6" xfId="17629"/>
    <cellStyle name="개_수량전체_인월중군소하천_자전거도로구조물공수량 6 2" xfId="30346"/>
    <cellStyle name="개_수량전체_인월중군소하천_자전거도로구조물공수량 7" xfId="16176"/>
    <cellStyle name="개_수량전체_인월중군소하천_자전거도로구조물공수량 7 2" xfId="28953"/>
    <cellStyle name="개_수량전체_인월중군소하천_자전거도로구조물공수량 8" xfId="17236"/>
    <cellStyle name="개_수량전체_인월중군소하천_자전거도로구조물공수량 8 2" xfId="29970"/>
    <cellStyle name="개_수량전체_인월중군소하천_자전거도로구조물공수량 9" xfId="17835"/>
    <cellStyle name="개_수량전체_인월중군소하천_자전거도로구조물공수량 9 2" xfId="30551"/>
    <cellStyle name="개_수량전체_인월중군소하천_자전거도로포장수량" xfId="2809"/>
    <cellStyle name="개_수량전체_인월중군소하천_자전거도로포장수량 10" xfId="18131"/>
    <cellStyle name="개_수량전체_인월중군소하천_자전거도로포장수량 10 2" xfId="30838"/>
    <cellStyle name="개_수량전체_인월중군소하천_자전거도로포장수량 11" xfId="19502"/>
    <cellStyle name="개_수량전체_인월중군소하천_자전거도로포장수량 12" xfId="23285"/>
    <cellStyle name="개_수량전체_인월중군소하천_자전거도로포장수량 12 2" xfId="35717"/>
    <cellStyle name="개_수량전체_인월중군소하천_자전거도로포장수량 13" xfId="23539"/>
    <cellStyle name="개_수량전체_인월중군소하천_자전거도로포장수량 13 2" xfId="35970"/>
    <cellStyle name="개_수량전체_인월중군소하천_자전거도로포장수량 14" xfId="23923"/>
    <cellStyle name="개_수량전체_인월중군소하천_자전거도로포장수량 14 2" xfId="36354"/>
    <cellStyle name="개_수량전체_인월중군소하천_자전거도로포장수량 15" xfId="24236"/>
    <cellStyle name="개_수량전체_인월중군소하천_자전거도로포장수량 15 2" xfId="36667"/>
    <cellStyle name="개_수량전체_인월중군소하천_자전거도로포장수량 16" xfId="18297"/>
    <cellStyle name="개_수량전체_인월중군소하천_자전거도로포장수량 16 2" xfId="31003"/>
    <cellStyle name="개_수량전체_인월중군소하천_자전거도로포장수량 17" xfId="24581"/>
    <cellStyle name="개_수량전체_인월중군소하천_자전거도로포장수량 17 2" xfId="37012"/>
    <cellStyle name="개_수량전체_인월중군소하천_자전거도로포장수량 18" xfId="24756"/>
    <cellStyle name="개_수량전체_인월중군소하천_자전거도로포장수량 18 2" xfId="37187"/>
    <cellStyle name="개_수량전체_인월중군소하천_자전거도로포장수량 19" xfId="24694"/>
    <cellStyle name="개_수량전체_인월중군소하천_자전거도로포장수량 19 2" xfId="37125"/>
    <cellStyle name="개_수량전체_인월중군소하천_자전거도로포장수량 2" xfId="13602"/>
    <cellStyle name="개_수량전체_인월중군소하천_자전거도로포장수량 2 2" xfId="26470"/>
    <cellStyle name="개_수량전체_인월중군소하천_자전거도로포장수량 20" xfId="24910"/>
    <cellStyle name="개_수량전체_인월중군소하천_자전거도로포장수량 20 2" xfId="37341"/>
    <cellStyle name="개_수량전체_인월중군소하천_자전거도로포장수량 21" xfId="25001"/>
    <cellStyle name="개_수량전체_인월중군소하천_자전거도로포장수량 21 2" xfId="37432"/>
    <cellStyle name="개_수량전체_인월중군소하천_자전거도로포장수량 3" xfId="16819"/>
    <cellStyle name="개_수량전체_인월중군소하천_자전거도로포장수량 3 2" xfId="29594"/>
    <cellStyle name="개_수량전체_인월중군소하천_자전거도로포장수량 4" xfId="17337"/>
    <cellStyle name="개_수량전체_인월중군소하천_자전거도로포장수량 4 2" xfId="30066"/>
    <cellStyle name="개_수량전체_인월중군소하천_자전거도로포장수량 5" xfId="16988"/>
    <cellStyle name="개_수량전체_인월중군소하천_자전거도로포장수량 5 2" xfId="29763"/>
    <cellStyle name="개_수량전체_인월중군소하천_자전거도로포장수량 6" xfId="17628"/>
    <cellStyle name="개_수량전체_인월중군소하천_자전거도로포장수량 6 2" xfId="30345"/>
    <cellStyle name="개_수량전체_인월중군소하천_자전거도로포장수량 7" xfId="17504"/>
    <cellStyle name="개_수량전체_인월중군소하천_자전거도로포장수량 7 2" xfId="30226"/>
    <cellStyle name="개_수량전체_인월중군소하천_자전거도로포장수량 8" xfId="12945"/>
    <cellStyle name="개_수량전체_인월중군소하천_자전거도로포장수량 8 2" xfId="25820"/>
    <cellStyle name="개_수량전체_인월중군소하천_자전거도로포장수량 9" xfId="17710"/>
    <cellStyle name="개_수량전체_인월중군소하천_자전거도로포장수량 9 2" xfId="30427"/>
    <cellStyle name="개_수량전체_자전거도로구조물공수량" xfId="2810"/>
    <cellStyle name="개_수량전체_자전거도로구조물공수량 10" xfId="18130"/>
    <cellStyle name="개_수량전체_자전거도로구조물공수량 10 2" xfId="30837"/>
    <cellStyle name="개_수량전체_자전거도로구조물공수량 11" xfId="19503"/>
    <cellStyle name="개_수량전체_자전거도로구조물공수량 12" xfId="23284"/>
    <cellStyle name="개_수량전체_자전거도로구조물공수량 12 2" xfId="35716"/>
    <cellStyle name="개_수량전체_자전거도로구조물공수량 13" xfId="23538"/>
    <cellStyle name="개_수량전체_자전거도로구조물공수량 13 2" xfId="35969"/>
    <cellStyle name="개_수량전체_자전거도로구조물공수량 14" xfId="23922"/>
    <cellStyle name="개_수량전체_자전거도로구조물공수량 14 2" xfId="36353"/>
    <cellStyle name="개_수량전체_자전거도로구조물공수량 15" xfId="24235"/>
    <cellStyle name="개_수량전체_자전거도로구조물공수량 15 2" xfId="36666"/>
    <cellStyle name="개_수량전체_자전거도로구조물공수량 16" xfId="18533"/>
    <cellStyle name="개_수량전체_자전거도로구조물공수량 16 2" xfId="31238"/>
    <cellStyle name="개_수량전체_자전거도로구조물공수량 17" xfId="24580"/>
    <cellStyle name="개_수량전체_자전거도로구조물공수량 17 2" xfId="37011"/>
    <cellStyle name="개_수량전체_자전거도로구조물공수량 18" xfId="24755"/>
    <cellStyle name="개_수량전체_자전거도로구조물공수량 18 2" xfId="37186"/>
    <cellStyle name="개_수량전체_자전거도로구조물공수량 19" xfId="24695"/>
    <cellStyle name="개_수량전체_자전거도로구조물공수량 19 2" xfId="37126"/>
    <cellStyle name="개_수량전체_자전거도로구조물공수량 2" xfId="13603"/>
    <cellStyle name="개_수량전체_자전거도로구조물공수량 2 2" xfId="26471"/>
    <cellStyle name="개_수량전체_자전거도로구조물공수량 20" xfId="24909"/>
    <cellStyle name="개_수량전체_자전거도로구조물공수량 20 2" xfId="37340"/>
    <cellStyle name="개_수량전체_자전거도로구조물공수량 21" xfId="25000"/>
    <cellStyle name="개_수량전체_자전거도로구조물공수량 21 2" xfId="37431"/>
    <cellStyle name="개_수량전체_자전거도로구조물공수량 3" xfId="16818"/>
    <cellStyle name="개_수량전체_자전거도로구조물공수량 3 2" xfId="29593"/>
    <cellStyle name="개_수량전체_자전거도로구조물공수량 4" xfId="17336"/>
    <cellStyle name="개_수량전체_자전거도로구조물공수량 4 2" xfId="30065"/>
    <cellStyle name="개_수량전체_자전거도로구조물공수량 5" xfId="16989"/>
    <cellStyle name="개_수량전체_자전거도로구조물공수량 5 2" xfId="29764"/>
    <cellStyle name="개_수량전체_자전거도로구조물공수량 6" xfId="17627"/>
    <cellStyle name="개_수량전체_자전거도로구조물공수량 6 2" xfId="30344"/>
    <cellStyle name="개_수량전체_자전거도로구조물공수량 7" xfId="16887"/>
    <cellStyle name="개_수량전체_자전거도로구조물공수량 7 2" xfId="29662"/>
    <cellStyle name="개_수량전체_자전거도로구조물공수량 8" xfId="16163"/>
    <cellStyle name="개_수량전체_자전거도로구조물공수량 8 2" xfId="28946"/>
    <cellStyle name="개_수량전체_자전거도로구조물공수량 9" xfId="17993"/>
    <cellStyle name="개_수량전체_자전거도로구조물공수량 9 2" xfId="30705"/>
    <cellStyle name="개_수량전체_자전거도로포장수량" xfId="2811"/>
    <cellStyle name="개_수량전체_자전거도로포장수량 10" xfId="18129"/>
    <cellStyle name="개_수량전체_자전거도로포장수량 10 2" xfId="30836"/>
    <cellStyle name="개_수량전체_자전거도로포장수량 11" xfId="19504"/>
    <cellStyle name="개_수량전체_자전거도로포장수량 12" xfId="23283"/>
    <cellStyle name="개_수량전체_자전거도로포장수량 12 2" xfId="35715"/>
    <cellStyle name="개_수량전체_자전거도로포장수량 13" xfId="23537"/>
    <cellStyle name="개_수량전체_자전거도로포장수량 13 2" xfId="35968"/>
    <cellStyle name="개_수량전체_자전거도로포장수량 14" xfId="23921"/>
    <cellStyle name="개_수량전체_자전거도로포장수량 14 2" xfId="36352"/>
    <cellStyle name="개_수량전체_자전거도로포장수량 15" xfId="24234"/>
    <cellStyle name="개_수량전체_자전거도로포장수량 15 2" xfId="36665"/>
    <cellStyle name="개_수량전체_자전거도로포장수량 16" xfId="18296"/>
    <cellStyle name="개_수량전체_자전거도로포장수량 16 2" xfId="31002"/>
    <cellStyle name="개_수량전체_자전거도로포장수량 17" xfId="24579"/>
    <cellStyle name="개_수량전체_자전거도로포장수량 17 2" xfId="37010"/>
    <cellStyle name="개_수량전체_자전거도로포장수량 18" xfId="24754"/>
    <cellStyle name="개_수량전체_자전거도로포장수량 18 2" xfId="37185"/>
    <cellStyle name="개_수량전체_자전거도로포장수량 19" xfId="24696"/>
    <cellStyle name="개_수량전체_자전거도로포장수량 19 2" xfId="37127"/>
    <cellStyle name="개_수량전체_자전거도로포장수량 2" xfId="13604"/>
    <cellStyle name="개_수량전체_자전거도로포장수량 2 2" xfId="26472"/>
    <cellStyle name="개_수량전체_자전거도로포장수량 20" xfId="24908"/>
    <cellStyle name="개_수량전체_자전거도로포장수량 20 2" xfId="37339"/>
    <cellStyle name="개_수량전체_자전거도로포장수량 21" xfId="24999"/>
    <cellStyle name="개_수량전체_자전거도로포장수량 21 2" xfId="37430"/>
    <cellStyle name="개_수량전체_자전거도로포장수량 3" xfId="16817"/>
    <cellStyle name="개_수량전체_자전거도로포장수량 3 2" xfId="29592"/>
    <cellStyle name="개_수량전체_자전거도로포장수량 4" xfId="17335"/>
    <cellStyle name="개_수량전체_자전거도로포장수량 4 2" xfId="30064"/>
    <cellStyle name="개_수량전체_자전거도로포장수량 5" xfId="16990"/>
    <cellStyle name="개_수량전체_자전거도로포장수량 5 2" xfId="29765"/>
    <cellStyle name="개_수량전체_자전거도로포장수량 6" xfId="17626"/>
    <cellStyle name="개_수량전체_자전거도로포장수량 6 2" xfId="30343"/>
    <cellStyle name="개_수량전체_자전거도로포장수량 7" xfId="12787"/>
    <cellStyle name="개_수량전체_자전거도로포장수량 7 2" xfId="25663"/>
    <cellStyle name="개_수량전체_자전거도로포장수량 8" xfId="14663"/>
    <cellStyle name="개_수량전체_자전거도로포장수량 8 2" xfId="27489"/>
    <cellStyle name="개_수량전체_자전거도로포장수량 9" xfId="17994"/>
    <cellStyle name="개_수량전체_자전거도로포장수량 9 2" xfId="30706"/>
    <cellStyle name="개소" xfId="2812"/>
    <cellStyle name="개소 10" xfId="18128"/>
    <cellStyle name="개소 10 2" xfId="30835"/>
    <cellStyle name="개소 11" xfId="19505"/>
    <cellStyle name="개소 12" xfId="23282"/>
    <cellStyle name="개소 12 2" xfId="35714"/>
    <cellStyle name="개소 13" xfId="23536"/>
    <cellStyle name="개소 13 2" xfId="35967"/>
    <cellStyle name="개소 14" xfId="23920"/>
    <cellStyle name="개소 14 2" xfId="36351"/>
    <cellStyle name="개소 15" xfId="24233"/>
    <cellStyle name="개소 15 2" xfId="36664"/>
    <cellStyle name="개소 16" xfId="22634"/>
    <cellStyle name="개소 16 2" xfId="35068"/>
    <cellStyle name="개소 17" xfId="24578"/>
    <cellStyle name="개소 17 2" xfId="37009"/>
    <cellStyle name="개소 18" xfId="24753"/>
    <cellStyle name="개소 18 2" xfId="37184"/>
    <cellStyle name="개소 19" xfId="24697"/>
    <cellStyle name="개소 19 2" xfId="37128"/>
    <cellStyle name="개소 2" xfId="13605"/>
    <cellStyle name="개소 2 2" xfId="26473"/>
    <cellStyle name="개소 20" xfId="24907"/>
    <cellStyle name="개소 20 2" xfId="37338"/>
    <cellStyle name="개소 21" xfId="24998"/>
    <cellStyle name="개소 21 2" xfId="37429"/>
    <cellStyle name="개소 3" xfId="16816"/>
    <cellStyle name="개소 3 2" xfId="29591"/>
    <cellStyle name="개소 4" xfId="17334"/>
    <cellStyle name="개소 4 2" xfId="30063"/>
    <cellStyle name="개소 5" xfId="16991"/>
    <cellStyle name="개소 5 2" xfId="29766"/>
    <cellStyle name="개소 6" xfId="17625"/>
    <cellStyle name="개소 6 2" xfId="30342"/>
    <cellStyle name="개소 7" xfId="12786"/>
    <cellStyle name="개소 7 2" xfId="25662"/>
    <cellStyle name="개소 8" xfId="17619"/>
    <cellStyle name="개소 8 2" xfId="30336"/>
    <cellStyle name="개소 9" xfId="13328"/>
    <cellStyle name="개소 9 2" xfId="26196"/>
    <cellStyle name="견적_통신공사" xfId="2813"/>
    <cellStyle name="경고문 2" xfId="5827"/>
    <cellStyle name="경고문 3" xfId="11746"/>
    <cellStyle name="경고문 4" xfId="11747"/>
    <cellStyle name="경고문 5" xfId="11748"/>
    <cellStyle name="경고문 6" xfId="11749"/>
    <cellStyle name="경고문 7" xfId="11750"/>
    <cellStyle name="경고문 8" xfId="11751"/>
    <cellStyle name="계산 2" xfId="5828"/>
    <cellStyle name="계산 2 2" xfId="11392"/>
    <cellStyle name="계산 2 2 10" xfId="14275"/>
    <cellStyle name="계산 2 2 10 2" xfId="27109"/>
    <cellStyle name="계산 2 2 11" xfId="15300"/>
    <cellStyle name="계산 2 2 11 2" xfId="28117"/>
    <cellStyle name="계산 2 2 12" xfId="23014"/>
    <cellStyle name="계산 2 2 12 2" xfId="35447"/>
    <cellStyle name="계산 2 2 13" xfId="21128"/>
    <cellStyle name="계산 2 2 13 2" xfId="33565"/>
    <cellStyle name="계산 2 2 14" xfId="20132"/>
    <cellStyle name="계산 2 2 14 2" xfId="32578"/>
    <cellStyle name="계산 2 2 15" xfId="20068"/>
    <cellStyle name="계산 2 2 15 2" xfId="32514"/>
    <cellStyle name="계산 2 2 16" xfId="21630"/>
    <cellStyle name="계산 2 2 16 2" xfId="34067"/>
    <cellStyle name="계산 2 2 17" xfId="23148"/>
    <cellStyle name="계산 2 2 17 2" xfId="35581"/>
    <cellStyle name="계산 2 2 18" xfId="24005"/>
    <cellStyle name="계산 2 2 18 2" xfId="36436"/>
    <cellStyle name="계산 2 2 19" xfId="20631"/>
    <cellStyle name="계산 2 2 19 2" xfId="33075"/>
    <cellStyle name="계산 2 2 2" xfId="16548"/>
    <cellStyle name="계산 2 2 2 2" xfId="29324"/>
    <cellStyle name="계산 2 2 20" xfId="22854"/>
    <cellStyle name="계산 2 2 20 2" xfId="35288"/>
    <cellStyle name="계산 2 2 21" xfId="19596"/>
    <cellStyle name="계산 2 2 21 2" xfId="32051"/>
    <cellStyle name="계산 2 2 22" xfId="19000"/>
    <cellStyle name="계산 2 2 22 2" xfId="31705"/>
    <cellStyle name="계산 2 2 23" xfId="20291"/>
    <cellStyle name="계산 2 2 23 2" xfId="32736"/>
    <cellStyle name="계산 2 2 24" xfId="25227"/>
    <cellStyle name="계산 2 2 3" xfId="12633"/>
    <cellStyle name="계산 2 2 3 2" xfId="25512"/>
    <cellStyle name="계산 2 2 4" xfId="14313"/>
    <cellStyle name="계산 2 2 4 2" xfId="27146"/>
    <cellStyle name="계산 2 2 5" xfId="12848"/>
    <cellStyle name="계산 2 2 5 2" xfId="25724"/>
    <cellStyle name="계산 2 2 6" xfId="12868"/>
    <cellStyle name="계산 2 2 6 2" xfId="25744"/>
    <cellStyle name="계산 2 2 7" xfId="12693"/>
    <cellStyle name="계산 2 2 7 2" xfId="25572"/>
    <cellStyle name="계산 2 2 8" xfId="14658"/>
    <cellStyle name="계산 2 2 8 2" xfId="27484"/>
    <cellStyle name="계산 2 2 9" xfId="15689"/>
    <cellStyle name="계산 2 2 9 2" xfId="28489"/>
    <cellStyle name="계산 3" xfId="11752"/>
    <cellStyle name="계산 3 10" xfId="15576"/>
    <cellStyle name="계산 3 10 2" xfId="28385"/>
    <cellStyle name="계산 3 11" xfId="17475"/>
    <cellStyle name="계산 3 11 2" xfId="30197"/>
    <cellStyle name="계산 3 12" xfId="23164"/>
    <cellStyle name="계산 3 12 2" xfId="35597"/>
    <cellStyle name="계산 3 13" xfId="20996"/>
    <cellStyle name="계산 3 13 2" xfId="33433"/>
    <cellStyle name="계산 3 14" xfId="18709"/>
    <cellStyle name="계산 3 14 2" xfId="31414"/>
    <cellStyle name="계산 3 15" xfId="23151"/>
    <cellStyle name="계산 3 15 2" xfId="35584"/>
    <cellStyle name="계산 3 16" xfId="22628"/>
    <cellStyle name="계산 3 16 2" xfId="35062"/>
    <cellStyle name="계산 3 17" xfId="18328"/>
    <cellStyle name="계산 3 17 2" xfId="31034"/>
    <cellStyle name="계산 3 18" xfId="23445"/>
    <cellStyle name="계산 3 18 2" xfId="35876"/>
    <cellStyle name="계산 3 19" xfId="23791"/>
    <cellStyle name="계산 3 19 2" xfId="36222"/>
    <cellStyle name="계산 3 2" xfId="16752"/>
    <cellStyle name="계산 3 2 2" xfId="29528"/>
    <cellStyle name="계산 3 20" xfId="24110"/>
    <cellStyle name="계산 3 20 2" xfId="36541"/>
    <cellStyle name="계산 3 21" xfId="23627"/>
    <cellStyle name="계산 3 21 2" xfId="36058"/>
    <cellStyle name="계산 3 22" xfId="24843"/>
    <cellStyle name="계산 3 22 2" xfId="37274"/>
    <cellStyle name="계산 3 23" xfId="24890"/>
    <cellStyle name="계산 3 23 2" xfId="37321"/>
    <cellStyle name="계산 3 24" xfId="25236"/>
    <cellStyle name="계산 3 3" xfId="17124"/>
    <cellStyle name="계산 3 3 2" xfId="29858"/>
    <cellStyle name="계산 3 4" xfId="14284"/>
    <cellStyle name="계산 3 4 2" xfId="27118"/>
    <cellStyle name="계산 3 5" xfId="14565"/>
    <cellStyle name="계산 3 5 2" xfId="27393"/>
    <cellStyle name="계산 3 6" xfId="17450"/>
    <cellStyle name="계산 3 6 2" xfId="30172"/>
    <cellStyle name="계산 3 7" xfId="12882"/>
    <cellStyle name="계산 3 7 2" xfId="25758"/>
    <cellStyle name="계산 3 8" xfId="16186"/>
    <cellStyle name="계산 3 8 2" xfId="28962"/>
    <cellStyle name="계산 3 9" xfId="15575"/>
    <cellStyle name="계산 3 9 2" xfId="28384"/>
    <cellStyle name="계산 4" xfId="11753"/>
    <cellStyle name="계산 4 10" xfId="15577"/>
    <cellStyle name="계산 4 10 2" xfId="28386"/>
    <cellStyle name="계산 4 11" xfId="12397"/>
    <cellStyle name="계산 4 11 2" xfId="25277"/>
    <cellStyle name="계산 4 12" xfId="23165"/>
    <cellStyle name="계산 4 12 2" xfId="35598"/>
    <cellStyle name="계산 4 13" xfId="20995"/>
    <cellStyle name="계산 4 13 2" xfId="33432"/>
    <cellStyle name="계산 4 14" xfId="18710"/>
    <cellStyle name="계산 4 14 2" xfId="31415"/>
    <cellStyle name="계산 4 15" xfId="20258"/>
    <cellStyle name="계산 4 15 2" xfId="32703"/>
    <cellStyle name="계산 4 16" xfId="20568"/>
    <cellStyle name="계산 4 16 2" xfId="33013"/>
    <cellStyle name="계산 4 17" xfId="22331"/>
    <cellStyle name="계산 4 17 2" xfId="34765"/>
    <cellStyle name="계산 4 18" xfId="23399"/>
    <cellStyle name="계산 4 18 2" xfId="35830"/>
    <cellStyle name="계산 4 19" xfId="19878"/>
    <cellStyle name="계산 4 19 2" xfId="32328"/>
    <cellStyle name="계산 4 2" xfId="16753"/>
    <cellStyle name="계산 4 2 2" xfId="29529"/>
    <cellStyle name="계산 4 20" xfId="23030"/>
    <cellStyle name="계산 4 20 2" xfId="35463"/>
    <cellStyle name="계산 4 21" xfId="24493"/>
    <cellStyle name="계산 4 21 2" xfId="36924"/>
    <cellStyle name="계산 4 22" xfId="24842"/>
    <cellStyle name="계산 4 22 2" xfId="37273"/>
    <cellStyle name="계산 4 23" xfId="24889"/>
    <cellStyle name="계산 4 23 2" xfId="37320"/>
    <cellStyle name="계산 4 24" xfId="25237"/>
    <cellStyle name="계산 4 3" xfId="17125"/>
    <cellStyle name="계산 4 3 2" xfId="29859"/>
    <cellStyle name="계산 4 4" xfId="14073"/>
    <cellStyle name="계산 4 4 2" xfId="26921"/>
    <cellStyle name="계산 4 5" xfId="13611"/>
    <cellStyle name="계산 4 5 2" xfId="26479"/>
    <cellStyle name="계산 4 6" xfId="17449"/>
    <cellStyle name="계산 4 6 2" xfId="30171"/>
    <cellStyle name="계산 4 7" xfId="15823"/>
    <cellStyle name="계산 4 7 2" xfId="28621"/>
    <cellStyle name="계산 4 8" xfId="17000"/>
    <cellStyle name="계산 4 8 2" xfId="29775"/>
    <cellStyle name="계산 4 9" xfId="12783"/>
    <cellStyle name="계산 4 9 2" xfId="25659"/>
    <cellStyle name="계산 5" xfId="11754"/>
    <cellStyle name="계산 5 10" xfId="15578"/>
    <cellStyle name="계산 5 10 2" xfId="28387"/>
    <cellStyle name="계산 5 11" xfId="15102"/>
    <cellStyle name="계산 5 11 2" xfId="27921"/>
    <cellStyle name="계산 5 12" xfId="23166"/>
    <cellStyle name="계산 5 12 2" xfId="35599"/>
    <cellStyle name="계산 5 13" xfId="20994"/>
    <cellStyle name="계산 5 13 2" xfId="33431"/>
    <cellStyle name="계산 5 14" xfId="18711"/>
    <cellStyle name="계산 5 14 2" xfId="31416"/>
    <cellStyle name="계산 5 15" xfId="20723"/>
    <cellStyle name="계산 5 15 2" xfId="33163"/>
    <cellStyle name="계산 5 16" xfId="18701"/>
    <cellStyle name="계산 5 16 2" xfId="31406"/>
    <cellStyle name="계산 5 17" xfId="18327"/>
    <cellStyle name="계산 5 17 2" xfId="31033"/>
    <cellStyle name="계산 5 18" xfId="19555"/>
    <cellStyle name="계산 5 18 2" xfId="32010"/>
    <cellStyle name="계산 5 19" xfId="18743"/>
    <cellStyle name="계산 5 19 2" xfId="31448"/>
    <cellStyle name="계산 5 2" xfId="16754"/>
    <cellStyle name="계산 5 2 2" xfId="29530"/>
    <cellStyle name="계산 5 20" xfId="24111"/>
    <cellStyle name="계산 5 20 2" xfId="36542"/>
    <cellStyle name="계산 5 21" xfId="20545"/>
    <cellStyle name="계산 5 21 2" xfId="32990"/>
    <cellStyle name="계산 5 22" xfId="24841"/>
    <cellStyle name="계산 5 22 2" xfId="37272"/>
    <cellStyle name="계산 5 23" xfId="24888"/>
    <cellStyle name="계산 5 23 2" xfId="37319"/>
    <cellStyle name="계산 5 24" xfId="25238"/>
    <cellStyle name="계산 5 3" xfId="17126"/>
    <cellStyle name="계산 5 3 2" xfId="29860"/>
    <cellStyle name="계산 5 4" xfId="14283"/>
    <cellStyle name="계산 5 4 2" xfId="27117"/>
    <cellStyle name="계산 5 5" xfId="14566"/>
    <cellStyle name="계산 5 5 2" xfId="27394"/>
    <cellStyle name="계산 5 6" xfId="17448"/>
    <cellStyle name="계산 5 6 2" xfId="30170"/>
    <cellStyle name="계산 5 7" xfId="12560"/>
    <cellStyle name="계산 5 7 2" xfId="25440"/>
    <cellStyle name="계산 5 8" xfId="14211"/>
    <cellStyle name="계산 5 8 2" xfId="27058"/>
    <cellStyle name="계산 5 9" xfId="17253"/>
    <cellStyle name="계산 5 9 2" xfId="29986"/>
    <cellStyle name="계산 6" xfId="11755"/>
    <cellStyle name="계산 6 10" xfId="15579"/>
    <cellStyle name="계산 6 10 2" xfId="28388"/>
    <cellStyle name="계산 6 11" xfId="12577"/>
    <cellStyle name="계산 6 11 2" xfId="25456"/>
    <cellStyle name="계산 6 12" xfId="23167"/>
    <cellStyle name="계산 6 12 2" xfId="35600"/>
    <cellStyle name="계산 6 13" xfId="20993"/>
    <cellStyle name="계산 6 13 2" xfId="33430"/>
    <cellStyle name="계산 6 14" xfId="18712"/>
    <cellStyle name="계산 6 14 2" xfId="31417"/>
    <cellStyle name="계산 6 15" xfId="23440"/>
    <cellStyle name="계산 6 15 2" xfId="35871"/>
    <cellStyle name="계산 6 16" xfId="23100"/>
    <cellStyle name="계산 6 16 2" xfId="35533"/>
    <cellStyle name="계산 6 17" xfId="23062"/>
    <cellStyle name="계산 6 17 2" xfId="35495"/>
    <cellStyle name="계산 6 18" xfId="21749"/>
    <cellStyle name="계산 6 18 2" xfId="34186"/>
    <cellStyle name="계산 6 19" xfId="21935"/>
    <cellStyle name="계산 6 19 2" xfId="34372"/>
    <cellStyle name="계산 6 2" xfId="16755"/>
    <cellStyle name="계산 6 2 2" xfId="29531"/>
    <cellStyle name="계산 6 20" xfId="22859"/>
    <cellStyle name="계산 6 20 2" xfId="35293"/>
    <cellStyle name="계산 6 21" xfId="24492"/>
    <cellStyle name="계산 6 21 2" xfId="36923"/>
    <cellStyle name="계산 6 22" xfId="24840"/>
    <cellStyle name="계산 6 22 2" xfId="37271"/>
    <cellStyle name="계산 6 23" xfId="24887"/>
    <cellStyle name="계산 6 23 2" xfId="37318"/>
    <cellStyle name="계산 6 24" xfId="25239"/>
    <cellStyle name="계산 6 3" xfId="17127"/>
    <cellStyle name="계산 6 3 2" xfId="29861"/>
    <cellStyle name="계산 6 4" xfId="14072"/>
    <cellStyle name="계산 6 4 2" xfId="26920"/>
    <cellStyle name="계산 6 5" xfId="13612"/>
    <cellStyle name="계산 6 5 2" xfId="26480"/>
    <cellStyle name="계산 6 6" xfId="17447"/>
    <cellStyle name="계산 6 6 2" xfId="30169"/>
    <cellStyle name="계산 6 7" xfId="15588"/>
    <cellStyle name="계산 6 7 2" xfId="28397"/>
    <cellStyle name="계산 6 8" xfId="17418"/>
    <cellStyle name="계산 6 8 2" xfId="30141"/>
    <cellStyle name="계산 6 9" xfId="15761"/>
    <cellStyle name="계산 6 9 2" xfId="28560"/>
    <cellStyle name="계산 7" xfId="11756"/>
    <cellStyle name="계산 7 10" xfId="15580"/>
    <cellStyle name="계산 7 10 2" xfId="28389"/>
    <cellStyle name="계산 7 11" xfId="17760"/>
    <cellStyle name="계산 7 11 2" xfId="30477"/>
    <cellStyle name="계산 7 12" xfId="23168"/>
    <cellStyle name="계산 7 12 2" xfId="35601"/>
    <cellStyle name="계산 7 13" xfId="20992"/>
    <cellStyle name="계산 7 13 2" xfId="33429"/>
    <cellStyle name="계산 7 14" xfId="18713"/>
    <cellStyle name="계산 7 14 2" xfId="31418"/>
    <cellStyle name="계산 7 15" xfId="23152"/>
    <cellStyle name="계산 7 15 2" xfId="35585"/>
    <cellStyle name="계산 7 16" xfId="18702"/>
    <cellStyle name="계산 7 16 2" xfId="31407"/>
    <cellStyle name="계산 7 17" xfId="18326"/>
    <cellStyle name="계산 7 17 2" xfId="31032"/>
    <cellStyle name="계산 7 18" xfId="23444"/>
    <cellStyle name="계산 7 18 2" xfId="35875"/>
    <cellStyle name="계산 7 19" xfId="19581"/>
    <cellStyle name="계산 7 19 2" xfId="32036"/>
    <cellStyle name="계산 7 2" xfId="16756"/>
    <cellStyle name="계산 7 2 2" xfId="29532"/>
    <cellStyle name="계산 7 20" xfId="20354"/>
    <cellStyle name="계산 7 20 2" xfId="32799"/>
    <cellStyle name="계산 7 21" xfId="23626"/>
    <cellStyle name="계산 7 21 2" xfId="36057"/>
    <cellStyle name="계산 7 22" xfId="24839"/>
    <cellStyle name="계산 7 22 2" xfId="37270"/>
    <cellStyle name="계산 7 23" xfId="24886"/>
    <cellStyle name="계산 7 23 2" xfId="37317"/>
    <cellStyle name="계산 7 24" xfId="25240"/>
    <cellStyle name="계산 7 3" xfId="17128"/>
    <cellStyle name="계산 7 3 2" xfId="29862"/>
    <cellStyle name="계산 7 4" xfId="14282"/>
    <cellStyle name="계산 7 4 2" xfId="27116"/>
    <cellStyle name="계산 7 5" xfId="14567"/>
    <cellStyle name="계산 7 5 2" xfId="27395"/>
    <cellStyle name="계산 7 6" xfId="17446"/>
    <cellStyle name="계산 7 6 2" xfId="30168"/>
    <cellStyle name="계산 7 7" xfId="12881"/>
    <cellStyle name="계산 7 7 2" xfId="25757"/>
    <cellStyle name="계산 7 8" xfId="16611"/>
    <cellStyle name="계산 7 8 2" xfId="29387"/>
    <cellStyle name="계산 7 9" xfId="15765"/>
    <cellStyle name="계산 7 9 2" xfId="28564"/>
    <cellStyle name="계산 8" xfId="11757"/>
    <cellStyle name="계산 8 10" xfId="15581"/>
    <cellStyle name="계산 8 10 2" xfId="28390"/>
    <cellStyle name="계산 8 11" xfId="15382"/>
    <cellStyle name="계산 8 11 2" xfId="28197"/>
    <cellStyle name="계산 8 12" xfId="23169"/>
    <cellStyle name="계산 8 12 2" xfId="35602"/>
    <cellStyle name="계산 8 13" xfId="20991"/>
    <cellStyle name="계산 8 13 2" xfId="33428"/>
    <cellStyle name="계산 8 14" xfId="18714"/>
    <cellStyle name="계산 8 14 2" xfId="31419"/>
    <cellStyle name="계산 8 15" xfId="23441"/>
    <cellStyle name="계산 8 15 2" xfId="35872"/>
    <cellStyle name="계산 8 16" xfId="23101"/>
    <cellStyle name="계산 8 16 2" xfId="35534"/>
    <cellStyle name="계산 8 17" xfId="18334"/>
    <cellStyle name="계산 8 17 2" xfId="31040"/>
    <cellStyle name="계산 8 18" xfId="18934"/>
    <cellStyle name="계산 8 18 2" xfId="31639"/>
    <cellStyle name="계산 8 19" xfId="22565"/>
    <cellStyle name="계산 8 19 2" xfId="34999"/>
    <cellStyle name="계산 8 2" xfId="16757"/>
    <cellStyle name="계산 8 2 2" xfId="29533"/>
    <cellStyle name="계산 8 20" xfId="23717"/>
    <cellStyle name="계산 8 20 2" xfId="36148"/>
    <cellStyle name="계산 8 21" xfId="24491"/>
    <cellStyle name="계산 8 21 2" xfId="36922"/>
    <cellStyle name="계산 8 22" xfId="24838"/>
    <cellStyle name="계산 8 22 2" xfId="37269"/>
    <cellStyle name="계산 8 23" xfId="24885"/>
    <cellStyle name="계산 8 23 2" xfId="37316"/>
    <cellStyle name="계산 8 24" xfId="25241"/>
    <cellStyle name="계산 8 3" xfId="17129"/>
    <cellStyle name="계산 8 3 2" xfId="29863"/>
    <cellStyle name="계산 8 4" xfId="14071"/>
    <cellStyle name="계산 8 4 2" xfId="26919"/>
    <cellStyle name="계산 8 5" xfId="13613"/>
    <cellStyle name="계산 8 5 2" xfId="26481"/>
    <cellStyle name="계산 8 6" xfId="17445"/>
    <cellStyle name="계산 8 6 2" xfId="30167"/>
    <cellStyle name="계산 8 7" xfId="12880"/>
    <cellStyle name="계산 8 7 2" xfId="25756"/>
    <cellStyle name="계산 8 8" xfId="12644"/>
    <cellStyle name="계산 8 8 2" xfId="25523"/>
    <cellStyle name="계산 8 9" xfId="17506"/>
    <cellStyle name="계산 8 9 2" xfId="30228"/>
    <cellStyle name="고정소숫점" xfId="2814"/>
    <cellStyle name="고정소숫점 2" xfId="10396"/>
    <cellStyle name="고정소숫점 3" xfId="11758"/>
    <cellStyle name="고정소숫점 4" xfId="11759"/>
    <cellStyle name="고정소숫점 5" xfId="11760"/>
    <cellStyle name="고정소숫점 6" xfId="11761"/>
    <cellStyle name="고정소숫점 7" xfId="11762"/>
    <cellStyle name="고정소숫점_가로등 일제정비공사 토목" xfId="11763"/>
    <cellStyle name="고정출력1" xfId="2815"/>
    <cellStyle name="고정출력1 2" xfId="10397"/>
    <cellStyle name="고정출력2" xfId="2816"/>
    <cellStyle name="고정출력2 2" xfId="10398"/>
    <cellStyle name="공사원가계산서(조경)" xfId="5829"/>
    <cellStyle name="공정제목" xfId="2817"/>
    <cellStyle name="咬訌裝?INCOM1" xfId="5830"/>
    <cellStyle name="咬訌裝?INCOM1 2" xfId="11275"/>
    <cellStyle name="咬訌裝?INCOM10" xfId="5831"/>
    <cellStyle name="咬訌裝?INCOM10 2" xfId="11276"/>
    <cellStyle name="咬訌裝?INCOM2" xfId="5832"/>
    <cellStyle name="咬訌裝?INCOM2 2" xfId="11277"/>
    <cellStyle name="咬訌裝?INCOM3" xfId="5833"/>
    <cellStyle name="咬訌裝?INCOM3 2" xfId="11278"/>
    <cellStyle name="咬訌裝?INCOM4" xfId="5834"/>
    <cellStyle name="咬訌裝?INCOM4 2" xfId="11279"/>
    <cellStyle name="咬訌裝?INCOM5" xfId="5835"/>
    <cellStyle name="咬訌裝?INCOM5 2" xfId="11280"/>
    <cellStyle name="咬訌裝?INCOM6" xfId="5836"/>
    <cellStyle name="咬訌裝?INCOM6 2" xfId="11281"/>
    <cellStyle name="咬訌裝?INCOM7" xfId="5837"/>
    <cellStyle name="咬訌裝?INCOM7 2" xfId="11282"/>
    <cellStyle name="咬訌裝?INCOM8" xfId="5838"/>
    <cellStyle name="咬訌裝?INCOM8 2" xfId="11283"/>
    <cellStyle name="咬訌裝?INCOM9" xfId="5839"/>
    <cellStyle name="咬訌裝?INCOM9 2" xfId="11284"/>
    <cellStyle name="咬訌裝?PRIB11" xfId="5840"/>
    <cellStyle name="咬訌裝?PRIB11 2" xfId="11285"/>
    <cellStyle name="그림" xfId="10399"/>
    <cellStyle name="글꼴" xfId="5841"/>
    <cellStyle name="글꼴 2" xfId="10400"/>
    <cellStyle name="글꼴_설계내역서" xfId="10401"/>
    <cellStyle name="금액" xfId="2818"/>
    <cellStyle name="금액 2" xfId="5842"/>
    <cellStyle name="금액 2 2" xfId="11287"/>
    <cellStyle name="금액 2 2 10" xfId="14785"/>
    <cellStyle name="금액 2 2 11" xfId="14035"/>
    <cellStyle name="금액 2 2 11 2" xfId="26884"/>
    <cellStyle name="금액 2 2 12" xfId="22944"/>
    <cellStyle name="금액 2 2 12 2" xfId="35378"/>
    <cellStyle name="금액 2 2 13" xfId="21216"/>
    <cellStyle name="금액 2 2 13 2" xfId="33653"/>
    <cellStyle name="금액 2 2 14" xfId="18528"/>
    <cellStyle name="금액 2 2 14 2" xfId="31233"/>
    <cellStyle name="금액 2 2 15" xfId="19287"/>
    <cellStyle name="금액 2 2 15 2" xfId="31940"/>
    <cellStyle name="금액 2 2 16" xfId="24068"/>
    <cellStyle name="금액 2 2 16 2" xfId="36499"/>
    <cellStyle name="금액 2 2 17" xfId="20945"/>
    <cellStyle name="금액 2 2 17 2" xfId="33382"/>
    <cellStyle name="금액 2 2 18" xfId="23264"/>
    <cellStyle name="금액 2 2 18 2" xfId="35696"/>
    <cellStyle name="금액 2 2 19" xfId="24226"/>
    <cellStyle name="금액 2 2 19 2" xfId="36657"/>
    <cellStyle name="금액 2 2 2" xfId="16467"/>
    <cellStyle name="금액 2 2 2 2" xfId="29243"/>
    <cellStyle name="금액 2 2 20" xfId="19781"/>
    <cellStyle name="금액 2 2 20 2" xfId="32231"/>
    <cellStyle name="금액 2 2 21" xfId="24033"/>
    <cellStyle name="금액 2 2 21 2" xfId="36464"/>
    <cellStyle name="금액 2 2 22" xfId="21724"/>
    <cellStyle name="금액 2 2 22 2" xfId="34161"/>
    <cellStyle name="금액 2 2 23" xfId="24213"/>
    <cellStyle name="금액 2 2 23 2" xfId="36644"/>
    <cellStyle name="금액 2 2 24" xfId="25174"/>
    <cellStyle name="금액 2 2 3" xfId="15100"/>
    <cellStyle name="금액 2 2 3 2" xfId="27919"/>
    <cellStyle name="금액 2 2 4" xfId="14342"/>
    <cellStyle name="금액 2 2 4 2" xfId="27175"/>
    <cellStyle name="금액 2 2 5" xfId="16747"/>
    <cellStyle name="금액 2 2 5 2" xfId="29523"/>
    <cellStyle name="금액 2 2 6" xfId="12731"/>
    <cellStyle name="금액 2 2 6 2" xfId="25608"/>
    <cellStyle name="금액 2 2 7" xfId="12970"/>
    <cellStyle name="금액 2 2 7 2" xfId="25845"/>
    <cellStyle name="금액 2 2 8" xfId="16499"/>
    <cellStyle name="금액 2 2 8 2" xfId="29275"/>
    <cellStyle name="금액 2 2 9" xfId="13813"/>
    <cellStyle name="금액 2 2 9 2" xfId="26672"/>
    <cellStyle name="금액 3" xfId="10402"/>
    <cellStyle name="금액 3 2" xfId="11288"/>
    <cellStyle name="금액 3 2 10" xfId="16170"/>
    <cellStyle name="금액 3 2 11" xfId="13170"/>
    <cellStyle name="금액 3 2 11 2" xfId="26038"/>
    <cellStyle name="금액 3 2 12" xfId="22945"/>
    <cellStyle name="금액 3 2 12 2" xfId="35379"/>
    <cellStyle name="금액 3 2 13" xfId="21215"/>
    <cellStyle name="금액 3 2 13 2" xfId="33652"/>
    <cellStyle name="금액 3 2 14" xfId="18529"/>
    <cellStyle name="금액 3 2 14 2" xfId="31234"/>
    <cellStyle name="금액 3 2 15" xfId="19202"/>
    <cellStyle name="금액 3 2 15 2" xfId="31857"/>
    <cellStyle name="금액 3 2 16" xfId="18910"/>
    <cellStyle name="금액 3 2 16 2" xfId="31615"/>
    <cellStyle name="금액 3 2 17" xfId="20532"/>
    <cellStyle name="금액 3 2 17 2" xfId="32977"/>
    <cellStyle name="금액 3 2 18" xfId="23393"/>
    <cellStyle name="금액 3 2 18 2" xfId="35825"/>
    <cellStyle name="금액 3 2 19" xfId="19077"/>
    <cellStyle name="금액 3 2 19 2" xfId="31782"/>
    <cellStyle name="금액 3 2 2" xfId="16468"/>
    <cellStyle name="금액 3 2 2 2" xfId="29244"/>
    <cellStyle name="금액 3 2 20" xfId="20944"/>
    <cellStyle name="금액 3 2 20 2" xfId="33381"/>
    <cellStyle name="금액 3 2 21" xfId="20536"/>
    <cellStyle name="금액 3 2 21 2" xfId="32981"/>
    <cellStyle name="금액 3 2 22" xfId="21098"/>
    <cellStyle name="금액 3 2 22 2" xfId="33535"/>
    <cellStyle name="금액 3 2 23" xfId="19598"/>
    <cellStyle name="금액 3 2 23 2" xfId="32053"/>
    <cellStyle name="금액 3 2 24" xfId="25175"/>
    <cellStyle name="금액 3 2 3" xfId="15099"/>
    <cellStyle name="금액 3 2 3 2" xfId="27918"/>
    <cellStyle name="금액 3 2 4" xfId="14144"/>
    <cellStyle name="금액 3 2 4 2" xfId="26992"/>
    <cellStyle name="금액 3 2 5" xfId="15934"/>
    <cellStyle name="금액 3 2 5 2" xfId="28732"/>
    <cellStyle name="금액 3 2 6" xfId="13946"/>
    <cellStyle name="금액 3 2 6 2" xfId="26804"/>
    <cellStyle name="금액 3 2 7" xfId="14408"/>
    <cellStyle name="금액 3 2 7 2" xfId="27241"/>
    <cellStyle name="금액 3 2 8" xfId="14571"/>
    <cellStyle name="금액 3 2 8 2" xfId="27397"/>
    <cellStyle name="금액 3 2 9" xfId="14057"/>
    <cellStyle name="금액 3 2 9 2" xfId="26905"/>
    <cellStyle name="금액 4" xfId="10403"/>
    <cellStyle name="금액 4 2" xfId="11289"/>
    <cellStyle name="금액 4 2 10" xfId="14210"/>
    <cellStyle name="금액 4 2 11" xfId="16952"/>
    <cellStyle name="금액 4 2 11 2" xfId="29727"/>
    <cellStyle name="금액 4 2 12" xfId="22946"/>
    <cellStyle name="금액 4 2 12 2" xfId="35380"/>
    <cellStyle name="금액 4 2 13" xfId="21214"/>
    <cellStyle name="금액 4 2 13 2" xfId="33651"/>
    <cellStyle name="금액 4 2 14" xfId="18530"/>
    <cellStyle name="금액 4 2 14 2" xfId="31235"/>
    <cellStyle name="금액 4 2 15" xfId="22381"/>
    <cellStyle name="금액 4 2 15 2" xfId="34815"/>
    <cellStyle name="금액 4 2 16" xfId="22274"/>
    <cellStyle name="금액 4 2 16 2" xfId="34709"/>
    <cellStyle name="금액 4 2 17" xfId="22332"/>
    <cellStyle name="금액 4 2 17 2" xfId="34766"/>
    <cellStyle name="금액 4 2 18" xfId="19069"/>
    <cellStyle name="금액 4 2 18 2" xfId="31774"/>
    <cellStyle name="금액 4 2 19" xfId="24225"/>
    <cellStyle name="금액 4 2 19 2" xfId="36656"/>
    <cellStyle name="금액 4 2 2" xfId="16469"/>
    <cellStyle name="금액 4 2 2 2" xfId="29245"/>
    <cellStyle name="금액 4 2 20" xfId="18446"/>
    <cellStyle name="금액 4 2 20 2" xfId="31151"/>
    <cellStyle name="금액 4 2 21" xfId="22446"/>
    <cellStyle name="금액 4 2 21 2" xfId="34880"/>
    <cellStyle name="금액 4 2 22" xfId="18313"/>
    <cellStyle name="금액 4 2 22 2" xfId="31019"/>
    <cellStyle name="금액 4 2 23" xfId="19075"/>
    <cellStyle name="금액 4 2 23 2" xfId="31780"/>
    <cellStyle name="금액 4 2 24" xfId="25176"/>
    <cellStyle name="금액 4 2 3" xfId="15098"/>
    <cellStyle name="금액 4 2 3 2" xfId="27917"/>
    <cellStyle name="금액 4 2 4" xfId="14341"/>
    <cellStyle name="금액 4 2 4 2" xfId="27174"/>
    <cellStyle name="금액 4 2 5" xfId="16748"/>
    <cellStyle name="금액 4 2 5 2" xfId="29524"/>
    <cellStyle name="금액 4 2 6" xfId="15063"/>
    <cellStyle name="금액 4 2 6 2" xfId="27884"/>
    <cellStyle name="금액 4 2 7" xfId="12969"/>
    <cellStyle name="금액 4 2 7 2" xfId="25844"/>
    <cellStyle name="금액 4 2 8" xfId="15619"/>
    <cellStyle name="금액 4 2 8 2" xfId="28428"/>
    <cellStyle name="금액 4 2 9" xfId="17724"/>
    <cellStyle name="금액 4 2 9 2" xfId="30441"/>
    <cellStyle name="금액 5" xfId="10404"/>
    <cellStyle name="금액 5 2" xfId="11290"/>
    <cellStyle name="금액 5 2 10" xfId="16032"/>
    <cellStyle name="금액 5 2 11" xfId="14609"/>
    <cellStyle name="금액 5 2 11 2" xfId="27435"/>
    <cellStyle name="금액 5 2 12" xfId="22947"/>
    <cellStyle name="금액 5 2 12 2" xfId="35381"/>
    <cellStyle name="금액 5 2 13" xfId="21213"/>
    <cellStyle name="금액 5 2 13 2" xfId="33650"/>
    <cellStyle name="금액 5 2 14" xfId="18531"/>
    <cellStyle name="금액 5 2 14 2" xfId="31236"/>
    <cellStyle name="금액 5 2 15" xfId="19203"/>
    <cellStyle name="금액 5 2 15 2" xfId="31858"/>
    <cellStyle name="금액 5 2 16" xfId="18911"/>
    <cellStyle name="금액 5 2 16 2" xfId="31616"/>
    <cellStyle name="금액 5 2 17" xfId="20531"/>
    <cellStyle name="금액 5 2 17 2" xfId="32976"/>
    <cellStyle name="금액 5 2 18" xfId="24344"/>
    <cellStyle name="금액 5 2 18 2" xfId="36775"/>
    <cellStyle name="금액 5 2 19" xfId="20748"/>
    <cellStyle name="금액 5 2 19 2" xfId="33188"/>
    <cellStyle name="금액 5 2 2" xfId="16470"/>
    <cellStyle name="금액 5 2 2 2" xfId="29246"/>
    <cellStyle name="금액 5 2 20" xfId="20527"/>
    <cellStyle name="금액 5 2 20 2" xfId="32972"/>
    <cellStyle name="금액 5 2 21" xfId="24431"/>
    <cellStyle name="금액 5 2 21 2" xfId="36862"/>
    <cellStyle name="금액 5 2 22" xfId="19985"/>
    <cellStyle name="금액 5 2 22 2" xfId="32433"/>
    <cellStyle name="금액 5 2 23" xfId="18419"/>
    <cellStyle name="금액 5 2 23 2" xfId="31124"/>
    <cellStyle name="금액 5 2 24" xfId="25177"/>
    <cellStyle name="금액 5 2 3" xfId="15097"/>
    <cellStyle name="금액 5 2 3 2" xfId="27916"/>
    <cellStyle name="금액 5 2 4" xfId="14143"/>
    <cellStyle name="금액 5 2 4 2" xfId="26991"/>
    <cellStyle name="금액 5 2 5" xfId="15935"/>
    <cellStyle name="금액 5 2 5 2" xfId="28733"/>
    <cellStyle name="금액 5 2 6" xfId="13947"/>
    <cellStyle name="금액 5 2 6 2" xfId="26805"/>
    <cellStyle name="금액 5 2 7" xfId="12698"/>
    <cellStyle name="금액 5 2 7 2" xfId="25577"/>
    <cellStyle name="금액 5 2 8" xfId="13617"/>
    <cellStyle name="금액 5 2 8 2" xfId="26485"/>
    <cellStyle name="금액 5 2 9" xfId="16464"/>
    <cellStyle name="금액 5 2 9 2" xfId="29240"/>
    <cellStyle name="금액 6" xfId="10405"/>
    <cellStyle name="금액 6 2" xfId="11291"/>
    <cellStyle name="금액 6 2 10" xfId="16773"/>
    <cellStyle name="금액 6 2 11" xfId="16951"/>
    <cellStyle name="금액 6 2 11 2" xfId="29726"/>
    <cellStyle name="금액 6 2 12" xfId="22948"/>
    <cellStyle name="금액 6 2 12 2" xfId="35382"/>
    <cellStyle name="금액 6 2 13" xfId="21212"/>
    <cellStyle name="금액 6 2 13 2" xfId="33649"/>
    <cellStyle name="금액 6 2 14" xfId="20563"/>
    <cellStyle name="금액 6 2 14 2" xfId="33008"/>
    <cellStyle name="금액 6 2 15" xfId="22382"/>
    <cellStyle name="금액 6 2 15 2" xfId="34816"/>
    <cellStyle name="금액 6 2 16" xfId="20523"/>
    <cellStyle name="금액 6 2 16 2" xfId="32968"/>
    <cellStyle name="금액 6 2 17" xfId="23637"/>
    <cellStyle name="금액 6 2 17 2" xfId="36068"/>
    <cellStyle name="금액 6 2 18" xfId="24343"/>
    <cellStyle name="금액 6 2 18 2" xfId="36774"/>
    <cellStyle name="금액 6 2 19" xfId="24224"/>
    <cellStyle name="금액 6 2 19 2" xfId="36655"/>
    <cellStyle name="금액 6 2 2" xfId="16471"/>
    <cellStyle name="금액 6 2 2 2" xfId="29247"/>
    <cellStyle name="금액 6 2 20" xfId="21788"/>
    <cellStyle name="금액 6 2 20 2" xfId="34225"/>
    <cellStyle name="금액 6 2 21" xfId="24032"/>
    <cellStyle name="금액 6 2 21 2" xfId="36463"/>
    <cellStyle name="금액 6 2 22" xfId="20937"/>
    <cellStyle name="금액 6 2 22 2" xfId="33374"/>
    <cellStyle name="금액 6 2 23" xfId="18525"/>
    <cellStyle name="금액 6 2 23 2" xfId="31230"/>
    <cellStyle name="금액 6 2 24" xfId="25178"/>
    <cellStyle name="금액 6 2 3" xfId="15096"/>
    <cellStyle name="금액 6 2 3 2" xfId="27915"/>
    <cellStyle name="금액 6 2 4" xfId="14340"/>
    <cellStyle name="금액 6 2 4 2" xfId="27173"/>
    <cellStyle name="금액 6 2 5" xfId="13606"/>
    <cellStyle name="금액 6 2 5 2" xfId="26474"/>
    <cellStyle name="금액 6 2 6" xfId="15224"/>
    <cellStyle name="금액 6 2 6 2" xfId="28042"/>
    <cellStyle name="금액 6 2 7" xfId="12968"/>
    <cellStyle name="금액 6 2 7 2" xfId="25843"/>
    <cellStyle name="금액 6 2 8" xfId="15620"/>
    <cellStyle name="금액 6 2 8 2" xfId="28429"/>
    <cellStyle name="금액 6 2 9" xfId="17191"/>
    <cellStyle name="금액 6 2 9 2" xfId="29925"/>
    <cellStyle name="금액 7" xfId="10406"/>
    <cellStyle name="금액 7 2" xfId="11292"/>
    <cellStyle name="금액 7 2 10" xfId="14500"/>
    <cellStyle name="금액 7 2 11" xfId="16706"/>
    <cellStyle name="금액 7 2 11 2" xfId="29482"/>
    <cellStyle name="금액 7 2 12" xfId="22949"/>
    <cellStyle name="금액 7 2 12 2" xfId="35383"/>
    <cellStyle name="금액 7 2 13" xfId="21211"/>
    <cellStyle name="금액 7 2 13 2" xfId="33648"/>
    <cellStyle name="금액 7 2 14" xfId="18532"/>
    <cellStyle name="금액 7 2 14 2" xfId="31237"/>
    <cellStyle name="금액 7 2 15" xfId="19204"/>
    <cellStyle name="금액 7 2 15 2" xfId="31859"/>
    <cellStyle name="금액 7 2 16" xfId="18912"/>
    <cellStyle name="금액 7 2 16 2" xfId="31617"/>
    <cellStyle name="금액 7 2 17" xfId="23779"/>
    <cellStyle name="금액 7 2 17 2" xfId="36210"/>
    <cellStyle name="금액 7 2 18" xfId="24342"/>
    <cellStyle name="금액 7 2 18 2" xfId="36773"/>
    <cellStyle name="금액 7 2 19" xfId="20640"/>
    <cellStyle name="금액 7 2 19 2" xfId="33084"/>
    <cellStyle name="금액 7 2 2" xfId="16472"/>
    <cellStyle name="금액 7 2 2 2" xfId="29248"/>
    <cellStyle name="금액 7 2 20" xfId="21137"/>
    <cellStyle name="금액 7 2 20 2" xfId="33574"/>
    <cellStyle name="금액 7 2 21" xfId="24430"/>
    <cellStyle name="금액 7 2 21 2" xfId="36861"/>
    <cellStyle name="금액 7 2 22" xfId="23774"/>
    <cellStyle name="금액 7 2 22 2" xfId="36205"/>
    <cellStyle name="금액 7 2 23" xfId="20641"/>
    <cellStyle name="금액 7 2 23 2" xfId="33085"/>
    <cellStyle name="금액 7 2 24" xfId="25179"/>
    <cellStyle name="금액 7 2 3" xfId="15095"/>
    <cellStyle name="금액 7 2 3 2" xfId="27914"/>
    <cellStyle name="금액 7 2 4" xfId="14142"/>
    <cellStyle name="금액 7 2 4 2" xfId="26990"/>
    <cellStyle name="금액 7 2 5" xfId="15936"/>
    <cellStyle name="금액 7 2 5 2" xfId="28734"/>
    <cellStyle name="금액 7 2 6" xfId="13948"/>
    <cellStyle name="금액 7 2 6 2" xfId="26806"/>
    <cellStyle name="금액 7 2 7" xfId="17099"/>
    <cellStyle name="금액 7 2 7 2" xfId="29835"/>
    <cellStyle name="금액 7 2 8" xfId="16996"/>
    <cellStyle name="금액 7 2 8 2" xfId="29771"/>
    <cellStyle name="금액 7 2 9" xfId="17130"/>
    <cellStyle name="금액 7 2 9 2" xfId="29864"/>
    <cellStyle name="금액 8" xfId="11286"/>
    <cellStyle name="금액 8 10" xfId="16031"/>
    <cellStyle name="금액 8 11" xfId="16417"/>
    <cellStyle name="금액 8 11 2" xfId="29193"/>
    <cellStyle name="금액 8 12" xfId="22943"/>
    <cellStyle name="금액 8 12 2" xfId="35377"/>
    <cellStyle name="금액 8 13" xfId="21217"/>
    <cellStyle name="금액 8 13 2" xfId="33654"/>
    <cellStyle name="금액 8 14" xfId="18527"/>
    <cellStyle name="금액 8 14 2" xfId="31232"/>
    <cellStyle name="금액 8 15" xfId="19201"/>
    <cellStyle name="금액 8 15 2" xfId="31856"/>
    <cellStyle name="금액 8 16" xfId="24069"/>
    <cellStyle name="금액 8 16 2" xfId="36500"/>
    <cellStyle name="금액 8 17" xfId="20533"/>
    <cellStyle name="금액 8 17 2" xfId="32978"/>
    <cellStyle name="금액 8 18" xfId="19250"/>
    <cellStyle name="금액 8 18 2" xfId="31905"/>
    <cellStyle name="금액 8 19" xfId="20288"/>
    <cellStyle name="금액 8 19 2" xfId="32733"/>
    <cellStyle name="금액 8 2" xfId="16466"/>
    <cellStyle name="금액 8 2 2" xfId="29242"/>
    <cellStyle name="금액 8 20" xfId="20528"/>
    <cellStyle name="금액 8 20 2" xfId="32973"/>
    <cellStyle name="금액 8 21" xfId="24124"/>
    <cellStyle name="금액 8 21 2" xfId="36555"/>
    <cellStyle name="금액 8 22" xfId="18832"/>
    <cellStyle name="금액 8 22 2" xfId="31537"/>
    <cellStyle name="금액 8 23" xfId="18423"/>
    <cellStyle name="금액 8 23 2" xfId="31128"/>
    <cellStyle name="금액 8 24" xfId="25173"/>
    <cellStyle name="금액 8 3" xfId="15101"/>
    <cellStyle name="금액 8 3 2" xfId="27920"/>
    <cellStyle name="금액 8 4" xfId="14145"/>
    <cellStyle name="금액 8 4 2" xfId="26993"/>
    <cellStyle name="금액 8 5" xfId="13322"/>
    <cellStyle name="금액 8 5 2" xfId="26190"/>
    <cellStyle name="금액 8 6" xfId="13945"/>
    <cellStyle name="금액 8 6 2" xfId="26803"/>
    <cellStyle name="금액 8 7" xfId="14409"/>
    <cellStyle name="금액 8 7 2" xfId="27242"/>
    <cellStyle name="금액 8 8" xfId="13616"/>
    <cellStyle name="금액 8 8 2" xfId="26484"/>
    <cellStyle name="금액 8 9" xfId="12658"/>
    <cellStyle name="금액 8 9 2" xfId="25537"/>
    <cellStyle name="금액_설계내역서" xfId="10407"/>
    <cellStyle name="기계" xfId="2819"/>
    <cellStyle name="기계 2" xfId="5843"/>
    <cellStyle name="기계_도급양식" xfId="10408"/>
    <cellStyle name="기본숫자" xfId="5844"/>
    <cellStyle name="김해전기" xfId="5845"/>
    <cellStyle name="끼_x0001_?" xfId="2820"/>
    <cellStyle name="나쁨 2" xfId="5846"/>
    <cellStyle name="나쁨 3" xfId="11764"/>
    <cellStyle name="나쁨 4" xfId="11765"/>
    <cellStyle name="나쁨 5" xfId="11766"/>
    <cellStyle name="나쁨 6" xfId="11767"/>
    <cellStyle name="나쁨 7" xfId="11768"/>
    <cellStyle name="나쁨 8" xfId="11769"/>
    <cellStyle name="날짜" xfId="2821"/>
    <cellStyle name="날짜 2" xfId="10409"/>
    <cellStyle name="남기옥" xfId="2822"/>
    <cellStyle name="남기옥 2" xfId="10410"/>
    <cellStyle name="내역" xfId="2823"/>
    <cellStyle name="내역 2" xfId="11770"/>
    <cellStyle name="내역서" xfId="2824"/>
    <cellStyle name="내역서 2" xfId="5847"/>
    <cellStyle name="내역서 2 2" xfId="10411"/>
    <cellStyle name="내역서 3" xfId="10412"/>
    <cellStyle name="내역서 3 2" xfId="10413"/>
    <cellStyle name="내역서 4" xfId="10414"/>
    <cellStyle name="단위" xfId="2825"/>
    <cellStyle name="단위(원)" xfId="2826"/>
    <cellStyle name="단위(원) 2" xfId="5848"/>
    <cellStyle name="달러" xfId="2827"/>
    <cellStyle name="달러 2" xfId="10415"/>
    <cellStyle name="대기" xfId="2828"/>
    <cellStyle name="뒤에 오는 하이퍼링크" xfId="2829"/>
    <cellStyle name="뒤에 오는 하이퍼링크 2" xfId="5849"/>
    <cellStyle name="뒤에 오는 하이퍼링크 2 2" xfId="11293"/>
    <cellStyle name="뒤에 오는 하이퍼링크_0512" xfId="11771"/>
    <cellStyle name="드럼단위" xfId="10416"/>
    <cellStyle name="똿떓죶Ø괻 [0.00]_PRODUCT DETAIL Q1" xfId="10417"/>
    <cellStyle name="똿떓죶Ø괻_PRODUCT DETAIL Q1" xfId="10418"/>
    <cellStyle name="똿뗦먛 - 유형1" xfId="2830"/>
    <cellStyle name="똿뗦먛 - 유형2" xfId="2831"/>
    <cellStyle name="똿뗦먛 - 유형3" xfId="2832"/>
    <cellStyle name="똿뗦먛 - 유형4" xfId="2833"/>
    <cellStyle name="똿뗦먛귟 [0.00]_laroux" xfId="2834"/>
    <cellStyle name="똿뗦먛귟_laroux" xfId="2835"/>
    <cellStyle name="마이너스키" xfId="2836"/>
    <cellStyle name="마이너스키 2" xfId="10419"/>
    <cellStyle name="매" xfId="2837"/>
    <cellStyle name="매_02-포장-1" xfId="2838"/>
    <cellStyle name="매_02-포장-1_Boo2" xfId="2839"/>
    <cellStyle name="매_02-포장-1_Boo2_도로수량양식" xfId="2840"/>
    <cellStyle name="매_02-포장-1_Boo2_도로수량양식_자전거도로구조물공수량" xfId="2841"/>
    <cellStyle name="매_02-포장-1_Boo2_도로수량양식_자전거도로포장수량" xfId="2842"/>
    <cellStyle name="매_02-포장-1_Boo2_수량산출" xfId="2843"/>
    <cellStyle name="매_02-포장-1_Boo2_수량산출_자전거도로구조물공수량" xfId="2844"/>
    <cellStyle name="매_02-포장-1_Boo2_수량산출_자전거도로포장수량" xfId="2845"/>
    <cellStyle name="매_02-포장-1_Boo2_인월중군소하천" xfId="2846"/>
    <cellStyle name="매_02-포장-1_Boo2_인월중군소하천_자전거도로구조물공수량" xfId="2847"/>
    <cellStyle name="매_02-포장-1_Boo2_인월중군소하천_자전거도로포장수량" xfId="2848"/>
    <cellStyle name="매_02-포장-1_Boo2_자전거도로구조물공수량" xfId="2849"/>
    <cellStyle name="매_02-포장-1_Boo2_자전거도로포장수량" xfId="2850"/>
    <cellStyle name="매_02-포장-1_Book2" xfId="2851"/>
    <cellStyle name="매_02-포장-1_Book2_도로수량양식" xfId="2852"/>
    <cellStyle name="매_02-포장-1_Book2_도로수량양식_자전거도로구조물공수량" xfId="2853"/>
    <cellStyle name="매_02-포장-1_Book2_도로수량양식_자전거도로포장수량" xfId="2854"/>
    <cellStyle name="매_02-포장-1_Book2_수량산출" xfId="2855"/>
    <cellStyle name="매_02-포장-1_Book2_수량산출_자전거도로구조물공수량" xfId="2856"/>
    <cellStyle name="매_02-포장-1_Book2_수량산출_자전거도로포장수량" xfId="2857"/>
    <cellStyle name="매_02-포장-1_Book2_인월중군소하천" xfId="2858"/>
    <cellStyle name="매_02-포장-1_Book2_인월중군소하천_자전거도로구조물공수량" xfId="2859"/>
    <cellStyle name="매_02-포장-1_Book2_인월중군소하천_자전거도로포장수량" xfId="2860"/>
    <cellStyle name="매_02-포장-1_Book2_자전거도로구조물공수량" xfId="2861"/>
    <cellStyle name="매_02-포장-1_Book2_자전거도로포장수량" xfId="2862"/>
    <cellStyle name="매_02-포장-1_Book4" xfId="2863"/>
    <cellStyle name="매_02-포장-1_Book4_도로수량양식" xfId="2864"/>
    <cellStyle name="매_02-포장-1_Book4_도로수량양식_자전거도로구조물공수량" xfId="2865"/>
    <cellStyle name="매_02-포장-1_Book4_도로수량양식_자전거도로포장수량" xfId="2866"/>
    <cellStyle name="매_02-포장-1_Book4_수량산출" xfId="2867"/>
    <cellStyle name="매_02-포장-1_Book4_수량산출_자전거도로구조물공수량" xfId="2868"/>
    <cellStyle name="매_02-포장-1_Book4_수량산출_자전거도로포장수량" xfId="2869"/>
    <cellStyle name="매_02-포장-1_Book4_인월중군소하천" xfId="2870"/>
    <cellStyle name="매_02-포장-1_Book4_인월중군소하천_자전거도로구조물공수량" xfId="2871"/>
    <cellStyle name="매_02-포장-1_Book4_인월중군소하천_자전거도로포장수량" xfId="2872"/>
    <cellStyle name="매_02-포장-1_Book4_자전거도로구조물공수량" xfId="2873"/>
    <cellStyle name="매_02-포장-1_Book4_자전거도로포장수량" xfId="2874"/>
    <cellStyle name="매_02-포장-1_수량전체" xfId="2875"/>
    <cellStyle name="매_02-포장-1_수량전체_도로수량양식" xfId="2876"/>
    <cellStyle name="매_02-포장-1_수량전체_도로수량양식_자전거도로구조물공수량" xfId="2877"/>
    <cellStyle name="매_02-포장-1_수량전체_도로수량양식_자전거도로포장수량" xfId="2878"/>
    <cellStyle name="매_02-포장-1_수량전체_수량산출" xfId="2879"/>
    <cellStyle name="매_02-포장-1_수량전체_수량산출_자전거도로구조물공수량" xfId="2880"/>
    <cellStyle name="매_02-포장-1_수량전체_수량산출_자전거도로포장수량" xfId="2881"/>
    <cellStyle name="매_02-포장-1_수량전체_인월중군소하천" xfId="2882"/>
    <cellStyle name="매_02-포장-1_수량전체_인월중군소하천_자전거도로구조물공수량" xfId="2883"/>
    <cellStyle name="매_02-포장-1_수량전체_인월중군소하천_자전거도로포장수량" xfId="2884"/>
    <cellStyle name="매_02-포장-1_수량전체_자전거도로구조물공수량" xfId="2885"/>
    <cellStyle name="매_02-포장-1_수량전체_자전거도로포장수량" xfId="2886"/>
    <cellStyle name="매_Boo2" xfId="2887"/>
    <cellStyle name="매_Boo2_도로수량양식" xfId="2888"/>
    <cellStyle name="매_Boo2_도로수량양식_자전거도로구조물공수량" xfId="2889"/>
    <cellStyle name="매_Boo2_도로수량양식_자전거도로포장수량" xfId="2890"/>
    <cellStyle name="매_Boo2_수량산출" xfId="2891"/>
    <cellStyle name="매_Boo2_수량산출_자전거도로구조물공수량" xfId="2892"/>
    <cellStyle name="매_Boo2_수량산출_자전거도로포장수량" xfId="2893"/>
    <cellStyle name="매_Boo2_인월중군소하천" xfId="2894"/>
    <cellStyle name="매_Boo2_인월중군소하천_자전거도로구조물공수량" xfId="2895"/>
    <cellStyle name="매_Boo2_인월중군소하천_자전거도로포장수량" xfId="2896"/>
    <cellStyle name="매_Boo2_자전거도로구조물공수량" xfId="2897"/>
    <cellStyle name="매_Boo2_자전거도로포장수량" xfId="2898"/>
    <cellStyle name="매_Book2" xfId="2899"/>
    <cellStyle name="매_Book2_도로수량양식" xfId="2900"/>
    <cellStyle name="매_Book2_도로수량양식_자전거도로구조물공수량" xfId="2901"/>
    <cellStyle name="매_Book2_도로수량양식_자전거도로포장수량" xfId="2902"/>
    <cellStyle name="매_Book2_수량산출" xfId="2903"/>
    <cellStyle name="매_Book2_수량산출_자전거도로구조물공수량" xfId="2904"/>
    <cellStyle name="매_Book2_수량산출_자전거도로포장수량" xfId="2905"/>
    <cellStyle name="매_Book2_인월중군소하천" xfId="2906"/>
    <cellStyle name="매_Book2_인월중군소하천_자전거도로구조물공수량" xfId="2907"/>
    <cellStyle name="매_Book2_인월중군소하천_자전거도로포장수량" xfId="2908"/>
    <cellStyle name="매_Book2_자전거도로구조물공수량" xfId="2909"/>
    <cellStyle name="매_Book2_자전거도로포장수량" xfId="2910"/>
    <cellStyle name="매_Book4" xfId="2911"/>
    <cellStyle name="매_Book4_도로수량양식" xfId="2912"/>
    <cellStyle name="매_Book4_도로수량양식_자전거도로구조물공수량" xfId="2913"/>
    <cellStyle name="매_Book4_도로수량양식_자전거도로포장수량" xfId="2914"/>
    <cellStyle name="매_Book4_수량산출" xfId="2915"/>
    <cellStyle name="매_Book4_수량산출_자전거도로구조물공수량" xfId="2916"/>
    <cellStyle name="매_Book4_수량산출_자전거도로포장수량" xfId="2917"/>
    <cellStyle name="매_Book4_인월중군소하천" xfId="2918"/>
    <cellStyle name="매_Book4_인월중군소하천_자전거도로구조물공수량" xfId="2919"/>
    <cellStyle name="매_Book4_인월중군소하천_자전거도로포장수량" xfId="2920"/>
    <cellStyle name="매_Book4_자전거도로구조물공수량" xfId="2921"/>
    <cellStyle name="매_Book4_자전거도로포장수량" xfId="2922"/>
    <cellStyle name="매_수량전체" xfId="2923"/>
    <cellStyle name="매_수량전체_도로수량양식" xfId="2924"/>
    <cellStyle name="매_수량전체_도로수량양식_자전거도로구조물공수량" xfId="2925"/>
    <cellStyle name="매_수량전체_도로수량양식_자전거도로포장수량" xfId="2926"/>
    <cellStyle name="매_수량전체_수량산출" xfId="2927"/>
    <cellStyle name="매_수량전체_수량산출_자전거도로구조물공수량" xfId="2928"/>
    <cellStyle name="매_수량전체_수량산출_자전거도로포장수량" xfId="2929"/>
    <cellStyle name="매_수량전체_인월중군소하천" xfId="2930"/>
    <cellStyle name="매_수량전체_인월중군소하천_자전거도로구조물공수량" xfId="2931"/>
    <cellStyle name="매_수량전체_인월중군소하천_자전거도로포장수량" xfId="2932"/>
    <cellStyle name="매_수량전체_자전거도로구조물공수량" xfId="2933"/>
    <cellStyle name="매_수량전체_자전거도로포장수량" xfId="2934"/>
    <cellStyle name="메모 2" xfId="5851"/>
    <cellStyle name="메모 2 2" xfId="6586"/>
    <cellStyle name="메모 2 2 2" xfId="11399"/>
    <cellStyle name="메모 2 2 2 10" xfId="14869"/>
    <cellStyle name="메모 2 2 2 10 2" xfId="27691"/>
    <cellStyle name="메모 2 2 2 11" xfId="17624"/>
    <cellStyle name="메모 2 2 2 11 2" xfId="30341"/>
    <cellStyle name="메모 2 2 2 12" xfId="23021"/>
    <cellStyle name="메모 2 2 2 12 2" xfId="35454"/>
    <cellStyle name="메모 2 2 2 13" xfId="21121"/>
    <cellStyle name="메모 2 2 2 13 2" xfId="33558"/>
    <cellStyle name="메모 2 2 2 14" xfId="20378"/>
    <cellStyle name="메모 2 2 2 14 2" xfId="32823"/>
    <cellStyle name="메모 2 2 2 15" xfId="20310"/>
    <cellStyle name="메모 2 2 2 15 2" xfId="32755"/>
    <cellStyle name="메모 2 2 2 16" xfId="20782"/>
    <cellStyle name="메모 2 2 2 16 2" xfId="33221"/>
    <cellStyle name="메모 2 2 2 17" xfId="24216"/>
    <cellStyle name="메모 2 2 2 17 2" xfId="36647"/>
    <cellStyle name="메모 2 2 2 18" xfId="18761"/>
    <cellStyle name="메모 2 2 2 18 2" xfId="31466"/>
    <cellStyle name="메모 2 2 2 19" xfId="20960"/>
    <cellStyle name="메모 2 2 2 19 2" xfId="33397"/>
    <cellStyle name="메모 2 2 2 2" xfId="16555"/>
    <cellStyle name="메모 2 2 2 2 2" xfId="29331"/>
    <cellStyle name="메모 2 2 2 20" xfId="22408"/>
    <cellStyle name="메모 2 2 2 20 2" xfId="34842"/>
    <cellStyle name="메모 2 2 2 21" xfId="23186"/>
    <cellStyle name="메모 2 2 2 21 2" xfId="35619"/>
    <cellStyle name="메모 2 2 2 22" xfId="19556"/>
    <cellStyle name="메모 2 2 2 22 2" xfId="32011"/>
    <cellStyle name="메모 2 2 2 23" xfId="22309"/>
    <cellStyle name="메모 2 2 2 23 2" xfId="34743"/>
    <cellStyle name="메모 2 2 2 24" xfId="25234"/>
    <cellStyle name="메모 2 2 2 3" xfId="12640"/>
    <cellStyle name="메모 2 2 2 3 2" xfId="25519"/>
    <cellStyle name="메모 2 2 2 4" xfId="14106"/>
    <cellStyle name="메모 2 2 2 4 2" xfId="26954"/>
    <cellStyle name="메모 2 2 2 5" xfId="12855"/>
    <cellStyle name="메모 2 2 2 5 2" xfId="25731"/>
    <cellStyle name="메모 2 2 2 6" xfId="12875"/>
    <cellStyle name="메모 2 2 2 6 2" xfId="25751"/>
    <cellStyle name="메모 2 2 2 7" xfId="16205"/>
    <cellStyle name="메모 2 2 2 7 2" xfId="28981"/>
    <cellStyle name="메모 2 2 2 8" xfId="15574"/>
    <cellStyle name="메모 2 2 2 8 2" xfId="28383"/>
    <cellStyle name="메모 2 2 2 9" xfId="13782"/>
    <cellStyle name="메모 2 2 2 9 2" xfId="26642"/>
    <cellStyle name="메모 2 3" xfId="11394"/>
    <cellStyle name="메모 2 3 10" xfId="14065"/>
    <cellStyle name="메모 2 3 10 2" xfId="26913"/>
    <cellStyle name="메모 2 3 11" xfId="16566"/>
    <cellStyle name="메모 2 3 11 2" xfId="29342"/>
    <cellStyle name="메모 2 3 12" xfId="23016"/>
    <cellStyle name="메모 2 3 12 2" xfId="35449"/>
    <cellStyle name="메모 2 3 13" xfId="21126"/>
    <cellStyle name="메모 2 3 13 2" xfId="33563"/>
    <cellStyle name="메모 2 3 14" xfId="20131"/>
    <cellStyle name="메모 2 3 14 2" xfId="32577"/>
    <cellStyle name="메모 2 3 15" xfId="20067"/>
    <cellStyle name="메모 2 3 15 2" xfId="32513"/>
    <cellStyle name="메모 2 3 16" xfId="21631"/>
    <cellStyle name="메모 2 3 16 2" xfId="34068"/>
    <cellStyle name="메모 2 3 17" xfId="22349"/>
    <cellStyle name="메모 2 3 17 2" xfId="34783"/>
    <cellStyle name="메모 2 3 18" xfId="23649"/>
    <cellStyle name="메모 2 3 18 2" xfId="36080"/>
    <cellStyle name="메모 2 3 19" xfId="23411"/>
    <cellStyle name="메모 2 3 19 2" xfId="35842"/>
    <cellStyle name="메모 2 3 2" xfId="16550"/>
    <cellStyle name="메모 2 3 2 2" xfId="29326"/>
    <cellStyle name="메모 2 3 20" xfId="20260"/>
    <cellStyle name="메모 2 3 20 2" xfId="32705"/>
    <cellStyle name="메모 2 3 21" xfId="22855"/>
    <cellStyle name="메모 2 3 21 2" xfId="35289"/>
    <cellStyle name="메모 2 3 22" xfId="20513"/>
    <cellStyle name="메모 2 3 22 2" xfId="32958"/>
    <cellStyle name="메모 2 3 23" xfId="24106"/>
    <cellStyle name="메모 2 3 23 2" xfId="36537"/>
    <cellStyle name="메모 2 3 24" xfId="25229"/>
    <cellStyle name="메모 2 3 3" xfId="12635"/>
    <cellStyle name="메모 2 3 3 2" xfId="25514"/>
    <cellStyle name="메모 2 3 4" xfId="14312"/>
    <cellStyle name="메모 2 3 4 2" xfId="27145"/>
    <cellStyle name="메모 2 3 5" xfId="12850"/>
    <cellStyle name="메모 2 3 5 2" xfId="25726"/>
    <cellStyle name="메모 2 3 6" xfId="12870"/>
    <cellStyle name="메모 2 3 6 2" xfId="25746"/>
    <cellStyle name="메모 2 3 7" xfId="12692"/>
    <cellStyle name="메모 2 3 7 2" xfId="25571"/>
    <cellStyle name="메모 2 3 8" xfId="17772"/>
    <cellStyle name="메모 2 3 8 2" xfId="30489"/>
    <cellStyle name="메모 2 3 9" xfId="15688"/>
    <cellStyle name="메모 2 3 9 2" xfId="28488"/>
    <cellStyle name="메모 3" xfId="5850"/>
    <cellStyle name="메모 3 2" xfId="11393"/>
    <cellStyle name="메모 3 2 10" xfId="15638"/>
    <cellStyle name="메모 3 2 10 2" xfId="28445"/>
    <cellStyle name="메모 3 2 11" xfId="18041"/>
    <cellStyle name="메모 3 2 11 2" xfId="30752"/>
    <cellStyle name="메모 3 2 12" xfId="23015"/>
    <cellStyle name="메모 3 2 12 2" xfId="35448"/>
    <cellStyle name="메모 3 2 13" xfId="21127"/>
    <cellStyle name="메모 3 2 13 2" xfId="33564"/>
    <cellStyle name="메모 3 2 14" xfId="20381"/>
    <cellStyle name="메모 3 2 14 2" xfId="32826"/>
    <cellStyle name="메모 3 2 15" xfId="20313"/>
    <cellStyle name="메모 3 2 15 2" xfId="32758"/>
    <cellStyle name="메모 3 2 16" xfId="20779"/>
    <cellStyle name="메모 3 2 16 2" xfId="33218"/>
    <cellStyle name="메모 3 2 17" xfId="22320"/>
    <cellStyle name="메모 3 2 17 2" xfId="34754"/>
    <cellStyle name="메모 3 2 18" xfId="18764"/>
    <cellStyle name="메모 3 2 18 2" xfId="31469"/>
    <cellStyle name="메모 3 2 19" xfId="20520"/>
    <cellStyle name="메모 3 2 19 2" xfId="32965"/>
    <cellStyle name="메모 3 2 2" xfId="16549"/>
    <cellStyle name="메모 3 2 2 2" xfId="29325"/>
    <cellStyle name="메모 3 2 20" xfId="23581"/>
    <cellStyle name="메모 3 2 20 2" xfId="36012"/>
    <cellStyle name="메모 3 2 21" xfId="24025"/>
    <cellStyle name="메모 3 2 21 2" xfId="36456"/>
    <cellStyle name="메모 3 2 22" xfId="18280"/>
    <cellStyle name="메모 3 2 22 2" xfId="30986"/>
    <cellStyle name="메모 3 2 23" xfId="20393"/>
    <cellStyle name="메모 3 2 23 2" xfId="32838"/>
    <cellStyle name="메모 3 2 24" xfId="25228"/>
    <cellStyle name="메모 3 2 3" xfId="12634"/>
    <cellStyle name="메모 3 2 3 2" xfId="25513"/>
    <cellStyle name="메모 3 2 4" xfId="14109"/>
    <cellStyle name="메모 3 2 4 2" xfId="26957"/>
    <cellStyle name="메모 3 2 5" xfId="12849"/>
    <cellStyle name="메모 3 2 5 2" xfId="25725"/>
    <cellStyle name="메모 3 2 6" xfId="12869"/>
    <cellStyle name="메모 3 2 6 2" xfId="25745"/>
    <cellStyle name="메모 3 2 7" xfId="17091"/>
    <cellStyle name="메모 3 2 7 2" xfId="29827"/>
    <cellStyle name="메모 3 2 8" xfId="15571"/>
    <cellStyle name="메모 3 2 8 2" xfId="28380"/>
    <cellStyle name="메모 3 2 9" xfId="15797"/>
    <cellStyle name="메모 3 2 9 2" xfId="28596"/>
    <cellStyle name="메모 4" xfId="11772"/>
    <cellStyle name="메모 4 10" xfId="15818"/>
    <cellStyle name="메모 4 10 2" xfId="28616"/>
    <cellStyle name="메모 4 11" xfId="18124"/>
    <cellStyle name="메모 4 11 2" xfId="30831"/>
    <cellStyle name="메모 4 12" xfId="23178"/>
    <cellStyle name="메모 4 12 2" xfId="35611"/>
    <cellStyle name="메모 4 13" xfId="20982"/>
    <cellStyle name="메모 4 13 2" xfId="33419"/>
    <cellStyle name="메모 4 14" xfId="18717"/>
    <cellStyle name="메모 4 14 2" xfId="31422"/>
    <cellStyle name="메모 4 15" xfId="23154"/>
    <cellStyle name="메모 4 15 2" xfId="35587"/>
    <cellStyle name="메모 4 16" xfId="18706"/>
    <cellStyle name="메모 4 16 2" xfId="31411"/>
    <cellStyle name="메모 4 17" xfId="18325"/>
    <cellStyle name="메모 4 17 2" xfId="31031"/>
    <cellStyle name="메모 4 18" xfId="19276"/>
    <cellStyle name="메모 4 18 2" xfId="31931"/>
    <cellStyle name="메모 4 19" xfId="21326"/>
    <cellStyle name="메모 4 19 2" xfId="33763"/>
    <cellStyle name="메모 4 2" xfId="16759"/>
    <cellStyle name="메모 4 2 2" xfId="29535"/>
    <cellStyle name="메모 4 20" xfId="22457"/>
    <cellStyle name="메모 4 20 2" xfId="34891"/>
    <cellStyle name="메모 4 21" xfId="20966"/>
    <cellStyle name="메모 4 21 2" xfId="33403"/>
    <cellStyle name="메모 4 22" xfId="24837"/>
    <cellStyle name="메모 4 22 2" xfId="37268"/>
    <cellStyle name="메모 4 23" xfId="24884"/>
    <cellStyle name="메모 4 23 2" xfId="37315"/>
    <cellStyle name="메모 4 24" xfId="25242"/>
    <cellStyle name="메모 4 3" xfId="17136"/>
    <cellStyle name="메모 4 3 2" xfId="29870"/>
    <cellStyle name="메모 4 4" xfId="14279"/>
    <cellStyle name="메모 4 4 2" xfId="27113"/>
    <cellStyle name="메모 4 5" xfId="15938"/>
    <cellStyle name="메모 4 5 2" xfId="28736"/>
    <cellStyle name="메모 4 6" xfId="17442"/>
    <cellStyle name="메모 4 6 2" xfId="30164"/>
    <cellStyle name="메모 4 7" xfId="12879"/>
    <cellStyle name="메모 4 7 2" xfId="25755"/>
    <cellStyle name="메모 4 8" xfId="14391"/>
    <cellStyle name="메모 4 8 2" xfId="27224"/>
    <cellStyle name="메모 4 9" xfId="18039"/>
    <cellStyle name="메모 4 9 2" xfId="30750"/>
    <cellStyle name="메모 5" xfId="11773"/>
    <cellStyle name="메모 5 10" xfId="15200"/>
    <cellStyle name="메모 5 10 2" xfId="28018"/>
    <cellStyle name="메모 5 11" xfId="15416"/>
    <cellStyle name="메모 5 11 2" xfId="28230"/>
    <cellStyle name="메모 5 12" xfId="23179"/>
    <cellStyle name="메모 5 12 2" xfId="35612"/>
    <cellStyle name="메모 5 13" xfId="20981"/>
    <cellStyle name="메모 5 13 2" xfId="33418"/>
    <cellStyle name="메모 5 14" xfId="18718"/>
    <cellStyle name="메모 5 14 2" xfId="31423"/>
    <cellStyle name="메모 5 15" xfId="19262"/>
    <cellStyle name="메모 5 15 2" xfId="31917"/>
    <cellStyle name="메모 5 16" xfId="23106"/>
    <cellStyle name="메모 5 16 2" xfId="35539"/>
    <cellStyle name="메모 5 17" xfId="20556"/>
    <cellStyle name="메모 5 17 2" xfId="33001"/>
    <cellStyle name="메모 5 18" xfId="23260"/>
    <cellStyle name="메모 5 18 2" xfId="35692"/>
    <cellStyle name="메모 5 19" xfId="19582"/>
    <cellStyle name="메모 5 19 2" xfId="32037"/>
    <cellStyle name="메모 5 2" xfId="16760"/>
    <cellStyle name="메모 5 2 2" xfId="29536"/>
    <cellStyle name="메모 5 20" xfId="19185"/>
    <cellStyle name="메모 5 20 2" xfId="31840"/>
    <cellStyle name="메모 5 21" xfId="24490"/>
    <cellStyle name="메모 5 21 2" xfId="36921"/>
    <cellStyle name="메모 5 22" xfId="24836"/>
    <cellStyle name="메모 5 22 2" xfId="37267"/>
    <cellStyle name="메모 5 23" xfId="24883"/>
    <cellStyle name="메모 5 23 2" xfId="37314"/>
    <cellStyle name="메모 5 24" xfId="25243"/>
    <cellStyle name="메모 5 3" xfId="17137"/>
    <cellStyle name="메모 5 3 2" xfId="29871"/>
    <cellStyle name="메모 5 4" xfId="14069"/>
    <cellStyle name="메모 5 4 2" xfId="26917"/>
    <cellStyle name="메모 5 5" xfId="13618"/>
    <cellStyle name="메모 5 5 2" xfId="26486"/>
    <cellStyle name="메모 5 6" xfId="17441"/>
    <cellStyle name="메모 5 6 2" xfId="30163"/>
    <cellStyle name="메모 5 7" xfId="15587"/>
    <cellStyle name="메모 5 7 2" xfId="28396"/>
    <cellStyle name="메모 5 8" xfId="14081"/>
    <cellStyle name="메모 5 8 2" xfId="26929"/>
    <cellStyle name="메모 5 9" xfId="15760"/>
    <cellStyle name="메모 5 9 2" xfId="28559"/>
    <cellStyle name="메모 6" xfId="11774"/>
    <cellStyle name="메모 6 10" xfId="15819"/>
    <cellStyle name="메모 6 10 2" xfId="28617"/>
    <cellStyle name="메모 6 11" xfId="18123"/>
    <cellStyle name="메모 6 11 2" xfId="30830"/>
    <cellStyle name="메모 6 12" xfId="23180"/>
    <cellStyle name="메모 6 12 2" xfId="35613"/>
    <cellStyle name="메모 6 13" xfId="20980"/>
    <cellStyle name="메모 6 13 2" xfId="33417"/>
    <cellStyle name="메모 6 14" xfId="18719"/>
    <cellStyle name="메모 6 14 2" xfId="31424"/>
    <cellStyle name="메모 6 15" xfId="23155"/>
    <cellStyle name="메모 6 15 2" xfId="35588"/>
    <cellStyle name="메모 6 16" xfId="18707"/>
    <cellStyle name="메모 6 16 2" xfId="31412"/>
    <cellStyle name="메모 6 17" xfId="23061"/>
    <cellStyle name="메모 6 17 2" xfId="35494"/>
    <cellStyle name="메모 6 18" xfId="19554"/>
    <cellStyle name="메모 6 18 2" xfId="32009"/>
    <cellStyle name="메모 6 19" xfId="24394"/>
    <cellStyle name="메모 6 19 2" xfId="36825"/>
    <cellStyle name="메모 6 2" xfId="16761"/>
    <cellStyle name="메모 6 2 2" xfId="29537"/>
    <cellStyle name="메모 6 20" xfId="22050"/>
    <cellStyle name="메모 6 20 2" xfId="34487"/>
    <cellStyle name="메모 6 21" xfId="23625"/>
    <cellStyle name="메모 6 21 2" xfId="36056"/>
    <cellStyle name="메모 6 22" xfId="24835"/>
    <cellStyle name="메모 6 22 2" xfId="37266"/>
    <cellStyle name="메모 6 23" xfId="24882"/>
    <cellStyle name="메모 6 23 2" xfId="37313"/>
    <cellStyle name="메모 6 24" xfId="25244"/>
    <cellStyle name="메모 6 3" xfId="17138"/>
    <cellStyle name="메모 6 3 2" xfId="29872"/>
    <cellStyle name="메모 6 4" xfId="14278"/>
    <cellStyle name="메모 6 4 2" xfId="27112"/>
    <cellStyle name="메모 6 5" xfId="15939"/>
    <cellStyle name="메모 6 5 2" xfId="28737"/>
    <cellStyle name="메모 6 6" xfId="17440"/>
    <cellStyle name="메모 6 6 2" xfId="30162"/>
    <cellStyle name="메모 6 7" xfId="17096"/>
    <cellStyle name="메모 6 7 2" xfId="29832"/>
    <cellStyle name="메모 6 8" xfId="14009"/>
    <cellStyle name="메모 6 8 2" xfId="26860"/>
    <cellStyle name="메모 6 9" xfId="13081"/>
    <cellStyle name="메모 6 9 2" xfId="25950"/>
    <cellStyle name="메모 7" xfId="11775"/>
    <cellStyle name="메모 7 10" xfId="18023"/>
    <cellStyle name="메모 7 10 2" xfId="30735"/>
    <cellStyle name="메모 7 11" xfId="18122"/>
    <cellStyle name="메모 7 11 2" xfId="30829"/>
    <cellStyle name="메모 7 12" xfId="23181"/>
    <cellStyle name="메모 7 12 2" xfId="35614"/>
    <cellStyle name="메모 7 13" xfId="20979"/>
    <cellStyle name="메모 7 13 2" xfId="33416"/>
    <cellStyle name="메모 7 14" xfId="18720"/>
    <cellStyle name="메모 7 14 2" xfId="31425"/>
    <cellStyle name="메모 7 15" xfId="19263"/>
    <cellStyle name="메모 7 15 2" xfId="31918"/>
    <cellStyle name="메모 7 16" xfId="23202"/>
    <cellStyle name="메모 7 16 2" xfId="35635"/>
    <cellStyle name="메모 7 17" xfId="20555"/>
    <cellStyle name="메모 7 17 2" xfId="33000"/>
    <cellStyle name="메모 7 18" xfId="20655"/>
    <cellStyle name="메모 7 18 2" xfId="33099"/>
    <cellStyle name="메모 7 19" xfId="21500"/>
    <cellStyle name="메모 7 19 2" xfId="33937"/>
    <cellStyle name="메모 7 2" xfId="16762"/>
    <cellStyle name="메모 7 2 2" xfId="29538"/>
    <cellStyle name="메모 7 20" xfId="21832"/>
    <cellStyle name="메모 7 20 2" xfId="34269"/>
    <cellStyle name="메모 7 21" xfId="24489"/>
    <cellStyle name="메모 7 21 2" xfId="36920"/>
    <cellStyle name="메모 7 22" xfId="24834"/>
    <cellStyle name="메모 7 22 2" xfId="37265"/>
    <cellStyle name="메모 7 23" xfId="24881"/>
    <cellStyle name="메모 7 23 2" xfId="37312"/>
    <cellStyle name="메모 7 24" xfId="25245"/>
    <cellStyle name="메모 7 3" xfId="17139"/>
    <cellStyle name="메모 7 3 2" xfId="29873"/>
    <cellStyle name="메모 7 4" xfId="14068"/>
    <cellStyle name="메모 7 4 2" xfId="26916"/>
    <cellStyle name="메모 7 5" xfId="13619"/>
    <cellStyle name="메모 7 5 2" xfId="26487"/>
    <cellStyle name="메모 7 6" xfId="17439"/>
    <cellStyle name="메모 7 6 2" xfId="30161"/>
    <cellStyle name="메모 7 7" xfId="13781"/>
    <cellStyle name="메모 7 7 2" xfId="26641"/>
    <cellStyle name="메모 7 8" xfId="14193"/>
    <cellStyle name="메모 7 8 2" xfId="27041"/>
    <cellStyle name="메모 7 9" xfId="12662"/>
    <cellStyle name="메모 7 9 2" xfId="25541"/>
    <cellStyle name="메모 8" xfId="11776"/>
    <cellStyle name="메모 8 10" xfId="13674"/>
    <cellStyle name="메모 8 10 2" xfId="26540"/>
    <cellStyle name="메모 8 11" xfId="18121"/>
    <cellStyle name="메모 8 11 2" xfId="30828"/>
    <cellStyle name="메모 8 12" xfId="23182"/>
    <cellStyle name="메모 8 12 2" xfId="35615"/>
    <cellStyle name="메모 8 13" xfId="20978"/>
    <cellStyle name="메모 8 13 2" xfId="33415"/>
    <cellStyle name="메모 8 14" xfId="18721"/>
    <cellStyle name="메모 8 14 2" xfId="31426"/>
    <cellStyle name="메모 8 15" xfId="23156"/>
    <cellStyle name="메모 8 15 2" xfId="35589"/>
    <cellStyle name="메모 8 16" xfId="18708"/>
    <cellStyle name="메모 8 16 2" xfId="31413"/>
    <cellStyle name="메모 8 17" xfId="18324"/>
    <cellStyle name="메모 8 17 2" xfId="31030"/>
    <cellStyle name="메모 8 18" xfId="20688"/>
    <cellStyle name="메모 8 18 2" xfId="33132"/>
    <cellStyle name="메모 8 19" xfId="24395"/>
    <cellStyle name="메모 8 19 2" xfId="36826"/>
    <cellStyle name="메모 8 2" xfId="16763"/>
    <cellStyle name="메모 8 2 2" xfId="29539"/>
    <cellStyle name="메모 8 20" xfId="24384"/>
    <cellStyle name="메모 8 20 2" xfId="36815"/>
    <cellStyle name="메모 8 21" xfId="20546"/>
    <cellStyle name="메모 8 21 2" xfId="32991"/>
    <cellStyle name="메모 8 22" xfId="24833"/>
    <cellStyle name="메모 8 22 2" xfId="37264"/>
    <cellStyle name="메모 8 23" xfId="24880"/>
    <cellStyle name="메모 8 23 2" xfId="37311"/>
    <cellStyle name="메모 8 24" xfId="25246"/>
    <cellStyle name="메모 8 3" xfId="17140"/>
    <cellStyle name="메모 8 3 2" xfId="29874"/>
    <cellStyle name="메모 8 4" xfId="14277"/>
    <cellStyle name="메모 8 4 2" xfId="27111"/>
    <cellStyle name="메모 8 5" xfId="15940"/>
    <cellStyle name="메모 8 5 2" xfId="28738"/>
    <cellStyle name="메모 8 6" xfId="17438"/>
    <cellStyle name="메모 8 6 2" xfId="30160"/>
    <cellStyle name="메모 8 7" xfId="15586"/>
    <cellStyle name="메모 8 7 2" xfId="28395"/>
    <cellStyle name="메모 8 8" xfId="14215"/>
    <cellStyle name="메모 8 8 2" xfId="27061"/>
    <cellStyle name="메모 8 9" xfId="13084"/>
    <cellStyle name="메모 8 9 2" xfId="25953"/>
    <cellStyle name="묮뎋 [0.00]_PRODUCT DETAIL Q1" xfId="10420"/>
    <cellStyle name="묮뎋_PRODUCT DETAIL Q1" xfId="10421"/>
    <cellStyle name="믅됞 [ - 유형5" xfId="2935"/>
    <cellStyle name="믅됞 [ - 유형6" xfId="2936"/>
    <cellStyle name="믅됞 [ - 유형7" xfId="2937"/>
    <cellStyle name="믅됞 [0.00]_laroux" xfId="2938"/>
    <cellStyle name="믅됞_laroux" xfId="2939"/>
    <cellStyle name="未定義" xfId="10422"/>
    <cellStyle name="바깥" xfId="2940"/>
    <cellStyle name="바깥 2" xfId="10927"/>
    <cellStyle name="바깥 2 10" xfId="17414"/>
    <cellStyle name="바깥 2 11" xfId="12912"/>
    <cellStyle name="바깥 2 11 2" xfId="25788"/>
    <cellStyle name="바깥 2 12" xfId="22653"/>
    <cellStyle name="바깥 2 12 2" xfId="35087"/>
    <cellStyle name="바깥 2 13" xfId="21510"/>
    <cellStyle name="바깥 2 13 2" xfId="33947"/>
    <cellStyle name="바깥 2 14" xfId="18354"/>
    <cellStyle name="바깥 2 14 2" xfId="31060"/>
    <cellStyle name="바깥 2 15" xfId="22232"/>
    <cellStyle name="바깥 2 15 2" xfId="34667"/>
    <cellStyle name="바깥 2 16" xfId="22141"/>
    <cellStyle name="바깥 2 16 2" xfId="34577"/>
    <cellStyle name="바깥 2 17" xfId="20297"/>
    <cellStyle name="바깥 2 17 2" xfId="32742"/>
    <cellStyle name="바깥 2 18" xfId="20560"/>
    <cellStyle name="바깥 2 18 2" xfId="33005"/>
    <cellStyle name="바깥 2 19" xfId="23225"/>
    <cellStyle name="바깥 2 19 2" xfId="35658"/>
    <cellStyle name="바깥 2 2" xfId="16193"/>
    <cellStyle name="바깥 2 2 2" xfId="28969"/>
    <cellStyle name="바깥 2 20" xfId="23532"/>
    <cellStyle name="바깥 2 20 2" xfId="35963"/>
    <cellStyle name="바깥 2 21" xfId="24459"/>
    <cellStyle name="바깥 2 21 2" xfId="36890"/>
    <cellStyle name="바깥 2 22" xfId="23765"/>
    <cellStyle name="바깥 2 22 2" xfId="36196"/>
    <cellStyle name="바깥 2 23" xfId="21325"/>
    <cellStyle name="바깥 2 23 2" xfId="33762"/>
    <cellStyle name="바깥 2 24" xfId="25110"/>
    <cellStyle name="바깥 2 3" xfId="15260"/>
    <cellStyle name="바깥 2 3 2" xfId="28077"/>
    <cellStyle name="바깥 2 4" xfId="15476"/>
    <cellStyle name="바깥 2 4 2" xfId="28285"/>
    <cellStyle name="바깥 2 5" xfId="12808"/>
    <cellStyle name="바깥 2 5 2" xfId="25684"/>
    <cellStyle name="바깥 2 6" xfId="17325"/>
    <cellStyle name="바깥 2 6 2" xfId="30054"/>
    <cellStyle name="바깥 2 7" xfId="17111"/>
    <cellStyle name="바깥 2 7 2" xfId="29846"/>
    <cellStyle name="바깥 2 8" xfId="16744"/>
    <cellStyle name="바깥 2 8 2" xfId="29520"/>
    <cellStyle name="바깥 2 9" xfId="15699"/>
    <cellStyle name="바깥 2 9 2" xfId="28499"/>
    <cellStyle name="배분" xfId="2941"/>
    <cellStyle name="배분 2" xfId="10423"/>
    <cellStyle name="배분 2 2" xfId="11295"/>
    <cellStyle name="배분 2 2 10" xfId="16180"/>
    <cellStyle name="배분 2 2 11" xfId="14045"/>
    <cellStyle name="배분 2 2 11 2" xfId="26894"/>
    <cellStyle name="배분 2 2 12" xfId="22951"/>
    <cellStyle name="배분 2 2 12 2" xfId="35385"/>
    <cellStyle name="배분 2 2 13" xfId="21209"/>
    <cellStyle name="배분 2 2 13 2" xfId="33646"/>
    <cellStyle name="배분 2 2 14" xfId="18535"/>
    <cellStyle name="배분 2 2 14 2" xfId="31240"/>
    <cellStyle name="배분 2 2 15" xfId="22383"/>
    <cellStyle name="배분 2 2 15 2" xfId="34817"/>
    <cellStyle name="배분 2 2 16" xfId="21554"/>
    <cellStyle name="배분 2 2 16 2" xfId="33991"/>
    <cellStyle name="배분 2 2 17" xfId="24144"/>
    <cellStyle name="배분 2 2 17 2" xfId="36575"/>
    <cellStyle name="배분 2 2 18" xfId="19698"/>
    <cellStyle name="배분 2 2 18 2" xfId="32152"/>
    <cellStyle name="배분 2 2 19" xfId="24223"/>
    <cellStyle name="배분 2 2 19 2" xfId="36654"/>
    <cellStyle name="배분 2 2 2" xfId="16474"/>
    <cellStyle name="배분 2 2 2 2" xfId="29250"/>
    <cellStyle name="배분 2 2 20" xfId="20489"/>
    <cellStyle name="배분 2 2 20 2" xfId="32934"/>
    <cellStyle name="배분 2 2 21" xfId="24031"/>
    <cellStyle name="배분 2 2 21 2" xfId="36462"/>
    <cellStyle name="배분 2 2 22" xfId="18831"/>
    <cellStyle name="배분 2 2 22 2" xfId="31536"/>
    <cellStyle name="배분 2 2 23" xfId="20096"/>
    <cellStyle name="배분 2 2 23 2" xfId="32542"/>
    <cellStyle name="배분 2 2 24" xfId="25181"/>
    <cellStyle name="배분 2 2 3" xfId="16579"/>
    <cellStyle name="배분 2 2 3 2" xfId="29355"/>
    <cellStyle name="배분 2 2 4" xfId="14339"/>
    <cellStyle name="배분 2 2 4 2" xfId="27172"/>
    <cellStyle name="배분 2 2 5" xfId="16749"/>
    <cellStyle name="배분 2 2 5 2" xfId="29525"/>
    <cellStyle name="배분 2 2 6" xfId="12732"/>
    <cellStyle name="배분 2 2 6 2" xfId="25609"/>
    <cellStyle name="배분 2 2 7" xfId="12966"/>
    <cellStyle name="배분 2 2 7 2" xfId="25841"/>
    <cellStyle name="배분 2 2 8" xfId="14854"/>
    <cellStyle name="배분 2 2 8 2" xfId="27677"/>
    <cellStyle name="배분 2 2 9" xfId="15296"/>
    <cellStyle name="배분 2 2 9 2" xfId="28113"/>
    <cellStyle name="배분 3" xfId="10424"/>
    <cellStyle name="배분 3 2" xfId="11296"/>
    <cellStyle name="배분 3 2 10" xfId="16171"/>
    <cellStyle name="배분 3 2 11" xfId="16705"/>
    <cellStyle name="배분 3 2 11 2" xfId="29481"/>
    <cellStyle name="배분 3 2 12" xfId="22952"/>
    <cellStyle name="배분 3 2 12 2" xfId="35386"/>
    <cellStyle name="배분 3 2 13" xfId="21208"/>
    <cellStyle name="배분 3 2 13 2" xfId="33645"/>
    <cellStyle name="배분 3 2 14" xfId="18536"/>
    <cellStyle name="배분 3 2 14 2" xfId="31241"/>
    <cellStyle name="배분 3 2 15" xfId="19206"/>
    <cellStyle name="배분 3 2 15 2" xfId="31861"/>
    <cellStyle name="배분 3 2 16" xfId="18914"/>
    <cellStyle name="배분 3 2 16 2" xfId="31619"/>
    <cellStyle name="배분 3 2 17" xfId="24143"/>
    <cellStyle name="배분 3 2 17 2" xfId="36574"/>
    <cellStyle name="배분 3 2 18" xfId="18443"/>
    <cellStyle name="배분 3 2 18 2" xfId="31148"/>
    <cellStyle name="배분 3 2 19" xfId="19176"/>
    <cellStyle name="배분 3 2 19 2" xfId="31831"/>
    <cellStyle name="배분 3 2 2" xfId="16475"/>
    <cellStyle name="배분 3 2 2 2" xfId="29251"/>
    <cellStyle name="배분 3 2 20" xfId="19520"/>
    <cellStyle name="배분 3 2 20 2" xfId="31975"/>
    <cellStyle name="배분 3 2 21" xfId="24428"/>
    <cellStyle name="배분 3 2 21 2" xfId="36859"/>
    <cellStyle name="배분 3 2 22" xfId="21323"/>
    <cellStyle name="배분 3 2 22 2" xfId="33760"/>
    <cellStyle name="배분 3 2 23" xfId="24214"/>
    <cellStyle name="배분 3 2 23 2" xfId="36645"/>
    <cellStyle name="배분 3 2 24" xfId="25182"/>
    <cellStyle name="배분 3 2 3" xfId="15093"/>
    <cellStyle name="배분 3 2 3 2" xfId="27912"/>
    <cellStyle name="배분 3 2 4" xfId="14140"/>
    <cellStyle name="배분 3 2 4 2" xfId="26988"/>
    <cellStyle name="배분 3 2 5" xfId="17294"/>
    <cellStyle name="배분 3 2 5 2" xfId="30023"/>
    <cellStyle name="배분 3 2 6" xfId="13949"/>
    <cellStyle name="배분 3 2 6 2" xfId="26807"/>
    <cellStyle name="배분 3 2 7" xfId="12446"/>
    <cellStyle name="배분 3 2 7 2" xfId="25326"/>
    <cellStyle name="배분 3 2 8" xfId="16997"/>
    <cellStyle name="배분 3 2 8 2" xfId="29772"/>
    <cellStyle name="배분 3 2 9" xfId="17934"/>
    <cellStyle name="배분 3 2 9 2" xfId="30646"/>
    <cellStyle name="배분 4" xfId="10425"/>
    <cellStyle name="배분 4 2" xfId="11297"/>
    <cellStyle name="배분 4 2 10" xfId="17417"/>
    <cellStyle name="배분 4 2 11" xfId="14259"/>
    <cellStyle name="배분 4 2 11 2" xfId="27095"/>
    <cellStyle name="배분 4 2 12" xfId="22953"/>
    <cellStyle name="배분 4 2 12 2" xfId="35387"/>
    <cellStyle name="배분 4 2 13" xfId="21207"/>
    <cellStyle name="배분 4 2 13 2" xfId="33644"/>
    <cellStyle name="배분 4 2 14" xfId="18537"/>
    <cellStyle name="배분 4 2 14 2" xfId="31242"/>
    <cellStyle name="배분 4 2 15" xfId="22384"/>
    <cellStyle name="배분 4 2 15 2" xfId="34818"/>
    <cellStyle name="배분 4 2 16" xfId="18316"/>
    <cellStyle name="배분 4 2 16 2" xfId="31022"/>
    <cellStyle name="배분 4 2 17" xfId="24142"/>
    <cellStyle name="배분 4 2 17 2" xfId="36573"/>
    <cellStyle name="배분 4 2 18" xfId="19697"/>
    <cellStyle name="배분 4 2 18 2" xfId="32151"/>
    <cellStyle name="배분 4 2 19" xfId="24222"/>
    <cellStyle name="배분 4 2 19 2" xfId="36653"/>
    <cellStyle name="배분 4 2 2" xfId="16476"/>
    <cellStyle name="배분 4 2 2 2" xfId="29252"/>
    <cellStyle name="배분 4 2 20" xfId="21074"/>
    <cellStyle name="배분 4 2 20 2" xfId="33511"/>
    <cellStyle name="배분 4 2 21" xfId="19047"/>
    <cellStyle name="배분 4 2 21 2" xfId="31752"/>
    <cellStyle name="배분 4 2 22" xfId="24199"/>
    <cellStyle name="배분 4 2 22 2" xfId="36630"/>
    <cellStyle name="배분 4 2 23" xfId="19599"/>
    <cellStyle name="배분 4 2 23 2" xfId="32054"/>
    <cellStyle name="배분 4 2 24" xfId="25183"/>
    <cellStyle name="배분 4 2 3" xfId="15092"/>
    <cellStyle name="배분 4 2 3 2" xfId="27911"/>
    <cellStyle name="배분 4 2 4" xfId="14338"/>
    <cellStyle name="배분 4 2 4 2" xfId="27171"/>
    <cellStyle name="배분 4 2 5" xfId="17293"/>
    <cellStyle name="배분 4 2 5 2" xfId="30022"/>
    <cellStyle name="배분 4 2 6" xfId="14748"/>
    <cellStyle name="배분 4 2 6 2" xfId="27573"/>
    <cellStyle name="배분 4 2 7" xfId="12965"/>
    <cellStyle name="배분 4 2 7 2" xfId="25840"/>
    <cellStyle name="배분 4 2 8" xfId="15989"/>
    <cellStyle name="배분 4 2 8 2" xfId="28787"/>
    <cellStyle name="배분 4 2 9" xfId="12685"/>
    <cellStyle name="배분 4 2 9 2" xfId="25564"/>
    <cellStyle name="배분 5" xfId="10426"/>
    <cellStyle name="배분 5 2" xfId="11298"/>
    <cellStyle name="배분 5 2 10" xfId="16034"/>
    <cellStyle name="배분 5 2 11" xfId="14608"/>
    <cellStyle name="배분 5 2 11 2" xfId="27434"/>
    <cellStyle name="배분 5 2 12" xfId="22954"/>
    <cellStyle name="배분 5 2 12 2" xfId="35388"/>
    <cellStyle name="배분 5 2 13" xfId="21206"/>
    <cellStyle name="배분 5 2 13 2" xfId="33643"/>
    <cellStyle name="배분 5 2 14" xfId="18538"/>
    <cellStyle name="배분 5 2 14 2" xfId="31243"/>
    <cellStyle name="배분 5 2 15" xfId="19207"/>
    <cellStyle name="배분 5 2 15 2" xfId="31862"/>
    <cellStyle name="배분 5 2 16" xfId="18915"/>
    <cellStyle name="배분 5 2 16 2" xfId="31620"/>
    <cellStyle name="배분 5 2 17" xfId="24141"/>
    <cellStyle name="배분 5 2 17 2" xfId="36572"/>
    <cellStyle name="배분 5 2 18" xfId="23263"/>
    <cellStyle name="배분 5 2 18 2" xfId="35695"/>
    <cellStyle name="배분 5 2 19" xfId="22053"/>
    <cellStyle name="배분 5 2 19 2" xfId="34490"/>
    <cellStyle name="배분 5 2 2" xfId="16477"/>
    <cellStyle name="배분 5 2 2 2" xfId="29253"/>
    <cellStyle name="배분 5 2 20" xfId="20351"/>
    <cellStyle name="배분 5 2 20 2" xfId="32796"/>
    <cellStyle name="배분 5 2 21" xfId="24427"/>
    <cellStyle name="배분 5 2 21 2" xfId="36858"/>
    <cellStyle name="배분 5 2 22" xfId="21722"/>
    <cellStyle name="배분 5 2 22 2" xfId="34159"/>
    <cellStyle name="배분 5 2 23" xfId="19258"/>
    <cellStyle name="배분 5 2 23 2" xfId="31913"/>
    <cellStyle name="배분 5 2 24" xfId="25184"/>
    <cellStyle name="배분 5 2 3" xfId="15091"/>
    <cellStyle name="배분 5 2 3 2" xfId="27910"/>
    <cellStyle name="배분 5 2 4" xfId="14139"/>
    <cellStyle name="배분 5 2 4 2" xfId="26987"/>
    <cellStyle name="배분 5 2 5" xfId="17292"/>
    <cellStyle name="배분 5 2 5 2" xfId="30021"/>
    <cellStyle name="배분 5 2 6" xfId="12563"/>
    <cellStyle name="배분 5 2 6 2" xfId="25443"/>
    <cellStyle name="배분 5 2 7" xfId="12697"/>
    <cellStyle name="배분 5 2 7 2" xfId="25576"/>
    <cellStyle name="배분 5 2 8" xfId="12789"/>
    <cellStyle name="배분 5 2 8 2" xfId="25665"/>
    <cellStyle name="배분 5 2 9" xfId="14034"/>
    <cellStyle name="배분 5 2 9 2" xfId="26883"/>
    <cellStyle name="배분 6" xfId="10427"/>
    <cellStyle name="배분 6 2" xfId="11299"/>
    <cellStyle name="배분 6 2 10" xfId="14212"/>
    <cellStyle name="배분 6 2 11" xfId="14044"/>
    <cellStyle name="배분 6 2 11 2" xfId="26893"/>
    <cellStyle name="배분 6 2 12" xfId="22955"/>
    <cellStyle name="배분 6 2 12 2" xfId="35389"/>
    <cellStyle name="배분 6 2 13" xfId="21205"/>
    <cellStyle name="배분 6 2 13 2" xfId="33642"/>
    <cellStyle name="배분 6 2 14" xfId="18539"/>
    <cellStyle name="배분 6 2 14 2" xfId="31244"/>
    <cellStyle name="배분 6 2 15" xfId="22385"/>
    <cellStyle name="배분 6 2 15 2" xfId="34819"/>
    <cellStyle name="배분 6 2 16" xfId="18317"/>
    <cellStyle name="배분 6 2 16 2" xfId="31023"/>
    <cellStyle name="배분 6 2 17" xfId="24140"/>
    <cellStyle name="배분 6 2 17 2" xfId="36571"/>
    <cellStyle name="배분 6 2 18" xfId="19696"/>
    <cellStyle name="배분 6 2 18 2" xfId="32150"/>
    <cellStyle name="배분 6 2 19" xfId="24221"/>
    <cellStyle name="배분 6 2 19 2" xfId="36652"/>
    <cellStyle name="배분 6 2 2" xfId="16478"/>
    <cellStyle name="배분 6 2 2 2" xfId="29254"/>
    <cellStyle name="배분 6 2 20" xfId="22236"/>
    <cellStyle name="배분 6 2 20 2" xfId="34671"/>
    <cellStyle name="배분 6 2 21" xfId="24030"/>
    <cellStyle name="배분 6 2 21 2" xfId="36461"/>
    <cellStyle name="배분 6 2 22" xfId="18830"/>
    <cellStyle name="배분 6 2 22 2" xfId="31535"/>
    <cellStyle name="배분 6 2 23" xfId="20348"/>
    <cellStyle name="배분 6 2 23 2" xfId="32793"/>
    <cellStyle name="배분 6 2 24" xfId="25185"/>
    <cellStyle name="배분 6 2 3" xfId="16578"/>
    <cellStyle name="배분 6 2 3 2" xfId="29354"/>
    <cellStyle name="배분 6 2 4" xfId="14337"/>
    <cellStyle name="배분 6 2 4 2" xfId="27170"/>
    <cellStyle name="배분 6 2 5" xfId="17291"/>
    <cellStyle name="배분 6 2 5 2" xfId="30020"/>
    <cellStyle name="배분 6 2 6" xfId="15221"/>
    <cellStyle name="배분 6 2 6 2" xfId="28039"/>
    <cellStyle name="배분 6 2 7" xfId="12964"/>
    <cellStyle name="배분 6 2 7 2" xfId="25839"/>
    <cellStyle name="배분 6 2 8" xfId="12935"/>
    <cellStyle name="배분 6 2 8 2" xfId="25811"/>
    <cellStyle name="배분 6 2 9" xfId="16886"/>
    <cellStyle name="배분 6 2 9 2" xfId="29661"/>
    <cellStyle name="배분 7" xfId="11294"/>
    <cellStyle name="배분 7 10" xfId="16033"/>
    <cellStyle name="배분 7 11" xfId="14605"/>
    <cellStyle name="배분 7 11 2" xfId="27431"/>
    <cellStyle name="배분 7 12" xfId="22950"/>
    <cellStyle name="배분 7 12 2" xfId="35384"/>
    <cellStyle name="배분 7 13" xfId="21210"/>
    <cellStyle name="배분 7 13 2" xfId="33647"/>
    <cellStyle name="배분 7 14" xfId="18534"/>
    <cellStyle name="배분 7 14 2" xfId="31239"/>
    <cellStyle name="배분 7 15" xfId="19205"/>
    <cellStyle name="배분 7 15 2" xfId="31860"/>
    <cellStyle name="배분 7 16" xfId="18913"/>
    <cellStyle name="배분 7 16 2" xfId="31618"/>
    <cellStyle name="배분 7 17" xfId="23778"/>
    <cellStyle name="배분 7 17 2" xfId="36209"/>
    <cellStyle name="배분 7 18" xfId="18452"/>
    <cellStyle name="배분 7 18 2" xfId="31157"/>
    <cellStyle name="배분 7 19" xfId="22052"/>
    <cellStyle name="배분 7 19 2" xfId="34489"/>
    <cellStyle name="배분 7 2" xfId="16473"/>
    <cellStyle name="배분 7 2 2" xfId="29249"/>
    <cellStyle name="배분 7 20" xfId="23142"/>
    <cellStyle name="배분 7 20 2" xfId="35575"/>
    <cellStyle name="배분 7 21" xfId="24429"/>
    <cellStyle name="배분 7 21 2" xfId="36860"/>
    <cellStyle name="배분 7 22" xfId="21723"/>
    <cellStyle name="배분 7 22 2" xfId="34160"/>
    <cellStyle name="배분 7 23" xfId="21636"/>
    <cellStyle name="배분 7 23 2" xfId="34073"/>
    <cellStyle name="배분 7 24" xfId="25180"/>
    <cellStyle name="배분 7 3" xfId="15094"/>
    <cellStyle name="배분 7 3 2" xfId="27913"/>
    <cellStyle name="배분 7 4" xfId="14141"/>
    <cellStyle name="배분 7 4 2" xfId="26989"/>
    <cellStyle name="배분 7 5" xfId="16710"/>
    <cellStyle name="배분 7 5 2" xfId="29486"/>
    <cellStyle name="배분 7 6" xfId="14669"/>
    <cellStyle name="배분 7 6 2" xfId="27495"/>
    <cellStyle name="배분 7 7" xfId="14407"/>
    <cellStyle name="배분 7 7 2" xfId="27240"/>
    <cellStyle name="배분 7 8" xfId="13083"/>
    <cellStyle name="배분 7 8 2" xfId="25952"/>
    <cellStyle name="배분 7 9" xfId="17935"/>
    <cellStyle name="배분 7 9 2" xfId="30647"/>
    <cellStyle name="백" xfId="2942"/>
    <cellStyle name="백 " xfId="11777"/>
    <cellStyle name="백 2" xfId="10428"/>
    <cellStyle name="백_00년상반기현황분석(000512)-A.xls Chart 156" xfId="2943"/>
    <cellStyle name="백_00년상반기현황분석(000512)-A.xls Chart 156_Book1" xfId="2944"/>
    <cellStyle name="백_00년상반기현황분석(000512)-A.xls Chart 156_Book1_다대포 해수욕장-내역서" xfId="2945"/>
    <cellStyle name="백_00년상반기현황분석(000512)-A.xls Chart 156_Book1_조형물 내역서(원본)" xfId="2946"/>
    <cellStyle name="백_00년상반기현황분석(000512)-A.xls Chart 156_다대포 해수욕장-내역서" xfId="2947"/>
    <cellStyle name="백_00년상반기현황분석(000512)-A.xls Chart 156_사장님IQS개선회의(조립생기팀0816)" xfId="2948"/>
    <cellStyle name="백_00년상반기현황분석(000512)-A.xls Chart 156_사장님IQS개선회의(조립생기팀0816)_Book1" xfId="2949"/>
    <cellStyle name="백_00년상반기현황분석(000512)-A.xls Chart 156_사장님IQS개선회의(조립생기팀0816)_Book1_다대포 해수욕장-내역서" xfId="2950"/>
    <cellStyle name="백_00년상반기현황분석(000512)-A.xls Chart 156_사장님IQS개선회의(조립생기팀0816)_Book1_조형물 내역서(원본)" xfId="2951"/>
    <cellStyle name="백_00년상반기현황분석(000512)-A.xls Chart 156_사장님IQS개선회의(조립생기팀0816)_다대포 해수욕장-내역서" xfId="2952"/>
    <cellStyle name="백_00년상반기현황분석(000512)-A.xls Chart 156_사장님IQS개선회의(조립생기팀0816)_인상시부담액(임,단협(1).04.26수정)" xfId="2953"/>
    <cellStyle name="백_00년상반기현황분석(000512)-A.xls Chart 156_사장님IQS개선회의(조립생기팀0816)_인상시부담액(임,단협(1).04.26수정)_다대포 해수욕장-내역서" xfId="2954"/>
    <cellStyle name="백_00년상반기현황분석(000512)-A.xls Chart 156_사장님IQS개선회의(조립생기팀0816)_인상시부담액(임,단협(1).04.26수정)_조형물 내역서(원본)" xfId="2955"/>
    <cellStyle name="백_00년상반기현황분석(000512)-A.xls Chart 156_사장님IQS개선회의(조립생기팀0816)_조형물 내역서(원본)" xfId="2956"/>
    <cellStyle name="백_00년상반기현황분석(000512)-A.xls Chart 156_인상시부담액(임,단협(1).04.26수정)" xfId="2957"/>
    <cellStyle name="백_00년상반기현황분석(000512)-A.xls Chart 156_인상시부담액(임,단협(1).04.26수정)_다대포 해수욕장-내역서" xfId="2958"/>
    <cellStyle name="백_00년상반기현황분석(000512)-A.xls Chart 156_인상시부담액(임,단협(1).04.26수정)_조형물 내역서(원본)" xfId="2959"/>
    <cellStyle name="백_00년상반기현황분석(000512)-A.xls Chart 156_정이사님보고0907" xfId="2960"/>
    <cellStyle name="백_00년상반기현황분석(000512)-A.xls Chart 156_정이사님보고0907_Book1" xfId="2961"/>
    <cellStyle name="백_00년상반기현황분석(000512)-A.xls Chart 156_정이사님보고0907_Book1_다대포 해수욕장-내역서" xfId="2962"/>
    <cellStyle name="백_00년상반기현황분석(000512)-A.xls Chart 156_정이사님보고0907_Book1_조형물 내역서(원본)" xfId="2963"/>
    <cellStyle name="백_00년상반기현황분석(000512)-A.xls Chart 156_정이사님보고0907_다대포 해수욕장-내역서" xfId="2964"/>
    <cellStyle name="백_00년상반기현황분석(000512)-A.xls Chart 156_정이사님보고0907_인상시부담액(임,단협(1).04.26수정)" xfId="2965"/>
    <cellStyle name="백_00년상반기현황분석(000512)-A.xls Chart 156_정이사님보고0907_인상시부담액(임,단협(1).04.26수정)_다대포 해수욕장-내역서" xfId="2966"/>
    <cellStyle name="백_00년상반기현황분석(000512)-A.xls Chart 156_정이사님보고0907_인상시부담액(임,단협(1).04.26수정)_조형물 내역서(원본)" xfId="2967"/>
    <cellStyle name="백_00년상반기현황분석(000512)-A.xls Chart 156_정이사님보고0907_조형물 내역서(원본)" xfId="2968"/>
    <cellStyle name="백_00년상반기현황분석(000512)-A.xls Chart 156_조형물 내역서(원본)" xfId="2969"/>
    <cellStyle name="백_00년상반기현황분석(000512)-A.xls Chart 157" xfId="2970"/>
    <cellStyle name="백_00년상반기현황분석(000512)-A.xls Chart 157_Book1" xfId="2971"/>
    <cellStyle name="백_00년상반기현황분석(000512)-A.xls Chart 157_Book1_다대포 해수욕장-내역서" xfId="2972"/>
    <cellStyle name="백_00년상반기현황분석(000512)-A.xls Chart 157_Book1_조형물 내역서(원본)" xfId="2973"/>
    <cellStyle name="백_00년상반기현황분석(000512)-A.xls Chart 157_다대포 해수욕장-내역서" xfId="2974"/>
    <cellStyle name="백_00년상반기현황분석(000512)-A.xls Chart 157_사장님IQS개선회의(조립생기팀0816)" xfId="2975"/>
    <cellStyle name="백_00년상반기현황분석(000512)-A.xls Chart 157_사장님IQS개선회의(조립생기팀0816)_Book1" xfId="2976"/>
    <cellStyle name="백_00년상반기현황분석(000512)-A.xls Chart 157_사장님IQS개선회의(조립생기팀0816)_Book1_다대포 해수욕장-내역서" xfId="2977"/>
    <cellStyle name="백_00년상반기현황분석(000512)-A.xls Chart 157_사장님IQS개선회의(조립생기팀0816)_Book1_조형물 내역서(원본)" xfId="2978"/>
    <cellStyle name="백_00년상반기현황분석(000512)-A.xls Chart 157_사장님IQS개선회의(조립생기팀0816)_다대포 해수욕장-내역서" xfId="2979"/>
    <cellStyle name="백_00년상반기현황분석(000512)-A.xls Chart 157_사장님IQS개선회의(조립생기팀0816)_인상시부담액(임,단협(1).04.26수정)" xfId="2980"/>
    <cellStyle name="백_00년상반기현황분석(000512)-A.xls Chart 157_사장님IQS개선회의(조립생기팀0816)_인상시부담액(임,단협(1).04.26수정)_다대포 해수욕장-내역서" xfId="2981"/>
    <cellStyle name="백_00년상반기현황분석(000512)-A.xls Chart 157_사장님IQS개선회의(조립생기팀0816)_인상시부담액(임,단협(1).04.26수정)_조형물 내역서(원본)" xfId="2982"/>
    <cellStyle name="백_00년상반기현황분석(000512)-A.xls Chart 157_사장님IQS개선회의(조립생기팀0816)_조형물 내역서(원본)" xfId="2983"/>
    <cellStyle name="백_00년상반기현황분석(000512)-A.xls Chart 157_인상시부담액(임,단협(1).04.26수정)" xfId="2984"/>
    <cellStyle name="백_00년상반기현황분석(000512)-A.xls Chart 157_인상시부담액(임,단협(1).04.26수정)_다대포 해수욕장-내역서" xfId="2985"/>
    <cellStyle name="백_00년상반기현황분석(000512)-A.xls Chart 157_인상시부담액(임,단협(1).04.26수정)_조형물 내역서(원본)" xfId="2986"/>
    <cellStyle name="백_00년상반기현황분석(000512)-A.xls Chart 157_정이사님보고0907" xfId="2987"/>
    <cellStyle name="백_00년상반기현황분석(000512)-A.xls Chart 157_정이사님보고0907_Book1" xfId="2988"/>
    <cellStyle name="백_00년상반기현황분석(000512)-A.xls Chart 157_정이사님보고0907_Book1_다대포 해수욕장-내역서" xfId="2989"/>
    <cellStyle name="백_00년상반기현황분석(000512)-A.xls Chart 157_정이사님보고0907_Book1_조형물 내역서(원본)" xfId="2990"/>
    <cellStyle name="백_00년상반기현황분석(000512)-A.xls Chart 157_정이사님보고0907_다대포 해수욕장-내역서" xfId="2991"/>
    <cellStyle name="백_00년상반기현황분석(000512)-A.xls Chart 157_정이사님보고0907_인상시부담액(임,단협(1).04.26수정)" xfId="2992"/>
    <cellStyle name="백_00년상반기현황분석(000512)-A.xls Chart 157_정이사님보고0907_인상시부담액(임,단협(1).04.26수정)_다대포 해수욕장-내역서" xfId="2993"/>
    <cellStyle name="백_00년상반기현황분석(000512)-A.xls Chart 157_정이사님보고0907_인상시부담액(임,단협(1).04.26수정)_조형물 내역서(원본)" xfId="2994"/>
    <cellStyle name="백_00년상반기현황분석(000512)-A.xls Chart 157_정이사님보고0907_조형물 내역서(원본)" xfId="2995"/>
    <cellStyle name="백_00년상반기현황분석(000512)-A.xls Chart 157_조형물 내역서(원본)" xfId="2996"/>
    <cellStyle name="백_00년상반기현황분석(000512)-A.xls Chart 158" xfId="2997"/>
    <cellStyle name="백_00년상반기현황분석(000512)-A.xls Chart 158_Book1" xfId="2998"/>
    <cellStyle name="백_00년상반기현황분석(000512)-A.xls Chart 158_Book1_다대포 해수욕장-내역서" xfId="2999"/>
    <cellStyle name="백_00년상반기현황분석(000512)-A.xls Chart 158_Book1_조형물 내역서(원본)" xfId="3000"/>
    <cellStyle name="백_00년상반기현황분석(000512)-A.xls Chart 158_다대포 해수욕장-내역서" xfId="3001"/>
    <cellStyle name="백_00년상반기현황분석(000512)-A.xls Chart 158_사장님IQS개선회의(조립생기팀0816)" xfId="3002"/>
    <cellStyle name="백_00년상반기현황분석(000512)-A.xls Chart 158_사장님IQS개선회의(조립생기팀0816)_Book1" xfId="3003"/>
    <cellStyle name="백_00년상반기현황분석(000512)-A.xls Chart 158_사장님IQS개선회의(조립생기팀0816)_Book1_다대포 해수욕장-내역서" xfId="3004"/>
    <cellStyle name="백_00년상반기현황분석(000512)-A.xls Chart 158_사장님IQS개선회의(조립생기팀0816)_Book1_조형물 내역서(원본)" xfId="3005"/>
    <cellStyle name="백_00년상반기현황분석(000512)-A.xls Chart 158_사장님IQS개선회의(조립생기팀0816)_다대포 해수욕장-내역서" xfId="3006"/>
    <cellStyle name="백_00년상반기현황분석(000512)-A.xls Chart 158_사장님IQS개선회의(조립생기팀0816)_인상시부담액(임,단협(1).04.26수정)" xfId="3007"/>
    <cellStyle name="백_00년상반기현황분석(000512)-A.xls Chart 158_사장님IQS개선회의(조립생기팀0816)_인상시부담액(임,단협(1).04.26수정)_다대포 해수욕장-내역서" xfId="3008"/>
    <cellStyle name="백_00년상반기현황분석(000512)-A.xls Chart 158_사장님IQS개선회의(조립생기팀0816)_인상시부담액(임,단협(1).04.26수정)_조형물 내역서(원본)" xfId="3009"/>
    <cellStyle name="백_00년상반기현황분석(000512)-A.xls Chart 158_사장님IQS개선회의(조립생기팀0816)_조형물 내역서(원본)" xfId="3010"/>
    <cellStyle name="백_00년상반기현황분석(000512)-A.xls Chart 158_인상시부담액(임,단협(1).04.26수정)" xfId="3011"/>
    <cellStyle name="백_00년상반기현황분석(000512)-A.xls Chart 158_인상시부담액(임,단협(1).04.26수정)_다대포 해수욕장-내역서" xfId="3012"/>
    <cellStyle name="백_00년상반기현황분석(000512)-A.xls Chart 158_인상시부담액(임,단협(1).04.26수정)_조형물 내역서(원본)" xfId="3013"/>
    <cellStyle name="백_00년상반기현황분석(000512)-A.xls Chart 158_정이사님보고0907" xfId="3014"/>
    <cellStyle name="백_00년상반기현황분석(000512)-A.xls Chart 158_정이사님보고0907_Book1" xfId="3015"/>
    <cellStyle name="백_00년상반기현황분석(000512)-A.xls Chart 158_정이사님보고0907_Book1_다대포 해수욕장-내역서" xfId="3016"/>
    <cellStyle name="백_00년상반기현황분석(000512)-A.xls Chart 158_정이사님보고0907_Book1_조형물 내역서(원본)" xfId="3017"/>
    <cellStyle name="백_00년상반기현황분석(000512)-A.xls Chart 158_정이사님보고0907_다대포 해수욕장-내역서" xfId="3018"/>
    <cellStyle name="백_00년상반기현황분석(000512)-A.xls Chart 158_정이사님보고0907_인상시부담액(임,단협(1).04.26수정)" xfId="3019"/>
    <cellStyle name="백_00년상반기현황분석(000512)-A.xls Chart 158_정이사님보고0907_인상시부담액(임,단협(1).04.26수정)_다대포 해수욕장-내역서" xfId="3020"/>
    <cellStyle name="백_00년상반기현황분석(000512)-A.xls Chart 158_정이사님보고0907_인상시부담액(임,단협(1).04.26수정)_조형물 내역서(원본)" xfId="3021"/>
    <cellStyle name="백_00년상반기현황분석(000512)-A.xls Chart 158_정이사님보고0907_조형물 내역서(원본)" xfId="3022"/>
    <cellStyle name="백_00년상반기현황분석(000512)-A.xls Chart 158_조형물 내역서(원본)" xfId="3023"/>
    <cellStyle name="백_00년상반기현황분석(000512)-A.xls Chart 160" xfId="3024"/>
    <cellStyle name="백_00년상반기현황분석(000512)-A.xls Chart 160_Book1" xfId="3025"/>
    <cellStyle name="백_00년상반기현황분석(000512)-A.xls Chart 160_Book1_다대포 해수욕장-내역서" xfId="3026"/>
    <cellStyle name="백_00년상반기현황분석(000512)-A.xls Chart 160_Book1_조형물 내역서(원본)" xfId="3027"/>
    <cellStyle name="백_00년상반기현황분석(000512)-A.xls Chart 160_다대포 해수욕장-내역서" xfId="3028"/>
    <cellStyle name="백_00년상반기현황분석(000512)-A.xls Chart 160_사장님IQS개선회의(조립생기팀0816)" xfId="3029"/>
    <cellStyle name="백_00년상반기현황분석(000512)-A.xls Chart 160_사장님IQS개선회의(조립생기팀0816)_Book1" xfId="3030"/>
    <cellStyle name="백_00년상반기현황분석(000512)-A.xls Chart 160_사장님IQS개선회의(조립생기팀0816)_Book1_다대포 해수욕장-내역서" xfId="3031"/>
    <cellStyle name="백_00년상반기현황분석(000512)-A.xls Chart 160_사장님IQS개선회의(조립생기팀0816)_Book1_조형물 내역서(원본)" xfId="3032"/>
    <cellStyle name="백_00년상반기현황분석(000512)-A.xls Chart 160_사장님IQS개선회의(조립생기팀0816)_다대포 해수욕장-내역서" xfId="3033"/>
    <cellStyle name="백_00년상반기현황분석(000512)-A.xls Chart 160_사장님IQS개선회의(조립생기팀0816)_인상시부담액(임,단협(1).04.26수정)" xfId="3034"/>
    <cellStyle name="백_00년상반기현황분석(000512)-A.xls Chart 160_사장님IQS개선회의(조립생기팀0816)_인상시부담액(임,단협(1).04.26수정)_다대포 해수욕장-내역서" xfId="3035"/>
    <cellStyle name="백_00년상반기현황분석(000512)-A.xls Chart 160_사장님IQS개선회의(조립생기팀0816)_인상시부담액(임,단협(1).04.26수정)_조형물 내역서(원본)" xfId="3036"/>
    <cellStyle name="백_00년상반기현황분석(000512)-A.xls Chart 160_사장님IQS개선회의(조립생기팀0816)_조형물 내역서(원본)" xfId="3037"/>
    <cellStyle name="백_00년상반기현황분석(000512)-A.xls Chart 160_인상시부담액(임,단협(1).04.26수정)" xfId="3038"/>
    <cellStyle name="백_00년상반기현황분석(000512)-A.xls Chart 160_인상시부담액(임,단협(1).04.26수정)_다대포 해수욕장-내역서" xfId="3039"/>
    <cellStyle name="백_00년상반기현황분석(000512)-A.xls Chart 160_인상시부담액(임,단협(1).04.26수정)_조형물 내역서(원본)" xfId="3040"/>
    <cellStyle name="백_00년상반기현황분석(000512)-A.xls Chart 160_정이사님보고0907" xfId="3041"/>
    <cellStyle name="백_00년상반기현황분석(000512)-A.xls Chart 160_정이사님보고0907_Book1" xfId="3042"/>
    <cellStyle name="백_00년상반기현황분석(000512)-A.xls Chart 160_정이사님보고0907_Book1_다대포 해수욕장-내역서" xfId="3043"/>
    <cellStyle name="백_00년상반기현황분석(000512)-A.xls Chart 160_정이사님보고0907_Book1_조형물 내역서(원본)" xfId="3044"/>
    <cellStyle name="백_00년상반기현황분석(000512)-A.xls Chart 160_정이사님보고0907_다대포 해수욕장-내역서" xfId="3045"/>
    <cellStyle name="백_00년상반기현황분석(000512)-A.xls Chart 160_정이사님보고0907_인상시부담액(임,단협(1).04.26수정)" xfId="3046"/>
    <cellStyle name="백_00년상반기현황분석(000512)-A.xls Chart 160_정이사님보고0907_인상시부담액(임,단협(1).04.26수정)_다대포 해수욕장-내역서" xfId="3047"/>
    <cellStyle name="백_00년상반기현황분석(000512)-A.xls Chart 160_정이사님보고0907_인상시부담액(임,단협(1).04.26수정)_조형물 내역서(원본)" xfId="3048"/>
    <cellStyle name="백_00년상반기현황분석(000512)-A.xls Chart 160_정이사님보고0907_조형물 내역서(원본)" xfId="3049"/>
    <cellStyle name="백_00년상반기현황분석(000512)-A.xls Chart 160_조형물 내역서(원본)" xfId="3050"/>
    <cellStyle name="백_00년상반기현황분석(000512)-A.xls Chart 161" xfId="3051"/>
    <cellStyle name="백_00년상반기현황분석(000512)-A.xls Chart 161_Book1" xfId="3052"/>
    <cellStyle name="백_00년상반기현황분석(000512)-A.xls Chart 161_Book1_다대포 해수욕장-내역서" xfId="3053"/>
    <cellStyle name="백_00년상반기현황분석(000512)-A.xls Chart 161_Book1_조형물 내역서(원본)" xfId="3054"/>
    <cellStyle name="백_00년상반기현황분석(000512)-A.xls Chart 161_다대포 해수욕장-내역서" xfId="3055"/>
    <cellStyle name="백_00년상반기현황분석(000512)-A.xls Chart 161_사장님IQS개선회의(조립생기팀0816)" xfId="3056"/>
    <cellStyle name="백_00년상반기현황분석(000512)-A.xls Chart 161_사장님IQS개선회의(조립생기팀0816)_Book1" xfId="3057"/>
    <cellStyle name="백_00년상반기현황분석(000512)-A.xls Chart 161_사장님IQS개선회의(조립생기팀0816)_Book1_다대포 해수욕장-내역서" xfId="3058"/>
    <cellStyle name="백_00년상반기현황분석(000512)-A.xls Chart 161_사장님IQS개선회의(조립생기팀0816)_Book1_조형물 내역서(원본)" xfId="3059"/>
    <cellStyle name="백_00년상반기현황분석(000512)-A.xls Chart 161_사장님IQS개선회의(조립생기팀0816)_다대포 해수욕장-내역서" xfId="3060"/>
    <cellStyle name="백_00년상반기현황분석(000512)-A.xls Chart 161_사장님IQS개선회의(조립생기팀0816)_인상시부담액(임,단협(1).04.26수정)" xfId="3061"/>
    <cellStyle name="백_00년상반기현황분석(000512)-A.xls Chart 161_사장님IQS개선회의(조립생기팀0816)_인상시부담액(임,단협(1).04.26수정)_다대포 해수욕장-내역서" xfId="3062"/>
    <cellStyle name="백_00년상반기현황분석(000512)-A.xls Chart 161_사장님IQS개선회의(조립생기팀0816)_인상시부담액(임,단협(1).04.26수정)_조형물 내역서(원본)" xfId="3063"/>
    <cellStyle name="백_00년상반기현황분석(000512)-A.xls Chart 161_사장님IQS개선회의(조립생기팀0816)_조형물 내역서(원본)" xfId="3064"/>
    <cellStyle name="백_00년상반기현황분석(000512)-A.xls Chart 161_인상시부담액(임,단협(1).04.26수정)" xfId="3065"/>
    <cellStyle name="백_00년상반기현황분석(000512)-A.xls Chart 161_인상시부담액(임,단협(1).04.26수정)_다대포 해수욕장-내역서" xfId="3066"/>
    <cellStyle name="백_00년상반기현황분석(000512)-A.xls Chart 161_인상시부담액(임,단협(1).04.26수정)_조형물 내역서(원본)" xfId="3067"/>
    <cellStyle name="백_00년상반기현황분석(000512)-A.xls Chart 161_정이사님보고0907" xfId="3068"/>
    <cellStyle name="백_00년상반기현황분석(000512)-A.xls Chart 161_정이사님보고0907_Book1" xfId="3069"/>
    <cellStyle name="백_00년상반기현황분석(000512)-A.xls Chart 161_정이사님보고0907_Book1_다대포 해수욕장-내역서" xfId="3070"/>
    <cellStyle name="백_00년상반기현황분석(000512)-A.xls Chart 161_정이사님보고0907_Book1_조형물 내역서(원본)" xfId="3071"/>
    <cellStyle name="백_00년상반기현황분석(000512)-A.xls Chart 161_정이사님보고0907_다대포 해수욕장-내역서" xfId="3072"/>
    <cellStyle name="백_00년상반기현황분석(000512)-A.xls Chart 161_정이사님보고0907_인상시부담액(임,단협(1).04.26수정)" xfId="3073"/>
    <cellStyle name="백_00년상반기현황분석(000512)-A.xls Chart 161_정이사님보고0907_인상시부담액(임,단협(1).04.26수정)_다대포 해수욕장-내역서" xfId="3074"/>
    <cellStyle name="백_00년상반기현황분석(000512)-A.xls Chart 161_정이사님보고0907_인상시부담액(임,단협(1).04.26수정)_조형물 내역서(원본)" xfId="3075"/>
    <cellStyle name="백_00년상반기현황분석(000512)-A.xls Chart 161_정이사님보고0907_조형물 내역서(원본)" xfId="3076"/>
    <cellStyle name="백_00년상반기현황분석(000512)-A.xls Chart 161_조형물 내역서(원본)" xfId="3077"/>
    <cellStyle name="백_01-토공_02-배수공" xfId="5852"/>
    <cellStyle name="백_01-토공_02-배수공_2차설계변경내역서(2007굴착)" xfId="5853"/>
    <cellStyle name="백_01-토공_02-배수공_Sheet1" xfId="5854"/>
    <cellStyle name="백_01-토공_02-배수공_갑지" xfId="5855"/>
    <cellStyle name="백_01-토공_02-배수공_관급자재" xfId="5856"/>
    <cellStyle name="백_01-토공_02-배수공_이설비" xfId="5857"/>
    <cellStyle name="백_01-토공_02-배수공_토공" xfId="5858"/>
    <cellStyle name="백_01-토공_02-배수공_토공_2차설계변경내역서(2007굴착)" xfId="5859"/>
    <cellStyle name="백_01-토공_02-배수공_토공_Sheet1" xfId="5860"/>
    <cellStyle name="백_01-토공_02-배수공_토공_갑지" xfId="5861"/>
    <cellStyle name="백_01-토공_02-배수공_토공_관급자재" xfId="5862"/>
    <cellStyle name="백_01-토공_02-배수공_토공_이설비" xfId="5863"/>
    <cellStyle name="백_02-배수공" xfId="5864"/>
    <cellStyle name="백_02-배수공_02-반중력식옹벽" xfId="5865"/>
    <cellStyle name="백_02-배수공_02-반중력식옹벽_2차설계변경내역서(2007굴착)" xfId="5866"/>
    <cellStyle name="백_02-배수공_02-반중력식옹벽_Sheet1" xfId="5867"/>
    <cellStyle name="백_02-배수공_02-반중력식옹벽_갑지" xfId="5868"/>
    <cellStyle name="백_02-배수공_02-반중력식옹벽_관급자재" xfId="5869"/>
    <cellStyle name="백_02-배수공_02-반중력식옹벽_이설비" xfId="5870"/>
    <cellStyle name="백_02-배수공_02-반중력식옹벽_토공" xfId="5871"/>
    <cellStyle name="백_02-배수공_02-반중력식옹벽_토공_2차설계변경내역서(2007굴착)" xfId="5872"/>
    <cellStyle name="백_02-배수공_02-반중력식옹벽_토공_Sheet1" xfId="5873"/>
    <cellStyle name="백_02-배수공_02-반중력식옹벽_토공_갑지" xfId="5874"/>
    <cellStyle name="백_02-배수공_02-반중력식옹벽_토공_관급자재" xfId="5875"/>
    <cellStyle name="백_02-배수공_02-반중력식옹벽_토공_이설비" xfId="5876"/>
    <cellStyle name="백_02-배수공_02-배수공" xfId="5877"/>
    <cellStyle name="백_02-배수공_02-배수공_2차설계변경내역서(2007굴착)" xfId="5878"/>
    <cellStyle name="백_02-배수공_02-배수공_Sheet1" xfId="5879"/>
    <cellStyle name="백_02-배수공_02-배수공_갑지" xfId="5880"/>
    <cellStyle name="백_02-배수공_02-배수공_관급자재" xfId="5881"/>
    <cellStyle name="백_02-배수공_02-배수공_이설비" xfId="5882"/>
    <cellStyle name="백_02-배수공_02-배수공_토공" xfId="5883"/>
    <cellStyle name="백_02-배수공_02-배수공_토공_2차설계변경내역서(2007굴착)" xfId="5884"/>
    <cellStyle name="백_02-배수공_02-배수공_토공_Sheet1" xfId="5885"/>
    <cellStyle name="백_02-배수공_02-배수공_토공_갑지" xfId="5886"/>
    <cellStyle name="백_02-배수공_02-배수공_토공_관급자재" xfId="5887"/>
    <cellStyle name="백_02-배수공_02-배수공_토공_이설비" xfId="5888"/>
    <cellStyle name="백_02-배수공_2차설계변경내역서(2007굴착)" xfId="5889"/>
    <cellStyle name="백_02-배수공_Sheet1" xfId="5890"/>
    <cellStyle name="백_02-배수공_갑지" xfId="5891"/>
    <cellStyle name="백_02-배수공_관급자재" xfId="5892"/>
    <cellStyle name="백_02-배수공_반중력" xfId="5893"/>
    <cellStyle name="백_02-배수공_반중력_2차설계변경내역서(2007굴착)" xfId="5894"/>
    <cellStyle name="백_02-배수공_반중력_Sheet1" xfId="5895"/>
    <cellStyle name="백_02-배수공_반중력_갑지" xfId="5896"/>
    <cellStyle name="백_02-배수공_반중력_관급자재" xfId="5897"/>
    <cellStyle name="백_02-배수공_반중력_이설비" xfId="5898"/>
    <cellStyle name="백_02-배수공_반중력_토공" xfId="5899"/>
    <cellStyle name="백_02-배수공_반중력_토공_2차설계변경내역서(2007굴착)" xfId="5900"/>
    <cellStyle name="백_02-배수공_반중력_토공_Sheet1" xfId="5901"/>
    <cellStyle name="백_02-배수공_반중력_토공_갑지" xfId="5902"/>
    <cellStyle name="백_02-배수공_반중력_토공_관급자재" xfId="5903"/>
    <cellStyle name="백_02-배수공_반중력_토공_이설비" xfId="5904"/>
    <cellStyle name="백_02-배수공_이설비" xfId="5905"/>
    <cellStyle name="백_02-배수공_토공" xfId="5906"/>
    <cellStyle name="백_02-배수공_토공_2차설계변경내역서(2007굴착)" xfId="5907"/>
    <cellStyle name="백_02-배수공_토공_Sheet1" xfId="5908"/>
    <cellStyle name="백_02-배수공_토공_갑지" xfId="5909"/>
    <cellStyle name="백_02-배수공_토공_관급자재" xfId="5910"/>
    <cellStyle name="백_02-배수공_토공_이설비" xfId="5911"/>
    <cellStyle name="백_04-포장공_02-배수공" xfId="5912"/>
    <cellStyle name="백_04-포장공_02-배수공_2차설계변경내역서(2007굴착)" xfId="5913"/>
    <cellStyle name="백_04-포장공_02-배수공_Sheet1" xfId="5914"/>
    <cellStyle name="백_04-포장공_02-배수공_갑지" xfId="5915"/>
    <cellStyle name="백_04-포장공_02-배수공_관급자재" xfId="5916"/>
    <cellStyle name="백_04-포장공_02-배수공_이설비" xfId="5917"/>
    <cellStyle name="백_04-포장공_02-배수공_토공" xfId="5918"/>
    <cellStyle name="백_04-포장공_02-배수공_토공_2차설계변경내역서(2007굴착)" xfId="5919"/>
    <cellStyle name="백_04-포장공_02-배수공_토공_Sheet1" xfId="5920"/>
    <cellStyle name="백_04-포장공_02-배수공_토공_갑지" xfId="5921"/>
    <cellStyle name="백_04-포장공_02-배수공_토공_관급자재" xfId="5922"/>
    <cellStyle name="백_04-포장공_02-배수공_토공_이설비" xfId="5923"/>
    <cellStyle name="백_06-부대공_02-배수공" xfId="5924"/>
    <cellStyle name="백_06-부대공_02-배수공_2차설계변경내역서(2007굴착)" xfId="5925"/>
    <cellStyle name="백_06-부대공_02-배수공_Sheet1" xfId="5926"/>
    <cellStyle name="백_06-부대공_02-배수공_갑지" xfId="5927"/>
    <cellStyle name="백_06-부대공_02-배수공_관급자재" xfId="5928"/>
    <cellStyle name="백_06-부대공_02-배수공_이설비" xfId="5929"/>
    <cellStyle name="백_06-부대공_02-배수공_토공" xfId="5930"/>
    <cellStyle name="백_06-부대공_02-배수공_토공_2차설계변경내역서(2007굴착)" xfId="5931"/>
    <cellStyle name="백_06-부대공_02-배수공_토공_Sheet1" xfId="5932"/>
    <cellStyle name="백_06-부대공_02-배수공_토공_갑지" xfId="5933"/>
    <cellStyle name="백_06-부대공_02-배수공_토공_관급자재" xfId="5934"/>
    <cellStyle name="백_06-부대공_02-배수공_토공_이설비" xfId="5935"/>
    <cellStyle name="백_3. 신광R~숭의R(배수공)" xfId="11778"/>
    <cellStyle name="백_IQS00년 상반기보고000520(소장)-1" xfId="3078"/>
    <cellStyle name="백_IQS00년 상반기보고000520(소장)-1.xls Chart 156" xfId="3079"/>
    <cellStyle name="백_IQS00년 상반기보고000520(소장)-1.xls Chart 156_Book1" xfId="3080"/>
    <cellStyle name="백_IQS00년 상반기보고000520(소장)-1.xls Chart 156_Book1_다대포 해수욕장-내역서" xfId="3081"/>
    <cellStyle name="백_IQS00년 상반기보고000520(소장)-1.xls Chart 156_Book1_조형물 내역서(원본)" xfId="3082"/>
    <cellStyle name="백_IQS00년 상반기보고000520(소장)-1.xls Chart 156_다대포 해수욕장-내역서" xfId="3083"/>
    <cellStyle name="백_IQS00년 상반기보고000520(소장)-1.xls Chart 156_사장님IQS개선회의(조립생기팀0816)" xfId="3084"/>
    <cellStyle name="백_IQS00년 상반기보고000520(소장)-1.xls Chart 156_사장님IQS개선회의(조립생기팀0816)_Book1" xfId="3085"/>
    <cellStyle name="백_IQS00년 상반기보고000520(소장)-1.xls Chart 156_사장님IQS개선회의(조립생기팀0816)_Book1_다대포 해수욕장-내역서" xfId="3086"/>
    <cellStyle name="백_IQS00년 상반기보고000520(소장)-1.xls Chart 156_사장님IQS개선회의(조립생기팀0816)_Book1_조형물 내역서(원본)" xfId="3087"/>
    <cellStyle name="백_IQS00년 상반기보고000520(소장)-1.xls Chart 156_사장님IQS개선회의(조립생기팀0816)_다대포 해수욕장-내역서" xfId="3088"/>
    <cellStyle name="백_IQS00년 상반기보고000520(소장)-1.xls Chart 156_사장님IQS개선회의(조립생기팀0816)_인상시부담액(임,단협(1).04.26수정)" xfId="3089"/>
    <cellStyle name="백_IQS00년 상반기보고000520(소장)-1.xls Chart 156_사장님IQS개선회의(조립생기팀0816)_인상시부담액(임,단협(1).04.26수정)_다대포 해수욕장-내역서" xfId="3090"/>
    <cellStyle name="백_IQS00년 상반기보고000520(소장)-1.xls Chart 156_사장님IQS개선회의(조립생기팀0816)_인상시부담액(임,단협(1).04.26수정)_조형물 내역서(원본)" xfId="3091"/>
    <cellStyle name="백_IQS00년 상반기보고000520(소장)-1.xls Chart 156_사장님IQS개선회의(조립생기팀0816)_조형물 내역서(원본)" xfId="3092"/>
    <cellStyle name="백_IQS00년 상반기보고000520(소장)-1.xls Chart 156_인상시부담액(임,단협(1).04.26수정)" xfId="3093"/>
    <cellStyle name="백_IQS00년 상반기보고000520(소장)-1.xls Chart 156_인상시부담액(임,단협(1).04.26수정)_다대포 해수욕장-내역서" xfId="3094"/>
    <cellStyle name="백_IQS00년 상반기보고000520(소장)-1.xls Chart 156_인상시부담액(임,단협(1).04.26수정)_조형물 내역서(원본)" xfId="3095"/>
    <cellStyle name="백_IQS00년 상반기보고000520(소장)-1.xls Chart 156_정이사님보고0907" xfId="3096"/>
    <cellStyle name="백_IQS00년 상반기보고000520(소장)-1.xls Chart 156_정이사님보고0907_Book1" xfId="3097"/>
    <cellStyle name="백_IQS00년 상반기보고000520(소장)-1.xls Chart 156_정이사님보고0907_Book1_다대포 해수욕장-내역서" xfId="3098"/>
    <cellStyle name="백_IQS00년 상반기보고000520(소장)-1.xls Chart 156_정이사님보고0907_Book1_조형물 내역서(원본)" xfId="3099"/>
    <cellStyle name="백_IQS00년 상반기보고000520(소장)-1.xls Chart 156_정이사님보고0907_다대포 해수욕장-내역서" xfId="3100"/>
    <cellStyle name="백_IQS00년 상반기보고000520(소장)-1.xls Chart 156_정이사님보고0907_인상시부담액(임,단협(1).04.26수정)" xfId="3101"/>
    <cellStyle name="백_IQS00년 상반기보고000520(소장)-1.xls Chart 156_정이사님보고0907_인상시부담액(임,단협(1).04.26수정)_다대포 해수욕장-내역서" xfId="3102"/>
    <cellStyle name="백_IQS00년 상반기보고000520(소장)-1.xls Chart 156_정이사님보고0907_인상시부담액(임,단협(1).04.26수정)_조형물 내역서(원본)" xfId="3103"/>
    <cellStyle name="백_IQS00년 상반기보고000520(소장)-1.xls Chart 156_정이사님보고0907_조형물 내역서(원본)" xfId="3104"/>
    <cellStyle name="백_IQS00년 상반기보고000520(소장)-1.xls Chart 156_조형물 내역서(원본)" xfId="3105"/>
    <cellStyle name="백_IQS00년 상반기보고000520(소장)-1.xls Chart 157" xfId="3106"/>
    <cellStyle name="백_IQS00년 상반기보고000520(소장)-1.xls Chart 157_Book1" xfId="3107"/>
    <cellStyle name="백_IQS00년 상반기보고000520(소장)-1.xls Chart 157_Book1_다대포 해수욕장-내역서" xfId="3108"/>
    <cellStyle name="백_IQS00년 상반기보고000520(소장)-1.xls Chart 157_Book1_조형물 내역서(원본)" xfId="3109"/>
    <cellStyle name="백_IQS00년 상반기보고000520(소장)-1.xls Chart 157_다대포 해수욕장-내역서" xfId="3110"/>
    <cellStyle name="백_IQS00년 상반기보고000520(소장)-1.xls Chart 157_사장님IQS개선회의(조립생기팀0816)" xfId="3111"/>
    <cellStyle name="백_IQS00년 상반기보고000520(소장)-1.xls Chart 157_사장님IQS개선회의(조립생기팀0816)_Book1" xfId="3112"/>
    <cellStyle name="백_IQS00년 상반기보고000520(소장)-1.xls Chart 157_사장님IQS개선회의(조립생기팀0816)_Book1_다대포 해수욕장-내역서" xfId="3113"/>
    <cellStyle name="백_IQS00년 상반기보고000520(소장)-1.xls Chart 157_사장님IQS개선회의(조립생기팀0816)_Book1_조형물 내역서(원본)" xfId="3114"/>
    <cellStyle name="백_IQS00년 상반기보고000520(소장)-1.xls Chart 157_사장님IQS개선회의(조립생기팀0816)_다대포 해수욕장-내역서" xfId="3115"/>
    <cellStyle name="백_IQS00년 상반기보고000520(소장)-1.xls Chart 157_사장님IQS개선회의(조립생기팀0816)_인상시부담액(임,단협(1).04.26수정)" xfId="3116"/>
    <cellStyle name="백_IQS00년 상반기보고000520(소장)-1.xls Chart 157_사장님IQS개선회의(조립생기팀0816)_인상시부담액(임,단협(1).04.26수정)_다대포 해수욕장-내역서" xfId="3117"/>
    <cellStyle name="백_IQS00년 상반기보고000520(소장)-1.xls Chart 157_사장님IQS개선회의(조립생기팀0816)_인상시부담액(임,단협(1).04.26수정)_조형물 내역서(원본)" xfId="3118"/>
    <cellStyle name="백_IQS00년 상반기보고000520(소장)-1.xls Chart 157_사장님IQS개선회의(조립생기팀0816)_조형물 내역서(원본)" xfId="3119"/>
    <cellStyle name="백_IQS00년 상반기보고000520(소장)-1.xls Chart 157_인상시부담액(임,단협(1).04.26수정)" xfId="3120"/>
    <cellStyle name="백_IQS00년 상반기보고000520(소장)-1.xls Chart 157_인상시부담액(임,단협(1).04.26수정)_다대포 해수욕장-내역서" xfId="3121"/>
    <cellStyle name="백_IQS00년 상반기보고000520(소장)-1.xls Chart 157_인상시부담액(임,단협(1).04.26수정)_조형물 내역서(원본)" xfId="3122"/>
    <cellStyle name="백_IQS00년 상반기보고000520(소장)-1.xls Chart 157_정이사님보고0907" xfId="3123"/>
    <cellStyle name="백_IQS00년 상반기보고000520(소장)-1.xls Chart 157_정이사님보고0907_Book1" xfId="3124"/>
    <cellStyle name="백_IQS00년 상반기보고000520(소장)-1.xls Chart 157_정이사님보고0907_Book1_다대포 해수욕장-내역서" xfId="3125"/>
    <cellStyle name="백_IQS00년 상반기보고000520(소장)-1.xls Chart 157_정이사님보고0907_Book1_조형물 내역서(원본)" xfId="3126"/>
    <cellStyle name="백_IQS00년 상반기보고000520(소장)-1.xls Chart 157_정이사님보고0907_다대포 해수욕장-내역서" xfId="3127"/>
    <cellStyle name="백_IQS00년 상반기보고000520(소장)-1.xls Chart 157_정이사님보고0907_인상시부담액(임,단협(1).04.26수정)" xfId="3128"/>
    <cellStyle name="백_IQS00년 상반기보고000520(소장)-1.xls Chart 157_정이사님보고0907_인상시부담액(임,단협(1).04.26수정)_다대포 해수욕장-내역서" xfId="3129"/>
    <cellStyle name="백_IQS00년 상반기보고000520(소장)-1.xls Chart 157_정이사님보고0907_인상시부담액(임,단협(1).04.26수정)_조형물 내역서(원본)" xfId="3130"/>
    <cellStyle name="백_IQS00년 상반기보고000520(소장)-1.xls Chart 157_정이사님보고0907_조형물 내역서(원본)" xfId="3131"/>
    <cellStyle name="백_IQS00년 상반기보고000520(소장)-1.xls Chart 157_조형물 내역서(원본)" xfId="3132"/>
    <cellStyle name="백_IQS00년 상반기보고000520(소장)-1.xls Chart 158" xfId="3133"/>
    <cellStyle name="백_IQS00년 상반기보고000520(소장)-1.xls Chart 158_Book1" xfId="3134"/>
    <cellStyle name="백_IQS00년 상반기보고000520(소장)-1.xls Chart 158_Book1_다대포 해수욕장-내역서" xfId="3135"/>
    <cellStyle name="백_IQS00년 상반기보고000520(소장)-1.xls Chart 158_Book1_조형물 내역서(원본)" xfId="3136"/>
    <cellStyle name="백_IQS00년 상반기보고000520(소장)-1.xls Chart 158_다대포 해수욕장-내역서" xfId="3137"/>
    <cellStyle name="백_IQS00년 상반기보고000520(소장)-1.xls Chart 158_사장님IQS개선회의(조립생기팀0816)" xfId="3138"/>
    <cellStyle name="백_IQS00년 상반기보고000520(소장)-1.xls Chart 158_사장님IQS개선회의(조립생기팀0816)_Book1" xfId="3139"/>
    <cellStyle name="백_IQS00년 상반기보고000520(소장)-1.xls Chart 158_사장님IQS개선회의(조립생기팀0816)_Book1_다대포 해수욕장-내역서" xfId="3140"/>
    <cellStyle name="백_IQS00년 상반기보고000520(소장)-1.xls Chart 158_사장님IQS개선회의(조립생기팀0816)_Book1_조형물 내역서(원본)" xfId="3141"/>
    <cellStyle name="백_IQS00년 상반기보고000520(소장)-1.xls Chart 158_사장님IQS개선회의(조립생기팀0816)_다대포 해수욕장-내역서" xfId="3142"/>
    <cellStyle name="백_IQS00년 상반기보고000520(소장)-1.xls Chart 158_사장님IQS개선회의(조립생기팀0816)_인상시부담액(임,단협(1).04.26수정)" xfId="3143"/>
    <cellStyle name="백_IQS00년 상반기보고000520(소장)-1.xls Chart 158_사장님IQS개선회의(조립생기팀0816)_인상시부담액(임,단협(1).04.26수정)_다대포 해수욕장-내역서" xfId="3144"/>
    <cellStyle name="백_IQS00년 상반기보고000520(소장)-1.xls Chart 158_사장님IQS개선회의(조립생기팀0816)_인상시부담액(임,단협(1).04.26수정)_조형물 내역서(원본)" xfId="3145"/>
    <cellStyle name="백_IQS00년 상반기보고000520(소장)-1.xls Chart 158_사장님IQS개선회의(조립생기팀0816)_조형물 내역서(원본)" xfId="3146"/>
    <cellStyle name="백_IQS00년 상반기보고000520(소장)-1.xls Chart 158_인상시부담액(임,단협(1).04.26수정)" xfId="3147"/>
    <cellStyle name="백_IQS00년 상반기보고000520(소장)-1.xls Chart 158_인상시부담액(임,단협(1).04.26수정)_다대포 해수욕장-내역서" xfId="3148"/>
    <cellStyle name="백_IQS00년 상반기보고000520(소장)-1.xls Chart 158_인상시부담액(임,단협(1).04.26수정)_조형물 내역서(원본)" xfId="3149"/>
    <cellStyle name="백_IQS00년 상반기보고000520(소장)-1.xls Chart 158_정이사님보고0907" xfId="3150"/>
    <cellStyle name="백_IQS00년 상반기보고000520(소장)-1.xls Chart 158_정이사님보고0907_Book1" xfId="3151"/>
    <cellStyle name="백_IQS00년 상반기보고000520(소장)-1.xls Chart 158_정이사님보고0907_Book1_다대포 해수욕장-내역서" xfId="3152"/>
    <cellStyle name="백_IQS00년 상반기보고000520(소장)-1.xls Chart 158_정이사님보고0907_Book1_조형물 내역서(원본)" xfId="3153"/>
    <cellStyle name="백_IQS00년 상반기보고000520(소장)-1.xls Chart 158_정이사님보고0907_다대포 해수욕장-내역서" xfId="3154"/>
    <cellStyle name="백_IQS00년 상반기보고000520(소장)-1.xls Chart 158_정이사님보고0907_인상시부담액(임,단협(1).04.26수정)" xfId="3155"/>
    <cellStyle name="백_IQS00년 상반기보고000520(소장)-1.xls Chart 158_정이사님보고0907_인상시부담액(임,단협(1).04.26수정)_다대포 해수욕장-내역서" xfId="3156"/>
    <cellStyle name="백_IQS00년 상반기보고000520(소장)-1.xls Chart 158_정이사님보고0907_인상시부담액(임,단협(1).04.26수정)_조형물 내역서(원본)" xfId="3157"/>
    <cellStyle name="백_IQS00년 상반기보고000520(소장)-1.xls Chart 158_정이사님보고0907_조형물 내역서(원본)" xfId="3158"/>
    <cellStyle name="백_IQS00년 상반기보고000520(소장)-1.xls Chart 158_조형물 내역서(원본)" xfId="3159"/>
    <cellStyle name="백_IQS00년 상반기보고000520(소장)-1.xls Chart 160" xfId="3160"/>
    <cellStyle name="백_IQS00년 상반기보고000520(소장)-1.xls Chart 160_Book1" xfId="3161"/>
    <cellStyle name="백_IQS00년 상반기보고000520(소장)-1.xls Chart 160_Book1_다대포 해수욕장-내역서" xfId="3162"/>
    <cellStyle name="백_IQS00년 상반기보고000520(소장)-1.xls Chart 160_Book1_조형물 내역서(원본)" xfId="3163"/>
    <cellStyle name="백_IQS00년 상반기보고000520(소장)-1.xls Chart 160_다대포 해수욕장-내역서" xfId="3164"/>
    <cellStyle name="백_IQS00년 상반기보고000520(소장)-1.xls Chart 160_사장님IQS개선회의(조립생기팀0816)" xfId="3165"/>
    <cellStyle name="백_IQS00년 상반기보고000520(소장)-1.xls Chart 160_사장님IQS개선회의(조립생기팀0816)_Book1" xfId="3166"/>
    <cellStyle name="백_IQS00년 상반기보고000520(소장)-1.xls Chart 160_사장님IQS개선회의(조립생기팀0816)_Book1_다대포 해수욕장-내역서" xfId="3167"/>
    <cellStyle name="백_IQS00년 상반기보고000520(소장)-1.xls Chart 160_사장님IQS개선회의(조립생기팀0816)_Book1_조형물 내역서(원본)" xfId="3168"/>
    <cellStyle name="백_IQS00년 상반기보고000520(소장)-1.xls Chart 160_사장님IQS개선회의(조립생기팀0816)_다대포 해수욕장-내역서" xfId="3169"/>
    <cellStyle name="백_IQS00년 상반기보고000520(소장)-1.xls Chart 160_사장님IQS개선회의(조립생기팀0816)_인상시부담액(임,단협(1).04.26수정)" xfId="3170"/>
    <cellStyle name="백_IQS00년 상반기보고000520(소장)-1.xls Chart 160_사장님IQS개선회의(조립생기팀0816)_인상시부담액(임,단협(1).04.26수정)_다대포 해수욕장-내역서" xfId="3171"/>
    <cellStyle name="백_IQS00년 상반기보고000520(소장)-1.xls Chart 160_사장님IQS개선회의(조립생기팀0816)_인상시부담액(임,단협(1).04.26수정)_조형물 내역서(원본)" xfId="3172"/>
    <cellStyle name="백_IQS00년 상반기보고000520(소장)-1.xls Chart 160_사장님IQS개선회의(조립생기팀0816)_조형물 내역서(원본)" xfId="3173"/>
    <cellStyle name="백_IQS00년 상반기보고000520(소장)-1.xls Chart 160_인상시부담액(임,단협(1).04.26수정)" xfId="3174"/>
    <cellStyle name="백_IQS00년 상반기보고000520(소장)-1.xls Chart 160_인상시부담액(임,단협(1).04.26수정)_다대포 해수욕장-내역서" xfId="3175"/>
    <cellStyle name="백_IQS00년 상반기보고000520(소장)-1.xls Chart 160_인상시부담액(임,단협(1).04.26수정)_조형물 내역서(원본)" xfId="3176"/>
    <cellStyle name="백_IQS00년 상반기보고000520(소장)-1.xls Chart 160_정이사님보고0907" xfId="3177"/>
    <cellStyle name="백_IQS00년 상반기보고000520(소장)-1.xls Chart 160_정이사님보고0907_Book1" xfId="3178"/>
    <cellStyle name="백_IQS00년 상반기보고000520(소장)-1.xls Chart 160_정이사님보고0907_Book1_다대포 해수욕장-내역서" xfId="3179"/>
    <cellStyle name="백_IQS00년 상반기보고000520(소장)-1.xls Chart 160_정이사님보고0907_Book1_조형물 내역서(원본)" xfId="3180"/>
    <cellStyle name="백_IQS00년 상반기보고000520(소장)-1.xls Chart 160_정이사님보고0907_다대포 해수욕장-내역서" xfId="3181"/>
    <cellStyle name="백_IQS00년 상반기보고000520(소장)-1.xls Chart 160_정이사님보고0907_인상시부담액(임,단협(1).04.26수정)" xfId="3182"/>
    <cellStyle name="백_IQS00년 상반기보고000520(소장)-1.xls Chart 160_정이사님보고0907_인상시부담액(임,단협(1).04.26수정)_다대포 해수욕장-내역서" xfId="3183"/>
    <cellStyle name="백_IQS00년 상반기보고000520(소장)-1.xls Chart 160_정이사님보고0907_인상시부담액(임,단협(1).04.26수정)_조형물 내역서(원본)" xfId="3184"/>
    <cellStyle name="백_IQS00년 상반기보고000520(소장)-1.xls Chart 160_정이사님보고0907_조형물 내역서(원본)" xfId="3185"/>
    <cellStyle name="백_IQS00년 상반기보고000520(소장)-1.xls Chart 160_조형물 내역서(원본)" xfId="3186"/>
    <cellStyle name="백_IQS00년 상반기보고000520(소장)-1.xls Chart 161" xfId="3187"/>
    <cellStyle name="백_IQS00년 상반기보고000520(소장)-1.xls Chart 161_Book1" xfId="3188"/>
    <cellStyle name="백_IQS00년 상반기보고000520(소장)-1.xls Chart 161_Book1_다대포 해수욕장-내역서" xfId="3189"/>
    <cellStyle name="백_IQS00년 상반기보고000520(소장)-1.xls Chart 161_Book1_조형물 내역서(원본)" xfId="3190"/>
    <cellStyle name="백_IQS00년 상반기보고000520(소장)-1.xls Chart 161_다대포 해수욕장-내역서" xfId="3191"/>
    <cellStyle name="백_IQS00년 상반기보고000520(소장)-1.xls Chart 161_사장님IQS개선회의(조립생기팀0816)" xfId="3192"/>
    <cellStyle name="백_IQS00년 상반기보고000520(소장)-1.xls Chart 161_사장님IQS개선회의(조립생기팀0816)_Book1" xfId="3193"/>
    <cellStyle name="백_IQS00년 상반기보고000520(소장)-1.xls Chart 161_사장님IQS개선회의(조립생기팀0816)_Book1_다대포 해수욕장-내역서" xfId="3194"/>
    <cellStyle name="백_IQS00년 상반기보고000520(소장)-1.xls Chart 161_사장님IQS개선회의(조립생기팀0816)_Book1_조형물 내역서(원본)" xfId="3195"/>
    <cellStyle name="백_IQS00년 상반기보고000520(소장)-1.xls Chart 161_사장님IQS개선회의(조립생기팀0816)_다대포 해수욕장-내역서" xfId="3196"/>
    <cellStyle name="백_IQS00년 상반기보고000520(소장)-1.xls Chart 161_사장님IQS개선회의(조립생기팀0816)_인상시부담액(임,단협(1).04.26수정)" xfId="3197"/>
    <cellStyle name="백_IQS00년 상반기보고000520(소장)-1.xls Chart 161_사장님IQS개선회의(조립생기팀0816)_인상시부담액(임,단협(1).04.26수정)_다대포 해수욕장-내역서" xfId="3198"/>
    <cellStyle name="백_IQS00년 상반기보고000520(소장)-1.xls Chart 161_사장님IQS개선회의(조립생기팀0816)_인상시부담액(임,단협(1).04.26수정)_조형물 내역서(원본)" xfId="3199"/>
    <cellStyle name="백_IQS00년 상반기보고000520(소장)-1.xls Chart 161_사장님IQS개선회의(조립생기팀0816)_조형물 내역서(원본)" xfId="3200"/>
    <cellStyle name="백_IQS00년 상반기보고000520(소장)-1.xls Chart 161_인상시부담액(임,단협(1).04.26수정)" xfId="3201"/>
    <cellStyle name="백_IQS00년 상반기보고000520(소장)-1.xls Chart 161_인상시부담액(임,단협(1).04.26수정)_다대포 해수욕장-내역서" xfId="3202"/>
    <cellStyle name="백_IQS00년 상반기보고000520(소장)-1.xls Chart 161_인상시부담액(임,단협(1).04.26수정)_조형물 내역서(원본)" xfId="3203"/>
    <cellStyle name="백_IQS00년 상반기보고000520(소장)-1.xls Chart 161_정이사님보고0907" xfId="3204"/>
    <cellStyle name="백_IQS00년 상반기보고000520(소장)-1.xls Chart 161_정이사님보고0907_Book1" xfId="3205"/>
    <cellStyle name="백_IQS00년 상반기보고000520(소장)-1.xls Chart 161_정이사님보고0907_Book1_다대포 해수욕장-내역서" xfId="3206"/>
    <cellStyle name="백_IQS00년 상반기보고000520(소장)-1.xls Chart 161_정이사님보고0907_Book1_조형물 내역서(원본)" xfId="3207"/>
    <cellStyle name="백_IQS00년 상반기보고000520(소장)-1.xls Chart 161_정이사님보고0907_다대포 해수욕장-내역서" xfId="3208"/>
    <cellStyle name="백_IQS00년 상반기보고000520(소장)-1.xls Chart 161_정이사님보고0907_인상시부담액(임,단협(1).04.26수정)" xfId="3209"/>
    <cellStyle name="백_IQS00년 상반기보고000520(소장)-1.xls Chart 161_정이사님보고0907_인상시부담액(임,단협(1).04.26수정)_다대포 해수욕장-내역서" xfId="3210"/>
    <cellStyle name="백_IQS00년 상반기보고000520(소장)-1.xls Chart 161_정이사님보고0907_인상시부담액(임,단협(1).04.26수정)_조형물 내역서(원본)" xfId="3211"/>
    <cellStyle name="백_IQS00년 상반기보고000520(소장)-1.xls Chart 161_정이사님보고0907_조형물 내역서(원본)" xfId="3212"/>
    <cellStyle name="백_IQS00년 상반기보고000520(소장)-1.xls Chart 161_조형물 내역서(원본)" xfId="3213"/>
    <cellStyle name="백_IQS00년 상반기보고000520(소장)-1_Book1" xfId="3214"/>
    <cellStyle name="백_IQS00년 상반기보고000520(소장)-1_Book1_다대포 해수욕장-내역서" xfId="3215"/>
    <cellStyle name="백_IQS00년 상반기보고000520(소장)-1_Book1_조형물 내역서(원본)" xfId="3216"/>
    <cellStyle name="백_IQS00년 상반기보고000520(소장)-1_다대포 해수욕장-내역서" xfId="3217"/>
    <cellStyle name="백_IQS00년 상반기보고000520(소장)-1_사장님IQS개선회의(조립생기팀0816)" xfId="3218"/>
    <cellStyle name="백_IQS00년 상반기보고000520(소장)-1_사장님IQS개선회의(조립생기팀0816)_Book1" xfId="3219"/>
    <cellStyle name="백_IQS00년 상반기보고000520(소장)-1_사장님IQS개선회의(조립생기팀0816)_Book1_다대포 해수욕장-내역서" xfId="3220"/>
    <cellStyle name="백_IQS00년 상반기보고000520(소장)-1_사장님IQS개선회의(조립생기팀0816)_Book1_조형물 내역서(원본)" xfId="3221"/>
    <cellStyle name="백_IQS00년 상반기보고000520(소장)-1_사장님IQS개선회의(조립생기팀0816)_다대포 해수욕장-내역서" xfId="3222"/>
    <cellStyle name="백_IQS00년 상반기보고000520(소장)-1_사장님IQS개선회의(조립생기팀0816)_인상시부담액(임,단협(1).04.26수정)" xfId="3223"/>
    <cellStyle name="백_IQS00년 상반기보고000520(소장)-1_사장님IQS개선회의(조립생기팀0816)_인상시부담액(임,단협(1).04.26수정)_다대포 해수욕장-내역서" xfId="3224"/>
    <cellStyle name="백_IQS00년 상반기보고000520(소장)-1_사장님IQS개선회의(조립생기팀0816)_인상시부담액(임,단협(1).04.26수정)_조형물 내역서(원본)" xfId="3225"/>
    <cellStyle name="백_IQS00년 상반기보고000520(소장)-1_사장님IQS개선회의(조립생기팀0816)_조형물 내역서(원본)" xfId="3226"/>
    <cellStyle name="백_IQS00년 상반기보고000520(소장)-1_인상시부담액(임,단협(1).04.26수정)" xfId="3227"/>
    <cellStyle name="백_IQS00년 상반기보고000520(소장)-1_인상시부담액(임,단협(1).04.26수정)_다대포 해수욕장-내역서" xfId="3228"/>
    <cellStyle name="백_IQS00년 상반기보고000520(소장)-1_인상시부담액(임,단협(1).04.26수정)_조형물 내역서(원본)" xfId="3229"/>
    <cellStyle name="백_IQS00년 상반기보고000520(소장)-1_정이사님보고0907" xfId="3230"/>
    <cellStyle name="백_IQS00년 상반기보고000520(소장)-1_정이사님보고0907_Book1" xfId="3231"/>
    <cellStyle name="백_IQS00년 상반기보고000520(소장)-1_정이사님보고0907_Book1_다대포 해수욕장-내역서" xfId="3232"/>
    <cellStyle name="백_IQS00년 상반기보고000520(소장)-1_정이사님보고0907_Book1_조형물 내역서(원본)" xfId="3233"/>
    <cellStyle name="백_IQS00년 상반기보고000520(소장)-1_정이사님보고0907_다대포 해수욕장-내역서" xfId="3234"/>
    <cellStyle name="백_IQS00년 상반기보고000520(소장)-1_정이사님보고0907_인상시부담액(임,단협(1).04.26수정)" xfId="3235"/>
    <cellStyle name="백_IQS00년 상반기보고000520(소장)-1_정이사님보고0907_인상시부담액(임,단협(1).04.26수정)_다대포 해수욕장-내역서" xfId="3236"/>
    <cellStyle name="백_IQS00년 상반기보고000520(소장)-1_정이사님보고0907_인상시부담액(임,단협(1).04.26수정)_조형물 내역서(원본)" xfId="3237"/>
    <cellStyle name="백_IQS00년 상반기보고000520(소장)-1_정이사님보고0907_조형물 내역서(원본)" xfId="3238"/>
    <cellStyle name="백_IQS00년 상반기보고000520(소장)-1_조형물 내역서(원본)" xfId="3239"/>
    <cellStyle name="백_고련지2제당" xfId="11779"/>
    <cellStyle name="백_고련지2제당_고련지2제당" xfId="11780"/>
    <cellStyle name="백_공사비도급내역(비상방수문-변경1)" xfId="11781"/>
    <cellStyle name="백_다대포 해수욕장-내역서" xfId="3240"/>
    <cellStyle name="백_다대포 해수욕장-내역서 2" xfId="4574"/>
    <cellStyle name="백_다대포 해수욕장-내역서 3" xfId="4551"/>
    <cellStyle name="백_다대포 해수욕장-내역서_5공구 내역서" xfId="3241"/>
    <cellStyle name="백_다대포 해수욕장-내역서_5공구 내역서1" xfId="3242"/>
    <cellStyle name="백_다대포 해수욕장-내역서_경관조명-내역서(20100423)" xfId="3243"/>
    <cellStyle name="백_다대포 해수욕장-내역서_경관조명-내역서(20100726)" xfId="3244"/>
    <cellStyle name="백_다대포 해수욕장-내역서_경관조명-내역서(20100803)" xfId="3245"/>
    <cellStyle name="백_다대포 해수욕장-내역서_계남고가 내역서" xfId="3246"/>
    <cellStyle name="백_다대포 해수욕장-내역서_계남고가 내역서1111" xfId="3247"/>
    <cellStyle name="백_다대포 해수욕장-내역서_남한강내역서" xfId="3248"/>
    <cellStyle name="백_다대포 해수욕장-내역서_내역서" xfId="3249"/>
    <cellStyle name="백_다대포 해수욕장-내역서_대청호 내역서" xfId="3250"/>
    <cellStyle name="백_다대포 해수욕장-내역서_대청호 내역서-4.9억%" xfId="3251"/>
    <cellStyle name="백_다대포 해수욕장-내역서_대청호 내역서-4.9억%(그라비스 수정)" xfId="3252"/>
    <cellStyle name="백_다대포 해수욕장-내역서_보도블럭-1" xfId="3253"/>
    <cellStyle name="백_다대포 해수욕장-내역서_위천천 내역서" xfId="3254"/>
    <cellStyle name="백_다대포 해수욕장-내역서_전호대교-내역서(교량)-수정" xfId="3255"/>
    <cellStyle name="백_다대포 해수욕장-내역서_하늘도시" xfId="3256"/>
    <cellStyle name="백_다대포 해수욕장-내역서_하천 내역서" xfId="3257"/>
    <cellStyle name="백_배수공" xfId="11782"/>
    <cellStyle name="백_사본 - 계산서" xfId="3258"/>
    <cellStyle name="백_사본 - 고련지구2004년변경공정계획(농조)" xfId="11783"/>
    <cellStyle name="백_사본 - 고련지구2004년변경공정계획(농조)_고련지2제당" xfId="11784"/>
    <cellStyle name="백_사본 - 고련지구2004년변경공정계획(농조)_고련지추가변경(우치곡)" xfId="11785"/>
    <cellStyle name="백_사본 - 고련지구2004년변경공정계획(농조)_고련지추가변경(우치곡)_고련지2제당" xfId="11786"/>
    <cellStyle name="백_사본 - 고련지구2004년변경공정계획(농조)_고련지추가변경(우치곡)_고련지2제당_고련지2제당" xfId="11787"/>
    <cellStyle name="백_서암지공사비1(제당변경완)" xfId="11788"/>
    <cellStyle name="백_서암지공사비1(제당변경완)_함안지구2005(여수토)실형고(수정1)" xfId="11789"/>
    <cellStyle name="백_서암지공사비1(제당변경완)_함안지구2005(여수토)실형고(수정1)_덕실지구2005(여수토)실형고" xfId="11790"/>
    <cellStyle name="백_서암지공사비1(제당변경완)_함안지구2005(여수토)실형고(수정1)_함안지구2005(여수토)실형고(수정2)" xfId="11791"/>
    <cellStyle name="백_서암지실형내역" xfId="11792"/>
    <cellStyle name="백_서암지실형내역_함안지구2005(여수토)실형고(수정1)" xfId="11793"/>
    <cellStyle name="백_서암지실형내역_함안지구2005(여수토)실형고(수정1)_덕실지구2005(여수토)실형고" xfId="11794"/>
    <cellStyle name="백_서암지실형내역_함안지구2005(여수토)실형고(수정1)_함안지구2005(여수토)실형고(수정2)" xfId="11795"/>
    <cellStyle name="백_석촌동꽃마을빌딩" xfId="3259"/>
    <cellStyle name="백_성산아파트" xfId="3260"/>
    <cellStyle name="백_솔빛마을연결도로(최종)" xfId="11796"/>
    <cellStyle name="백_수량산출서(수정)" xfId="11797"/>
    <cellStyle name="백_수량산출서(수정)_01-토공_02-배수공" xfId="5936"/>
    <cellStyle name="백_수량산출서(수정)_01-토공_02-배수공_2차설계변경내역서(2007굴착)" xfId="5937"/>
    <cellStyle name="백_수량산출서(수정)_01-토공_02-배수공_Sheet1" xfId="5938"/>
    <cellStyle name="백_수량산출서(수정)_01-토공_02-배수공_갑지" xfId="5939"/>
    <cellStyle name="백_수량산출서(수정)_01-토공_02-배수공_관급자재" xfId="5940"/>
    <cellStyle name="백_수량산출서(수정)_01-토공_02-배수공_이설비" xfId="5941"/>
    <cellStyle name="백_수량산출서(수정)_01-토공_02-배수공_토공" xfId="5942"/>
    <cellStyle name="백_수량산출서(수정)_01-토공_02-배수공_토공_2차설계변경내역서(2007굴착)" xfId="5943"/>
    <cellStyle name="백_수량산출서(수정)_01-토공_02-배수공_토공_Sheet1" xfId="5944"/>
    <cellStyle name="백_수량산출서(수정)_01-토공_02-배수공_토공_갑지" xfId="5945"/>
    <cellStyle name="백_수량산출서(수정)_01-토공_02-배수공_토공_관급자재" xfId="5946"/>
    <cellStyle name="백_수량산출서(수정)_01-토공_02-배수공_토공_이설비" xfId="5947"/>
    <cellStyle name="백_수량산출서(수정)_02-배수공" xfId="5948"/>
    <cellStyle name="백_수량산출서(수정)_02-배수공_02-반중력식옹벽" xfId="5949"/>
    <cellStyle name="백_수량산출서(수정)_02-배수공_02-반중력식옹벽_2차설계변경내역서(2007굴착)" xfId="5950"/>
    <cellStyle name="백_수량산출서(수정)_02-배수공_02-반중력식옹벽_Sheet1" xfId="5951"/>
    <cellStyle name="백_수량산출서(수정)_02-배수공_02-반중력식옹벽_갑지" xfId="5952"/>
    <cellStyle name="백_수량산출서(수정)_02-배수공_02-반중력식옹벽_관급자재" xfId="5953"/>
    <cellStyle name="백_수량산출서(수정)_02-배수공_02-반중력식옹벽_이설비" xfId="5954"/>
    <cellStyle name="백_수량산출서(수정)_02-배수공_02-반중력식옹벽_토공" xfId="5955"/>
    <cellStyle name="백_수량산출서(수정)_02-배수공_02-반중력식옹벽_토공_2차설계변경내역서(2007굴착)" xfId="5956"/>
    <cellStyle name="백_수량산출서(수정)_02-배수공_02-반중력식옹벽_토공_Sheet1" xfId="5957"/>
    <cellStyle name="백_수량산출서(수정)_02-배수공_02-반중력식옹벽_토공_갑지" xfId="5958"/>
    <cellStyle name="백_수량산출서(수정)_02-배수공_02-반중력식옹벽_토공_관급자재" xfId="5959"/>
    <cellStyle name="백_수량산출서(수정)_02-배수공_02-반중력식옹벽_토공_이설비" xfId="5960"/>
    <cellStyle name="백_수량산출서(수정)_02-배수공_02-배수공" xfId="5961"/>
    <cellStyle name="백_수량산출서(수정)_02-배수공_02-배수공_2차설계변경내역서(2007굴착)" xfId="5962"/>
    <cellStyle name="백_수량산출서(수정)_02-배수공_02-배수공_Sheet1" xfId="5963"/>
    <cellStyle name="백_수량산출서(수정)_02-배수공_02-배수공_갑지" xfId="5964"/>
    <cellStyle name="백_수량산출서(수정)_02-배수공_02-배수공_관급자재" xfId="5965"/>
    <cellStyle name="백_수량산출서(수정)_02-배수공_02-배수공_이설비" xfId="5966"/>
    <cellStyle name="백_수량산출서(수정)_02-배수공_02-배수공_토공" xfId="5967"/>
    <cellStyle name="백_수량산출서(수정)_02-배수공_02-배수공_토공_2차설계변경내역서(2007굴착)" xfId="5968"/>
    <cellStyle name="백_수량산출서(수정)_02-배수공_02-배수공_토공_Sheet1" xfId="5969"/>
    <cellStyle name="백_수량산출서(수정)_02-배수공_02-배수공_토공_갑지" xfId="5970"/>
    <cellStyle name="백_수량산출서(수정)_02-배수공_02-배수공_토공_관급자재" xfId="5971"/>
    <cellStyle name="백_수량산출서(수정)_02-배수공_02-배수공_토공_이설비" xfId="5972"/>
    <cellStyle name="백_수량산출서(수정)_02-배수공_2차설계변경내역서(2007굴착)" xfId="5973"/>
    <cellStyle name="백_수량산출서(수정)_02-배수공_Sheet1" xfId="5974"/>
    <cellStyle name="백_수량산출서(수정)_02-배수공_갑지" xfId="5975"/>
    <cellStyle name="백_수량산출서(수정)_02-배수공_관급자재" xfId="5976"/>
    <cellStyle name="백_수량산출서(수정)_02-배수공_반중력" xfId="5977"/>
    <cellStyle name="백_수량산출서(수정)_02-배수공_반중력_2차설계변경내역서(2007굴착)" xfId="5978"/>
    <cellStyle name="백_수량산출서(수정)_02-배수공_반중력_Sheet1" xfId="5979"/>
    <cellStyle name="백_수량산출서(수정)_02-배수공_반중력_갑지" xfId="5980"/>
    <cellStyle name="백_수량산출서(수정)_02-배수공_반중력_관급자재" xfId="5981"/>
    <cellStyle name="백_수량산출서(수정)_02-배수공_반중력_이설비" xfId="5982"/>
    <cellStyle name="백_수량산출서(수정)_02-배수공_반중력_토공" xfId="5983"/>
    <cellStyle name="백_수량산출서(수정)_02-배수공_반중력_토공_2차설계변경내역서(2007굴착)" xfId="5984"/>
    <cellStyle name="백_수량산출서(수정)_02-배수공_반중력_토공_Sheet1" xfId="5985"/>
    <cellStyle name="백_수량산출서(수정)_02-배수공_반중력_토공_갑지" xfId="5986"/>
    <cellStyle name="백_수량산출서(수정)_02-배수공_반중력_토공_관급자재" xfId="5987"/>
    <cellStyle name="백_수량산출서(수정)_02-배수공_반중력_토공_이설비" xfId="5988"/>
    <cellStyle name="백_수량산출서(수정)_02-배수공_이설비" xfId="5989"/>
    <cellStyle name="백_수량산출서(수정)_02-배수공_토공" xfId="5990"/>
    <cellStyle name="백_수량산출서(수정)_02-배수공_토공_2차설계변경내역서(2007굴착)" xfId="5991"/>
    <cellStyle name="백_수량산출서(수정)_02-배수공_토공_Sheet1" xfId="5992"/>
    <cellStyle name="백_수량산출서(수정)_02-배수공_토공_갑지" xfId="5993"/>
    <cellStyle name="백_수량산출서(수정)_02-배수공_토공_관급자재" xfId="5994"/>
    <cellStyle name="백_수량산출서(수정)_02-배수공_토공_이설비" xfId="5995"/>
    <cellStyle name="백_수량산출서(수정)_04-포장공_02-배수공" xfId="5996"/>
    <cellStyle name="백_수량산출서(수정)_04-포장공_02-배수공_2차설계변경내역서(2007굴착)" xfId="5997"/>
    <cellStyle name="백_수량산출서(수정)_04-포장공_02-배수공_Sheet1" xfId="5998"/>
    <cellStyle name="백_수량산출서(수정)_04-포장공_02-배수공_갑지" xfId="5999"/>
    <cellStyle name="백_수량산출서(수정)_04-포장공_02-배수공_관급자재" xfId="6000"/>
    <cellStyle name="백_수량산출서(수정)_04-포장공_02-배수공_이설비" xfId="6001"/>
    <cellStyle name="백_수량산출서(수정)_04-포장공_02-배수공_토공" xfId="6002"/>
    <cellStyle name="백_수량산출서(수정)_04-포장공_02-배수공_토공_2차설계변경내역서(2007굴착)" xfId="6003"/>
    <cellStyle name="백_수량산출서(수정)_04-포장공_02-배수공_토공_Sheet1" xfId="6004"/>
    <cellStyle name="백_수량산출서(수정)_04-포장공_02-배수공_토공_갑지" xfId="6005"/>
    <cellStyle name="백_수량산출서(수정)_04-포장공_02-배수공_토공_관급자재" xfId="6006"/>
    <cellStyle name="백_수량산출서(수정)_04-포장공_02-배수공_토공_이설비" xfId="6007"/>
    <cellStyle name="백_수량산출서(수정)_06-부대공_02-배수공" xfId="6008"/>
    <cellStyle name="백_수량산출서(수정)_06-부대공_02-배수공_2차설계변경내역서(2007굴착)" xfId="6009"/>
    <cellStyle name="백_수량산출서(수정)_06-부대공_02-배수공_Sheet1" xfId="6010"/>
    <cellStyle name="백_수량산출서(수정)_06-부대공_02-배수공_갑지" xfId="6011"/>
    <cellStyle name="백_수량산출서(수정)_06-부대공_02-배수공_관급자재" xfId="6012"/>
    <cellStyle name="백_수량산출서(수정)_06-부대공_02-배수공_이설비" xfId="6013"/>
    <cellStyle name="백_수량산출서(수정)_06-부대공_02-배수공_토공" xfId="6014"/>
    <cellStyle name="백_수량산출서(수정)_06-부대공_02-배수공_토공_2차설계변경내역서(2007굴착)" xfId="6015"/>
    <cellStyle name="백_수량산출서(수정)_06-부대공_02-배수공_토공_Sheet1" xfId="6016"/>
    <cellStyle name="백_수량산출서(수정)_06-부대공_02-배수공_토공_갑지" xfId="6017"/>
    <cellStyle name="백_수량산출서(수정)_06-부대공_02-배수공_토공_관급자재" xfId="6018"/>
    <cellStyle name="백_수량산출서(수정)_06-부대공_02-배수공_토공_이설비" xfId="6019"/>
    <cellStyle name="백_수량산출서(수정)_3. 신광R~숭의R(배수공)" xfId="11798"/>
    <cellStyle name="백_수량산출서(수정)_고련지2제당" xfId="11799"/>
    <cellStyle name="백_수량산출서(수정)_고련지2제당_고련지2제당" xfId="11800"/>
    <cellStyle name="백_수량산출서(수정)_공사비도급내역(비상방수문-변경1)" xfId="11801"/>
    <cellStyle name="백_수량산출서(수정)_배수공" xfId="11802"/>
    <cellStyle name="백_수량산출서(수정)_사본 - 고련지구2004년변경공정계획(농조)" xfId="11803"/>
    <cellStyle name="백_수량산출서(수정)_사본 - 고련지구2004년변경공정계획(농조)_고련지2제당" xfId="11804"/>
    <cellStyle name="백_수량산출서(수정)_사본 - 고련지구2004년변경공정계획(농조)_고련지추가변경(우치곡)" xfId="11805"/>
    <cellStyle name="백_수량산출서(수정)_사본 - 고련지구2004년변경공정계획(농조)_고련지추가변경(우치곡)_고련지2제당" xfId="11806"/>
    <cellStyle name="백_수량산출서(수정)_사본 - 고련지구2004년변경공정계획(농조)_고련지추가변경(우치곡)_고련지2제당_고련지2제당" xfId="11807"/>
    <cellStyle name="백_수량산출서(수정)_서암지공사비1(제당변경완)" xfId="11808"/>
    <cellStyle name="백_수량산출서(수정)_서암지공사비1(제당변경완)_함안지구2005(여수토)실형고(수정1)" xfId="11809"/>
    <cellStyle name="백_수량산출서(수정)_서암지공사비1(제당변경완)_함안지구2005(여수토)실형고(수정1)_덕실지구2005(여수토)실형고" xfId="11810"/>
    <cellStyle name="백_수량산출서(수정)_서암지공사비1(제당변경완)_함안지구2005(여수토)실형고(수정1)_함안지구2005(여수토)실형고(수정2)" xfId="11811"/>
    <cellStyle name="백_수량산출서(수정)_서암지실형내역" xfId="11812"/>
    <cellStyle name="백_수량산출서(수정)_서암지실형내역_함안지구2005(여수토)실형고(수정1)" xfId="11813"/>
    <cellStyle name="백_수량산출서(수정)_서암지실형내역_함안지구2005(여수토)실형고(수정1)_덕실지구2005(여수토)실형고" xfId="11814"/>
    <cellStyle name="백_수량산출서(수정)_서암지실형내역_함안지구2005(여수토)실형고(수정1)_함안지구2005(여수토)실형고(수정2)" xfId="11815"/>
    <cellStyle name="백_수량산출서(수정)_솔빛마을연결도로(최종)" xfId="11816"/>
    <cellStyle name="백_수량산출서(수정)_실형고관련" xfId="11817"/>
    <cellStyle name="백_수량산출서(수정)_실형고관련_공사비도급내역(비상방수문-변경1)" xfId="11818"/>
    <cellStyle name="백_수량산출서(수정)_실형고관련_서암지공사비1(제당변경완)" xfId="11819"/>
    <cellStyle name="백_수량산출서(수정)_실형고관련_서암지공사비1(제당변경완)_함안지구2005(여수토)실형고(수정1)" xfId="11820"/>
    <cellStyle name="백_수량산출서(수정)_실형고관련_서암지공사비1(제당변경완)_함안지구2005(여수토)실형고(수정1)_덕실지구2005(여수토)실형고" xfId="11821"/>
    <cellStyle name="백_수량산출서(수정)_실형고관련_서암지공사비1(제당변경완)_함안지구2005(여수토)실형고(수정1)_함안지구2005(여수토)실형고(수정2)" xfId="11822"/>
    <cellStyle name="백_수량산출서(수정)_실형고관련_서암지실형내역" xfId="11823"/>
    <cellStyle name="백_수량산출서(수정)_실형고관련_서암지실형내역_함안지구2005(여수토)실형고(수정1)" xfId="11824"/>
    <cellStyle name="백_수량산출서(수정)_실형고관련_서암지실형내역_함안지구2005(여수토)실형고(수정1)_덕실지구2005(여수토)실형고" xfId="11825"/>
    <cellStyle name="백_수량산출서(수정)_실형고관련_서암지실형내역_함안지구2005(여수토)실형고(수정1)_함안지구2005(여수토)실형고(수정2)" xfId="11826"/>
    <cellStyle name="백_수량산출서(수정)_실형고관련_함안지구2005(여수토)실형고(수정1)" xfId="11827"/>
    <cellStyle name="백_수량산출서(수정)_실형고관련_함안지구2005(여수토)실형고(수정1)_덕실지구2005(여수토)실형고" xfId="11828"/>
    <cellStyle name="백_수량산출서(수정)_실형고관련_함안지구2005(여수토)실형고(수정1)_함안지구2005(여수토)실형고(수정2)" xfId="11829"/>
    <cellStyle name="백_수량산출서(수정)_함안지구2005(여수토)실형고(수정1)" xfId="11830"/>
    <cellStyle name="백_수량산출서(수정)_함안지구2005(여수토)실형고(수정1)_덕실지구2005(여수토)실형고" xfId="11831"/>
    <cellStyle name="백_수량산출서(수정)_함안지구2005(여수토)실형고(수정1)_함안지구2005(여수토)실형고(수정2)" xfId="11832"/>
    <cellStyle name="백_신성교회" xfId="3261"/>
    <cellStyle name="백_실형고관련" xfId="11833"/>
    <cellStyle name="백_실형고관련_공사비도급내역(비상방수문-변경1)" xfId="11834"/>
    <cellStyle name="백_실형고관련_서암지공사비1(제당변경완)" xfId="11835"/>
    <cellStyle name="백_실형고관련_서암지공사비1(제당변경완)_함안지구2005(여수토)실형고(수정1)" xfId="11836"/>
    <cellStyle name="백_실형고관련_서암지공사비1(제당변경완)_함안지구2005(여수토)실형고(수정1)_덕실지구2005(여수토)실형고" xfId="11837"/>
    <cellStyle name="백_실형고관련_서암지공사비1(제당변경완)_함안지구2005(여수토)실형고(수정1)_함안지구2005(여수토)실형고(수정2)" xfId="11838"/>
    <cellStyle name="백_실형고관련_서암지실형내역" xfId="11839"/>
    <cellStyle name="백_실형고관련_서암지실형내역_함안지구2005(여수토)실형고(수정1)" xfId="11840"/>
    <cellStyle name="백_실형고관련_서암지실형내역_함안지구2005(여수토)실형고(수정1)_덕실지구2005(여수토)실형고" xfId="11841"/>
    <cellStyle name="백_실형고관련_서암지실형내역_함안지구2005(여수토)실형고(수정1)_함안지구2005(여수토)실형고(수정2)" xfId="11842"/>
    <cellStyle name="백_실형고관련_함안지구2005(여수토)실형고(수정1)" xfId="11843"/>
    <cellStyle name="백_실형고관련_함안지구2005(여수토)실형고(수정1)_덕실지구2005(여수토)실형고" xfId="11844"/>
    <cellStyle name="백_실형고관련_함안지구2005(여수토)실형고(수정1)_함안지구2005(여수토)실형고(수정2)" xfId="11845"/>
    <cellStyle name="백_조형물 내역서(원본)" xfId="3262"/>
    <cellStyle name="백_조형물 내역서(원본) 2" xfId="4575"/>
    <cellStyle name="백_조형물 내역서(원본) 3" xfId="4552"/>
    <cellStyle name="백_조형물 내역서(원본)_5공구 내역서" xfId="3263"/>
    <cellStyle name="백_조형물 내역서(원본)_5공구 내역서1" xfId="3264"/>
    <cellStyle name="백_조형물 내역서(원본)_경관조명-내역서(20100423)" xfId="3265"/>
    <cellStyle name="백_조형물 내역서(원본)_경관조명-내역서(20100726)" xfId="3266"/>
    <cellStyle name="백_조형물 내역서(원본)_경관조명-내역서(20100803)" xfId="3267"/>
    <cellStyle name="백_조형물 내역서(원본)_계남고가 내역서" xfId="3268"/>
    <cellStyle name="백_조형물 내역서(원본)_계남고가 내역서1111" xfId="3269"/>
    <cellStyle name="백_조형물 내역서(원본)_남한강내역서" xfId="3270"/>
    <cellStyle name="백_조형물 내역서(원본)_내역서" xfId="3271"/>
    <cellStyle name="백_조형물 내역서(원본)_대청호 내역서" xfId="3272"/>
    <cellStyle name="백_조형물 내역서(원본)_대청호 내역서-4.9억%" xfId="3273"/>
    <cellStyle name="백_조형물 내역서(원본)_대청호 내역서-4.9억%(그라비스 수정)" xfId="3274"/>
    <cellStyle name="백_조형물 내역서(원본)_보도블럭-1" xfId="3275"/>
    <cellStyle name="백_조형물 내역서(원본)_위천천 내역서" xfId="3276"/>
    <cellStyle name="백_조형물 내역서(원본)_전호대교-내역서(교량)-수정" xfId="3277"/>
    <cellStyle name="백_조형물 내역서(원본)_하늘도시" xfId="3278"/>
    <cellStyle name="백_조형물 내역서(원본)_하천 내역서" xfId="3279"/>
    <cellStyle name="백_함안지구2005(여수토)실형고(수정1)" xfId="11846"/>
    <cellStyle name="백_함안지구2005(여수토)실형고(수정1)_덕실지구2005(여수토)실형고" xfId="11847"/>
    <cellStyle name="백_함안지구2005(여수토)실형고(수정1)_함안지구2005(여수토)실형고(수정2)" xfId="11848"/>
    <cellStyle name="백분율 [0]" xfId="3280"/>
    <cellStyle name="백분율 [0] 2" xfId="6020"/>
    <cellStyle name="백분율 [0] 2 2" xfId="11300"/>
    <cellStyle name="백분율 [1]" xfId="3281"/>
    <cellStyle name="백분율 [2]" xfId="3282"/>
    <cellStyle name="백분율 10" xfId="3283"/>
    <cellStyle name="백분율 10 2" xfId="6587"/>
    <cellStyle name="백분율 11" xfId="3284"/>
    <cellStyle name="백분율 12" xfId="3285"/>
    <cellStyle name="백분율 12 2" xfId="3286"/>
    <cellStyle name="백분율 13" xfId="3287"/>
    <cellStyle name="백분율 13 2" xfId="3288"/>
    <cellStyle name="백분율 14" xfId="3289"/>
    <cellStyle name="백분율 14 2" xfId="3290"/>
    <cellStyle name="백분율 15" xfId="3291"/>
    <cellStyle name="백분율 15 2" xfId="3292"/>
    <cellStyle name="백분율 16" xfId="3293"/>
    <cellStyle name="백분율 16 2" xfId="3294"/>
    <cellStyle name="백분율 17" xfId="3295"/>
    <cellStyle name="백분율 17 2" xfId="3296"/>
    <cellStyle name="백분율 18" xfId="3297"/>
    <cellStyle name="백분율 18 2" xfId="3298"/>
    <cellStyle name="백분율 19" xfId="3299"/>
    <cellStyle name="백분율 19 2" xfId="3300"/>
    <cellStyle name="백분율 2" xfId="3301"/>
    <cellStyle name="백분율 2 2" xfId="3302"/>
    <cellStyle name="백분율 2 2 2" xfId="3303"/>
    <cellStyle name="백분율 2 3" xfId="3304"/>
    <cellStyle name="백분율 2 4" xfId="6021"/>
    <cellStyle name="백분율 20" xfId="3305"/>
    <cellStyle name="백분율 20 2" xfId="3306"/>
    <cellStyle name="백분율 21" xfId="3307"/>
    <cellStyle name="백분율 21 2" xfId="3308"/>
    <cellStyle name="백분율 22" xfId="3309"/>
    <cellStyle name="백분율 22 2" xfId="3310"/>
    <cellStyle name="백분율 23" xfId="3311"/>
    <cellStyle name="백분율 23 2" xfId="3312"/>
    <cellStyle name="백분율 24" xfId="3313"/>
    <cellStyle name="백분율 24 2" xfId="3314"/>
    <cellStyle name="백분율 25" xfId="3315"/>
    <cellStyle name="백분율 25 2" xfId="3316"/>
    <cellStyle name="백분율 26" xfId="3317"/>
    <cellStyle name="백분율 26 2" xfId="3318"/>
    <cellStyle name="백분율 27" xfId="3319"/>
    <cellStyle name="백분율 27 2" xfId="3320"/>
    <cellStyle name="백분율 28" xfId="3321"/>
    <cellStyle name="백분율 28 2" xfId="3322"/>
    <cellStyle name="백분율 29" xfId="3323"/>
    <cellStyle name="백분율 29 2" xfId="3324"/>
    <cellStyle name="백분율 3" xfId="3325"/>
    <cellStyle name="백분율 3 2" xfId="6588"/>
    <cellStyle name="백분율 3 3" xfId="6022"/>
    <cellStyle name="백분율 30" xfId="3326"/>
    <cellStyle name="백분율 30 2" xfId="3327"/>
    <cellStyle name="백분율 31" xfId="3328"/>
    <cellStyle name="백분율 31 2" xfId="3329"/>
    <cellStyle name="백분율 32" xfId="3330"/>
    <cellStyle name="백분율 32 2" xfId="3331"/>
    <cellStyle name="백분율 33" xfId="3332"/>
    <cellStyle name="백분율 33 2" xfId="3333"/>
    <cellStyle name="백분율 34" xfId="3334"/>
    <cellStyle name="백분율 34 2" xfId="3335"/>
    <cellStyle name="백분율 35" xfId="3336"/>
    <cellStyle name="백분율 35 2" xfId="3337"/>
    <cellStyle name="백분율 36" xfId="3338"/>
    <cellStyle name="백분율 36 2" xfId="3339"/>
    <cellStyle name="백분율 37" xfId="3340"/>
    <cellStyle name="백분율 37 2" xfId="3341"/>
    <cellStyle name="백분율 38" xfId="3342"/>
    <cellStyle name="백분율 38 2" xfId="3343"/>
    <cellStyle name="백분율 39" xfId="3344"/>
    <cellStyle name="백분율 39 2" xfId="3345"/>
    <cellStyle name="백분율 4" xfId="3346"/>
    <cellStyle name="백분율 4 2" xfId="6589"/>
    <cellStyle name="백분율 4 3" xfId="6023"/>
    <cellStyle name="백분율 40" xfId="3347"/>
    <cellStyle name="백분율 40 2" xfId="3348"/>
    <cellStyle name="백분율 41" xfId="3349"/>
    <cellStyle name="백분율 41 2" xfId="3350"/>
    <cellStyle name="백분율 42" xfId="3351"/>
    <cellStyle name="백분율 42 2" xfId="3352"/>
    <cellStyle name="백분율 43" xfId="3353"/>
    <cellStyle name="백분율 43 2" xfId="3354"/>
    <cellStyle name="백분율 44" xfId="3355"/>
    <cellStyle name="백분율 44 2" xfId="3356"/>
    <cellStyle name="백분율 45" xfId="3357"/>
    <cellStyle name="백분율 45 2" xfId="3358"/>
    <cellStyle name="백분율 46" xfId="3359"/>
    <cellStyle name="백분율 46 2" xfId="3360"/>
    <cellStyle name="백분율 47" xfId="3361"/>
    <cellStyle name="백분율 47 2" xfId="3362"/>
    <cellStyle name="백분율 48" xfId="3363"/>
    <cellStyle name="백분율 48 2" xfId="3364"/>
    <cellStyle name="백분율 49" xfId="3365"/>
    <cellStyle name="백분율 49 2" xfId="3366"/>
    <cellStyle name="백분율 5" xfId="3367"/>
    <cellStyle name="백분율 5 2" xfId="6590"/>
    <cellStyle name="백분율 5 3" xfId="6024"/>
    <cellStyle name="백분율 50" xfId="3368"/>
    <cellStyle name="백분율 50 2" xfId="3369"/>
    <cellStyle name="백분율 51" xfId="3370"/>
    <cellStyle name="백분율 51 2" xfId="3371"/>
    <cellStyle name="백분율 52" xfId="3372"/>
    <cellStyle name="백분율 52 2" xfId="3373"/>
    <cellStyle name="백분율 53" xfId="3374"/>
    <cellStyle name="백분율 53 2" xfId="3375"/>
    <cellStyle name="백분율 54" xfId="3376"/>
    <cellStyle name="백분율 54 2" xfId="3377"/>
    <cellStyle name="백분율 55" xfId="3378"/>
    <cellStyle name="백분율 55 2" xfId="3379"/>
    <cellStyle name="백분율 56" xfId="3380"/>
    <cellStyle name="백분율 56 2" xfId="3381"/>
    <cellStyle name="백분율 57" xfId="3382"/>
    <cellStyle name="백분율 57 2" xfId="3383"/>
    <cellStyle name="백분율 58" xfId="3384"/>
    <cellStyle name="백분율 58 2" xfId="3385"/>
    <cellStyle name="백분율 59" xfId="3386"/>
    <cellStyle name="백분율 59 2" xfId="3387"/>
    <cellStyle name="백분율 6" xfId="3388"/>
    <cellStyle name="백분율 6 2" xfId="6591"/>
    <cellStyle name="백분율 6 3" xfId="6025"/>
    <cellStyle name="백분율 60" xfId="3389"/>
    <cellStyle name="백분율 60 2" xfId="3390"/>
    <cellStyle name="백분율 61" xfId="3391"/>
    <cellStyle name="백분율 61 2" xfId="3392"/>
    <cellStyle name="백분율 62" xfId="3393"/>
    <cellStyle name="백분율 62 2" xfId="3394"/>
    <cellStyle name="백분율 63" xfId="3395"/>
    <cellStyle name="백분율 63 2" xfId="3396"/>
    <cellStyle name="백분율 64" xfId="3397"/>
    <cellStyle name="백분율 64 2" xfId="3398"/>
    <cellStyle name="백분율 65" xfId="3399"/>
    <cellStyle name="백분율 65 2" xfId="3400"/>
    <cellStyle name="백분율 66" xfId="3401"/>
    <cellStyle name="백분율 66 2" xfId="3402"/>
    <cellStyle name="백분율 67" xfId="3403"/>
    <cellStyle name="백분율 67 2" xfId="3404"/>
    <cellStyle name="백분율 7" xfId="3405"/>
    <cellStyle name="백분율 7 2" xfId="6592"/>
    <cellStyle name="백분율 7 3" xfId="6026"/>
    <cellStyle name="백분율 8" xfId="3406"/>
    <cellStyle name="백분율 8 2" xfId="6593"/>
    <cellStyle name="백분율 8 3" xfId="6027"/>
    <cellStyle name="백분율 9" xfId="3407"/>
    <cellStyle name="백분율 9 2" xfId="6594"/>
    <cellStyle name="백분율 9 3" xfId="6028"/>
    <cellStyle name="백분율［△1］" xfId="10429"/>
    <cellStyle name="백분율［△1］ 2" xfId="10430"/>
    <cellStyle name="백분율［△2］" xfId="10431"/>
    <cellStyle name="백분율［△2］ 2" xfId="10432"/>
    <cellStyle name="병합 후 가운데 맞춤" xfId="3408"/>
    <cellStyle name="병합 후 가운데 정열" xfId="3409"/>
    <cellStyle name="보통 2" xfId="6029"/>
    <cellStyle name="보통 3" xfId="11849"/>
    <cellStyle name="보통 4" xfId="11850"/>
    <cellStyle name="보통 5" xfId="11851"/>
    <cellStyle name="보통 6" xfId="11852"/>
    <cellStyle name="보통 7" xfId="11853"/>
    <cellStyle name="보통 8" xfId="11854"/>
    <cellStyle name="분수" xfId="3410"/>
    <cellStyle name="분수 2" xfId="10433"/>
    <cellStyle name="뷭?" xfId="3411"/>
    <cellStyle name="뷭? 2" xfId="10434"/>
    <cellStyle name="뷭? 3" xfId="10435"/>
    <cellStyle name="뷭?_설계내역서" xfId="10436"/>
    <cellStyle name="빨강" xfId="6030"/>
    <cellStyle name="常规_cs802" xfId="6031"/>
    <cellStyle name="선택영역" xfId="11855"/>
    <cellStyle name="선택영역 가운데" xfId="11856"/>
    <cellStyle name="선택영역_토공수량" xfId="11857"/>
    <cellStyle name="선택영역의 가운데" xfId="11858"/>
    <cellStyle name="선택영역의 가운데로" xfId="3412"/>
    <cellStyle name="선택영역의 가운데로 2" xfId="10437"/>
    <cellStyle name="선택영영" xfId="11859"/>
    <cellStyle name="설계서" xfId="3413"/>
    <cellStyle name="설계서-내용" xfId="3414"/>
    <cellStyle name="설계서-내용 2" xfId="10438"/>
    <cellStyle name="설계서-내용 2 2" xfId="11301"/>
    <cellStyle name="설계서-내용 2 2 10" xfId="14230"/>
    <cellStyle name="설계서-내용 2 2 11" xfId="16954"/>
    <cellStyle name="설계서-내용 2 2 11 2" xfId="29729"/>
    <cellStyle name="설계서-내용 2 2 12" xfId="22956"/>
    <cellStyle name="설계서-내용 2 2 12 2" xfId="35390"/>
    <cellStyle name="설계서-내용 2 2 13" xfId="21204"/>
    <cellStyle name="설계서-내용 2 2 13 2" xfId="33641"/>
    <cellStyle name="설계서-내용 2 2 14" xfId="18541"/>
    <cellStyle name="설계서-내용 2 2 14 2" xfId="31246"/>
    <cellStyle name="설계서-내용 2 2 15" xfId="22386"/>
    <cellStyle name="설계서-내용 2 2 15 2" xfId="34820"/>
    <cellStyle name="설계서-내용 2 2 16" xfId="18318"/>
    <cellStyle name="설계서-내용 2 2 16 2" xfId="31024"/>
    <cellStyle name="설계서-내용 2 2 17" xfId="24138"/>
    <cellStyle name="설계서-내용 2 2 17 2" xfId="36569"/>
    <cellStyle name="설계서-내용 2 2 18" xfId="19695"/>
    <cellStyle name="설계서-내용 2 2 18 2" xfId="32149"/>
    <cellStyle name="설계서-내용 2 2 19" xfId="24220"/>
    <cellStyle name="설계서-내용 2 2 19 2" xfId="36651"/>
    <cellStyle name="설계서-내용 2 2 2" xfId="16479"/>
    <cellStyle name="설계서-내용 2 2 2 2" xfId="29255"/>
    <cellStyle name="설계서-내용 2 2 20" xfId="19217"/>
    <cellStyle name="설계서-내용 2 2 20 2" xfId="31872"/>
    <cellStyle name="설계서-내용 2 2 21" xfId="18866"/>
    <cellStyle name="설계서-내용 2 2 21 2" xfId="31571"/>
    <cellStyle name="설계서-내용 2 2 22" xfId="18250"/>
    <cellStyle name="설계서-내용 2 2 22 2" xfId="30957"/>
    <cellStyle name="설계서-내용 2 2 23" xfId="18621"/>
    <cellStyle name="설계서-내용 2 2 23 2" xfId="31326"/>
    <cellStyle name="설계서-내용 2 2 24" xfId="25186"/>
    <cellStyle name="설계서-내용 2 2 3" xfId="16577"/>
    <cellStyle name="설계서-내용 2 2 3 2" xfId="29353"/>
    <cellStyle name="설계서-내용 2 2 4" xfId="14336"/>
    <cellStyle name="설계서-내용 2 2 4 2" xfId="27169"/>
    <cellStyle name="설계서-내용 2 2 5" xfId="17290"/>
    <cellStyle name="설계서-내용 2 2 5 2" xfId="30019"/>
    <cellStyle name="설계서-내용 2 2 6" xfId="12733"/>
    <cellStyle name="설계서-내용 2 2 6 2" xfId="25610"/>
    <cellStyle name="설계서-내용 2 2 7" xfId="12963"/>
    <cellStyle name="설계서-내용 2 2 7 2" xfId="25838"/>
    <cellStyle name="설계서-내용 2 2 8" xfId="14855"/>
    <cellStyle name="설계서-내용 2 2 8 2" xfId="27678"/>
    <cellStyle name="설계서-내용 2 2 9" xfId="14300"/>
    <cellStyle name="설계서-내용 2 2 9 2" xfId="27133"/>
    <cellStyle name="설계서-내용 3" xfId="10439"/>
    <cellStyle name="설계서-내용 3 2" xfId="11302"/>
    <cellStyle name="설계서-내용 3 2 10" xfId="16035"/>
    <cellStyle name="설계서-내용 3 2 11" xfId="14607"/>
    <cellStyle name="설계서-내용 3 2 11 2" xfId="27433"/>
    <cellStyle name="설계서-내용 3 2 12" xfId="22957"/>
    <cellStyle name="설계서-내용 3 2 12 2" xfId="35391"/>
    <cellStyle name="설계서-내용 3 2 13" xfId="21203"/>
    <cellStyle name="설계서-내용 3 2 13 2" xfId="33640"/>
    <cellStyle name="설계서-내용 3 2 14" xfId="18542"/>
    <cellStyle name="설계서-내용 3 2 14 2" xfId="31247"/>
    <cellStyle name="설계서-내용 3 2 15" xfId="19209"/>
    <cellStyle name="설계서-내용 3 2 15 2" xfId="31864"/>
    <cellStyle name="설계서-내용 3 2 16" xfId="18917"/>
    <cellStyle name="설계서-내용 3 2 16 2" xfId="31622"/>
    <cellStyle name="설계서-내용 3 2 17" xfId="24137"/>
    <cellStyle name="설계서-내용 3 2 17 2" xfId="36568"/>
    <cellStyle name="설계서-내용 3 2 18" xfId="23483"/>
    <cellStyle name="설계서-내용 3 2 18 2" xfId="35914"/>
    <cellStyle name="설계서-내용 3 2 19" xfId="23040"/>
    <cellStyle name="설계서-내용 3 2 19 2" xfId="35473"/>
    <cellStyle name="설계서-내용 3 2 2" xfId="16480"/>
    <cellStyle name="설계서-내용 3 2 2 2" xfId="29256"/>
    <cellStyle name="설계서-내용 3 2 20" xfId="19246"/>
    <cellStyle name="설계서-내용 3 2 20 2" xfId="31901"/>
    <cellStyle name="설계서-내용 3 2 21" xfId="24425"/>
    <cellStyle name="설계서-내용 3 2 21 2" xfId="36856"/>
    <cellStyle name="설계서-내용 3 2 22" xfId="20860"/>
    <cellStyle name="설계서-내용 3 2 22 2" xfId="33297"/>
    <cellStyle name="설계서-내용 3 2 23" xfId="23035"/>
    <cellStyle name="설계서-내용 3 2 23 2" xfId="35468"/>
    <cellStyle name="설계서-내용 3 2 24" xfId="25187"/>
    <cellStyle name="설계서-내용 3 2 3" xfId="15090"/>
    <cellStyle name="설계서-내용 3 2 3 2" xfId="27909"/>
    <cellStyle name="설계서-내용 3 2 4" xfId="14137"/>
    <cellStyle name="설계서-내용 3 2 4 2" xfId="26985"/>
    <cellStyle name="설계서-내용 3 2 5" xfId="17289"/>
    <cellStyle name="설계서-내용 3 2 5 2" xfId="30018"/>
    <cellStyle name="설계서-내용 3 2 6" xfId="14670"/>
    <cellStyle name="설계서-내용 3 2 6 2" xfId="27496"/>
    <cellStyle name="설계서-내용 3 2 7" xfId="16598"/>
    <cellStyle name="설계서-내용 3 2 7 2" xfId="29374"/>
    <cellStyle name="설계서-내용 3 2 8" xfId="14572"/>
    <cellStyle name="설계서-내용 3 2 8 2" xfId="27398"/>
    <cellStyle name="설계서-내용 3 2 9" xfId="14266"/>
    <cellStyle name="설계서-내용 3 2 9 2" xfId="27101"/>
    <cellStyle name="설계서-내용 4" xfId="10440"/>
    <cellStyle name="설계서-내용 4 2" xfId="11303"/>
    <cellStyle name="설계서-내용 4 2 10" xfId="14264"/>
    <cellStyle name="설계서-내용 4 2 11" xfId="14258"/>
    <cellStyle name="설계서-내용 4 2 11 2" xfId="27094"/>
    <cellStyle name="설계서-내용 4 2 12" xfId="22958"/>
    <cellStyle name="설계서-내용 4 2 12 2" xfId="35392"/>
    <cellStyle name="설계서-내용 4 2 13" xfId="21202"/>
    <cellStyle name="설계서-내용 4 2 13 2" xfId="33639"/>
    <cellStyle name="설계서-내용 4 2 14" xfId="18543"/>
    <cellStyle name="설계서-내용 4 2 14 2" xfId="31248"/>
    <cellStyle name="설계서-내용 4 2 15" xfId="19288"/>
    <cellStyle name="설계서-내용 4 2 15 2" xfId="31941"/>
    <cellStyle name="설계서-내용 4 2 16" xfId="18319"/>
    <cellStyle name="설계서-내용 4 2 16 2" xfId="31025"/>
    <cellStyle name="설계서-내용 4 2 17" xfId="24136"/>
    <cellStyle name="설계서-내용 4 2 17 2" xfId="36567"/>
    <cellStyle name="설계서-내용 4 2 18" xfId="18938"/>
    <cellStyle name="설계서-내용 4 2 18 2" xfId="31643"/>
    <cellStyle name="설계서-내용 4 2 19" xfId="24219"/>
    <cellStyle name="설계서-내용 4 2 19 2" xfId="36650"/>
    <cellStyle name="설계서-내용 4 2 2" xfId="16481"/>
    <cellStyle name="설계서-내용 4 2 2 2" xfId="29257"/>
    <cellStyle name="설계서-내용 4 2 20" xfId="23712"/>
    <cellStyle name="설계서-내용 4 2 20 2" xfId="36143"/>
    <cellStyle name="설계서-내용 4 2 21" xfId="24029"/>
    <cellStyle name="설계서-내용 4 2 21 2" xfId="36460"/>
    <cellStyle name="설계서-내용 4 2 22" xfId="21695"/>
    <cellStyle name="설계서-내용 4 2 22 2" xfId="34132"/>
    <cellStyle name="설계서-내용 4 2 23" xfId="23644"/>
    <cellStyle name="설계서-내용 4 2 23 2" xfId="36075"/>
    <cellStyle name="설계서-내용 4 2 24" xfId="25188"/>
    <cellStyle name="설계서-내용 4 2 3" xfId="15089"/>
    <cellStyle name="설계서-내용 4 2 3 2" xfId="27908"/>
    <cellStyle name="설계서-내용 4 2 4" xfId="14335"/>
    <cellStyle name="설계서-내용 4 2 4 2" xfId="27168"/>
    <cellStyle name="설계서-내용 4 2 5" xfId="17288"/>
    <cellStyle name="설계서-내용 4 2 5 2" xfId="30017"/>
    <cellStyle name="설계서-내용 4 2 6" xfId="15222"/>
    <cellStyle name="설계서-내용 4 2 6 2" xfId="28040"/>
    <cellStyle name="설계서-내용 4 2 7" xfId="12962"/>
    <cellStyle name="설계서-내용 4 2 7 2" xfId="25837"/>
    <cellStyle name="설계서-내용 4 2 8" xfId="14856"/>
    <cellStyle name="설계서-내용 4 2 8 2" xfId="27679"/>
    <cellStyle name="설계서-내용 4 2 9" xfId="15667"/>
    <cellStyle name="설계서-내용 4 2 9 2" xfId="28467"/>
    <cellStyle name="설계서-내용 5" xfId="10441"/>
    <cellStyle name="설계서-내용 5 2" xfId="11304"/>
    <cellStyle name="설계서-내용 5 2 10" xfId="15427"/>
    <cellStyle name="설계서-내용 5 2 11" xfId="13169"/>
    <cellStyle name="설계서-내용 5 2 11 2" xfId="26037"/>
    <cellStyle name="설계서-내용 5 2 12" xfId="22959"/>
    <cellStyle name="설계서-내용 5 2 12 2" xfId="35393"/>
    <cellStyle name="설계서-내용 5 2 13" xfId="21201"/>
    <cellStyle name="설계서-내용 5 2 13 2" xfId="33638"/>
    <cellStyle name="설계서-내용 5 2 14" xfId="18544"/>
    <cellStyle name="설계서-내용 5 2 14 2" xfId="31249"/>
    <cellStyle name="설계서-내용 5 2 15" xfId="19210"/>
    <cellStyle name="설계서-내용 5 2 15 2" xfId="31865"/>
    <cellStyle name="설계서-내용 5 2 16" xfId="18918"/>
    <cellStyle name="설계서-내용 5 2 16 2" xfId="31623"/>
    <cellStyle name="설계서-내용 5 2 17" xfId="24135"/>
    <cellStyle name="설계서-내용 5 2 17 2" xfId="36566"/>
    <cellStyle name="설계서-내용 5 2 18" xfId="19068"/>
    <cellStyle name="설계서-내용 5 2 18 2" xfId="31773"/>
    <cellStyle name="설계서-내용 5 2 19" xfId="23041"/>
    <cellStyle name="설계서-내용 5 2 19 2" xfId="35474"/>
    <cellStyle name="설계서-내용 5 2 2" xfId="16482"/>
    <cellStyle name="설계서-내용 5 2 2 2" xfId="29258"/>
    <cellStyle name="설계서-내용 5 2 20" xfId="23725"/>
    <cellStyle name="설계서-내용 5 2 20 2" xfId="36156"/>
    <cellStyle name="설계서-내용 5 2 21" xfId="24424"/>
    <cellStyle name="설계서-내용 5 2 21 2" xfId="36855"/>
    <cellStyle name="설계서-내용 5 2 22" xfId="20859"/>
    <cellStyle name="설계서-내용 5 2 22 2" xfId="33296"/>
    <cellStyle name="설계서-내용 5 2 23" xfId="23743"/>
    <cellStyle name="설계서-내용 5 2 23 2" xfId="36174"/>
    <cellStyle name="설계서-내용 5 2 24" xfId="25189"/>
    <cellStyle name="설계서-내용 5 2 3" xfId="15088"/>
    <cellStyle name="설계서-내용 5 2 3 2" xfId="27907"/>
    <cellStyle name="설계서-내용 5 2 4" xfId="14136"/>
    <cellStyle name="설계서-내용 5 2 4 2" xfId="26984"/>
    <cellStyle name="설계서-내용 5 2 5" xfId="17287"/>
    <cellStyle name="설계서-내용 5 2 5 2" xfId="30016"/>
    <cellStyle name="설계서-내용 5 2 6" xfId="14671"/>
    <cellStyle name="설계서-내용 5 2 6 2" xfId="27497"/>
    <cellStyle name="설계서-내용 5 2 7" xfId="15592"/>
    <cellStyle name="설계서-내용 5 2 7 2" xfId="28401"/>
    <cellStyle name="설계서-내용 5 2 8" xfId="14048"/>
    <cellStyle name="설계서-내용 5 2 8 2" xfId="26897"/>
    <cellStyle name="설계서-내용 5 2 9" xfId="14887"/>
    <cellStyle name="설계서-내용 5 2 9 2" xfId="27708"/>
    <cellStyle name="설계서-내용 6" xfId="10442"/>
    <cellStyle name="설계서-내용 6 2" xfId="11305"/>
    <cellStyle name="설계서-내용 6 2 10" xfId="13048"/>
    <cellStyle name="설계서-내용 6 2 11" xfId="16921"/>
    <cellStyle name="설계서-내용 6 2 11 2" xfId="29696"/>
    <cellStyle name="설계서-내용 6 2 12" xfId="22960"/>
    <cellStyle name="설계서-내용 6 2 12 2" xfId="35394"/>
    <cellStyle name="설계서-내용 6 2 13" xfId="21200"/>
    <cellStyle name="설계서-내용 6 2 13 2" xfId="33637"/>
    <cellStyle name="설계서-내용 6 2 14" xfId="18545"/>
    <cellStyle name="설계서-내용 6 2 14 2" xfId="31250"/>
    <cellStyle name="설계서-내용 6 2 15" xfId="22387"/>
    <cellStyle name="설계서-내용 6 2 15 2" xfId="34821"/>
    <cellStyle name="설계서-내용 6 2 16" xfId="22275"/>
    <cellStyle name="설계서-내용 6 2 16 2" xfId="34710"/>
    <cellStyle name="설계서-내용 6 2 17" xfId="24134"/>
    <cellStyle name="설계서-내용 6 2 17 2" xfId="36565"/>
    <cellStyle name="설계서-내용 6 2 18" xfId="21168"/>
    <cellStyle name="설계서-내용 6 2 18 2" xfId="33605"/>
    <cellStyle name="설계서-내용 6 2 19" xfId="22460"/>
    <cellStyle name="설계서-내용 6 2 19 2" xfId="34894"/>
    <cellStyle name="설계서-내용 6 2 2" xfId="16483"/>
    <cellStyle name="설계서-내용 6 2 2 2" xfId="29259"/>
    <cellStyle name="설계서-내용 6 2 20" xfId="19291"/>
    <cellStyle name="설계서-내용 6 2 20 2" xfId="31944"/>
    <cellStyle name="설계서-내용 6 2 21" xfId="22447"/>
    <cellStyle name="설계서-내용 6 2 21 2" xfId="34881"/>
    <cellStyle name="설계서-내용 6 2 22" xfId="20062"/>
    <cellStyle name="설계서-내용 6 2 22 2" xfId="32508"/>
    <cellStyle name="설계서-내용 6 2 23" xfId="23429"/>
    <cellStyle name="설계서-내용 6 2 23 2" xfId="35860"/>
    <cellStyle name="설계서-내용 6 2 24" xfId="25190"/>
    <cellStyle name="설계서-내용 6 2 3" xfId="15087"/>
    <cellStyle name="설계서-내용 6 2 3 2" xfId="27906"/>
    <cellStyle name="설계서-내용 6 2 4" xfId="14334"/>
    <cellStyle name="설계서-내용 6 2 4 2" xfId="27167"/>
    <cellStyle name="설계서-내용 6 2 5" xfId="17286"/>
    <cellStyle name="설계서-내용 6 2 5 2" xfId="30015"/>
    <cellStyle name="설계서-내용 6 2 6" xfId="12734"/>
    <cellStyle name="설계서-내용 6 2 6 2" xfId="25611"/>
    <cellStyle name="설계서-내용 6 2 7" xfId="12961"/>
    <cellStyle name="설계서-내용 6 2 7 2" xfId="25836"/>
    <cellStyle name="설계서-내용 6 2 8" xfId="16500"/>
    <cellStyle name="설계서-내용 6 2 8 2" xfId="29276"/>
    <cellStyle name="설계서-내용 6 2 9" xfId="14017"/>
    <cellStyle name="설계서-내용 6 2 9 2" xfId="26868"/>
    <cellStyle name="설계서-내용 7" xfId="10443"/>
    <cellStyle name="설계서-내용 7 2" xfId="11306"/>
    <cellStyle name="설계서-내용 7 2 10" xfId="16036"/>
    <cellStyle name="설계서-내용 7 2 11" xfId="14606"/>
    <cellStyle name="설계서-내용 7 2 11 2" xfId="27432"/>
    <cellStyle name="설계서-내용 7 2 12" xfId="22961"/>
    <cellStyle name="설계서-내용 7 2 12 2" xfId="35395"/>
    <cellStyle name="설계서-내용 7 2 13" xfId="21199"/>
    <cellStyle name="설계서-내용 7 2 13 2" xfId="33636"/>
    <cellStyle name="설계서-내용 7 2 14" xfId="18546"/>
    <cellStyle name="설계서-내용 7 2 14 2" xfId="31251"/>
    <cellStyle name="설계서-내용 7 2 15" xfId="19211"/>
    <cellStyle name="설계서-내용 7 2 15 2" xfId="31866"/>
    <cellStyle name="설계서-내용 7 2 16" xfId="18919"/>
    <cellStyle name="설계서-내용 7 2 16 2" xfId="31624"/>
    <cellStyle name="설계서-내용 7 2 17" xfId="24133"/>
    <cellStyle name="설계서-내용 7 2 17 2" xfId="36564"/>
    <cellStyle name="설계서-내용 7 2 18" xfId="20884"/>
    <cellStyle name="설계서-내용 7 2 18 2" xfId="33321"/>
    <cellStyle name="설계서-내용 7 2 19" xfId="18889"/>
    <cellStyle name="설계서-내용 7 2 19 2" xfId="31594"/>
    <cellStyle name="설계서-내용 7 2 2" xfId="16484"/>
    <cellStyle name="설계서-내용 7 2 2 2" xfId="29260"/>
    <cellStyle name="설계서-내용 7 2 20" xfId="19870"/>
    <cellStyle name="설계서-내용 7 2 20 2" xfId="32320"/>
    <cellStyle name="설계서-내용 7 2 21" xfId="24123"/>
    <cellStyle name="설계서-내용 7 2 21 2" xfId="36554"/>
    <cellStyle name="설계서-내용 7 2 22" xfId="20858"/>
    <cellStyle name="설계서-내용 7 2 22 2" xfId="33295"/>
    <cellStyle name="설계서-내용 7 2 23" xfId="18438"/>
    <cellStyle name="설계서-내용 7 2 23 2" xfId="31143"/>
    <cellStyle name="설계서-내용 7 2 24" xfId="25191"/>
    <cellStyle name="설계서-내용 7 2 3" xfId="15086"/>
    <cellStyle name="설계서-내용 7 2 3 2" xfId="27905"/>
    <cellStyle name="설계서-내용 7 2 4" xfId="14135"/>
    <cellStyle name="설계서-내용 7 2 4 2" xfId="26983"/>
    <cellStyle name="설계서-내용 7 2 5" xfId="17285"/>
    <cellStyle name="설계서-내용 7 2 5 2" xfId="30014"/>
    <cellStyle name="설계서-내용 7 2 6" xfId="13950"/>
    <cellStyle name="설계서-내용 7 2 6 2" xfId="26808"/>
    <cellStyle name="설계서-내용 7 2 7" xfId="12445"/>
    <cellStyle name="설계서-내용 7 2 7 2" xfId="25325"/>
    <cellStyle name="설계서-내용 7 2 8" xfId="14447"/>
    <cellStyle name="설계서-내용 7 2 8 2" xfId="27279"/>
    <cellStyle name="설계서-내용 7 2 9" xfId="17933"/>
    <cellStyle name="설계서-내용 7 2 9 2" xfId="30645"/>
    <cellStyle name="설계서-내용 8" xfId="10928"/>
    <cellStyle name="설계서-내용 8 10" xfId="18027"/>
    <cellStyle name="설계서-내용 8 11" xfId="14584"/>
    <cellStyle name="설계서-내용 8 11 2" xfId="27410"/>
    <cellStyle name="설계서-내용 8 12" xfId="22654"/>
    <cellStyle name="설계서-내용 8 12 2" xfId="35088"/>
    <cellStyle name="설계서-내용 8 13" xfId="21509"/>
    <cellStyle name="설계서-내용 8 13 2" xfId="33946"/>
    <cellStyle name="설계서-내용 8 14" xfId="18355"/>
    <cellStyle name="설계서-내용 8 14 2" xfId="31061"/>
    <cellStyle name="설계서-내용 8 15" xfId="22233"/>
    <cellStyle name="설계서-내용 8 15 2" xfId="34668"/>
    <cellStyle name="설계서-내용 8 16" xfId="22142"/>
    <cellStyle name="설계서-내용 8 16 2" xfId="34578"/>
    <cellStyle name="설계서-내용 8 17" xfId="20050"/>
    <cellStyle name="설계서-내용 8 17 2" xfId="32496"/>
    <cellStyle name="설계서-내용 8 18" xfId="22324"/>
    <cellStyle name="설계서-내용 8 18 2" xfId="34758"/>
    <cellStyle name="설계서-내용 8 19" xfId="23403"/>
    <cellStyle name="설계서-내용 8 19 2" xfId="35834"/>
    <cellStyle name="설계서-내용 8 2" xfId="16194"/>
    <cellStyle name="설계서-내용 8 2 2" xfId="28970"/>
    <cellStyle name="설계서-내용 8 20" xfId="23204"/>
    <cellStyle name="설계서-내용 8 20 2" xfId="35637"/>
    <cellStyle name="설계서-내용 8 21" xfId="19722"/>
    <cellStyle name="설계서-내용 8 21 2" xfId="32175"/>
    <cellStyle name="설계서-내용 8 22" xfId="20114"/>
    <cellStyle name="설계서-내용 8 22 2" xfId="32560"/>
    <cellStyle name="설계서-내용 8 23" xfId="21984"/>
    <cellStyle name="설계서-내용 8 23 2" xfId="34421"/>
    <cellStyle name="설계서-내용 8 24" xfId="25111"/>
    <cellStyle name="설계서-내용 8 3" xfId="15259"/>
    <cellStyle name="설계서-내용 8 3 2" xfId="28076"/>
    <cellStyle name="설계서-내용 8 4" xfId="17071"/>
    <cellStyle name="설계서-내용 8 4 2" xfId="29807"/>
    <cellStyle name="설계서-내용 8 5" xfId="12809"/>
    <cellStyle name="설계서-내용 8 5 2" xfId="25685"/>
    <cellStyle name="설계서-내용 8 6" xfId="12863"/>
    <cellStyle name="설계서-내용 8 6 2" xfId="25739"/>
    <cellStyle name="설계서-내용 8 7" xfId="13054"/>
    <cellStyle name="설계서-내용 8 7 2" xfId="25923"/>
    <cellStyle name="설계서-내용 8 8" xfId="14850"/>
    <cellStyle name="설계서-내용 8 8 2" xfId="27673"/>
    <cellStyle name="설계서-내용 8 9" xfId="15674"/>
    <cellStyle name="설계서-내용 8 9 2" xfId="28474"/>
    <cellStyle name="설계서-내용-소수점" xfId="3415"/>
    <cellStyle name="설계서-내용-소수점 2" xfId="10444"/>
    <cellStyle name="설계서-내용-소수점 2 2" xfId="11307"/>
    <cellStyle name="설계서-내용-소수점 2 2 10" xfId="14274"/>
    <cellStyle name="설계서-내용-소수점 2 2 11" xfId="17115"/>
    <cellStyle name="설계서-내용-소수점 2 2 11 2" xfId="29849"/>
    <cellStyle name="설계서-내용-소수점 2 2 12" xfId="22962"/>
    <cellStyle name="설계서-내용-소수점 2 2 12 2" xfId="35396"/>
    <cellStyle name="설계서-내용-소수점 2 2 13" xfId="21198"/>
    <cellStyle name="설계서-내용-소수점 2 2 13 2" xfId="33635"/>
    <cellStyle name="설계서-내용-소수점 2 2 14" xfId="18547"/>
    <cellStyle name="설계서-내용-소수점 2 2 14 2" xfId="31252"/>
    <cellStyle name="설계서-내용-소수점 2 2 15" xfId="19289"/>
    <cellStyle name="설계서-내용-소수점 2 2 15 2" xfId="31942"/>
    <cellStyle name="설계서-내용-소수점 2 2 16" xfId="21565"/>
    <cellStyle name="설계서-내용-소수점 2 2 16 2" xfId="34002"/>
    <cellStyle name="설계서-내용-소수점 2 2 17" xfId="24132"/>
    <cellStyle name="설계서-내용-소수점 2 2 17 2" xfId="36563"/>
    <cellStyle name="설계서-내용-소수점 2 2 18" xfId="19694"/>
    <cellStyle name="설계서-내용-소수점 2 2 18 2" xfId="32148"/>
    <cellStyle name="설계서-내용-소수점 2 2 19" xfId="23756"/>
    <cellStyle name="설계서-내용-소수점 2 2 19 2" xfId="36187"/>
    <cellStyle name="설계서-내용-소수점 2 2 2" xfId="16485"/>
    <cellStyle name="설계서-내용-소수점 2 2 2 2" xfId="29261"/>
    <cellStyle name="설계서-내용-소수점 2 2 20" xfId="23713"/>
    <cellStyle name="설계서-내용-소수점 2 2 20 2" xfId="36144"/>
    <cellStyle name="설계서-내용-소수점 2 2 21" xfId="24028"/>
    <cellStyle name="설계서-내용-소수점 2 2 21 2" xfId="36459"/>
    <cellStyle name="설계서-내용-소수점 2 2 22" xfId="19242"/>
    <cellStyle name="설계서-내용-소수점 2 2 22 2" xfId="31897"/>
    <cellStyle name="설계서-내용-소수점 2 2 23" xfId="24159"/>
    <cellStyle name="설계서-내용-소수점 2 2 23 2" xfId="36590"/>
    <cellStyle name="설계서-내용-소수점 2 2 24" xfId="25192"/>
    <cellStyle name="설계서-내용-소수점 2 2 3" xfId="15085"/>
    <cellStyle name="설계서-내용-소수점 2 2 3 2" xfId="27904"/>
    <cellStyle name="설계서-내용-소수점 2 2 4" xfId="14333"/>
    <cellStyle name="설계서-내용-소수점 2 2 4 2" xfId="27166"/>
    <cellStyle name="설계서-내용-소수점 2 2 5" xfId="17284"/>
    <cellStyle name="설계서-내용-소수점 2 2 5 2" xfId="30013"/>
    <cellStyle name="설계서-내용-소수점 2 2 6" xfId="15223"/>
    <cellStyle name="설계서-내용-소수점 2 2 6 2" xfId="28041"/>
    <cellStyle name="설계서-내용-소수점 2 2 7" xfId="17088"/>
    <cellStyle name="설계서-내용-소수점 2 2 7 2" xfId="29824"/>
    <cellStyle name="설계서-내용-소수점 2 2 8" xfId="16017"/>
    <cellStyle name="설계서-내용-소수점 2 2 8 2" xfId="28815"/>
    <cellStyle name="설계서-내용-소수점 2 2 9" xfId="15666"/>
    <cellStyle name="설계서-내용-소수점 2 2 9 2" xfId="28466"/>
    <cellStyle name="설계서-내용-소수점 3" xfId="10445"/>
    <cellStyle name="설계서-내용-소수점 3 2" xfId="11308"/>
    <cellStyle name="설계서-내용-소수점 3 2 10" xfId="15428"/>
    <cellStyle name="설계서-내용-소수점 3 2 11" xfId="17609"/>
    <cellStyle name="설계서-내용-소수점 3 2 11 2" xfId="30326"/>
    <cellStyle name="설계서-내용-소수점 3 2 12" xfId="22963"/>
    <cellStyle name="설계서-내용-소수점 3 2 12 2" xfId="35397"/>
    <cellStyle name="설계서-내용-소수점 3 2 13" xfId="21197"/>
    <cellStyle name="설계서-내용-소수점 3 2 13 2" xfId="33634"/>
    <cellStyle name="설계서-내용-소수점 3 2 14" xfId="18548"/>
    <cellStyle name="설계서-내용-소수점 3 2 14 2" xfId="31253"/>
    <cellStyle name="설계서-내용-소수점 3 2 15" xfId="19212"/>
    <cellStyle name="설계서-내용-소수점 3 2 15 2" xfId="31867"/>
    <cellStyle name="설계서-내용-소수점 3 2 16" xfId="18920"/>
    <cellStyle name="설계서-내용-소수점 3 2 16 2" xfId="31625"/>
    <cellStyle name="설계서-내용-소수점 3 2 17" xfId="23638"/>
    <cellStyle name="설계서-내용-소수점 3 2 17 2" xfId="36069"/>
    <cellStyle name="설계서-내용-소수점 3 2 18" xfId="23262"/>
    <cellStyle name="설계서-내용-소수점 3 2 18 2" xfId="35694"/>
    <cellStyle name="설계서-내용-소수점 3 2 19" xfId="19237"/>
    <cellStyle name="설계서-내용-소수점 3 2 19 2" xfId="31892"/>
    <cellStyle name="설계서-내용-소수점 3 2 2" xfId="16486"/>
    <cellStyle name="설계서-내용-소수점 3 2 2 2" xfId="29262"/>
    <cellStyle name="설계서-내용-소수점 3 2 20" xfId="20958"/>
    <cellStyle name="설계서-내용-소수점 3 2 20 2" xfId="33395"/>
    <cellStyle name="설계서-내용-소수점 3 2 21" xfId="20543"/>
    <cellStyle name="설계서-내용-소수점 3 2 21 2" xfId="32988"/>
    <cellStyle name="설계서-내용-소수점 3 2 22" xfId="21721"/>
    <cellStyle name="설계서-내용-소수점 3 2 22 2" xfId="34158"/>
    <cellStyle name="설계서-내용-소수점 3 2 23" xfId="23144"/>
    <cellStyle name="설계서-내용-소수점 3 2 23 2" xfId="35577"/>
    <cellStyle name="설계서-내용-소수점 3 2 24" xfId="25193"/>
    <cellStyle name="설계서-내용-소수점 3 2 3" xfId="15084"/>
    <cellStyle name="설계서-내용-소수점 3 2 3 2" xfId="27903"/>
    <cellStyle name="설계서-내용-소수점 3 2 4" xfId="14134"/>
    <cellStyle name="설계서-내용-소수점 3 2 4 2" xfId="26982"/>
    <cellStyle name="설계서-내용-소수점 3 2 5" xfId="17283"/>
    <cellStyle name="설계서-내용-소수점 3 2 5 2" xfId="30012"/>
    <cellStyle name="설계서-내용-소수점 3 2 6" xfId="13951"/>
    <cellStyle name="설계서-내용-소수점 3 2 6 2" xfId="26809"/>
    <cellStyle name="설계서-내용-소수점 3 2 7" xfId="12444"/>
    <cellStyle name="설계서-내용-소수점 3 2 7 2" xfId="25324"/>
    <cellStyle name="설계서-내용-소수점 3 2 8" xfId="14717"/>
    <cellStyle name="설계서-내용-소수점 3 2 8 2" xfId="27543"/>
    <cellStyle name="설계서-내용-소수점 3 2 9" xfId="17932"/>
    <cellStyle name="설계서-내용-소수점 3 2 9 2" xfId="30644"/>
    <cellStyle name="설계서-내용-소수점 4" xfId="10446"/>
    <cellStyle name="설계서-내용-소수점 4 2" xfId="11309"/>
    <cellStyle name="설계서-내용-소수점 4 2 10" xfId="14007"/>
    <cellStyle name="설계서-내용-소수점 4 2 11" xfId="13021"/>
    <cellStyle name="설계서-내용-소수점 4 2 11 2" xfId="25896"/>
    <cellStyle name="설계서-내용-소수점 4 2 12" xfId="22964"/>
    <cellStyle name="설계서-내용-소수점 4 2 12 2" xfId="35398"/>
    <cellStyle name="설계서-내용-소수점 4 2 13" xfId="21196"/>
    <cellStyle name="설계서-내용-소수점 4 2 13 2" xfId="33633"/>
    <cellStyle name="설계서-내용-소수점 4 2 14" xfId="18549"/>
    <cellStyle name="설계서-내용-소수점 4 2 14 2" xfId="31254"/>
    <cellStyle name="설계서-내용-소수점 4 2 15" xfId="22388"/>
    <cellStyle name="설계서-내용-소수점 4 2 15 2" xfId="34822"/>
    <cellStyle name="설계서-내용-소수점 4 2 16" xfId="21566"/>
    <cellStyle name="설계서-내용-소수점 4 2 16 2" xfId="34003"/>
    <cellStyle name="설계서-내용-소수점 4 2 17" xfId="23777"/>
    <cellStyle name="설계서-내용-소수점 4 2 17 2" xfId="36208"/>
    <cellStyle name="설계서-내용-소수점 4 2 18" xfId="22290"/>
    <cellStyle name="설계서-내용-소수점 4 2 18 2" xfId="34724"/>
    <cellStyle name="설계서-내용-소수점 4 2 19" xfId="23042"/>
    <cellStyle name="설계서-내용-소수점 4 2 19 2" xfId="35475"/>
    <cellStyle name="설계서-내용-소수점 4 2 2" xfId="16487"/>
    <cellStyle name="설계서-내용-소수점 4 2 2 2" xfId="29263"/>
    <cellStyle name="설계서-내용-소수점 4 2 20" xfId="19216"/>
    <cellStyle name="설계서-내용-소수점 4 2 20 2" xfId="31871"/>
    <cellStyle name="설계서-내용-소수점 4 2 21" xfId="20922"/>
    <cellStyle name="설계서-내용-소수점 4 2 21 2" xfId="33359"/>
    <cellStyle name="설계서-내용-소수점 4 2 22" xfId="23024"/>
    <cellStyle name="설계서-내용-소수점 4 2 22 2" xfId="35457"/>
    <cellStyle name="설계서-내용-소수점 4 2 23" xfId="24160"/>
    <cellStyle name="설계서-내용-소수점 4 2 23 2" xfId="36591"/>
    <cellStyle name="설계서-내용-소수점 4 2 24" xfId="25194"/>
    <cellStyle name="설계서-내용-소수점 4 2 3" xfId="15083"/>
    <cellStyle name="설계서-내용-소수점 4 2 3 2" xfId="27902"/>
    <cellStyle name="설계서-내용-소수점 4 2 4" xfId="14332"/>
    <cellStyle name="설계서-내용-소수점 4 2 4 2" xfId="27165"/>
    <cellStyle name="설계서-내용-소수점 4 2 5" xfId="14558"/>
    <cellStyle name="설계서-내용-소수점 4 2 5 2" xfId="27386"/>
    <cellStyle name="설계서-내용-소수점 4 2 6" xfId="12735"/>
    <cellStyle name="설계서-내용-소수점 4 2 6 2" xfId="25612"/>
    <cellStyle name="설계서-내용-소수점 4 2 7" xfId="12706"/>
    <cellStyle name="설계서-내용-소수점 4 2 7 2" xfId="25584"/>
    <cellStyle name="설계서-내용-소수점 4 2 8" xfId="16501"/>
    <cellStyle name="설계서-내용-소수점 4 2 8 2" xfId="29277"/>
    <cellStyle name="설계서-내용-소수점 4 2 9" xfId="14845"/>
    <cellStyle name="설계서-내용-소수점 4 2 9 2" xfId="27668"/>
    <cellStyle name="설계서-내용-소수점 5" xfId="10447"/>
    <cellStyle name="설계서-내용-소수점 5 2" xfId="11310"/>
    <cellStyle name="설계서-내용-소수점 5 2 10" xfId="16037"/>
    <cellStyle name="설계서-내용-소수점 5 2 11" xfId="17608"/>
    <cellStyle name="설계서-내용-소수점 5 2 11 2" xfId="30325"/>
    <cellStyle name="설계서-내용-소수점 5 2 12" xfId="22965"/>
    <cellStyle name="설계서-내용-소수점 5 2 12 2" xfId="35399"/>
    <cellStyle name="설계서-내용-소수점 5 2 13" xfId="21195"/>
    <cellStyle name="설계서-내용-소수점 5 2 13 2" xfId="33632"/>
    <cellStyle name="설계서-내용-소수점 5 2 14" xfId="18550"/>
    <cellStyle name="설계서-내용-소수점 5 2 14 2" xfId="31255"/>
    <cellStyle name="설계서-내용-소수점 5 2 15" xfId="19213"/>
    <cellStyle name="설계서-내용-소수점 5 2 15 2" xfId="31868"/>
    <cellStyle name="설계서-내용-소수점 5 2 16" xfId="18921"/>
    <cellStyle name="설계서-내용-소수점 5 2 16 2" xfId="31626"/>
    <cellStyle name="설계서-내용-소수점 5 2 17" xfId="23473"/>
    <cellStyle name="설계서-내용-소수점 5 2 17 2" xfId="35904"/>
    <cellStyle name="설계서-내용-소수점 5 2 18" xfId="21324"/>
    <cellStyle name="설계서-내용-소수점 5 2 18 2" xfId="33761"/>
    <cellStyle name="설계서-내용-소수점 5 2 19" xfId="24105"/>
    <cellStyle name="설계서-내용-소수점 5 2 19 2" xfId="36536"/>
    <cellStyle name="설계서-내용-소수점 5 2 2" xfId="16488"/>
    <cellStyle name="설계서-내용-소수점 5 2 2 2" xfId="29264"/>
    <cellStyle name="설계서-내용-소수점 5 2 20" xfId="20408"/>
    <cellStyle name="설계서-내용-소수점 5 2 20 2" xfId="32853"/>
    <cellStyle name="설계서-내용-소수점 5 2 21" xfId="24122"/>
    <cellStyle name="설계서-내용-소수점 5 2 21 2" xfId="36553"/>
    <cellStyle name="설계서-내용-소수점 5 2 22" xfId="23383"/>
    <cellStyle name="설계서-내용-소수점 5 2 22 2" xfId="35815"/>
    <cellStyle name="설계서-내용-소수점 5 2 23" xfId="21846"/>
    <cellStyle name="설계서-내용-소수점 5 2 23 2" xfId="34283"/>
    <cellStyle name="설계서-내용-소수점 5 2 24" xfId="25195"/>
    <cellStyle name="설계서-내용-소수점 5 2 3" xfId="15082"/>
    <cellStyle name="설계서-내용-소수점 5 2 3 2" xfId="27901"/>
    <cellStyle name="설계서-내용-소수점 5 2 4" xfId="14133"/>
    <cellStyle name="설계서-내용-소수점 5 2 4 2" xfId="26981"/>
    <cellStyle name="설계서-내용-소수점 5 2 5" xfId="16750"/>
    <cellStyle name="설계서-내용-소수점 5 2 5 2" xfId="29526"/>
    <cellStyle name="설계서-내용-소수점 5 2 6" xfId="15791"/>
    <cellStyle name="설계서-내용-소수점 5 2 6 2" xfId="28590"/>
    <cellStyle name="설계서-내용-소수점 5 2 7" xfId="14287"/>
    <cellStyle name="설계서-내용-소수점 5 2 7 2" xfId="27120"/>
    <cellStyle name="설계서-내용-소수점 5 2 8" xfId="12408"/>
    <cellStyle name="설계서-내용-소수점 5 2 8 2" xfId="25288"/>
    <cellStyle name="설계서-내용-소수점 5 2 9" xfId="17455"/>
    <cellStyle name="설계서-내용-소수점 5 2 9 2" xfId="30177"/>
    <cellStyle name="설계서-내용-소수점 6" xfId="10448"/>
    <cellStyle name="설계서-내용-소수점 6 2" xfId="11311"/>
    <cellStyle name="설계서-내용-소수점 6 2 10" xfId="14008"/>
    <cellStyle name="설계서-내용-소수점 6 2 11" xfId="15438"/>
    <cellStyle name="설계서-내용-소수점 6 2 11 2" xfId="28247"/>
    <cellStyle name="설계서-내용-소수점 6 2 12" xfId="22966"/>
    <cellStyle name="설계서-내용-소수점 6 2 12 2" xfId="35400"/>
    <cellStyle name="설계서-내용-소수점 6 2 13" xfId="21194"/>
    <cellStyle name="설계서-내용-소수점 6 2 13 2" xfId="33631"/>
    <cellStyle name="설계서-내용-소수점 6 2 14" xfId="18551"/>
    <cellStyle name="설계서-내용-소수점 6 2 14 2" xfId="31256"/>
    <cellStyle name="설계서-내용-소수점 6 2 15" xfId="19290"/>
    <cellStyle name="설계서-내용-소수점 6 2 15 2" xfId="31943"/>
    <cellStyle name="설계서-내용-소수점 6 2 16" xfId="21567"/>
    <cellStyle name="설계서-내용-소수점 6 2 16 2" xfId="34004"/>
    <cellStyle name="설계서-내용-소수점 6 2 17" xfId="20044"/>
    <cellStyle name="설계서-내용-소수점 6 2 17 2" xfId="32490"/>
    <cellStyle name="설계서-내용-소수점 6 2 18" xfId="22289"/>
    <cellStyle name="설계서-내용-소수점 6 2 18 2" xfId="34723"/>
    <cellStyle name="설계서-내용-소수점 6 2 19" xfId="23431"/>
    <cellStyle name="설계서-내용-소수점 6 2 19 2" xfId="35862"/>
    <cellStyle name="설계서-내용-소수점 6 2 2" xfId="16489"/>
    <cellStyle name="설계서-내용-소수점 6 2 2 2" xfId="29265"/>
    <cellStyle name="설계서-내용-소수점 6 2 20" xfId="23714"/>
    <cellStyle name="설계서-내용-소수점 6 2 20 2" xfId="36145"/>
    <cellStyle name="설계서-내용-소수점 6 2 21" xfId="24027"/>
    <cellStyle name="설계서-내용-소수점 6 2 21 2" xfId="36458"/>
    <cellStyle name="설계서-내용-소수점 6 2 22" xfId="22096"/>
    <cellStyle name="설계서-내용-소수점 6 2 22 2" xfId="34532"/>
    <cellStyle name="설계서-내용-소수점 6 2 23" xfId="24161"/>
    <cellStyle name="설계서-내용-소수점 6 2 23 2" xfId="36592"/>
    <cellStyle name="설계서-내용-소수점 6 2 24" xfId="25196"/>
    <cellStyle name="설계서-내용-소수점 6 2 3" xfId="15081"/>
    <cellStyle name="설계서-내용-소수점 6 2 3 2" xfId="27900"/>
    <cellStyle name="설계서-내용-소수점 6 2 4" xfId="14331"/>
    <cellStyle name="설계서-내용-소수점 6 2 4 2" xfId="27164"/>
    <cellStyle name="설계서-내용-소수점 6 2 5" xfId="14723"/>
    <cellStyle name="설계서-내용-소수점 6 2 5 2" xfId="27549"/>
    <cellStyle name="설계서-내용-소수점 6 2 6" xfId="17204"/>
    <cellStyle name="설계서-내용-소수점 6 2 6 2" xfId="29938"/>
    <cellStyle name="설계서-내용-소수점 6 2 7" xfId="12960"/>
    <cellStyle name="설계서-내용-소수점 6 2 7 2" xfId="25835"/>
    <cellStyle name="설계서-내용-소수점 6 2 8" xfId="16018"/>
    <cellStyle name="설계서-내용-소수점 6 2 8 2" xfId="28816"/>
    <cellStyle name="설계서-내용-소수점 6 2 9" xfId="15364"/>
    <cellStyle name="설계서-내용-소수점 6 2 9 2" xfId="28181"/>
    <cellStyle name="설계서-내용-소수점 7" xfId="10449"/>
    <cellStyle name="설계서-내용-소수점 7 2" xfId="11312"/>
    <cellStyle name="설계서-내용-소수점 7 2 10" xfId="14501"/>
    <cellStyle name="설계서-내용-소수점 7 2 11" xfId="17607"/>
    <cellStyle name="설계서-내용-소수점 7 2 11 2" xfId="30324"/>
    <cellStyle name="설계서-내용-소수점 7 2 12" xfId="22967"/>
    <cellStyle name="설계서-내용-소수점 7 2 12 2" xfId="35401"/>
    <cellStyle name="설계서-내용-소수점 7 2 13" xfId="21193"/>
    <cellStyle name="설계서-내용-소수점 7 2 13 2" xfId="33630"/>
    <cellStyle name="설계서-내용-소수점 7 2 14" xfId="18552"/>
    <cellStyle name="설계서-내용-소수점 7 2 14 2" xfId="31257"/>
    <cellStyle name="설계서-내용-소수점 7 2 15" xfId="19214"/>
    <cellStyle name="설계서-내용-소수점 7 2 15 2" xfId="31869"/>
    <cellStyle name="설계서-내용-소수점 7 2 16" xfId="18922"/>
    <cellStyle name="설계서-내용-소수점 7 2 16 2" xfId="31627"/>
    <cellStyle name="설계서-내용-소수점 7 2 17" xfId="18792"/>
    <cellStyle name="설계서-내용-소수점 7 2 17 2" xfId="31497"/>
    <cellStyle name="설계서-내용-소수점 7 2 18" xfId="19067"/>
    <cellStyle name="설계서-내용-소수점 7 2 18 2" xfId="31772"/>
    <cellStyle name="설계서-내용-소수점 7 2 19" xfId="19057"/>
    <cellStyle name="설계서-내용-소수점 7 2 19 2" xfId="31762"/>
    <cellStyle name="설계서-내용-소수점 7 2 2" xfId="16490"/>
    <cellStyle name="설계서-내용-소수점 7 2 2 2" xfId="29266"/>
    <cellStyle name="설계서-내용-소수점 7 2 20" xfId="23828"/>
    <cellStyle name="설계서-내용-소수점 7 2 20 2" xfId="36259"/>
    <cellStyle name="설계서-내용-소수점 7 2 21" xfId="20544"/>
    <cellStyle name="설계서-내용-소수점 7 2 21 2" xfId="32989"/>
    <cellStyle name="설계서-내용-소수점 7 2 22" xfId="21720"/>
    <cellStyle name="설계서-내용-소수점 7 2 22 2" xfId="34157"/>
    <cellStyle name="설계서-내용-소수점 7 2 23" xfId="18794"/>
    <cellStyle name="설계서-내용-소수점 7 2 23 2" xfId="31499"/>
    <cellStyle name="설계서-내용-소수점 7 2 24" xfId="25197"/>
    <cellStyle name="설계서-내용-소수점 7 2 3" xfId="15080"/>
    <cellStyle name="설계서-내용-소수점 7 2 3 2" xfId="27899"/>
    <cellStyle name="설계서-내용-소수점 7 2 4" xfId="14132"/>
    <cellStyle name="설계서-내용-소수점 7 2 4 2" xfId="26980"/>
    <cellStyle name="설계서-내용-소수점 7 2 5" xfId="13090"/>
    <cellStyle name="설계서-내용-소수점 7 2 5 2" xfId="25959"/>
    <cellStyle name="설계서-내용-소수점 7 2 6" xfId="15792"/>
    <cellStyle name="설계서-내용-소수점 7 2 6 2" xfId="28591"/>
    <cellStyle name="설계서-내용-소수점 7 2 7" xfId="12443"/>
    <cellStyle name="설계서-내용-소수점 7 2 7 2" xfId="25323"/>
    <cellStyle name="설계서-내용-소수점 7 2 8" xfId="12790"/>
    <cellStyle name="설계서-내용-소수점 7 2 8 2" xfId="25666"/>
    <cellStyle name="설계서-내용-소수점 7 2 9" xfId="17118"/>
    <cellStyle name="설계서-내용-소수점 7 2 9 2" xfId="29852"/>
    <cellStyle name="설계서-내용-소수점 8" xfId="10929"/>
    <cellStyle name="설계서-내용-소수점 8 10" xfId="14003"/>
    <cellStyle name="설계서-내용-소수점 8 11" xfId="18080"/>
    <cellStyle name="설계서-내용-소수점 8 11 2" xfId="30791"/>
    <cellStyle name="설계서-내용-소수점 8 12" xfId="22655"/>
    <cellStyle name="설계서-내용-소수점 8 12 2" xfId="35089"/>
    <cellStyle name="설계서-내용-소수점 8 13" xfId="21508"/>
    <cellStyle name="설계서-내용-소수점 8 13 2" xfId="33945"/>
    <cellStyle name="설계서-내용-소수점 8 14" xfId="18356"/>
    <cellStyle name="설계서-내용-소수점 8 14 2" xfId="31062"/>
    <cellStyle name="설계서-내용-소수점 8 15" xfId="22234"/>
    <cellStyle name="설계서-내용-소수점 8 15 2" xfId="34669"/>
    <cellStyle name="설계서-내용-소수점 8 16" xfId="20637"/>
    <cellStyle name="설계서-내용-소수점 8 16 2" xfId="33081"/>
    <cellStyle name="설계서-내용-소수점 8 17" xfId="20296"/>
    <cellStyle name="설계서-내용-소수점 8 17 2" xfId="32741"/>
    <cellStyle name="설계서-내용-소수점 8 18" xfId="24210"/>
    <cellStyle name="설계서-내용-소수점 8 18 2" xfId="36641"/>
    <cellStyle name="설계서-내용-소수점 8 19" xfId="19989"/>
    <cellStyle name="설계서-내용-소수점 8 19 2" xfId="32436"/>
    <cellStyle name="설계서-내용-소수점 8 2" xfId="16195"/>
    <cellStyle name="설계서-내용-소수점 8 2 2" xfId="28971"/>
    <cellStyle name="설계서-내용-소수점 8 20" xfId="22279"/>
    <cellStyle name="설계서-내용-소수점 8 20 2" xfId="34713"/>
    <cellStyle name="설계서-내용-소수점 8 21" xfId="22034"/>
    <cellStyle name="설계서-내용-소수점 8 21 2" xfId="34471"/>
    <cellStyle name="설계서-내용-소수점 8 22" xfId="23764"/>
    <cellStyle name="설계서-내용-소수점 8 22 2" xfId="36195"/>
    <cellStyle name="설계서-내용-소수점 8 23" xfId="19577"/>
    <cellStyle name="설계서-내용-소수점 8 23 2" xfId="32032"/>
    <cellStyle name="설계서-내용-소수점 8 24" xfId="25112"/>
    <cellStyle name="설계서-내용-소수점 8 3" xfId="15258"/>
    <cellStyle name="설계서-내용-소수점 8 3 2" xfId="28075"/>
    <cellStyle name="설계서-내용-소수점 8 4" xfId="15475"/>
    <cellStyle name="설계서-내용-소수점 8 4 2" xfId="28284"/>
    <cellStyle name="설계서-내용-소수점 8 5" xfId="12810"/>
    <cellStyle name="설계서-내용-소수점 8 5 2" xfId="25686"/>
    <cellStyle name="설계서-내용-소수점 8 6" xfId="14088"/>
    <cellStyle name="설계서-내용-소수점 8 6 2" xfId="26936"/>
    <cellStyle name="설계서-내용-소수점 8 7" xfId="14301"/>
    <cellStyle name="설계서-내용-소수점 8 7 2" xfId="27134"/>
    <cellStyle name="설계서-내용-소수점 8 8" xfId="12555"/>
    <cellStyle name="설계서-내용-소수점 8 8 2" xfId="25435"/>
    <cellStyle name="설계서-내용-소수점 8 9" xfId="13915"/>
    <cellStyle name="설계서-내용-소수점 8 9 2" xfId="26774"/>
    <cellStyle name="설계서-내용-우" xfId="3416"/>
    <cellStyle name="설계서-내용-우 2" xfId="10450"/>
    <cellStyle name="설계서-내용-우 2 2" xfId="11313"/>
    <cellStyle name="설계서-내용-우 3" xfId="10451"/>
    <cellStyle name="설계서-내용-우 3 2" xfId="11314"/>
    <cellStyle name="설계서-내용-우 4" xfId="10452"/>
    <cellStyle name="설계서-내용-우 4 2" xfId="11315"/>
    <cellStyle name="설계서-내용-우 5" xfId="10453"/>
    <cellStyle name="설계서-내용-우 5 2" xfId="11316"/>
    <cellStyle name="설계서-내용-우 6" xfId="10454"/>
    <cellStyle name="설계서-내용-우 6 2" xfId="11317"/>
    <cellStyle name="설계서-내용-우 7" xfId="10455"/>
    <cellStyle name="설계서-내용-우 7 2" xfId="11318"/>
    <cellStyle name="설계서-내용-우 8" xfId="10930"/>
    <cellStyle name="설계서-내용-좌" xfId="3417"/>
    <cellStyle name="설계서-내용-좌 2" xfId="10456"/>
    <cellStyle name="설계서-내용-좌 2 2" xfId="11319"/>
    <cellStyle name="설계서-내용-좌 3" xfId="10457"/>
    <cellStyle name="설계서-내용-좌 3 2" xfId="11320"/>
    <cellStyle name="설계서-내용-좌 4" xfId="10458"/>
    <cellStyle name="설계서-내용-좌 4 2" xfId="11321"/>
    <cellStyle name="설계서-내용-좌 5" xfId="10459"/>
    <cellStyle name="설계서-내용-좌 5 2" xfId="11322"/>
    <cellStyle name="설계서-내용-좌 6" xfId="10460"/>
    <cellStyle name="설계서-내용-좌 6 2" xfId="11323"/>
    <cellStyle name="설계서-내용-좌 7" xfId="10461"/>
    <cellStyle name="설계서-내용-좌 7 2" xfId="11324"/>
    <cellStyle name="설계서-내용-좌 8" xfId="10931"/>
    <cellStyle name="설계서-소제목" xfId="3418"/>
    <cellStyle name="설계서-소제목 2" xfId="10462"/>
    <cellStyle name="설계서-소제목 2 2" xfId="11325"/>
    <cellStyle name="설계서-소제목 2 2 10" xfId="13049"/>
    <cellStyle name="설계서-소제목 2 2 11" xfId="15758"/>
    <cellStyle name="설계서-소제목 2 2 11 2" xfId="28557"/>
    <cellStyle name="설계서-소제목 2 2 12" xfId="22969"/>
    <cellStyle name="설계서-소제목 2 2 12 2" xfId="35403"/>
    <cellStyle name="설계서-소제목 2 2 13" xfId="21184"/>
    <cellStyle name="설계서-소제목 2 2 13 2" xfId="33621"/>
    <cellStyle name="설계서-소제목 2 2 14" xfId="18557"/>
    <cellStyle name="설계서-소제목 2 2 14 2" xfId="31262"/>
    <cellStyle name="설계서-소제목 2 2 15" xfId="22389"/>
    <cellStyle name="설계서-소제목 2 2 15 2" xfId="34823"/>
    <cellStyle name="설계서-소제목 2 2 16" xfId="23052"/>
    <cellStyle name="설계서-소제목 2 2 16 2" xfId="35485"/>
    <cellStyle name="설계서-소제목 2 2 17" xfId="24131"/>
    <cellStyle name="설계서-소제목 2 2 17 2" xfId="36562"/>
    <cellStyle name="설계서-소제목 2 2 18" xfId="18936"/>
    <cellStyle name="설계서-소제목 2 2 18 2" xfId="31641"/>
    <cellStyle name="설계서-소제목 2 2 19" xfId="24549"/>
    <cellStyle name="설계서-소제목 2 2 19 2" xfId="36980"/>
    <cellStyle name="설계서-소제목 2 2 2" xfId="16502"/>
    <cellStyle name="설계서-소제목 2 2 2 2" xfId="29278"/>
    <cellStyle name="설계서-소제목 2 2 20" xfId="19732"/>
    <cellStyle name="설계서-소제목 2 2 20 2" xfId="32185"/>
    <cellStyle name="설계서-소제목 2 2 21" xfId="18281"/>
    <cellStyle name="설계서-소제목 2 2 21 2" xfId="30987"/>
    <cellStyle name="설계서-소제목 2 2 22" xfId="21328"/>
    <cellStyle name="설계서-소제목 2 2 22 2" xfId="33765"/>
    <cellStyle name="설계서-소제목 2 2 23" xfId="21116"/>
    <cellStyle name="설계서-소제목 2 2 23 2" xfId="33553"/>
    <cellStyle name="설계서-소제목 2 2 24" xfId="25198"/>
    <cellStyle name="설계서-소제목 2 2 3" xfId="16575"/>
    <cellStyle name="설계서-소제목 2 2 3 2" xfId="29351"/>
    <cellStyle name="설계서-소제목 2 2 4" xfId="14330"/>
    <cellStyle name="설계서-소제목 2 2 4 2" xfId="27163"/>
    <cellStyle name="설계서-소제목 2 2 5" xfId="17281"/>
    <cellStyle name="설계서-소제목 2 2 5 2" xfId="30010"/>
    <cellStyle name="설계서-소제목 2 2 6" xfId="12736"/>
    <cellStyle name="설계서-소제목 2 2 6 2" xfId="25613"/>
    <cellStyle name="설계서-소제목 2 2 7" xfId="15424"/>
    <cellStyle name="설계서-소제목 2 2 7 2" xfId="28238"/>
    <cellStyle name="설계서-소제목 2 2 8" xfId="16019"/>
    <cellStyle name="설계서-소제목 2 2 8 2" xfId="28817"/>
    <cellStyle name="설계서-소제목 2 2 9" xfId="16922"/>
    <cellStyle name="설계서-소제목 2 2 9 2" xfId="29697"/>
    <cellStyle name="설계서-소제목 3" xfId="10463"/>
    <cellStyle name="설계서-소제목 3 2" xfId="11326"/>
    <cellStyle name="설계서-소제목 3 2 10" xfId="16038"/>
    <cellStyle name="설계서-소제목 3 2 11" xfId="14253"/>
    <cellStyle name="설계서-소제목 3 2 11 2" xfId="27089"/>
    <cellStyle name="설계서-소제목 3 2 12" xfId="22970"/>
    <cellStyle name="설계서-소제목 3 2 12 2" xfId="35404"/>
    <cellStyle name="설계서-소제목 3 2 13" xfId="21183"/>
    <cellStyle name="설계서-소제목 3 2 13 2" xfId="33620"/>
    <cellStyle name="설계서-소제목 3 2 14" xfId="18558"/>
    <cellStyle name="설계서-소제목 3 2 14 2" xfId="31263"/>
    <cellStyle name="설계서-소제목 3 2 15" xfId="19218"/>
    <cellStyle name="설계서-소제목 3 2 15 2" xfId="31873"/>
    <cellStyle name="설계서-소제목 3 2 16" xfId="20753"/>
    <cellStyle name="설계서-소제목 3 2 16 2" xfId="33192"/>
    <cellStyle name="설계서-소제목 3 2 17" xfId="24130"/>
    <cellStyle name="설계서-소제목 3 2 17 2" xfId="36561"/>
    <cellStyle name="설계서-소제목 3 2 18" xfId="18770"/>
    <cellStyle name="설계서-소제목 3 2 18 2" xfId="31475"/>
    <cellStyle name="설계서-소제목 3 2 19" xfId="20122"/>
    <cellStyle name="설계서-소제목 3 2 19 2" xfId="32568"/>
    <cellStyle name="설계서-소제목 3 2 2" xfId="16503"/>
    <cellStyle name="설계서-소제목 3 2 2 2" xfId="29279"/>
    <cellStyle name="설계서-소제목 3 2 20" xfId="19245"/>
    <cellStyle name="설계서-소제목 3 2 20 2" xfId="31900"/>
    <cellStyle name="설계서-소제목 3 2 21" xfId="23812"/>
    <cellStyle name="설계서-소제목 3 2 21 2" xfId="36243"/>
    <cellStyle name="설계서-소제목 3 2 22" xfId="22095"/>
    <cellStyle name="설계서-소제목 3 2 22 2" xfId="34531"/>
    <cellStyle name="설계서-소제목 3 2 23" xfId="23744"/>
    <cellStyle name="설계서-소제목 3 2 23 2" xfId="36175"/>
    <cellStyle name="설계서-소제목 3 2 24" xfId="25199"/>
    <cellStyle name="설계서-소제목 3 2 3" xfId="16574"/>
    <cellStyle name="설계서-소제목 3 2 3 2" xfId="29350"/>
    <cellStyle name="설계서-소제목 3 2 4" xfId="14129"/>
    <cellStyle name="설계서-소제목 3 2 4 2" xfId="26977"/>
    <cellStyle name="설계서-소제목 3 2 5" xfId="17280"/>
    <cellStyle name="설계서-소제목 3 2 5 2" xfId="30009"/>
    <cellStyle name="설계서-소제목 3 2 6" xfId="17473"/>
    <cellStyle name="설계서-소제목 3 2 6 2" xfId="30195"/>
    <cellStyle name="설계서-소제목 3 2 7" xfId="14406"/>
    <cellStyle name="설계서-소제목 3 2 7 2" xfId="27239"/>
    <cellStyle name="설계서-소제목 3 2 8" xfId="14049"/>
    <cellStyle name="설계서-소제목 3 2 8 2" xfId="26898"/>
    <cellStyle name="설계서-소제목 3 2 9" xfId="12657"/>
    <cellStyle name="설계서-소제목 3 2 9 2" xfId="25536"/>
    <cellStyle name="설계서-소제목 4" xfId="10464"/>
    <cellStyle name="설계서-소제목 4 2" xfId="11327"/>
    <cellStyle name="설계서-소제목 4 2 10" xfId="14251"/>
    <cellStyle name="설계서-소제목 4 2 11" xfId="15757"/>
    <cellStyle name="설계서-소제목 4 2 11 2" xfId="28556"/>
    <cellStyle name="설계서-소제목 4 2 12" xfId="22971"/>
    <cellStyle name="설계서-소제목 4 2 12 2" xfId="35405"/>
    <cellStyle name="설계서-소제목 4 2 13" xfId="21182"/>
    <cellStyle name="설계서-소제목 4 2 13 2" xfId="33619"/>
    <cellStyle name="설계서-소제목 4 2 14" xfId="18559"/>
    <cellStyle name="설계서-소제목 4 2 14 2" xfId="31264"/>
    <cellStyle name="설계서-소제목 4 2 15" xfId="19292"/>
    <cellStyle name="설계서-소제목 4 2 15 2" xfId="31945"/>
    <cellStyle name="설계서-소제목 4 2 16" xfId="23053"/>
    <cellStyle name="설계서-소제목 4 2 16 2" xfId="35486"/>
    <cellStyle name="설계서-소제목 4 2 17" xfId="24129"/>
    <cellStyle name="설계서-소제목 4 2 17 2" xfId="36560"/>
    <cellStyle name="설계서-소제목 4 2 18" xfId="19693"/>
    <cellStyle name="설계서-소제목 4 2 18 2" xfId="32147"/>
    <cellStyle name="설계서-소제목 4 2 19" xfId="22564"/>
    <cellStyle name="설계서-소제목 4 2 19 2" xfId="34998"/>
    <cellStyle name="설계서-소제목 4 2 2" xfId="16504"/>
    <cellStyle name="설계서-소제목 4 2 2 2" xfId="29280"/>
    <cellStyle name="설계서-소제목 4 2 20" xfId="22235"/>
    <cellStyle name="설계서-소제목 4 2 20 2" xfId="34670"/>
    <cellStyle name="설계서-소제목 4 2 21" xfId="19261"/>
    <cellStyle name="설계서-소제목 4 2 21 2" xfId="31916"/>
    <cellStyle name="설계서-소제목 4 2 22" xfId="18344"/>
    <cellStyle name="설계서-소제목 4 2 22 2" xfId="31050"/>
    <cellStyle name="설계서-소제목 4 2 23" xfId="18424"/>
    <cellStyle name="설계서-소제목 4 2 23 2" xfId="31129"/>
    <cellStyle name="설계서-소제목 4 2 24" xfId="25200"/>
    <cellStyle name="설계서-소제목 4 2 3" xfId="16573"/>
    <cellStyle name="설계서-소제목 4 2 3 2" xfId="29349"/>
    <cellStyle name="설계서-소제목 4 2 4" xfId="14329"/>
    <cellStyle name="설계서-소제목 4 2 4 2" xfId="27162"/>
    <cellStyle name="설계서-소제목 4 2 5" xfId="17279"/>
    <cellStyle name="설계서-소제목 4 2 5 2" xfId="30008"/>
    <cellStyle name="설계서-소제목 4 2 6" xfId="17203"/>
    <cellStyle name="설계서-소제목 4 2 6 2" xfId="29937"/>
    <cellStyle name="설계서-소제목 4 2 7" xfId="15136"/>
    <cellStyle name="설계서-소제목 4 2 7 2" xfId="27955"/>
    <cellStyle name="설계서-소제목 4 2 8" xfId="16020"/>
    <cellStyle name="설계서-소제목 4 2 8 2" xfId="28818"/>
    <cellStyle name="설계서-소제목 4 2 9" xfId="12967"/>
    <cellStyle name="설계서-소제목 4 2 9 2" xfId="25842"/>
    <cellStyle name="설계서-소제목 5" xfId="10465"/>
    <cellStyle name="설계서-소제목 5 2" xfId="11328"/>
    <cellStyle name="설계서-소제목 5 2 10" xfId="16172"/>
    <cellStyle name="설계서-소제목 5 2 11" xfId="13957"/>
    <cellStyle name="설계서-소제목 5 2 11 2" xfId="26815"/>
    <cellStyle name="설계서-소제목 5 2 12" xfId="22972"/>
    <cellStyle name="설계서-소제목 5 2 12 2" xfId="35406"/>
    <cellStyle name="설계서-소제목 5 2 13" xfId="21181"/>
    <cellStyle name="설계서-소제목 5 2 13 2" xfId="33618"/>
    <cellStyle name="설계서-소제목 5 2 14" xfId="18560"/>
    <cellStyle name="설계서-소제목 5 2 14 2" xfId="31265"/>
    <cellStyle name="설계서-소제목 5 2 15" xfId="19219"/>
    <cellStyle name="설계서-소제목 5 2 15 2" xfId="31874"/>
    <cellStyle name="설계서-소제목 5 2 16" xfId="20754"/>
    <cellStyle name="설계서-소제목 5 2 16 2" xfId="33193"/>
    <cellStyle name="설계서-소제목 5 2 17" xfId="24128"/>
    <cellStyle name="설계서-소제목 5 2 17 2" xfId="36559"/>
    <cellStyle name="설계서-소제목 5 2 18" xfId="21069"/>
    <cellStyle name="설계서-소제목 5 2 18 2" xfId="33506"/>
    <cellStyle name="설계서-소제목 5 2 19" xfId="24548"/>
    <cellStyle name="설계서-소제목 5 2 19 2" xfId="36979"/>
    <cellStyle name="설계서-소제목 5 2 2" xfId="16505"/>
    <cellStyle name="설계서-소제목 5 2 2 2" xfId="29281"/>
    <cellStyle name="설계서-소제목 5 2 20" xfId="22367"/>
    <cellStyle name="설계서-소제목 5 2 20 2" xfId="34801"/>
    <cellStyle name="설계서-소제목 5 2 21" xfId="24423"/>
    <cellStyle name="설계서-소제목 5 2 21 2" xfId="36854"/>
    <cellStyle name="설계서-소제목 5 2 22" xfId="18829"/>
    <cellStyle name="설계서-소제목 5 2 22 2" xfId="31534"/>
    <cellStyle name="설계서-소제목 5 2 23" xfId="18656"/>
    <cellStyle name="설계서-소제목 5 2 23 2" xfId="31361"/>
    <cellStyle name="설계서-소제목 5 2 24" xfId="25201"/>
    <cellStyle name="설계서-소제목 5 2 3" xfId="16572"/>
    <cellStyle name="설계서-소제목 5 2 3 2" xfId="29348"/>
    <cellStyle name="설계서-소제목 5 2 4" xfId="14128"/>
    <cellStyle name="설계서-소제목 5 2 4 2" xfId="26976"/>
    <cellStyle name="설계서-소제목 5 2 5" xfId="17278"/>
    <cellStyle name="설계서-소제목 5 2 5 2" xfId="30007"/>
    <cellStyle name="설계서-소제목 5 2 6" xfId="17474"/>
    <cellStyle name="설계서-소제목 5 2 6 2" xfId="30196"/>
    <cellStyle name="설계서-소제목 5 2 7" xfId="12695"/>
    <cellStyle name="설계서-소제목 5 2 7 2" xfId="25574"/>
    <cellStyle name="설계서-소제목 5 2 8" xfId="14261"/>
    <cellStyle name="설계서-소제목 5 2 8 2" xfId="27097"/>
    <cellStyle name="설계서-소제목 5 2 9" xfId="14490"/>
    <cellStyle name="설계서-소제목 5 2 9 2" xfId="27322"/>
    <cellStyle name="설계서-소제목 6" xfId="10466"/>
    <cellStyle name="설계서-소제목 6 2" xfId="11329"/>
    <cellStyle name="설계서-소제목 6 2 10" xfId="17272"/>
    <cellStyle name="설계서-소제목 6 2 11" xfId="15756"/>
    <cellStyle name="설계서-소제목 6 2 11 2" xfId="28555"/>
    <cellStyle name="설계서-소제목 6 2 12" xfId="22973"/>
    <cellStyle name="설계서-소제목 6 2 12 2" xfId="35407"/>
    <cellStyle name="설계서-소제목 6 2 13" xfId="21180"/>
    <cellStyle name="설계서-소제목 6 2 13 2" xfId="33617"/>
    <cellStyle name="설계서-소제목 6 2 14" xfId="18561"/>
    <cellStyle name="설계서-소제목 6 2 14 2" xfId="31266"/>
    <cellStyle name="설계서-소제목 6 2 15" xfId="19293"/>
    <cellStyle name="설계서-소제목 6 2 15 2" xfId="31946"/>
    <cellStyle name="설계서-소제목 6 2 16" xfId="23054"/>
    <cellStyle name="설계서-소제목 6 2 16 2" xfId="35487"/>
    <cellStyle name="설계서-소제목 6 2 17" xfId="24127"/>
    <cellStyle name="설계서-소제목 6 2 17 2" xfId="36558"/>
    <cellStyle name="설계서-소제목 6 2 18" xfId="19692"/>
    <cellStyle name="설계서-소제목 6 2 18 2" xfId="32146"/>
    <cellStyle name="설계서-소제목 6 2 19" xfId="24547"/>
    <cellStyle name="설계서-소제목 6 2 19 2" xfId="36978"/>
    <cellStyle name="설계서-소제목 6 2 2" xfId="16506"/>
    <cellStyle name="설계서-소제목 6 2 2 2" xfId="29282"/>
    <cellStyle name="설계서-소제목 6 2 20" xfId="23049"/>
    <cellStyle name="설계서-소제목 6 2 20 2" xfId="35482"/>
    <cellStyle name="설계서-소제목 6 2 21" xfId="23044"/>
    <cellStyle name="설계서-소제목 6 2 21 2" xfId="35477"/>
    <cellStyle name="설계서-소제목 6 2 22" xfId="22146"/>
    <cellStyle name="설계서-소제목 6 2 22 2" xfId="34582"/>
    <cellStyle name="설계서-소제목 6 2 23" xfId="21117"/>
    <cellStyle name="설계서-소제목 6 2 23 2" xfId="33554"/>
    <cellStyle name="설계서-소제목 6 2 24" xfId="25202"/>
    <cellStyle name="설계서-소제목 6 2 3" xfId="16571"/>
    <cellStyle name="설계서-소제목 6 2 3 2" xfId="29347"/>
    <cellStyle name="설계서-소제목 6 2 4" xfId="14328"/>
    <cellStyle name="설계서-소제목 6 2 4 2" xfId="27161"/>
    <cellStyle name="설계서-소제목 6 2 5" xfId="17277"/>
    <cellStyle name="설계서-소제목 6 2 5 2" xfId="30006"/>
    <cellStyle name="설계서-소제목 6 2 6" xfId="15805"/>
    <cellStyle name="설계서-소제목 6 2 6 2" xfId="28604"/>
    <cellStyle name="설계서-소제목 6 2 7" xfId="13692"/>
    <cellStyle name="설계서-소제목 6 2 7 2" xfId="26556"/>
    <cellStyle name="설계서-소제목 6 2 8" xfId="16021"/>
    <cellStyle name="설계서-소제목 6 2 8 2" xfId="28819"/>
    <cellStyle name="설계서-소제목 6 2 9" xfId="17095"/>
    <cellStyle name="설계서-소제목 6 2 9 2" xfId="29831"/>
    <cellStyle name="설계서-소제목 7" xfId="10467"/>
    <cellStyle name="설계서-소제목 7 2" xfId="11330"/>
    <cellStyle name="설계서-소제목 7 2 10" xfId="16039"/>
    <cellStyle name="설계서-소제목 7 2 11" xfId="12994"/>
    <cellStyle name="설계서-소제목 7 2 11 2" xfId="25869"/>
    <cellStyle name="설계서-소제목 7 2 12" xfId="22974"/>
    <cellStyle name="설계서-소제목 7 2 12 2" xfId="35408"/>
    <cellStyle name="설계서-소제목 7 2 13" xfId="21179"/>
    <cellStyle name="설계서-소제목 7 2 13 2" xfId="33616"/>
    <cellStyle name="설계서-소제목 7 2 14" xfId="18562"/>
    <cellStyle name="설계서-소제목 7 2 14 2" xfId="31267"/>
    <cellStyle name="설계서-소제목 7 2 15" xfId="19220"/>
    <cellStyle name="설계서-소제목 7 2 15 2" xfId="31875"/>
    <cellStyle name="설계서-소제목 7 2 16" xfId="20755"/>
    <cellStyle name="설계서-소제목 7 2 16 2" xfId="33194"/>
    <cellStyle name="설계서-소제목 7 2 17" xfId="24126"/>
    <cellStyle name="설계서-소제목 7 2 17 2" xfId="36557"/>
    <cellStyle name="설계서-소제목 7 2 18" xfId="20514"/>
    <cellStyle name="설계서-소제목 7 2 18 2" xfId="32959"/>
    <cellStyle name="설계서-소제목 7 2 19" xfId="24546"/>
    <cellStyle name="설계서-소제목 7 2 19 2" xfId="36977"/>
    <cellStyle name="설계서-소제목 7 2 2" xfId="16507"/>
    <cellStyle name="설계서-소제목 7 2 2 2" xfId="29283"/>
    <cellStyle name="설계서-소제목 7 2 20" xfId="21921"/>
    <cellStyle name="설계서-소제목 7 2 20 2" xfId="34358"/>
    <cellStyle name="설계서-소제목 7 2 21" xfId="24422"/>
    <cellStyle name="설계서-소제목 7 2 21 2" xfId="36853"/>
    <cellStyle name="설계서-소제목 7 2 22" xfId="22094"/>
    <cellStyle name="설계서-소제목 7 2 22 2" xfId="34530"/>
    <cellStyle name="설계서-소제목 7 2 23" xfId="18418"/>
    <cellStyle name="설계서-소제목 7 2 23 2" xfId="31123"/>
    <cellStyle name="설계서-소제목 7 2 24" xfId="25203"/>
    <cellStyle name="설계서-소제목 7 2 3" xfId="16570"/>
    <cellStyle name="설계서-소제목 7 2 3 2" xfId="29346"/>
    <cellStyle name="설계서-소제목 7 2 4" xfId="14127"/>
    <cellStyle name="설계서-소제목 7 2 4 2" xfId="26975"/>
    <cellStyle name="설계서-소제목 7 2 5" xfId="17276"/>
    <cellStyle name="설계서-소제목 7 2 5 2" xfId="30005"/>
    <cellStyle name="설계서-소제목 7 2 6" xfId="14672"/>
    <cellStyle name="설계서-소제목 7 2 6 2" xfId="27498"/>
    <cellStyle name="설계서-소제목 7 2 7" xfId="14151"/>
    <cellStyle name="설계서-소제목 7 2 7 2" xfId="26999"/>
    <cellStyle name="설계서-소제목 7 2 8" xfId="17432"/>
    <cellStyle name="설계서-소제목 7 2 8 2" xfId="30155"/>
    <cellStyle name="설계서-소제목 7 2 9" xfId="12656"/>
    <cellStyle name="설계서-소제목 7 2 9 2" xfId="25535"/>
    <cellStyle name="설계서-소제목 8" xfId="10932"/>
    <cellStyle name="설계서-소제목 8 10" xfId="13938"/>
    <cellStyle name="설계서-소제목 8 11" xfId="18127"/>
    <cellStyle name="설계서-소제목 8 11 2" xfId="30834"/>
    <cellStyle name="설계서-소제목 8 12" xfId="22656"/>
    <cellStyle name="설계서-소제목 8 12 2" xfId="35090"/>
    <cellStyle name="설계서-소제목 8 13" xfId="21506"/>
    <cellStyle name="설계서-소제목 8 13 2" xfId="33943"/>
    <cellStyle name="설계서-소제목 8 14" xfId="18358"/>
    <cellStyle name="설계서-소제목 8 14 2" xfId="31064"/>
    <cellStyle name="설계서-소제목 8 15" xfId="18776"/>
    <cellStyle name="설계서-소제목 8 15 2" xfId="31481"/>
    <cellStyle name="설계서-소제목 8 16" xfId="22143"/>
    <cellStyle name="설계서-소제목 8 16 2" xfId="34579"/>
    <cellStyle name="설계서-소제목 8 17" xfId="24209"/>
    <cellStyle name="설계서-소제목 8 17 2" xfId="36640"/>
    <cellStyle name="설계서-소제목 8 18" xfId="20551"/>
    <cellStyle name="설계서-소제목 8 18 2" xfId="32996"/>
    <cellStyle name="설계서-소제목 8 19" xfId="23226"/>
    <cellStyle name="설계서-소제목 8 19 2" xfId="35659"/>
    <cellStyle name="설계서-소제목 8 2" xfId="16197"/>
    <cellStyle name="설계서-소제목 8 2 2" xfId="28973"/>
    <cellStyle name="설계서-소제목 8 20" xfId="20494"/>
    <cellStyle name="설계서-소제목 8 20 2" xfId="32939"/>
    <cellStyle name="설계서-소제목 8 21" xfId="21786"/>
    <cellStyle name="설계서-소제목 8 21 2" xfId="34223"/>
    <cellStyle name="설계서-소제목 8 22" xfId="20879"/>
    <cellStyle name="설계서-소제목 8 22 2" xfId="33316"/>
    <cellStyle name="설계서-소제목 8 23" xfId="23057"/>
    <cellStyle name="설계서-소제목 8 23 2" xfId="35490"/>
    <cellStyle name="설계서-소제목 8 24" xfId="25113"/>
    <cellStyle name="설계서-소제목 8 3" xfId="15257"/>
    <cellStyle name="설계서-소제목 8 3 2" xfId="28074"/>
    <cellStyle name="설계서-소제목 8 4" xfId="15474"/>
    <cellStyle name="설계서-소제목 8 4 2" xfId="28283"/>
    <cellStyle name="설계서-소제목 8 5" xfId="12811"/>
    <cellStyle name="설계서-소제목 8 5 2" xfId="25687"/>
    <cellStyle name="설계서-소제목 8 6" xfId="14588"/>
    <cellStyle name="설계서-소제목 8 6 2" xfId="27414"/>
    <cellStyle name="설계서-소제목 8 7" xfId="16045"/>
    <cellStyle name="설계서-소제목 8 7 2" xfId="28829"/>
    <cellStyle name="설계서-소제목 8 8" xfId="14851"/>
    <cellStyle name="설계서-소제목 8 8 2" xfId="27674"/>
    <cellStyle name="설계서-소제목 8 9" xfId="15673"/>
    <cellStyle name="설계서-소제목 8 9 2" xfId="28473"/>
    <cellStyle name="설계서-타이틀" xfId="3419"/>
    <cellStyle name="설계서-항목" xfId="3420"/>
    <cellStyle name="설명 텍스트 2" xfId="6032"/>
    <cellStyle name="설명 텍스트 3" xfId="11860"/>
    <cellStyle name="설명 텍스트 4" xfId="11861"/>
    <cellStyle name="설명 텍스트 5" xfId="11862"/>
    <cellStyle name="설명 텍스트 6" xfId="11863"/>
    <cellStyle name="설명 텍스트 7" xfId="11864"/>
    <cellStyle name="설명 텍스트 8" xfId="11865"/>
    <cellStyle name="셀 확인 2" xfId="6033"/>
    <cellStyle name="셀 확인 3" xfId="11866"/>
    <cellStyle name="셀 확인 4" xfId="11867"/>
    <cellStyle name="셀 확인 5" xfId="11868"/>
    <cellStyle name="셀 확인 6" xfId="11869"/>
    <cellStyle name="셀 확인 7" xfId="11870"/>
    <cellStyle name="셀 확인 8" xfId="11871"/>
    <cellStyle name="셈迷?XLS!check_filesche|_x0005_" xfId="3421"/>
    <cellStyle name="소숫점0" xfId="11872"/>
    <cellStyle name="소숫점3" xfId="11873"/>
    <cellStyle name="수당" xfId="3422"/>
    <cellStyle name="수당2" xfId="3423"/>
    <cellStyle name="수량" xfId="3424"/>
    <cellStyle name="수량 2" xfId="11331"/>
    <cellStyle name="수량산출" xfId="11874"/>
    <cellStyle name="수산" xfId="10468"/>
    <cellStyle name="숫자" xfId="11875"/>
    <cellStyle name="숫자 10" xfId="12924"/>
    <cellStyle name="숫자 10 2" xfId="25800"/>
    <cellStyle name="숫자 11" xfId="18212"/>
    <cellStyle name="숫자 11 2" xfId="30919"/>
    <cellStyle name="숫자 12" xfId="23229"/>
    <cellStyle name="숫자 13" xfId="23475"/>
    <cellStyle name="숫자 13 2" xfId="35906"/>
    <cellStyle name="숫자 14" xfId="23757"/>
    <cellStyle name="숫자 14 2" xfId="36188"/>
    <cellStyle name="숫자 15" xfId="20650"/>
    <cellStyle name="숫자 15 2" xfId="33094"/>
    <cellStyle name="숫자 16" xfId="19961"/>
    <cellStyle name="숫자 16 2" xfId="32409"/>
    <cellStyle name="숫자 17" xfId="24412"/>
    <cellStyle name="숫자 17 2" xfId="36843"/>
    <cellStyle name="숫자 18" xfId="23177"/>
    <cellStyle name="숫자 18 2" xfId="35610"/>
    <cellStyle name="숫자 19" xfId="24298"/>
    <cellStyle name="숫자 19 2" xfId="36729"/>
    <cellStyle name="숫자 2" xfId="11876"/>
    <cellStyle name="숫자 20" xfId="24900"/>
    <cellStyle name="숫자 20 2" xfId="37331"/>
    <cellStyle name="숫자 21" xfId="24991"/>
    <cellStyle name="숫자 21 2" xfId="37422"/>
    <cellStyle name="숫자 22" xfId="25082"/>
    <cellStyle name="숫자 22 2" xfId="37513"/>
    <cellStyle name="숫자 3" xfId="16797"/>
    <cellStyle name="숫자 3 2" xfId="29572"/>
    <cellStyle name="숫자 4" xfId="17172"/>
    <cellStyle name="숫자 4 2" xfId="29906"/>
    <cellStyle name="숫자 5" xfId="14059"/>
    <cellStyle name="숫자 5 2" xfId="26907"/>
    <cellStyle name="숫자 6" xfId="17587"/>
    <cellStyle name="숫자 6 2" xfId="30305"/>
    <cellStyle name="숫자 7" xfId="17806"/>
    <cellStyle name="숫자 7 2" xfId="30523"/>
    <cellStyle name="숫자 8" xfId="17722"/>
    <cellStyle name="숫자 8 2" xfId="30439"/>
    <cellStyle name="숫자 9" xfId="17995"/>
    <cellStyle name="숫자 9 2" xfId="30707"/>
    <cellStyle name="숫자(R)" xfId="3425"/>
    <cellStyle name="숫자(R) 2" xfId="10469"/>
    <cellStyle name="숫자(R) 3" xfId="11877"/>
    <cellStyle name="숫자(R) 4" xfId="11878"/>
    <cellStyle name="숫자(R) 5" xfId="11879"/>
    <cellStyle name="숫자(R) 6" xfId="11880"/>
    <cellStyle name="숫자(R)_가로등 일제정비공사 토목" xfId="11881"/>
    <cellStyle name="숫자1" xfId="11882"/>
    <cellStyle name="숫자1 2" xfId="11883"/>
    <cellStyle name="숫자3" xfId="11884"/>
    <cellStyle name="숫자3 2" xfId="11885"/>
    <cellStyle name="숫자3R" xfId="11886"/>
    <cellStyle name="숫자3자리" xfId="11887"/>
    <cellStyle name="쉼표 [0]" xfId="3426" builtinId="6"/>
    <cellStyle name="쉼표 [0] 10" xfId="11888"/>
    <cellStyle name="쉼표 [0] 11" xfId="37536"/>
    <cellStyle name="쉼표 [0] 12" xfId="37542"/>
    <cellStyle name="쉼표 [0] 2" xfId="3427"/>
    <cellStyle name="쉼표 [0] 2 2" xfId="3428"/>
    <cellStyle name="쉼표 [0] 2 2 2" xfId="3429"/>
    <cellStyle name="쉼표 [0] 2 2 3" xfId="6604"/>
    <cellStyle name="쉼표 [0] 2 2 4" xfId="11332"/>
    <cellStyle name="쉼표 [0] 2 3" xfId="3430"/>
    <cellStyle name="쉼표 [0] 2 3 2" xfId="11333"/>
    <cellStyle name="쉼표 [0] 2 4" xfId="6035"/>
    <cellStyle name="쉼표 [0] 2 5" xfId="11889"/>
    <cellStyle name="쉼표 [0] 2 6" xfId="11890"/>
    <cellStyle name="쉼표 [0] 3" xfId="3431"/>
    <cellStyle name="쉼표 [0] 3 2" xfId="3432"/>
    <cellStyle name="쉼표 [0] 3 2 2" xfId="6596"/>
    <cellStyle name="쉼표 [0] 3 2 3" xfId="11335"/>
    <cellStyle name="쉼표 [0] 3 3" xfId="6036"/>
    <cellStyle name="쉼표 [0] 3 4" xfId="11334"/>
    <cellStyle name="쉼표 [0] 4" xfId="3433"/>
    <cellStyle name="쉼표 [0] 4 2" xfId="6597"/>
    <cellStyle name="쉼표 [0] 4 3" xfId="6037"/>
    <cellStyle name="쉼표 [0] 5" xfId="3434"/>
    <cellStyle name="쉼표 [0] 5 2" xfId="3435"/>
    <cellStyle name="쉼표 [0] 5 3" xfId="6595"/>
    <cellStyle name="쉼표 [0] 5 4" xfId="11336"/>
    <cellStyle name="쉼표 [0] 6" xfId="3436"/>
    <cellStyle name="쉼표 [0] 6 2" xfId="3437"/>
    <cellStyle name="쉼표 [0] 6 3" xfId="11337"/>
    <cellStyle name="쉼표 [0] 7" xfId="6034"/>
    <cellStyle name="쉼표 [0] 8" xfId="11891"/>
    <cellStyle name="쉼표 [0] 9" xfId="11892"/>
    <cellStyle name="쉼표 10" xfId="10470"/>
    <cellStyle name="쉼표 11" xfId="10471"/>
    <cellStyle name="쉼표 12" xfId="10472"/>
    <cellStyle name="쉼표 13" xfId="10473"/>
    <cellStyle name="쉼표 14" xfId="10474"/>
    <cellStyle name="쉼표 2" xfId="6038"/>
    <cellStyle name="쉼표 2 2" xfId="10475"/>
    <cellStyle name="쉼표 3" xfId="6039"/>
    <cellStyle name="쉼표 3 2" xfId="6598"/>
    <cellStyle name="쉼표 3 3" xfId="11338"/>
    <cellStyle name="쉼표 4" xfId="6040"/>
    <cellStyle name="쉼표 4 2" xfId="6599"/>
    <cellStyle name="쉼표 4 3" xfId="11339"/>
    <cellStyle name="쉼표 5" xfId="6041"/>
    <cellStyle name="쉼표 5 2" xfId="6600"/>
    <cellStyle name="쉼표 5 3" xfId="11340"/>
    <cellStyle name="쉼표 6" xfId="6042"/>
    <cellStyle name="쉼표 6 2" xfId="6601"/>
    <cellStyle name="쉼표 6 3" xfId="11341"/>
    <cellStyle name="쉼표 7" xfId="6043"/>
    <cellStyle name="쉼표 7 2" xfId="6602"/>
    <cellStyle name="쉼표 7 3" xfId="11342"/>
    <cellStyle name="쉼표 8" xfId="6044"/>
    <cellStyle name="쉼표 8 2" xfId="6603"/>
    <cellStyle name="쉼표 8 3" xfId="11343"/>
    <cellStyle name="쉼표 9" xfId="10476"/>
    <cellStyle name="스타일 1" xfId="3438"/>
    <cellStyle name="스타일 1 2" xfId="10477"/>
    <cellStyle name="스타일 10" xfId="3439"/>
    <cellStyle name="스타일 11" xfId="3440"/>
    <cellStyle name="스타일 12" xfId="3441"/>
    <cellStyle name="스타일 13" xfId="3442"/>
    <cellStyle name="스타일 2" xfId="3443"/>
    <cellStyle name="스타일 3" xfId="3444"/>
    <cellStyle name="스타일 3 2" xfId="6045"/>
    <cellStyle name="스타일 3 2 2" xfId="11344"/>
    <cellStyle name="스타일 4" xfId="3445"/>
    <cellStyle name="스타일 4 2" xfId="6046"/>
    <cellStyle name="스타일 4 2 2" xfId="11345"/>
    <cellStyle name="스타일 5" xfId="3446"/>
    <cellStyle name="스타일 5 2" xfId="6047"/>
    <cellStyle name="스타일 5 2 2" xfId="11346"/>
    <cellStyle name="스타일 6" xfId="3447"/>
    <cellStyle name="스타일 6 2" xfId="6048"/>
    <cellStyle name="스타일 7" xfId="3448"/>
    <cellStyle name="스타일 8" xfId="3449"/>
    <cellStyle name="스타일 9" xfId="3450"/>
    <cellStyle name="실B_3월계획" xfId="10478"/>
    <cellStyle name="안건회계법인" xfId="3451"/>
    <cellStyle name="안건회계법인 2" xfId="10479"/>
    <cellStyle name="안건회계법인 2 2" xfId="10480"/>
    <cellStyle name="안건회계법인 3" xfId="10481"/>
    <cellStyle name="안건회계법인 3 2" xfId="10482"/>
    <cellStyle name="안건회계법인 4" xfId="10483"/>
    <cellStyle name="연결된 셀 2" xfId="6049"/>
    <cellStyle name="연결된 셀 3" xfId="11893"/>
    <cellStyle name="연결된 셀 4" xfId="11894"/>
    <cellStyle name="연결된 셀 5" xfId="11895"/>
    <cellStyle name="연결된 셀 6" xfId="11896"/>
    <cellStyle name="연결된 셀 7" xfId="11897"/>
    <cellStyle name="연결된 셀 8" xfId="11898"/>
    <cellStyle name="열어본 하이퍼링크" xfId="6050"/>
    <cellStyle name="영호" xfId="3452"/>
    <cellStyle name="영호 10" xfId="14270"/>
    <cellStyle name="영호 10 2" xfId="27105"/>
    <cellStyle name="영호 11" xfId="17843"/>
    <cellStyle name="영호 11 2" xfId="30559"/>
    <cellStyle name="영호 12" xfId="19765"/>
    <cellStyle name="영호 13" xfId="19690"/>
    <cellStyle name="영호 13 2" xfId="32144"/>
    <cellStyle name="영호 14" xfId="19754"/>
    <cellStyle name="영호 14 2" xfId="32207"/>
    <cellStyle name="영호 15" xfId="20963"/>
    <cellStyle name="영호 15 2" xfId="33400"/>
    <cellStyle name="영호 16" xfId="21943"/>
    <cellStyle name="영호 16 2" xfId="34380"/>
    <cellStyle name="영호 17" xfId="20918"/>
    <cellStyle name="영호 17 2" xfId="33355"/>
    <cellStyle name="영호 18" xfId="19087"/>
    <cellStyle name="영호 18 2" xfId="31792"/>
    <cellStyle name="영호 19" xfId="20500"/>
    <cellStyle name="영호 19 2" xfId="32945"/>
    <cellStyle name="영호 2" xfId="3453"/>
    <cellStyle name="영호 2 10" xfId="15742"/>
    <cellStyle name="영호 2 10 2" xfId="28541"/>
    <cellStyle name="영호 2 11" xfId="19766"/>
    <cellStyle name="영호 2 12" xfId="19689"/>
    <cellStyle name="영호 2 12 2" xfId="32143"/>
    <cellStyle name="영호 2 13" xfId="19755"/>
    <cellStyle name="영호 2 13 2" xfId="32208"/>
    <cellStyle name="영호 2 14" xfId="20792"/>
    <cellStyle name="영호 2 14 2" xfId="33231"/>
    <cellStyle name="영호 2 15" xfId="19576"/>
    <cellStyle name="영호 2 15 2" xfId="32031"/>
    <cellStyle name="영호 2 16" xfId="20492"/>
    <cellStyle name="영호 2 16 2" xfId="32937"/>
    <cellStyle name="영호 2 17" xfId="20601"/>
    <cellStyle name="영호 2 17 2" xfId="33045"/>
    <cellStyle name="영호 2 18" xfId="21095"/>
    <cellStyle name="영호 2 18 2" xfId="33532"/>
    <cellStyle name="영호 2 19" xfId="21702"/>
    <cellStyle name="영호 2 19 2" xfId="34139"/>
    <cellStyle name="영호 2 2" xfId="13799"/>
    <cellStyle name="영호 2 2 2" xfId="26658"/>
    <cellStyle name="영호 2 20" xfId="23896"/>
    <cellStyle name="영호 2 20 2" xfId="36327"/>
    <cellStyle name="영호 2 21" xfId="23270"/>
    <cellStyle name="영호 2 21 2" xfId="35702"/>
    <cellStyle name="영호 2 3" xfId="14683"/>
    <cellStyle name="영호 2 3 2" xfId="27509"/>
    <cellStyle name="영호 2 4" xfId="16783"/>
    <cellStyle name="영호 2 4 2" xfId="29558"/>
    <cellStyle name="영호 2 5" xfId="13725"/>
    <cellStyle name="영호 2 5 2" xfId="26586"/>
    <cellStyle name="영호 2 6" xfId="14860"/>
    <cellStyle name="영호 2 6 2" xfId="27682"/>
    <cellStyle name="영호 2 7" xfId="15639"/>
    <cellStyle name="영호 2 7 2" xfId="28446"/>
    <cellStyle name="영호 2 8" xfId="12659"/>
    <cellStyle name="영호 2 8 2" xfId="25538"/>
    <cellStyle name="영호 2 9" xfId="16580"/>
    <cellStyle name="영호 2 9 2" xfId="29356"/>
    <cellStyle name="영호 20" xfId="24566"/>
    <cellStyle name="영호 20 2" xfId="36997"/>
    <cellStyle name="영호 21" xfId="20817"/>
    <cellStyle name="영호 21 2" xfId="33254"/>
    <cellStyle name="영호 22" xfId="23718"/>
    <cellStyle name="영호 22 2" xfId="36149"/>
    <cellStyle name="영호 3" xfId="13798"/>
    <cellStyle name="영호 3 2" xfId="26657"/>
    <cellStyle name="영호 4" xfId="14684"/>
    <cellStyle name="영호 4 2" xfId="27510"/>
    <cellStyle name="영호 5" xfId="16784"/>
    <cellStyle name="영호 5 2" xfId="29559"/>
    <cellStyle name="영호 6" xfId="13724"/>
    <cellStyle name="영호 6 2" xfId="26585"/>
    <cellStyle name="영호 7" xfId="13718"/>
    <cellStyle name="영호 7 2" xfId="26579"/>
    <cellStyle name="영호 8" xfId="14236"/>
    <cellStyle name="영호 8 2" xfId="27077"/>
    <cellStyle name="영호 9" xfId="17948"/>
    <cellStyle name="영호 9 2" xfId="30660"/>
    <cellStyle name="왼" xfId="3454"/>
    <cellStyle name="왼쪽2" xfId="3455"/>
    <cellStyle name="왼쪽2 2" xfId="10484"/>
    <cellStyle name="왼쪽2 2 2" xfId="11348"/>
    <cellStyle name="왼쪽2 2 2 10" xfId="14786"/>
    <cellStyle name="왼쪽2 2 2 11" xfId="15362"/>
    <cellStyle name="왼쪽2 2 2 11 2" xfId="28179"/>
    <cellStyle name="왼쪽2 2 2 12" xfId="22981"/>
    <cellStyle name="왼쪽2 2 2 12 2" xfId="35414"/>
    <cellStyle name="왼쪽2 2 2 13" xfId="21166"/>
    <cellStyle name="왼쪽2 2 2 13 2" xfId="33603"/>
    <cellStyle name="왼쪽2 2 2 14" xfId="18573"/>
    <cellStyle name="왼쪽2 2 2 14 2" xfId="31278"/>
    <cellStyle name="왼쪽2 2 2 15" xfId="19225"/>
    <cellStyle name="왼쪽2 2 2 15 2" xfId="31880"/>
    <cellStyle name="왼쪽2 2 2 16" xfId="20762"/>
    <cellStyle name="왼쪽2 2 2 16 2" xfId="33201"/>
    <cellStyle name="왼쪽2 2 2 17" xfId="22453"/>
    <cellStyle name="왼쪽2 2 2 17 2" xfId="34887"/>
    <cellStyle name="왼쪽2 2 2 18" xfId="22198"/>
    <cellStyle name="왼쪽2 2 2 18 2" xfId="34633"/>
    <cellStyle name="왼쪽2 2 2 19" xfId="24537"/>
    <cellStyle name="왼쪽2 2 2 19 2" xfId="36968"/>
    <cellStyle name="왼쪽2 2 2 2" xfId="16514"/>
    <cellStyle name="왼쪽2 2 2 2 2" xfId="29290"/>
    <cellStyle name="왼쪽2 2 2 20" xfId="23242"/>
    <cellStyle name="왼쪽2 2 2 20 2" xfId="35674"/>
    <cellStyle name="왼쪽2 2 2 21" xfId="23365"/>
    <cellStyle name="왼쪽2 2 2 21 2" xfId="35797"/>
    <cellStyle name="왼쪽2 2 2 22" xfId="20554"/>
    <cellStyle name="왼쪽2 2 2 22 2" xfId="32999"/>
    <cellStyle name="왼쪽2 2 2 23" xfId="22202"/>
    <cellStyle name="왼쪽2 2 2 23 2" xfId="34637"/>
    <cellStyle name="왼쪽2 2 2 24" xfId="25205"/>
    <cellStyle name="왼쪽2 2 2 3" xfId="15077"/>
    <cellStyle name="왼쪽2 2 2 3 2" xfId="27896"/>
    <cellStyle name="왼쪽2 2 2 4" xfId="14126"/>
    <cellStyle name="왼쪽2 2 2 4 2" xfId="26974"/>
    <cellStyle name="왼쪽2 2 2 5" xfId="17268"/>
    <cellStyle name="왼쪽2 2 2 5 2" xfId="30001"/>
    <cellStyle name="왼쪽2 2 2 6" xfId="12707"/>
    <cellStyle name="왼쪽2 2 2 6 2" xfId="25585"/>
    <cellStyle name="왼쪽2 2 2 7" xfId="15591"/>
    <cellStyle name="왼쪽2 2 2 7 2" xfId="28400"/>
    <cellStyle name="왼쪽2 2 2 8" xfId="14050"/>
    <cellStyle name="왼쪽2 2 2 8 2" xfId="26899"/>
    <cellStyle name="왼쪽2 2 2 9" xfId="12399"/>
    <cellStyle name="왼쪽2 2 2 9 2" xfId="25279"/>
    <cellStyle name="왼쪽2 3" xfId="10485"/>
    <cellStyle name="왼쪽2 3 2" xfId="11349"/>
    <cellStyle name="왼쪽2 3 2 10" xfId="13045"/>
    <cellStyle name="왼쪽2 3 2 11" xfId="15929"/>
    <cellStyle name="왼쪽2 3 2 11 2" xfId="28727"/>
    <cellStyle name="왼쪽2 3 2 12" xfId="22982"/>
    <cellStyle name="왼쪽2 3 2 12 2" xfId="35415"/>
    <cellStyle name="왼쪽2 3 2 13" xfId="21165"/>
    <cellStyle name="왼쪽2 3 2 13 2" xfId="33602"/>
    <cellStyle name="왼쪽2 3 2 14" xfId="18574"/>
    <cellStyle name="왼쪽2 3 2 14 2" xfId="31279"/>
    <cellStyle name="왼쪽2 3 2 15" xfId="22392"/>
    <cellStyle name="왼쪽2 3 2 15 2" xfId="34826"/>
    <cellStyle name="왼쪽2 3 2 16" xfId="19976"/>
    <cellStyle name="왼쪽2 3 2 16 2" xfId="32424"/>
    <cellStyle name="왼쪽2 3 2 17" xfId="20577"/>
    <cellStyle name="왼쪽2 3 2 17 2" xfId="33022"/>
    <cellStyle name="왼쪽2 3 2 18" xfId="19691"/>
    <cellStyle name="왼쪽2 3 2 18 2" xfId="32145"/>
    <cellStyle name="왼쪽2 3 2 19" xfId="24536"/>
    <cellStyle name="왼쪽2 3 2 19 2" xfId="36967"/>
    <cellStyle name="왼쪽2 3 2 2" xfId="16515"/>
    <cellStyle name="왼쪽2 3 2 2 2" xfId="29291"/>
    <cellStyle name="왼쪽2 3 2 20" xfId="21097"/>
    <cellStyle name="왼쪽2 3 2 20 2" xfId="33534"/>
    <cellStyle name="왼쪽2 3 2 21" xfId="24749"/>
    <cellStyle name="왼쪽2 3 2 21 2" xfId="37180"/>
    <cellStyle name="왼쪽2 3 2 22" xfId="24018"/>
    <cellStyle name="왼쪽2 3 2 22 2" xfId="36449"/>
    <cellStyle name="왼쪽2 3 2 23" xfId="19887"/>
    <cellStyle name="왼쪽2 3 2 23 2" xfId="32337"/>
    <cellStyle name="왼쪽2 3 2 24" xfId="25206"/>
    <cellStyle name="왼쪽2 3 2 3" xfId="15076"/>
    <cellStyle name="왼쪽2 3 2 3 2" xfId="27895"/>
    <cellStyle name="왼쪽2 3 2 4" xfId="14326"/>
    <cellStyle name="왼쪽2 3 2 4 2" xfId="27159"/>
    <cellStyle name="왼쪽2 3 2 5" xfId="12816"/>
    <cellStyle name="왼쪽2 3 2 5 2" xfId="25692"/>
    <cellStyle name="왼쪽2 3 2 6" xfId="12584"/>
    <cellStyle name="왼쪽2 3 2 6 2" xfId="25463"/>
    <cellStyle name="왼쪽2 3 2 7" xfId="17147"/>
    <cellStyle name="왼쪽2 3 2 7 2" xfId="29881"/>
    <cellStyle name="왼쪽2 3 2 8" xfId="17903"/>
    <cellStyle name="왼쪽2 3 2 8 2" xfId="30617"/>
    <cellStyle name="왼쪽2 3 2 9" xfId="15285"/>
    <cellStyle name="왼쪽2 3 2 9 2" xfId="28102"/>
    <cellStyle name="왼쪽2 4" xfId="10486"/>
    <cellStyle name="왼쪽2 4 2" xfId="11350"/>
    <cellStyle name="왼쪽2 4 2 10" xfId="14446"/>
    <cellStyle name="왼쪽2 4 2 11" xfId="16174"/>
    <cellStyle name="왼쪽2 4 2 11 2" xfId="28951"/>
    <cellStyle name="왼쪽2 4 2 12" xfId="22983"/>
    <cellStyle name="왼쪽2 4 2 12 2" xfId="35416"/>
    <cellStyle name="왼쪽2 4 2 13" xfId="21164"/>
    <cellStyle name="왼쪽2 4 2 13 2" xfId="33601"/>
    <cellStyle name="왼쪽2 4 2 14" xfId="18575"/>
    <cellStyle name="왼쪽2 4 2 14 2" xfId="31280"/>
    <cellStyle name="왼쪽2 4 2 15" xfId="19226"/>
    <cellStyle name="왼쪽2 4 2 15 2" xfId="31881"/>
    <cellStyle name="왼쪽2 4 2 16" xfId="20763"/>
    <cellStyle name="왼쪽2 4 2 16 2" xfId="33202"/>
    <cellStyle name="왼쪽2 4 2 17" xfId="22452"/>
    <cellStyle name="왼쪽2 4 2 17 2" xfId="34886"/>
    <cellStyle name="왼쪽2 4 2 18" xfId="21108"/>
    <cellStyle name="왼쪽2 4 2 18 2" xfId="33545"/>
    <cellStyle name="왼쪽2 4 2 19" xfId="24535"/>
    <cellStyle name="왼쪽2 4 2 19 2" xfId="36966"/>
    <cellStyle name="왼쪽2 4 2 2" xfId="16516"/>
    <cellStyle name="왼쪽2 4 2 2 2" xfId="29292"/>
    <cellStyle name="왼쪽2 4 2 20" xfId="20943"/>
    <cellStyle name="왼쪽2 4 2 20 2" xfId="33380"/>
    <cellStyle name="왼쪽2 4 2 21" xfId="24023"/>
    <cellStyle name="왼쪽2 4 2 21 2" xfId="36454"/>
    <cellStyle name="왼쪽2 4 2 22" xfId="24396"/>
    <cellStyle name="왼쪽2 4 2 22 2" xfId="36827"/>
    <cellStyle name="왼쪽2 4 2 23" xfId="22337"/>
    <cellStyle name="왼쪽2 4 2 23 2" xfId="34771"/>
    <cellStyle name="왼쪽2 4 2 24" xfId="25207"/>
    <cellStyle name="왼쪽2 4 2 3" xfId="12389"/>
    <cellStyle name="왼쪽2 4 2 3 2" xfId="25269"/>
    <cellStyle name="왼쪽2 4 2 4" xfId="14125"/>
    <cellStyle name="왼쪽2 4 2 4 2" xfId="26973"/>
    <cellStyle name="왼쪽2 4 2 5" xfId="12817"/>
    <cellStyle name="왼쪽2 4 2 5 2" xfId="25693"/>
    <cellStyle name="왼쪽2 4 2 6" xfId="14673"/>
    <cellStyle name="왼쪽2 4 2 6 2" xfId="27499"/>
    <cellStyle name="왼쪽2 4 2 7" xfId="13167"/>
    <cellStyle name="왼쪽2 4 2 7 2" xfId="26035"/>
    <cellStyle name="왼쪽2 4 2 8" xfId="17902"/>
    <cellStyle name="왼쪽2 4 2 8 2" xfId="30616"/>
    <cellStyle name="왼쪽2 4 2 9" xfId="15972"/>
    <cellStyle name="왼쪽2 4 2 9 2" xfId="28770"/>
    <cellStyle name="왼쪽2 5" xfId="10487"/>
    <cellStyle name="왼쪽2 5 2" xfId="11351"/>
    <cellStyle name="왼쪽2 5 2 10" xfId="16040"/>
    <cellStyle name="왼쪽2 5 2 11" xfId="15649"/>
    <cellStyle name="왼쪽2 5 2 11 2" xfId="28456"/>
    <cellStyle name="왼쪽2 5 2 12" xfId="22984"/>
    <cellStyle name="왼쪽2 5 2 12 2" xfId="35417"/>
    <cellStyle name="왼쪽2 5 2 13" xfId="21163"/>
    <cellStyle name="왼쪽2 5 2 13 2" xfId="33600"/>
    <cellStyle name="왼쪽2 5 2 14" xfId="18576"/>
    <cellStyle name="왼쪽2 5 2 14 2" xfId="31281"/>
    <cellStyle name="왼쪽2 5 2 15" xfId="22393"/>
    <cellStyle name="왼쪽2 5 2 15 2" xfId="34827"/>
    <cellStyle name="왼쪽2 5 2 16" xfId="20562"/>
    <cellStyle name="왼쪽2 5 2 16 2" xfId="33007"/>
    <cellStyle name="왼쪽2 5 2 17" xfId="20576"/>
    <cellStyle name="왼쪽2 5 2 17 2" xfId="33021"/>
    <cellStyle name="왼쪽2 5 2 18" xfId="23998"/>
    <cellStyle name="왼쪽2 5 2 18 2" xfId="36429"/>
    <cellStyle name="왼쪽2 5 2 19" xfId="24534"/>
    <cellStyle name="왼쪽2 5 2 19 2" xfId="36965"/>
    <cellStyle name="왼쪽2 5 2 2" xfId="16517"/>
    <cellStyle name="왼쪽2 5 2 2 2" xfId="29293"/>
    <cellStyle name="왼쪽2 5 2 20" xfId="18521"/>
    <cellStyle name="왼쪽2 5 2 20 2" xfId="31226"/>
    <cellStyle name="왼쪽2 5 2 21" xfId="24328"/>
    <cellStyle name="왼쪽2 5 2 21 2" xfId="36759"/>
    <cellStyle name="왼쪽2 5 2 22" xfId="19260"/>
    <cellStyle name="왼쪽2 5 2 22 2" xfId="31915"/>
    <cellStyle name="왼쪽2 5 2 23" xfId="18755"/>
    <cellStyle name="왼쪽2 5 2 23 2" xfId="31460"/>
    <cellStyle name="왼쪽2 5 2 24" xfId="25208"/>
    <cellStyle name="왼쪽2 5 2 3" xfId="15075"/>
    <cellStyle name="왼쪽2 5 2 3 2" xfId="27894"/>
    <cellStyle name="왼쪽2 5 2 4" xfId="14325"/>
    <cellStyle name="왼쪽2 5 2 4 2" xfId="27158"/>
    <cellStyle name="왼쪽2 5 2 5" xfId="12818"/>
    <cellStyle name="왼쪽2 5 2 5 2" xfId="25694"/>
    <cellStyle name="왼쪽2 5 2 6" xfId="14750"/>
    <cellStyle name="왼쪽2 5 2 6 2" xfId="27575"/>
    <cellStyle name="왼쪽2 5 2 7" xfId="17148"/>
    <cellStyle name="왼쪽2 5 2 7 2" xfId="29882"/>
    <cellStyle name="왼쪽2 5 2 8" xfId="17901"/>
    <cellStyle name="왼쪽2 5 2 8 2" xfId="30615"/>
    <cellStyle name="왼쪽2 5 2 9" xfId="14255"/>
    <cellStyle name="왼쪽2 5 2 9 2" xfId="27091"/>
    <cellStyle name="왼쪽2 6" xfId="10488"/>
    <cellStyle name="왼쪽2 6 2" xfId="11352"/>
    <cellStyle name="왼쪽2 6 2 10" xfId="14231"/>
    <cellStyle name="왼쪽2 6 2 11" xfId="15755"/>
    <cellStyle name="왼쪽2 6 2 11 2" xfId="28554"/>
    <cellStyle name="왼쪽2 6 2 12" xfId="22985"/>
    <cellStyle name="왼쪽2 6 2 12 2" xfId="35418"/>
    <cellStyle name="왼쪽2 6 2 13" xfId="21162"/>
    <cellStyle name="왼쪽2 6 2 13 2" xfId="33599"/>
    <cellStyle name="왼쪽2 6 2 14" xfId="18577"/>
    <cellStyle name="왼쪽2 6 2 14 2" xfId="31282"/>
    <cellStyle name="왼쪽2 6 2 15" xfId="19227"/>
    <cellStyle name="왼쪽2 6 2 15 2" xfId="31882"/>
    <cellStyle name="왼쪽2 6 2 16" xfId="20764"/>
    <cellStyle name="왼쪽2 6 2 16 2" xfId="33203"/>
    <cellStyle name="왼쪽2 6 2 17" xfId="22451"/>
    <cellStyle name="왼쪽2 6 2 17 2" xfId="34885"/>
    <cellStyle name="왼쪽2 6 2 18" xfId="21840"/>
    <cellStyle name="왼쪽2 6 2 18 2" xfId="34277"/>
    <cellStyle name="왼쪽2 6 2 19" xfId="24533"/>
    <cellStyle name="왼쪽2 6 2 19 2" xfId="36964"/>
    <cellStyle name="왼쪽2 6 2 2" xfId="16518"/>
    <cellStyle name="왼쪽2 6 2 2 2" xfId="29294"/>
    <cellStyle name="왼쪽2 6 2 20" xfId="19684"/>
    <cellStyle name="왼쪽2 6 2 20 2" xfId="32138"/>
    <cellStyle name="왼쪽2 6 2 21" xfId="23464"/>
    <cellStyle name="왼쪽2 6 2 21 2" xfId="35895"/>
    <cellStyle name="왼쪽2 6 2 22" xfId="24397"/>
    <cellStyle name="왼쪽2 6 2 22 2" xfId="36828"/>
    <cellStyle name="왼쪽2 6 2 23" xfId="22203"/>
    <cellStyle name="왼쪽2 6 2 23 2" xfId="34638"/>
    <cellStyle name="왼쪽2 6 2 24" xfId="25209"/>
    <cellStyle name="왼쪽2 6 2 3" xfId="16565"/>
    <cellStyle name="왼쪽2 6 2 3 2" xfId="29341"/>
    <cellStyle name="왼쪽2 6 2 4" xfId="14124"/>
    <cellStyle name="왼쪽2 6 2 4 2" xfId="26972"/>
    <cellStyle name="왼쪽2 6 2 5" xfId="12819"/>
    <cellStyle name="왼쪽2 6 2 5 2" xfId="25695"/>
    <cellStyle name="왼쪽2 6 2 6" xfId="15793"/>
    <cellStyle name="왼쪽2 6 2 6 2" xfId="28592"/>
    <cellStyle name="왼쪽2 6 2 7" xfId="14404"/>
    <cellStyle name="왼쪽2 6 2 7 2" xfId="27237"/>
    <cellStyle name="왼쪽2 6 2 8" xfId="17900"/>
    <cellStyle name="왼쪽2 6 2 8 2" xfId="30614"/>
    <cellStyle name="왼쪽2 6 2 9" xfId="17267"/>
    <cellStyle name="왼쪽2 6 2 9 2" xfId="30000"/>
    <cellStyle name="왼쪽2 7" xfId="11347"/>
    <cellStyle name="왼쪽2 7 10" xfId="14234"/>
    <cellStyle name="왼쪽2 7 11" xfId="12993"/>
    <cellStyle name="왼쪽2 7 11 2" xfId="25868"/>
    <cellStyle name="왼쪽2 7 12" xfId="22980"/>
    <cellStyle name="왼쪽2 7 12 2" xfId="35413"/>
    <cellStyle name="왼쪽2 7 13" xfId="21167"/>
    <cellStyle name="왼쪽2 7 13 2" xfId="33604"/>
    <cellStyle name="왼쪽2 7 14" xfId="18572"/>
    <cellStyle name="왼쪽2 7 14 2" xfId="31277"/>
    <cellStyle name="왼쪽2 7 15" xfId="22391"/>
    <cellStyle name="왼쪽2 7 15 2" xfId="34825"/>
    <cellStyle name="왼쪽2 7 16" xfId="21617"/>
    <cellStyle name="왼쪽2 7 16 2" xfId="34054"/>
    <cellStyle name="왼쪽2 7 17" xfId="24125"/>
    <cellStyle name="왼쪽2 7 17 2" xfId="36556"/>
    <cellStyle name="왼쪽2 7 18" xfId="23997"/>
    <cellStyle name="왼쪽2 7 18 2" xfId="36428"/>
    <cellStyle name="왼쪽2 7 19" xfId="24538"/>
    <cellStyle name="왼쪽2 7 19 2" xfId="36969"/>
    <cellStyle name="왼쪽2 7 2" xfId="16513"/>
    <cellStyle name="왼쪽2 7 2 2" xfId="29289"/>
    <cellStyle name="왼쪽2 7 20" xfId="23851"/>
    <cellStyle name="왼쪽2 7 20 2" xfId="36282"/>
    <cellStyle name="왼쪽2 7 21" xfId="23813"/>
    <cellStyle name="왼쪽2 7 21 2" xfId="36244"/>
    <cellStyle name="왼쪽2 7 22" xfId="22216"/>
    <cellStyle name="왼쪽2 7 22 2" xfId="34651"/>
    <cellStyle name="왼쪽2 7 23" xfId="18754"/>
    <cellStyle name="왼쪽2 7 23 2" xfId="31459"/>
    <cellStyle name="왼쪽2 7 24" xfId="25204"/>
    <cellStyle name="왼쪽2 7 3" xfId="15078"/>
    <cellStyle name="왼쪽2 7 3 2" xfId="27897"/>
    <cellStyle name="왼쪽2 7 4" xfId="14327"/>
    <cellStyle name="왼쪽2 7 4 2" xfId="27160"/>
    <cellStyle name="왼쪽2 7 5" xfId="17269"/>
    <cellStyle name="왼쪽2 7 5 2" xfId="30002"/>
    <cellStyle name="왼쪽2 7 6" xfId="14749"/>
    <cellStyle name="왼쪽2 7 6 2" xfId="27574"/>
    <cellStyle name="왼쪽2 7 7" xfId="17146"/>
    <cellStyle name="왼쪽2 7 7 2" xfId="29880"/>
    <cellStyle name="왼쪽2 7 8" xfId="16023"/>
    <cellStyle name="왼쪽2 7 8 2" xfId="28821"/>
    <cellStyle name="왼쪽2 7 9" xfId="14611"/>
    <cellStyle name="왼쪽2 7 9 2" xfId="27437"/>
    <cellStyle name="왼쪽5" xfId="3456"/>
    <cellStyle name="왼쪽5 10" xfId="17842"/>
    <cellStyle name="왼쪽5 10 2" xfId="30558"/>
    <cellStyle name="왼쪽5 11" xfId="19769"/>
    <cellStyle name="왼쪽5 12" xfId="19688"/>
    <cellStyle name="왼쪽5 12 2" xfId="32142"/>
    <cellStyle name="왼쪽5 13" xfId="22414"/>
    <cellStyle name="왼쪽5 13 2" xfId="34848"/>
    <cellStyle name="왼쪽5 14" xfId="19744"/>
    <cellStyle name="왼쪽5 14 2" xfId="32197"/>
    <cellStyle name="왼쪽5 15" xfId="20700"/>
    <cellStyle name="왼쪽5 15 2" xfId="33143"/>
    <cellStyle name="왼쪽5 16" xfId="18661"/>
    <cellStyle name="왼쪽5 16 2" xfId="31366"/>
    <cellStyle name="왼쪽5 17" xfId="19770"/>
    <cellStyle name="왼쪽5 17 2" xfId="32220"/>
    <cellStyle name="왼쪽5 18" xfId="24373"/>
    <cellStyle name="왼쪽5 18 2" xfId="36804"/>
    <cellStyle name="왼쪽5 19" xfId="18253"/>
    <cellStyle name="왼쪽5 19 2" xfId="30959"/>
    <cellStyle name="왼쪽5 2" xfId="13800"/>
    <cellStyle name="왼쪽5 2 2" xfId="26659"/>
    <cellStyle name="왼쪽5 20" xfId="23895"/>
    <cellStyle name="왼쪽5 20 2" xfId="36326"/>
    <cellStyle name="왼쪽5 21" xfId="19673"/>
    <cellStyle name="왼쪽5 21 2" xfId="32127"/>
    <cellStyle name="왼쪽5 3" xfId="14682"/>
    <cellStyle name="왼쪽5 3 2" xfId="27508"/>
    <cellStyle name="왼쪽5 4" xfId="16782"/>
    <cellStyle name="왼쪽5 4 2" xfId="29557"/>
    <cellStyle name="왼쪽5 5" xfId="12742"/>
    <cellStyle name="왼쪽5 5 2" xfId="25619"/>
    <cellStyle name="왼쪽5 6" xfId="14859"/>
    <cellStyle name="왼쪽5 6 2" xfId="27681"/>
    <cellStyle name="왼쪽5 7" xfId="14235"/>
    <cellStyle name="왼쪽5 7 2" xfId="27076"/>
    <cellStyle name="왼쪽5 8" xfId="15810"/>
    <cellStyle name="왼쪽5 8 2" xfId="28609"/>
    <cellStyle name="왼쪽5 9" xfId="17246"/>
    <cellStyle name="왼쪽5 9 2" xfId="29980"/>
    <cellStyle name="요약 2" xfId="6051"/>
    <cellStyle name="요약 2 2" xfId="11395"/>
    <cellStyle name="요약 2 2 10" xfId="13042"/>
    <cellStyle name="요약 2 2 10 2" xfId="25916"/>
    <cellStyle name="요약 2 2 11" xfId="13071"/>
    <cellStyle name="요약 2 2 11 2" xfId="25940"/>
    <cellStyle name="요약 2 2 12" xfId="23017"/>
    <cellStyle name="요약 2 2 12 2" xfId="35450"/>
    <cellStyle name="요약 2 2 13" xfId="21125"/>
    <cellStyle name="요약 2 2 13 2" xfId="33562"/>
    <cellStyle name="요약 2 2 14" xfId="20380"/>
    <cellStyle name="요약 2 2 14 2" xfId="32825"/>
    <cellStyle name="요약 2 2 15" xfId="20312"/>
    <cellStyle name="요약 2 2 15 2" xfId="32757"/>
    <cellStyle name="요약 2 2 16" xfId="20780"/>
    <cellStyle name="요약 2 2 16 2" xfId="33219"/>
    <cellStyle name="요약 2 2 17" xfId="22316"/>
    <cellStyle name="요약 2 2 17 2" xfId="34750"/>
    <cellStyle name="요약 2 2 18" xfId="18763"/>
    <cellStyle name="요약 2 2 18 2" xfId="31468"/>
    <cellStyle name="요약 2 2 19" xfId="23392"/>
    <cellStyle name="요약 2 2 19 2" xfId="35824"/>
    <cellStyle name="요약 2 2 2" xfId="16551"/>
    <cellStyle name="요약 2 2 2 2" xfId="29327"/>
    <cellStyle name="요약 2 2 20" xfId="22266"/>
    <cellStyle name="요약 2 2 20 2" xfId="34701"/>
    <cellStyle name="요약 2 2 21" xfId="22276"/>
    <cellStyle name="요약 2 2 21 2" xfId="34711"/>
    <cellStyle name="요약 2 2 22" xfId="19511"/>
    <cellStyle name="요약 2 2 22 2" xfId="31966"/>
    <cellStyle name="요약 2 2 23" xfId="20786"/>
    <cellStyle name="요약 2 2 23 2" xfId="33225"/>
    <cellStyle name="요약 2 2 24" xfId="25230"/>
    <cellStyle name="요약 2 2 3" xfId="12636"/>
    <cellStyle name="요약 2 2 3 2" xfId="25515"/>
    <cellStyle name="요약 2 2 4" xfId="14108"/>
    <cellStyle name="요약 2 2 4 2" xfId="26956"/>
    <cellStyle name="요약 2 2 5" xfId="12851"/>
    <cellStyle name="요약 2 2 5 2" xfId="25727"/>
    <cellStyle name="요약 2 2 6" xfId="12871"/>
    <cellStyle name="요약 2 2 6 2" xfId="25747"/>
    <cellStyle name="요약 2 2 7" xfId="17090"/>
    <cellStyle name="요약 2 2 7 2" xfId="29826"/>
    <cellStyle name="요약 2 2 8" xfId="15572"/>
    <cellStyle name="요약 2 2 8 2" xfId="28381"/>
    <cellStyle name="요약 2 2 9" xfId="13811"/>
    <cellStyle name="요약 2 2 9 2" xfId="26670"/>
    <cellStyle name="요약 3" xfId="11899"/>
    <cellStyle name="요약 3 10" xfId="18213"/>
    <cellStyle name="요약 3 10 2" xfId="30920"/>
    <cellStyle name="요약 3 11" xfId="18120"/>
    <cellStyle name="요약 3 11 2" xfId="30827"/>
    <cellStyle name="요약 3 12" xfId="23243"/>
    <cellStyle name="요약 3 12 2" xfId="35675"/>
    <cellStyle name="요약 3 13" xfId="23486"/>
    <cellStyle name="요약 3 13 2" xfId="35917"/>
    <cellStyle name="요약 3 14" xfId="23767"/>
    <cellStyle name="요약 3 14 2" xfId="36198"/>
    <cellStyle name="요약 3 15" xfId="20374"/>
    <cellStyle name="요약 3 15 2" xfId="32819"/>
    <cellStyle name="요약 3 16" xfId="19146"/>
    <cellStyle name="요약 3 16 2" xfId="31802"/>
    <cellStyle name="요약 3 17" xfId="24415"/>
    <cellStyle name="요약 3 17 2" xfId="36846"/>
    <cellStyle name="요약 3 18" xfId="23750"/>
    <cellStyle name="요약 3 18 2" xfId="36181"/>
    <cellStyle name="요약 3 19" xfId="21814"/>
    <cellStyle name="요약 3 19 2" xfId="34251"/>
    <cellStyle name="요약 3 2" xfId="16805"/>
    <cellStyle name="요약 3 2 2" xfId="29580"/>
    <cellStyle name="요약 3 20" xfId="19712"/>
    <cellStyle name="요약 3 20 2" xfId="32165"/>
    <cellStyle name="요약 3 21" xfId="24901"/>
    <cellStyle name="요약 3 21 2" xfId="37332"/>
    <cellStyle name="요약 3 22" xfId="24992"/>
    <cellStyle name="요약 3 22 2" xfId="37423"/>
    <cellStyle name="요약 3 23" xfId="25083"/>
    <cellStyle name="요약 3 23 2" xfId="37514"/>
    <cellStyle name="요약 3 24" xfId="25247"/>
    <cellStyle name="요약 3 3" xfId="17180"/>
    <cellStyle name="요약 3 3 2" xfId="29914"/>
    <cellStyle name="요약 3 4" xfId="12655"/>
    <cellStyle name="요약 3 4 2" xfId="25534"/>
    <cellStyle name="요약 3 5" xfId="17601"/>
    <cellStyle name="요약 3 5 2" xfId="30318"/>
    <cellStyle name="요약 3 6" xfId="17810"/>
    <cellStyle name="요약 3 6 2" xfId="30526"/>
    <cellStyle name="요약 3 7" xfId="17332"/>
    <cellStyle name="요약 3 7 2" xfId="30061"/>
    <cellStyle name="요약 3 8" xfId="15565"/>
    <cellStyle name="요약 3 8 2" xfId="28374"/>
    <cellStyle name="요약 3 9" xfId="17566"/>
    <cellStyle name="요약 3 9 2" xfId="30284"/>
    <cellStyle name="요약 4" xfId="11900"/>
    <cellStyle name="요약 4 10" xfId="18214"/>
    <cellStyle name="요약 4 10 2" xfId="30921"/>
    <cellStyle name="요약 4 11" xfId="14006"/>
    <cellStyle name="요약 4 11 2" xfId="26859"/>
    <cellStyle name="요약 4 12" xfId="23244"/>
    <cellStyle name="요약 4 12 2" xfId="35676"/>
    <cellStyle name="요약 4 13" xfId="23487"/>
    <cellStyle name="요약 4 13 2" xfId="35918"/>
    <cellStyle name="요약 4 14" xfId="23768"/>
    <cellStyle name="요약 4 14 2" xfId="36199"/>
    <cellStyle name="요약 4 15" xfId="20125"/>
    <cellStyle name="요약 4 15 2" xfId="32571"/>
    <cellStyle name="요약 4 16" xfId="20304"/>
    <cellStyle name="요약 4 16 2" xfId="32749"/>
    <cellStyle name="요약 4 17" xfId="24416"/>
    <cellStyle name="요약 4 17 2" xfId="36847"/>
    <cellStyle name="요약 4 18" xfId="19259"/>
    <cellStyle name="요약 4 18 2" xfId="31914"/>
    <cellStyle name="요약 4 19" xfId="18329"/>
    <cellStyle name="요약 4 19 2" xfId="31035"/>
    <cellStyle name="요약 4 2" xfId="16806"/>
    <cellStyle name="요약 4 2 2" xfId="29581"/>
    <cellStyle name="요약 4 20" xfId="24164"/>
    <cellStyle name="요약 4 20 2" xfId="36595"/>
    <cellStyle name="요약 4 21" xfId="24902"/>
    <cellStyle name="요약 4 21 2" xfId="37333"/>
    <cellStyle name="요약 4 22" xfId="24993"/>
    <cellStyle name="요약 4 22 2" xfId="37424"/>
    <cellStyle name="요약 4 23" xfId="25084"/>
    <cellStyle name="요약 4 23 2" xfId="37515"/>
    <cellStyle name="요약 4 24" xfId="25248"/>
    <cellStyle name="요약 4 3" xfId="17181"/>
    <cellStyle name="요약 4 3 2" xfId="29915"/>
    <cellStyle name="요약 4 4" xfId="12654"/>
    <cellStyle name="요약 4 4 2" xfId="25533"/>
    <cellStyle name="요약 4 5" xfId="17602"/>
    <cellStyle name="요약 4 5 2" xfId="30319"/>
    <cellStyle name="요약 4 6" xfId="17811"/>
    <cellStyle name="요약 4 6 2" xfId="30527"/>
    <cellStyle name="요약 4 7" xfId="16948"/>
    <cellStyle name="요약 4 7 2" xfId="29723"/>
    <cellStyle name="요약 4 8" xfId="12794"/>
    <cellStyle name="요약 4 8 2" xfId="25670"/>
    <cellStyle name="요약 4 9" xfId="16583"/>
    <cellStyle name="요약 4 9 2" xfId="29359"/>
    <cellStyle name="요약 5" xfId="11901"/>
    <cellStyle name="요약 5 10" xfId="18215"/>
    <cellStyle name="요약 5 10 2" xfId="30922"/>
    <cellStyle name="요약 5 11" xfId="18119"/>
    <cellStyle name="요약 5 11 2" xfId="30826"/>
    <cellStyle name="요약 5 12" xfId="23245"/>
    <cellStyle name="요약 5 12 2" xfId="35677"/>
    <cellStyle name="요약 5 13" xfId="23488"/>
    <cellStyle name="요약 5 13 2" xfId="35919"/>
    <cellStyle name="요약 5 14" xfId="23769"/>
    <cellStyle name="요약 5 14 2" xfId="36200"/>
    <cellStyle name="요약 5 15" xfId="20375"/>
    <cellStyle name="요약 5 15 2" xfId="32820"/>
    <cellStyle name="요약 5 16" xfId="20059"/>
    <cellStyle name="요약 5 16 2" xfId="32505"/>
    <cellStyle name="요약 5 17" xfId="24417"/>
    <cellStyle name="요약 5 17 2" xfId="36848"/>
    <cellStyle name="요약 5 18" xfId="21185"/>
    <cellStyle name="요약 5 18 2" xfId="33622"/>
    <cellStyle name="요약 5 19" xfId="24323"/>
    <cellStyle name="요약 5 19 2" xfId="36754"/>
    <cellStyle name="요약 5 2" xfId="16807"/>
    <cellStyle name="요약 5 2 2" xfId="29582"/>
    <cellStyle name="요약 5 20" xfId="19275"/>
    <cellStyle name="요약 5 20 2" xfId="31930"/>
    <cellStyle name="요약 5 21" xfId="24903"/>
    <cellStyle name="요약 5 21 2" xfId="37334"/>
    <cellStyle name="요약 5 22" xfId="24994"/>
    <cellStyle name="요약 5 22 2" xfId="37425"/>
    <cellStyle name="요약 5 23" xfId="25085"/>
    <cellStyle name="요약 5 23 2" xfId="37516"/>
    <cellStyle name="요약 5 24" xfId="25249"/>
    <cellStyle name="요약 5 3" xfId="17182"/>
    <cellStyle name="요약 5 3 2" xfId="29916"/>
    <cellStyle name="요약 5 4" xfId="12653"/>
    <cellStyle name="요약 5 4 2" xfId="25532"/>
    <cellStyle name="요약 5 5" xfId="17603"/>
    <cellStyle name="요약 5 5 2" xfId="30320"/>
    <cellStyle name="요약 5 6" xfId="17812"/>
    <cellStyle name="요약 5 6 2" xfId="30528"/>
    <cellStyle name="요약 5 7" xfId="15605"/>
    <cellStyle name="요약 5 7 2" xfId="28414"/>
    <cellStyle name="요약 5 8" xfId="14779"/>
    <cellStyle name="요약 5 8 2" xfId="27604"/>
    <cellStyle name="요약 5 9" xfId="17198"/>
    <cellStyle name="요약 5 9 2" xfId="29932"/>
    <cellStyle name="요약 6" xfId="11902"/>
    <cellStyle name="요약 6 10" xfId="18216"/>
    <cellStyle name="요약 6 10 2" xfId="30923"/>
    <cellStyle name="요약 6 11" xfId="12944"/>
    <cellStyle name="요약 6 11 2" xfId="25819"/>
    <cellStyle name="요약 6 12" xfId="23246"/>
    <cellStyle name="요약 6 12 2" xfId="35678"/>
    <cellStyle name="요약 6 13" xfId="23489"/>
    <cellStyle name="요약 6 13 2" xfId="35920"/>
    <cellStyle name="요약 6 14" xfId="23770"/>
    <cellStyle name="요약 6 14 2" xfId="36201"/>
    <cellStyle name="요약 6 15" xfId="20126"/>
    <cellStyle name="요약 6 15 2" xfId="32572"/>
    <cellStyle name="요약 6 16" xfId="20305"/>
    <cellStyle name="요약 6 16 2" xfId="32750"/>
    <cellStyle name="요약 6 17" xfId="24418"/>
    <cellStyle name="요약 6 17 2" xfId="36849"/>
    <cellStyle name="요약 6 18" xfId="23150"/>
    <cellStyle name="요약 6 18 2" xfId="35583"/>
    <cellStyle name="요약 6 19" xfId="23633"/>
    <cellStyle name="요약 6 19 2" xfId="36064"/>
    <cellStyle name="요약 6 2" xfId="16808"/>
    <cellStyle name="요약 6 2 2" xfId="29583"/>
    <cellStyle name="요약 6 20" xfId="22283"/>
    <cellStyle name="요약 6 20 2" xfId="34717"/>
    <cellStyle name="요약 6 21" xfId="24904"/>
    <cellStyle name="요약 6 21 2" xfId="37335"/>
    <cellStyle name="요약 6 22" xfId="24995"/>
    <cellStyle name="요약 6 22 2" xfId="37426"/>
    <cellStyle name="요약 6 23" xfId="25086"/>
    <cellStyle name="요약 6 23 2" xfId="37517"/>
    <cellStyle name="요약 6 24" xfId="25250"/>
    <cellStyle name="요약 6 3" xfId="17183"/>
    <cellStyle name="요약 6 3 2" xfId="29917"/>
    <cellStyle name="요약 6 4" xfId="12652"/>
    <cellStyle name="요약 6 4 2" xfId="25531"/>
    <cellStyle name="요약 6 5" xfId="17604"/>
    <cellStyle name="요약 6 5 2" xfId="30321"/>
    <cellStyle name="요약 6 6" xfId="17813"/>
    <cellStyle name="요약 6 6 2" xfId="30529"/>
    <cellStyle name="요약 6 7" xfId="17331"/>
    <cellStyle name="요약 6 7 2" xfId="30060"/>
    <cellStyle name="요약 6 8" xfId="15645"/>
    <cellStyle name="요약 6 8 2" xfId="28452"/>
    <cellStyle name="요약 6 9" xfId="15759"/>
    <cellStyle name="요약 6 9 2" xfId="28558"/>
    <cellStyle name="요약 7" xfId="11903"/>
    <cellStyle name="요약 7 10" xfId="18217"/>
    <cellStyle name="요약 7 10 2" xfId="30924"/>
    <cellStyle name="요약 7 11" xfId="18118"/>
    <cellStyle name="요약 7 11 2" xfId="30825"/>
    <cellStyle name="요약 7 12" xfId="23247"/>
    <cellStyle name="요약 7 12 2" xfId="35679"/>
    <cellStyle name="요약 7 13" xfId="23490"/>
    <cellStyle name="요약 7 13 2" xfId="35921"/>
    <cellStyle name="요약 7 14" xfId="23771"/>
    <cellStyle name="요약 7 14 2" xfId="36202"/>
    <cellStyle name="요약 7 15" xfId="20376"/>
    <cellStyle name="요약 7 15 2" xfId="32821"/>
    <cellStyle name="요약 7 16" xfId="20060"/>
    <cellStyle name="요약 7 16 2" xfId="32506"/>
    <cellStyle name="요약 7 17" xfId="24419"/>
    <cellStyle name="요약 7 17 2" xfId="36850"/>
    <cellStyle name="요약 7 18" xfId="19756"/>
    <cellStyle name="요약 7 18 2" xfId="32209"/>
    <cellStyle name="요약 7 19" xfId="20813"/>
    <cellStyle name="요약 7 19 2" xfId="33250"/>
    <cellStyle name="요약 7 2" xfId="16809"/>
    <cellStyle name="요약 7 2 2" xfId="29584"/>
    <cellStyle name="요약 7 20" xfId="18949"/>
    <cellStyle name="요약 7 20 2" xfId="31654"/>
    <cellStyle name="요약 7 21" xfId="24905"/>
    <cellStyle name="요약 7 21 2" xfId="37336"/>
    <cellStyle name="요약 7 22" xfId="24996"/>
    <cellStyle name="요약 7 22 2" xfId="37427"/>
    <cellStyle name="요약 7 23" xfId="25087"/>
    <cellStyle name="요약 7 23 2" xfId="37518"/>
    <cellStyle name="요약 7 24" xfId="25251"/>
    <cellStyle name="요약 7 3" xfId="17184"/>
    <cellStyle name="요약 7 3 2" xfId="29918"/>
    <cellStyle name="요약 7 4" xfId="12651"/>
    <cellStyle name="요약 7 4 2" xfId="25530"/>
    <cellStyle name="요약 7 5" xfId="17605"/>
    <cellStyle name="요약 7 5 2" xfId="30322"/>
    <cellStyle name="요약 7 6" xfId="17814"/>
    <cellStyle name="요약 7 6 2" xfId="30530"/>
    <cellStyle name="요약 7 7" xfId="12878"/>
    <cellStyle name="요약 7 7 2" xfId="25754"/>
    <cellStyle name="요약 7 8" xfId="15918"/>
    <cellStyle name="요약 7 8 2" xfId="28716"/>
    <cellStyle name="요약 7 9" xfId="14891"/>
    <cellStyle name="요약 7 9 2" xfId="27712"/>
    <cellStyle name="요약 8" xfId="11904"/>
    <cellStyle name="요약 8 10" xfId="18218"/>
    <cellStyle name="요약 8 10 2" xfId="30925"/>
    <cellStyle name="요약 8 11" xfId="18117"/>
    <cellStyle name="요약 8 11 2" xfId="30824"/>
    <cellStyle name="요약 8 12" xfId="23248"/>
    <cellStyle name="요약 8 12 2" xfId="35680"/>
    <cellStyle name="요약 8 13" xfId="23491"/>
    <cellStyle name="요약 8 13 2" xfId="35922"/>
    <cellStyle name="요약 8 14" xfId="23772"/>
    <cellStyle name="요약 8 14 2" xfId="36203"/>
    <cellStyle name="요약 8 15" xfId="22941"/>
    <cellStyle name="요약 8 15 2" xfId="35375"/>
    <cellStyle name="요약 8 16" xfId="20306"/>
    <cellStyle name="요약 8 16 2" xfId="32751"/>
    <cellStyle name="요약 8 17" xfId="24420"/>
    <cellStyle name="요약 8 17 2" xfId="36851"/>
    <cellStyle name="요약 8 18" xfId="24008"/>
    <cellStyle name="요약 8 18 2" xfId="36439"/>
    <cellStyle name="요약 8 19" xfId="18803"/>
    <cellStyle name="요약 8 19 2" xfId="31508"/>
    <cellStyle name="요약 8 2" xfId="16810"/>
    <cellStyle name="요약 8 2 2" xfId="29585"/>
    <cellStyle name="요약 8 20" xfId="19967"/>
    <cellStyle name="요약 8 20 2" xfId="32415"/>
    <cellStyle name="요약 8 21" xfId="24906"/>
    <cellStyle name="요약 8 21 2" xfId="37337"/>
    <cellStyle name="요약 8 22" xfId="24997"/>
    <cellStyle name="요약 8 22 2" xfId="37428"/>
    <cellStyle name="요약 8 23" xfId="25088"/>
    <cellStyle name="요약 8 23 2" xfId="37519"/>
    <cellStyle name="요약 8 24" xfId="25252"/>
    <cellStyle name="요약 8 3" xfId="17185"/>
    <cellStyle name="요약 8 3 2" xfId="29919"/>
    <cellStyle name="요약 8 4" xfId="12650"/>
    <cellStyle name="요약 8 4 2" xfId="25529"/>
    <cellStyle name="요약 8 5" xfId="17606"/>
    <cellStyle name="요약 8 5 2" xfId="30323"/>
    <cellStyle name="요약 8 6" xfId="17815"/>
    <cellStyle name="요약 8 6 2" xfId="30531"/>
    <cellStyle name="요약 8 7" xfId="15604"/>
    <cellStyle name="요약 8 7 2" xfId="28413"/>
    <cellStyle name="요약 8 8" xfId="14504"/>
    <cellStyle name="요약 8 8 2" xfId="27332"/>
    <cellStyle name="요약 8 9" xfId="14399"/>
    <cellStyle name="요약 8 9 2" xfId="27232"/>
    <cellStyle name="우괄호_박심배수구조물공" xfId="6052"/>
    <cellStyle name="우측양괄호" xfId="6053"/>
    <cellStyle name="원" xfId="3457"/>
    <cellStyle name="원 2" xfId="10489"/>
    <cellStyle name="원_0008금감원통합감독검사정보시스템" xfId="10490"/>
    <cellStyle name="원_0008금감원통합감독검사정보시스템 2" xfId="10491"/>
    <cellStyle name="원_0009김포공항LED교체공사(광일)" xfId="10492"/>
    <cellStyle name="원_0009김포공항LED교체공사(광일) 2" xfId="10493"/>
    <cellStyle name="원_0011KIST소각설비제작설치" xfId="10494"/>
    <cellStyle name="원_0011KIST소각설비제작설치 2" xfId="10495"/>
    <cellStyle name="원_0011긴급전화기정산(99년형광일)" xfId="10496"/>
    <cellStyle name="원_0011긴급전화기정산(99년형광일) 2" xfId="10497"/>
    <cellStyle name="원_0011부산종합경기장전광판" xfId="10498"/>
    <cellStyle name="원_0011부산종합경기장전광판 2" xfId="10499"/>
    <cellStyle name="원_0012문화유적지표석제작설치" xfId="10500"/>
    <cellStyle name="원_0012문화유적지표석제작설치 2" xfId="10501"/>
    <cellStyle name="원_006. 교량공" xfId="11905"/>
    <cellStyle name="원_0102국제조명신공항분수조명" xfId="10502"/>
    <cellStyle name="원_0102국제조명신공항분수조명 2" xfId="10503"/>
    <cellStyle name="원_0103회전식현수막게시대제작설치" xfId="10504"/>
    <cellStyle name="원_0103회전식현수막게시대제작설치 2" xfId="10505"/>
    <cellStyle name="원_0104포항시침출수처리시스템" xfId="10506"/>
    <cellStyle name="원_0104포항시침출수처리시스템 2" xfId="10507"/>
    <cellStyle name="원_0105담배자판기개조원가" xfId="10508"/>
    <cellStyle name="원_0105담배자판기개조원가 2" xfId="10509"/>
    <cellStyle name="원_0106LG인버터냉난방기제작-1" xfId="10510"/>
    <cellStyle name="원_0106LG인버터냉난방기제작-1 2" xfId="10511"/>
    <cellStyle name="원_0107광전송장비구매설치" xfId="10512"/>
    <cellStyle name="원_0107광전송장비구매설치 2" xfId="10513"/>
    <cellStyle name="원_0107도공IBS설비SW부문(참조)" xfId="10514"/>
    <cellStyle name="원_0107도공IBS설비SW부문(참조) 2" xfId="10515"/>
    <cellStyle name="원_0107문화재복원용목재-8월6일" xfId="10516"/>
    <cellStyle name="원_0107문화재복원용목재-8월6일 2" xfId="10517"/>
    <cellStyle name="원_0107포천영중수배전반(제조,설치)" xfId="10518"/>
    <cellStyle name="원_0107포천영중수배전반(제조,설치) 2" xfId="10519"/>
    <cellStyle name="원_0108농기반미곡건조기제작설치" xfId="10520"/>
    <cellStyle name="원_0108농기반미곡건조기제작설치 2" xfId="10521"/>
    <cellStyle name="원_0108담배인삼공사영업춘추복" xfId="10522"/>
    <cellStyle name="원_0108담배인삼공사영업춘추복 2" xfId="10523"/>
    <cellStyle name="원_0108한국전기교통-LED교통신호등((원본))" xfId="10524"/>
    <cellStyle name="원_0108한국전기교통-LED교통신호등((원본)) 2" xfId="10525"/>
    <cellStyle name="원_0111해양수산부등명기제작" xfId="10526"/>
    <cellStyle name="원_0111해양수산부등명기제작 2" xfId="10527"/>
    <cellStyle name="원_0111핸디소프트-전자표준문서시스템" xfId="10528"/>
    <cellStyle name="원_0111핸디소프트-전자표준문서시스템 2" xfId="10529"/>
    <cellStyle name="원_0112금감원사무자동화시스템" xfId="10530"/>
    <cellStyle name="원_0112금감원사무자동화시스템 2" xfId="10531"/>
    <cellStyle name="원_0112수도권매립지SW원가" xfId="10532"/>
    <cellStyle name="원_0112수도권매립지SW원가 2" xfId="10533"/>
    <cellStyle name="원_0112중고원-HRD종합정보망구축(完)" xfId="10534"/>
    <cellStyle name="원_0112중고원-HRD종합정보망구축(完) 2" xfId="10535"/>
    <cellStyle name="원_02. 농로포장" xfId="11906"/>
    <cellStyle name="원_02.토공" xfId="11907"/>
    <cellStyle name="원_0201종합예술회관의자제작설치-1" xfId="10536"/>
    <cellStyle name="원_0201종합예술회관의자제작설치-1 2" xfId="10537"/>
    <cellStyle name="원_0202마사회근무복" xfId="10538"/>
    <cellStyle name="원_0202마사회근무복 2" xfId="10539"/>
    <cellStyle name="원_0202부경교재-승강칠판" xfId="10540"/>
    <cellStyle name="원_0202부경교재-승강칠판 2" xfId="10541"/>
    <cellStyle name="원_0204한국석묘납골함-1규격" xfId="10542"/>
    <cellStyle name="원_0204한국석묘납골함-1규격 2" xfId="10543"/>
    <cellStyle name="원_0206금감원금융정보교환망재구축" xfId="10544"/>
    <cellStyle name="원_0206금감원금융정보교환망재구축 2" xfId="10545"/>
    <cellStyle name="원_0206정통부수납장표기기제작설치" xfId="10546"/>
    <cellStyle name="원_0206정통부수납장표기기제작설치 2" xfId="10547"/>
    <cellStyle name="원_0207담배인삼공사-담요" xfId="10548"/>
    <cellStyle name="원_0207담배인삼공사-담요 2" xfId="10549"/>
    <cellStyle name="원_0208레비텍-다층여과기설계변경" xfId="10550"/>
    <cellStyle name="원_0208레비텍-다층여과기설계변경 2" xfId="10551"/>
    <cellStyle name="원_0209이산화염소발생기-설치(50K)" xfId="10552"/>
    <cellStyle name="원_0209이산화염소발생기-설치(50K) 2" xfId="10553"/>
    <cellStyle name="원_0210현대정보기술-TD이중계" xfId="10554"/>
    <cellStyle name="원_0210현대정보기술-TD이중계 2" xfId="10555"/>
    <cellStyle name="원_0211조달청-#1대북지원사업정산(1월7일)" xfId="10556"/>
    <cellStyle name="원_0211조달청-#1대북지원사업정산(1월7일) 2" xfId="10557"/>
    <cellStyle name="원_0212금감원-법규정보시스템(完)" xfId="10558"/>
    <cellStyle name="원_0212금감원-법규정보시스템(完) 2" xfId="10559"/>
    <cellStyle name="원_02-2. 구조물철거" xfId="11908"/>
    <cellStyle name="원_02-2. 구조물철거의 백업의 백업" xfId="11909"/>
    <cellStyle name="원_03. 배수공" xfId="11910"/>
    <cellStyle name="원_03. 생태체험로" xfId="11911"/>
    <cellStyle name="원_0301교통방송-CCTV유지보수" xfId="10560"/>
    <cellStyle name="원_0301교통방송-CCTV유지보수 2" xfId="10561"/>
    <cellStyle name="원_0302인천경찰청-무인단속기위탁관리" xfId="10562"/>
    <cellStyle name="원_0302인천경찰청-무인단속기위탁관리 2" xfId="10563"/>
    <cellStyle name="원_0302조달청-대북지원2차(안성연)" xfId="10564"/>
    <cellStyle name="원_0302조달청-대북지원2차(안성연) 2" xfId="10565"/>
    <cellStyle name="원_0302조달청-대북지원2차(최수현)" xfId="10566"/>
    <cellStyle name="원_0302조달청-대북지원2차(최수현) 2" xfId="10567"/>
    <cellStyle name="원_0302표준문서-쌍용정보통신(신)" xfId="10568"/>
    <cellStyle name="원_0302표준문서-쌍용정보통신(신) 2" xfId="10569"/>
    <cellStyle name="원_0304소프트파워-정부표준전자문서시스템" xfId="10570"/>
    <cellStyle name="원_0304소프트파워-정부표준전자문서시스템 2" xfId="10571"/>
    <cellStyle name="원_0304소프트파워-정부표준전자문서시스템(完)" xfId="10572"/>
    <cellStyle name="원_0304소프트파워-정부표준전자문서시스템(完) 2" xfId="10573"/>
    <cellStyle name="원_0304철도청-주변환장치-1" xfId="10574"/>
    <cellStyle name="원_0304철도청-주변환장치-1 2" xfId="10575"/>
    <cellStyle name="원_0305금감원-금융통계정보시스템구축(完)" xfId="10576"/>
    <cellStyle name="원_0305금감원-금융통계정보시스템구축(完) 2" xfId="10577"/>
    <cellStyle name="원_0305제낭조합-면범포지" xfId="10578"/>
    <cellStyle name="원_0305제낭조합-면범포지 2" xfId="10579"/>
    <cellStyle name="원_0306제낭공업협동조합-면범포지원단(경비까지)" xfId="10580"/>
    <cellStyle name="원_0306제낭공업협동조합-면범포지원단(경비까지) 2" xfId="10581"/>
    <cellStyle name="원_0307경찰청-무인교통단속표준SW개발용역(完)" xfId="10582"/>
    <cellStyle name="원_0307경찰청-무인교통단속표준SW개발용역(完) 2" xfId="10583"/>
    <cellStyle name="원_0308조달청-#8대북지원사업정산" xfId="10584"/>
    <cellStyle name="원_0308조달청-#8대북지원사업정산 2" xfId="10585"/>
    <cellStyle name="원_0309두합크린텍-설치원가" xfId="10586"/>
    <cellStyle name="원_0309두합크린텍-설치원가 2" xfId="10587"/>
    <cellStyle name="원_0309조달청-#9대북지원사업정산" xfId="10588"/>
    <cellStyle name="원_0309조달청-#9대북지원사업정산 2" xfId="10589"/>
    <cellStyle name="원_03-1. 측구공" xfId="11912"/>
    <cellStyle name="원_0310여주상수도-탈수기(유천ENG)" xfId="10590"/>
    <cellStyle name="원_0310여주상수도-탈수기(유천ENG) 2" xfId="10591"/>
    <cellStyle name="원_0311대기해양작업시간" xfId="10592"/>
    <cellStyle name="원_0311대기해양작업시간 2" xfId="10593"/>
    <cellStyle name="원_0311대기해양중형등명기" xfId="10594"/>
    <cellStyle name="원_0311대기해양중형등명기 2" xfId="10595"/>
    <cellStyle name="원_0312국민체육진흥공단-전기부문" xfId="10596"/>
    <cellStyle name="원_0312국민체육진흥공단-전기부문 2" xfId="10597"/>
    <cellStyle name="원_0312대기해양-중형등명기제작설치" xfId="10598"/>
    <cellStyle name="원_0312대기해양-중형등명기제작설치 2" xfId="10599"/>
    <cellStyle name="원_0312라이준-칼라아스콘4규격" xfId="10600"/>
    <cellStyle name="원_0312라이준-칼라아스콘4규격 2" xfId="10601"/>
    <cellStyle name="원_03-2. 배수관공" xfId="11913"/>
    <cellStyle name="원_03-3. 암거공" xfId="11914"/>
    <cellStyle name="원_04.인공폭포" xfId="11915"/>
    <cellStyle name="원_0401집진기프로그램SW개발비산정" xfId="10602"/>
    <cellStyle name="원_0401집진기프로그램SW개발비산정 2" xfId="10603"/>
    <cellStyle name="원_05. 휴게시설" xfId="11916"/>
    <cellStyle name="원_2. 토공" xfId="11917"/>
    <cellStyle name="원_2.토공" xfId="11918"/>
    <cellStyle name="원_2000시행(보완2)_2000시행(보2) " xfId="11919"/>
    <cellStyle name="원_2000시행(보완2)_2000시행(보3) " xfId="11920"/>
    <cellStyle name="원_2001-06조달청신성-한냉지형" xfId="10604"/>
    <cellStyle name="원_2001-06조달청신성-한냉지형 2" xfId="10605"/>
    <cellStyle name="원_2002.양산시농생사업계획(지하수+이용시설)-정산" xfId="11921"/>
    <cellStyle name="원_2002-03경찰대학-졸업식" xfId="10606"/>
    <cellStyle name="원_2002-03경찰대학-졸업식 2" xfId="10607"/>
    <cellStyle name="원_2002-03경찰청-경찰표지장" xfId="10608"/>
    <cellStyle name="원_2002-03경찰청-경찰표지장 2" xfId="10609"/>
    <cellStyle name="원_2002-03반디-가로등(열주형)" xfId="10610"/>
    <cellStyle name="원_2002-03반디-가로등(열주형) 2" xfId="10611"/>
    <cellStyle name="원_2002-03신화전자-감지기" xfId="10612"/>
    <cellStyle name="원_2002-03신화전자-감지기 2" xfId="10613"/>
    <cellStyle name="원_2002-04강원랜드-슬러트머신" xfId="10614"/>
    <cellStyle name="원_2002-04강원랜드-슬러트머신 2" xfId="10615"/>
    <cellStyle name="원_2002-04메가컴-외주무대" xfId="10616"/>
    <cellStyle name="원_2002-04메가컴-외주무대 2" xfId="10617"/>
    <cellStyle name="원_2002-04엘지애드-무대" xfId="10618"/>
    <cellStyle name="원_2002-04엘지애드-무대 2" xfId="10619"/>
    <cellStyle name="원_2002-05강원랜드-슬러트머신(넥스터)" xfId="10620"/>
    <cellStyle name="원_2002-05강원랜드-슬러트머신(넥스터) 2" xfId="10621"/>
    <cellStyle name="원_2002-05경기경찰청-냉온수기공사" xfId="10622"/>
    <cellStyle name="원_2002-05경기경찰청-냉온수기공사 2" xfId="10623"/>
    <cellStyle name="원_2002-05대통령비서실-카페트" xfId="10624"/>
    <cellStyle name="원_2002-05대통령비서실-카페트 2" xfId="10625"/>
    <cellStyle name="원_2002결과표" xfId="10626"/>
    <cellStyle name="원_2002결과표 2" xfId="10627"/>
    <cellStyle name="원_2002결과표1" xfId="10628"/>
    <cellStyle name="원_2002결과표1 2" xfId="10629"/>
    <cellStyle name="원_2003-01정일사-표창5종" xfId="10630"/>
    <cellStyle name="원_2003-01정일사-표창5종 2" xfId="10631"/>
    <cellStyle name="원_2003년도할-진목총괄표(총체년도별)" xfId="11922"/>
    <cellStyle name="원_2003월평실형내역(제당여수토)" xfId="11923"/>
    <cellStyle name="원_2003월평실형내역-1(최종)" xfId="11924"/>
    <cellStyle name="원_2003작업일지(신암지)" xfId="11925"/>
    <cellStyle name="원_2004년도설계변경1차공사비(입곡지제당그라우팅)" xfId="11926"/>
    <cellStyle name="원_2004년완성공사원가경비율(변경최종))" xfId="10632"/>
    <cellStyle name="원_2004년완성공사원가경비율(변경최종)) 2" xfId="10633"/>
    <cellStyle name="원_2004년완성공사원가경비율(조달청미적용)1" xfId="10634"/>
    <cellStyle name="원_2004년완성공사원가경비율(조달청미적용)1 2" xfId="10635"/>
    <cellStyle name="원_2007년(100%)2" xfId="10636"/>
    <cellStyle name="원_2007년(100%)2 2" xfId="10637"/>
    <cellStyle name="원_2-01.토공" xfId="11927"/>
    <cellStyle name="원_2-배수간선변경수량" xfId="11928"/>
    <cellStyle name="원_3. 배수공" xfId="11929"/>
    <cellStyle name="원_3.토공 수량산출" xfId="11930"/>
    <cellStyle name="원_4. 포장공" xfId="11931"/>
    <cellStyle name="원_4.남성설계서" xfId="11932"/>
    <cellStyle name="원_5.3테크시설공" xfId="11933"/>
    <cellStyle name="원_5-01.포장공" xfId="11934"/>
    <cellStyle name="원_5월부산마사회발주기제작1" xfId="10638"/>
    <cellStyle name="원_7. 오수처리시설공" xfId="11935"/>
    <cellStyle name="원_7-1 오수처리장구체" xfId="11936"/>
    <cellStyle name="원_Book2" xfId="11937"/>
    <cellStyle name="원_Pilot플랜트-계변경" xfId="10639"/>
    <cellStyle name="원_Pilot플랜트-계변경 2" xfId="10640"/>
    <cellStyle name="원_Pilot플랜트이전설치-변경최종" xfId="10641"/>
    <cellStyle name="원_Pilot플랜트이전설치-변경최종 2" xfId="10642"/>
    <cellStyle name="원_SW(케이비)" xfId="10643"/>
    <cellStyle name="원_SW(케이비) 2" xfId="10644"/>
    <cellStyle name="원_간지,목차,페이지,표지" xfId="10645"/>
    <cellStyle name="원_간지,목차,페이지,표지 2" xfId="10646"/>
    <cellStyle name="원_간지,목차,페이지,표지(원가별)" xfId="10647"/>
    <cellStyle name="원_간지,목차,페이지,표지(원가별) 2" xfId="10648"/>
    <cellStyle name="원_경찰청-근무,기동복" xfId="10649"/>
    <cellStyle name="원_경찰청-근무,기동복 2" xfId="10650"/>
    <cellStyle name="원_공사일반관리비양식" xfId="10651"/>
    <cellStyle name="원_공사일반관리비양식 2" xfId="10652"/>
    <cellStyle name="원_교통관리내역서-1008" xfId="10653"/>
    <cellStyle name="원_교통관리내역서-1008 2" xfId="10654"/>
    <cellStyle name="원_굴착+비굴착수량1111" xfId="11938"/>
    <cellStyle name="원_그라우팅공사" xfId="11939"/>
    <cellStyle name="원_금호지그라우팅공사" xfId="11940"/>
    <cellStyle name="원_기초공사" xfId="10655"/>
    <cellStyle name="원_기초처리(내역)" xfId="11941"/>
    <cellStyle name="원_남부2지역-1차(2사급자재)" xfId="10656"/>
    <cellStyle name="원_남부2지역-1차(2사급자재) 2" xfId="10657"/>
    <cellStyle name="원_내금실형내역서" xfId="11942"/>
    <cellStyle name="원_내역검토(여수토)-2안" xfId="11943"/>
    <cellStyle name="원_네인텍정보기술-회로카드(수현)" xfId="10658"/>
    <cellStyle name="원_네인텍정보기술-회로카드(수현) 2" xfId="10659"/>
    <cellStyle name="원_단가표" xfId="11944"/>
    <cellStyle name="원_대구획상일" xfId="11945"/>
    <cellStyle name="원_대구획화양" xfId="11946"/>
    <cellStyle name="원_대기해양노무비" xfId="10660"/>
    <cellStyle name="원_대기해양노무비 2" xfId="10661"/>
    <cellStyle name="원_대북자재8월분" xfId="10662"/>
    <cellStyle name="원_대북자재8월분 2" xfId="10663"/>
    <cellStyle name="원_대북자재8월분-1" xfId="10664"/>
    <cellStyle name="원_대북자재8월분-1 2" xfId="10665"/>
    <cellStyle name="원_대산7호배수지거연장재료계산서" xfId="11947"/>
    <cellStyle name="원_덕실지구2005(여수토)실형고" xfId="11948"/>
    <cellStyle name="원_덕암조사공변경(여수토)" xfId="11949"/>
    <cellStyle name="원_덕암지구(여수토)-실형내역서" xfId="11950"/>
    <cellStyle name="원_덕암지구(여수토)실형내역서(2003)지하수부" xfId="11951"/>
    <cellStyle name="원_덕암지구(여수토)실형내역서(2003)지하수부(최종) " xfId="11952"/>
    <cellStyle name="원_덕암지구2003(여수토)실형고" xfId="11953"/>
    <cellStyle name="원_덕암지제당그라우팅공사" xfId="11954"/>
    <cellStyle name="원_동산용사촌수현(원본)" xfId="10666"/>
    <cellStyle name="원_동산용사촌수현(원본) 2" xfId="10667"/>
    <cellStyle name="원_두곡공사비" xfId="11955"/>
    <cellStyle name="원_두곡비상방수문실형내역서(최종분수저자재)" xfId="11956"/>
    <cellStyle name="원_매내천" xfId="3458"/>
    <cellStyle name="원_매내천_006. 교량공" xfId="11957"/>
    <cellStyle name="원_매내천_02. 농로포장" xfId="11958"/>
    <cellStyle name="원_매내천_02.토공" xfId="11959"/>
    <cellStyle name="원_매내천_02-2. 구조물철거" xfId="11960"/>
    <cellStyle name="원_매내천_02-2. 구조물철거의 백업의 백업" xfId="11961"/>
    <cellStyle name="원_매내천_03. 배수공" xfId="11962"/>
    <cellStyle name="원_매내천_03. 생태체험로" xfId="11963"/>
    <cellStyle name="원_매내천_03-1. 측구공" xfId="11964"/>
    <cellStyle name="원_매내천_03-2. 배수관공" xfId="11965"/>
    <cellStyle name="원_매내천_03-3. 암거공" xfId="11966"/>
    <cellStyle name="원_매내천_04.인공폭포" xfId="11967"/>
    <cellStyle name="원_매내천_05. 휴게시설" xfId="11968"/>
    <cellStyle name="원_매내천_2. 토공" xfId="11969"/>
    <cellStyle name="원_매내천_2.토공" xfId="11970"/>
    <cellStyle name="원_매내천_2-01.토공" xfId="11971"/>
    <cellStyle name="원_매내천_3. 배수공" xfId="11972"/>
    <cellStyle name="원_매내천_4. 포장공" xfId="11973"/>
    <cellStyle name="원_매내천_5.3테크시설공" xfId="11974"/>
    <cellStyle name="원_매내천_5-01.포장공" xfId="11975"/>
    <cellStyle name="원_매내천_7. 오수처리시설공" xfId="11976"/>
    <cellStyle name="원_매내천_7-1 오수처리장구체" xfId="11977"/>
    <cellStyle name="원_매내천_굴착+비굴착수량1111" xfId="11978"/>
    <cellStyle name="원_매내천_부대공(최종분)" xfId="11979"/>
    <cellStyle name="원_매내천_산마루측구" xfId="3459"/>
    <cellStyle name="원_매내천_상수도관로(낙수정)" xfId="11980"/>
    <cellStyle name="원_매내천_석축공" xfId="11981"/>
    <cellStyle name="원_매내천_수량산출서" xfId="3460"/>
    <cellStyle name="원_매내천_자연석단위" xfId="11982"/>
    <cellStyle name="원_매내천_측구공1" xfId="3461"/>
    <cellStyle name="원_매내천_측구공1_000.수량산출서" xfId="11983"/>
    <cellStyle name="원_매내천_측구공1_1지구포장수량산출 " xfId="11984"/>
    <cellStyle name="원_매내천_측구공1_1지구포장수량산출 _0.수량" xfId="11985"/>
    <cellStyle name="원_매내천_측구공1_1지구포장수량산출 _001. 자재집계표" xfId="11986"/>
    <cellStyle name="원_매내천_측구공1_1지구포장수량산출 _수량(콘,아포장+수로관800c)" xfId="11987"/>
    <cellStyle name="원_매내천_측구공1_2공구종합" xfId="11988"/>
    <cellStyle name="원_매내천_측구공1_GABION수량" xfId="11989"/>
    <cellStyle name="원_매내천_측구공1_개거(4.0X1.5)수량" xfId="11990"/>
    <cellStyle name="원_매내천_측구공1_깨기수량" xfId="11991"/>
    <cellStyle name="원_매내천_측구공1_수량산출" xfId="11992"/>
    <cellStyle name="원_매내천_측구공1_수량산출 (최종)" xfId="11993"/>
    <cellStyle name="원_매내천_측구공1_수량산출(최종)" xfId="11994"/>
    <cellStyle name="원_매내천_측구공1_수량산출서1" xfId="11995"/>
    <cellStyle name="원_매내천_테크시설공" xfId="11996"/>
    <cellStyle name="원_매내천_토공" xfId="11997"/>
    <cellStyle name="원_매내천_토공(최종분)" xfId="11998"/>
    <cellStyle name="원_매내천_토공_02.토공" xfId="11999"/>
    <cellStyle name="원_명관저수지(함안)" xfId="12000"/>
    <cellStyle name="원_명관지저수지그라우팅공사" xfId="12001"/>
    <cellStyle name="원_명관지저수지그라우팅공사 (version 1)" xfId="12002"/>
    <cellStyle name="원_백제군사전시1" xfId="10668"/>
    <cellStyle name="원_백제군사전시1 2" xfId="10669"/>
    <cellStyle name="원_변경총괄(대운)" xfId="12003"/>
    <cellStyle name="원_복곡사업수지예산서" xfId="12004"/>
    <cellStyle name="원_부대공(최종분)" xfId="12005"/>
    <cellStyle name="원_사본 - 대산7호배수지거연장재료계산서" xfId="12006"/>
    <cellStyle name="원_사업계~1" xfId="12007"/>
    <cellStyle name="원_상수도관로(낙수정)" xfId="12008"/>
    <cellStyle name="원_상이배수간선재료계산서" xfId="12009"/>
    <cellStyle name="원_상일3호배수지거연장" xfId="12010"/>
    <cellStyle name="원_상일용수단면(진짜)" xfId="12011"/>
    <cellStyle name="원_상일용수단면(진짜내)" xfId="12012"/>
    <cellStyle name="원_서암지실형내역" xfId="12013"/>
    <cellStyle name="원_설계변경" xfId="12014"/>
    <cellStyle name="원_설계서(97)" xfId="12015"/>
    <cellStyle name="원_설계서(납품)" xfId="12016"/>
    <cellStyle name="원_설계서(납품수정)" xfId="12017"/>
    <cellStyle name="원_설계서(납품수정-수로관최종)" xfId="12018"/>
    <cellStyle name="원_설치위치별세부내역(VMS)-0323" xfId="10670"/>
    <cellStyle name="원_설치위치별세부내역(VMS)-0323 2" xfId="10671"/>
    <cellStyle name="원_설치위치별세부내역_AVI_1(new)" xfId="10672"/>
    <cellStyle name="원_설치위치별세부내역_AVI_1(new) 2" xfId="10673"/>
    <cellStyle name="원_솔기지 그라우팅공사비" xfId="12019"/>
    <cellStyle name="원_수초제거기(대양기계)" xfId="10674"/>
    <cellStyle name="원_수초제거기(대양기계) 2" xfId="10675"/>
    <cellStyle name="원_시문실형내역서" xfId="12020"/>
    <cellStyle name="원_시문실형내역서(2003)지하수부" xfId="12021"/>
    <cellStyle name="원_시문정산5" xfId="12022"/>
    <cellStyle name="원_시문지변경안" xfId="12023"/>
    <cellStyle name="원_시설용역" xfId="10676"/>
    <cellStyle name="원_시설용역 2" xfId="10677"/>
    <cellStyle name="원_신호등연간단가설계내역서(계약)" xfId="10678"/>
    <cellStyle name="원_신호등연간단가설계내역서(계약) 2" xfId="10679"/>
    <cellStyle name="원_신호등연간단가설계내역서(기성)1회(제출)06.26" xfId="10680"/>
    <cellStyle name="원_신호등연간단가설계내역서(기성)1회(제출)06.26 2" xfId="10681"/>
    <cellStyle name="원_신화BS" xfId="10682"/>
    <cellStyle name="원_신화BS 2" xfId="10683"/>
    <cellStyle name="원_실형고관련 (2005)" xfId="12024"/>
    <cellStyle name="원_실형내역" xfId="12025"/>
    <cellStyle name="원_실형내역-1(오진옥)" xfId="12026"/>
    <cellStyle name="원_실형내역서" xfId="12027"/>
    <cellStyle name="원_실형내역서(2004)-1" xfId="12028"/>
    <cellStyle name="원_실형내역서(2004)-2" xfId="12029"/>
    <cellStyle name="원_실형내역서(여수토-2안)" xfId="12030"/>
    <cellStyle name="원_실형내역서(여수토-2안).xls Chart 1" xfId="12031"/>
    <cellStyle name="원_실형내역서(여수토-2안).xls Chart 1-1" xfId="12032"/>
    <cellStyle name="원_실형내역서(여수토-2안).xls Chart 1-2" xfId="12033"/>
    <cellStyle name="원_실형내역서(여수토-2안).xls Chart 1-3" xfId="12034"/>
    <cellStyle name="원_실형내역서(여수토-2안).xls Chart 2" xfId="12035"/>
    <cellStyle name="원_실형내역서(여수토-2안).xls Chart 2-1" xfId="12036"/>
    <cellStyle name="원_실형내역서(여수토-2안).xls Chart 2-2" xfId="12037"/>
    <cellStyle name="원_실형내역서(여수토-2안).xls Chart 2-3" xfId="12038"/>
    <cellStyle name="원_암전정밀실체현미경(수현)" xfId="10684"/>
    <cellStyle name="원_암전정밀실체현미경(수현) 2" xfId="10685"/>
    <cellStyle name="원_압성토" xfId="12039"/>
    <cellStyle name="원_여수토공명및재료" xfId="12040"/>
    <cellStyle name="원_여수토조사공(주상도외)" xfId="12041"/>
    <cellStyle name="원_영산천 하수처리장 시설공사" xfId="10686"/>
    <cellStyle name="원_오리엔탈" xfId="10687"/>
    <cellStyle name="원_오리엔탈 2" xfId="10688"/>
    <cellStyle name="원_용수지선집계1" xfId="12042"/>
    <cellStyle name="원_원가계산-교통1011" xfId="10689"/>
    <cellStyle name="원_원가계산-교통1011 2" xfId="10690"/>
    <cellStyle name="원_원본 - 한국전기교통-개선형신호등 4종" xfId="10691"/>
    <cellStyle name="원_원본 - 한국전기교통-개선형신호등 4종 2" xfId="10692"/>
    <cellStyle name="원_은행로전기내역서" xfId="3462"/>
    <cellStyle name="원_일보" xfId="12043"/>
    <cellStyle name="원_입곡지 그라우팅공사(금회시공분)" xfId="12044"/>
    <cellStyle name="원_입곡지 그라우팅공사(보완분)" xfId="12045"/>
    <cellStyle name="원_입곡지 그라우팅공사(총보완)" xfId="12046"/>
    <cellStyle name="원_자연석단위" xfId="12047"/>
    <cellStyle name="원_재료비" xfId="10693"/>
    <cellStyle name="원_재료비 2" xfId="10694"/>
    <cellStyle name="원_전기내역서갑지(군청사진입도로)" xfId="12048"/>
    <cellStyle name="원_제경비율모음" xfId="10695"/>
    <cellStyle name="원_제경비율모음 2" xfId="10696"/>
    <cellStyle name="원_제조원가" xfId="10697"/>
    <cellStyle name="원_제조원가 2" xfId="10698"/>
    <cellStyle name="원_조달청-B판사천강교제작(최종본)" xfId="10699"/>
    <cellStyle name="원_조달청-B판사천강교제작(최종본) 2" xfId="10700"/>
    <cellStyle name="원_조달청-대북지원3차(최수현)" xfId="10701"/>
    <cellStyle name="원_조달청-대북지원3차(최수현) 2" xfId="10702"/>
    <cellStyle name="원_조달청-대북지원4차(최수현)" xfId="10703"/>
    <cellStyle name="원_조달청-대북지원4차(최수현) 2" xfId="10704"/>
    <cellStyle name="원_조달청-대북지원5차(최수현)" xfId="10705"/>
    <cellStyle name="원_조달청-대북지원5차(최수현) 2" xfId="10706"/>
    <cellStyle name="원_조달청-대북지원6차(번호)" xfId="10707"/>
    <cellStyle name="원_조달청-대북지원6차(번호) 2" xfId="10708"/>
    <cellStyle name="원_조달청-대북지원6차(최수현)" xfId="10709"/>
    <cellStyle name="원_조달청-대북지원6차(최수현) 2" xfId="10710"/>
    <cellStyle name="원_조달청-대북지원7차(최수현)" xfId="10711"/>
    <cellStyle name="원_조달청-대북지원7차(최수현) 2" xfId="10712"/>
    <cellStyle name="원_조달청-대북지원8차(최수현)" xfId="10713"/>
    <cellStyle name="원_조달청-대북지원8차(최수현) 2" xfId="10714"/>
    <cellStyle name="원_조달청-대북지원9차(최수현)" xfId="10715"/>
    <cellStyle name="원_조달청-대북지원9차(최수현) 2" xfId="10716"/>
    <cellStyle name="원_준공내역서-1" xfId="12049"/>
    <cellStyle name="원_중앙선관위(투표,개표)" xfId="10717"/>
    <cellStyle name="원_중앙선관위(투표,개표) 2" xfId="10718"/>
    <cellStyle name="원_중앙선관위(투표,개표)-사본" xfId="10719"/>
    <cellStyle name="원_중앙선관위(투표,개표)-사본 2" xfId="10720"/>
    <cellStyle name="원_진목보완내역서(2004)지하수부" xfId="12050"/>
    <cellStyle name="원_진목저수지실형내역서(제당)." xfId="12051"/>
    <cellStyle name="원_철공가공조립" xfId="10721"/>
    <cellStyle name="원_철공가공조립 2" xfId="10722"/>
    <cellStyle name="원_철도청-조명기구" xfId="10723"/>
    <cellStyle name="원_철도청-조명기구 2" xfId="10724"/>
    <cellStyle name="원_최종-한국전기교통-개선형신호등 4종(공수조정)" xfId="10725"/>
    <cellStyle name="원_최종-한국전기교통-개선형신호등 4종(공수조정) 2" xfId="10726"/>
    <cellStyle name="원_코솔라-제조원가" xfId="10727"/>
    <cellStyle name="원_코솔라-제조원가 2" xfId="10728"/>
    <cellStyle name="원_테마공사새로03" xfId="10729"/>
    <cellStyle name="원_테마공사새로03 2" xfId="10730"/>
    <cellStyle name="원_테크시설공" xfId="12052"/>
    <cellStyle name="원_토공" xfId="12053"/>
    <cellStyle name="원_토공(최종분)" xfId="12054"/>
    <cellStyle name="원_토공_02.토공" xfId="12055"/>
    <cellStyle name="원_토지공사-간접비" xfId="10731"/>
    <cellStyle name="원_토지공사-간접비 2" xfId="10732"/>
    <cellStyle name="원_평창증설매립장-설치" xfId="10733"/>
    <cellStyle name="원_평창증설매립장-설치 2" xfId="10734"/>
    <cellStyle name="원_한국가스공사필터제조부문" xfId="10735"/>
    <cellStyle name="원_한국가스공사필터제조부문 2" xfId="10736"/>
    <cellStyle name="원_한국도로공사" xfId="10737"/>
    <cellStyle name="원_한국도로공사 2" xfId="10738"/>
    <cellStyle name="원_한전내역서-최종" xfId="10739"/>
    <cellStyle name="원_한전내역서-최종 2" xfId="10740"/>
    <cellStyle name="원_홀리실형내역서" xfId="12056"/>
    <cellStyle name="원_황산변경내역서" xfId="12057"/>
    <cellStyle name="원_황산변경내역서1" xfId="12058"/>
    <cellStyle name="유1" xfId="6054"/>
    <cellStyle name="유영" xfId="3463"/>
    <cellStyle name="을지" xfId="12059"/>
    <cellStyle name="을지 10" xfId="18220"/>
    <cellStyle name="을지 10 2" xfId="30927"/>
    <cellStyle name="을지 11" xfId="18234"/>
    <cellStyle name="을지 11 2" xfId="30941"/>
    <cellStyle name="을지 12" xfId="23582"/>
    <cellStyle name="을지 12 2" xfId="36013"/>
    <cellStyle name="을지 13" xfId="23817"/>
    <cellStyle name="을지 13 2" xfId="36248"/>
    <cellStyle name="을지 14" xfId="23691"/>
    <cellStyle name="을지 14 2" xfId="36122"/>
    <cellStyle name="을지 15" xfId="24067"/>
    <cellStyle name="을지 15 2" xfId="36498"/>
    <cellStyle name="을지 16" xfId="24482"/>
    <cellStyle name="을지 16 2" xfId="36913"/>
    <cellStyle name="을지 17" xfId="22942"/>
    <cellStyle name="을지 17 2" xfId="35376"/>
    <cellStyle name="을지 18" xfId="24794"/>
    <cellStyle name="을지 18 2" xfId="37225"/>
    <cellStyle name="을지 19" xfId="18649"/>
    <cellStyle name="을지 19 2" xfId="31354"/>
    <cellStyle name="을지 2" xfId="16913"/>
    <cellStyle name="을지 2 2" xfId="29688"/>
    <cellStyle name="을지 20" xfId="24951"/>
    <cellStyle name="을지 20 2" xfId="37382"/>
    <cellStyle name="을지 21" xfId="25042"/>
    <cellStyle name="을지 21 2" xfId="37473"/>
    <cellStyle name="을지 22" xfId="25089"/>
    <cellStyle name="을지 22 2" xfId="37520"/>
    <cellStyle name="을지 3" xfId="17227"/>
    <cellStyle name="을지 3 2" xfId="29961"/>
    <cellStyle name="을지 4" xfId="14840"/>
    <cellStyle name="을지 4 2" xfId="27663"/>
    <cellStyle name="을지 5" xfId="17669"/>
    <cellStyle name="을지 5 2" xfId="30386"/>
    <cellStyle name="을지 6" xfId="17844"/>
    <cellStyle name="을지 6 2" xfId="30560"/>
    <cellStyle name="을지 7" xfId="17721"/>
    <cellStyle name="을지 7 2" xfId="30438"/>
    <cellStyle name="을지 8" xfId="18081"/>
    <cellStyle name="을지 8 2" xfId="30792"/>
    <cellStyle name="을지 9" xfId="18172"/>
    <cellStyle name="을지 9 2" xfId="30879"/>
    <cellStyle name="음수서식" xfId="3464"/>
    <cellStyle name="음수서식 2" xfId="10933"/>
    <cellStyle name="음수서식 2 10" xfId="13990"/>
    <cellStyle name="음수서식 2 11" xfId="18126"/>
    <cellStyle name="음수서식 2 11 2" xfId="30833"/>
    <cellStyle name="음수서식 2 12" xfId="22657"/>
    <cellStyle name="음수서식 2 12 2" xfId="35091"/>
    <cellStyle name="음수서식 2 13" xfId="21505"/>
    <cellStyle name="음수서식 2 13 2" xfId="33942"/>
    <cellStyle name="음수서식 2 14" xfId="18359"/>
    <cellStyle name="음수서식 2 14 2" xfId="31065"/>
    <cellStyle name="음수서식 2 15" xfId="18777"/>
    <cellStyle name="음수서식 2 15 2" xfId="31482"/>
    <cellStyle name="음수서식 2 16" xfId="18267"/>
    <cellStyle name="음수서식 2 16 2" xfId="30973"/>
    <cellStyle name="음수서식 2 17" xfId="24208"/>
    <cellStyle name="음수서식 2 17 2" xfId="36639"/>
    <cellStyle name="음수서식 2 18" xfId="23645"/>
    <cellStyle name="음수서식 2 18 2" xfId="36076"/>
    <cellStyle name="음수서식 2 19" xfId="23404"/>
    <cellStyle name="음수서식 2 19 2" xfId="35835"/>
    <cellStyle name="음수서식 2 2" xfId="16198"/>
    <cellStyle name="음수서식 2 2 2" xfId="28974"/>
    <cellStyle name="음수서식 2 20" xfId="24366"/>
    <cellStyle name="음수서식 2 20 2" xfId="36797"/>
    <cellStyle name="음수서식 2 21" xfId="20517"/>
    <cellStyle name="음수서식 2 21 2" xfId="32962"/>
    <cellStyle name="음수서식 2 22" xfId="23763"/>
    <cellStyle name="음수서식 2 22 2" xfId="36194"/>
    <cellStyle name="음수서식 2 23" xfId="18989"/>
    <cellStyle name="음수서식 2 23 2" xfId="31694"/>
    <cellStyle name="음수서식 2 24" xfId="25114"/>
    <cellStyle name="음수서식 2 3" xfId="15256"/>
    <cellStyle name="음수서식 2 3 2" xfId="28073"/>
    <cellStyle name="음수서식 2 4" xfId="15473"/>
    <cellStyle name="음수서식 2 4 2" xfId="28282"/>
    <cellStyle name="음수서식 2 5" xfId="17324"/>
    <cellStyle name="음수서식 2 5 2" xfId="30053"/>
    <cellStyle name="음수서식 2 6" xfId="14710"/>
    <cellStyle name="음수서식 2 6 2" xfId="27536"/>
    <cellStyle name="음수서식 2 7" xfId="15652"/>
    <cellStyle name="음수서식 2 7 2" xfId="28459"/>
    <cellStyle name="음수서식 2 8" xfId="14451"/>
    <cellStyle name="음수서식 2 8 2" xfId="27283"/>
    <cellStyle name="음수서식 2 9" xfId="15698"/>
    <cellStyle name="음수서식 2 9 2" xfId="28498"/>
    <cellStyle name="이천칠백이십삼만육천원정" xfId="3465"/>
    <cellStyle name="일" xfId="10741"/>
    <cellStyle name="일_Module4" xfId="10742"/>
    <cellStyle name="일_Module4_계약" xfId="10743"/>
    <cellStyle name="일_Module4_공사계획서" xfId="10744"/>
    <cellStyle name="일_Module4_공사계획서_계약" xfId="10745"/>
    <cellStyle name="일_Module4_공사계획서_정산명세서표지" xfId="10746"/>
    <cellStyle name="일_Module4_공사계획서_정산명세서표지_서부설계서" xfId="10747"/>
    <cellStyle name="일_Module4_공사계획서_표지" xfId="10748"/>
    <cellStyle name="일_Module4_공사비예산서" xfId="10749"/>
    <cellStyle name="일_Module4_공사비예산서_계약" xfId="10750"/>
    <cellStyle name="일_Module4_공사비예산서_정산명세서표지" xfId="10751"/>
    <cellStyle name="일_Module4_공사비예산서_정산명세서표지_서부설계서" xfId="10752"/>
    <cellStyle name="일_Module4_공사비예산서_표지" xfId="10753"/>
    <cellStyle name="일_Module4_공사설명서" xfId="10754"/>
    <cellStyle name="일_Module4_공사설명서_계약" xfId="10755"/>
    <cellStyle name="일_Module4_공사설명서_정산명세서표지" xfId="10756"/>
    <cellStyle name="일_Module4_공사설명서_정산명세서표지_서부설계서" xfId="10757"/>
    <cellStyle name="일_Module4_공사설명서_표지" xfId="10758"/>
    <cellStyle name="일_Module4_노임단가" xfId="10759"/>
    <cellStyle name="일_Module4_노임단가표" xfId="10760"/>
    <cellStyle name="일_Module4_노임단가표_계약" xfId="10761"/>
    <cellStyle name="일_Module4_노임단가표_노임단가" xfId="10762"/>
    <cellStyle name="일_Module4_노임단가표_설계명세서" xfId="10763"/>
    <cellStyle name="일_Module4_노임단가표_정산명세서표지" xfId="10764"/>
    <cellStyle name="일_Module4_노임단가표_정산명세서표지_서부설계서" xfId="10765"/>
    <cellStyle name="일_Module4_노임단가표_표지" xfId="10766"/>
    <cellStyle name="일_Module4_노임단가표_품산출서" xfId="10767"/>
    <cellStyle name="일_Module4_노임단가표_핸드홀맨홀부표" xfId="10768"/>
    <cellStyle name="일_Module4_설계명세서" xfId="10769"/>
    <cellStyle name="일_Module4_정산명세서표지" xfId="10770"/>
    <cellStyle name="일_Module4_정산명세서표지_서부설계서" xfId="10771"/>
    <cellStyle name="일_Module4_표지" xfId="10772"/>
    <cellStyle name="일_Module4_품산출서" xfId="10773"/>
    <cellStyle name="일_Module4_핸드홀맨홀부표" xfId="10774"/>
    <cellStyle name="일_계약" xfId="10775"/>
    <cellStyle name="일_공사계획서" xfId="10776"/>
    <cellStyle name="일_공사계획서_계약" xfId="10777"/>
    <cellStyle name="일_공사계획서_정산명세서표지" xfId="10778"/>
    <cellStyle name="일_공사계획서_정산명세서표지_서부설계서" xfId="10779"/>
    <cellStyle name="일_공사계획서_표지" xfId="10780"/>
    <cellStyle name="일_공사비예산서" xfId="10781"/>
    <cellStyle name="일_공사비예산서_계약" xfId="10782"/>
    <cellStyle name="일_공사비예산서_정산명세서표지" xfId="10783"/>
    <cellStyle name="일_공사비예산서_정산명세서표지_서부설계서" xfId="10784"/>
    <cellStyle name="일_공사비예산서_표지" xfId="10785"/>
    <cellStyle name="일_공사설명서" xfId="10786"/>
    <cellStyle name="일_공사설명서_계약" xfId="10787"/>
    <cellStyle name="일_공사설명서_정산명세서표지" xfId="10788"/>
    <cellStyle name="일_공사설명서_정산명세서표지_서부설계서" xfId="10789"/>
    <cellStyle name="일_공사설명서_표지" xfId="10790"/>
    <cellStyle name="일_노임단가" xfId="10791"/>
    <cellStyle name="일_노임단가표" xfId="10792"/>
    <cellStyle name="일_노임단가표_1" xfId="10793"/>
    <cellStyle name="일_노임단가표_1_계약" xfId="10794"/>
    <cellStyle name="일_노임단가표_1_노임단가" xfId="10795"/>
    <cellStyle name="일_노임단가표_1_설계명세서" xfId="10796"/>
    <cellStyle name="일_노임단가표_1_정산명세서표지" xfId="10797"/>
    <cellStyle name="일_노임단가표_1_정산명세서표지_서부설계서" xfId="10798"/>
    <cellStyle name="일_노임단가표_1_표지" xfId="10799"/>
    <cellStyle name="일_노임단가표_1_품산출서" xfId="10800"/>
    <cellStyle name="일_노임단가표_1_핸드홀맨홀부표" xfId="10801"/>
    <cellStyle name="일_노임단가표_2" xfId="10802"/>
    <cellStyle name="일_노임단가표_2_계약" xfId="10803"/>
    <cellStyle name="일_노임단가표_2_성서자리" xfId="10804"/>
    <cellStyle name="일_노임단가표_노임단가" xfId="10805"/>
    <cellStyle name="일_노임단가표_서부설계서" xfId="10806"/>
    <cellStyle name="일_노임단가표_설계명세서" xfId="10807"/>
    <cellStyle name="일_노임단가표_정산명세서표지" xfId="10808"/>
    <cellStyle name="일_노임단가표_정산명세서표지_계약" xfId="10809"/>
    <cellStyle name="일_노임단가표_정산명세서표지_서부설계서" xfId="10810"/>
    <cellStyle name="일_노임단가표_정산명세서표지_성서자리" xfId="10811"/>
    <cellStyle name="일_노임단가표_표지" xfId="10812"/>
    <cellStyle name="일_노임단가표_품산출서" xfId="10813"/>
    <cellStyle name="일_노임단가표_핸드홀맨홀부표" xfId="10814"/>
    <cellStyle name="일_설계명세서" xfId="10815"/>
    <cellStyle name="일_정산명세서표지" xfId="10816"/>
    <cellStyle name="일_정산명세서표지_서부설계서" xfId="10817"/>
    <cellStyle name="일_터파기(차도)" xfId="10818"/>
    <cellStyle name="일_터파기(차도)_계약" xfId="10819"/>
    <cellStyle name="일_터파기(차도)_정산명세서표지" xfId="10820"/>
    <cellStyle name="일_터파기(차도)_정산명세서표지_서부설계서" xfId="10821"/>
    <cellStyle name="일_터파기(차도)_표지" xfId="10822"/>
    <cellStyle name="일_표지" xfId="10823"/>
    <cellStyle name="일_품산출서" xfId="10824"/>
    <cellStyle name="일_핸드홀맨홀부표" xfId="10825"/>
    <cellStyle name="일반" xfId="6055"/>
    <cellStyle name="일반 10" xfId="14755"/>
    <cellStyle name="일반 10 2" xfId="27580"/>
    <cellStyle name="일반 11" xfId="17266"/>
    <cellStyle name="일반 11 2" xfId="29999"/>
    <cellStyle name="일반 12" xfId="20803"/>
    <cellStyle name="일반 13" xfId="18933"/>
    <cellStyle name="일반 13 2" xfId="31638"/>
    <cellStyle name="일반 14" xfId="20849"/>
    <cellStyle name="일반 14 2" xfId="33286"/>
    <cellStyle name="일반 15" xfId="20290"/>
    <cellStyle name="일반 15 2" xfId="32735"/>
    <cellStyle name="일반 16" xfId="23861"/>
    <cellStyle name="일반 16 2" xfId="36292"/>
    <cellStyle name="일반 17" xfId="21719"/>
    <cellStyle name="일반 17 2" xfId="34156"/>
    <cellStyle name="일반 18" xfId="23239"/>
    <cellStyle name="일반 18 2" xfId="35671"/>
    <cellStyle name="일반 19" xfId="24567"/>
    <cellStyle name="일반 19 2" xfId="36998"/>
    <cellStyle name="일반 2" xfId="11353"/>
    <cellStyle name="일반 20" xfId="23773"/>
    <cellStyle name="일반 20 2" xfId="36204"/>
    <cellStyle name="일반 21" xfId="18870"/>
    <cellStyle name="일반 21 2" xfId="31575"/>
    <cellStyle name="일반 22" xfId="19522"/>
    <cellStyle name="일반 22 2" xfId="31977"/>
    <cellStyle name="일반 3" xfId="14698"/>
    <cellStyle name="일반 3 2" xfId="27524"/>
    <cellStyle name="일반 4" xfId="12948"/>
    <cellStyle name="일반 4 2" xfId="25823"/>
    <cellStyle name="일반 5" xfId="12921"/>
    <cellStyle name="일반 5 2" xfId="25797"/>
    <cellStyle name="일반 6" xfId="14788"/>
    <cellStyle name="일반 6 2" xfId="27611"/>
    <cellStyle name="일반 7" xfId="17263"/>
    <cellStyle name="일반 7 2" xfId="29996"/>
    <cellStyle name="일반 8" xfId="17867"/>
    <cellStyle name="일반 8 2" xfId="30583"/>
    <cellStyle name="일반 9" xfId="18097"/>
    <cellStyle name="일반 9 2" xfId="30808"/>
    <cellStyle name="일위_단위_일위대가" xfId="10826"/>
    <cellStyle name="일위대가" xfId="3466"/>
    <cellStyle name="입력 2" xfId="6056"/>
    <cellStyle name="입력 2 2" xfId="11396"/>
    <cellStyle name="입력 2 2 10" xfId="14093"/>
    <cellStyle name="입력 2 2 10 2" xfId="26941"/>
    <cellStyle name="입력 2 2 11" xfId="14040"/>
    <cellStyle name="입력 2 2 11 2" xfId="26889"/>
    <cellStyle name="입력 2 2 12" xfId="23018"/>
    <cellStyle name="입력 2 2 12 2" xfId="35451"/>
    <cellStyle name="입력 2 2 13" xfId="21124"/>
    <cellStyle name="입력 2 2 13 2" xfId="33561"/>
    <cellStyle name="입력 2 2 14" xfId="20130"/>
    <cellStyle name="입력 2 2 14 2" xfId="32576"/>
    <cellStyle name="입력 2 2 15" xfId="20066"/>
    <cellStyle name="입력 2 2 15 2" xfId="32512"/>
    <cellStyle name="입력 2 2 16" xfId="19978"/>
    <cellStyle name="입력 2 2 16 2" xfId="32426"/>
    <cellStyle name="입력 2 2 17" xfId="23149"/>
    <cellStyle name="입력 2 2 17 2" xfId="35582"/>
    <cellStyle name="입력 2 2 18" xfId="19563"/>
    <cellStyle name="입력 2 2 18 2" xfId="32018"/>
    <cellStyle name="입력 2 2 19" xfId="18378"/>
    <cellStyle name="입력 2 2 19 2" xfId="31084"/>
    <cellStyle name="입력 2 2 2" xfId="16552"/>
    <cellStyle name="입력 2 2 2 2" xfId="29328"/>
    <cellStyle name="입력 2 2 20" xfId="20946"/>
    <cellStyle name="입력 2 2 20 2" xfId="33383"/>
    <cellStyle name="입력 2 2 21" xfId="23628"/>
    <cellStyle name="입력 2 2 21 2" xfId="36059"/>
    <cellStyle name="입력 2 2 22" xfId="18999"/>
    <cellStyle name="입력 2 2 22 2" xfId="31704"/>
    <cellStyle name="입력 2 2 23" xfId="18290"/>
    <cellStyle name="입력 2 2 23 2" xfId="30996"/>
    <cellStyle name="입력 2 2 24" xfId="25231"/>
    <cellStyle name="입력 2 2 3" xfId="12637"/>
    <cellStyle name="입력 2 2 3 2" xfId="25516"/>
    <cellStyle name="입력 2 2 4" xfId="14311"/>
    <cellStyle name="입력 2 2 4 2" xfId="27144"/>
    <cellStyle name="입력 2 2 5" xfId="12852"/>
    <cellStyle name="입력 2 2 5 2" xfId="25728"/>
    <cellStyle name="입력 2 2 6" xfId="12872"/>
    <cellStyle name="입력 2 2 6 2" xfId="25748"/>
    <cellStyle name="입력 2 2 7" xfId="12691"/>
    <cellStyle name="입력 2 2 7 2" xfId="25570"/>
    <cellStyle name="입력 2 2 8" xfId="17773"/>
    <cellStyle name="입력 2 2 8 2" xfId="30490"/>
    <cellStyle name="입력 2 2 9" xfId="14055"/>
    <cellStyle name="입력 2 2 9 2" xfId="26904"/>
    <cellStyle name="입력 3" xfId="12060"/>
    <cellStyle name="입력 3 10" xfId="18221"/>
    <cellStyle name="입력 3 10 2" xfId="30928"/>
    <cellStyle name="입력 3 11" xfId="18235"/>
    <cellStyle name="입력 3 11 2" xfId="30942"/>
    <cellStyle name="입력 3 12" xfId="23333"/>
    <cellStyle name="입력 3 12 2" xfId="35765"/>
    <cellStyle name="입력 3 13" xfId="23583"/>
    <cellStyle name="입력 3 13 2" xfId="36014"/>
    <cellStyle name="입력 3 14" xfId="23818"/>
    <cellStyle name="입력 3 14 2" xfId="36249"/>
    <cellStyle name="입력 3 15" xfId="23690"/>
    <cellStyle name="입력 3 15 2" xfId="36121"/>
    <cellStyle name="입력 3 16" xfId="24066"/>
    <cellStyle name="입력 3 16 2" xfId="36497"/>
    <cellStyle name="입력 3 17" xfId="24483"/>
    <cellStyle name="입력 3 17 2" xfId="36914"/>
    <cellStyle name="입력 3 18" xfId="22134"/>
    <cellStyle name="입력 3 18 2" xfId="34570"/>
    <cellStyle name="입력 3 19" xfId="24795"/>
    <cellStyle name="입력 3 19 2" xfId="37226"/>
    <cellStyle name="입력 3 2" xfId="16914"/>
    <cellStyle name="입력 3 2 2" xfId="29689"/>
    <cellStyle name="입력 3 20" xfId="18283"/>
    <cellStyle name="입력 3 20 2" xfId="30989"/>
    <cellStyle name="입력 3 21" xfId="24952"/>
    <cellStyle name="입력 3 21 2" xfId="37383"/>
    <cellStyle name="입력 3 22" xfId="25043"/>
    <cellStyle name="입력 3 22 2" xfId="37474"/>
    <cellStyle name="입력 3 23" xfId="25090"/>
    <cellStyle name="입력 3 23 2" xfId="37521"/>
    <cellStyle name="입력 3 24" xfId="25253"/>
    <cellStyle name="입력 3 3" xfId="17228"/>
    <cellStyle name="입력 3 3 2" xfId="29962"/>
    <cellStyle name="입력 3 4" xfId="14839"/>
    <cellStyle name="입력 3 4 2" xfId="27662"/>
    <cellStyle name="입력 3 5" xfId="17670"/>
    <cellStyle name="입력 3 5 2" xfId="30387"/>
    <cellStyle name="입력 3 6" xfId="17845"/>
    <cellStyle name="입력 3 6 2" xfId="30561"/>
    <cellStyle name="입력 3 7" xfId="17720"/>
    <cellStyle name="입력 3 7 2" xfId="30437"/>
    <cellStyle name="입력 3 8" xfId="18082"/>
    <cellStyle name="입력 3 8 2" xfId="30793"/>
    <cellStyle name="입력 3 9" xfId="18173"/>
    <cellStyle name="입력 3 9 2" xfId="30880"/>
    <cellStyle name="입력 4" xfId="12061"/>
    <cellStyle name="입력 4 10" xfId="18222"/>
    <cellStyle name="입력 4 10 2" xfId="30929"/>
    <cellStyle name="입력 4 11" xfId="18236"/>
    <cellStyle name="입력 4 11 2" xfId="30943"/>
    <cellStyle name="입력 4 12" xfId="23334"/>
    <cellStyle name="입력 4 12 2" xfId="35766"/>
    <cellStyle name="입력 4 13" xfId="23584"/>
    <cellStyle name="입력 4 13 2" xfId="36015"/>
    <cellStyle name="입력 4 14" xfId="23819"/>
    <cellStyle name="입력 4 14 2" xfId="36250"/>
    <cellStyle name="입력 4 15" xfId="23689"/>
    <cellStyle name="입력 4 15 2" xfId="36120"/>
    <cellStyle name="입력 4 16" xfId="24065"/>
    <cellStyle name="입력 4 16 2" xfId="36496"/>
    <cellStyle name="입력 4 17" xfId="24484"/>
    <cellStyle name="입력 4 17 2" xfId="36915"/>
    <cellStyle name="입력 4 18" xfId="21628"/>
    <cellStyle name="입력 4 18 2" xfId="34065"/>
    <cellStyle name="입력 4 19" xfId="24796"/>
    <cellStyle name="입력 4 19 2" xfId="37227"/>
    <cellStyle name="입력 4 2" xfId="16915"/>
    <cellStyle name="입력 4 2 2" xfId="29690"/>
    <cellStyle name="입력 4 20" xfId="23405"/>
    <cellStyle name="입력 4 20 2" xfId="35836"/>
    <cellStyle name="입력 4 21" xfId="24953"/>
    <cellStyle name="입력 4 21 2" xfId="37384"/>
    <cellStyle name="입력 4 22" xfId="25044"/>
    <cellStyle name="입력 4 22 2" xfId="37475"/>
    <cellStyle name="입력 4 23" xfId="25091"/>
    <cellStyle name="입력 4 23 2" xfId="37522"/>
    <cellStyle name="입력 4 24" xfId="25254"/>
    <cellStyle name="입력 4 3" xfId="17229"/>
    <cellStyle name="입력 4 3 2" xfId="29963"/>
    <cellStyle name="입력 4 4" xfId="14838"/>
    <cellStyle name="입력 4 4 2" xfId="27661"/>
    <cellStyle name="입력 4 5" xfId="17671"/>
    <cellStyle name="입력 4 5 2" xfId="30388"/>
    <cellStyle name="입력 4 6" xfId="17846"/>
    <cellStyle name="입력 4 6 2" xfId="30562"/>
    <cellStyle name="입력 4 7" xfId="17719"/>
    <cellStyle name="입력 4 7 2" xfId="30436"/>
    <cellStyle name="입력 4 8" xfId="18083"/>
    <cellStyle name="입력 4 8 2" xfId="30794"/>
    <cellStyle name="입력 4 9" xfId="18174"/>
    <cellStyle name="입력 4 9 2" xfId="30881"/>
    <cellStyle name="입력 5" xfId="12062"/>
    <cellStyle name="입력 5 10" xfId="18223"/>
    <cellStyle name="입력 5 10 2" xfId="30930"/>
    <cellStyle name="입력 5 11" xfId="18237"/>
    <cellStyle name="입력 5 11 2" xfId="30944"/>
    <cellStyle name="입력 5 12" xfId="23335"/>
    <cellStyle name="입력 5 12 2" xfId="35767"/>
    <cellStyle name="입력 5 13" xfId="23585"/>
    <cellStyle name="입력 5 13 2" xfId="36016"/>
    <cellStyle name="입력 5 14" xfId="23820"/>
    <cellStyle name="입력 5 14 2" xfId="36251"/>
    <cellStyle name="입력 5 15" xfId="23688"/>
    <cellStyle name="입력 5 15 2" xfId="36119"/>
    <cellStyle name="입력 5 16" xfId="24064"/>
    <cellStyle name="입력 5 16 2" xfId="36495"/>
    <cellStyle name="입력 5 17" xfId="24485"/>
    <cellStyle name="입력 5 17 2" xfId="36916"/>
    <cellStyle name="입력 5 18" xfId="22214"/>
    <cellStyle name="입력 5 18 2" xfId="34649"/>
    <cellStyle name="입력 5 19" xfId="24797"/>
    <cellStyle name="입력 5 19 2" xfId="37228"/>
    <cellStyle name="입력 5 2" xfId="16916"/>
    <cellStyle name="입력 5 2 2" xfId="29691"/>
    <cellStyle name="입력 5 20" xfId="19509"/>
    <cellStyle name="입력 5 20 2" xfId="31964"/>
    <cellStyle name="입력 5 21" xfId="24954"/>
    <cellStyle name="입력 5 21 2" xfId="37385"/>
    <cellStyle name="입력 5 22" xfId="25045"/>
    <cellStyle name="입력 5 22 2" xfId="37476"/>
    <cellStyle name="입력 5 23" xfId="25092"/>
    <cellStyle name="입력 5 23 2" xfId="37523"/>
    <cellStyle name="입력 5 24" xfId="25255"/>
    <cellStyle name="입력 5 3" xfId="17230"/>
    <cellStyle name="입력 5 3 2" xfId="29964"/>
    <cellStyle name="입력 5 4" xfId="14837"/>
    <cellStyle name="입력 5 4 2" xfId="27660"/>
    <cellStyle name="입력 5 5" xfId="17672"/>
    <cellStyle name="입력 5 5 2" xfId="30389"/>
    <cellStyle name="입력 5 6" xfId="17847"/>
    <cellStyle name="입력 5 6 2" xfId="30563"/>
    <cellStyle name="입력 5 7" xfId="17718"/>
    <cellStyle name="입력 5 7 2" xfId="30435"/>
    <cellStyle name="입력 5 8" xfId="18084"/>
    <cellStyle name="입력 5 8 2" xfId="30795"/>
    <cellStyle name="입력 5 9" xfId="18175"/>
    <cellStyle name="입력 5 9 2" xfId="30882"/>
    <cellStyle name="입력 6" xfId="12063"/>
    <cellStyle name="입력 6 10" xfId="18224"/>
    <cellStyle name="입력 6 10 2" xfId="30931"/>
    <cellStyle name="입력 6 11" xfId="18238"/>
    <cellStyle name="입력 6 11 2" xfId="30945"/>
    <cellStyle name="입력 6 12" xfId="23336"/>
    <cellStyle name="입력 6 12 2" xfId="35768"/>
    <cellStyle name="입력 6 13" xfId="23586"/>
    <cellStyle name="입력 6 13 2" xfId="36017"/>
    <cellStyle name="입력 6 14" xfId="23821"/>
    <cellStyle name="입력 6 14 2" xfId="36252"/>
    <cellStyle name="입력 6 15" xfId="20657"/>
    <cellStyle name="입력 6 15 2" xfId="33101"/>
    <cellStyle name="입력 6 16" xfId="24063"/>
    <cellStyle name="입력 6 16 2" xfId="36494"/>
    <cellStyle name="입력 6 17" xfId="24486"/>
    <cellStyle name="입력 6 17 2" xfId="36917"/>
    <cellStyle name="입력 6 18" xfId="23443"/>
    <cellStyle name="입력 6 18 2" xfId="35874"/>
    <cellStyle name="입력 6 19" xfId="24798"/>
    <cellStyle name="입력 6 19 2" xfId="37229"/>
    <cellStyle name="입력 6 2" xfId="16917"/>
    <cellStyle name="입력 6 2 2" xfId="29692"/>
    <cellStyle name="입력 6 20" xfId="19757"/>
    <cellStyle name="입력 6 20 2" xfId="32210"/>
    <cellStyle name="입력 6 21" xfId="24955"/>
    <cellStyle name="입력 6 21 2" xfId="37386"/>
    <cellStyle name="입력 6 22" xfId="25046"/>
    <cellStyle name="입력 6 22 2" xfId="37477"/>
    <cellStyle name="입력 6 23" xfId="25093"/>
    <cellStyle name="입력 6 23 2" xfId="37524"/>
    <cellStyle name="입력 6 24" xfId="25256"/>
    <cellStyle name="입력 6 3" xfId="17231"/>
    <cellStyle name="입력 6 3 2" xfId="29965"/>
    <cellStyle name="입력 6 4" xfId="14836"/>
    <cellStyle name="입력 6 4 2" xfId="27659"/>
    <cellStyle name="입력 6 5" xfId="17673"/>
    <cellStyle name="입력 6 5 2" xfId="30390"/>
    <cellStyle name="입력 6 6" xfId="17848"/>
    <cellStyle name="입력 6 6 2" xfId="30564"/>
    <cellStyle name="입력 6 7" xfId="17717"/>
    <cellStyle name="입력 6 7 2" xfId="30434"/>
    <cellStyle name="입력 6 8" xfId="18085"/>
    <cellStyle name="입력 6 8 2" xfId="30796"/>
    <cellStyle name="입력 6 9" xfId="18176"/>
    <cellStyle name="입력 6 9 2" xfId="30883"/>
    <cellStyle name="입력 7" xfId="12064"/>
    <cellStyle name="입력 7 10" xfId="18225"/>
    <cellStyle name="입력 7 10 2" xfId="30932"/>
    <cellStyle name="입력 7 11" xfId="18239"/>
    <cellStyle name="입력 7 11 2" xfId="30946"/>
    <cellStyle name="입력 7 12" xfId="23337"/>
    <cellStyle name="입력 7 12 2" xfId="35769"/>
    <cellStyle name="입력 7 13" xfId="23587"/>
    <cellStyle name="입력 7 13 2" xfId="36018"/>
    <cellStyle name="입력 7 14" xfId="23822"/>
    <cellStyle name="입력 7 14 2" xfId="36253"/>
    <cellStyle name="입력 7 15" xfId="19508"/>
    <cellStyle name="입력 7 15 2" xfId="31963"/>
    <cellStyle name="입력 7 16" xfId="24062"/>
    <cellStyle name="입력 7 16 2" xfId="36493"/>
    <cellStyle name="입력 7 17" xfId="24487"/>
    <cellStyle name="입력 7 17 2" xfId="36918"/>
    <cellStyle name="입력 7 18" xfId="24341"/>
    <cellStyle name="입력 7 18 2" xfId="36772"/>
    <cellStyle name="입력 7 19" xfId="24799"/>
    <cellStyle name="입력 7 19 2" xfId="37230"/>
    <cellStyle name="입력 7 2" xfId="16918"/>
    <cellStyle name="입력 7 2 2" xfId="29693"/>
    <cellStyle name="입력 7 20" xfId="22187"/>
    <cellStyle name="입력 7 20 2" xfId="34622"/>
    <cellStyle name="입력 7 21" xfId="24956"/>
    <cellStyle name="입력 7 21 2" xfId="37387"/>
    <cellStyle name="입력 7 22" xfId="25047"/>
    <cellStyle name="입력 7 22 2" xfId="37478"/>
    <cellStyle name="입력 7 23" xfId="25094"/>
    <cellStyle name="입력 7 23 2" xfId="37525"/>
    <cellStyle name="입력 7 24" xfId="25257"/>
    <cellStyle name="입력 7 3" xfId="17232"/>
    <cellStyle name="입력 7 3 2" xfId="29966"/>
    <cellStyle name="입력 7 4" xfId="14835"/>
    <cellStyle name="입력 7 4 2" xfId="27658"/>
    <cellStyle name="입력 7 5" xfId="17674"/>
    <cellStyle name="입력 7 5 2" xfId="30391"/>
    <cellStyle name="입력 7 6" xfId="17849"/>
    <cellStyle name="입력 7 6 2" xfId="30565"/>
    <cellStyle name="입력 7 7" xfId="17716"/>
    <cellStyle name="입력 7 7 2" xfId="30433"/>
    <cellStyle name="입력 7 8" xfId="18086"/>
    <cellStyle name="입력 7 8 2" xfId="30797"/>
    <cellStyle name="입력 7 9" xfId="18177"/>
    <cellStyle name="입력 7 9 2" xfId="30884"/>
    <cellStyle name="입력 8" xfId="12065"/>
    <cellStyle name="입력 8 10" xfId="18226"/>
    <cellStyle name="입력 8 10 2" xfId="30933"/>
    <cellStyle name="입력 8 11" xfId="18240"/>
    <cellStyle name="입력 8 11 2" xfId="30947"/>
    <cellStyle name="입력 8 12" xfId="23338"/>
    <cellStyle name="입력 8 12 2" xfId="35770"/>
    <cellStyle name="입력 8 13" xfId="23588"/>
    <cellStyle name="입력 8 13 2" xfId="36019"/>
    <cellStyle name="입력 8 14" xfId="23823"/>
    <cellStyle name="입력 8 14 2" xfId="36254"/>
    <cellStyle name="입력 8 15" xfId="20658"/>
    <cellStyle name="입력 8 15 2" xfId="33102"/>
    <cellStyle name="입력 8 16" xfId="19968"/>
    <cellStyle name="입력 8 16 2" xfId="32416"/>
    <cellStyle name="입력 8 17" xfId="24488"/>
    <cellStyle name="입력 8 17 2" xfId="36919"/>
    <cellStyle name="입력 8 18" xfId="24340"/>
    <cellStyle name="입력 8 18 2" xfId="36771"/>
    <cellStyle name="입력 8 19" xfId="24800"/>
    <cellStyle name="입력 8 19 2" xfId="37231"/>
    <cellStyle name="입력 8 2" xfId="16919"/>
    <cellStyle name="입력 8 2 2" xfId="29694"/>
    <cellStyle name="입력 8 20" xfId="18374"/>
    <cellStyle name="입력 8 20 2" xfId="31080"/>
    <cellStyle name="입력 8 21" xfId="24957"/>
    <cellStyle name="입력 8 21 2" xfId="37388"/>
    <cellStyle name="입력 8 22" xfId="25048"/>
    <cellStyle name="입력 8 22 2" xfId="37479"/>
    <cellStyle name="입력 8 23" xfId="25095"/>
    <cellStyle name="입력 8 23 2" xfId="37526"/>
    <cellStyle name="입력 8 24" xfId="25258"/>
    <cellStyle name="입력 8 3" xfId="17233"/>
    <cellStyle name="입력 8 3 2" xfId="29967"/>
    <cellStyle name="입력 8 4" xfId="14834"/>
    <cellStyle name="입력 8 4 2" xfId="27657"/>
    <cellStyle name="입력 8 5" xfId="17675"/>
    <cellStyle name="입력 8 5 2" xfId="30392"/>
    <cellStyle name="입력 8 6" xfId="17850"/>
    <cellStyle name="입력 8 6 2" xfId="30566"/>
    <cellStyle name="입력 8 7" xfId="17715"/>
    <cellStyle name="입력 8 7 2" xfId="30432"/>
    <cellStyle name="입력 8 8" xfId="18087"/>
    <cellStyle name="입력 8 8 2" xfId="30798"/>
    <cellStyle name="입력 8 9" xfId="18178"/>
    <cellStyle name="입력 8 9 2" xfId="30885"/>
    <cellStyle name="자리수" xfId="3467"/>
    <cellStyle name="자리수 - 유형1" xfId="6057"/>
    <cellStyle name="자리수 2" xfId="10827"/>
    <cellStyle name="자리수 3" xfId="10828"/>
    <cellStyle name="자리수 4" xfId="10829"/>
    <cellStyle name="자리수_(주)경원-의정부시도시계획도로(대로1-1호선외2개소)전기공사(1차기성)" xfId="10830"/>
    <cellStyle name="자리수0" xfId="3468"/>
    <cellStyle name="자리수0 2" xfId="10831"/>
    <cellStyle name="帳票" xfId="10832"/>
    <cellStyle name="점선" xfId="10833"/>
    <cellStyle name="정기수 - 유형1" xfId="10834"/>
    <cellStyle name="정비" xfId="3469"/>
    <cellStyle name="제곱" xfId="6058"/>
    <cellStyle name="제목" xfId="3470" builtinId="15" customBuiltin="1"/>
    <cellStyle name="제목 1 2" xfId="6059"/>
    <cellStyle name="제목 1 3" xfId="12066"/>
    <cellStyle name="제목 1 4" xfId="12067"/>
    <cellStyle name="제목 1 5" xfId="12068"/>
    <cellStyle name="제목 1 6" xfId="12069"/>
    <cellStyle name="제목 1 7" xfId="12070"/>
    <cellStyle name="제목 1 8" xfId="12071"/>
    <cellStyle name="제목 10" xfId="12072"/>
    <cellStyle name="제목 11" xfId="12073"/>
    <cellStyle name="제목 2 2" xfId="6060"/>
    <cellStyle name="제목 2 3" xfId="12074"/>
    <cellStyle name="제목 2 4" xfId="12075"/>
    <cellStyle name="제목 2 5" xfId="12076"/>
    <cellStyle name="제목 2 6" xfId="12077"/>
    <cellStyle name="제목 2 7" xfId="12078"/>
    <cellStyle name="제목 2 8" xfId="12079"/>
    <cellStyle name="제목 3 2" xfId="6061"/>
    <cellStyle name="제목 3 3" xfId="12080"/>
    <cellStyle name="제목 3 4" xfId="12081"/>
    <cellStyle name="제목 3 5" xfId="12082"/>
    <cellStyle name="제목 3 6" xfId="12083"/>
    <cellStyle name="제목 3 7" xfId="12084"/>
    <cellStyle name="제목 3 8" xfId="12085"/>
    <cellStyle name="제목 4 2" xfId="6062"/>
    <cellStyle name="제목 4 3" xfId="12086"/>
    <cellStyle name="제목 4 4" xfId="12087"/>
    <cellStyle name="제목 4 5" xfId="12088"/>
    <cellStyle name="제목 4 6" xfId="12089"/>
    <cellStyle name="제목 4 7" xfId="12090"/>
    <cellStyle name="제목 4 8" xfId="12091"/>
    <cellStyle name="제목 5" xfId="10835"/>
    <cellStyle name="제목 6" xfId="12092"/>
    <cellStyle name="제목 7" xfId="12093"/>
    <cellStyle name="제목 8" xfId="12094"/>
    <cellStyle name="제목 9" xfId="12095"/>
    <cellStyle name="제목[1 줄]" xfId="6063"/>
    <cellStyle name="제목[1 줄] 2" xfId="10836"/>
    <cellStyle name="제목[1 줄] 2 2" xfId="11355"/>
    <cellStyle name="제목[1 줄] 2 2 10" xfId="13038"/>
    <cellStyle name="제목[1 줄] 2 2 11" xfId="15104"/>
    <cellStyle name="제목[1 줄] 2 2 11 2" xfId="27923"/>
    <cellStyle name="제목[1 줄] 2 2 12" xfId="22988"/>
    <cellStyle name="제목[1 줄] 2 2 12 2" xfId="35421"/>
    <cellStyle name="제목[1 줄] 2 2 13" xfId="21159"/>
    <cellStyle name="제목[1 줄] 2 2 13 2" xfId="33596"/>
    <cellStyle name="제목[1 줄] 2 2 14" xfId="18579"/>
    <cellStyle name="제목[1 줄] 2 2 14 2" xfId="31284"/>
    <cellStyle name="제목[1 줄] 2 2 15" xfId="19344"/>
    <cellStyle name="제목[1 줄] 2 2 15 2" xfId="31948"/>
    <cellStyle name="제목[1 줄] 2 2 16" xfId="21619"/>
    <cellStyle name="제목[1 줄] 2 2 16 2" xfId="34056"/>
    <cellStyle name="제목[1 줄] 2 2 17" xfId="19051"/>
    <cellStyle name="제목[1 줄] 2 2 17 2" xfId="31756"/>
    <cellStyle name="제목[1 줄] 2 2 18" xfId="22288"/>
    <cellStyle name="제목[1 줄] 2 2 18 2" xfId="34722"/>
    <cellStyle name="제목[1 줄] 2 2 19" xfId="24530"/>
    <cellStyle name="제목[1 줄] 2 2 19 2" xfId="36961"/>
    <cellStyle name="제목[1 줄] 2 2 2" xfId="16520"/>
    <cellStyle name="제목[1 줄] 2 2 2 2" xfId="29296"/>
    <cellStyle name="제목[1 줄] 2 2 20" xfId="20635"/>
    <cellStyle name="제목[1 줄] 2 2 20 2" xfId="33079"/>
    <cellStyle name="제목[1 줄] 2 2 21" xfId="19593"/>
    <cellStyle name="제목[1 줄] 2 2 21 2" xfId="32048"/>
    <cellStyle name="제목[1 줄] 2 2 22" xfId="23890"/>
    <cellStyle name="제목[1 줄] 2 2 22 2" xfId="36321"/>
    <cellStyle name="제목[1 줄] 2 2 23" xfId="18756"/>
    <cellStyle name="제목[1 줄] 2 2 23 2" xfId="31461"/>
    <cellStyle name="제목[1 줄] 2 2 24" xfId="25211"/>
    <cellStyle name="제목[1 줄] 2 2 3" xfId="16563"/>
    <cellStyle name="제목[1 줄] 2 2 3 2" xfId="29339"/>
    <cellStyle name="제목[1 줄] 2 2 4" xfId="14323"/>
    <cellStyle name="제목[1 줄] 2 2 4 2" xfId="27156"/>
    <cellStyle name="제목[1 줄] 2 2 5" xfId="12822"/>
    <cellStyle name="제목[1 줄] 2 2 5 2" xfId="25698"/>
    <cellStyle name="제목[1 줄] 2 2 6" xfId="14751"/>
    <cellStyle name="제목[1 줄] 2 2 6 2" xfId="27576"/>
    <cellStyle name="제목[1 줄] 2 2 7" xfId="17149"/>
    <cellStyle name="제목[1 줄] 2 2 7 2" xfId="29883"/>
    <cellStyle name="제목[1 줄] 2 2 8" xfId="13791"/>
    <cellStyle name="제목[1 줄] 2 2 8 2" xfId="26651"/>
    <cellStyle name="제목[1 줄] 2 2 9" xfId="14052"/>
    <cellStyle name="제목[1 줄] 2 2 9 2" xfId="26901"/>
    <cellStyle name="제목[1 줄] 3" xfId="10837"/>
    <cellStyle name="제목[1 줄] 3 2" xfId="11356"/>
    <cellStyle name="제목[1 줄] 3 2 10" xfId="17271"/>
    <cellStyle name="제목[1 줄] 3 2 11" xfId="14280"/>
    <cellStyle name="제목[1 줄] 3 2 11 2" xfId="27114"/>
    <cellStyle name="제목[1 줄] 3 2 12" xfId="22989"/>
    <cellStyle name="제목[1 줄] 3 2 12 2" xfId="35422"/>
    <cellStyle name="제목[1 줄] 3 2 13" xfId="21158"/>
    <cellStyle name="제목[1 줄] 3 2 13 2" xfId="33595"/>
    <cellStyle name="제목[1 줄] 3 2 14" xfId="18580"/>
    <cellStyle name="제목[1 줄] 3 2 14 2" xfId="31285"/>
    <cellStyle name="제목[1 줄] 3 2 15" xfId="19229"/>
    <cellStyle name="제목[1 줄] 3 2 15 2" xfId="31884"/>
    <cellStyle name="제목[1 줄] 3 2 16" xfId="20766"/>
    <cellStyle name="제목[1 줄] 3 2 16 2" xfId="33205"/>
    <cellStyle name="제목[1 줄] 3 2 17" xfId="22449"/>
    <cellStyle name="제목[1 줄] 3 2 17 2" xfId="34883"/>
    <cellStyle name="제목[1 줄] 3 2 18" xfId="19897"/>
    <cellStyle name="제목[1 줄] 3 2 18 2" xfId="32346"/>
    <cellStyle name="제목[1 줄] 3 2 19" xfId="24529"/>
    <cellStyle name="제목[1 줄] 3 2 19 2" xfId="36960"/>
    <cellStyle name="제목[1 줄] 3 2 2" xfId="16521"/>
    <cellStyle name="제목[1 줄] 3 2 2 2" xfId="29297"/>
    <cellStyle name="제목[1 줄] 3 2 20" xfId="20136"/>
    <cellStyle name="제목[1 줄] 3 2 20 2" xfId="32582"/>
    <cellStyle name="제목[1 줄] 3 2 21" xfId="23814"/>
    <cellStyle name="제목[1 줄] 3 2 21 2" xfId="36245"/>
    <cellStyle name="제목[1 줄] 3 2 22" xfId="24399"/>
    <cellStyle name="제목[1 줄] 3 2 22 2" xfId="36830"/>
    <cellStyle name="제목[1 줄] 3 2 23" xfId="22204"/>
    <cellStyle name="제목[1 줄] 3 2 23 2" xfId="34639"/>
    <cellStyle name="제목[1 줄] 3 2 24" xfId="25212"/>
    <cellStyle name="제목[1 줄] 3 2 3" xfId="15074"/>
    <cellStyle name="제목[1 줄] 3 2 3 2" xfId="27893"/>
    <cellStyle name="제목[1 줄] 3 2 4" xfId="14122"/>
    <cellStyle name="제목[1 줄] 3 2 4 2" xfId="26970"/>
    <cellStyle name="제목[1 줄] 3 2 5" xfId="12823"/>
    <cellStyle name="제목[1 줄] 3 2 5 2" xfId="25699"/>
    <cellStyle name="제목[1 줄] 3 2 6" xfId="15202"/>
    <cellStyle name="제목[1 줄] 3 2 6 2" xfId="28020"/>
    <cellStyle name="제목[1 줄] 3 2 7" xfId="12694"/>
    <cellStyle name="제목[1 줄] 3 2 7 2" xfId="25573"/>
    <cellStyle name="제목[1 줄] 3 2 8" xfId="14262"/>
    <cellStyle name="제목[1 줄] 3 2 8 2" xfId="27098"/>
    <cellStyle name="제목[1 줄] 3 2 9" xfId="15694"/>
    <cellStyle name="제목[1 줄] 3 2 9 2" xfId="28494"/>
    <cellStyle name="제목[1 줄] 4" xfId="10838"/>
    <cellStyle name="제목[1 줄] 4 2" xfId="11357"/>
    <cellStyle name="제목[1 줄] 4 2 10" xfId="17413"/>
    <cellStyle name="제목[1 줄] 4 2 11" xfId="16905"/>
    <cellStyle name="제목[1 줄] 4 2 11 2" xfId="29680"/>
    <cellStyle name="제목[1 줄] 4 2 12" xfId="22990"/>
    <cellStyle name="제목[1 줄] 4 2 12 2" xfId="35423"/>
    <cellStyle name="제목[1 줄] 4 2 13" xfId="21157"/>
    <cellStyle name="제목[1 줄] 4 2 13 2" xfId="33594"/>
    <cellStyle name="제목[1 줄] 4 2 14" xfId="18581"/>
    <cellStyle name="제목[1 줄] 4 2 14 2" xfId="31286"/>
    <cellStyle name="제목[1 줄] 4 2 15" xfId="19345"/>
    <cellStyle name="제목[1 줄] 4 2 15 2" xfId="31949"/>
    <cellStyle name="제목[1 줄] 4 2 16" xfId="21620"/>
    <cellStyle name="제목[1 줄] 4 2 16 2" xfId="34057"/>
    <cellStyle name="제목[1 줄] 4 2 17" xfId="19050"/>
    <cellStyle name="제목[1 줄] 4 2 17 2" xfId="31755"/>
    <cellStyle name="제목[1 줄] 4 2 18" xfId="23999"/>
    <cellStyle name="제목[1 줄] 4 2 18 2" xfId="36430"/>
    <cellStyle name="제목[1 줄] 4 2 19" xfId="24528"/>
    <cellStyle name="제목[1 줄] 4 2 19 2" xfId="36959"/>
    <cellStyle name="제목[1 줄] 4 2 2" xfId="16522"/>
    <cellStyle name="제목[1 줄] 4 2 2 2" xfId="29298"/>
    <cellStyle name="제목[1 줄] 4 2 20" xfId="23099"/>
    <cellStyle name="제목[1 줄] 4 2 20 2" xfId="35532"/>
    <cellStyle name="제목[1 줄] 4 2 21" xfId="24737"/>
    <cellStyle name="제목[1 줄] 4 2 21 2" xfId="37168"/>
    <cellStyle name="제목[1 줄] 4 2 22" xfId="20578"/>
    <cellStyle name="제목[1 줄] 4 2 22 2" xfId="33023"/>
    <cellStyle name="제목[1 줄] 4 2 23" xfId="20599"/>
    <cellStyle name="제목[1 줄] 4 2 23 2" xfId="33043"/>
    <cellStyle name="제목[1 줄] 4 2 24" xfId="25213"/>
    <cellStyle name="제목[1 줄] 4 2 3" xfId="16562"/>
    <cellStyle name="제목[1 줄] 4 2 3 2" xfId="29338"/>
    <cellStyle name="제목[1 줄] 4 2 4" xfId="14322"/>
    <cellStyle name="제목[1 줄] 4 2 4 2" xfId="27155"/>
    <cellStyle name="제목[1 줄] 4 2 5" xfId="12824"/>
    <cellStyle name="제목[1 줄] 4 2 5 2" xfId="25700"/>
    <cellStyle name="제목[1 줄] 4 2 6" xfId="12586"/>
    <cellStyle name="제목[1 줄] 4 2 6 2" xfId="25465"/>
    <cellStyle name="제목[1 줄] 4 2 7" xfId="15608"/>
    <cellStyle name="제목[1 줄] 4 2 7 2" xfId="28417"/>
    <cellStyle name="제목[1 줄] 4 2 8" xfId="13792"/>
    <cellStyle name="제목[1 줄] 4 2 8 2" xfId="26652"/>
    <cellStyle name="제목[1 줄] 4 2 9" xfId="15665"/>
    <cellStyle name="제목[1 줄] 4 2 9 2" xfId="28465"/>
    <cellStyle name="제목[1 줄] 5" xfId="10839"/>
    <cellStyle name="제목[1 줄] 5 2" xfId="11358"/>
    <cellStyle name="제목[1 줄] 5 2 10" xfId="14569"/>
    <cellStyle name="제목[1 줄] 5 2 11" xfId="15303"/>
    <cellStyle name="제목[1 줄] 5 2 11 2" xfId="28120"/>
    <cellStyle name="제목[1 줄] 5 2 12" xfId="22991"/>
    <cellStyle name="제목[1 줄] 5 2 12 2" xfId="35424"/>
    <cellStyle name="제목[1 줄] 5 2 13" xfId="21156"/>
    <cellStyle name="제목[1 줄] 5 2 13 2" xfId="33593"/>
    <cellStyle name="제목[1 줄] 5 2 14" xfId="18582"/>
    <cellStyle name="제목[1 줄] 5 2 14 2" xfId="31287"/>
    <cellStyle name="제목[1 줄] 5 2 15" xfId="19230"/>
    <cellStyle name="제목[1 줄] 5 2 15 2" xfId="31885"/>
    <cellStyle name="제목[1 줄] 5 2 16" xfId="20767"/>
    <cellStyle name="제목[1 줄] 5 2 16 2" xfId="33206"/>
    <cellStyle name="제목[1 줄] 5 2 17" xfId="22448"/>
    <cellStyle name="제목[1 줄] 5 2 17 2" xfId="34882"/>
    <cellStyle name="제목[1 줄] 5 2 18" xfId="22196"/>
    <cellStyle name="제목[1 줄] 5 2 18 2" xfId="34631"/>
    <cellStyle name="제목[1 줄] 5 2 19" xfId="24527"/>
    <cellStyle name="제목[1 줄] 5 2 19 2" xfId="36958"/>
    <cellStyle name="제목[1 줄] 5 2 2" xfId="16523"/>
    <cellStyle name="제목[1 줄] 5 2 2 2" xfId="29299"/>
    <cellStyle name="제목[1 줄] 5 2 20" xfId="22102"/>
    <cellStyle name="제목[1 줄] 5 2 20 2" xfId="34538"/>
    <cellStyle name="제목[1 줄] 5 2 21" xfId="24736"/>
    <cellStyle name="제목[1 줄] 5 2 21 2" xfId="37167"/>
    <cellStyle name="제목[1 줄] 5 2 22" xfId="24400"/>
    <cellStyle name="제목[1 줄] 5 2 22 2" xfId="36831"/>
    <cellStyle name="제목[1 줄] 5 2 23" xfId="21748"/>
    <cellStyle name="제목[1 줄] 5 2 23 2" xfId="34185"/>
    <cellStyle name="제목[1 줄] 5 2 24" xfId="25214"/>
    <cellStyle name="제목[1 줄] 5 2 3" xfId="16561"/>
    <cellStyle name="제목[1 줄] 5 2 3 2" xfId="29337"/>
    <cellStyle name="제목[1 줄] 5 2 4" xfId="14121"/>
    <cellStyle name="제목[1 줄] 5 2 4 2" xfId="26969"/>
    <cellStyle name="제목[1 줄] 5 2 5" xfId="12825"/>
    <cellStyle name="제목[1 줄] 5 2 5 2" xfId="25701"/>
    <cellStyle name="제목[1 줄] 5 2 6" xfId="14675"/>
    <cellStyle name="제목[1 줄] 5 2 6 2" xfId="27501"/>
    <cellStyle name="제목[1 줄] 5 2 7" xfId="12437"/>
    <cellStyle name="제목[1 줄] 5 2 7 2" xfId="25317"/>
    <cellStyle name="제목[1 줄] 5 2 8" xfId="14051"/>
    <cellStyle name="제목[1 줄] 5 2 8 2" xfId="26900"/>
    <cellStyle name="제목[1 줄] 5 2 9" xfId="18106"/>
    <cellStyle name="제목[1 줄] 5 2 9 2" xfId="30817"/>
    <cellStyle name="제목[1 줄] 6" xfId="10840"/>
    <cellStyle name="제목[1 줄] 6 2" xfId="11359"/>
    <cellStyle name="제목[1 줄] 6 2 10" xfId="15636"/>
    <cellStyle name="제목[1 줄] 6 2 11" xfId="15642"/>
    <cellStyle name="제목[1 줄] 6 2 11 2" xfId="28449"/>
    <cellStyle name="제목[1 줄] 6 2 12" xfId="22992"/>
    <cellStyle name="제목[1 줄] 6 2 12 2" xfId="35425"/>
    <cellStyle name="제목[1 줄] 6 2 13" xfId="21155"/>
    <cellStyle name="제목[1 줄] 6 2 13 2" xfId="33592"/>
    <cellStyle name="제목[1 줄] 6 2 14" xfId="18583"/>
    <cellStyle name="제목[1 줄] 6 2 14 2" xfId="31288"/>
    <cellStyle name="제목[1 줄] 6 2 15" xfId="22394"/>
    <cellStyle name="제목[1 줄] 6 2 15 2" xfId="34828"/>
    <cellStyle name="제목[1 줄] 6 2 16" xfId="21621"/>
    <cellStyle name="제목[1 줄] 6 2 16 2" xfId="34058"/>
    <cellStyle name="제목[1 줄] 6 2 17" xfId="19049"/>
    <cellStyle name="제목[1 줄] 6 2 17 2" xfId="31754"/>
    <cellStyle name="제목[1 줄] 6 2 18" xfId="24000"/>
    <cellStyle name="제목[1 줄] 6 2 18 2" xfId="36431"/>
    <cellStyle name="제목[1 줄] 6 2 19" xfId="24526"/>
    <cellStyle name="제목[1 줄] 6 2 19 2" xfId="36957"/>
    <cellStyle name="제목[1 줄] 6 2 2" xfId="16524"/>
    <cellStyle name="제목[1 줄] 6 2 2 2" xfId="29300"/>
    <cellStyle name="제목[1 줄] 6 2 20" xfId="22277"/>
    <cellStyle name="제목[1 줄] 6 2 20 2" xfId="34712"/>
    <cellStyle name="제목[1 줄] 6 2 21" xfId="24735"/>
    <cellStyle name="제목[1 줄] 6 2 21 2" xfId="37166"/>
    <cellStyle name="제목[1 줄] 6 2 22" xfId="20402"/>
    <cellStyle name="제목[1 줄] 6 2 22 2" xfId="32847"/>
    <cellStyle name="제목[1 줄] 6 2 23" xfId="18757"/>
    <cellStyle name="제목[1 줄] 6 2 23 2" xfId="31462"/>
    <cellStyle name="제목[1 줄] 6 2 24" xfId="25215"/>
    <cellStyle name="제목[1 줄] 6 2 3" xfId="15073"/>
    <cellStyle name="제목[1 줄] 6 2 3 2" xfId="27892"/>
    <cellStyle name="제목[1 줄] 6 2 4" xfId="14321"/>
    <cellStyle name="제목[1 줄] 6 2 4 2" xfId="27154"/>
    <cellStyle name="제목[1 줄] 6 2 5" xfId="12826"/>
    <cellStyle name="제목[1 줄] 6 2 5 2" xfId="25702"/>
    <cellStyle name="제목[1 줄] 6 2 6" xfId="14752"/>
    <cellStyle name="제목[1 줄] 6 2 6 2" xfId="27577"/>
    <cellStyle name="제목[1 줄] 6 2 7" xfId="15607"/>
    <cellStyle name="제목[1 줄] 6 2 7 2" xfId="28416"/>
    <cellStyle name="제목[1 줄] 6 2 8" xfId="17457"/>
    <cellStyle name="제목[1 줄] 6 2 8 2" xfId="30179"/>
    <cellStyle name="제목[1 줄] 6 2 9" xfId="18105"/>
    <cellStyle name="제목[1 줄] 6 2 9 2" xfId="30816"/>
    <cellStyle name="제목[1 줄] 7" xfId="11354"/>
    <cellStyle name="제목[1 줄] 7 10" xfId="15400"/>
    <cellStyle name="제목[1 줄] 7 11" xfId="17187"/>
    <cellStyle name="제목[1 줄] 7 11 2" xfId="29921"/>
    <cellStyle name="제목[1 줄] 7 12" xfId="22987"/>
    <cellStyle name="제목[1 줄] 7 12 2" xfId="35420"/>
    <cellStyle name="제목[1 줄] 7 13" xfId="21160"/>
    <cellStyle name="제목[1 줄] 7 13 2" xfId="33597"/>
    <cellStyle name="제목[1 줄] 7 14" xfId="18578"/>
    <cellStyle name="제목[1 줄] 7 14 2" xfId="31283"/>
    <cellStyle name="제목[1 줄] 7 15" xfId="19228"/>
    <cellStyle name="제목[1 줄] 7 15 2" xfId="31883"/>
    <cellStyle name="제목[1 줄] 7 16" xfId="20765"/>
    <cellStyle name="제목[1 줄] 7 16 2" xfId="33204"/>
    <cellStyle name="제목[1 줄] 7 17" xfId="22450"/>
    <cellStyle name="제목[1 줄] 7 17 2" xfId="34884"/>
    <cellStyle name="제목[1 줄] 7 18" xfId="22197"/>
    <cellStyle name="제목[1 줄] 7 18 2" xfId="34632"/>
    <cellStyle name="제목[1 줄] 7 19" xfId="24531"/>
    <cellStyle name="제목[1 줄] 7 19 2" xfId="36962"/>
    <cellStyle name="제목[1 줄] 7 2" xfId="16519"/>
    <cellStyle name="제목[1 줄] 7 2 2" xfId="29295"/>
    <cellStyle name="제목[1 줄] 7 20" xfId="18309"/>
    <cellStyle name="제목[1 줄] 7 20 2" xfId="31015"/>
    <cellStyle name="제목[1 줄] 7 21" xfId="18394"/>
    <cellStyle name="제목[1 줄] 7 21 2" xfId="31099"/>
    <cellStyle name="제목[1 줄] 7 22" xfId="24398"/>
    <cellStyle name="제목[1 줄] 7 22 2" xfId="36829"/>
    <cellStyle name="제목[1 줄] 7 23" xfId="24020"/>
    <cellStyle name="제목[1 줄] 7 23 2" xfId="36451"/>
    <cellStyle name="제목[1 줄] 7 24" xfId="25210"/>
    <cellStyle name="제목[1 줄] 7 3" xfId="16564"/>
    <cellStyle name="제목[1 줄] 7 3 2" xfId="29340"/>
    <cellStyle name="제목[1 줄] 7 4" xfId="14123"/>
    <cellStyle name="제목[1 줄] 7 4 2" xfId="26971"/>
    <cellStyle name="제목[1 줄] 7 5" xfId="12821"/>
    <cellStyle name="제목[1 줄] 7 5 2" xfId="25697"/>
    <cellStyle name="제목[1 줄] 7 6" xfId="14674"/>
    <cellStyle name="제목[1 줄] 7 6 2" xfId="27500"/>
    <cellStyle name="제목[1 줄] 7 7" xfId="15877"/>
    <cellStyle name="제목[1 줄] 7 7 2" xfId="28675"/>
    <cellStyle name="제목[1 줄] 7 8" xfId="17899"/>
    <cellStyle name="제목[1 줄] 7 8 2" xfId="30613"/>
    <cellStyle name="제목[1 줄] 7 9" xfId="14841"/>
    <cellStyle name="제목[1 줄] 7 9 2" xfId="27664"/>
    <cellStyle name="제목[2줄 아래]" xfId="6064"/>
    <cellStyle name="제목[2줄 위]" xfId="6065"/>
    <cellStyle name="제목[2줄 위] 2" xfId="10841"/>
    <cellStyle name="제목[2줄 위] 2 2" xfId="11361"/>
    <cellStyle name="제목[2줄 위] 2 2 10" xfId="14846"/>
    <cellStyle name="제목[2줄 위] 2 2 10 2" xfId="27669"/>
    <cellStyle name="제목[2줄 위] 2 2 11" xfId="22994"/>
    <cellStyle name="제목[2줄 위] 2 2 11 2" xfId="35427"/>
    <cellStyle name="제목[2줄 위] 2 2 12" xfId="21153"/>
    <cellStyle name="제목[2줄 위] 2 2 12 2" xfId="33590"/>
    <cellStyle name="제목[2줄 위] 2 2 13" xfId="20899"/>
    <cellStyle name="제목[2줄 위] 2 2 13 2" xfId="33336"/>
    <cellStyle name="제목[2줄 위] 2 2 14" xfId="23879"/>
    <cellStyle name="제목[2줄 위] 2 2 14 2" xfId="36310"/>
    <cellStyle name="제목[2줄 위] 2 2 15" xfId="21622"/>
    <cellStyle name="제목[2줄 위] 2 2 15 2" xfId="34059"/>
    <cellStyle name="제목[2줄 위] 2 2 16" xfId="23746"/>
    <cellStyle name="제목[2줄 위] 2 2 16 2" xfId="36177"/>
    <cellStyle name="제목[2줄 위] 2 2 17" xfId="24524"/>
    <cellStyle name="제목[2줄 위] 2 2 17 2" xfId="36955"/>
    <cellStyle name="제목[2줄 위] 2 2 18" xfId="21096"/>
    <cellStyle name="제목[2줄 위] 2 2 18 2" xfId="33533"/>
    <cellStyle name="제목[2줄 위] 2 2 19" xfId="24733"/>
    <cellStyle name="제목[2줄 위] 2 2 19 2" xfId="37164"/>
    <cellStyle name="제목[2줄 위] 2 2 2" xfId="16526"/>
    <cellStyle name="제목[2줄 위] 2 2 2 2" xfId="29302"/>
    <cellStyle name="제목[2줄 위] 2 2 20" xfId="19665"/>
    <cellStyle name="제목[2줄 위] 2 2 20 2" xfId="32119"/>
    <cellStyle name="제목[2줄 위] 2 2 21" xfId="24010"/>
    <cellStyle name="제목[2줄 위] 2 2 21 2" xfId="36441"/>
    <cellStyle name="제목[2줄 위] 2 2 3" xfId="12619"/>
    <cellStyle name="제목[2줄 위] 2 2 3 2" xfId="25498"/>
    <cellStyle name="제목[2줄 위] 2 2 4" xfId="14320"/>
    <cellStyle name="제목[2줄 위] 2 2 4 2" xfId="27153"/>
    <cellStyle name="제목[2줄 위] 2 2 5" xfId="12828"/>
    <cellStyle name="제목[2줄 위] 2 2 5 2" xfId="25704"/>
    <cellStyle name="제목[2줄 위] 2 2 6" xfId="12587"/>
    <cellStyle name="제목[2줄 위] 2 2 6 2" xfId="25466"/>
    <cellStyle name="제목[2줄 위] 2 2 7" xfId="17458"/>
    <cellStyle name="제목[2줄 위] 2 2 7 2" xfId="30180"/>
    <cellStyle name="제목[2줄 위] 2 2 8" xfId="14510"/>
    <cellStyle name="제목[2줄 위] 2 2 8 2" xfId="27338"/>
    <cellStyle name="제목[2줄 위] 2 2 9" xfId="18103"/>
    <cellStyle name="제목[2줄 위] 2 2 9 2" xfId="30814"/>
    <cellStyle name="제목[2줄 위] 2 3" xfId="15548"/>
    <cellStyle name="제목[2줄 위] 2 3 2" xfId="28357"/>
    <cellStyle name="제목[2줄 위] 3" xfId="10842"/>
    <cellStyle name="제목[2줄 위] 3 2" xfId="11362"/>
    <cellStyle name="제목[2줄 위] 3 2 10" xfId="15302"/>
    <cellStyle name="제목[2줄 위] 3 2 10 2" xfId="28119"/>
    <cellStyle name="제목[2줄 위] 3 2 11" xfId="22995"/>
    <cellStyle name="제목[2줄 위] 3 2 11 2" xfId="35428"/>
    <cellStyle name="제목[2줄 위] 3 2 12" xfId="21152"/>
    <cellStyle name="제목[2줄 위] 3 2 12 2" xfId="33589"/>
    <cellStyle name="제목[2줄 위] 3 2 13" xfId="20898"/>
    <cellStyle name="제목[2줄 위] 3 2 13 2" xfId="33335"/>
    <cellStyle name="제목[2줄 위] 3 2 14" xfId="23878"/>
    <cellStyle name="제목[2줄 위] 3 2 14 2" xfId="36309"/>
    <cellStyle name="제목[2줄 위] 3 2 15" xfId="20769"/>
    <cellStyle name="제목[2줄 위] 3 2 15 2" xfId="33208"/>
    <cellStyle name="제목[2줄 위] 3 2 16" xfId="20112"/>
    <cellStyle name="제목[2줄 위] 3 2 16 2" xfId="32558"/>
    <cellStyle name="제목[2줄 위] 3 2 17" xfId="24523"/>
    <cellStyle name="제목[2줄 위] 3 2 17 2" xfId="36954"/>
    <cellStyle name="제목[2줄 위] 3 2 18" xfId="22101"/>
    <cellStyle name="제목[2줄 위] 3 2 18 2" xfId="34537"/>
    <cellStyle name="제목[2줄 위] 3 2 19" xfId="24732"/>
    <cellStyle name="제목[2줄 위] 3 2 19 2" xfId="37163"/>
    <cellStyle name="제목[2줄 위] 3 2 2" xfId="16527"/>
    <cellStyle name="제목[2줄 위] 3 2 2 2" xfId="29303"/>
    <cellStyle name="제목[2줄 위] 3 2 20" xfId="24402"/>
    <cellStyle name="제목[2줄 위] 3 2 20 2" xfId="36833"/>
    <cellStyle name="제목[2줄 위] 3 2 21" xfId="22271"/>
    <cellStyle name="제목[2줄 위] 3 2 21 2" xfId="34706"/>
    <cellStyle name="제목[2줄 위] 3 2 3" xfId="12620"/>
    <cellStyle name="제목[2줄 위] 3 2 3 2" xfId="25499"/>
    <cellStyle name="제목[2줄 위] 3 2 4" xfId="14119"/>
    <cellStyle name="제목[2줄 위] 3 2 4 2" xfId="26967"/>
    <cellStyle name="제목[2줄 위] 3 2 5" xfId="12829"/>
    <cellStyle name="제목[2줄 위] 3 2 5 2" xfId="25705"/>
    <cellStyle name="제목[2줄 위] 3 2 6" xfId="14676"/>
    <cellStyle name="제목[2줄 위] 3 2 6 2" xfId="27502"/>
    <cellStyle name="제목[2줄 위] 3 2 7" xfId="17459"/>
    <cellStyle name="제목[2줄 위] 3 2 7 2" xfId="30181"/>
    <cellStyle name="제목[2줄 위] 3 2 8" xfId="14095"/>
    <cellStyle name="제목[2줄 위] 3 2 8 2" xfId="26943"/>
    <cellStyle name="제목[2줄 위] 3 2 9" xfId="18102"/>
    <cellStyle name="제목[2줄 위] 3 2 9 2" xfId="30813"/>
    <cellStyle name="제목[2줄 위] 3 3" xfId="15396"/>
    <cellStyle name="제목[2줄 위] 3 3 2" xfId="28211"/>
    <cellStyle name="제목[2줄 위] 4" xfId="10843"/>
    <cellStyle name="제목[2줄 위] 4 2" xfId="11363"/>
    <cellStyle name="제목[2줄 위] 4 2 10" xfId="18044"/>
    <cellStyle name="제목[2줄 위] 4 2 10 2" xfId="30755"/>
    <cellStyle name="제목[2줄 위] 4 2 11" xfId="22996"/>
    <cellStyle name="제목[2줄 위] 4 2 11 2" xfId="35429"/>
    <cellStyle name="제목[2줄 위] 4 2 12" xfId="21151"/>
    <cellStyle name="제목[2줄 위] 4 2 12 2" xfId="33588"/>
    <cellStyle name="제목[2줄 위] 4 2 13" xfId="20388"/>
    <cellStyle name="제목[2줄 위] 4 2 13 2" xfId="32833"/>
    <cellStyle name="제목[2줄 위] 4 2 14" xfId="23877"/>
    <cellStyle name="제목[2줄 위] 4 2 14 2" xfId="36308"/>
    <cellStyle name="제목[2줄 위] 4 2 15" xfId="21623"/>
    <cellStyle name="제목[2줄 위] 4 2 15 2" xfId="34060"/>
    <cellStyle name="제목[2줄 위] 4 2 16" xfId="23747"/>
    <cellStyle name="제목[2줄 위] 4 2 16 2" xfId="36178"/>
    <cellStyle name="제목[2줄 위] 4 2 17" xfId="24522"/>
    <cellStyle name="제목[2줄 위] 4 2 17 2" xfId="36953"/>
    <cellStyle name="제목[2줄 위] 4 2 18" xfId="23579"/>
    <cellStyle name="제목[2줄 위] 4 2 18 2" xfId="36010"/>
    <cellStyle name="제목[2줄 위] 4 2 19" xfId="24026"/>
    <cellStyle name="제목[2줄 위] 4 2 19 2" xfId="36457"/>
    <cellStyle name="제목[2줄 위] 4 2 2" xfId="16528"/>
    <cellStyle name="제목[2줄 위] 4 2 2 2" xfId="29304"/>
    <cellStyle name="제목[2줄 위] 4 2 20" xfId="21818"/>
    <cellStyle name="제목[2줄 위] 4 2 20 2" xfId="34255"/>
    <cellStyle name="제목[2줄 위] 4 2 21" xfId="22306"/>
    <cellStyle name="제목[2줄 위] 4 2 21 2" xfId="34740"/>
    <cellStyle name="제목[2줄 위] 4 2 3" xfId="12621"/>
    <cellStyle name="제목[2줄 위] 4 2 3 2" xfId="25500"/>
    <cellStyle name="제목[2줄 위] 4 2 4" xfId="14319"/>
    <cellStyle name="제목[2줄 위] 4 2 4 2" xfId="27152"/>
    <cellStyle name="제목[2줄 위] 4 2 5" xfId="12830"/>
    <cellStyle name="제목[2줄 위] 4 2 5 2" xfId="25706"/>
    <cellStyle name="제목[2줄 위] 4 2 6" xfId="14753"/>
    <cellStyle name="제목[2줄 위] 4 2 6 2" xfId="27578"/>
    <cellStyle name="제목[2줄 위] 4 2 7" xfId="14263"/>
    <cellStyle name="제목[2줄 위] 4 2 7 2" xfId="27099"/>
    <cellStyle name="제목[2줄 위] 4 2 8" xfId="17838"/>
    <cellStyle name="제목[2줄 위] 4 2 8 2" xfId="30554"/>
    <cellStyle name="제목[2줄 위] 4 2 9" xfId="18101"/>
    <cellStyle name="제목[2줄 위] 4 2 9 2" xfId="30812"/>
    <cellStyle name="제목[2줄 위] 4 3" xfId="16584"/>
    <cellStyle name="제목[2줄 위] 4 3 2" xfId="29360"/>
    <cellStyle name="제목[2줄 위] 5" xfId="10844"/>
    <cellStyle name="제목[2줄 위] 5 2" xfId="11364"/>
    <cellStyle name="제목[2줄 위] 5 2 10" xfId="15376"/>
    <cellStyle name="제목[2줄 위] 5 2 10 2" xfId="28193"/>
    <cellStyle name="제목[2줄 위] 5 2 11" xfId="22997"/>
    <cellStyle name="제목[2줄 위] 5 2 11 2" xfId="35430"/>
    <cellStyle name="제목[2줄 위] 5 2 12" xfId="21150"/>
    <cellStyle name="제목[2줄 위] 5 2 12 2" xfId="33587"/>
    <cellStyle name="제목[2줄 위] 5 2 13" xfId="20140"/>
    <cellStyle name="제목[2줄 위] 5 2 13 2" xfId="32586"/>
    <cellStyle name="제목[2줄 위] 5 2 14" xfId="23876"/>
    <cellStyle name="제목[2줄 위] 5 2 14 2" xfId="36307"/>
    <cellStyle name="제목[2줄 위] 5 2 15" xfId="20770"/>
    <cellStyle name="제목[2줄 위] 5 2 15 2" xfId="33209"/>
    <cellStyle name="제목[2줄 위] 5 2 16" xfId="23146"/>
    <cellStyle name="제목[2줄 위] 5 2 16 2" xfId="35579"/>
    <cellStyle name="제목[2줄 위] 5 2 17" xfId="24521"/>
    <cellStyle name="제목[2줄 위] 5 2 17 2" xfId="36952"/>
    <cellStyle name="제목[2줄 위] 5 2 18" xfId="22100"/>
    <cellStyle name="제목[2줄 위] 5 2 18 2" xfId="34536"/>
    <cellStyle name="제목[2줄 위] 5 2 19" xfId="18883"/>
    <cellStyle name="제목[2줄 위] 5 2 19 2" xfId="31588"/>
    <cellStyle name="제목[2줄 위] 5 2 2" xfId="16529"/>
    <cellStyle name="제목[2줄 위] 5 2 2 2" xfId="29305"/>
    <cellStyle name="제목[2줄 위] 5 2 20" xfId="24403"/>
    <cellStyle name="제목[2줄 위] 5 2 20 2" xfId="36834"/>
    <cellStyle name="제목[2줄 위] 5 2 21" xfId="22206"/>
    <cellStyle name="제목[2줄 위] 5 2 21 2" xfId="34641"/>
    <cellStyle name="제목[2줄 위] 5 2 3" xfId="12622"/>
    <cellStyle name="제목[2줄 위] 5 2 3 2" xfId="25501"/>
    <cellStyle name="제목[2줄 위] 5 2 4" xfId="14118"/>
    <cellStyle name="제목[2줄 위] 5 2 4 2" xfId="26966"/>
    <cellStyle name="제목[2줄 위] 5 2 5" xfId="12831"/>
    <cellStyle name="제목[2줄 위] 5 2 5 2" xfId="25707"/>
    <cellStyle name="제목[2줄 위] 5 2 6" xfId="15294"/>
    <cellStyle name="제목[2줄 위] 5 2 6 2" xfId="28111"/>
    <cellStyle name="제목[2줄 위] 5 2 7" xfId="17897"/>
    <cellStyle name="제목[2줄 위] 5 2 7 2" xfId="30611"/>
    <cellStyle name="제목[2줄 위] 5 2 8" xfId="14562"/>
    <cellStyle name="제목[2줄 위] 5 2 8 2" xfId="27390"/>
    <cellStyle name="제목[2줄 위] 5 2 9" xfId="15693"/>
    <cellStyle name="제목[2줄 위] 5 2 9 2" xfId="28493"/>
    <cellStyle name="제목[2줄 위] 5 3" xfId="15079"/>
    <cellStyle name="제목[2줄 위] 5 3 2" xfId="27898"/>
    <cellStyle name="제목[2줄 위] 6" xfId="10845"/>
    <cellStyle name="제목[2줄 위] 6 2" xfId="11365"/>
    <cellStyle name="제목[2줄 위] 6 2 10" xfId="15583"/>
    <cellStyle name="제목[2줄 위] 6 2 10 2" xfId="28392"/>
    <cellStyle name="제목[2줄 위] 6 2 11" xfId="22998"/>
    <cellStyle name="제목[2줄 위] 6 2 11 2" xfId="35431"/>
    <cellStyle name="제목[2줄 위] 6 2 12" xfId="21149"/>
    <cellStyle name="제목[2줄 위] 6 2 12 2" xfId="33586"/>
    <cellStyle name="제목[2줄 위] 6 2 13" xfId="20387"/>
    <cellStyle name="제목[2줄 위] 6 2 13 2" xfId="32832"/>
    <cellStyle name="제목[2줄 위] 6 2 14" xfId="23875"/>
    <cellStyle name="제목[2줄 위] 6 2 14 2" xfId="36306"/>
    <cellStyle name="제목[2줄 위] 6 2 15" xfId="21624"/>
    <cellStyle name="제목[2줄 위] 6 2 15 2" xfId="34061"/>
    <cellStyle name="제목[2줄 위] 6 2 16" xfId="23748"/>
    <cellStyle name="제목[2줄 위] 6 2 16 2" xfId="36179"/>
    <cellStyle name="제목[2줄 위] 6 2 17" xfId="24520"/>
    <cellStyle name="제목[2줄 위] 6 2 17 2" xfId="36951"/>
    <cellStyle name="제목[2줄 위] 6 2 18" xfId="19061"/>
    <cellStyle name="제목[2줄 위] 6 2 18 2" xfId="31766"/>
    <cellStyle name="제목[2줄 위] 6 2 19" xfId="24036"/>
    <cellStyle name="제목[2줄 위] 6 2 19 2" xfId="36467"/>
    <cellStyle name="제목[2줄 위] 6 2 2" xfId="16530"/>
    <cellStyle name="제목[2줄 위] 6 2 2 2" xfId="29306"/>
    <cellStyle name="제목[2줄 위] 6 2 20" xfId="21964"/>
    <cellStyle name="제목[2줄 위] 6 2 20 2" xfId="34401"/>
    <cellStyle name="제목[2줄 위] 6 2 21" xfId="21947"/>
    <cellStyle name="제목[2줄 위] 6 2 21 2" xfId="34384"/>
    <cellStyle name="제목[2줄 위] 6 2 3" xfId="12623"/>
    <cellStyle name="제목[2줄 위] 6 2 3 2" xfId="25502"/>
    <cellStyle name="제목[2줄 위] 6 2 4" xfId="14318"/>
    <cellStyle name="제목[2줄 위] 6 2 4 2" xfId="27151"/>
    <cellStyle name="제목[2줄 위] 6 2 5" xfId="12832"/>
    <cellStyle name="제목[2줄 위] 6 2 5 2" xfId="25708"/>
    <cellStyle name="제목[2줄 위] 6 2 6" xfId="12588"/>
    <cellStyle name="제목[2줄 위] 6 2 6 2" xfId="25467"/>
    <cellStyle name="제목[2줄 위] 6 2 7" xfId="17460"/>
    <cellStyle name="제목[2줄 위] 6 2 7 2" xfId="30182"/>
    <cellStyle name="제목[2줄 위] 6 2 8" xfId="17837"/>
    <cellStyle name="제목[2줄 위] 6 2 8 2" xfId="30553"/>
    <cellStyle name="제목[2줄 위] 6 2 9" xfId="16933"/>
    <cellStyle name="제목[2줄 위] 6 2 9 2" xfId="29708"/>
    <cellStyle name="제목[2줄 위] 6 3" xfId="17067"/>
    <cellStyle name="제목[2줄 위] 6 3 2" xfId="29803"/>
    <cellStyle name="제목[2줄 위] 7" xfId="10846"/>
    <cellStyle name="제목[2줄 위] 7 2" xfId="11366"/>
    <cellStyle name="제목[2줄 위] 7 2 10" xfId="14678"/>
    <cellStyle name="제목[2줄 위] 7 2 10 2" xfId="27504"/>
    <cellStyle name="제목[2줄 위] 7 2 11" xfId="22999"/>
    <cellStyle name="제목[2줄 위] 7 2 11 2" xfId="35432"/>
    <cellStyle name="제목[2줄 위] 7 2 12" xfId="21148"/>
    <cellStyle name="제목[2줄 위] 7 2 12 2" xfId="33585"/>
    <cellStyle name="제목[2줄 위] 7 2 13" xfId="20139"/>
    <cellStyle name="제목[2줄 위] 7 2 13 2" xfId="32585"/>
    <cellStyle name="제목[2줄 위] 7 2 14" xfId="23874"/>
    <cellStyle name="제목[2줄 위] 7 2 14 2" xfId="36305"/>
    <cellStyle name="제목[2줄 위] 7 2 15" xfId="20771"/>
    <cellStyle name="제목[2줄 위] 7 2 15 2" xfId="33210"/>
    <cellStyle name="제목[2줄 위] 7 2 16" xfId="20642"/>
    <cellStyle name="제목[2줄 위] 7 2 16 2" xfId="33086"/>
    <cellStyle name="제목[2줄 위] 7 2 17" xfId="23408"/>
    <cellStyle name="제목[2줄 위] 7 2 17 2" xfId="35839"/>
    <cellStyle name="제목[2줄 위] 7 2 18" xfId="22364"/>
    <cellStyle name="제목[2줄 위] 7 2 18 2" xfId="34798"/>
    <cellStyle name="제목[2줄 위] 7 2 19" xfId="23815"/>
    <cellStyle name="제목[2줄 위] 7 2 19 2" xfId="36246"/>
    <cellStyle name="제목[2줄 위] 7 2 2" xfId="16531"/>
    <cellStyle name="제목[2줄 위] 7 2 2 2" xfId="29307"/>
    <cellStyle name="제목[2줄 위] 7 2 20" xfId="24404"/>
    <cellStyle name="제목[2줄 위] 7 2 20 2" xfId="36835"/>
    <cellStyle name="제목[2줄 위] 7 2 21" xfId="24019"/>
    <cellStyle name="제목[2줄 위] 7 2 21 2" xfId="36450"/>
    <cellStyle name="제목[2줄 위] 7 2 3" xfId="12624"/>
    <cellStyle name="제목[2줄 위] 7 2 3 2" xfId="25503"/>
    <cellStyle name="제목[2줄 위] 7 2 4" xfId="14117"/>
    <cellStyle name="제목[2줄 위] 7 2 4 2" xfId="26965"/>
    <cellStyle name="제목[2줄 위] 7 2 5" xfId="12833"/>
    <cellStyle name="제목[2줄 위] 7 2 5 2" xfId="25709"/>
    <cellStyle name="제목[2줄 위] 7 2 6" xfId="15795"/>
    <cellStyle name="제목[2줄 위] 7 2 6 2" xfId="28594"/>
    <cellStyle name="제목[2줄 위] 7 2 7" xfId="17411"/>
    <cellStyle name="제목[2줄 위] 7 2 7 2" xfId="30139"/>
    <cellStyle name="제목[2줄 위] 7 2 8" xfId="15988"/>
    <cellStyle name="제목[2줄 위] 7 2 8 2" xfId="28786"/>
    <cellStyle name="제목[2줄 위] 7 2 9" xfId="15692"/>
    <cellStyle name="제목[2줄 위] 7 2 9 2" xfId="28492"/>
    <cellStyle name="제목[2줄 위] 7 3" xfId="15397"/>
    <cellStyle name="제목[2줄 위] 7 3 2" xfId="28212"/>
    <cellStyle name="제목[2줄 위] 8" xfId="11360"/>
    <cellStyle name="제목[2줄 위] 8 10" xfId="17188"/>
    <cellStyle name="제목[2줄 위] 8 10 2" xfId="29922"/>
    <cellStyle name="제목[2줄 위] 8 11" xfId="22993"/>
    <cellStyle name="제목[2줄 위] 8 11 2" xfId="35426"/>
    <cellStyle name="제목[2줄 위] 8 12" xfId="21154"/>
    <cellStyle name="제목[2줄 위] 8 12 2" xfId="33591"/>
    <cellStyle name="제목[2줄 위] 8 13" xfId="20900"/>
    <cellStyle name="제목[2줄 위] 8 13 2" xfId="33337"/>
    <cellStyle name="제목[2줄 위] 8 14" xfId="23880"/>
    <cellStyle name="제목[2줄 위] 8 14 2" xfId="36311"/>
    <cellStyle name="제목[2줄 위] 8 15" xfId="20768"/>
    <cellStyle name="제목[2줄 위] 8 15 2" xfId="33207"/>
    <cellStyle name="제목[2줄 위] 8 16" xfId="20643"/>
    <cellStyle name="제목[2줄 위] 8 16 2" xfId="33087"/>
    <cellStyle name="제목[2줄 위] 8 17" xfId="24525"/>
    <cellStyle name="제목[2줄 위] 8 17 2" xfId="36956"/>
    <cellStyle name="제목[2줄 위] 8 18" xfId="23459"/>
    <cellStyle name="제목[2줄 위] 8 18 2" xfId="35890"/>
    <cellStyle name="제목[2줄 위] 8 19" xfId="24734"/>
    <cellStyle name="제목[2줄 위] 8 19 2" xfId="37165"/>
    <cellStyle name="제목[2줄 위] 8 2" xfId="16525"/>
    <cellStyle name="제목[2줄 위] 8 2 2" xfId="29301"/>
    <cellStyle name="제목[2줄 위] 8 20" xfId="24401"/>
    <cellStyle name="제목[2줄 위] 8 20 2" xfId="36832"/>
    <cellStyle name="제목[2줄 위] 8 21" xfId="22205"/>
    <cellStyle name="제목[2줄 위] 8 21 2" xfId="34640"/>
    <cellStyle name="제목[2줄 위] 8 3" xfId="12618"/>
    <cellStyle name="제목[2줄 위] 8 3 2" xfId="25497"/>
    <cellStyle name="제목[2줄 위] 8 4" xfId="14120"/>
    <cellStyle name="제목[2줄 위] 8 4 2" xfId="26968"/>
    <cellStyle name="제목[2줄 위] 8 5" xfId="12827"/>
    <cellStyle name="제목[2줄 위] 8 5 2" xfId="25703"/>
    <cellStyle name="제목[2줄 위] 8 6" xfId="15794"/>
    <cellStyle name="제목[2줄 위] 8 6 2" xfId="28593"/>
    <cellStyle name="제목[2줄 위] 8 7" xfId="17898"/>
    <cellStyle name="제목[2줄 위] 8 7 2" xfId="30612"/>
    <cellStyle name="제목[2줄 위] 8 8" xfId="14647"/>
    <cellStyle name="제목[2줄 위] 8 8 2" xfId="27473"/>
    <cellStyle name="제목[2줄 위] 8 9" xfId="18104"/>
    <cellStyle name="제목[2줄 위] 8 9 2" xfId="30815"/>
    <cellStyle name="제목[2줄 위] 9" xfId="17714"/>
    <cellStyle name="제목[2줄 위] 9 2" xfId="30431"/>
    <cellStyle name="제목1" xfId="6066"/>
    <cellStyle name="제목1 2" xfId="11367"/>
    <cellStyle name="좋음 2" xfId="6067"/>
    <cellStyle name="좋음 3" xfId="12096"/>
    <cellStyle name="좋음 4" xfId="12097"/>
    <cellStyle name="좋음 5" xfId="12098"/>
    <cellStyle name="좋음 6" xfId="12099"/>
    <cellStyle name="좋음 7" xfId="12100"/>
    <cellStyle name="좋음 8" xfId="12101"/>
    <cellStyle name="좌괄호_박심배수구조물공" xfId="6068"/>
    <cellStyle name="좌측양괄호" xfId="6069"/>
    <cellStyle name="ܸ준" xfId="12102"/>
    <cellStyle name="지정되지 않음" xfId="3471"/>
    <cellStyle name="지하철정렬" xfId="10847"/>
    <cellStyle name="출력 2" xfId="6070"/>
    <cellStyle name="출력 2 2" xfId="11397"/>
    <cellStyle name="출력 2 2 10" xfId="14021"/>
    <cellStyle name="출력 2 2 10 2" xfId="26872"/>
    <cellStyle name="출력 2 2 11" xfId="18040"/>
    <cellStyle name="출력 2 2 11 2" xfId="30751"/>
    <cellStyle name="출력 2 2 12" xfId="23019"/>
    <cellStyle name="출력 2 2 12 2" xfId="35452"/>
    <cellStyle name="출력 2 2 13" xfId="21123"/>
    <cellStyle name="출력 2 2 13 2" xfId="33560"/>
    <cellStyle name="출력 2 2 14" xfId="20379"/>
    <cellStyle name="출력 2 2 14 2" xfId="32824"/>
    <cellStyle name="출력 2 2 15" xfId="20311"/>
    <cellStyle name="출력 2 2 15 2" xfId="32756"/>
    <cellStyle name="출력 2 2 16" xfId="20781"/>
    <cellStyle name="출력 2 2 16 2" xfId="33220"/>
    <cellStyle name="출력 2 2 17" xfId="24215"/>
    <cellStyle name="출력 2 2 17 2" xfId="36646"/>
    <cellStyle name="출력 2 2 18" xfId="18762"/>
    <cellStyle name="출력 2 2 18 2" xfId="31467"/>
    <cellStyle name="출력 2 2 19" xfId="23228"/>
    <cellStyle name="출력 2 2 19 2" xfId="35661"/>
    <cellStyle name="출력 2 2 2" xfId="16553"/>
    <cellStyle name="출력 2 2 2 2" xfId="29329"/>
    <cellStyle name="출력 2 2 20" xfId="23716"/>
    <cellStyle name="출력 2 2 20 2" xfId="36147"/>
    <cellStyle name="출력 2 2 21" xfId="20040"/>
    <cellStyle name="출력 2 2 21 2" xfId="32486"/>
    <cellStyle name="출력 2 2 22" xfId="20401"/>
    <cellStyle name="출력 2 2 22 2" xfId="32846"/>
    <cellStyle name="출력 2 2 23" xfId="18990"/>
    <cellStyle name="출력 2 2 23 2" xfId="31695"/>
    <cellStyle name="출력 2 2 24" xfId="25232"/>
    <cellStyle name="출력 2 2 3" xfId="12638"/>
    <cellStyle name="출력 2 2 3 2" xfId="25517"/>
    <cellStyle name="출력 2 2 4" xfId="14107"/>
    <cellStyle name="출력 2 2 4 2" xfId="26955"/>
    <cellStyle name="출력 2 2 5" xfId="12853"/>
    <cellStyle name="출력 2 2 5 2" xfId="25729"/>
    <cellStyle name="출력 2 2 6" xfId="12873"/>
    <cellStyle name="출력 2 2 6 2" xfId="25749"/>
    <cellStyle name="출력 2 2 7" xfId="15172"/>
    <cellStyle name="출력 2 2 7 2" xfId="27991"/>
    <cellStyle name="출력 2 2 8" xfId="15573"/>
    <cellStyle name="출력 2 2 8 2" xfId="28382"/>
    <cellStyle name="출력 2 2 9" xfId="16175"/>
    <cellStyle name="출력 2 2 9 2" xfId="28952"/>
    <cellStyle name="출력 3" xfId="12103"/>
    <cellStyle name="출력 3 10" xfId="18227"/>
    <cellStyle name="출력 3 10 2" xfId="30934"/>
    <cellStyle name="출력 3 11" xfId="18241"/>
    <cellStyle name="출력 3 11 2" xfId="30948"/>
    <cellStyle name="출력 3 12" xfId="23368"/>
    <cellStyle name="출력 3 12 2" xfId="35800"/>
    <cellStyle name="출력 3 13" xfId="23616"/>
    <cellStyle name="출력 3 13 2" xfId="36047"/>
    <cellStyle name="출력 3 14" xfId="23831"/>
    <cellStyle name="출력 3 14 2" xfId="36262"/>
    <cellStyle name="출력 3 15" xfId="22353"/>
    <cellStyle name="출력 3 15 2" xfId="34787"/>
    <cellStyle name="출력 3 16" xfId="23378"/>
    <cellStyle name="출력 3 16 2" xfId="35810"/>
    <cellStyle name="출력 3 17" xfId="24501"/>
    <cellStyle name="출력 3 17 2" xfId="36932"/>
    <cellStyle name="출력 3 18" xfId="19876"/>
    <cellStyle name="출력 3 18 2" xfId="32326"/>
    <cellStyle name="출력 3 19" xfId="24827"/>
    <cellStyle name="출력 3 19 2" xfId="37258"/>
    <cellStyle name="출력 3 2" xfId="16924"/>
    <cellStyle name="출력 3 2 2" xfId="29699"/>
    <cellStyle name="출력 3 20" xfId="24873"/>
    <cellStyle name="출력 3 20 2" xfId="37304"/>
    <cellStyle name="출력 3 21" xfId="24984"/>
    <cellStyle name="출력 3 21 2" xfId="37415"/>
    <cellStyle name="출력 3 22" xfId="25075"/>
    <cellStyle name="출력 3 22 2" xfId="37506"/>
    <cellStyle name="출력 3 23" xfId="25096"/>
    <cellStyle name="출력 3 23 2" xfId="37527"/>
    <cellStyle name="출력 3 24" xfId="25259"/>
    <cellStyle name="출력 3 3" xfId="17239"/>
    <cellStyle name="출력 3 3 2" xfId="29973"/>
    <cellStyle name="출력 3 4" xfId="14804"/>
    <cellStyle name="출력 3 4 2" xfId="27627"/>
    <cellStyle name="출력 3 5" xfId="17702"/>
    <cellStyle name="출력 3 5 2" xfId="30419"/>
    <cellStyle name="출력 3 6" xfId="17851"/>
    <cellStyle name="출력 3 6 2" xfId="30567"/>
    <cellStyle name="출력 3 7" xfId="17904"/>
    <cellStyle name="출력 3 7 2" xfId="30618"/>
    <cellStyle name="출력 3 8" xfId="18088"/>
    <cellStyle name="출력 3 8 2" xfId="30799"/>
    <cellStyle name="출력 3 9" xfId="18205"/>
    <cellStyle name="출력 3 9 2" xfId="30912"/>
    <cellStyle name="출력 4" xfId="12104"/>
    <cellStyle name="출력 4 10" xfId="18228"/>
    <cellStyle name="출력 4 10 2" xfId="30935"/>
    <cellStyle name="출력 4 11" xfId="18242"/>
    <cellStyle name="출력 4 11 2" xfId="30949"/>
    <cellStyle name="출력 4 12" xfId="23369"/>
    <cellStyle name="출력 4 12 2" xfId="35801"/>
    <cellStyle name="출력 4 13" xfId="23617"/>
    <cellStyle name="출력 4 13 2" xfId="36048"/>
    <cellStyle name="출력 4 14" xfId="23832"/>
    <cellStyle name="출력 4 14 2" xfId="36263"/>
    <cellStyle name="출력 4 15" xfId="19512"/>
    <cellStyle name="출력 4 15 2" xfId="31967"/>
    <cellStyle name="출력 4 16" xfId="23512"/>
    <cellStyle name="출력 4 16 2" xfId="35943"/>
    <cellStyle name="출력 4 17" xfId="24502"/>
    <cellStyle name="출력 4 17 2" xfId="36933"/>
    <cellStyle name="출력 4 18" xfId="21091"/>
    <cellStyle name="출력 4 18 2" xfId="33528"/>
    <cellStyle name="출력 4 19" xfId="24828"/>
    <cellStyle name="출력 4 19 2" xfId="37259"/>
    <cellStyle name="출력 4 2" xfId="16925"/>
    <cellStyle name="출력 4 2 2" xfId="29700"/>
    <cellStyle name="출력 4 20" xfId="24874"/>
    <cellStyle name="출력 4 20 2" xfId="37305"/>
    <cellStyle name="출력 4 21" xfId="24985"/>
    <cellStyle name="출력 4 21 2" xfId="37416"/>
    <cellStyle name="출력 4 22" xfId="25076"/>
    <cellStyle name="출력 4 22 2" xfId="37507"/>
    <cellStyle name="출력 4 23" xfId="25097"/>
    <cellStyle name="출력 4 23 2" xfId="37528"/>
    <cellStyle name="출력 4 24" xfId="25260"/>
    <cellStyle name="출력 4 3" xfId="17240"/>
    <cellStyle name="출력 4 3 2" xfId="29974"/>
    <cellStyle name="출력 4 4" xfId="14803"/>
    <cellStyle name="출력 4 4 2" xfId="27626"/>
    <cellStyle name="출력 4 5" xfId="17703"/>
    <cellStyle name="출력 4 5 2" xfId="30420"/>
    <cellStyle name="출력 4 6" xfId="17852"/>
    <cellStyle name="출력 4 6 2" xfId="30568"/>
    <cellStyle name="출력 4 7" xfId="12876"/>
    <cellStyle name="출력 4 7 2" xfId="25752"/>
    <cellStyle name="출력 4 8" xfId="18089"/>
    <cellStyle name="출력 4 8 2" xfId="30800"/>
    <cellStyle name="출력 4 9" xfId="18206"/>
    <cellStyle name="출력 4 9 2" xfId="30913"/>
    <cellStyle name="출력 5" xfId="12105"/>
    <cellStyle name="출력 5 10" xfId="18229"/>
    <cellStyle name="출력 5 10 2" xfId="30936"/>
    <cellStyle name="출력 5 11" xfId="18243"/>
    <cellStyle name="출력 5 11 2" xfId="30950"/>
    <cellStyle name="출력 5 12" xfId="23370"/>
    <cellStyle name="출력 5 12 2" xfId="35802"/>
    <cellStyle name="출력 5 13" xfId="23618"/>
    <cellStyle name="출력 5 13 2" xfId="36049"/>
    <cellStyle name="출력 5 14" xfId="23833"/>
    <cellStyle name="출력 5 14 2" xfId="36264"/>
    <cellStyle name="출력 5 15" xfId="22354"/>
    <cellStyle name="출력 5 15 2" xfId="34788"/>
    <cellStyle name="출력 5 16" xfId="19972"/>
    <cellStyle name="출력 5 16 2" xfId="32420"/>
    <cellStyle name="출력 5 17" xfId="24503"/>
    <cellStyle name="출력 5 17 2" xfId="36934"/>
    <cellStyle name="출력 5 18" xfId="22193"/>
    <cellStyle name="출력 5 18 2" xfId="34628"/>
    <cellStyle name="출력 5 19" xfId="24829"/>
    <cellStyle name="출력 5 19 2" xfId="37260"/>
    <cellStyle name="출력 5 2" xfId="16926"/>
    <cellStyle name="출력 5 2 2" xfId="29701"/>
    <cellStyle name="출력 5 20" xfId="24875"/>
    <cellStyle name="출력 5 20 2" xfId="37306"/>
    <cellStyle name="출력 5 21" xfId="24986"/>
    <cellStyle name="출력 5 21 2" xfId="37417"/>
    <cellStyle name="출력 5 22" xfId="25077"/>
    <cellStyle name="출력 5 22 2" xfId="37508"/>
    <cellStyle name="출력 5 23" xfId="25098"/>
    <cellStyle name="출력 5 23 2" xfId="37529"/>
    <cellStyle name="출력 5 24" xfId="25261"/>
    <cellStyle name="출력 5 3" xfId="17241"/>
    <cellStyle name="출력 5 3 2" xfId="29975"/>
    <cellStyle name="출력 5 4" xfId="14802"/>
    <cellStyle name="출력 5 4 2" xfId="27625"/>
    <cellStyle name="출력 5 5" xfId="17704"/>
    <cellStyle name="출력 5 5 2" xfId="30421"/>
    <cellStyle name="출력 5 6" xfId="17853"/>
    <cellStyle name="출력 5 6 2" xfId="30569"/>
    <cellStyle name="출력 5 7" xfId="15603"/>
    <cellStyle name="출력 5 7 2" xfId="28412"/>
    <cellStyle name="출력 5 8" xfId="18090"/>
    <cellStyle name="출력 5 8 2" xfId="30801"/>
    <cellStyle name="출력 5 9" xfId="18207"/>
    <cellStyle name="출력 5 9 2" xfId="30914"/>
    <cellStyle name="출력 6" xfId="12106"/>
    <cellStyle name="출력 6 10" xfId="18230"/>
    <cellStyle name="출력 6 10 2" xfId="30937"/>
    <cellStyle name="출력 6 11" xfId="18244"/>
    <cellStyle name="출력 6 11 2" xfId="30951"/>
    <cellStyle name="출력 6 12" xfId="23371"/>
    <cellStyle name="출력 6 12 2" xfId="35803"/>
    <cellStyle name="출력 6 13" xfId="23619"/>
    <cellStyle name="출력 6 13 2" xfId="36050"/>
    <cellStyle name="출력 6 14" xfId="23834"/>
    <cellStyle name="출력 6 14 2" xfId="36265"/>
    <cellStyle name="출력 6 15" xfId="19513"/>
    <cellStyle name="출력 6 15 2" xfId="31968"/>
    <cellStyle name="출력 6 16" xfId="23511"/>
    <cellStyle name="출력 6 16 2" xfId="35942"/>
    <cellStyle name="출력 6 17" xfId="24504"/>
    <cellStyle name="출력 6 17 2" xfId="36935"/>
    <cellStyle name="출력 6 18" xfId="22213"/>
    <cellStyle name="출력 6 18 2" xfId="34648"/>
    <cellStyle name="출력 6 19" xfId="24830"/>
    <cellStyle name="출력 6 19 2" xfId="37261"/>
    <cellStyle name="출력 6 2" xfId="16927"/>
    <cellStyle name="출력 6 2 2" xfId="29702"/>
    <cellStyle name="출력 6 20" xfId="24876"/>
    <cellStyle name="출력 6 20 2" xfId="37307"/>
    <cellStyle name="출력 6 21" xfId="24987"/>
    <cellStyle name="출력 6 21 2" xfId="37418"/>
    <cellStyle name="출력 6 22" xfId="25078"/>
    <cellStyle name="출력 6 22 2" xfId="37509"/>
    <cellStyle name="출력 6 23" xfId="25099"/>
    <cellStyle name="출력 6 23 2" xfId="37530"/>
    <cellStyle name="출력 6 24" xfId="25262"/>
    <cellStyle name="출력 6 3" xfId="17242"/>
    <cellStyle name="출력 6 3 2" xfId="29976"/>
    <cellStyle name="출력 6 4" xfId="14801"/>
    <cellStyle name="출력 6 4 2" xfId="27624"/>
    <cellStyle name="출력 6 5" xfId="17705"/>
    <cellStyle name="출력 6 5 2" xfId="30422"/>
    <cellStyle name="출력 6 6" xfId="17854"/>
    <cellStyle name="출력 6 6 2" xfId="30570"/>
    <cellStyle name="출력 6 7" xfId="17945"/>
    <cellStyle name="출력 6 7 2" xfId="30657"/>
    <cellStyle name="출력 6 8" xfId="18091"/>
    <cellStyle name="출력 6 8 2" xfId="30802"/>
    <cellStyle name="출력 6 9" xfId="18208"/>
    <cellStyle name="출력 6 9 2" xfId="30915"/>
    <cellStyle name="출력 7" xfId="12107"/>
    <cellStyle name="출력 7 10" xfId="18231"/>
    <cellStyle name="출력 7 10 2" xfId="30938"/>
    <cellStyle name="출력 7 11" xfId="18245"/>
    <cellStyle name="출력 7 11 2" xfId="30952"/>
    <cellStyle name="출력 7 12" xfId="23372"/>
    <cellStyle name="출력 7 12 2" xfId="35804"/>
    <cellStyle name="출력 7 13" xfId="23620"/>
    <cellStyle name="출력 7 13 2" xfId="36051"/>
    <cellStyle name="출력 7 14" xfId="23835"/>
    <cellStyle name="출력 7 14 2" xfId="36266"/>
    <cellStyle name="출력 7 15" xfId="19898"/>
    <cellStyle name="출력 7 15 2" xfId="32347"/>
    <cellStyle name="출력 7 16" xfId="23379"/>
    <cellStyle name="출력 7 16 2" xfId="35811"/>
    <cellStyle name="출력 7 17" xfId="24505"/>
    <cellStyle name="출력 7 17 2" xfId="36936"/>
    <cellStyle name="출력 7 18" xfId="22192"/>
    <cellStyle name="출력 7 18 2" xfId="34627"/>
    <cellStyle name="출력 7 19" xfId="24831"/>
    <cellStyle name="출력 7 19 2" xfId="37262"/>
    <cellStyle name="출력 7 2" xfId="16928"/>
    <cellStyle name="출력 7 2 2" xfId="29703"/>
    <cellStyle name="출력 7 20" xfId="24877"/>
    <cellStyle name="출력 7 20 2" xfId="37308"/>
    <cellStyle name="출력 7 21" xfId="24988"/>
    <cellStyle name="출력 7 21 2" xfId="37419"/>
    <cellStyle name="출력 7 22" xfId="25079"/>
    <cellStyle name="출력 7 22 2" xfId="37510"/>
    <cellStyle name="출력 7 23" xfId="25100"/>
    <cellStyle name="출력 7 23 2" xfId="37531"/>
    <cellStyle name="출력 7 24" xfId="25263"/>
    <cellStyle name="출력 7 3" xfId="17243"/>
    <cellStyle name="출력 7 3 2" xfId="29977"/>
    <cellStyle name="출력 7 4" xfId="14800"/>
    <cellStyle name="출력 7 4 2" xfId="27623"/>
    <cellStyle name="출력 7 5" xfId="17706"/>
    <cellStyle name="출력 7 5 2" xfId="30423"/>
    <cellStyle name="출력 7 6" xfId="17855"/>
    <cellStyle name="출력 7 6 2" xfId="30571"/>
    <cellStyle name="출력 7 7" xfId="17946"/>
    <cellStyle name="출력 7 7 2" xfId="30658"/>
    <cellStyle name="출력 7 8" xfId="18092"/>
    <cellStyle name="출력 7 8 2" xfId="30803"/>
    <cellStyle name="출력 7 9" xfId="18209"/>
    <cellStyle name="출력 7 9 2" xfId="30916"/>
    <cellStyle name="출력 8" xfId="12108"/>
    <cellStyle name="출력 8 10" xfId="18232"/>
    <cellStyle name="출력 8 10 2" xfId="30939"/>
    <cellStyle name="출력 8 11" xfId="18246"/>
    <cellStyle name="출력 8 11 2" xfId="30953"/>
    <cellStyle name="출력 8 12" xfId="23373"/>
    <cellStyle name="출력 8 12 2" xfId="35805"/>
    <cellStyle name="출력 8 13" xfId="23621"/>
    <cellStyle name="출력 8 13 2" xfId="36052"/>
    <cellStyle name="출력 8 14" xfId="23836"/>
    <cellStyle name="출력 8 14 2" xfId="36267"/>
    <cellStyle name="출력 8 15" xfId="22355"/>
    <cellStyle name="출력 8 15 2" xfId="34789"/>
    <cellStyle name="출력 8 16" xfId="23510"/>
    <cellStyle name="출력 8 16 2" xfId="35941"/>
    <cellStyle name="출력 8 17" xfId="24506"/>
    <cellStyle name="출력 8 17 2" xfId="36937"/>
    <cellStyle name="출력 8 18" xfId="21090"/>
    <cellStyle name="출력 8 18 2" xfId="33527"/>
    <cellStyle name="출력 8 19" xfId="24832"/>
    <cellStyle name="출력 8 19 2" xfId="37263"/>
    <cellStyle name="출력 8 2" xfId="16929"/>
    <cellStyle name="출력 8 2 2" xfId="29704"/>
    <cellStyle name="출력 8 20" xfId="24878"/>
    <cellStyle name="출력 8 20 2" xfId="37309"/>
    <cellStyle name="출력 8 21" xfId="24989"/>
    <cellStyle name="출력 8 21 2" xfId="37420"/>
    <cellStyle name="출력 8 22" xfId="25080"/>
    <cellStyle name="출력 8 22 2" xfId="37511"/>
    <cellStyle name="출력 8 23" xfId="25101"/>
    <cellStyle name="출력 8 23 2" xfId="37532"/>
    <cellStyle name="출력 8 24" xfId="25264"/>
    <cellStyle name="출력 8 3" xfId="17244"/>
    <cellStyle name="출력 8 3 2" xfId="29978"/>
    <cellStyle name="출력 8 4" xfId="14799"/>
    <cellStyle name="출력 8 4 2" xfId="27622"/>
    <cellStyle name="출력 8 5" xfId="17707"/>
    <cellStyle name="출력 8 5 2" xfId="30424"/>
    <cellStyle name="출력 8 6" xfId="17856"/>
    <cellStyle name="출력 8 6 2" xfId="30572"/>
    <cellStyle name="출력 8 7" xfId="17947"/>
    <cellStyle name="출력 8 7 2" xfId="30659"/>
    <cellStyle name="출력 8 8" xfId="18093"/>
    <cellStyle name="출력 8 8 2" xfId="30804"/>
    <cellStyle name="출력 8 9" xfId="18210"/>
    <cellStyle name="출력 8 9 2" xfId="30917"/>
    <cellStyle name="측점" xfId="12109"/>
    <cellStyle name="코드" xfId="3472"/>
    <cellStyle name="콤" xfId="3473"/>
    <cellStyle name="콤 2" xfId="10848"/>
    <cellStyle name="콤_00년상반기현황분석(000512)-A.xls Chart 156" xfId="3474"/>
    <cellStyle name="콤_00년상반기현황분석(000512)-A.xls Chart 156_Book1" xfId="3475"/>
    <cellStyle name="콤_00년상반기현황분석(000512)-A.xls Chart 156_Book1_다대포 해수욕장-내역서" xfId="3476"/>
    <cellStyle name="콤_00년상반기현황분석(000512)-A.xls Chart 156_Book1_조형물 내역서(원본)" xfId="3477"/>
    <cellStyle name="콤_00년상반기현황분석(000512)-A.xls Chart 156_다대포 해수욕장-내역서" xfId="3478"/>
    <cellStyle name="콤_00년상반기현황분석(000512)-A.xls Chart 156_사장님IQS개선회의(조립생기팀0816)" xfId="3479"/>
    <cellStyle name="콤_00년상반기현황분석(000512)-A.xls Chart 156_사장님IQS개선회의(조립생기팀0816)_Book1" xfId="3480"/>
    <cellStyle name="콤_00년상반기현황분석(000512)-A.xls Chart 156_사장님IQS개선회의(조립생기팀0816)_Book1_다대포 해수욕장-내역서" xfId="3481"/>
    <cellStyle name="콤_00년상반기현황분석(000512)-A.xls Chart 156_사장님IQS개선회의(조립생기팀0816)_Book1_조형물 내역서(원본)" xfId="3482"/>
    <cellStyle name="콤_00년상반기현황분석(000512)-A.xls Chart 156_사장님IQS개선회의(조립생기팀0816)_다대포 해수욕장-내역서" xfId="3483"/>
    <cellStyle name="콤_00년상반기현황분석(000512)-A.xls Chart 156_사장님IQS개선회의(조립생기팀0816)_인상시부담액(임,단협(1).04.26수정)" xfId="3484"/>
    <cellStyle name="콤_00년상반기현황분석(000512)-A.xls Chart 156_사장님IQS개선회의(조립생기팀0816)_인상시부담액(임,단협(1).04.26수정)_다대포 해수욕장-내역서" xfId="3485"/>
    <cellStyle name="콤_00년상반기현황분석(000512)-A.xls Chart 156_사장님IQS개선회의(조립생기팀0816)_인상시부담액(임,단협(1).04.26수정)_조형물 내역서(원본)" xfId="3486"/>
    <cellStyle name="콤_00년상반기현황분석(000512)-A.xls Chart 156_사장님IQS개선회의(조립생기팀0816)_조형물 내역서(원본)" xfId="3487"/>
    <cellStyle name="콤_00년상반기현황분석(000512)-A.xls Chart 156_인상시부담액(임,단협(1).04.26수정)" xfId="3488"/>
    <cellStyle name="콤_00년상반기현황분석(000512)-A.xls Chart 156_인상시부담액(임,단협(1).04.26수정)_다대포 해수욕장-내역서" xfId="3489"/>
    <cellStyle name="콤_00년상반기현황분석(000512)-A.xls Chart 156_인상시부담액(임,단협(1).04.26수정)_조형물 내역서(원본)" xfId="3490"/>
    <cellStyle name="콤_00년상반기현황분석(000512)-A.xls Chart 156_정이사님보고0907" xfId="3491"/>
    <cellStyle name="콤_00년상반기현황분석(000512)-A.xls Chart 156_정이사님보고0907_Book1" xfId="3492"/>
    <cellStyle name="콤_00년상반기현황분석(000512)-A.xls Chart 156_정이사님보고0907_Book1_다대포 해수욕장-내역서" xfId="3493"/>
    <cellStyle name="콤_00년상반기현황분석(000512)-A.xls Chart 156_정이사님보고0907_Book1_조형물 내역서(원본)" xfId="3494"/>
    <cellStyle name="콤_00년상반기현황분석(000512)-A.xls Chart 156_정이사님보고0907_다대포 해수욕장-내역서" xfId="3495"/>
    <cellStyle name="콤_00년상반기현황분석(000512)-A.xls Chart 156_정이사님보고0907_인상시부담액(임,단협(1).04.26수정)" xfId="3496"/>
    <cellStyle name="콤_00년상반기현황분석(000512)-A.xls Chart 156_정이사님보고0907_인상시부담액(임,단협(1).04.26수정)_다대포 해수욕장-내역서" xfId="3497"/>
    <cellStyle name="콤_00년상반기현황분석(000512)-A.xls Chart 156_정이사님보고0907_인상시부담액(임,단협(1).04.26수정)_조형물 내역서(원본)" xfId="3498"/>
    <cellStyle name="콤_00년상반기현황분석(000512)-A.xls Chart 156_정이사님보고0907_조형물 내역서(원본)" xfId="3499"/>
    <cellStyle name="콤_00년상반기현황분석(000512)-A.xls Chart 156_조형물 내역서(원본)" xfId="3500"/>
    <cellStyle name="콤_00년상반기현황분석(000512)-A.xls Chart 157" xfId="3501"/>
    <cellStyle name="콤_00년상반기현황분석(000512)-A.xls Chart 157_Book1" xfId="3502"/>
    <cellStyle name="콤_00년상반기현황분석(000512)-A.xls Chart 157_Book1_다대포 해수욕장-내역서" xfId="3503"/>
    <cellStyle name="콤_00년상반기현황분석(000512)-A.xls Chart 157_Book1_조형물 내역서(원본)" xfId="3504"/>
    <cellStyle name="콤_00년상반기현황분석(000512)-A.xls Chart 157_다대포 해수욕장-내역서" xfId="3505"/>
    <cellStyle name="콤_00년상반기현황분석(000512)-A.xls Chart 157_사장님IQS개선회의(조립생기팀0816)" xfId="3506"/>
    <cellStyle name="콤_00년상반기현황분석(000512)-A.xls Chart 157_사장님IQS개선회의(조립생기팀0816)_Book1" xfId="3507"/>
    <cellStyle name="콤_00년상반기현황분석(000512)-A.xls Chart 157_사장님IQS개선회의(조립생기팀0816)_Book1_다대포 해수욕장-내역서" xfId="3508"/>
    <cellStyle name="콤_00년상반기현황분석(000512)-A.xls Chart 157_사장님IQS개선회의(조립생기팀0816)_Book1_조형물 내역서(원본)" xfId="3509"/>
    <cellStyle name="콤_00년상반기현황분석(000512)-A.xls Chart 157_사장님IQS개선회의(조립생기팀0816)_다대포 해수욕장-내역서" xfId="3510"/>
    <cellStyle name="콤_00년상반기현황분석(000512)-A.xls Chart 157_사장님IQS개선회의(조립생기팀0816)_인상시부담액(임,단협(1).04.26수정)" xfId="3511"/>
    <cellStyle name="콤_00년상반기현황분석(000512)-A.xls Chart 157_사장님IQS개선회의(조립생기팀0816)_인상시부담액(임,단협(1).04.26수정)_다대포 해수욕장-내역서" xfId="3512"/>
    <cellStyle name="콤_00년상반기현황분석(000512)-A.xls Chart 157_사장님IQS개선회의(조립생기팀0816)_인상시부담액(임,단협(1).04.26수정)_조형물 내역서(원본)" xfId="3513"/>
    <cellStyle name="콤_00년상반기현황분석(000512)-A.xls Chart 157_사장님IQS개선회의(조립생기팀0816)_조형물 내역서(원본)" xfId="3514"/>
    <cellStyle name="콤_00년상반기현황분석(000512)-A.xls Chart 157_인상시부담액(임,단협(1).04.26수정)" xfId="3515"/>
    <cellStyle name="콤_00년상반기현황분석(000512)-A.xls Chart 157_인상시부담액(임,단협(1).04.26수정)_다대포 해수욕장-내역서" xfId="3516"/>
    <cellStyle name="콤_00년상반기현황분석(000512)-A.xls Chart 157_인상시부담액(임,단협(1).04.26수정)_조형물 내역서(원본)" xfId="3517"/>
    <cellStyle name="콤_00년상반기현황분석(000512)-A.xls Chart 157_정이사님보고0907" xfId="3518"/>
    <cellStyle name="콤_00년상반기현황분석(000512)-A.xls Chart 157_정이사님보고0907_Book1" xfId="3519"/>
    <cellStyle name="콤_00년상반기현황분석(000512)-A.xls Chart 157_정이사님보고0907_Book1_다대포 해수욕장-내역서" xfId="3520"/>
    <cellStyle name="콤_00년상반기현황분석(000512)-A.xls Chart 157_정이사님보고0907_Book1_조형물 내역서(원본)" xfId="3521"/>
    <cellStyle name="콤_00년상반기현황분석(000512)-A.xls Chart 157_정이사님보고0907_다대포 해수욕장-내역서" xfId="3522"/>
    <cellStyle name="콤_00년상반기현황분석(000512)-A.xls Chart 157_정이사님보고0907_인상시부담액(임,단협(1).04.26수정)" xfId="3523"/>
    <cellStyle name="콤_00년상반기현황분석(000512)-A.xls Chart 157_정이사님보고0907_인상시부담액(임,단협(1).04.26수정)_다대포 해수욕장-내역서" xfId="3524"/>
    <cellStyle name="콤_00년상반기현황분석(000512)-A.xls Chart 157_정이사님보고0907_인상시부담액(임,단협(1).04.26수정)_조형물 내역서(원본)" xfId="3525"/>
    <cellStyle name="콤_00년상반기현황분석(000512)-A.xls Chart 157_정이사님보고0907_조형물 내역서(원본)" xfId="3526"/>
    <cellStyle name="콤_00년상반기현황분석(000512)-A.xls Chart 157_조형물 내역서(원본)" xfId="3527"/>
    <cellStyle name="콤_00년상반기현황분석(000512)-A.xls Chart 158" xfId="3528"/>
    <cellStyle name="콤_00년상반기현황분석(000512)-A.xls Chart 158_Book1" xfId="3529"/>
    <cellStyle name="콤_00년상반기현황분석(000512)-A.xls Chart 158_Book1_다대포 해수욕장-내역서" xfId="3530"/>
    <cellStyle name="콤_00년상반기현황분석(000512)-A.xls Chart 158_Book1_조형물 내역서(원본)" xfId="3531"/>
    <cellStyle name="콤_00년상반기현황분석(000512)-A.xls Chart 158_다대포 해수욕장-내역서" xfId="3532"/>
    <cellStyle name="콤_00년상반기현황분석(000512)-A.xls Chart 158_사장님IQS개선회의(조립생기팀0816)" xfId="3533"/>
    <cellStyle name="콤_00년상반기현황분석(000512)-A.xls Chart 158_사장님IQS개선회의(조립생기팀0816)_Book1" xfId="3534"/>
    <cellStyle name="콤_00년상반기현황분석(000512)-A.xls Chart 158_사장님IQS개선회의(조립생기팀0816)_Book1_다대포 해수욕장-내역서" xfId="3535"/>
    <cellStyle name="콤_00년상반기현황분석(000512)-A.xls Chart 158_사장님IQS개선회의(조립생기팀0816)_Book1_조형물 내역서(원본)" xfId="3536"/>
    <cellStyle name="콤_00년상반기현황분석(000512)-A.xls Chart 158_사장님IQS개선회의(조립생기팀0816)_다대포 해수욕장-내역서" xfId="3537"/>
    <cellStyle name="콤_00년상반기현황분석(000512)-A.xls Chart 158_사장님IQS개선회의(조립생기팀0816)_인상시부담액(임,단협(1).04.26수정)" xfId="3538"/>
    <cellStyle name="콤_00년상반기현황분석(000512)-A.xls Chart 158_사장님IQS개선회의(조립생기팀0816)_인상시부담액(임,단협(1).04.26수정)_다대포 해수욕장-내역서" xfId="3539"/>
    <cellStyle name="콤_00년상반기현황분석(000512)-A.xls Chart 158_사장님IQS개선회의(조립생기팀0816)_인상시부담액(임,단협(1).04.26수정)_조형물 내역서(원본)" xfId="3540"/>
    <cellStyle name="콤_00년상반기현황분석(000512)-A.xls Chart 158_사장님IQS개선회의(조립생기팀0816)_조형물 내역서(원본)" xfId="3541"/>
    <cellStyle name="콤_00년상반기현황분석(000512)-A.xls Chart 158_인상시부담액(임,단협(1).04.26수정)" xfId="3542"/>
    <cellStyle name="콤_00년상반기현황분석(000512)-A.xls Chart 158_인상시부담액(임,단협(1).04.26수정)_다대포 해수욕장-내역서" xfId="3543"/>
    <cellStyle name="콤_00년상반기현황분석(000512)-A.xls Chart 158_인상시부담액(임,단협(1).04.26수정)_조형물 내역서(원본)" xfId="3544"/>
    <cellStyle name="콤_00년상반기현황분석(000512)-A.xls Chart 158_정이사님보고0907" xfId="3545"/>
    <cellStyle name="콤_00년상반기현황분석(000512)-A.xls Chart 158_정이사님보고0907_Book1" xfId="3546"/>
    <cellStyle name="콤_00년상반기현황분석(000512)-A.xls Chart 158_정이사님보고0907_Book1_다대포 해수욕장-내역서" xfId="3547"/>
    <cellStyle name="콤_00년상반기현황분석(000512)-A.xls Chart 158_정이사님보고0907_Book1_조형물 내역서(원본)" xfId="3548"/>
    <cellStyle name="콤_00년상반기현황분석(000512)-A.xls Chart 158_정이사님보고0907_다대포 해수욕장-내역서" xfId="3549"/>
    <cellStyle name="콤_00년상반기현황분석(000512)-A.xls Chart 158_정이사님보고0907_인상시부담액(임,단협(1).04.26수정)" xfId="3550"/>
    <cellStyle name="콤_00년상반기현황분석(000512)-A.xls Chart 158_정이사님보고0907_인상시부담액(임,단협(1).04.26수정)_다대포 해수욕장-내역서" xfId="3551"/>
    <cellStyle name="콤_00년상반기현황분석(000512)-A.xls Chart 158_정이사님보고0907_인상시부담액(임,단협(1).04.26수정)_조형물 내역서(원본)" xfId="3552"/>
    <cellStyle name="콤_00년상반기현황분석(000512)-A.xls Chart 158_정이사님보고0907_조형물 내역서(원본)" xfId="3553"/>
    <cellStyle name="콤_00년상반기현황분석(000512)-A.xls Chart 158_조형물 내역서(원본)" xfId="3554"/>
    <cellStyle name="콤_00년상반기현황분석(000512)-A.xls Chart 160" xfId="3555"/>
    <cellStyle name="콤_00년상반기현황분석(000512)-A.xls Chart 160_Book1" xfId="3556"/>
    <cellStyle name="콤_00년상반기현황분석(000512)-A.xls Chart 160_Book1_다대포 해수욕장-내역서" xfId="3557"/>
    <cellStyle name="콤_00년상반기현황분석(000512)-A.xls Chart 160_Book1_조형물 내역서(원본)" xfId="3558"/>
    <cellStyle name="콤_00년상반기현황분석(000512)-A.xls Chart 160_다대포 해수욕장-내역서" xfId="3559"/>
    <cellStyle name="콤_00년상반기현황분석(000512)-A.xls Chart 160_사장님IQS개선회의(조립생기팀0816)" xfId="3560"/>
    <cellStyle name="콤_00년상반기현황분석(000512)-A.xls Chart 160_사장님IQS개선회의(조립생기팀0816)_Book1" xfId="3561"/>
    <cellStyle name="콤_00년상반기현황분석(000512)-A.xls Chart 160_사장님IQS개선회의(조립생기팀0816)_Book1_다대포 해수욕장-내역서" xfId="3562"/>
    <cellStyle name="콤_00년상반기현황분석(000512)-A.xls Chart 160_사장님IQS개선회의(조립생기팀0816)_Book1_조형물 내역서(원본)" xfId="3563"/>
    <cellStyle name="콤_00년상반기현황분석(000512)-A.xls Chart 160_사장님IQS개선회의(조립생기팀0816)_다대포 해수욕장-내역서" xfId="3564"/>
    <cellStyle name="콤_00년상반기현황분석(000512)-A.xls Chart 160_사장님IQS개선회의(조립생기팀0816)_인상시부담액(임,단협(1).04.26수정)" xfId="3565"/>
    <cellStyle name="콤_00년상반기현황분석(000512)-A.xls Chart 160_사장님IQS개선회의(조립생기팀0816)_인상시부담액(임,단협(1).04.26수정)_다대포 해수욕장-내역서" xfId="3566"/>
    <cellStyle name="콤_00년상반기현황분석(000512)-A.xls Chart 160_사장님IQS개선회의(조립생기팀0816)_인상시부담액(임,단협(1).04.26수정)_조형물 내역서(원본)" xfId="3567"/>
    <cellStyle name="콤_00년상반기현황분석(000512)-A.xls Chart 160_사장님IQS개선회의(조립생기팀0816)_조형물 내역서(원본)" xfId="3568"/>
    <cellStyle name="콤_00년상반기현황분석(000512)-A.xls Chart 160_인상시부담액(임,단협(1).04.26수정)" xfId="3569"/>
    <cellStyle name="콤_00년상반기현황분석(000512)-A.xls Chart 160_인상시부담액(임,단협(1).04.26수정)_다대포 해수욕장-내역서" xfId="3570"/>
    <cellStyle name="콤_00년상반기현황분석(000512)-A.xls Chart 160_인상시부담액(임,단협(1).04.26수정)_조형물 내역서(원본)" xfId="3571"/>
    <cellStyle name="콤_00년상반기현황분석(000512)-A.xls Chart 160_정이사님보고0907" xfId="3572"/>
    <cellStyle name="콤_00년상반기현황분석(000512)-A.xls Chart 160_정이사님보고0907_Book1" xfId="3573"/>
    <cellStyle name="콤_00년상반기현황분석(000512)-A.xls Chart 160_정이사님보고0907_Book1_다대포 해수욕장-내역서" xfId="3574"/>
    <cellStyle name="콤_00년상반기현황분석(000512)-A.xls Chart 160_정이사님보고0907_Book1_조형물 내역서(원본)" xfId="3575"/>
    <cellStyle name="콤_00년상반기현황분석(000512)-A.xls Chart 160_정이사님보고0907_다대포 해수욕장-내역서" xfId="3576"/>
    <cellStyle name="콤_00년상반기현황분석(000512)-A.xls Chart 160_정이사님보고0907_인상시부담액(임,단협(1).04.26수정)" xfId="3577"/>
    <cellStyle name="콤_00년상반기현황분석(000512)-A.xls Chart 160_정이사님보고0907_인상시부담액(임,단협(1).04.26수정)_다대포 해수욕장-내역서" xfId="3578"/>
    <cellStyle name="콤_00년상반기현황분석(000512)-A.xls Chart 160_정이사님보고0907_인상시부담액(임,단협(1).04.26수정)_조형물 내역서(원본)" xfId="3579"/>
    <cellStyle name="콤_00년상반기현황분석(000512)-A.xls Chart 160_정이사님보고0907_조형물 내역서(원본)" xfId="3580"/>
    <cellStyle name="콤_00년상반기현황분석(000512)-A.xls Chart 160_조형물 내역서(원본)" xfId="3581"/>
    <cellStyle name="콤_00년상반기현황분석(000512)-A.xls Chart 161" xfId="3582"/>
    <cellStyle name="콤_00년상반기현황분석(000512)-A.xls Chart 161_Book1" xfId="3583"/>
    <cellStyle name="콤_00년상반기현황분석(000512)-A.xls Chart 161_Book1_다대포 해수욕장-내역서" xfId="3584"/>
    <cellStyle name="콤_00년상반기현황분석(000512)-A.xls Chart 161_Book1_조형물 내역서(원본)" xfId="3585"/>
    <cellStyle name="콤_00년상반기현황분석(000512)-A.xls Chart 161_다대포 해수욕장-내역서" xfId="3586"/>
    <cellStyle name="콤_00년상반기현황분석(000512)-A.xls Chart 161_사장님IQS개선회의(조립생기팀0816)" xfId="3587"/>
    <cellStyle name="콤_00년상반기현황분석(000512)-A.xls Chart 161_사장님IQS개선회의(조립생기팀0816)_Book1" xfId="3588"/>
    <cellStyle name="콤_00년상반기현황분석(000512)-A.xls Chart 161_사장님IQS개선회의(조립생기팀0816)_Book1_다대포 해수욕장-내역서" xfId="3589"/>
    <cellStyle name="콤_00년상반기현황분석(000512)-A.xls Chart 161_사장님IQS개선회의(조립생기팀0816)_Book1_조형물 내역서(원본)" xfId="3590"/>
    <cellStyle name="콤_00년상반기현황분석(000512)-A.xls Chart 161_사장님IQS개선회의(조립생기팀0816)_다대포 해수욕장-내역서" xfId="3591"/>
    <cellStyle name="콤_00년상반기현황분석(000512)-A.xls Chart 161_사장님IQS개선회의(조립생기팀0816)_인상시부담액(임,단협(1).04.26수정)" xfId="3592"/>
    <cellStyle name="콤_00년상반기현황분석(000512)-A.xls Chart 161_사장님IQS개선회의(조립생기팀0816)_인상시부담액(임,단협(1).04.26수정)_다대포 해수욕장-내역서" xfId="3593"/>
    <cellStyle name="콤_00년상반기현황분석(000512)-A.xls Chart 161_사장님IQS개선회의(조립생기팀0816)_인상시부담액(임,단협(1).04.26수정)_조형물 내역서(원본)" xfId="3594"/>
    <cellStyle name="콤_00년상반기현황분석(000512)-A.xls Chart 161_사장님IQS개선회의(조립생기팀0816)_조형물 내역서(원본)" xfId="3595"/>
    <cellStyle name="콤_00년상반기현황분석(000512)-A.xls Chart 161_인상시부담액(임,단협(1).04.26수정)" xfId="3596"/>
    <cellStyle name="콤_00년상반기현황분석(000512)-A.xls Chart 161_인상시부담액(임,단협(1).04.26수정)_다대포 해수욕장-내역서" xfId="3597"/>
    <cellStyle name="콤_00년상반기현황분석(000512)-A.xls Chart 161_인상시부담액(임,단협(1).04.26수정)_조형물 내역서(원본)" xfId="3598"/>
    <cellStyle name="콤_00년상반기현황분석(000512)-A.xls Chart 161_정이사님보고0907" xfId="3599"/>
    <cellStyle name="콤_00년상반기현황분석(000512)-A.xls Chart 161_정이사님보고0907_Book1" xfId="3600"/>
    <cellStyle name="콤_00년상반기현황분석(000512)-A.xls Chart 161_정이사님보고0907_Book1_다대포 해수욕장-내역서" xfId="3601"/>
    <cellStyle name="콤_00년상반기현황분석(000512)-A.xls Chart 161_정이사님보고0907_Book1_조형물 내역서(원본)" xfId="3602"/>
    <cellStyle name="콤_00년상반기현황분석(000512)-A.xls Chart 161_정이사님보고0907_다대포 해수욕장-내역서" xfId="3603"/>
    <cellStyle name="콤_00년상반기현황분석(000512)-A.xls Chart 161_정이사님보고0907_인상시부담액(임,단협(1).04.26수정)" xfId="3604"/>
    <cellStyle name="콤_00년상반기현황분석(000512)-A.xls Chart 161_정이사님보고0907_인상시부담액(임,단협(1).04.26수정)_다대포 해수욕장-내역서" xfId="3605"/>
    <cellStyle name="콤_00년상반기현황분석(000512)-A.xls Chart 161_정이사님보고0907_인상시부담액(임,단협(1).04.26수정)_조형물 내역서(원본)" xfId="3606"/>
    <cellStyle name="콤_00년상반기현황분석(000512)-A.xls Chart 161_정이사님보고0907_조형물 내역서(원본)" xfId="3607"/>
    <cellStyle name="콤_00년상반기현황분석(000512)-A.xls Chart 161_조형물 내역서(원본)" xfId="3608"/>
    <cellStyle name="콤_01-토공_02-배수공" xfId="6071"/>
    <cellStyle name="콤_01-토공_02-배수공_2차설계변경내역서(2007굴착)" xfId="6072"/>
    <cellStyle name="콤_01-토공_02-배수공_Sheet1" xfId="6073"/>
    <cellStyle name="콤_01-토공_02-배수공_갑지" xfId="6074"/>
    <cellStyle name="콤_01-토공_02-배수공_관급자재" xfId="6075"/>
    <cellStyle name="콤_01-토공_02-배수공_이설비" xfId="6076"/>
    <cellStyle name="콤_01-토공_02-배수공_토공" xfId="6077"/>
    <cellStyle name="콤_01-토공_02-배수공_토공_2차설계변경내역서(2007굴착)" xfId="6078"/>
    <cellStyle name="콤_01-토공_02-배수공_토공_Sheet1" xfId="6079"/>
    <cellStyle name="콤_01-토공_02-배수공_토공_갑지" xfId="6080"/>
    <cellStyle name="콤_01-토공_02-배수공_토공_관급자재" xfId="6081"/>
    <cellStyle name="콤_01-토공_02-배수공_토공_이설비" xfId="6082"/>
    <cellStyle name="콤_02-배수공" xfId="6083"/>
    <cellStyle name="콤_02-배수공_02-반중력식옹벽" xfId="6084"/>
    <cellStyle name="콤_02-배수공_02-반중력식옹벽_2차설계변경내역서(2007굴착)" xfId="6085"/>
    <cellStyle name="콤_02-배수공_02-반중력식옹벽_Sheet1" xfId="6086"/>
    <cellStyle name="콤_02-배수공_02-반중력식옹벽_갑지" xfId="6087"/>
    <cellStyle name="콤_02-배수공_02-반중력식옹벽_관급자재" xfId="6088"/>
    <cellStyle name="콤_02-배수공_02-반중력식옹벽_이설비" xfId="6089"/>
    <cellStyle name="콤_02-배수공_02-반중력식옹벽_토공" xfId="6090"/>
    <cellStyle name="콤_02-배수공_02-반중력식옹벽_토공_2차설계변경내역서(2007굴착)" xfId="6091"/>
    <cellStyle name="콤_02-배수공_02-반중력식옹벽_토공_Sheet1" xfId="6092"/>
    <cellStyle name="콤_02-배수공_02-반중력식옹벽_토공_갑지" xfId="6093"/>
    <cellStyle name="콤_02-배수공_02-반중력식옹벽_토공_관급자재" xfId="6094"/>
    <cellStyle name="콤_02-배수공_02-반중력식옹벽_토공_이설비" xfId="6095"/>
    <cellStyle name="콤_02-배수공_02-배수공" xfId="6096"/>
    <cellStyle name="콤_02-배수공_02-배수공_2차설계변경내역서(2007굴착)" xfId="6097"/>
    <cellStyle name="콤_02-배수공_02-배수공_Sheet1" xfId="6098"/>
    <cellStyle name="콤_02-배수공_02-배수공_갑지" xfId="6099"/>
    <cellStyle name="콤_02-배수공_02-배수공_관급자재" xfId="6100"/>
    <cellStyle name="콤_02-배수공_02-배수공_이설비" xfId="6101"/>
    <cellStyle name="콤_02-배수공_02-배수공_토공" xfId="6102"/>
    <cellStyle name="콤_02-배수공_02-배수공_토공_2차설계변경내역서(2007굴착)" xfId="6103"/>
    <cellStyle name="콤_02-배수공_02-배수공_토공_Sheet1" xfId="6104"/>
    <cellStyle name="콤_02-배수공_02-배수공_토공_갑지" xfId="6105"/>
    <cellStyle name="콤_02-배수공_02-배수공_토공_관급자재" xfId="6106"/>
    <cellStyle name="콤_02-배수공_02-배수공_토공_이설비" xfId="6107"/>
    <cellStyle name="콤_02-배수공_2차설계변경내역서(2007굴착)" xfId="6108"/>
    <cellStyle name="콤_02-배수공_Sheet1" xfId="6109"/>
    <cellStyle name="콤_02-배수공_갑지" xfId="6110"/>
    <cellStyle name="콤_02-배수공_관급자재" xfId="6111"/>
    <cellStyle name="콤_02-배수공_반중력" xfId="6112"/>
    <cellStyle name="콤_02-배수공_반중력_2차설계변경내역서(2007굴착)" xfId="6113"/>
    <cellStyle name="콤_02-배수공_반중력_Sheet1" xfId="6114"/>
    <cellStyle name="콤_02-배수공_반중력_갑지" xfId="6115"/>
    <cellStyle name="콤_02-배수공_반중력_관급자재" xfId="6116"/>
    <cellStyle name="콤_02-배수공_반중력_이설비" xfId="6117"/>
    <cellStyle name="콤_02-배수공_반중력_토공" xfId="6118"/>
    <cellStyle name="콤_02-배수공_반중력_토공_2차설계변경내역서(2007굴착)" xfId="6119"/>
    <cellStyle name="콤_02-배수공_반중력_토공_Sheet1" xfId="6120"/>
    <cellStyle name="콤_02-배수공_반중력_토공_갑지" xfId="6121"/>
    <cellStyle name="콤_02-배수공_반중력_토공_관급자재" xfId="6122"/>
    <cellStyle name="콤_02-배수공_반중력_토공_이설비" xfId="6123"/>
    <cellStyle name="콤_02-배수공_이설비" xfId="6124"/>
    <cellStyle name="콤_02-배수공_토공" xfId="6125"/>
    <cellStyle name="콤_02-배수공_토공_2차설계변경내역서(2007굴착)" xfId="6126"/>
    <cellStyle name="콤_02-배수공_토공_Sheet1" xfId="6127"/>
    <cellStyle name="콤_02-배수공_토공_갑지" xfId="6128"/>
    <cellStyle name="콤_02-배수공_토공_관급자재" xfId="6129"/>
    <cellStyle name="콤_02-배수공_토공_이설비" xfId="6130"/>
    <cellStyle name="콤_04-포장공_02-배수공" xfId="6131"/>
    <cellStyle name="콤_04-포장공_02-배수공_2차설계변경내역서(2007굴착)" xfId="6132"/>
    <cellStyle name="콤_04-포장공_02-배수공_Sheet1" xfId="6133"/>
    <cellStyle name="콤_04-포장공_02-배수공_갑지" xfId="6134"/>
    <cellStyle name="콤_04-포장공_02-배수공_관급자재" xfId="6135"/>
    <cellStyle name="콤_04-포장공_02-배수공_이설비" xfId="6136"/>
    <cellStyle name="콤_04-포장공_02-배수공_토공" xfId="6137"/>
    <cellStyle name="콤_04-포장공_02-배수공_토공_2차설계변경내역서(2007굴착)" xfId="6138"/>
    <cellStyle name="콤_04-포장공_02-배수공_토공_Sheet1" xfId="6139"/>
    <cellStyle name="콤_04-포장공_02-배수공_토공_갑지" xfId="6140"/>
    <cellStyle name="콤_04-포장공_02-배수공_토공_관급자재" xfId="6141"/>
    <cellStyle name="콤_04-포장공_02-배수공_토공_이설비" xfId="6142"/>
    <cellStyle name="콤_06-부대공_02-배수공" xfId="6143"/>
    <cellStyle name="콤_06-부대공_02-배수공_2차설계변경내역서(2007굴착)" xfId="6144"/>
    <cellStyle name="콤_06-부대공_02-배수공_Sheet1" xfId="6145"/>
    <cellStyle name="콤_06-부대공_02-배수공_갑지" xfId="6146"/>
    <cellStyle name="콤_06-부대공_02-배수공_관급자재" xfId="6147"/>
    <cellStyle name="콤_06-부대공_02-배수공_이설비" xfId="6148"/>
    <cellStyle name="콤_06-부대공_02-배수공_토공" xfId="6149"/>
    <cellStyle name="콤_06-부대공_02-배수공_토공_2차설계변경내역서(2007굴착)" xfId="6150"/>
    <cellStyle name="콤_06-부대공_02-배수공_토공_Sheet1" xfId="6151"/>
    <cellStyle name="콤_06-부대공_02-배수공_토공_갑지" xfId="6152"/>
    <cellStyle name="콤_06-부대공_02-배수공_토공_관급자재" xfId="6153"/>
    <cellStyle name="콤_06-부대공_02-배수공_토공_이설비" xfId="6154"/>
    <cellStyle name="콤_2차 변경 - 임곡도급내역서" xfId="12110"/>
    <cellStyle name="콤_3. 신광R~숭의R(배수공)" xfId="12111"/>
    <cellStyle name="콤_IQS00년 상반기보고000520(소장)-1" xfId="3609"/>
    <cellStyle name="콤_IQS00년 상반기보고000520(소장)-1.xls Chart 156" xfId="3610"/>
    <cellStyle name="콤_IQS00년 상반기보고000520(소장)-1.xls Chart 156_Book1" xfId="3611"/>
    <cellStyle name="콤_IQS00년 상반기보고000520(소장)-1.xls Chart 156_Book1_다대포 해수욕장-내역서" xfId="3612"/>
    <cellStyle name="콤_IQS00년 상반기보고000520(소장)-1.xls Chart 156_Book1_조형물 내역서(원본)" xfId="3613"/>
    <cellStyle name="콤_IQS00년 상반기보고000520(소장)-1.xls Chart 156_다대포 해수욕장-내역서" xfId="3614"/>
    <cellStyle name="콤_IQS00년 상반기보고000520(소장)-1.xls Chart 156_사장님IQS개선회의(조립생기팀0816)" xfId="3615"/>
    <cellStyle name="콤_IQS00년 상반기보고000520(소장)-1.xls Chart 156_사장님IQS개선회의(조립생기팀0816)_Book1" xfId="3616"/>
    <cellStyle name="콤_IQS00년 상반기보고000520(소장)-1.xls Chart 156_사장님IQS개선회의(조립생기팀0816)_Book1_다대포 해수욕장-내역서" xfId="3617"/>
    <cellStyle name="콤_IQS00년 상반기보고000520(소장)-1.xls Chart 156_사장님IQS개선회의(조립생기팀0816)_Book1_조형물 내역서(원본)" xfId="3618"/>
    <cellStyle name="콤_IQS00년 상반기보고000520(소장)-1.xls Chart 156_사장님IQS개선회의(조립생기팀0816)_다대포 해수욕장-내역서" xfId="3619"/>
    <cellStyle name="콤_IQS00년 상반기보고000520(소장)-1.xls Chart 156_사장님IQS개선회의(조립생기팀0816)_인상시부담액(임,단협(1).04.26수정)" xfId="3620"/>
    <cellStyle name="콤_IQS00년 상반기보고000520(소장)-1.xls Chart 156_사장님IQS개선회의(조립생기팀0816)_인상시부담액(임,단협(1).04.26수정)_다대포 해수욕장-내역서" xfId="3621"/>
    <cellStyle name="콤_IQS00년 상반기보고000520(소장)-1.xls Chart 156_사장님IQS개선회의(조립생기팀0816)_인상시부담액(임,단협(1).04.26수정)_조형물 내역서(원본)" xfId="3622"/>
    <cellStyle name="콤_IQS00년 상반기보고000520(소장)-1.xls Chart 156_사장님IQS개선회의(조립생기팀0816)_조형물 내역서(원본)" xfId="3623"/>
    <cellStyle name="콤_IQS00년 상반기보고000520(소장)-1.xls Chart 156_인상시부담액(임,단협(1).04.26수정)" xfId="3624"/>
    <cellStyle name="콤_IQS00년 상반기보고000520(소장)-1.xls Chart 156_인상시부담액(임,단협(1).04.26수정)_다대포 해수욕장-내역서" xfId="3625"/>
    <cellStyle name="콤_IQS00년 상반기보고000520(소장)-1.xls Chart 156_인상시부담액(임,단협(1).04.26수정)_조형물 내역서(원본)" xfId="3626"/>
    <cellStyle name="콤_IQS00년 상반기보고000520(소장)-1.xls Chart 156_정이사님보고0907" xfId="3627"/>
    <cellStyle name="콤_IQS00년 상반기보고000520(소장)-1.xls Chart 156_정이사님보고0907_Book1" xfId="3628"/>
    <cellStyle name="콤_IQS00년 상반기보고000520(소장)-1.xls Chart 156_정이사님보고0907_Book1_다대포 해수욕장-내역서" xfId="3629"/>
    <cellStyle name="콤_IQS00년 상반기보고000520(소장)-1.xls Chart 156_정이사님보고0907_Book1_조형물 내역서(원본)" xfId="3630"/>
    <cellStyle name="콤_IQS00년 상반기보고000520(소장)-1.xls Chart 156_정이사님보고0907_다대포 해수욕장-내역서" xfId="3631"/>
    <cellStyle name="콤_IQS00년 상반기보고000520(소장)-1.xls Chart 156_정이사님보고0907_인상시부담액(임,단협(1).04.26수정)" xfId="3632"/>
    <cellStyle name="콤_IQS00년 상반기보고000520(소장)-1.xls Chart 156_정이사님보고0907_인상시부담액(임,단협(1).04.26수정)_다대포 해수욕장-내역서" xfId="3633"/>
    <cellStyle name="콤_IQS00년 상반기보고000520(소장)-1.xls Chart 156_정이사님보고0907_인상시부담액(임,단협(1).04.26수정)_조형물 내역서(원본)" xfId="3634"/>
    <cellStyle name="콤_IQS00년 상반기보고000520(소장)-1.xls Chart 156_정이사님보고0907_조형물 내역서(원본)" xfId="3635"/>
    <cellStyle name="콤_IQS00년 상반기보고000520(소장)-1.xls Chart 156_조형물 내역서(원본)" xfId="3636"/>
    <cellStyle name="콤_IQS00년 상반기보고000520(소장)-1.xls Chart 157" xfId="3637"/>
    <cellStyle name="콤_IQS00년 상반기보고000520(소장)-1.xls Chart 157_Book1" xfId="3638"/>
    <cellStyle name="콤_IQS00년 상반기보고000520(소장)-1.xls Chart 157_Book1_다대포 해수욕장-내역서" xfId="3639"/>
    <cellStyle name="콤_IQS00년 상반기보고000520(소장)-1.xls Chart 157_Book1_조형물 내역서(원본)" xfId="3640"/>
    <cellStyle name="콤_IQS00년 상반기보고000520(소장)-1.xls Chart 157_다대포 해수욕장-내역서" xfId="3641"/>
    <cellStyle name="콤_IQS00년 상반기보고000520(소장)-1.xls Chart 157_사장님IQS개선회의(조립생기팀0816)" xfId="3642"/>
    <cellStyle name="콤_IQS00년 상반기보고000520(소장)-1.xls Chart 157_사장님IQS개선회의(조립생기팀0816)_Book1" xfId="3643"/>
    <cellStyle name="콤_IQS00년 상반기보고000520(소장)-1.xls Chart 157_사장님IQS개선회의(조립생기팀0816)_Book1_다대포 해수욕장-내역서" xfId="3644"/>
    <cellStyle name="콤_IQS00년 상반기보고000520(소장)-1.xls Chart 157_사장님IQS개선회의(조립생기팀0816)_Book1_조형물 내역서(원본)" xfId="3645"/>
    <cellStyle name="콤_IQS00년 상반기보고000520(소장)-1.xls Chart 157_사장님IQS개선회의(조립생기팀0816)_다대포 해수욕장-내역서" xfId="3646"/>
    <cellStyle name="콤_IQS00년 상반기보고000520(소장)-1.xls Chart 157_사장님IQS개선회의(조립생기팀0816)_인상시부담액(임,단협(1).04.26수정)" xfId="3647"/>
    <cellStyle name="콤_IQS00년 상반기보고000520(소장)-1.xls Chart 157_사장님IQS개선회의(조립생기팀0816)_인상시부담액(임,단협(1).04.26수정)_다대포 해수욕장-내역서" xfId="3648"/>
    <cellStyle name="콤_IQS00년 상반기보고000520(소장)-1.xls Chart 157_사장님IQS개선회의(조립생기팀0816)_인상시부담액(임,단협(1).04.26수정)_조형물 내역서(원본)" xfId="3649"/>
    <cellStyle name="콤_IQS00년 상반기보고000520(소장)-1.xls Chart 157_사장님IQS개선회의(조립생기팀0816)_조형물 내역서(원본)" xfId="3650"/>
    <cellStyle name="콤_IQS00년 상반기보고000520(소장)-1.xls Chart 157_인상시부담액(임,단협(1).04.26수정)" xfId="3651"/>
    <cellStyle name="콤_IQS00년 상반기보고000520(소장)-1.xls Chart 157_인상시부담액(임,단협(1).04.26수정)_다대포 해수욕장-내역서" xfId="3652"/>
    <cellStyle name="콤_IQS00년 상반기보고000520(소장)-1.xls Chart 157_인상시부담액(임,단협(1).04.26수정)_조형물 내역서(원본)" xfId="3653"/>
    <cellStyle name="콤_IQS00년 상반기보고000520(소장)-1.xls Chart 157_정이사님보고0907" xfId="3654"/>
    <cellStyle name="콤_IQS00년 상반기보고000520(소장)-1.xls Chart 157_정이사님보고0907_Book1" xfId="3655"/>
    <cellStyle name="콤_IQS00년 상반기보고000520(소장)-1.xls Chart 157_정이사님보고0907_Book1_다대포 해수욕장-내역서" xfId="3656"/>
    <cellStyle name="콤_IQS00년 상반기보고000520(소장)-1.xls Chart 157_정이사님보고0907_Book1_조형물 내역서(원본)" xfId="3657"/>
    <cellStyle name="콤_IQS00년 상반기보고000520(소장)-1.xls Chart 157_정이사님보고0907_다대포 해수욕장-내역서" xfId="3658"/>
    <cellStyle name="콤_IQS00년 상반기보고000520(소장)-1.xls Chart 157_정이사님보고0907_인상시부담액(임,단협(1).04.26수정)" xfId="3659"/>
    <cellStyle name="콤_IQS00년 상반기보고000520(소장)-1.xls Chart 157_정이사님보고0907_인상시부담액(임,단협(1).04.26수정)_다대포 해수욕장-내역서" xfId="3660"/>
    <cellStyle name="콤_IQS00년 상반기보고000520(소장)-1.xls Chart 157_정이사님보고0907_인상시부담액(임,단협(1).04.26수정)_조형물 내역서(원본)" xfId="3661"/>
    <cellStyle name="콤_IQS00년 상반기보고000520(소장)-1.xls Chart 157_정이사님보고0907_조형물 내역서(원본)" xfId="3662"/>
    <cellStyle name="콤_IQS00년 상반기보고000520(소장)-1.xls Chart 157_조형물 내역서(원본)" xfId="3663"/>
    <cellStyle name="콤_IQS00년 상반기보고000520(소장)-1.xls Chart 158" xfId="3664"/>
    <cellStyle name="콤_IQS00년 상반기보고000520(소장)-1.xls Chart 158_Book1" xfId="3665"/>
    <cellStyle name="콤_IQS00년 상반기보고000520(소장)-1.xls Chart 158_Book1_다대포 해수욕장-내역서" xfId="3666"/>
    <cellStyle name="콤_IQS00년 상반기보고000520(소장)-1.xls Chart 158_Book1_조형물 내역서(원본)" xfId="3667"/>
    <cellStyle name="콤_IQS00년 상반기보고000520(소장)-1.xls Chart 158_다대포 해수욕장-내역서" xfId="3668"/>
    <cellStyle name="콤_IQS00년 상반기보고000520(소장)-1.xls Chart 158_사장님IQS개선회의(조립생기팀0816)" xfId="3669"/>
    <cellStyle name="콤_IQS00년 상반기보고000520(소장)-1.xls Chart 158_사장님IQS개선회의(조립생기팀0816)_Book1" xfId="3670"/>
    <cellStyle name="콤_IQS00년 상반기보고000520(소장)-1.xls Chart 158_사장님IQS개선회의(조립생기팀0816)_Book1_다대포 해수욕장-내역서" xfId="3671"/>
    <cellStyle name="콤_IQS00년 상반기보고000520(소장)-1.xls Chart 158_사장님IQS개선회의(조립생기팀0816)_Book1_조형물 내역서(원본)" xfId="3672"/>
    <cellStyle name="콤_IQS00년 상반기보고000520(소장)-1.xls Chart 158_사장님IQS개선회의(조립생기팀0816)_다대포 해수욕장-내역서" xfId="3673"/>
    <cellStyle name="콤_IQS00년 상반기보고000520(소장)-1.xls Chart 158_사장님IQS개선회의(조립생기팀0816)_인상시부담액(임,단협(1).04.26수정)" xfId="3674"/>
    <cellStyle name="콤_IQS00년 상반기보고000520(소장)-1.xls Chart 158_사장님IQS개선회의(조립생기팀0816)_인상시부담액(임,단협(1).04.26수정)_다대포 해수욕장-내역서" xfId="3675"/>
    <cellStyle name="콤_IQS00년 상반기보고000520(소장)-1.xls Chart 158_사장님IQS개선회의(조립생기팀0816)_인상시부담액(임,단협(1).04.26수정)_조형물 내역서(원본)" xfId="3676"/>
    <cellStyle name="콤_IQS00년 상반기보고000520(소장)-1.xls Chart 158_사장님IQS개선회의(조립생기팀0816)_조형물 내역서(원본)" xfId="3677"/>
    <cellStyle name="콤_IQS00년 상반기보고000520(소장)-1.xls Chart 158_인상시부담액(임,단협(1).04.26수정)" xfId="3678"/>
    <cellStyle name="콤_IQS00년 상반기보고000520(소장)-1.xls Chart 158_인상시부담액(임,단협(1).04.26수정)_다대포 해수욕장-내역서" xfId="3679"/>
    <cellStyle name="콤_IQS00년 상반기보고000520(소장)-1.xls Chart 158_인상시부담액(임,단협(1).04.26수정)_조형물 내역서(원본)" xfId="3680"/>
    <cellStyle name="콤_IQS00년 상반기보고000520(소장)-1.xls Chart 158_정이사님보고0907" xfId="3681"/>
    <cellStyle name="콤_IQS00년 상반기보고000520(소장)-1.xls Chart 158_정이사님보고0907_Book1" xfId="3682"/>
    <cellStyle name="콤_IQS00년 상반기보고000520(소장)-1.xls Chart 158_정이사님보고0907_Book1_다대포 해수욕장-내역서" xfId="3683"/>
    <cellStyle name="콤_IQS00년 상반기보고000520(소장)-1.xls Chart 158_정이사님보고0907_Book1_조형물 내역서(원본)" xfId="3684"/>
    <cellStyle name="콤_IQS00년 상반기보고000520(소장)-1.xls Chart 158_정이사님보고0907_다대포 해수욕장-내역서" xfId="3685"/>
    <cellStyle name="콤_IQS00년 상반기보고000520(소장)-1.xls Chart 158_정이사님보고0907_인상시부담액(임,단협(1).04.26수정)" xfId="3686"/>
    <cellStyle name="콤_IQS00년 상반기보고000520(소장)-1.xls Chart 158_정이사님보고0907_인상시부담액(임,단협(1).04.26수정)_다대포 해수욕장-내역서" xfId="3687"/>
    <cellStyle name="콤_IQS00년 상반기보고000520(소장)-1.xls Chart 158_정이사님보고0907_인상시부담액(임,단협(1).04.26수정)_조형물 내역서(원본)" xfId="3688"/>
    <cellStyle name="콤_IQS00년 상반기보고000520(소장)-1.xls Chart 158_정이사님보고0907_조형물 내역서(원본)" xfId="3689"/>
    <cellStyle name="콤_IQS00년 상반기보고000520(소장)-1.xls Chart 158_조형물 내역서(원본)" xfId="3690"/>
    <cellStyle name="콤_IQS00년 상반기보고000520(소장)-1.xls Chart 160" xfId="3691"/>
    <cellStyle name="콤_IQS00년 상반기보고000520(소장)-1.xls Chart 160_Book1" xfId="3692"/>
    <cellStyle name="콤_IQS00년 상반기보고000520(소장)-1.xls Chart 160_Book1_다대포 해수욕장-내역서" xfId="3693"/>
    <cellStyle name="콤_IQS00년 상반기보고000520(소장)-1.xls Chart 160_Book1_조형물 내역서(원본)" xfId="3694"/>
    <cellStyle name="콤_IQS00년 상반기보고000520(소장)-1.xls Chart 160_다대포 해수욕장-내역서" xfId="3695"/>
    <cellStyle name="콤_IQS00년 상반기보고000520(소장)-1.xls Chart 160_사장님IQS개선회의(조립생기팀0816)" xfId="3696"/>
    <cellStyle name="콤_IQS00년 상반기보고000520(소장)-1.xls Chart 160_사장님IQS개선회의(조립생기팀0816)_Book1" xfId="3697"/>
    <cellStyle name="콤_IQS00년 상반기보고000520(소장)-1.xls Chart 160_사장님IQS개선회의(조립생기팀0816)_Book1_다대포 해수욕장-내역서" xfId="3698"/>
    <cellStyle name="콤_IQS00년 상반기보고000520(소장)-1.xls Chart 160_사장님IQS개선회의(조립생기팀0816)_Book1_조형물 내역서(원본)" xfId="3699"/>
    <cellStyle name="콤_IQS00년 상반기보고000520(소장)-1.xls Chart 160_사장님IQS개선회의(조립생기팀0816)_다대포 해수욕장-내역서" xfId="3700"/>
    <cellStyle name="콤_IQS00년 상반기보고000520(소장)-1.xls Chart 160_사장님IQS개선회의(조립생기팀0816)_인상시부담액(임,단협(1).04.26수정)" xfId="3701"/>
    <cellStyle name="콤_IQS00년 상반기보고000520(소장)-1.xls Chart 160_사장님IQS개선회의(조립생기팀0816)_인상시부담액(임,단협(1).04.26수정)_다대포 해수욕장-내역서" xfId="3702"/>
    <cellStyle name="콤_IQS00년 상반기보고000520(소장)-1.xls Chart 160_사장님IQS개선회의(조립생기팀0816)_인상시부담액(임,단협(1).04.26수정)_조형물 내역서(원본)" xfId="3703"/>
    <cellStyle name="콤_IQS00년 상반기보고000520(소장)-1.xls Chart 160_사장님IQS개선회의(조립생기팀0816)_조형물 내역서(원본)" xfId="3704"/>
    <cellStyle name="콤_IQS00년 상반기보고000520(소장)-1.xls Chart 160_인상시부담액(임,단협(1).04.26수정)" xfId="3705"/>
    <cellStyle name="콤_IQS00년 상반기보고000520(소장)-1.xls Chart 160_인상시부담액(임,단협(1).04.26수정)_다대포 해수욕장-내역서" xfId="3706"/>
    <cellStyle name="콤_IQS00년 상반기보고000520(소장)-1.xls Chart 160_인상시부담액(임,단협(1).04.26수정)_조형물 내역서(원본)" xfId="3707"/>
    <cellStyle name="콤_IQS00년 상반기보고000520(소장)-1.xls Chart 160_정이사님보고0907" xfId="3708"/>
    <cellStyle name="콤_IQS00년 상반기보고000520(소장)-1.xls Chart 160_정이사님보고0907_Book1" xfId="3709"/>
    <cellStyle name="콤_IQS00년 상반기보고000520(소장)-1.xls Chart 160_정이사님보고0907_Book1_다대포 해수욕장-내역서" xfId="3710"/>
    <cellStyle name="콤_IQS00년 상반기보고000520(소장)-1.xls Chart 160_정이사님보고0907_Book1_조형물 내역서(원본)" xfId="3711"/>
    <cellStyle name="콤_IQS00년 상반기보고000520(소장)-1.xls Chart 160_정이사님보고0907_다대포 해수욕장-내역서" xfId="3712"/>
    <cellStyle name="콤_IQS00년 상반기보고000520(소장)-1.xls Chart 160_정이사님보고0907_인상시부담액(임,단협(1).04.26수정)" xfId="3713"/>
    <cellStyle name="콤_IQS00년 상반기보고000520(소장)-1.xls Chart 160_정이사님보고0907_인상시부담액(임,단협(1).04.26수정)_다대포 해수욕장-내역서" xfId="3714"/>
    <cellStyle name="콤_IQS00년 상반기보고000520(소장)-1.xls Chart 160_정이사님보고0907_인상시부담액(임,단협(1).04.26수정)_조형물 내역서(원본)" xfId="3715"/>
    <cellStyle name="콤_IQS00년 상반기보고000520(소장)-1.xls Chart 160_정이사님보고0907_조형물 내역서(원본)" xfId="3716"/>
    <cellStyle name="콤_IQS00년 상반기보고000520(소장)-1.xls Chart 160_조형물 내역서(원본)" xfId="3717"/>
    <cellStyle name="콤_IQS00년 상반기보고000520(소장)-1.xls Chart 161" xfId="3718"/>
    <cellStyle name="콤_IQS00년 상반기보고000520(소장)-1.xls Chart 161_Book1" xfId="3719"/>
    <cellStyle name="콤_IQS00년 상반기보고000520(소장)-1.xls Chart 161_Book1_다대포 해수욕장-내역서" xfId="3720"/>
    <cellStyle name="콤_IQS00년 상반기보고000520(소장)-1.xls Chart 161_Book1_조형물 내역서(원본)" xfId="3721"/>
    <cellStyle name="콤_IQS00년 상반기보고000520(소장)-1.xls Chart 161_다대포 해수욕장-내역서" xfId="3722"/>
    <cellStyle name="콤_IQS00년 상반기보고000520(소장)-1.xls Chart 161_사장님IQS개선회의(조립생기팀0816)" xfId="3723"/>
    <cellStyle name="콤_IQS00년 상반기보고000520(소장)-1.xls Chart 161_사장님IQS개선회의(조립생기팀0816)_Book1" xfId="3724"/>
    <cellStyle name="콤_IQS00년 상반기보고000520(소장)-1.xls Chart 161_사장님IQS개선회의(조립생기팀0816)_Book1_다대포 해수욕장-내역서" xfId="3725"/>
    <cellStyle name="콤_IQS00년 상반기보고000520(소장)-1.xls Chart 161_사장님IQS개선회의(조립생기팀0816)_Book1_조형물 내역서(원본)" xfId="3726"/>
    <cellStyle name="콤_IQS00년 상반기보고000520(소장)-1.xls Chart 161_사장님IQS개선회의(조립생기팀0816)_다대포 해수욕장-내역서" xfId="3727"/>
    <cellStyle name="콤_IQS00년 상반기보고000520(소장)-1.xls Chart 161_사장님IQS개선회의(조립생기팀0816)_인상시부담액(임,단협(1).04.26수정)" xfId="3728"/>
    <cellStyle name="콤_IQS00년 상반기보고000520(소장)-1.xls Chart 161_사장님IQS개선회의(조립생기팀0816)_인상시부담액(임,단협(1).04.26수정)_다대포 해수욕장-내역서" xfId="3729"/>
    <cellStyle name="콤_IQS00년 상반기보고000520(소장)-1.xls Chart 161_사장님IQS개선회의(조립생기팀0816)_인상시부담액(임,단협(1).04.26수정)_조형물 내역서(원본)" xfId="3730"/>
    <cellStyle name="콤_IQS00년 상반기보고000520(소장)-1.xls Chart 161_사장님IQS개선회의(조립생기팀0816)_조형물 내역서(원본)" xfId="3731"/>
    <cellStyle name="콤_IQS00년 상반기보고000520(소장)-1.xls Chart 161_인상시부담액(임,단협(1).04.26수정)" xfId="3732"/>
    <cellStyle name="콤_IQS00년 상반기보고000520(소장)-1.xls Chart 161_인상시부담액(임,단협(1).04.26수정)_다대포 해수욕장-내역서" xfId="3733"/>
    <cellStyle name="콤_IQS00년 상반기보고000520(소장)-1.xls Chart 161_인상시부담액(임,단협(1).04.26수정)_조형물 내역서(원본)" xfId="3734"/>
    <cellStyle name="콤_IQS00년 상반기보고000520(소장)-1.xls Chart 161_정이사님보고0907" xfId="3735"/>
    <cellStyle name="콤_IQS00년 상반기보고000520(소장)-1.xls Chart 161_정이사님보고0907_Book1" xfId="3736"/>
    <cellStyle name="콤_IQS00년 상반기보고000520(소장)-1.xls Chart 161_정이사님보고0907_Book1_다대포 해수욕장-내역서" xfId="3737"/>
    <cellStyle name="콤_IQS00년 상반기보고000520(소장)-1.xls Chart 161_정이사님보고0907_Book1_조형물 내역서(원본)" xfId="3738"/>
    <cellStyle name="콤_IQS00년 상반기보고000520(소장)-1.xls Chart 161_정이사님보고0907_다대포 해수욕장-내역서" xfId="3739"/>
    <cellStyle name="콤_IQS00년 상반기보고000520(소장)-1.xls Chart 161_정이사님보고0907_인상시부담액(임,단협(1).04.26수정)" xfId="3740"/>
    <cellStyle name="콤_IQS00년 상반기보고000520(소장)-1.xls Chart 161_정이사님보고0907_인상시부담액(임,단협(1).04.26수정)_다대포 해수욕장-내역서" xfId="3741"/>
    <cellStyle name="콤_IQS00년 상반기보고000520(소장)-1.xls Chart 161_정이사님보고0907_인상시부담액(임,단협(1).04.26수정)_조형물 내역서(원본)" xfId="3742"/>
    <cellStyle name="콤_IQS00년 상반기보고000520(소장)-1.xls Chart 161_정이사님보고0907_조형물 내역서(원본)" xfId="3743"/>
    <cellStyle name="콤_IQS00년 상반기보고000520(소장)-1.xls Chart 161_조형물 내역서(원본)" xfId="3744"/>
    <cellStyle name="콤_IQS00년 상반기보고000520(소장)-1_Book1" xfId="3745"/>
    <cellStyle name="콤_IQS00년 상반기보고000520(소장)-1_Book1_다대포 해수욕장-내역서" xfId="3746"/>
    <cellStyle name="콤_IQS00년 상반기보고000520(소장)-1_Book1_조형물 내역서(원본)" xfId="3747"/>
    <cellStyle name="콤_IQS00년 상반기보고000520(소장)-1_다대포 해수욕장-내역서" xfId="3748"/>
    <cellStyle name="콤_IQS00년 상반기보고000520(소장)-1_사장님IQS개선회의(조립생기팀0816)" xfId="3749"/>
    <cellStyle name="콤_IQS00년 상반기보고000520(소장)-1_사장님IQS개선회의(조립생기팀0816)_Book1" xfId="3750"/>
    <cellStyle name="콤_IQS00년 상반기보고000520(소장)-1_사장님IQS개선회의(조립생기팀0816)_Book1_다대포 해수욕장-내역서" xfId="3751"/>
    <cellStyle name="콤_IQS00년 상반기보고000520(소장)-1_사장님IQS개선회의(조립생기팀0816)_Book1_조형물 내역서(원본)" xfId="3752"/>
    <cellStyle name="콤_IQS00년 상반기보고000520(소장)-1_사장님IQS개선회의(조립생기팀0816)_다대포 해수욕장-내역서" xfId="3753"/>
    <cellStyle name="콤_IQS00년 상반기보고000520(소장)-1_사장님IQS개선회의(조립생기팀0816)_인상시부담액(임,단협(1).04.26수정)" xfId="3754"/>
    <cellStyle name="콤_IQS00년 상반기보고000520(소장)-1_사장님IQS개선회의(조립생기팀0816)_인상시부담액(임,단협(1).04.26수정)_다대포 해수욕장-내역서" xfId="3755"/>
    <cellStyle name="콤_IQS00년 상반기보고000520(소장)-1_사장님IQS개선회의(조립생기팀0816)_인상시부담액(임,단협(1).04.26수정)_조형물 내역서(원본)" xfId="3756"/>
    <cellStyle name="콤_IQS00년 상반기보고000520(소장)-1_사장님IQS개선회의(조립생기팀0816)_조형물 내역서(원본)" xfId="3757"/>
    <cellStyle name="콤_IQS00년 상반기보고000520(소장)-1_인상시부담액(임,단협(1).04.26수정)" xfId="3758"/>
    <cellStyle name="콤_IQS00년 상반기보고000520(소장)-1_인상시부담액(임,단협(1).04.26수정)_다대포 해수욕장-내역서" xfId="3759"/>
    <cellStyle name="콤_IQS00년 상반기보고000520(소장)-1_인상시부담액(임,단협(1).04.26수정)_조형물 내역서(원본)" xfId="3760"/>
    <cellStyle name="콤_IQS00년 상반기보고000520(소장)-1_정이사님보고0907" xfId="3761"/>
    <cellStyle name="콤_IQS00년 상반기보고000520(소장)-1_정이사님보고0907_Book1" xfId="3762"/>
    <cellStyle name="콤_IQS00년 상반기보고000520(소장)-1_정이사님보고0907_Book1_다대포 해수욕장-내역서" xfId="3763"/>
    <cellStyle name="콤_IQS00년 상반기보고000520(소장)-1_정이사님보고0907_Book1_조형물 내역서(원본)" xfId="3764"/>
    <cellStyle name="콤_IQS00년 상반기보고000520(소장)-1_정이사님보고0907_다대포 해수욕장-내역서" xfId="3765"/>
    <cellStyle name="콤_IQS00년 상반기보고000520(소장)-1_정이사님보고0907_인상시부담액(임,단협(1).04.26수정)" xfId="3766"/>
    <cellStyle name="콤_IQS00년 상반기보고000520(소장)-1_정이사님보고0907_인상시부담액(임,단협(1).04.26수정)_다대포 해수욕장-내역서" xfId="3767"/>
    <cellStyle name="콤_IQS00년 상반기보고000520(소장)-1_정이사님보고0907_인상시부담액(임,단협(1).04.26수정)_조형물 내역서(원본)" xfId="3768"/>
    <cellStyle name="콤_IQS00년 상반기보고000520(소장)-1_정이사님보고0907_조형물 내역서(원본)" xfId="3769"/>
    <cellStyle name="콤_IQS00년 상반기보고000520(소장)-1_조형물 내역서(원본)" xfId="3770"/>
    <cellStyle name="콤_고련지2제당" xfId="12112"/>
    <cellStyle name="콤_고련지2제당_고련지2제당" xfId="12113"/>
    <cellStyle name="콤_공사비도급내역(비상방수문-변경1)" xfId="12114"/>
    <cellStyle name="콤_다대포 해수욕장-내역서" xfId="3771"/>
    <cellStyle name="콤_다대포 해수욕장-내역서 2" xfId="4576"/>
    <cellStyle name="콤_다대포 해수욕장-내역서 3" xfId="4553"/>
    <cellStyle name="콤_다대포 해수욕장-내역서_5공구 내역서" xfId="3772"/>
    <cellStyle name="콤_다대포 해수욕장-내역서_5공구 내역서1" xfId="3773"/>
    <cellStyle name="콤_다대포 해수욕장-내역서_경관조명-내역서(20100423)" xfId="3774"/>
    <cellStyle name="콤_다대포 해수욕장-내역서_경관조명-내역서(20100726)" xfId="3775"/>
    <cellStyle name="콤_다대포 해수욕장-내역서_경관조명-내역서(20100803)" xfId="3776"/>
    <cellStyle name="콤_다대포 해수욕장-내역서_계남고가 내역서" xfId="3777"/>
    <cellStyle name="콤_다대포 해수욕장-내역서_계남고가 내역서1111" xfId="3778"/>
    <cellStyle name="콤_다대포 해수욕장-내역서_남한강내역서" xfId="3779"/>
    <cellStyle name="콤_다대포 해수욕장-내역서_내역서" xfId="3780"/>
    <cellStyle name="콤_다대포 해수욕장-내역서_대청호 내역서" xfId="3781"/>
    <cellStyle name="콤_다대포 해수욕장-내역서_대청호 내역서-4.9억%" xfId="3782"/>
    <cellStyle name="콤_다대포 해수욕장-내역서_대청호 내역서-4.9억%(그라비스 수정)" xfId="3783"/>
    <cellStyle name="콤_다대포 해수욕장-내역서_보도블럭-1" xfId="3784"/>
    <cellStyle name="콤_다대포 해수욕장-내역서_위천천 내역서" xfId="3785"/>
    <cellStyle name="콤_다대포 해수욕장-내역서_전호대교-내역서(교량)-수정" xfId="3786"/>
    <cellStyle name="콤_다대포 해수욕장-내역서_하늘도시" xfId="3787"/>
    <cellStyle name="콤_다대포 해수욕장-내역서_하천 내역서" xfId="3788"/>
    <cellStyle name="콤_동월농로" xfId="12115"/>
    <cellStyle name="콤_동월농로(변경)" xfId="12116"/>
    <cellStyle name="콤_동월농로1" xfId="12117"/>
    <cellStyle name="콤_배수공" xfId="12118"/>
    <cellStyle name="콤_변경설계서" xfId="12119"/>
    <cellStyle name="콤_변경설계서(스라브13.5M)" xfId="12120"/>
    <cellStyle name="콤_부대공" xfId="12121"/>
    <cellStyle name="콤_부대공사" xfId="12122"/>
    <cellStyle name="콤_부대공사단위수량" xfId="12123"/>
    <cellStyle name="콤_사본 - 계산서" xfId="3789"/>
    <cellStyle name="콤_사본 - 고련지구2004년변경공정계획(농조)" xfId="12124"/>
    <cellStyle name="콤_사본 - 고련지구2004년변경공정계획(농조)_고련지2제당" xfId="12125"/>
    <cellStyle name="콤_사본 - 고련지구2004년변경공정계획(농조)_고련지추가변경(우치곡)" xfId="12126"/>
    <cellStyle name="콤_사본 - 고련지구2004년변경공정계획(농조)_고련지추가변경(우치곡)_고련지2제당" xfId="12127"/>
    <cellStyle name="콤_사본 - 고련지구2004년변경공정계획(농조)_고련지추가변경(우치곡)_고련지2제당_고련지2제당" xfId="12128"/>
    <cellStyle name="콤_서암지공사비1(제당변경완)" xfId="12129"/>
    <cellStyle name="콤_서암지공사비1(제당변경완)_함안지구2005(여수토)실형고(수정1)" xfId="12130"/>
    <cellStyle name="콤_서암지공사비1(제당변경완)_함안지구2005(여수토)실형고(수정1)_덕실지구2005(여수토)실형고" xfId="12131"/>
    <cellStyle name="콤_서암지공사비1(제당변경완)_함안지구2005(여수토)실형고(수정1)_함안지구2005(여수토)실형고(수정2)" xfId="12132"/>
    <cellStyle name="콤_서암지실형내역" xfId="12133"/>
    <cellStyle name="콤_서암지실형내역_함안지구2005(여수토)실형고(수정1)" xfId="12134"/>
    <cellStyle name="콤_서암지실형내역_함안지구2005(여수토)실형고(수정1)_덕실지구2005(여수토)실형고" xfId="12135"/>
    <cellStyle name="콤_서암지실형내역_함안지구2005(여수토)실형고(수정1)_함안지구2005(여수토)실형고(수정2)" xfId="12136"/>
    <cellStyle name="콤_석촌동꽃마을빌딩" xfId="3790"/>
    <cellStyle name="콤_성산아파트" xfId="3791"/>
    <cellStyle name="콤_솔빛마을연결도로(최종)" xfId="12137"/>
    <cellStyle name="콤_수량산출서(수정)" xfId="12138"/>
    <cellStyle name="콤_수량산출서(수정)_01-토공_02-배수공" xfId="6155"/>
    <cellStyle name="콤_수량산출서(수정)_01-토공_02-배수공_2차설계변경내역서(2007굴착)" xfId="6156"/>
    <cellStyle name="콤_수량산출서(수정)_01-토공_02-배수공_Sheet1" xfId="6157"/>
    <cellStyle name="콤_수량산출서(수정)_01-토공_02-배수공_갑지" xfId="6158"/>
    <cellStyle name="콤_수량산출서(수정)_01-토공_02-배수공_관급자재" xfId="6159"/>
    <cellStyle name="콤_수량산출서(수정)_01-토공_02-배수공_이설비" xfId="6160"/>
    <cellStyle name="콤_수량산출서(수정)_01-토공_02-배수공_토공" xfId="6161"/>
    <cellStyle name="콤_수량산출서(수정)_01-토공_02-배수공_토공_2차설계변경내역서(2007굴착)" xfId="6162"/>
    <cellStyle name="콤_수량산출서(수정)_01-토공_02-배수공_토공_Sheet1" xfId="6163"/>
    <cellStyle name="콤_수량산출서(수정)_01-토공_02-배수공_토공_갑지" xfId="6164"/>
    <cellStyle name="콤_수량산출서(수정)_01-토공_02-배수공_토공_관급자재" xfId="6165"/>
    <cellStyle name="콤_수량산출서(수정)_01-토공_02-배수공_토공_이설비" xfId="6166"/>
    <cellStyle name="콤_수량산출서(수정)_02-배수공" xfId="6167"/>
    <cellStyle name="콤_수량산출서(수정)_02-배수공_02-반중력식옹벽" xfId="6168"/>
    <cellStyle name="콤_수량산출서(수정)_02-배수공_02-반중력식옹벽_2차설계변경내역서(2007굴착)" xfId="6169"/>
    <cellStyle name="콤_수량산출서(수정)_02-배수공_02-반중력식옹벽_Sheet1" xfId="6170"/>
    <cellStyle name="콤_수량산출서(수정)_02-배수공_02-반중력식옹벽_갑지" xfId="6171"/>
    <cellStyle name="콤_수량산출서(수정)_02-배수공_02-반중력식옹벽_관급자재" xfId="6172"/>
    <cellStyle name="콤_수량산출서(수정)_02-배수공_02-반중력식옹벽_이설비" xfId="6173"/>
    <cellStyle name="콤_수량산출서(수정)_02-배수공_02-반중력식옹벽_토공" xfId="6174"/>
    <cellStyle name="콤_수량산출서(수정)_02-배수공_02-반중력식옹벽_토공_2차설계변경내역서(2007굴착)" xfId="6175"/>
    <cellStyle name="콤_수량산출서(수정)_02-배수공_02-반중력식옹벽_토공_Sheet1" xfId="6176"/>
    <cellStyle name="콤_수량산출서(수정)_02-배수공_02-반중력식옹벽_토공_갑지" xfId="6177"/>
    <cellStyle name="콤_수량산출서(수정)_02-배수공_02-반중력식옹벽_토공_관급자재" xfId="6178"/>
    <cellStyle name="콤_수량산출서(수정)_02-배수공_02-반중력식옹벽_토공_이설비" xfId="6179"/>
    <cellStyle name="콤_수량산출서(수정)_02-배수공_02-배수공" xfId="6180"/>
    <cellStyle name="콤_수량산출서(수정)_02-배수공_02-배수공_2차설계변경내역서(2007굴착)" xfId="6181"/>
    <cellStyle name="콤_수량산출서(수정)_02-배수공_02-배수공_Sheet1" xfId="6182"/>
    <cellStyle name="콤_수량산출서(수정)_02-배수공_02-배수공_갑지" xfId="6183"/>
    <cellStyle name="콤_수량산출서(수정)_02-배수공_02-배수공_관급자재" xfId="6184"/>
    <cellStyle name="콤_수량산출서(수정)_02-배수공_02-배수공_이설비" xfId="6185"/>
    <cellStyle name="콤_수량산출서(수정)_02-배수공_02-배수공_토공" xfId="6186"/>
    <cellStyle name="콤_수량산출서(수정)_02-배수공_02-배수공_토공_2차설계변경내역서(2007굴착)" xfId="6187"/>
    <cellStyle name="콤_수량산출서(수정)_02-배수공_02-배수공_토공_Sheet1" xfId="6188"/>
    <cellStyle name="콤_수량산출서(수정)_02-배수공_02-배수공_토공_갑지" xfId="6189"/>
    <cellStyle name="콤_수량산출서(수정)_02-배수공_02-배수공_토공_관급자재" xfId="6190"/>
    <cellStyle name="콤_수량산출서(수정)_02-배수공_02-배수공_토공_이설비" xfId="6191"/>
    <cellStyle name="콤_수량산출서(수정)_02-배수공_2차설계변경내역서(2007굴착)" xfId="6192"/>
    <cellStyle name="콤_수량산출서(수정)_02-배수공_Sheet1" xfId="6193"/>
    <cellStyle name="콤_수량산출서(수정)_02-배수공_갑지" xfId="6194"/>
    <cellStyle name="콤_수량산출서(수정)_02-배수공_관급자재" xfId="6195"/>
    <cellStyle name="콤_수량산출서(수정)_02-배수공_반중력" xfId="6196"/>
    <cellStyle name="콤_수량산출서(수정)_02-배수공_반중력_2차설계변경내역서(2007굴착)" xfId="6197"/>
    <cellStyle name="콤_수량산출서(수정)_02-배수공_반중력_Sheet1" xfId="6198"/>
    <cellStyle name="콤_수량산출서(수정)_02-배수공_반중력_갑지" xfId="6199"/>
    <cellStyle name="콤_수량산출서(수정)_02-배수공_반중력_관급자재" xfId="6200"/>
    <cellStyle name="콤_수량산출서(수정)_02-배수공_반중력_이설비" xfId="6201"/>
    <cellStyle name="콤_수량산출서(수정)_02-배수공_반중력_토공" xfId="6202"/>
    <cellStyle name="콤_수량산출서(수정)_02-배수공_반중력_토공_2차설계변경내역서(2007굴착)" xfId="6203"/>
    <cellStyle name="콤_수량산출서(수정)_02-배수공_반중력_토공_Sheet1" xfId="6204"/>
    <cellStyle name="콤_수량산출서(수정)_02-배수공_반중력_토공_갑지" xfId="6205"/>
    <cellStyle name="콤_수량산출서(수정)_02-배수공_반중력_토공_관급자재" xfId="6206"/>
    <cellStyle name="콤_수량산출서(수정)_02-배수공_반중력_토공_이설비" xfId="6207"/>
    <cellStyle name="콤_수량산출서(수정)_02-배수공_이설비" xfId="6208"/>
    <cellStyle name="콤_수량산출서(수정)_02-배수공_토공" xfId="6209"/>
    <cellStyle name="콤_수량산출서(수정)_02-배수공_토공_2차설계변경내역서(2007굴착)" xfId="6210"/>
    <cellStyle name="콤_수량산출서(수정)_02-배수공_토공_Sheet1" xfId="6211"/>
    <cellStyle name="콤_수량산출서(수정)_02-배수공_토공_갑지" xfId="6212"/>
    <cellStyle name="콤_수량산출서(수정)_02-배수공_토공_관급자재" xfId="6213"/>
    <cellStyle name="콤_수량산출서(수정)_02-배수공_토공_이설비" xfId="6214"/>
    <cellStyle name="콤_수량산출서(수정)_04-포장공_02-배수공" xfId="6215"/>
    <cellStyle name="콤_수량산출서(수정)_04-포장공_02-배수공_2차설계변경내역서(2007굴착)" xfId="6216"/>
    <cellStyle name="콤_수량산출서(수정)_04-포장공_02-배수공_Sheet1" xfId="6217"/>
    <cellStyle name="콤_수량산출서(수정)_04-포장공_02-배수공_갑지" xfId="6218"/>
    <cellStyle name="콤_수량산출서(수정)_04-포장공_02-배수공_관급자재" xfId="6219"/>
    <cellStyle name="콤_수량산출서(수정)_04-포장공_02-배수공_이설비" xfId="6220"/>
    <cellStyle name="콤_수량산출서(수정)_04-포장공_02-배수공_토공" xfId="6221"/>
    <cellStyle name="콤_수량산출서(수정)_04-포장공_02-배수공_토공_2차설계변경내역서(2007굴착)" xfId="6222"/>
    <cellStyle name="콤_수량산출서(수정)_04-포장공_02-배수공_토공_Sheet1" xfId="6223"/>
    <cellStyle name="콤_수량산출서(수정)_04-포장공_02-배수공_토공_갑지" xfId="6224"/>
    <cellStyle name="콤_수량산출서(수정)_04-포장공_02-배수공_토공_관급자재" xfId="6225"/>
    <cellStyle name="콤_수량산출서(수정)_04-포장공_02-배수공_토공_이설비" xfId="6226"/>
    <cellStyle name="콤_수량산출서(수정)_06-부대공_02-배수공" xfId="6227"/>
    <cellStyle name="콤_수량산출서(수정)_06-부대공_02-배수공_2차설계변경내역서(2007굴착)" xfId="6228"/>
    <cellStyle name="콤_수량산출서(수정)_06-부대공_02-배수공_Sheet1" xfId="6229"/>
    <cellStyle name="콤_수량산출서(수정)_06-부대공_02-배수공_갑지" xfId="6230"/>
    <cellStyle name="콤_수량산출서(수정)_06-부대공_02-배수공_관급자재" xfId="6231"/>
    <cellStyle name="콤_수량산출서(수정)_06-부대공_02-배수공_이설비" xfId="6232"/>
    <cellStyle name="콤_수량산출서(수정)_06-부대공_02-배수공_토공" xfId="6233"/>
    <cellStyle name="콤_수량산출서(수정)_06-부대공_02-배수공_토공_2차설계변경내역서(2007굴착)" xfId="6234"/>
    <cellStyle name="콤_수량산출서(수정)_06-부대공_02-배수공_토공_Sheet1" xfId="6235"/>
    <cellStyle name="콤_수량산출서(수정)_06-부대공_02-배수공_토공_갑지" xfId="6236"/>
    <cellStyle name="콤_수량산출서(수정)_06-부대공_02-배수공_토공_관급자재" xfId="6237"/>
    <cellStyle name="콤_수량산출서(수정)_06-부대공_02-배수공_토공_이설비" xfId="6238"/>
    <cellStyle name="콤_수량산출서(수정)_3. 신광R~숭의R(배수공)" xfId="12139"/>
    <cellStyle name="콤_수량산출서(수정)_고련지2제당" xfId="12140"/>
    <cellStyle name="콤_수량산출서(수정)_고련지2제당_고련지2제당" xfId="12141"/>
    <cellStyle name="콤_수량산출서(수정)_공사비도급내역(비상방수문-변경1)" xfId="12142"/>
    <cellStyle name="콤_수량산출서(수정)_배수공" xfId="12143"/>
    <cellStyle name="콤_수량산출서(수정)_사본 - 고련지구2004년변경공정계획(농조)" xfId="12144"/>
    <cellStyle name="콤_수량산출서(수정)_사본 - 고련지구2004년변경공정계획(농조)_고련지2제당" xfId="12145"/>
    <cellStyle name="콤_수량산출서(수정)_사본 - 고련지구2004년변경공정계획(농조)_고련지추가변경(우치곡)" xfId="12146"/>
    <cellStyle name="콤_수량산출서(수정)_사본 - 고련지구2004년변경공정계획(농조)_고련지추가변경(우치곡)_고련지2제당" xfId="12147"/>
    <cellStyle name="콤_수량산출서(수정)_사본 - 고련지구2004년변경공정계획(농조)_고련지추가변경(우치곡)_고련지2제당_고련지2제당" xfId="12148"/>
    <cellStyle name="콤_수량산출서(수정)_서암지공사비1(제당변경완)" xfId="12149"/>
    <cellStyle name="콤_수량산출서(수정)_서암지공사비1(제당변경완)_함안지구2005(여수토)실형고(수정1)" xfId="12150"/>
    <cellStyle name="콤_수량산출서(수정)_서암지공사비1(제당변경완)_함안지구2005(여수토)실형고(수정1)_덕실지구2005(여수토)실형고" xfId="12151"/>
    <cellStyle name="콤_수량산출서(수정)_서암지공사비1(제당변경완)_함안지구2005(여수토)실형고(수정1)_함안지구2005(여수토)실형고(수정2)" xfId="12152"/>
    <cellStyle name="콤_수량산출서(수정)_서암지실형내역" xfId="12153"/>
    <cellStyle name="콤_수량산출서(수정)_서암지실형내역_함안지구2005(여수토)실형고(수정1)" xfId="12154"/>
    <cellStyle name="콤_수량산출서(수정)_서암지실형내역_함안지구2005(여수토)실형고(수정1)_덕실지구2005(여수토)실형고" xfId="12155"/>
    <cellStyle name="콤_수량산출서(수정)_서암지실형내역_함안지구2005(여수토)실형고(수정1)_함안지구2005(여수토)실형고(수정2)" xfId="12156"/>
    <cellStyle name="콤_수량산출서(수정)_솔빛마을연결도로(최종)" xfId="12157"/>
    <cellStyle name="콤_수량산출서(수정)_실형고관련" xfId="12158"/>
    <cellStyle name="콤_수량산출서(수정)_실형고관련_공사비도급내역(비상방수문-변경1)" xfId="12159"/>
    <cellStyle name="콤_수량산출서(수정)_실형고관련_서암지공사비1(제당변경완)" xfId="12160"/>
    <cellStyle name="콤_수량산출서(수정)_실형고관련_서암지공사비1(제당변경완)_함안지구2005(여수토)실형고(수정1)" xfId="12161"/>
    <cellStyle name="콤_수량산출서(수정)_실형고관련_서암지공사비1(제당변경완)_함안지구2005(여수토)실형고(수정1)_덕실지구2005(여수토)실형고" xfId="12162"/>
    <cellStyle name="콤_수량산출서(수정)_실형고관련_서암지공사비1(제당변경완)_함안지구2005(여수토)실형고(수정1)_함안지구2005(여수토)실형고(수정2)" xfId="12163"/>
    <cellStyle name="콤_수량산출서(수정)_실형고관련_서암지실형내역" xfId="12164"/>
    <cellStyle name="콤_수량산출서(수정)_실형고관련_서암지실형내역_함안지구2005(여수토)실형고(수정1)" xfId="12165"/>
    <cellStyle name="콤_수량산출서(수정)_실형고관련_서암지실형내역_함안지구2005(여수토)실형고(수정1)_덕실지구2005(여수토)실형고" xfId="12166"/>
    <cellStyle name="콤_수량산출서(수정)_실형고관련_서암지실형내역_함안지구2005(여수토)실형고(수정1)_함안지구2005(여수토)실형고(수정2)" xfId="12167"/>
    <cellStyle name="콤_수량산출서(수정)_실형고관련_함안지구2005(여수토)실형고(수정1)" xfId="12168"/>
    <cellStyle name="콤_수량산출서(수정)_실형고관련_함안지구2005(여수토)실형고(수정1)_덕실지구2005(여수토)실형고" xfId="12169"/>
    <cellStyle name="콤_수량산출서(수정)_실형고관련_함안지구2005(여수토)실형고(수정1)_함안지구2005(여수토)실형고(수정2)" xfId="12170"/>
    <cellStyle name="콤_수량산출서(수정)_함안지구2005(여수토)실형고(수정1)" xfId="12171"/>
    <cellStyle name="콤_수량산출서(수정)_함안지구2005(여수토)실형고(수정1)_덕실지구2005(여수토)실형고" xfId="12172"/>
    <cellStyle name="콤_수량산출서(수정)_함안지구2005(여수토)실형고(수정1)_함안지구2005(여수토)실형고(수정2)" xfId="12173"/>
    <cellStyle name="콤_신성교회" xfId="3792"/>
    <cellStyle name="콤_실형고관련" xfId="12174"/>
    <cellStyle name="콤_실형고관련_공사비도급내역(비상방수문-변경1)" xfId="12175"/>
    <cellStyle name="콤_실형고관련_서암지공사비1(제당변경완)" xfId="12176"/>
    <cellStyle name="콤_실형고관련_서암지공사비1(제당변경완)_함안지구2005(여수토)실형고(수정1)" xfId="12177"/>
    <cellStyle name="콤_실형고관련_서암지공사비1(제당변경완)_함안지구2005(여수토)실형고(수정1)_덕실지구2005(여수토)실형고" xfId="12178"/>
    <cellStyle name="콤_실형고관련_서암지공사비1(제당변경완)_함안지구2005(여수토)실형고(수정1)_함안지구2005(여수토)실형고(수정2)" xfId="12179"/>
    <cellStyle name="콤_실형고관련_서암지실형내역" xfId="12180"/>
    <cellStyle name="콤_실형고관련_서암지실형내역_함안지구2005(여수토)실형고(수정1)" xfId="12181"/>
    <cellStyle name="콤_실형고관련_서암지실형내역_함안지구2005(여수토)실형고(수정1)_덕실지구2005(여수토)실형고" xfId="12182"/>
    <cellStyle name="콤_실형고관련_서암지실형내역_함안지구2005(여수토)실형고(수정1)_함안지구2005(여수토)실형고(수정2)" xfId="12183"/>
    <cellStyle name="콤_실형고관련_함안지구2005(여수토)실형고(수정1)" xfId="12184"/>
    <cellStyle name="콤_실형고관련_함안지구2005(여수토)실형고(수정1)_덕실지구2005(여수토)실형고" xfId="12185"/>
    <cellStyle name="콤_실형고관련_함안지구2005(여수토)실형고(수정1)_함안지구2005(여수토)실형고(수정2)" xfId="12186"/>
    <cellStyle name="콤_조형물 내역서(원본)" xfId="3793"/>
    <cellStyle name="콤_조형물 내역서(원본) 2" xfId="4577"/>
    <cellStyle name="콤_조형물 내역서(원본) 3" xfId="4554"/>
    <cellStyle name="콤_조형물 내역서(원본)_5공구 내역서" xfId="3794"/>
    <cellStyle name="콤_조형물 내역서(원본)_5공구 내역서1" xfId="3795"/>
    <cellStyle name="콤_조형물 내역서(원본)_경관조명-내역서(20100423)" xfId="3796"/>
    <cellStyle name="콤_조형물 내역서(원본)_경관조명-내역서(20100726)" xfId="3797"/>
    <cellStyle name="콤_조형물 내역서(원본)_경관조명-내역서(20100803)" xfId="3798"/>
    <cellStyle name="콤_조형물 내역서(원본)_계남고가 내역서" xfId="3799"/>
    <cellStyle name="콤_조형물 내역서(원본)_계남고가 내역서1111" xfId="3800"/>
    <cellStyle name="콤_조형물 내역서(원본)_남한강내역서" xfId="3801"/>
    <cellStyle name="콤_조형물 내역서(원본)_내역서" xfId="3802"/>
    <cellStyle name="콤_조형물 내역서(원본)_대청호 내역서" xfId="3803"/>
    <cellStyle name="콤_조형물 내역서(원본)_대청호 내역서-4.9억%" xfId="3804"/>
    <cellStyle name="콤_조형물 내역서(원본)_대청호 내역서-4.9억%(그라비스 수정)" xfId="3805"/>
    <cellStyle name="콤_조형물 내역서(원본)_보도블럭-1" xfId="3806"/>
    <cellStyle name="콤_조형물 내역서(원본)_위천천 내역서" xfId="3807"/>
    <cellStyle name="콤_조형물 내역서(원본)_전호대교-내역서(교량)-수정" xfId="3808"/>
    <cellStyle name="콤_조형물 내역서(원본)_하늘도시" xfId="3809"/>
    <cellStyle name="콤_조형물 내역서(원본)_하천 내역서" xfId="3810"/>
    <cellStyle name="콤_지수천1수해(전석)" xfId="12187"/>
    <cellStyle name="콤_진북연동소류지" xfId="12188"/>
    <cellStyle name="콤_추동소하천정비공사(설계내역서)" xfId="12189"/>
    <cellStyle name="콤_함안지구2005(여수토)실형고(수정1)" xfId="12190"/>
    <cellStyle name="콤_함안지구2005(여수토)실형고(수정1)_덕실지구2005(여수토)실형고" xfId="12191"/>
    <cellStyle name="콤_함안지구2005(여수토)실형고(수정1)_함안지구2005(여수토)실형고(수정2)" xfId="12192"/>
    <cellStyle name="콤냡?&lt;_x000f_$??: `1_1 " xfId="6605"/>
    <cellStyle name="콤마 [" xfId="3811"/>
    <cellStyle name="콤마 [ 2" xfId="10849"/>
    <cellStyle name="콤마 [#]" xfId="10850"/>
    <cellStyle name="콤마 [#] 2" xfId="10851"/>
    <cellStyle name="콤마 []" xfId="3812"/>
    <cellStyle name="콤마 [] 2" xfId="10852"/>
    <cellStyle name="콤마 [] 2 2" xfId="11368"/>
    <cellStyle name="콤마 [] 2 2 10" xfId="17913"/>
    <cellStyle name="콤마 [] 2 2 11" xfId="15375"/>
    <cellStyle name="콤마 [] 2 2 11 2" xfId="28192"/>
    <cellStyle name="콤마 [] 2 2 12" xfId="23000"/>
    <cellStyle name="콤마 [] 2 2 12 2" xfId="35433"/>
    <cellStyle name="콤마 [] 2 2 13" xfId="21147"/>
    <cellStyle name="콤마 [] 2 2 13 2" xfId="33584"/>
    <cellStyle name="콤마 [] 2 2 14" xfId="18589"/>
    <cellStyle name="콤마 [] 2 2 14 2" xfId="31294"/>
    <cellStyle name="콤마 [] 2 2 15" xfId="19232"/>
    <cellStyle name="콤마 [] 2 2 15 2" xfId="31887"/>
    <cellStyle name="콤마 [] 2 2 16" xfId="20772"/>
    <cellStyle name="콤마 [] 2 2 16 2" xfId="33211"/>
    <cellStyle name="콤마 [] 2 2 17" xfId="22445"/>
    <cellStyle name="콤마 [] 2 2 17 2" xfId="34879"/>
    <cellStyle name="콤마 [] 2 2 18" xfId="18768"/>
    <cellStyle name="콤마 [] 2 2 18 2" xfId="31473"/>
    <cellStyle name="콤마 [] 2 2 19" xfId="18377"/>
    <cellStyle name="콤마 [] 2 2 19 2" xfId="31083"/>
    <cellStyle name="콤마 [] 2 2 2" xfId="16532"/>
    <cellStyle name="콤마 [] 2 2 2 2" xfId="29308"/>
    <cellStyle name="콤마 [] 2 2 20" xfId="23065"/>
    <cellStyle name="콤마 [] 2 2 20 2" xfId="35498"/>
    <cellStyle name="콤마 [] 2 2 21" xfId="24731"/>
    <cellStyle name="콤마 [] 2 2 21 2" xfId="37162"/>
    <cellStyle name="콤마 [] 2 2 22" xfId="24405"/>
    <cellStyle name="콤마 [] 2 2 22 2" xfId="36836"/>
    <cellStyle name="콤마 [] 2 2 23" xfId="22207"/>
    <cellStyle name="콤마 [] 2 2 23 2" xfId="34642"/>
    <cellStyle name="콤마 [] 2 2 24" xfId="25216"/>
    <cellStyle name="콤마 [] 2 2 3" xfId="15072"/>
    <cellStyle name="콤마 [] 2 2 3 2" xfId="27891"/>
    <cellStyle name="콤마 [] 2 2 4" xfId="14116"/>
    <cellStyle name="콤마 [] 2 2 4 2" xfId="26964"/>
    <cellStyle name="콤마 [] 2 2 5" xfId="12834"/>
    <cellStyle name="콤마 [] 2 2 5 2" xfId="25710"/>
    <cellStyle name="콤마 [] 2 2 6" xfId="13952"/>
    <cellStyle name="콤마 [] 2 2 6 2" xfId="26810"/>
    <cellStyle name="콤마 [] 2 2 7" xfId="14864"/>
    <cellStyle name="콤마 [] 2 2 7 2" xfId="27686"/>
    <cellStyle name="콤마 [] 2 2 8" xfId="17896"/>
    <cellStyle name="콤마 [] 2 2 8 2" xfId="30610"/>
    <cellStyle name="콤마 [] 2 2 9" xfId="16576"/>
    <cellStyle name="콤마 [] 2 2 9 2" xfId="29352"/>
    <cellStyle name="콤마 [] 3" xfId="10934"/>
    <cellStyle name="콤마 [] 3 10" xfId="17600"/>
    <cellStyle name="콤마 [] 3 11" xfId="18125"/>
    <cellStyle name="콤마 [] 3 11 2" xfId="30832"/>
    <cellStyle name="콤마 [] 3 12" xfId="22658"/>
    <cellStyle name="콤마 [] 3 12 2" xfId="35092"/>
    <cellStyle name="콤마 [] 3 13" xfId="21504"/>
    <cellStyle name="콤마 [] 3 13 2" xfId="33941"/>
    <cellStyle name="콤마 [] 3 14" xfId="18360"/>
    <cellStyle name="콤마 [] 3 14 2" xfId="31066"/>
    <cellStyle name="콤마 [] 3 15" xfId="22237"/>
    <cellStyle name="콤마 [] 3 15 2" xfId="34672"/>
    <cellStyle name="콤마 [] 3 16" xfId="20507"/>
    <cellStyle name="콤마 [] 3 16 2" xfId="32952"/>
    <cellStyle name="콤마 [] 3 17" xfId="20143"/>
    <cellStyle name="콤마 [] 3 17 2" xfId="32589"/>
    <cellStyle name="콤마 [] 3 18" xfId="18722"/>
    <cellStyle name="콤마 [] 3 18 2" xfId="31427"/>
    <cellStyle name="콤마 [] 3 19" xfId="18797"/>
    <cellStyle name="콤마 [] 3 19 2" xfId="31502"/>
    <cellStyle name="콤마 [] 3 2" xfId="16199"/>
    <cellStyle name="콤마 [] 3 2 2" xfId="28975"/>
    <cellStyle name="콤마 [] 3 20" xfId="19580"/>
    <cellStyle name="콤마 [] 3 20 2" xfId="32035"/>
    <cellStyle name="콤마 [] 3 21" xfId="22152"/>
    <cellStyle name="콤마 [] 3 21 2" xfId="34588"/>
    <cellStyle name="콤마 [] 3 22" xfId="21315"/>
    <cellStyle name="콤마 [] 3 22 2" xfId="33752"/>
    <cellStyle name="콤마 [] 3 23" xfId="23685"/>
    <cellStyle name="콤마 [] 3 23 2" xfId="36116"/>
    <cellStyle name="콤마 [] 3 24" xfId="25115"/>
    <cellStyle name="콤마 [] 3 3" xfId="15255"/>
    <cellStyle name="콤마 [] 3 3 2" xfId="28072"/>
    <cellStyle name="콤마 [] 3 4" xfId="14374"/>
    <cellStyle name="콤마 [] 3 4 2" xfId="27207"/>
    <cellStyle name="콤마 [] 3 5" xfId="17323"/>
    <cellStyle name="콤마 [] 3 5 2" xfId="30052"/>
    <cellStyle name="콤마 [] 3 6" xfId="14711"/>
    <cellStyle name="콤마 [] 3 6 2" xfId="27537"/>
    <cellStyle name="콤마 [] 3 7" xfId="16883"/>
    <cellStyle name="콤마 [] 3 7 2" xfId="29658"/>
    <cellStyle name="콤마 [] 3 8" xfId="14852"/>
    <cellStyle name="콤마 [] 3 8 2" xfId="27675"/>
    <cellStyle name="콤마 [] 3 9" xfId="12974"/>
    <cellStyle name="콤마 [] 3 9 2" xfId="25849"/>
    <cellStyle name="콤마 [_다대포 해수욕장-내역서" xfId="3813"/>
    <cellStyle name="콤마 [0]" xfId="3814"/>
    <cellStyle name="콤마 [0] 2" xfId="10853"/>
    <cellStyle name="콤마 [0]_ " xfId="12193"/>
    <cellStyle name="콤마 [0]_일위대가산출근거" xfId="4537"/>
    <cellStyle name="콤마 [0]기기자재비" xfId="3815"/>
    <cellStyle name="콤마 [000]" xfId="12194"/>
    <cellStyle name="콤마 [1]" xfId="10854"/>
    <cellStyle name="콤마 [1] 2" xfId="10855"/>
    <cellStyle name="콤마 [1] 2 2" xfId="11370"/>
    <cellStyle name="콤마 [1] 2 2 10" xfId="12713"/>
    <cellStyle name="콤마 [1] 2 2 11" xfId="17135"/>
    <cellStyle name="콤마 [1] 2 2 11 2" xfId="29869"/>
    <cellStyle name="콤마 [1] 2 2 12" xfId="23002"/>
    <cellStyle name="콤마 [1] 2 2 12 2" xfId="35435"/>
    <cellStyle name="콤마 [1] 2 2 13" xfId="21145"/>
    <cellStyle name="콤마 [1] 2 2 13 2" xfId="33582"/>
    <cellStyle name="콤마 [1] 2 2 14" xfId="18591"/>
    <cellStyle name="콤마 [1] 2 2 14 2" xfId="31296"/>
    <cellStyle name="콤마 [1] 2 2 15" xfId="19233"/>
    <cellStyle name="콤마 [1] 2 2 15 2" xfId="31888"/>
    <cellStyle name="콤마 [1] 2 2 16" xfId="20773"/>
    <cellStyle name="콤마 [1] 2 2 16 2" xfId="33212"/>
    <cellStyle name="콤마 [1] 2 2 17" xfId="22444"/>
    <cellStyle name="콤마 [1] 2 2 17 2" xfId="34878"/>
    <cellStyle name="콤마 [1] 2 2 18" xfId="22195"/>
    <cellStyle name="콤마 [1] 2 2 18 2" xfId="34630"/>
    <cellStyle name="콤마 [1] 2 2 19" xfId="23409"/>
    <cellStyle name="콤마 [1] 2 2 19 2" xfId="35840"/>
    <cellStyle name="콤마 [1] 2 2 2" xfId="16534"/>
    <cellStyle name="콤마 [1] 2 2 2 2" xfId="29310"/>
    <cellStyle name="콤마 [1] 2 2 20" xfId="18585"/>
    <cellStyle name="콤마 [1] 2 2 20 2" xfId="31290"/>
    <cellStyle name="콤마 [1] 2 2 21" xfId="23400"/>
    <cellStyle name="콤마 [1] 2 2 21 2" xfId="35831"/>
    <cellStyle name="콤마 [1] 2 2 22" xfId="21934"/>
    <cellStyle name="콤마 [1] 2 2 22 2" xfId="34371"/>
    <cellStyle name="콤마 [1] 2 2 23" xfId="19154"/>
    <cellStyle name="콤마 [1] 2 2 23 2" xfId="31809"/>
    <cellStyle name="콤마 [1] 2 2 24" xfId="25218"/>
    <cellStyle name="콤마 [1] 2 2 3" xfId="15071"/>
    <cellStyle name="콤마 [1] 2 2 3 2" xfId="27890"/>
    <cellStyle name="콤마 [1] 2 2 4" xfId="14115"/>
    <cellStyle name="콤마 [1] 2 2 4 2" xfId="26963"/>
    <cellStyle name="콤마 [1] 2 2 5" xfId="12836"/>
    <cellStyle name="콤마 [1] 2 2 5 2" xfId="25712"/>
    <cellStyle name="콤마 [1] 2 2 6" xfId="14677"/>
    <cellStyle name="콤마 [1] 2 2 6 2" xfId="27503"/>
    <cellStyle name="콤마 [1] 2 2 7" xfId="14346"/>
    <cellStyle name="콤마 [1] 2 2 7 2" xfId="27179"/>
    <cellStyle name="콤마 [1] 2 2 8" xfId="14299"/>
    <cellStyle name="콤마 [1] 2 2 8 2" xfId="27132"/>
    <cellStyle name="콤마 [1] 2 2 9" xfId="15990"/>
    <cellStyle name="콤마 [1] 2 2 9 2" xfId="28788"/>
    <cellStyle name="콤마 [1] 3" xfId="10856"/>
    <cellStyle name="콤마 [1] 3 2" xfId="11371"/>
    <cellStyle name="콤마 [1] 3 2 10" xfId="18113"/>
    <cellStyle name="콤마 [1] 3 2 11" xfId="17196"/>
    <cellStyle name="콤마 [1] 3 2 11 2" xfId="29930"/>
    <cellStyle name="콤마 [1] 3 2 12" xfId="23003"/>
    <cellStyle name="콤마 [1] 3 2 12 2" xfId="35436"/>
    <cellStyle name="콤마 [1] 3 2 13" xfId="21144"/>
    <cellStyle name="콤마 [1] 3 2 13 2" xfId="33581"/>
    <cellStyle name="콤마 [1] 3 2 14" xfId="18592"/>
    <cellStyle name="콤마 [1] 3 2 14 2" xfId="31297"/>
    <cellStyle name="콤마 [1] 3 2 15" xfId="19894"/>
    <cellStyle name="콤마 [1] 3 2 15 2" xfId="32343"/>
    <cellStyle name="콤마 [1] 3 2 16" xfId="21626"/>
    <cellStyle name="콤마 [1] 3 2 16 2" xfId="34063"/>
    <cellStyle name="콤마 [1] 3 2 17" xfId="19046"/>
    <cellStyle name="콤마 [1] 3 2 17 2" xfId="31751"/>
    <cellStyle name="콤마 [1] 3 2 18" xfId="24002"/>
    <cellStyle name="콤마 [1] 3 2 18 2" xfId="36433"/>
    <cellStyle name="콤마 [1] 3 2 19" xfId="21945"/>
    <cellStyle name="콤마 [1] 3 2 19 2" xfId="34382"/>
    <cellStyle name="콤마 [1] 3 2 2" xfId="16535"/>
    <cellStyle name="콤마 [1] 3 2 2 2" xfId="29311"/>
    <cellStyle name="콤마 [1] 3 2 20" xfId="21737"/>
    <cellStyle name="콤마 [1] 3 2 20 2" xfId="34174"/>
    <cellStyle name="콤마 [1] 3 2 21" xfId="23629"/>
    <cellStyle name="콤마 [1] 3 2 21 2" xfId="36060"/>
    <cellStyle name="콤마 [1] 3 2 22" xfId="19557"/>
    <cellStyle name="콤마 [1] 3 2 22 2" xfId="32012"/>
    <cellStyle name="콤마 [1] 3 2 23" xfId="22307"/>
    <cellStyle name="콤마 [1] 3 2 23 2" xfId="34741"/>
    <cellStyle name="콤마 [1] 3 2 24" xfId="25219"/>
    <cellStyle name="콤마 [1] 3 2 3" xfId="15070"/>
    <cellStyle name="콤마 [1] 3 2 3 2" xfId="27889"/>
    <cellStyle name="콤마 [1] 3 2 4" xfId="14316"/>
    <cellStyle name="콤마 [1] 3 2 4 2" xfId="27149"/>
    <cellStyle name="콤마 [1] 3 2 5" xfId="12837"/>
    <cellStyle name="콤마 [1] 3 2 5 2" xfId="25713"/>
    <cellStyle name="콤마 [1] 3 2 6" xfId="14754"/>
    <cellStyle name="콤마 [1] 3 2 6 2" xfId="27579"/>
    <cellStyle name="콤마 [1] 3 2 7" xfId="13691"/>
    <cellStyle name="콤마 [1] 3 2 7 2" xfId="26555"/>
    <cellStyle name="콤마 [1] 3 2 8" xfId="17894"/>
    <cellStyle name="콤마 [1] 3 2 8 2" xfId="30608"/>
    <cellStyle name="콤마 [1] 3 2 9" xfId="14848"/>
    <cellStyle name="콤마 [1] 3 2 9 2" xfId="27671"/>
    <cellStyle name="콤마 [1] 4" xfId="10857"/>
    <cellStyle name="콤마 [1] 4 2" xfId="11372"/>
    <cellStyle name="콤마 [1] 4 2 10" xfId="17914"/>
    <cellStyle name="콤마 [1] 4 2 11" xfId="15301"/>
    <cellStyle name="콤마 [1] 4 2 11 2" xfId="28118"/>
    <cellStyle name="콤마 [1] 4 2 12" xfId="23004"/>
    <cellStyle name="콤마 [1] 4 2 12 2" xfId="35437"/>
    <cellStyle name="콤마 [1] 4 2 13" xfId="21143"/>
    <cellStyle name="콤마 [1] 4 2 13 2" xfId="33580"/>
    <cellStyle name="콤마 [1] 4 2 14" xfId="18593"/>
    <cellStyle name="콤마 [1] 4 2 14 2" xfId="31298"/>
    <cellStyle name="콤마 [1] 4 2 15" xfId="21273"/>
    <cellStyle name="콤마 [1] 4 2 15 2" xfId="33710"/>
    <cellStyle name="콤마 [1] 4 2 16" xfId="20774"/>
    <cellStyle name="콤마 [1] 4 2 16 2" xfId="33213"/>
    <cellStyle name="콤마 [1] 4 2 17" xfId="22443"/>
    <cellStyle name="콤마 [1] 4 2 17 2" xfId="34877"/>
    <cellStyle name="콤마 [1] 4 2 18" xfId="22194"/>
    <cellStyle name="콤마 [1] 4 2 18 2" xfId="34629"/>
    <cellStyle name="콤마 [1] 4 2 19" xfId="20629"/>
    <cellStyle name="콤마 [1] 4 2 19 2" xfId="33073"/>
    <cellStyle name="콤마 [1] 4 2 2" xfId="16536"/>
    <cellStyle name="콤마 [1] 4 2 2 2" xfId="29312"/>
    <cellStyle name="콤마 [1] 4 2 20" xfId="20253"/>
    <cellStyle name="콤마 [1] 4 2 20 2" xfId="32698"/>
    <cellStyle name="콤마 [1] 4 2 21" xfId="24730"/>
    <cellStyle name="콤마 [1] 4 2 21 2" xfId="37161"/>
    <cellStyle name="콤마 [1] 4 2 22" xfId="19002"/>
    <cellStyle name="콤마 [1] 4 2 22 2" xfId="31707"/>
    <cellStyle name="콤마 [1] 4 2 23" xfId="18289"/>
    <cellStyle name="콤마 [1] 4 2 23 2" xfId="30995"/>
    <cellStyle name="콤마 [1] 4 2 24" xfId="25220"/>
    <cellStyle name="콤마 [1] 4 2 3" xfId="16560"/>
    <cellStyle name="콤마 [1] 4 2 3 2" xfId="29336"/>
    <cellStyle name="콤마 [1] 4 2 4" xfId="14114"/>
    <cellStyle name="콤마 [1] 4 2 4 2" xfId="26962"/>
    <cellStyle name="콤마 [1] 4 2 5" xfId="12838"/>
    <cellStyle name="콤마 [1] 4 2 5 2" xfId="25714"/>
    <cellStyle name="콤마 [1] 4 2 6" xfId="13953"/>
    <cellStyle name="콤마 [1] 4 2 6 2" xfId="26811"/>
    <cellStyle name="콤마 [1] 4 2 7" xfId="14863"/>
    <cellStyle name="콤마 [1] 4 2 7 2" xfId="27685"/>
    <cellStyle name="콤마 [1] 4 2 8" xfId="17893"/>
    <cellStyle name="콤마 [1] 4 2 8 2" xfId="30607"/>
    <cellStyle name="콤마 [1] 4 2 9" xfId="17193"/>
    <cellStyle name="콤마 [1] 4 2 9 2" xfId="29927"/>
    <cellStyle name="콤마 [1] 5" xfId="10858"/>
    <cellStyle name="콤마 [1] 5 2" xfId="11373"/>
    <cellStyle name="콤마 [1] 5 2 10" xfId="15637"/>
    <cellStyle name="콤마 [1] 5 2 11" xfId="18043"/>
    <cellStyle name="콤마 [1] 5 2 11 2" xfId="30754"/>
    <cellStyle name="콤마 [1] 5 2 12" xfId="23005"/>
    <cellStyle name="콤마 [1] 5 2 12 2" xfId="35438"/>
    <cellStyle name="콤마 [1] 5 2 13" xfId="21142"/>
    <cellStyle name="콤마 [1] 5 2 13 2" xfId="33579"/>
    <cellStyle name="콤마 [1] 5 2 14" xfId="18594"/>
    <cellStyle name="콤마 [1] 5 2 14 2" xfId="31299"/>
    <cellStyle name="콤마 [1] 5 2 15" xfId="19895"/>
    <cellStyle name="콤마 [1] 5 2 15 2" xfId="32344"/>
    <cellStyle name="콤마 [1] 5 2 16" xfId="21627"/>
    <cellStyle name="콤마 [1] 5 2 16 2" xfId="34064"/>
    <cellStyle name="콤마 [1] 5 2 17" xfId="19045"/>
    <cellStyle name="콤마 [1] 5 2 17 2" xfId="31750"/>
    <cellStyle name="콤마 [1] 5 2 18" xfId="24003"/>
    <cellStyle name="콤마 [1] 5 2 18 2" xfId="36434"/>
    <cellStyle name="콤마 [1] 5 2 19" xfId="19184"/>
    <cellStyle name="콤마 [1] 5 2 19 2" xfId="31839"/>
    <cellStyle name="콤마 [1] 5 2 2" xfId="16537"/>
    <cellStyle name="콤마 [1] 5 2 2 2" xfId="29313"/>
    <cellStyle name="콤마 [1] 5 2 20" xfId="23274"/>
    <cellStyle name="콤마 [1] 5 2 20 2" xfId="35706"/>
    <cellStyle name="콤마 [1] 5 2 21" xfId="22455"/>
    <cellStyle name="콤마 [1] 5 2 21 2" xfId="34889"/>
    <cellStyle name="콤마 [1] 5 2 22" xfId="23889"/>
    <cellStyle name="콤마 [1] 5 2 22 2" xfId="36320"/>
    <cellStyle name="콤마 [1] 5 2 23" xfId="20145"/>
    <cellStyle name="콤마 [1] 5 2 23 2" xfId="32591"/>
    <cellStyle name="콤마 [1] 5 2 24" xfId="25221"/>
    <cellStyle name="콤마 [1] 5 2 3" xfId="16559"/>
    <cellStyle name="콤마 [1] 5 2 3 2" xfId="29335"/>
    <cellStyle name="콤마 [1] 5 2 4" xfId="16613"/>
    <cellStyle name="콤마 [1] 5 2 4 2" xfId="29389"/>
    <cellStyle name="콤마 [1] 5 2 5" xfId="12839"/>
    <cellStyle name="콤마 [1] 5 2 5 2" xfId="25715"/>
    <cellStyle name="콤마 [1] 5 2 6" xfId="12590"/>
    <cellStyle name="콤마 [1] 5 2 6 2" xfId="25469"/>
    <cellStyle name="콤마 [1] 5 2 7" xfId="17467"/>
    <cellStyle name="콤마 [1] 5 2 7 2" xfId="30189"/>
    <cellStyle name="콤마 [1] 5 2 8" xfId="17892"/>
    <cellStyle name="콤마 [1] 5 2 8 2" xfId="30606"/>
    <cellStyle name="콤마 [1] 5 2 9" xfId="18099"/>
    <cellStyle name="콤마 [1] 5 2 9 2" xfId="30810"/>
    <cellStyle name="콤마 [1] 6" xfId="10859"/>
    <cellStyle name="콤마 [1] 6 2" xfId="11374"/>
    <cellStyle name="콤마 [1] 6 2 10" xfId="14570"/>
    <cellStyle name="콤마 [1] 6 2 11" xfId="15437"/>
    <cellStyle name="콤마 [1] 6 2 11 2" xfId="28246"/>
    <cellStyle name="콤마 [1] 6 2 12" xfId="23006"/>
    <cellStyle name="콤마 [1] 6 2 12 2" xfId="35439"/>
    <cellStyle name="콤마 [1] 6 2 13" xfId="21141"/>
    <cellStyle name="콤마 [1] 6 2 13 2" xfId="33578"/>
    <cellStyle name="콤마 [1] 6 2 14" xfId="18595"/>
    <cellStyle name="콤마 [1] 6 2 14 2" xfId="31300"/>
    <cellStyle name="콤마 [1] 6 2 15" xfId="22395"/>
    <cellStyle name="콤마 [1] 6 2 15 2" xfId="34829"/>
    <cellStyle name="콤마 [1] 6 2 16" xfId="18993"/>
    <cellStyle name="콤마 [1] 6 2 16 2" xfId="31698"/>
    <cellStyle name="콤마 [1] 6 2 17" xfId="22442"/>
    <cellStyle name="콤마 [1] 6 2 17 2" xfId="34876"/>
    <cellStyle name="콤마 [1] 6 2 18" xfId="18767"/>
    <cellStyle name="콤마 [1] 6 2 18 2" xfId="31472"/>
    <cellStyle name="콤마 [1] 6 2 19" xfId="20630"/>
    <cellStyle name="콤마 [1] 6 2 19 2" xfId="33074"/>
    <cellStyle name="콤마 [1] 6 2 2" xfId="16538"/>
    <cellStyle name="콤마 [1] 6 2 2 2" xfId="29314"/>
    <cellStyle name="콤마 [1] 6 2 20" xfId="21981"/>
    <cellStyle name="콤마 [1] 6 2 20 2" xfId="34418"/>
    <cellStyle name="콤마 [1] 6 2 21" xfId="19048"/>
    <cellStyle name="콤마 [1] 6 2 21 2" xfId="31753"/>
    <cellStyle name="콤마 [1] 6 2 22" xfId="19001"/>
    <cellStyle name="콤마 [1] 6 2 22 2" xfId="31706"/>
    <cellStyle name="콤마 [1] 6 2 23" xfId="19687"/>
    <cellStyle name="콤마 [1] 6 2 23 2" xfId="32141"/>
    <cellStyle name="콤마 [1] 6 2 24" xfId="25222"/>
    <cellStyle name="콤마 [1] 6 2 3" xfId="15069"/>
    <cellStyle name="콤마 [1] 6 2 3 2" xfId="27888"/>
    <cellStyle name="콤마 [1] 6 2 4" xfId="16612"/>
    <cellStyle name="콤마 [1] 6 2 4 2" xfId="29388"/>
    <cellStyle name="콤마 [1] 6 2 5" xfId="12840"/>
    <cellStyle name="콤마 [1] 6 2 5 2" xfId="25716"/>
    <cellStyle name="콤마 [1] 6 2 6" xfId="12708"/>
    <cellStyle name="콤마 [1] 6 2 6 2" xfId="25586"/>
    <cellStyle name="콤마 [1] 6 2 7" xfId="14148"/>
    <cellStyle name="콤마 [1] 6 2 7 2" xfId="26996"/>
    <cellStyle name="콤마 [1] 6 2 8" xfId="17891"/>
    <cellStyle name="콤마 [1] 6 2 8 2" xfId="30605"/>
    <cellStyle name="콤마 [1] 6 2 9" xfId="12922"/>
    <cellStyle name="콤마 [1] 6 2 9 2" xfId="25798"/>
    <cellStyle name="콤마 [1] 7" xfId="11369"/>
    <cellStyle name="콤마 [1] 7 10" xfId="18112"/>
    <cellStyle name="콤마 [1] 7 11" xfId="14533"/>
    <cellStyle name="콤마 [1] 7 11 2" xfId="27361"/>
    <cellStyle name="콤마 [1] 7 12" xfId="23001"/>
    <cellStyle name="콤마 [1] 7 12 2" xfId="35434"/>
    <cellStyle name="콤마 [1] 7 13" xfId="21146"/>
    <cellStyle name="콤마 [1] 7 13 2" xfId="33583"/>
    <cellStyle name="콤마 [1] 7 14" xfId="18590"/>
    <cellStyle name="콤마 [1] 7 14 2" xfId="31295"/>
    <cellStyle name="콤마 [1] 7 15" xfId="19394"/>
    <cellStyle name="콤마 [1] 7 15 2" xfId="31950"/>
    <cellStyle name="콤마 [1] 7 16" xfId="21625"/>
    <cellStyle name="콤마 [1] 7 16 2" xfId="34062"/>
    <cellStyle name="콤마 [1] 7 17" xfId="21819"/>
    <cellStyle name="콤마 [1] 7 17 2" xfId="34256"/>
    <cellStyle name="콤마 [1] 7 18" xfId="24001"/>
    <cellStyle name="콤마 [1] 7 18 2" xfId="36432"/>
    <cellStyle name="콤마 [1] 7 19" xfId="21186"/>
    <cellStyle name="콤마 [1] 7 19 2" xfId="33623"/>
    <cellStyle name="콤마 [1] 7 2" xfId="16533"/>
    <cellStyle name="콤마 [1] 7 2 2" xfId="29309"/>
    <cellStyle name="콤마 [1] 7 20" xfId="20714"/>
    <cellStyle name="콤마 [1] 7 20 2" xfId="33157"/>
    <cellStyle name="콤마 [1] 7 21" xfId="19053"/>
    <cellStyle name="콤마 [1] 7 21 2" xfId="31758"/>
    <cellStyle name="콤마 [1] 7 22" xfId="21977"/>
    <cellStyle name="콤마 [1] 7 22 2" xfId="34414"/>
    <cellStyle name="콤마 [1] 7 23" xfId="20152"/>
    <cellStyle name="콤마 [1] 7 23 2" xfId="32598"/>
    <cellStyle name="콤마 [1] 7 24" xfId="25217"/>
    <cellStyle name="콤마 [1] 7 3" xfId="12388"/>
    <cellStyle name="콤마 [1] 7 3 2" xfId="25268"/>
    <cellStyle name="콤마 [1] 7 4" xfId="14317"/>
    <cellStyle name="콤마 [1] 7 4 2" xfId="27150"/>
    <cellStyle name="콤마 [1] 7 5" xfId="12835"/>
    <cellStyle name="콤마 [1] 7 5 2" xfId="25711"/>
    <cellStyle name="콤마 [1] 7 6" xfId="12589"/>
    <cellStyle name="콤마 [1] 7 6 2" xfId="25468"/>
    <cellStyle name="콤마 [1] 7 7" xfId="17089"/>
    <cellStyle name="콤마 [1] 7 7 2" xfId="29825"/>
    <cellStyle name="콤마 [1] 7 8" xfId="17895"/>
    <cellStyle name="콤마 [1] 7 8 2" xfId="30609"/>
    <cellStyle name="콤마 [1] 7 9" xfId="18100"/>
    <cellStyle name="콤마 [1] 7 9 2" xfId="30811"/>
    <cellStyle name="콤마 [2]" xfId="3816"/>
    <cellStyle name="콤마 [2] 2" xfId="10860"/>
    <cellStyle name="콤마 [2] 3" xfId="10861"/>
    <cellStyle name="콤마 [3]" xfId="3817"/>
    <cellStyle name="콤마 [3] 2" xfId="6239"/>
    <cellStyle name="콤마 [3] 2 2" xfId="11398"/>
    <cellStyle name="콤마 [3] 2 2 10" xfId="16758"/>
    <cellStyle name="콤마 [3] 2 2 10 2" xfId="29534"/>
    <cellStyle name="콤마 [3] 2 2 11" xfId="17920"/>
    <cellStyle name="콤마 [3] 2 2 11 2" xfId="30632"/>
    <cellStyle name="콤마 [3] 2 2 12" xfId="23020"/>
    <cellStyle name="콤마 [3] 2 2 12 2" xfId="35453"/>
    <cellStyle name="콤마 [3] 2 2 13" xfId="21122"/>
    <cellStyle name="콤마 [3] 2 2 13 2" xfId="33559"/>
    <cellStyle name="콤마 [3] 2 2 14" xfId="20129"/>
    <cellStyle name="콤마 [3] 2 2 14 2" xfId="32575"/>
    <cellStyle name="콤마 [3] 2 2 15" xfId="20065"/>
    <cellStyle name="콤마 [3] 2 2 15 2" xfId="32511"/>
    <cellStyle name="콤마 [3] 2 2 16" xfId="19979"/>
    <cellStyle name="콤마 [3] 2 2 16 2" xfId="32427"/>
    <cellStyle name="콤마 [3] 2 2 17" xfId="22350"/>
    <cellStyle name="콤마 [3] 2 2 17 2" xfId="34784"/>
    <cellStyle name="콤마 [3] 2 2 18" xfId="22891"/>
    <cellStyle name="콤마 [3] 2 2 18 2" xfId="35325"/>
    <cellStyle name="콤마 [3] 2 2 19" xfId="20632"/>
    <cellStyle name="콤마 [3] 2 2 19 2" xfId="33076"/>
    <cellStyle name="콤마 [3] 2 2 2" xfId="16554"/>
    <cellStyle name="콤마 [3] 2 2 2 2" xfId="29330"/>
    <cellStyle name="콤마 [3] 2 2 20" xfId="20051"/>
    <cellStyle name="콤마 [3] 2 2 20 2" xfId="32497"/>
    <cellStyle name="콤마 [3] 2 2 21" xfId="22851"/>
    <cellStyle name="콤마 [3] 2 2 21 2" xfId="35285"/>
    <cellStyle name="콤마 [3] 2 2 22" xfId="20149"/>
    <cellStyle name="콤마 [3] 2 2 22 2" xfId="32595"/>
    <cellStyle name="콤마 [3] 2 2 23" xfId="22340"/>
    <cellStyle name="콤마 [3] 2 2 23 2" xfId="34774"/>
    <cellStyle name="콤마 [3] 2 2 24" xfId="25233"/>
    <cellStyle name="콤마 [3] 2 2 3" xfId="12639"/>
    <cellStyle name="콤마 [3] 2 2 3 2" xfId="25518"/>
    <cellStyle name="콤마 [3] 2 2 4" xfId="14310"/>
    <cellStyle name="콤마 [3] 2 2 4 2" xfId="27143"/>
    <cellStyle name="콤마 [3] 2 2 5" xfId="12854"/>
    <cellStyle name="콤마 [3] 2 2 5 2" xfId="25730"/>
    <cellStyle name="콤마 [3] 2 2 6" xfId="12874"/>
    <cellStyle name="콤마 [3] 2 2 6 2" xfId="25750"/>
    <cellStyle name="콤마 [3] 2 2 7" xfId="15876"/>
    <cellStyle name="콤마 [3] 2 2 7 2" xfId="28674"/>
    <cellStyle name="콤마 [3] 2 2 8" xfId="15401"/>
    <cellStyle name="콤마 [3] 2 2 8 2" xfId="28215"/>
    <cellStyle name="콤마 [3] 2 2 9" xfId="13809"/>
    <cellStyle name="콤마 [3] 2 2 9 2" xfId="26668"/>
    <cellStyle name="콤마 [금액]" xfId="10862"/>
    <cellStyle name="콤마 [소수]" xfId="10863"/>
    <cellStyle name="콤마 [소수] 2" xfId="10864"/>
    <cellStyle name="콤마 [수량]" xfId="10865"/>
    <cellStyle name="콤마 [수량] 2" xfId="10866"/>
    <cellStyle name="콤마 &lt;0&gt;" xfId="3818"/>
    <cellStyle name="콤마(0)" xfId="12195"/>
    <cellStyle name="콤마(0) 10" xfId="18233"/>
    <cellStyle name="콤마(0) 10 2" xfId="30940"/>
    <cellStyle name="콤마(0) 11" xfId="23398"/>
    <cellStyle name="콤마(0) 12" xfId="23648"/>
    <cellStyle name="콤마(0) 12 2" xfId="36079"/>
    <cellStyle name="콤마(0) 13" xfId="23870"/>
    <cellStyle name="콤마(0) 13 2" xfId="36301"/>
    <cellStyle name="콤마(0) 14" xfId="20484"/>
    <cellStyle name="콤마(0) 14 2" xfId="32929"/>
    <cellStyle name="콤마(0) 15" xfId="20683"/>
    <cellStyle name="콤마(0) 15 2" xfId="33127"/>
    <cellStyle name="콤마(0) 16" xfId="24519"/>
    <cellStyle name="콤마(0) 16 2" xfId="36950"/>
    <cellStyle name="콤마(0) 17" xfId="18846"/>
    <cellStyle name="콤마(0) 17 2" xfId="31551"/>
    <cellStyle name="콤마(0) 18" xfId="24879"/>
    <cellStyle name="콤마(0) 18 2" xfId="37310"/>
    <cellStyle name="콤마(0) 19" xfId="24990"/>
    <cellStyle name="콤마(0) 19 2" xfId="37421"/>
    <cellStyle name="콤마(0) 2" xfId="16950"/>
    <cellStyle name="콤마(0) 2 2" xfId="29725"/>
    <cellStyle name="콤마(0) 20" xfId="25081"/>
    <cellStyle name="콤마(0) 20 2" xfId="37512"/>
    <cellStyle name="콤마(0) 21" xfId="25102"/>
    <cellStyle name="콤마(0) 21 2" xfId="37533"/>
    <cellStyle name="콤마(0) 3" xfId="17262"/>
    <cellStyle name="콤마(0) 3 2" xfId="29995"/>
    <cellStyle name="콤마(0) 4" xfId="15886"/>
    <cellStyle name="콤마(0) 4 2" xfId="28684"/>
    <cellStyle name="콤마(0) 5" xfId="17713"/>
    <cellStyle name="콤마(0) 5 2" xfId="30430"/>
    <cellStyle name="콤마(0) 6" xfId="17868"/>
    <cellStyle name="콤마(0) 6 2" xfId="30584"/>
    <cellStyle name="콤마(0) 7" xfId="17970"/>
    <cellStyle name="콤마(0) 7 2" xfId="30682"/>
    <cellStyle name="콤마(0) 8" xfId="13092"/>
    <cellStyle name="콤마(0) 8 2" xfId="25961"/>
    <cellStyle name="콤마(0) 9" xfId="18211"/>
    <cellStyle name="콤마(0) 9 2" xfId="30918"/>
    <cellStyle name="콤마(1)" xfId="3819"/>
    <cellStyle name="콤마,_x0005__x0014_" xfId="3820"/>
    <cellStyle name="콤마[ ]" xfId="3821"/>
    <cellStyle name="콤마[ ] 2" xfId="11375"/>
    <cellStyle name="콤마[*]" xfId="3822"/>
    <cellStyle name="콤마[*] 2" xfId="11376"/>
    <cellStyle name="콤마[,]" xfId="3823"/>
    <cellStyle name="콤마[,] 2" xfId="10935"/>
    <cellStyle name="콤마[,] 2 10" xfId="17415"/>
    <cellStyle name="콤마[,] 2 11" xfId="14601"/>
    <cellStyle name="콤마[,] 2 11 2" xfId="27427"/>
    <cellStyle name="콤마[,] 2 12" xfId="22659"/>
    <cellStyle name="콤마[,] 2 12 2" xfId="35093"/>
    <cellStyle name="콤마[,] 2 13" xfId="21503"/>
    <cellStyle name="콤마[,] 2 13 2" xfId="33940"/>
    <cellStyle name="콤마[,] 2 14" xfId="18361"/>
    <cellStyle name="콤마[,] 2 14 2" xfId="31067"/>
    <cellStyle name="콤마[,] 2 15" xfId="19877"/>
    <cellStyle name="콤마[,] 2 15 2" xfId="32327"/>
    <cellStyle name="콤마[,] 2 16" xfId="22366"/>
    <cellStyle name="콤마[,] 2 16 2" xfId="34800"/>
    <cellStyle name="콤마[,] 2 17" xfId="23367"/>
    <cellStyle name="콤마[,] 2 17 2" xfId="35799"/>
    <cellStyle name="콤마[,] 2 18" xfId="21084"/>
    <cellStyle name="콤마[,] 2 18 2" xfId="33521"/>
    <cellStyle name="콤마[,] 2 19" xfId="18373"/>
    <cellStyle name="콤마[,] 2 19 2" xfId="31079"/>
    <cellStyle name="콤마[,] 2 2" xfId="16200"/>
    <cellStyle name="콤마[,] 2 2 2" xfId="28976"/>
    <cellStyle name="콤마[,] 2 20" xfId="19009"/>
    <cellStyle name="콤마[,] 2 20 2" xfId="31714"/>
    <cellStyle name="콤마[,] 2 21" xfId="23849"/>
    <cellStyle name="콤마[,] 2 21 2" xfId="36280"/>
    <cellStyle name="콤마[,] 2 22" xfId="23762"/>
    <cellStyle name="콤마[,] 2 22 2" xfId="36193"/>
    <cellStyle name="콤마[,] 2 23" xfId="23261"/>
    <cellStyle name="콤마[,] 2 23 2" xfId="35693"/>
    <cellStyle name="콤마[,] 2 24" xfId="25116"/>
    <cellStyle name="콤마[,] 2 3" xfId="15254"/>
    <cellStyle name="콤마[,] 2 3 2" xfId="28071"/>
    <cellStyle name="콤마[,] 2 4" xfId="14177"/>
    <cellStyle name="콤마[,] 2 4 2" xfId="27025"/>
    <cellStyle name="콤마[,] 2 5" xfId="14594"/>
    <cellStyle name="콤마[,] 2 5 2" xfId="27420"/>
    <cellStyle name="콤마[,] 2 6" xfId="14712"/>
    <cellStyle name="콤마[,] 2 6 2" xfId="27538"/>
    <cellStyle name="콤마[,] 2 7" xfId="15651"/>
    <cellStyle name="콤마[,] 2 7 2" xfId="28458"/>
    <cellStyle name="콤마[,] 2 8" xfId="16745"/>
    <cellStyle name="콤마[,] 2 8 2" xfId="29521"/>
    <cellStyle name="콤마[,] 2 9" xfId="15697"/>
    <cellStyle name="콤마[,] 2 9 2" xfId="28497"/>
    <cellStyle name="콤마[.]" xfId="3824"/>
    <cellStyle name="콤마[.] 2" xfId="11377"/>
    <cellStyle name="콤마[0]" xfId="3825"/>
    <cellStyle name="콤마_ " xfId="3826"/>
    <cellStyle name="콤마宛 " xfId="3827"/>
    <cellStyle name="콤마宛  2" xfId="3828"/>
    <cellStyle name="콤마桓?琉?업종별 " xfId="3829"/>
    <cellStyle name="콤마桓?琉?업종별  2" xfId="3830"/>
    <cellStyle name="콤마쇔[0]_대총괄표 " xfId="3831"/>
    <cellStyle name="콤막 [0]_수출실적 _양식98" xfId="6240"/>
    <cellStyle name="타이틀" xfId="10867"/>
    <cellStyle name="턂화 [0]_투자재원" xfId="6241"/>
    <cellStyle name="토공" xfId="12196"/>
    <cellStyle name="통" xfId="3832"/>
    <cellStyle name="통 2" xfId="10868"/>
    <cellStyle name="통_00년상반기현황분석(000512)-A.xls Chart 156" xfId="3833"/>
    <cellStyle name="통_00년상반기현황분석(000512)-A.xls Chart 156_Book1" xfId="3834"/>
    <cellStyle name="통_00년상반기현황분석(000512)-A.xls Chart 156_Book1_다대포 해수욕장-내역서" xfId="3835"/>
    <cellStyle name="통_00년상반기현황분석(000512)-A.xls Chart 156_Book1_조형물 내역서(원본)" xfId="3836"/>
    <cellStyle name="통_00년상반기현황분석(000512)-A.xls Chart 156_다대포 해수욕장-내역서" xfId="3837"/>
    <cellStyle name="통_00년상반기현황분석(000512)-A.xls Chart 156_사장님IQS개선회의(조립생기팀0816)" xfId="3838"/>
    <cellStyle name="통_00년상반기현황분석(000512)-A.xls Chart 156_사장님IQS개선회의(조립생기팀0816)_Book1" xfId="3839"/>
    <cellStyle name="통_00년상반기현황분석(000512)-A.xls Chart 156_사장님IQS개선회의(조립생기팀0816)_Book1_다대포 해수욕장-내역서" xfId="3840"/>
    <cellStyle name="통_00년상반기현황분석(000512)-A.xls Chart 156_사장님IQS개선회의(조립생기팀0816)_Book1_조형물 내역서(원본)" xfId="3841"/>
    <cellStyle name="통_00년상반기현황분석(000512)-A.xls Chart 156_사장님IQS개선회의(조립생기팀0816)_다대포 해수욕장-내역서" xfId="3842"/>
    <cellStyle name="통_00년상반기현황분석(000512)-A.xls Chart 156_사장님IQS개선회의(조립생기팀0816)_인상시부담액(임,단협(1).04.26수정)" xfId="3843"/>
    <cellStyle name="통_00년상반기현황분석(000512)-A.xls Chart 156_사장님IQS개선회의(조립생기팀0816)_인상시부담액(임,단협(1).04.26수정)_다대포 해수욕장-내역서" xfId="3844"/>
    <cellStyle name="통_00년상반기현황분석(000512)-A.xls Chart 156_사장님IQS개선회의(조립생기팀0816)_인상시부담액(임,단협(1).04.26수정)_조형물 내역서(원본)" xfId="3845"/>
    <cellStyle name="통_00년상반기현황분석(000512)-A.xls Chart 156_사장님IQS개선회의(조립생기팀0816)_조형물 내역서(원본)" xfId="3846"/>
    <cellStyle name="통_00년상반기현황분석(000512)-A.xls Chart 156_인상시부담액(임,단협(1).04.26수정)" xfId="3847"/>
    <cellStyle name="통_00년상반기현황분석(000512)-A.xls Chart 156_인상시부담액(임,단협(1).04.26수정)_다대포 해수욕장-내역서" xfId="3848"/>
    <cellStyle name="통_00년상반기현황분석(000512)-A.xls Chart 156_인상시부담액(임,단협(1).04.26수정)_조형물 내역서(원본)" xfId="3849"/>
    <cellStyle name="통_00년상반기현황분석(000512)-A.xls Chart 156_정이사님보고0907" xfId="3850"/>
    <cellStyle name="통_00년상반기현황분석(000512)-A.xls Chart 156_정이사님보고0907_Book1" xfId="3851"/>
    <cellStyle name="통_00년상반기현황분석(000512)-A.xls Chart 156_정이사님보고0907_Book1_다대포 해수욕장-내역서" xfId="3852"/>
    <cellStyle name="통_00년상반기현황분석(000512)-A.xls Chart 156_정이사님보고0907_Book1_조형물 내역서(원본)" xfId="3853"/>
    <cellStyle name="통_00년상반기현황분석(000512)-A.xls Chart 156_정이사님보고0907_다대포 해수욕장-내역서" xfId="3854"/>
    <cellStyle name="통_00년상반기현황분석(000512)-A.xls Chart 156_정이사님보고0907_인상시부담액(임,단협(1).04.26수정)" xfId="3855"/>
    <cellStyle name="통_00년상반기현황분석(000512)-A.xls Chart 156_정이사님보고0907_인상시부담액(임,단협(1).04.26수정)_다대포 해수욕장-내역서" xfId="3856"/>
    <cellStyle name="통_00년상반기현황분석(000512)-A.xls Chart 156_정이사님보고0907_인상시부담액(임,단협(1).04.26수정)_조형물 내역서(원본)" xfId="3857"/>
    <cellStyle name="통_00년상반기현황분석(000512)-A.xls Chart 156_정이사님보고0907_조형물 내역서(원본)" xfId="3858"/>
    <cellStyle name="통_00년상반기현황분석(000512)-A.xls Chart 156_조형물 내역서(원본)" xfId="3859"/>
    <cellStyle name="통_00년상반기현황분석(000512)-A.xls Chart 157" xfId="3860"/>
    <cellStyle name="통_00년상반기현황분석(000512)-A.xls Chart 157_Book1" xfId="3861"/>
    <cellStyle name="통_00년상반기현황분석(000512)-A.xls Chart 157_Book1_다대포 해수욕장-내역서" xfId="3862"/>
    <cellStyle name="통_00년상반기현황분석(000512)-A.xls Chart 157_Book1_조형물 내역서(원본)" xfId="3863"/>
    <cellStyle name="통_00년상반기현황분석(000512)-A.xls Chart 157_다대포 해수욕장-내역서" xfId="3864"/>
    <cellStyle name="통_00년상반기현황분석(000512)-A.xls Chart 157_사장님IQS개선회의(조립생기팀0816)" xfId="3865"/>
    <cellStyle name="통_00년상반기현황분석(000512)-A.xls Chart 157_사장님IQS개선회의(조립생기팀0816)_Book1" xfId="3866"/>
    <cellStyle name="통_00년상반기현황분석(000512)-A.xls Chart 157_사장님IQS개선회의(조립생기팀0816)_Book1_다대포 해수욕장-내역서" xfId="3867"/>
    <cellStyle name="통_00년상반기현황분석(000512)-A.xls Chart 157_사장님IQS개선회의(조립생기팀0816)_Book1_조형물 내역서(원본)" xfId="3868"/>
    <cellStyle name="통_00년상반기현황분석(000512)-A.xls Chart 157_사장님IQS개선회의(조립생기팀0816)_다대포 해수욕장-내역서" xfId="3869"/>
    <cellStyle name="통_00년상반기현황분석(000512)-A.xls Chart 157_사장님IQS개선회의(조립생기팀0816)_인상시부담액(임,단협(1).04.26수정)" xfId="3870"/>
    <cellStyle name="통_00년상반기현황분석(000512)-A.xls Chart 157_사장님IQS개선회의(조립생기팀0816)_인상시부담액(임,단협(1).04.26수정)_다대포 해수욕장-내역서" xfId="3871"/>
    <cellStyle name="통_00년상반기현황분석(000512)-A.xls Chart 157_사장님IQS개선회의(조립생기팀0816)_인상시부담액(임,단협(1).04.26수정)_조형물 내역서(원본)" xfId="3872"/>
    <cellStyle name="통_00년상반기현황분석(000512)-A.xls Chart 157_사장님IQS개선회의(조립생기팀0816)_조형물 내역서(원본)" xfId="3873"/>
    <cellStyle name="통_00년상반기현황분석(000512)-A.xls Chart 157_인상시부담액(임,단협(1).04.26수정)" xfId="3874"/>
    <cellStyle name="통_00년상반기현황분석(000512)-A.xls Chart 157_인상시부담액(임,단협(1).04.26수정)_다대포 해수욕장-내역서" xfId="3875"/>
    <cellStyle name="통_00년상반기현황분석(000512)-A.xls Chart 157_인상시부담액(임,단협(1).04.26수정)_조형물 내역서(원본)" xfId="3876"/>
    <cellStyle name="통_00년상반기현황분석(000512)-A.xls Chart 157_정이사님보고0907" xfId="3877"/>
    <cellStyle name="통_00년상반기현황분석(000512)-A.xls Chart 157_정이사님보고0907_Book1" xfId="3878"/>
    <cellStyle name="통_00년상반기현황분석(000512)-A.xls Chart 157_정이사님보고0907_Book1_다대포 해수욕장-내역서" xfId="3879"/>
    <cellStyle name="통_00년상반기현황분석(000512)-A.xls Chart 157_정이사님보고0907_Book1_조형물 내역서(원본)" xfId="3880"/>
    <cellStyle name="통_00년상반기현황분석(000512)-A.xls Chart 157_정이사님보고0907_다대포 해수욕장-내역서" xfId="3881"/>
    <cellStyle name="통_00년상반기현황분석(000512)-A.xls Chart 157_정이사님보고0907_인상시부담액(임,단협(1).04.26수정)" xfId="3882"/>
    <cellStyle name="통_00년상반기현황분석(000512)-A.xls Chart 157_정이사님보고0907_인상시부담액(임,단협(1).04.26수정)_다대포 해수욕장-내역서" xfId="3883"/>
    <cellStyle name="통_00년상반기현황분석(000512)-A.xls Chart 157_정이사님보고0907_인상시부담액(임,단협(1).04.26수정)_조형물 내역서(원본)" xfId="3884"/>
    <cellStyle name="통_00년상반기현황분석(000512)-A.xls Chart 157_정이사님보고0907_조형물 내역서(원본)" xfId="3885"/>
    <cellStyle name="통_00년상반기현황분석(000512)-A.xls Chart 157_조형물 내역서(원본)" xfId="3886"/>
    <cellStyle name="통_00년상반기현황분석(000512)-A.xls Chart 158" xfId="3887"/>
    <cellStyle name="통_00년상반기현황분석(000512)-A.xls Chart 158_Book1" xfId="3888"/>
    <cellStyle name="통_00년상반기현황분석(000512)-A.xls Chart 158_Book1_다대포 해수욕장-내역서" xfId="3889"/>
    <cellStyle name="통_00년상반기현황분석(000512)-A.xls Chart 158_Book1_조형물 내역서(원본)" xfId="3890"/>
    <cellStyle name="통_00년상반기현황분석(000512)-A.xls Chart 158_다대포 해수욕장-내역서" xfId="3891"/>
    <cellStyle name="통_00년상반기현황분석(000512)-A.xls Chart 158_사장님IQS개선회의(조립생기팀0816)" xfId="3892"/>
    <cellStyle name="통_00년상반기현황분석(000512)-A.xls Chart 158_사장님IQS개선회의(조립생기팀0816)_Book1" xfId="3893"/>
    <cellStyle name="통_00년상반기현황분석(000512)-A.xls Chart 158_사장님IQS개선회의(조립생기팀0816)_Book1_다대포 해수욕장-내역서" xfId="3894"/>
    <cellStyle name="통_00년상반기현황분석(000512)-A.xls Chart 158_사장님IQS개선회의(조립생기팀0816)_Book1_조형물 내역서(원본)" xfId="3895"/>
    <cellStyle name="통_00년상반기현황분석(000512)-A.xls Chart 158_사장님IQS개선회의(조립생기팀0816)_다대포 해수욕장-내역서" xfId="3896"/>
    <cellStyle name="통_00년상반기현황분석(000512)-A.xls Chart 158_사장님IQS개선회의(조립생기팀0816)_인상시부담액(임,단협(1).04.26수정)" xfId="3897"/>
    <cellStyle name="통_00년상반기현황분석(000512)-A.xls Chart 158_사장님IQS개선회의(조립생기팀0816)_인상시부담액(임,단협(1).04.26수정)_다대포 해수욕장-내역서" xfId="3898"/>
    <cellStyle name="통_00년상반기현황분석(000512)-A.xls Chart 158_사장님IQS개선회의(조립생기팀0816)_인상시부담액(임,단협(1).04.26수정)_조형물 내역서(원본)" xfId="3899"/>
    <cellStyle name="통_00년상반기현황분석(000512)-A.xls Chart 158_사장님IQS개선회의(조립생기팀0816)_조형물 내역서(원본)" xfId="3900"/>
    <cellStyle name="통_00년상반기현황분석(000512)-A.xls Chart 158_인상시부담액(임,단협(1).04.26수정)" xfId="3901"/>
    <cellStyle name="통_00년상반기현황분석(000512)-A.xls Chart 158_인상시부담액(임,단협(1).04.26수정)_다대포 해수욕장-내역서" xfId="3902"/>
    <cellStyle name="통_00년상반기현황분석(000512)-A.xls Chart 158_인상시부담액(임,단협(1).04.26수정)_조형물 내역서(원본)" xfId="3903"/>
    <cellStyle name="통_00년상반기현황분석(000512)-A.xls Chart 158_정이사님보고0907" xfId="3904"/>
    <cellStyle name="통_00년상반기현황분석(000512)-A.xls Chart 158_정이사님보고0907_Book1" xfId="3905"/>
    <cellStyle name="통_00년상반기현황분석(000512)-A.xls Chart 158_정이사님보고0907_Book1_다대포 해수욕장-내역서" xfId="3906"/>
    <cellStyle name="통_00년상반기현황분석(000512)-A.xls Chart 158_정이사님보고0907_Book1_조형물 내역서(원본)" xfId="3907"/>
    <cellStyle name="통_00년상반기현황분석(000512)-A.xls Chart 158_정이사님보고0907_다대포 해수욕장-내역서" xfId="3908"/>
    <cellStyle name="통_00년상반기현황분석(000512)-A.xls Chart 158_정이사님보고0907_인상시부담액(임,단협(1).04.26수정)" xfId="3909"/>
    <cellStyle name="통_00년상반기현황분석(000512)-A.xls Chart 158_정이사님보고0907_인상시부담액(임,단협(1).04.26수정)_다대포 해수욕장-내역서" xfId="3910"/>
    <cellStyle name="통_00년상반기현황분석(000512)-A.xls Chart 158_정이사님보고0907_인상시부담액(임,단협(1).04.26수정)_조형물 내역서(원본)" xfId="3911"/>
    <cellStyle name="통_00년상반기현황분석(000512)-A.xls Chart 158_정이사님보고0907_조형물 내역서(원본)" xfId="3912"/>
    <cellStyle name="통_00년상반기현황분석(000512)-A.xls Chart 158_조형물 내역서(원본)" xfId="3913"/>
    <cellStyle name="통_00년상반기현황분석(000512)-A.xls Chart 160" xfId="3914"/>
    <cellStyle name="통_00년상반기현황분석(000512)-A.xls Chart 160_Book1" xfId="3915"/>
    <cellStyle name="통_00년상반기현황분석(000512)-A.xls Chart 160_Book1_다대포 해수욕장-내역서" xfId="3916"/>
    <cellStyle name="통_00년상반기현황분석(000512)-A.xls Chart 160_Book1_조형물 내역서(원본)" xfId="3917"/>
    <cellStyle name="통_00년상반기현황분석(000512)-A.xls Chart 160_다대포 해수욕장-내역서" xfId="3918"/>
    <cellStyle name="통_00년상반기현황분석(000512)-A.xls Chart 160_사장님IQS개선회의(조립생기팀0816)" xfId="3919"/>
    <cellStyle name="통_00년상반기현황분석(000512)-A.xls Chart 160_사장님IQS개선회의(조립생기팀0816)_Book1" xfId="3920"/>
    <cellStyle name="통_00년상반기현황분석(000512)-A.xls Chart 160_사장님IQS개선회의(조립생기팀0816)_Book1_다대포 해수욕장-내역서" xfId="3921"/>
    <cellStyle name="통_00년상반기현황분석(000512)-A.xls Chart 160_사장님IQS개선회의(조립생기팀0816)_Book1_조형물 내역서(원본)" xfId="3922"/>
    <cellStyle name="통_00년상반기현황분석(000512)-A.xls Chart 160_사장님IQS개선회의(조립생기팀0816)_다대포 해수욕장-내역서" xfId="3923"/>
    <cellStyle name="통_00년상반기현황분석(000512)-A.xls Chart 160_사장님IQS개선회의(조립생기팀0816)_인상시부담액(임,단협(1).04.26수정)" xfId="3924"/>
    <cellStyle name="통_00년상반기현황분석(000512)-A.xls Chart 160_사장님IQS개선회의(조립생기팀0816)_인상시부담액(임,단협(1).04.26수정)_다대포 해수욕장-내역서" xfId="3925"/>
    <cellStyle name="통_00년상반기현황분석(000512)-A.xls Chart 160_사장님IQS개선회의(조립생기팀0816)_인상시부담액(임,단협(1).04.26수정)_조형물 내역서(원본)" xfId="3926"/>
    <cellStyle name="통_00년상반기현황분석(000512)-A.xls Chart 160_사장님IQS개선회의(조립생기팀0816)_조형물 내역서(원본)" xfId="3927"/>
    <cellStyle name="통_00년상반기현황분석(000512)-A.xls Chart 160_인상시부담액(임,단협(1).04.26수정)" xfId="3928"/>
    <cellStyle name="통_00년상반기현황분석(000512)-A.xls Chart 160_인상시부담액(임,단협(1).04.26수정)_다대포 해수욕장-내역서" xfId="3929"/>
    <cellStyle name="통_00년상반기현황분석(000512)-A.xls Chart 160_인상시부담액(임,단협(1).04.26수정)_조형물 내역서(원본)" xfId="3930"/>
    <cellStyle name="통_00년상반기현황분석(000512)-A.xls Chart 160_정이사님보고0907" xfId="3931"/>
    <cellStyle name="통_00년상반기현황분석(000512)-A.xls Chart 160_정이사님보고0907_Book1" xfId="3932"/>
    <cellStyle name="통_00년상반기현황분석(000512)-A.xls Chart 160_정이사님보고0907_Book1_다대포 해수욕장-내역서" xfId="3933"/>
    <cellStyle name="통_00년상반기현황분석(000512)-A.xls Chart 160_정이사님보고0907_Book1_조형물 내역서(원본)" xfId="3934"/>
    <cellStyle name="통_00년상반기현황분석(000512)-A.xls Chart 160_정이사님보고0907_다대포 해수욕장-내역서" xfId="3935"/>
    <cellStyle name="통_00년상반기현황분석(000512)-A.xls Chart 160_정이사님보고0907_인상시부담액(임,단협(1).04.26수정)" xfId="3936"/>
    <cellStyle name="통_00년상반기현황분석(000512)-A.xls Chart 160_정이사님보고0907_인상시부담액(임,단협(1).04.26수정)_다대포 해수욕장-내역서" xfId="3937"/>
    <cellStyle name="통_00년상반기현황분석(000512)-A.xls Chart 160_정이사님보고0907_인상시부담액(임,단협(1).04.26수정)_조형물 내역서(원본)" xfId="3938"/>
    <cellStyle name="통_00년상반기현황분석(000512)-A.xls Chart 160_정이사님보고0907_조형물 내역서(원본)" xfId="3939"/>
    <cellStyle name="통_00년상반기현황분석(000512)-A.xls Chart 160_조형물 내역서(원본)" xfId="3940"/>
    <cellStyle name="통_00년상반기현황분석(000512)-A.xls Chart 161" xfId="3941"/>
    <cellStyle name="통_00년상반기현황분석(000512)-A.xls Chart 161_Book1" xfId="3942"/>
    <cellStyle name="통_00년상반기현황분석(000512)-A.xls Chart 161_Book1_다대포 해수욕장-내역서" xfId="3943"/>
    <cellStyle name="통_00년상반기현황분석(000512)-A.xls Chart 161_Book1_조형물 내역서(원본)" xfId="3944"/>
    <cellStyle name="통_00년상반기현황분석(000512)-A.xls Chart 161_Book1_조형물 내역서(원본) 2" xfId="4578"/>
    <cellStyle name="통_00년상반기현황분석(000512)-A.xls Chart 161_다대포 해수욕장-내역서" xfId="3945"/>
    <cellStyle name="통_00년상반기현황분석(000512)-A.xls Chart 161_다대포 해수욕장-내역서 2" xfId="4579"/>
    <cellStyle name="통_00년상반기현황분석(000512)-A.xls Chart 161_사장님IQS개선회의(조립생기팀0816)" xfId="3946"/>
    <cellStyle name="통_00년상반기현황분석(000512)-A.xls Chart 161_사장님IQS개선회의(조립생기팀0816) 2" xfId="4580"/>
    <cellStyle name="통_00년상반기현황분석(000512)-A.xls Chart 161_사장님IQS개선회의(조립생기팀0816)_Book1" xfId="3947"/>
    <cellStyle name="통_00년상반기현황분석(000512)-A.xls Chart 161_사장님IQS개선회의(조립생기팀0816)_Book1 2" xfId="4581"/>
    <cellStyle name="통_00년상반기현황분석(000512)-A.xls Chart 161_사장님IQS개선회의(조립생기팀0816)_Book1_다대포 해수욕장-내역서" xfId="3948"/>
    <cellStyle name="통_00년상반기현황분석(000512)-A.xls Chart 161_사장님IQS개선회의(조립생기팀0816)_Book1_다대포 해수욕장-내역서 2" xfId="4582"/>
    <cellStyle name="통_00년상반기현황분석(000512)-A.xls Chart 161_사장님IQS개선회의(조립생기팀0816)_Book1_조형물 내역서(원본)" xfId="3949"/>
    <cellStyle name="통_00년상반기현황분석(000512)-A.xls Chart 161_사장님IQS개선회의(조립생기팀0816)_Book1_조형물 내역서(원본) 2" xfId="4583"/>
    <cellStyle name="통_00년상반기현황분석(000512)-A.xls Chart 161_사장님IQS개선회의(조립생기팀0816)_다대포 해수욕장-내역서" xfId="3950"/>
    <cellStyle name="통_00년상반기현황분석(000512)-A.xls Chart 161_사장님IQS개선회의(조립생기팀0816)_다대포 해수욕장-내역서 2" xfId="4584"/>
    <cellStyle name="통_00년상반기현황분석(000512)-A.xls Chart 161_사장님IQS개선회의(조립생기팀0816)_인상시부담액(임,단협(1).04.26수정)" xfId="3951"/>
    <cellStyle name="통_00년상반기현황분석(000512)-A.xls Chart 161_사장님IQS개선회의(조립생기팀0816)_인상시부담액(임,단협(1).04.26수정) 2" xfId="4585"/>
    <cellStyle name="통_00년상반기현황분석(000512)-A.xls Chart 161_사장님IQS개선회의(조립생기팀0816)_인상시부담액(임,단협(1).04.26수정)_다대포 해수욕장-내역서" xfId="3952"/>
    <cellStyle name="통_00년상반기현황분석(000512)-A.xls Chart 161_사장님IQS개선회의(조립생기팀0816)_인상시부담액(임,단협(1).04.26수정)_다대포 해수욕장-내역서 2" xfId="4586"/>
    <cellStyle name="통_00년상반기현황분석(000512)-A.xls Chart 161_사장님IQS개선회의(조립생기팀0816)_인상시부담액(임,단협(1).04.26수정)_조형물 내역서(원본)" xfId="3953"/>
    <cellStyle name="통_00년상반기현황분석(000512)-A.xls Chart 161_사장님IQS개선회의(조립생기팀0816)_인상시부담액(임,단협(1).04.26수정)_조형물 내역서(원본) 2" xfId="4587"/>
    <cellStyle name="통_00년상반기현황분석(000512)-A.xls Chart 161_사장님IQS개선회의(조립생기팀0816)_조형물 내역서(원본)" xfId="3954"/>
    <cellStyle name="통_00년상반기현황분석(000512)-A.xls Chart 161_사장님IQS개선회의(조립생기팀0816)_조형물 내역서(원본) 2" xfId="4588"/>
    <cellStyle name="통_00년상반기현황분석(000512)-A.xls Chart 161_인상시부담액(임,단협(1).04.26수정)" xfId="3955"/>
    <cellStyle name="통_00년상반기현황분석(000512)-A.xls Chart 161_인상시부담액(임,단협(1).04.26수정) 2" xfId="4589"/>
    <cellStyle name="통_00년상반기현황분석(000512)-A.xls Chart 161_인상시부담액(임,단협(1).04.26수정)_다대포 해수욕장-내역서" xfId="3956"/>
    <cellStyle name="통_00년상반기현황분석(000512)-A.xls Chart 161_인상시부담액(임,단협(1).04.26수정)_다대포 해수욕장-내역서 2" xfId="4590"/>
    <cellStyle name="통_00년상반기현황분석(000512)-A.xls Chart 161_인상시부담액(임,단협(1).04.26수정)_조형물 내역서(원본)" xfId="3957"/>
    <cellStyle name="통_00년상반기현황분석(000512)-A.xls Chart 161_인상시부담액(임,단협(1).04.26수정)_조형물 내역서(원본) 2" xfId="4591"/>
    <cellStyle name="통_00년상반기현황분석(000512)-A.xls Chart 161_정이사님보고0907" xfId="3958"/>
    <cellStyle name="통_00년상반기현황분석(000512)-A.xls Chart 161_정이사님보고0907 2" xfId="4592"/>
    <cellStyle name="통_00년상반기현황분석(000512)-A.xls Chart 161_정이사님보고0907_Book1" xfId="3959"/>
    <cellStyle name="통_00년상반기현황분석(000512)-A.xls Chart 161_정이사님보고0907_Book1 2" xfId="4593"/>
    <cellStyle name="통_00년상반기현황분석(000512)-A.xls Chart 161_정이사님보고0907_Book1_다대포 해수욕장-내역서" xfId="3960"/>
    <cellStyle name="통_00년상반기현황분석(000512)-A.xls Chart 161_정이사님보고0907_Book1_다대포 해수욕장-내역서 2" xfId="4594"/>
    <cellStyle name="통_00년상반기현황분석(000512)-A.xls Chart 161_정이사님보고0907_Book1_조형물 내역서(원본)" xfId="3961"/>
    <cellStyle name="통_00년상반기현황분석(000512)-A.xls Chart 161_정이사님보고0907_Book1_조형물 내역서(원본) 2" xfId="4595"/>
    <cellStyle name="통_00년상반기현황분석(000512)-A.xls Chart 161_정이사님보고0907_다대포 해수욕장-내역서" xfId="3962"/>
    <cellStyle name="통_00년상반기현황분석(000512)-A.xls Chart 161_정이사님보고0907_다대포 해수욕장-내역서 2" xfId="4596"/>
    <cellStyle name="통_00년상반기현황분석(000512)-A.xls Chart 161_정이사님보고0907_인상시부담액(임,단협(1).04.26수정)" xfId="3963"/>
    <cellStyle name="통_00년상반기현황분석(000512)-A.xls Chart 161_정이사님보고0907_인상시부담액(임,단협(1).04.26수정) 2" xfId="4597"/>
    <cellStyle name="통_00년상반기현황분석(000512)-A.xls Chart 161_정이사님보고0907_인상시부담액(임,단협(1).04.26수정)_다대포 해수욕장-내역서" xfId="3964"/>
    <cellStyle name="통_00년상반기현황분석(000512)-A.xls Chart 161_정이사님보고0907_인상시부담액(임,단협(1).04.26수정)_다대포 해수욕장-내역서 2" xfId="4598"/>
    <cellStyle name="통_00년상반기현황분석(000512)-A.xls Chart 161_정이사님보고0907_인상시부담액(임,단협(1).04.26수정)_조형물 내역서(원본)" xfId="3965"/>
    <cellStyle name="통_00년상반기현황분석(000512)-A.xls Chart 161_정이사님보고0907_인상시부담액(임,단협(1).04.26수정)_조형물 내역서(원본) 2" xfId="4599"/>
    <cellStyle name="통_00년상반기현황분석(000512)-A.xls Chart 161_정이사님보고0907_조형물 내역서(원본)" xfId="3966"/>
    <cellStyle name="통_00년상반기현황분석(000512)-A.xls Chart 161_정이사님보고0907_조형물 내역서(원본) 2" xfId="4600"/>
    <cellStyle name="통_00년상반기현황분석(000512)-A.xls Chart 161_조형물 내역서(원본)" xfId="3967"/>
    <cellStyle name="통_00년상반기현황분석(000512)-A.xls Chart 161_조형물 내역서(원본) 2" xfId="4601"/>
    <cellStyle name="통_01-토공_02-배수공" xfId="6242"/>
    <cellStyle name="통_01-토공_02-배수공_2차설계변경내역서(2007굴착)" xfId="6243"/>
    <cellStyle name="통_01-토공_02-배수공_Sheet1" xfId="6244"/>
    <cellStyle name="통_01-토공_02-배수공_갑지" xfId="6245"/>
    <cellStyle name="통_01-토공_02-배수공_관급자재" xfId="6246"/>
    <cellStyle name="통_01-토공_02-배수공_이설비" xfId="6247"/>
    <cellStyle name="통_01-토공_02-배수공_토공" xfId="6248"/>
    <cellStyle name="통_01-토공_02-배수공_토공_2차설계변경내역서(2007굴착)" xfId="6249"/>
    <cellStyle name="통_01-토공_02-배수공_토공_Sheet1" xfId="6250"/>
    <cellStyle name="통_01-토공_02-배수공_토공_갑지" xfId="6251"/>
    <cellStyle name="통_01-토공_02-배수공_토공_관급자재" xfId="6252"/>
    <cellStyle name="통_01-토공_02-배수공_토공_이설비" xfId="6253"/>
    <cellStyle name="통_02-배수공" xfId="6254"/>
    <cellStyle name="통_02-배수공_02-반중력식옹벽" xfId="6255"/>
    <cellStyle name="통_02-배수공_02-반중력식옹벽_2차설계변경내역서(2007굴착)" xfId="6256"/>
    <cellStyle name="통_02-배수공_02-반중력식옹벽_Sheet1" xfId="6257"/>
    <cellStyle name="통_02-배수공_02-반중력식옹벽_갑지" xfId="6258"/>
    <cellStyle name="통_02-배수공_02-반중력식옹벽_관급자재" xfId="6259"/>
    <cellStyle name="통_02-배수공_02-반중력식옹벽_이설비" xfId="6260"/>
    <cellStyle name="통_02-배수공_02-반중력식옹벽_토공" xfId="6261"/>
    <cellStyle name="통_02-배수공_02-반중력식옹벽_토공_2차설계변경내역서(2007굴착)" xfId="6262"/>
    <cellStyle name="통_02-배수공_02-반중력식옹벽_토공_Sheet1" xfId="6263"/>
    <cellStyle name="통_02-배수공_02-반중력식옹벽_토공_갑지" xfId="6264"/>
    <cellStyle name="통_02-배수공_02-반중력식옹벽_토공_관급자재" xfId="6265"/>
    <cellStyle name="통_02-배수공_02-반중력식옹벽_토공_이설비" xfId="6266"/>
    <cellStyle name="통_02-배수공_02-배수공" xfId="6267"/>
    <cellStyle name="통_02-배수공_02-배수공_2차설계변경내역서(2007굴착)" xfId="6268"/>
    <cellStyle name="통_02-배수공_02-배수공_Sheet1" xfId="6269"/>
    <cellStyle name="통_02-배수공_02-배수공_갑지" xfId="6270"/>
    <cellStyle name="통_02-배수공_02-배수공_관급자재" xfId="6271"/>
    <cellStyle name="통_02-배수공_02-배수공_이설비" xfId="6272"/>
    <cellStyle name="통_02-배수공_02-배수공_토공" xfId="6273"/>
    <cellStyle name="통_02-배수공_02-배수공_토공_2차설계변경내역서(2007굴착)" xfId="6274"/>
    <cellStyle name="통_02-배수공_02-배수공_토공_Sheet1" xfId="6275"/>
    <cellStyle name="통_02-배수공_02-배수공_토공_갑지" xfId="6276"/>
    <cellStyle name="통_02-배수공_02-배수공_토공_관급자재" xfId="6277"/>
    <cellStyle name="통_02-배수공_02-배수공_토공_이설비" xfId="6278"/>
    <cellStyle name="통_02-배수공_2차설계변경내역서(2007굴착)" xfId="6279"/>
    <cellStyle name="통_02-배수공_Sheet1" xfId="6280"/>
    <cellStyle name="통_02-배수공_갑지" xfId="6281"/>
    <cellStyle name="통_02-배수공_관급자재" xfId="6282"/>
    <cellStyle name="통_02-배수공_반중력" xfId="6283"/>
    <cellStyle name="통_02-배수공_반중력_2차설계변경내역서(2007굴착)" xfId="6284"/>
    <cellStyle name="통_02-배수공_반중력_Sheet1" xfId="6285"/>
    <cellStyle name="통_02-배수공_반중력_갑지" xfId="6286"/>
    <cellStyle name="통_02-배수공_반중력_관급자재" xfId="6287"/>
    <cellStyle name="통_02-배수공_반중력_이설비" xfId="6288"/>
    <cellStyle name="통_02-배수공_반중력_토공" xfId="6289"/>
    <cellStyle name="통_02-배수공_반중력_토공_2차설계변경내역서(2007굴착)" xfId="6290"/>
    <cellStyle name="통_02-배수공_반중력_토공_Sheet1" xfId="6291"/>
    <cellStyle name="통_02-배수공_반중력_토공_갑지" xfId="6292"/>
    <cellStyle name="통_02-배수공_반중력_토공_관급자재" xfId="6293"/>
    <cellStyle name="통_02-배수공_반중력_토공_이설비" xfId="6294"/>
    <cellStyle name="통_02-배수공_이설비" xfId="6295"/>
    <cellStyle name="통_02-배수공_토공" xfId="6296"/>
    <cellStyle name="통_02-배수공_토공_2차설계변경내역서(2007굴착)" xfId="6297"/>
    <cellStyle name="통_02-배수공_토공_Sheet1" xfId="6298"/>
    <cellStyle name="통_02-배수공_토공_갑지" xfId="6299"/>
    <cellStyle name="통_02-배수공_토공_관급자재" xfId="6300"/>
    <cellStyle name="통_02-배수공_토공_이설비" xfId="6301"/>
    <cellStyle name="통_04-포장공_02-배수공" xfId="6302"/>
    <cellStyle name="통_04-포장공_02-배수공_2차설계변경내역서(2007굴착)" xfId="6303"/>
    <cellStyle name="통_04-포장공_02-배수공_Sheet1" xfId="6304"/>
    <cellStyle name="통_04-포장공_02-배수공_갑지" xfId="6305"/>
    <cellStyle name="통_04-포장공_02-배수공_관급자재" xfId="6306"/>
    <cellStyle name="통_04-포장공_02-배수공_이설비" xfId="6307"/>
    <cellStyle name="통_04-포장공_02-배수공_토공" xfId="6308"/>
    <cellStyle name="통_04-포장공_02-배수공_토공_2차설계변경내역서(2007굴착)" xfId="6309"/>
    <cellStyle name="통_04-포장공_02-배수공_토공_Sheet1" xfId="6310"/>
    <cellStyle name="통_04-포장공_02-배수공_토공_갑지" xfId="6311"/>
    <cellStyle name="통_04-포장공_02-배수공_토공_관급자재" xfId="6312"/>
    <cellStyle name="통_04-포장공_02-배수공_토공_이설비" xfId="6313"/>
    <cellStyle name="통_06-부대공_02-배수공" xfId="6314"/>
    <cellStyle name="통_06-부대공_02-배수공_2차설계변경내역서(2007굴착)" xfId="6315"/>
    <cellStyle name="통_06-부대공_02-배수공_Sheet1" xfId="6316"/>
    <cellStyle name="통_06-부대공_02-배수공_갑지" xfId="6317"/>
    <cellStyle name="통_06-부대공_02-배수공_관급자재" xfId="6318"/>
    <cellStyle name="통_06-부대공_02-배수공_이설비" xfId="6319"/>
    <cellStyle name="통_06-부대공_02-배수공_토공" xfId="6320"/>
    <cellStyle name="통_06-부대공_02-배수공_토공_2차설계변경내역서(2007굴착)" xfId="6321"/>
    <cellStyle name="통_06-부대공_02-배수공_토공_Sheet1" xfId="6322"/>
    <cellStyle name="통_06-부대공_02-배수공_토공_갑지" xfId="6323"/>
    <cellStyle name="통_06-부대공_02-배수공_토공_관급자재" xfId="6324"/>
    <cellStyle name="통_06-부대공_02-배수공_토공_이설비" xfId="6325"/>
    <cellStyle name="통_2차 변경 - 임곡도급내역서" xfId="12197"/>
    <cellStyle name="통_3. 신광R~숭의R(배수공)" xfId="12198"/>
    <cellStyle name="통_IQS00년 상반기보고000520(소장)-1" xfId="3968"/>
    <cellStyle name="통_IQS00년 상반기보고000520(소장)-1 2" xfId="4602"/>
    <cellStyle name="통_IQS00년 상반기보고000520(소장)-1.xls Chart 156" xfId="3969"/>
    <cellStyle name="통_IQS00년 상반기보고000520(소장)-1.xls Chart 156 2" xfId="4603"/>
    <cellStyle name="통_IQS00년 상반기보고000520(소장)-1.xls Chart 156_Book1" xfId="3970"/>
    <cellStyle name="통_IQS00년 상반기보고000520(소장)-1.xls Chart 156_Book1 2" xfId="4604"/>
    <cellStyle name="통_IQS00년 상반기보고000520(소장)-1.xls Chart 156_Book1_다대포 해수욕장-내역서" xfId="3971"/>
    <cellStyle name="통_IQS00년 상반기보고000520(소장)-1.xls Chart 156_Book1_다대포 해수욕장-내역서 2" xfId="4605"/>
    <cellStyle name="통_IQS00년 상반기보고000520(소장)-1.xls Chart 156_Book1_조형물 내역서(원본)" xfId="3972"/>
    <cellStyle name="통_IQS00년 상반기보고000520(소장)-1.xls Chart 156_Book1_조형물 내역서(원본) 2" xfId="4606"/>
    <cellStyle name="통_IQS00년 상반기보고000520(소장)-1.xls Chart 156_다대포 해수욕장-내역서" xfId="3973"/>
    <cellStyle name="통_IQS00년 상반기보고000520(소장)-1.xls Chart 156_다대포 해수욕장-내역서 2" xfId="4607"/>
    <cellStyle name="통_IQS00년 상반기보고000520(소장)-1.xls Chart 156_사장님IQS개선회의(조립생기팀0816)" xfId="3974"/>
    <cellStyle name="통_IQS00년 상반기보고000520(소장)-1.xls Chart 156_사장님IQS개선회의(조립생기팀0816) 2" xfId="4608"/>
    <cellStyle name="통_IQS00년 상반기보고000520(소장)-1.xls Chart 156_사장님IQS개선회의(조립생기팀0816)_Book1" xfId="3975"/>
    <cellStyle name="통_IQS00년 상반기보고000520(소장)-1.xls Chart 156_사장님IQS개선회의(조립생기팀0816)_Book1 2" xfId="4609"/>
    <cellStyle name="통_IQS00년 상반기보고000520(소장)-1.xls Chart 156_사장님IQS개선회의(조립생기팀0816)_Book1_다대포 해수욕장-내역서" xfId="3976"/>
    <cellStyle name="통_IQS00년 상반기보고000520(소장)-1.xls Chart 156_사장님IQS개선회의(조립생기팀0816)_Book1_다대포 해수욕장-내역서 2" xfId="4610"/>
    <cellStyle name="통_IQS00년 상반기보고000520(소장)-1.xls Chart 156_사장님IQS개선회의(조립생기팀0816)_Book1_조형물 내역서(원본)" xfId="3977"/>
    <cellStyle name="통_IQS00년 상반기보고000520(소장)-1.xls Chart 156_사장님IQS개선회의(조립생기팀0816)_Book1_조형물 내역서(원본) 2" xfId="4611"/>
    <cellStyle name="통_IQS00년 상반기보고000520(소장)-1.xls Chart 156_사장님IQS개선회의(조립생기팀0816)_다대포 해수욕장-내역서" xfId="3978"/>
    <cellStyle name="통_IQS00년 상반기보고000520(소장)-1.xls Chart 156_사장님IQS개선회의(조립생기팀0816)_다대포 해수욕장-내역서 2" xfId="4612"/>
    <cellStyle name="통_IQS00년 상반기보고000520(소장)-1.xls Chart 156_사장님IQS개선회의(조립생기팀0816)_인상시부담액(임,단협(1).04.26수정)" xfId="3979"/>
    <cellStyle name="통_IQS00년 상반기보고000520(소장)-1.xls Chart 156_사장님IQS개선회의(조립생기팀0816)_인상시부담액(임,단협(1).04.26수정) 2" xfId="4613"/>
    <cellStyle name="통_IQS00년 상반기보고000520(소장)-1.xls Chart 156_사장님IQS개선회의(조립생기팀0816)_인상시부담액(임,단협(1).04.26수정)_다대포 해수욕장-내역서" xfId="3980"/>
    <cellStyle name="통_IQS00년 상반기보고000520(소장)-1.xls Chart 156_사장님IQS개선회의(조립생기팀0816)_인상시부담액(임,단협(1).04.26수정)_다대포 해수욕장-내역서 2" xfId="4614"/>
    <cellStyle name="통_IQS00년 상반기보고000520(소장)-1.xls Chart 156_사장님IQS개선회의(조립생기팀0816)_인상시부담액(임,단협(1).04.26수정)_조형물 내역서(원본)" xfId="3981"/>
    <cellStyle name="통_IQS00년 상반기보고000520(소장)-1.xls Chart 156_사장님IQS개선회의(조립생기팀0816)_인상시부담액(임,단협(1).04.26수정)_조형물 내역서(원본) 2" xfId="4615"/>
    <cellStyle name="통_IQS00년 상반기보고000520(소장)-1.xls Chart 156_사장님IQS개선회의(조립생기팀0816)_조형물 내역서(원본)" xfId="3982"/>
    <cellStyle name="통_IQS00년 상반기보고000520(소장)-1.xls Chart 156_사장님IQS개선회의(조립생기팀0816)_조형물 내역서(원본) 2" xfId="4616"/>
    <cellStyle name="통_IQS00년 상반기보고000520(소장)-1.xls Chart 156_인상시부담액(임,단협(1).04.26수정)" xfId="3983"/>
    <cellStyle name="통_IQS00년 상반기보고000520(소장)-1.xls Chart 156_인상시부담액(임,단협(1).04.26수정) 2" xfId="4617"/>
    <cellStyle name="통_IQS00년 상반기보고000520(소장)-1.xls Chart 156_인상시부담액(임,단협(1).04.26수정)_다대포 해수욕장-내역서" xfId="3984"/>
    <cellStyle name="통_IQS00년 상반기보고000520(소장)-1.xls Chart 156_인상시부담액(임,단협(1).04.26수정)_다대포 해수욕장-내역서 2" xfId="4618"/>
    <cellStyle name="통_IQS00년 상반기보고000520(소장)-1.xls Chart 156_인상시부담액(임,단협(1).04.26수정)_조형물 내역서(원본)" xfId="3985"/>
    <cellStyle name="통_IQS00년 상반기보고000520(소장)-1.xls Chart 156_인상시부담액(임,단협(1).04.26수정)_조형물 내역서(원본) 2" xfId="4619"/>
    <cellStyle name="통_IQS00년 상반기보고000520(소장)-1.xls Chart 156_정이사님보고0907" xfId="3986"/>
    <cellStyle name="통_IQS00년 상반기보고000520(소장)-1.xls Chart 156_정이사님보고0907 2" xfId="4620"/>
    <cellStyle name="통_IQS00년 상반기보고000520(소장)-1.xls Chart 156_정이사님보고0907_Book1" xfId="3987"/>
    <cellStyle name="통_IQS00년 상반기보고000520(소장)-1.xls Chart 156_정이사님보고0907_Book1 2" xfId="4621"/>
    <cellStyle name="통_IQS00년 상반기보고000520(소장)-1.xls Chart 156_정이사님보고0907_Book1_다대포 해수욕장-내역서" xfId="3988"/>
    <cellStyle name="통_IQS00년 상반기보고000520(소장)-1.xls Chart 156_정이사님보고0907_Book1_다대포 해수욕장-내역서 2" xfId="4622"/>
    <cellStyle name="통_IQS00년 상반기보고000520(소장)-1.xls Chart 156_정이사님보고0907_Book1_조형물 내역서(원본)" xfId="3989"/>
    <cellStyle name="통_IQS00년 상반기보고000520(소장)-1.xls Chart 156_정이사님보고0907_Book1_조형물 내역서(원본) 2" xfId="4623"/>
    <cellStyle name="통_IQS00년 상반기보고000520(소장)-1.xls Chart 156_정이사님보고0907_다대포 해수욕장-내역서" xfId="3990"/>
    <cellStyle name="통_IQS00년 상반기보고000520(소장)-1.xls Chart 156_정이사님보고0907_다대포 해수욕장-내역서 2" xfId="4624"/>
    <cellStyle name="통_IQS00년 상반기보고000520(소장)-1.xls Chart 156_정이사님보고0907_인상시부담액(임,단협(1).04.26수정)" xfId="3991"/>
    <cellStyle name="통_IQS00년 상반기보고000520(소장)-1.xls Chart 156_정이사님보고0907_인상시부담액(임,단협(1).04.26수정) 2" xfId="4625"/>
    <cellStyle name="통_IQS00년 상반기보고000520(소장)-1.xls Chart 156_정이사님보고0907_인상시부담액(임,단협(1).04.26수정)_다대포 해수욕장-내역서" xfId="3992"/>
    <cellStyle name="통_IQS00년 상반기보고000520(소장)-1.xls Chart 156_정이사님보고0907_인상시부담액(임,단협(1).04.26수정)_다대포 해수욕장-내역서 2" xfId="4626"/>
    <cellStyle name="통_IQS00년 상반기보고000520(소장)-1.xls Chart 156_정이사님보고0907_인상시부담액(임,단협(1).04.26수정)_조형물 내역서(원본)" xfId="3993"/>
    <cellStyle name="통_IQS00년 상반기보고000520(소장)-1.xls Chart 156_정이사님보고0907_인상시부담액(임,단협(1).04.26수정)_조형물 내역서(원본) 2" xfId="4627"/>
    <cellStyle name="통_IQS00년 상반기보고000520(소장)-1.xls Chart 156_정이사님보고0907_조형물 내역서(원본)" xfId="3994"/>
    <cellStyle name="통_IQS00년 상반기보고000520(소장)-1.xls Chart 156_정이사님보고0907_조형물 내역서(원본) 2" xfId="4628"/>
    <cellStyle name="통_IQS00년 상반기보고000520(소장)-1.xls Chart 156_조형물 내역서(원본)" xfId="3995"/>
    <cellStyle name="통_IQS00년 상반기보고000520(소장)-1.xls Chart 156_조형물 내역서(원본) 2" xfId="4629"/>
    <cellStyle name="통_IQS00년 상반기보고000520(소장)-1.xls Chart 157" xfId="3996"/>
    <cellStyle name="통_IQS00년 상반기보고000520(소장)-1.xls Chart 157 2" xfId="4630"/>
    <cellStyle name="통_IQS00년 상반기보고000520(소장)-1.xls Chart 157_Book1" xfId="3997"/>
    <cellStyle name="통_IQS00년 상반기보고000520(소장)-1.xls Chart 157_Book1 2" xfId="4631"/>
    <cellStyle name="통_IQS00년 상반기보고000520(소장)-1.xls Chart 157_Book1_다대포 해수욕장-내역서" xfId="3998"/>
    <cellStyle name="통_IQS00년 상반기보고000520(소장)-1.xls Chart 157_Book1_다대포 해수욕장-내역서 2" xfId="4632"/>
    <cellStyle name="통_IQS00년 상반기보고000520(소장)-1.xls Chart 157_Book1_조형물 내역서(원본)" xfId="3999"/>
    <cellStyle name="통_IQS00년 상반기보고000520(소장)-1.xls Chart 157_Book1_조형물 내역서(원본) 2" xfId="4633"/>
    <cellStyle name="통_IQS00년 상반기보고000520(소장)-1.xls Chart 157_다대포 해수욕장-내역서" xfId="4000"/>
    <cellStyle name="통_IQS00년 상반기보고000520(소장)-1.xls Chart 157_다대포 해수욕장-내역서 2" xfId="4634"/>
    <cellStyle name="통_IQS00년 상반기보고000520(소장)-1.xls Chart 157_사장님IQS개선회의(조립생기팀0816)" xfId="4001"/>
    <cellStyle name="통_IQS00년 상반기보고000520(소장)-1.xls Chart 157_사장님IQS개선회의(조립생기팀0816) 2" xfId="4635"/>
    <cellStyle name="통_IQS00년 상반기보고000520(소장)-1.xls Chart 157_사장님IQS개선회의(조립생기팀0816)_Book1" xfId="4002"/>
    <cellStyle name="통_IQS00년 상반기보고000520(소장)-1.xls Chart 157_사장님IQS개선회의(조립생기팀0816)_Book1 2" xfId="4636"/>
    <cellStyle name="통_IQS00년 상반기보고000520(소장)-1.xls Chart 157_사장님IQS개선회의(조립생기팀0816)_Book1_다대포 해수욕장-내역서" xfId="4003"/>
    <cellStyle name="통_IQS00년 상반기보고000520(소장)-1.xls Chart 157_사장님IQS개선회의(조립생기팀0816)_Book1_다대포 해수욕장-내역서 2" xfId="4637"/>
    <cellStyle name="통_IQS00년 상반기보고000520(소장)-1.xls Chart 157_사장님IQS개선회의(조립생기팀0816)_Book1_조형물 내역서(원본)" xfId="4004"/>
    <cellStyle name="통_IQS00년 상반기보고000520(소장)-1.xls Chart 157_사장님IQS개선회의(조립생기팀0816)_Book1_조형물 내역서(원본) 2" xfId="4638"/>
    <cellStyle name="통_IQS00년 상반기보고000520(소장)-1.xls Chart 157_사장님IQS개선회의(조립생기팀0816)_다대포 해수욕장-내역서" xfId="4005"/>
    <cellStyle name="통_IQS00년 상반기보고000520(소장)-1.xls Chart 157_사장님IQS개선회의(조립생기팀0816)_다대포 해수욕장-내역서 2" xfId="4639"/>
    <cellStyle name="통_IQS00년 상반기보고000520(소장)-1.xls Chart 157_사장님IQS개선회의(조립생기팀0816)_인상시부담액(임,단협(1).04.26수정)" xfId="4006"/>
    <cellStyle name="통_IQS00년 상반기보고000520(소장)-1.xls Chart 157_사장님IQS개선회의(조립생기팀0816)_인상시부담액(임,단협(1).04.26수정) 2" xfId="4640"/>
    <cellStyle name="통_IQS00년 상반기보고000520(소장)-1.xls Chart 157_사장님IQS개선회의(조립생기팀0816)_인상시부담액(임,단협(1).04.26수정)_다대포 해수욕장-내역서" xfId="4007"/>
    <cellStyle name="통_IQS00년 상반기보고000520(소장)-1.xls Chart 157_사장님IQS개선회의(조립생기팀0816)_인상시부담액(임,단협(1).04.26수정)_다대포 해수욕장-내역서 2" xfId="4641"/>
    <cellStyle name="통_IQS00년 상반기보고000520(소장)-1.xls Chart 157_사장님IQS개선회의(조립생기팀0816)_인상시부담액(임,단협(1).04.26수정)_조형물 내역서(원본)" xfId="4008"/>
    <cellStyle name="통_IQS00년 상반기보고000520(소장)-1.xls Chart 157_사장님IQS개선회의(조립생기팀0816)_인상시부담액(임,단협(1).04.26수정)_조형물 내역서(원본) 2" xfId="4642"/>
    <cellStyle name="통_IQS00년 상반기보고000520(소장)-1.xls Chart 157_사장님IQS개선회의(조립생기팀0816)_조형물 내역서(원본)" xfId="4009"/>
    <cellStyle name="통_IQS00년 상반기보고000520(소장)-1.xls Chart 157_사장님IQS개선회의(조립생기팀0816)_조형물 내역서(원본) 2" xfId="4643"/>
    <cellStyle name="통_IQS00년 상반기보고000520(소장)-1.xls Chart 157_인상시부담액(임,단협(1).04.26수정)" xfId="4010"/>
    <cellStyle name="통_IQS00년 상반기보고000520(소장)-1.xls Chart 157_인상시부담액(임,단협(1).04.26수정) 2" xfId="4644"/>
    <cellStyle name="통_IQS00년 상반기보고000520(소장)-1.xls Chart 157_인상시부담액(임,단협(1).04.26수정)_다대포 해수욕장-내역서" xfId="4011"/>
    <cellStyle name="통_IQS00년 상반기보고000520(소장)-1.xls Chart 157_인상시부담액(임,단협(1).04.26수정)_다대포 해수욕장-내역서 2" xfId="4645"/>
    <cellStyle name="통_IQS00년 상반기보고000520(소장)-1.xls Chart 157_인상시부담액(임,단협(1).04.26수정)_조형물 내역서(원본)" xfId="4012"/>
    <cellStyle name="통_IQS00년 상반기보고000520(소장)-1.xls Chart 157_인상시부담액(임,단협(1).04.26수정)_조형물 내역서(원본) 2" xfId="4646"/>
    <cellStyle name="통_IQS00년 상반기보고000520(소장)-1.xls Chart 157_정이사님보고0907" xfId="4013"/>
    <cellStyle name="통_IQS00년 상반기보고000520(소장)-1.xls Chart 157_정이사님보고0907 2" xfId="4647"/>
    <cellStyle name="통_IQS00년 상반기보고000520(소장)-1.xls Chart 157_정이사님보고0907_Book1" xfId="4014"/>
    <cellStyle name="통_IQS00년 상반기보고000520(소장)-1.xls Chart 157_정이사님보고0907_Book1 2" xfId="4648"/>
    <cellStyle name="통_IQS00년 상반기보고000520(소장)-1.xls Chart 157_정이사님보고0907_Book1_다대포 해수욕장-내역서" xfId="4015"/>
    <cellStyle name="통_IQS00년 상반기보고000520(소장)-1.xls Chart 157_정이사님보고0907_Book1_다대포 해수욕장-내역서 2" xfId="4649"/>
    <cellStyle name="통_IQS00년 상반기보고000520(소장)-1.xls Chart 157_정이사님보고0907_Book1_조형물 내역서(원본)" xfId="4016"/>
    <cellStyle name="통_IQS00년 상반기보고000520(소장)-1.xls Chart 157_정이사님보고0907_Book1_조형물 내역서(원본) 2" xfId="4650"/>
    <cellStyle name="통_IQS00년 상반기보고000520(소장)-1.xls Chart 157_정이사님보고0907_다대포 해수욕장-내역서" xfId="4017"/>
    <cellStyle name="통_IQS00년 상반기보고000520(소장)-1.xls Chart 157_정이사님보고0907_다대포 해수욕장-내역서 2" xfId="4651"/>
    <cellStyle name="통_IQS00년 상반기보고000520(소장)-1.xls Chart 157_정이사님보고0907_인상시부담액(임,단협(1).04.26수정)" xfId="4018"/>
    <cellStyle name="통_IQS00년 상반기보고000520(소장)-1.xls Chart 157_정이사님보고0907_인상시부담액(임,단협(1).04.26수정) 2" xfId="4652"/>
    <cellStyle name="통_IQS00년 상반기보고000520(소장)-1.xls Chart 157_정이사님보고0907_인상시부담액(임,단협(1).04.26수정)_다대포 해수욕장-내역서" xfId="4019"/>
    <cellStyle name="통_IQS00년 상반기보고000520(소장)-1.xls Chart 157_정이사님보고0907_인상시부담액(임,단협(1).04.26수정)_다대포 해수욕장-내역서 2" xfId="4653"/>
    <cellStyle name="통_IQS00년 상반기보고000520(소장)-1.xls Chart 157_정이사님보고0907_인상시부담액(임,단협(1).04.26수정)_조형물 내역서(원본)" xfId="4020"/>
    <cellStyle name="통_IQS00년 상반기보고000520(소장)-1.xls Chart 157_정이사님보고0907_인상시부담액(임,단협(1).04.26수정)_조형물 내역서(원본) 2" xfId="4654"/>
    <cellStyle name="통_IQS00년 상반기보고000520(소장)-1.xls Chart 157_정이사님보고0907_조형물 내역서(원본)" xfId="4021"/>
    <cellStyle name="통_IQS00년 상반기보고000520(소장)-1.xls Chart 157_정이사님보고0907_조형물 내역서(원본) 2" xfId="4655"/>
    <cellStyle name="통_IQS00년 상반기보고000520(소장)-1.xls Chart 157_조형물 내역서(원본)" xfId="4022"/>
    <cellStyle name="통_IQS00년 상반기보고000520(소장)-1.xls Chart 157_조형물 내역서(원본) 2" xfId="4656"/>
    <cellStyle name="통_IQS00년 상반기보고000520(소장)-1.xls Chart 158" xfId="4023"/>
    <cellStyle name="통_IQS00년 상반기보고000520(소장)-1.xls Chart 158 2" xfId="4657"/>
    <cellStyle name="통_IQS00년 상반기보고000520(소장)-1.xls Chart 158_Book1" xfId="4024"/>
    <cellStyle name="통_IQS00년 상반기보고000520(소장)-1.xls Chart 158_Book1 2" xfId="4658"/>
    <cellStyle name="통_IQS00년 상반기보고000520(소장)-1.xls Chart 158_Book1_다대포 해수욕장-내역서" xfId="4025"/>
    <cellStyle name="통_IQS00년 상반기보고000520(소장)-1.xls Chart 158_Book1_다대포 해수욕장-내역서 2" xfId="4659"/>
    <cellStyle name="통_IQS00년 상반기보고000520(소장)-1.xls Chart 158_Book1_조형물 내역서(원본)" xfId="4026"/>
    <cellStyle name="통_IQS00년 상반기보고000520(소장)-1.xls Chart 158_Book1_조형물 내역서(원본) 2" xfId="4660"/>
    <cellStyle name="통_IQS00년 상반기보고000520(소장)-1.xls Chart 158_다대포 해수욕장-내역서" xfId="4027"/>
    <cellStyle name="통_IQS00년 상반기보고000520(소장)-1.xls Chart 158_다대포 해수욕장-내역서 2" xfId="4661"/>
    <cellStyle name="통_IQS00년 상반기보고000520(소장)-1.xls Chart 158_사장님IQS개선회의(조립생기팀0816)" xfId="4028"/>
    <cellStyle name="통_IQS00년 상반기보고000520(소장)-1.xls Chart 158_사장님IQS개선회의(조립생기팀0816) 2" xfId="4662"/>
    <cellStyle name="통_IQS00년 상반기보고000520(소장)-1.xls Chart 158_사장님IQS개선회의(조립생기팀0816)_Book1" xfId="4029"/>
    <cellStyle name="통_IQS00년 상반기보고000520(소장)-1.xls Chart 158_사장님IQS개선회의(조립생기팀0816)_Book1 2" xfId="4663"/>
    <cellStyle name="통_IQS00년 상반기보고000520(소장)-1.xls Chart 158_사장님IQS개선회의(조립생기팀0816)_Book1_다대포 해수욕장-내역서" xfId="4030"/>
    <cellStyle name="통_IQS00년 상반기보고000520(소장)-1.xls Chart 158_사장님IQS개선회의(조립생기팀0816)_Book1_다대포 해수욕장-내역서 2" xfId="4664"/>
    <cellStyle name="통_IQS00년 상반기보고000520(소장)-1.xls Chart 158_사장님IQS개선회의(조립생기팀0816)_Book1_조형물 내역서(원본)" xfId="4031"/>
    <cellStyle name="통_IQS00년 상반기보고000520(소장)-1.xls Chart 158_사장님IQS개선회의(조립생기팀0816)_Book1_조형물 내역서(원본) 2" xfId="4665"/>
    <cellStyle name="통_IQS00년 상반기보고000520(소장)-1.xls Chart 158_사장님IQS개선회의(조립생기팀0816)_다대포 해수욕장-내역서" xfId="4032"/>
    <cellStyle name="통_IQS00년 상반기보고000520(소장)-1.xls Chart 158_사장님IQS개선회의(조립생기팀0816)_다대포 해수욕장-내역서 2" xfId="4666"/>
    <cellStyle name="통_IQS00년 상반기보고000520(소장)-1.xls Chart 158_사장님IQS개선회의(조립생기팀0816)_인상시부담액(임,단협(1).04.26수정)" xfId="4033"/>
    <cellStyle name="통_IQS00년 상반기보고000520(소장)-1.xls Chart 158_사장님IQS개선회의(조립생기팀0816)_인상시부담액(임,단협(1).04.26수정) 2" xfId="4667"/>
    <cellStyle name="통_IQS00년 상반기보고000520(소장)-1.xls Chart 158_사장님IQS개선회의(조립생기팀0816)_인상시부담액(임,단협(1).04.26수정)_다대포 해수욕장-내역서" xfId="4034"/>
    <cellStyle name="통_IQS00년 상반기보고000520(소장)-1.xls Chart 158_사장님IQS개선회의(조립생기팀0816)_인상시부담액(임,단협(1).04.26수정)_다대포 해수욕장-내역서 2" xfId="4668"/>
    <cellStyle name="통_IQS00년 상반기보고000520(소장)-1.xls Chart 158_사장님IQS개선회의(조립생기팀0816)_인상시부담액(임,단협(1).04.26수정)_조형물 내역서(원본)" xfId="4035"/>
    <cellStyle name="통_IQS00년 상반기보고000520(소장)-1.xls Chart 158_사장님IQS개선회의(조립생기팀0816)_인상시부담액(임,단협(1).04.26수정)_조형물 내역서(원본) 2" xfId="4669"/>
    <cellStyle name="통_IQS00년 상반기보고000520(소장)-1.xls Chart 158_사장님IQS개선회의(조립생기팀0816)_조형물 내역서(원본)" xfId="4036"/>
    <cellStyle name="통_IQS00년 상반기보고000520(소장)-1.xls Chart 158_사장님IQS개선회의(조립생기팀0816)_조형물 내역서(원본) 2" xfId="4670"/>
    <cellStyle name="통_IQS00년 상반기보고000520(소장)-1.xls Chart 158_인상시부담액(임,단협(1).04.26수정)" xfId="4037"/>
    <cellStyle name="통_IQS00년 상반기보고000520(소장)-1.xls Chart 158_인상시부담액(임,단협(1).04.26수정) 2" xfId="4671"/>
    <cellStyle name="통_IQS00년 상반기보고000520(소장)-1.xls Chart 158_인상시부담액(임,단협(1).04.26수정)_다대포 해수욕장-내역서" xfId="4038"/>
    <cellStyle name="통_IQS00년 상반기보고000520(소장)-1.xls Chart 158_인상시부담액(임,단협(1).04.26수정)_다대포 해수욕장-내역서 2" xfId="4672"/>
    <cellStyle name="통_IQS00년 상반기보고000520(소장)-1.xls Chart 158_인상시부담액(임,단협(1).04.26수정)_조형물 내역서(원본)" xfId="4039"/>
    <cellStyle name="통_IQS00년 상반기보고000520(소장)-1.xls Chart 158_인상시부담액(임,단협(1).04.26수정)_조형물 내역서(원본) 2" xfId="4673"/>
    <cellStyle name="통_IQS00년 상반기보고000520(소장)-1.xls Chart 158_정이사님보고0907" xfId="4040"/>
    <cellStyle name="통_IQS00년 상반기보고000520(소장)-1.xls Chart 158_정이사님보고0907 2" xfId="4674"/>
    <cellStyle name="통_IQS00년 상반기보고000520(소장)-1.xls Chart 158_정이사님보고0907_Book1" xfId="4041"/>
    <cellStyle name="통_IQS00년 상반기보고000520(소장)-1.xls Chart 158_정이사님보고0907_Book1 2" xfId="4675"/>
    <cellStyle name="통_IQS00년 상반기보고000520(소장)-1.xls Chart 158_정이사님보고0907_Book1_다대포 해수욕장-내역서" xfId="4042"/>
    <cellStyle name="통_IQS00년 상반기보고000520(소장)-1.xls Chart 158_정이사님보고0907_Book1_다대포 해수욕장-내역서 2" xfId="4676"/>
    <cellStyle name="통_IQS00년 상반기보고000520(소장)-1.xls Chart 158_정이사님보고0907_Book1_조형물 내역서(원본)" xfId="4043"/>
    <cellStyle name="통_IQS00년 상반기보고000520(소장)-1.xls Chart 158_정이사님보고0907_Book1_조형물 내역서(원본) 2" xfId="4677"/>
    <cellStyle name="통_IQS00년 상반기보고000520(소장)-1.xls Chart 158_정이사님보고0907_다대포 해수욕장-내역서" xfId="4044"/>
    <cellStyle name="통_IQS00년 상반기보고000520(소장)-1.xls Chart 158_정이사님보고0907_다대포 해수욕장-내역서 2" xfId="4678"/>
    <cellStyle name="통_IQS00년 상반기보고000520(소장)-1.xls Chart 158_정이사님보고0907_인상시부담액(임,단협(1).04.26수정)" xfId="4045"/>
    <cellStyle name="통_IQS00년 상반기보고000520(소장)-1.xls Chart 158_정이사님보고0907_인상시부담액(임,단협(1).04.26수정) 2" xfId="4679"/>
    <cellStyle name="통_IQS00년 상반기보고000520(소장)-1.xls Chart 158_정이사님보고0907_인상시부담액(임,단협(1).04.26수정)_다대포 해수욕장-내역서" xfId="4046"/>
    <cellStyle name="통_IQS00년 상반기보고000520(소장)-1.xls Chart 158_정이사님보고0907_인상시부담액(임,단협(1).04.26수정)_다대포 해수욕장-내역서 2" xfId="4680"/>
    <cellStyle name="통_IQS00년 상반기보고000520(소장)-1.xls Chart 158_정이사님보고0907_인상시부담액(임,단협(1).04.26수정)_조형물 내역서(원본)" xfId="4047"/>
    <cellStyle name="통_IQS00년 상반기보고000520(소장)-1.xls Chart 158_정이사님보고0907_인상시부담액(임,단협(1).04.26수정)_조형물 내역서(원본) 2" xfId="4681"/>
    <cellStyle name="통_IQS00년 상반기보고000520(소장)-1.xls Chart 158_정이사님보고0907_조형물 내역서(원본)" xfId="4048"/>
    <cellStyle name="통_IQS00년 상반기보고000520(소장)-1.xls Chart 158_정이사님보고0907_조형물 내역서(원본) 2" xfId="4682"/>
    <cellStyle name="통_IQS00년 상반기보고000520(소장)-1.xls Chart 158_조형물 내역서(원본)" xfId="4049"/>
    <cellStyle name="통_IQS00년 상반기보고000520(소장)-1.xls Chart 158_조형물 내역서(원본) 2" xfId="4683"/>
    <cellStyle name="통_IQS00년 상반기보고000520(소장)-1.xls Chart 160" xfId="4050"/>
    <cellStyle name="통_IQS00년 상반기보고000520(소장)-1.xls Chart 160 2" xfId="4684"/>
    <cellStyle name="통_IQS00년 상반기보고000520(소장)-1.xls Chart 160_Book1" xfId="4051"/>
    <cellStyle name="통_IQS00년 상반기보고000520(소장)-1.xls Chart 160_Book1 2" xfId="4685"/>
    <cellStyle name="통_IQS00년 상반기보고000520(소장)-1.xls Chart 160_Book1_다대포 해수욕장-내역서" xfId="4052"/>
    <cellStyle name="통_IQS00년 상반기보고000520(소장)-1.xls Chart 160_Book1_다대포 해수욕장-내역서 2" xfId="4686"/>
    <cellStyle name="통_IQS00년 상반기보고000520(소장)-1.xls Chart 160_Book1_조형물 내역서(원본)" xfId="4053"/>
    <cellStyle name="통_IQS00년 상반기보고000520(소장)-1.xls Chart 160_Book1_조형물 내역서(원본) 2" xfId="4687"/>
    <cellStyle name="통_IQS00년 상반기보고000520(소장)-1.xls Chart 160_다대포 해수욕장-내역서" xfId="4054"/>
    <cellStyle name="통_IQS00년 상반기보고000520(소장)-1.xls Chart 160_다대포 해수욕장-내역서 2" xfId="4688"/>
    <cellStyle name="통_IQS00년 상반기보고000520(소장)-1.xls Chart 160_사장님IQS개선회의(조립생기팀0816)" xfId="4055"/>
    <cellStyle name="통_IQS00년 상반기보고000520(소장)-1.xls Chart 160_사장님IQS개선회의(조립생기팀0816) 2" xfId="4689"/>
    <cellStyle name="통_IQS00년 상반기보고000520(소장)-1.xls Chart 160_사장님IQS개선회의(조립생기팀0816)_Book1" xfId="4056"/>
    <cellStyle name="통_IQS00년 상반기보고000520(소장)-1.xls Chart 160_사장님IQS개선회의(조립생기팀0816)_Book1 2" xfId="4690"/>
    <cellStyle name="통_IQS00년 상반기보고000520(소장)-1.xls Chart 160_사장님IQS개선회의(조립생기팀0816)_Book1_다대포 해수욕장-내역서" xfId="4057"/>
    <cellStyle name="통_IQS00년 상반기보고000520(소장)-1.xls Chart 160_사장님IQS개선회의(조립생기팀0816)_Book1_다대포 해수욕장-내역서 2" xfId="4691"/>
    <cellStyle name="통_IQS00년 상반기보고000520(소장)-1.xls Chart 160_사장님IQS개선회의(조립생기팀0816)_Book1_조형물 내역서(원본)" xfId="4058"/>
    <cellStyle name="통_IQS00년 상반기보고000520(소장)-1.xls Chart 160_사장님IQS개선회의(조립생기팀0816)_Book1_조형물 내역서(원본) 2" xfId="4692"/>
    <cellStyle name="통_IQS00년 상반기보고000520(소장)-1.xls Chart 160_사장님IQS개선회의(조립생기팀0816)_다대포 해수욕장-내역서" xfId="4059"/>
    <cellStyle name="통_IQS00년 상반기보고000520(소장)-1.xls Chart 160_사장님IQS개선회의(조립생기팀0816)_다대포 해수욕장-내역서 2" xfId="4693"/>
    <cellStyle name="통_IQS00년 상반기보고000520(소장)-1.xls Chart 160_사장님IQS개선회의(조립생기팀0816)_인상시부담액(임,단협(1).04.26수정)" xfId="4060"/>
    <cellStyle name="통_IQS00년 상반기보고000520(소장)-1.xls Chart 160_사장님IQS개선회의(조립생기팀0816)_인상시부담액(임,단협(1).04.26수정) 2" xfId="4694"/>
    <cellStyle name="통_IQS00년 상반기보고000520(소장)-1.xls Chart 160_사장님IQS개선회의(조립생기팀0816)_인상시부담액(임,단협(1).04.26수정)_다대포 해수욕장-내역서" xfId="4061"/>
    <cellStyle name="통_IQS00년 상반기보고000520(소장)-1.xls Chart 160_사장님IQS개선회의(조립생기팀0816)_인상시부담액(임,단협(1).04.26수정)_다대포 해수욕장-내역서 2" xfId="4695"/>
    <cellStyle name="통_IQS00년 상반기보고000520(소장)-1.xls Chart 160_사장님IQS개선회의(조립생기팀0816)_인상시부담액(임,단협(1).04.26수정)_조형물 내역서(원본)" xfId="4062"/>
    <cellStyle name="통_IQS00년 상반기보고000520(소장)-1.xls Chart 160_사장님IQS개선회의(조립생기팀0816)_인상시부담액(임,단협(1).04.26수정)_조형물 내역서(원본) 2" xfId="4696"/>
    <cellStyle name="통_IQS00년 상반기보고000520(소장)-1.xls Chart 160_사장님IQS개선회의(조립생기팀0816)_조형물 내역서(원본)" xfId="4063"/>
    <cellStyle name="통_IQS00년 상반기보고000520(소장)-1.xls Chart 160_사장님IQS개선회의(조립생기팀0816)_조형물 내역서(원본) 2" xfId="4697"/>
    <cellStyle name="통_IQS00년 상반기보고000520(소장)-1.xls Chart 160_인상시부담액(임,단협(1).04.26수정)" xfId="4064"/>
    <cellStyle name="통_IQS00년 상반기보고000520(소장)-1.xls Chart 160_인상시부담액(임,단협(1).04.26수정) 2" xfId="4698"/>
    <cellStyle name="통_IQS00년 상반기보고000520(소장)-1.xls Chart 160_인상시부담액(임,단협(1).04.26수정)_다대포 해수욕장-내역서" xfId="4065"/>
    <cellStyle name="통_IQS00년 상반기보고000520(소장)-1.xls Chart 160_인상시부담액(임,단협(1).04.26수정)_다대포 해수욕장-내역서 2" xfId="4699"/>
    <cellStyle name="통_IQS00년 상반기보고000520(소장)-1.xls Chart 160_인상시부담액(임,단협(1).04.26수정)_조형물 내역서(원본)" xfId="4066"/>
    <cellStyle name="통_IQS00년 상반기보고000520(소장)-1.xls Chart 160_인상시부담액(임,단협(1).04.26수정)_조형물 내역서(원본) 2" xfId="4700"/>
    <cellStyle name="통_IQS00년 상반기보고000520(소장)-1.xls Chart 160_정이사님보고0907" xfId="4067"/>
    <cellStyle name="통_IQS00년 상반기보고000520(소장)-1.xls Chart 160_정이사님보고0907 2" xfId="4701"/>
    <cellStyle name="통_IQS00년 상반기보고000520(소장)-1.xls Chart 160_정이사님보고0907_Book1" xfId="4068"/>
    <cellStyle name="통_IQS00년 상반기보고000520(소장)-1.xls Chart 160_정이사님보고0907_Book1 2" xfId="4702"/>
    <cellStyle name="통_IQS00년 상반기보고000520(소장)-1.xls Chart 160_정이사님보고0907_Book1_다대포 해수욕장-내역서" xfId="4069"/>
    <cellStyle name="통_IQS00년 상반기보고000520(소장)-1.xls Chart 160_정이사님보고0907_Book1_다대포 해수욕장-내역서 2" xfId="4703"/>
    <cellStyle name="통_IQS00년 상반기보고000520(소장)-1.xls Chart 160_정이사님보고0907_Book1_조형물 내역서(원본)" xfId="4070"/>
    <cellStyle name="통_IQS00년 상반기보고000520(소장)-1.xls Chart 160_정이사님보고0907_Book1_조형물 내역서(원본) 2" xfId="4704"/>
    <cellStyle name="통_IQS00년 상반기보고000520(소장)-1.xls Chart 160_정이사님보고0907_다대포 해수욕장-내역서" xfId="4071"/>
    <cellStyle name="통_IQS00년 상반기보고000520(소장)-1.xls Chart 160_정이사님보고0907_다대포 해수욕장-내역서 2" xfId="4705"/>
    <cellStyle name="통_IQS00년 상반기보고000520(소장)-1.xls Chart 160_정이사님보고0907_인상시부담액(임,단협(1).04.26수정)" xfId="4072"/>
    <cellStyle name="통_IQS00년 상반기보고000520(소장)-1.xls Chart 160_정이사님보고0907_인상시부담액(임,단협(1).04.26수정) 2" xfId="4706"/>
    <cellStyle name="통_IQS00년 상반기보고000520(소장)-1.xls Chart 160_정이사님보고0907_인상시부담액(임,단협(1).04.26수정)_다대포 해수욕장-내역서" xfId="4073"/>
    <cellStyle name="통_IQS00년 상반기보고000520(소장)-1.xls Chart 160_정이사님보고0907_인상시부담액(임,단협(1).04.26수정)_다대포 해수욕장-내역서 2" xfId="4707"/>
    <cellStyle name="통_IQS00년 상반기보고000520(소장)-1.xls Chart 160_정이사님보고0907_인상시부담액(임,단협(1).04.26수정)_조형물 내역서(원본)" xfId="4074"/>
    <cellStyle name="통_IQS00년 상반기보고000520(소장)-1.xls Chart 160_정이사님보고0907_인상시부담액(임,단협(1).04.26수정)_조형물 내역서(원본) 2" xfId="4708"/>
    <cellStyle name="통_IQS00년 상반기보고000520(소장)-1.xls Chart 160_정이사님보고0907_조형물 내역서(원본)" xfId="4075"/>
    <cellStyle name="통_IQS00년 상반기보고000520(소장)-1.xls Chart 160_정이사님보고0907_조형물 내역서(원본) 2" xfId="4709"/>
    <cellStyle name="통_IQS00년 상반기보고000520(소장)-1.xls Chart 160_조형물 내역서(원본)" xfId="4076"/>
    <cellStyle name="통_IQS00년 상반기보고000520(소장)-1.xls Chart 160_조형물 내역서(원본) 2" xfId="4710"/>
    <cellStyle name="통_IQS00년 상반기보고000520(소장)-1.xls Chart 161" xfId="4077"/>
    <cellStyle name="통_IQS00년 상반기보고000520(소장)-1.xls Chart 161 2" xfId="4711"/>
    <cellStyle name="통_IQS00년 상반기보고000520(소장)-1.xls Chart 161_Book1" xfId="4078"/>
    <cellStyle name="통_IQS00년 상반기보고000520(소장)-1.xls Chart 161_Book1 2" xfId="4712"/>
    <cellStyle name="통_IQS00년 상반기보고000520(소장)-1.xls Chart 161_Book1_다대포 해수욕장-내역서" xfId="4079"/>
    <cellStyle name="통_IQS00년 상반기보고000520(소장)-1.xls Chart 161_Book1_다대포 해수욕장-내역서 2" xfId="4713"/>
    <cellStyle name="통_IQS00년 상반기보고000520(소장)-1.xls Chart 161_Book1_조형물 내역서(원본)" xfId="4080"/>
    <cellStyle name="통_IQS00년 상반기보고000520(소장)-1.xls Chart 161_Book1_조형물 내역서(원본) 2" xfId="4714"/>
    <cellStyle name="통_IQS00년 상반기보고000520(소장)-1.xls Chart 161_다대포 해수욕장-내역서" xfId="4081"/>
    <cellStyle name="통_IQS00년 상반기보고000520(소장)-1.xls Chart 161_다대포 해수욕장-내역서 2" xfId="4715"/>
    <cellStyle name="통_IQS00년 상반기보고000520(소장)-1.xls Chart 161_사장님IQS개선회의(조립생기팀0816)" xfId="4082"/>
    <cellStyle name="통_IQS00년 상반기보고000520(소장)-1.xls Chart 161_사장님IQS개선회의(조립생기팀0816) 2" xfId="4716"/>
    <cellStyle name="통_IQS00년 상반기보고000520(소장)-1.xls Chart 161_사장님IQS개선회의(조립생기팀0816)_Book1" xfId="4083"/>
    <cellStyle name="통_IQS00년 상반기보고000520(소장)-1.xls Chart 161_사장님IQS개선회의(조립생기팀0816)_Book1 2" xfId="4717"/>
    <cellStyle name="통_IQS00년 상반기보고000520(소장)-1.xls Chart 161_사장님IQS개선회의(조립생기팀0816)_Book1_다대포 해수욕장-내역서" xfId="4084"/>
    <cellStyle name="통_IQS00년 상반기보고000520(소장)-1.xls Chart 161_사장님IQS개선회의(조립생기팀0816)_Book1_다대포 해수욕장-내역서 2" xfId="4718"/>
    <cellStyle name="통_IQS00년 상반기보고000520(소장)-1.xls Chart 161_사장님IQS개선회의(조립생기팀0816)_Book1_조형물 내역서(원본)" xfId="4085"/>
    <cellStyle name="통_IQS00년 상반기보고000520(소장)-1.xls Chart 161_사장님IQS개선회의(조립생기팀0816)_Book1_조형물 내역서(원본) 2" xfId="4719"/>
    <cellStyle name="통_IQS00년 상반기보고000520(소장)-1.xls Chart 161_사장님IQS개선회의(조립생기팀0816)_다대포 해수욕장-내역서" xfId="4086"/>
    <cellStyle name="통_IQS00년 상반기보고000520(소장)-1.xls Chart 161_사장님IQS개선회의(조립생기팀0816)_다대포 해수욕장-내역서 2" xfId="4720"/>
    <cellStyle name="통_IQS00년 상반기보고000520(소장)-1.xls Chart 161_사장님IQS개선회의(조립생기팀0816)_인상시부담액(임,단협(1).04.26수정)" xfId="4087"/>
    <cellStyle name="통_IQS00년 상반기보고000520(소장)-1.xls Chart 161_사장님IQS개선회의(조립생기팀0816)_인상시부담액(임,단협(1).04.26수정) 2" xfId="4721"/>
    <cellStyle name="통_IQS00년 상반기보고000520(소장)-1.xls Chart 161_사장님IQS개선회의(조립생기팀0816)_인상시부담액(임,단협(1).04.26수정)_다대포 해수욕장-내역서" xfId="4088"/>
    <cellStyle name="통_IQS00년 상반기보고000520(소장)-1.xls Chart 161_사장님IQS개선회의(조립생기팀0816)_인상시부담액(임,단협(1).04.26수정)_다대포 해수욕장-내역서 2" xfId="4722"/>
    <cellStyle name="통_IQS00년 상반기보고000520(소장)-1.xls Chart 161_사장님IQS개선회의(조립생기팀0816)_인상시부담액(임,단협(1).04.26수정)_조형물 내역서(원본)" xfId="4089"/>
    <cellStyle name="통_IQS00년 상반기보고000520(소장)-1.xls Chart 161_사장님IQS개선회의(조립생기팀0816)_인상시부담액(임,단협(1).04.26수정)_조형물 내역서(원본) 2" xfId="4723"/>
    <cellStyle name="통_IQS00년 상반기보고000520(소장)-1.xls Chart 161_사장님IQS개선회의(조립생기팀0816)_조형물 내역서(원본)" xfId="4090"/>
    <cellStyle name="통_IQS00년 상반기보고000520(소장)-1.xls Chart 161_사장님IQS개선회의(조립생기팀0816)_조형물 내역서(원본) 2" xfId="4724"/>
    <cellStyle name="통_IQS00년 상반기보고000520(소장)-1.xls Chart 161_인상시부담액(임,단협(1).04.26수정)" xfId="4091"/>
    <cellStyle name="통_IQS00년 상반기보고000520(소장)-1.xls Chart 161_인상시부담액(임,단협(1).04.26수정) 2" xfId="4725"/>
    <cellStyle name="통_IQS00년 상반기보고000520(소장)-1.xls Chart 161_인상시부담액(임,단협(1).04.26수정)_다대포 해수욕장-내역서" xfId="4092"/>
    <cellStyle name="통_IQS00년 상반기보고000520(소장)-1.xls Chart 161_인상시부담액(임,단협(1).04.26수정)_다대포 해수욕장-내역서 2" xfId="4726"/>
    <cellStyle name="통_IQS00년 상반기보고000520(소장)-1.xls Chart 161_인상시부담액(임,단협(1).04.26수정)_조형물 내역서(원본)" xfId="4093"/>
    <cellStyle name="통_IQS00년 상반기보고000520(소장)-1.xls Chart 161_인상시부담액(임,단협(1).04.26수정)_조형물 내역서(원본) 2" xfId="4727"/>
    <cellStyle name="통_IQS00년 상반기보고000520(소장)-1.xls Chart 161_정이사님보고0907" xfId="4094"/>
    <cellStyle name="통_IQS00년 상반기보고000520(소장)-1.xls Chart 161_정이사님보고0907 2" xfId="4728"/>
    <cellStyle name="통_IQS00년 상반기보고000520(소장)-1.xls Chart 161_정이사님보고0907_Book1" xfId="4095"/>
    <cellStyle name="통_IQS00년 상반기보고000520(소장)-1.xls Chart 161_정이사님보고0907_Book1 2" xfId="4729"/>
    <cellStyle name="통_IQS00년 상반기보고000520(소장)-1.xls Chart 161_정이사님보고0907_Book1_다대포 해수욕장-내역서" xfId="4096"/>
    <cellStyle name="통_IQS00년 상반기보고000520(소장)-1.xls Chart 161_정이사님보고0907_Book1_다대포 해수욕장-내역서 2" xfId="4730"/>
    <cellStyle name="통_IQS00년 상반기보고000520(소장)-1.xls Chart 161_정이사님보고0907_Book1_조형물 내역서(원본)" xfId="4097"/>
    <cellStyle name="통_IQS00년 상반기보고000520(소장)-1.xls Chart 161_정이사님보고0907_Book1_조형물 내역서(원본) 2" xfId="4731"/>
    <cellStyle name="통_IQS00년 상반기보고000520(소장)-1.xls Chart 161_정이사님보고0907_다대포 해수욕장-내역서" xfId="4098"/>
    <cellStyle name="통_IQS00년 상반기보고000520(소장)-1.xls Chart 161_정이사님보고0907_다대포 해수욕장-내역서 2" xfId="4732"/>
    <cellStyle name="통_IQS00년 상반기보고000520(소장)-1.xls Chart 161_정이사님보고0907_인상시부담액(임,단협(1).04.26수정)" xfId="4099"/>
    <cellStyle name="통_IQS00년 상반기보고000520(소장)-1.xls Chart 161_정이사님보고0907_인상시부담액(임,단협(1).04.26수정) 2" xfId="4733"/>
    <cellStyle name="통_IQS00년 상반기보고000520(소장)-1.xls Chart 161_정이사님보고0907_인상시부담액(임,단협(1).04.26수정)_다대포 해수욕장-내역서" xfId="4100"/>
    <cellStyle name="통_IQS00년 상반기보고000520(소장)-1.xls Chart 161_정이사님보고0907_인상시부담액(임,단협(1).04.26수정)_다대포 해수욕장-내역서 2" xfId="4734"/>
    <cellStyle name="통_IQS00년 상반기보고000520(소장)-1.xls Chart 161_정이사님보고0907_인상시부담액(임,단협(1).04.26수정)_조형물 내역서(원본)" xfId="4101"/>
    <cellStyle name="통_IQS00년 상반기보고000520(소장)-1.xls Chart 161_정이사님보고0907_인상시부담액(임,단협(1).04.26수정)_조형물 내역서(원본) 2" xfId="4735"/>
    <cellStyle name="통_IQS00년 상반기보고000520(소장)-1.xls Chart 161_정이사님보고0907_조형물 내역서(원본)" xfId="4102"/>
    <cellStyle name="통_IQS00년 상반기보고000520(소장)-1.xls Chart 161_정이사님보고0907_조형물 내역서(원본) 2" xfId="4736"/>
    <cellStyle name="통_IQS00년 상반기보고000520(소장)-1.xls Chart 161_조형물 내역서(원본)" xfId="4103"/>
    <cellStyle name="통_IQS00년 상반기보고000520(소장)-1.xls Chart 161_조형물 내역서(원본) 2" xfId="4737"/>
    <cellStyle name="통_IQS00년 상반기보고000520(소장)-1_Book1" xfId="4104"/>
    <cellStyle name="통_IQS00년 상반기보고000520(소장)-1_Book1 2" xfId="4738"/>
    <cellStyle name="통_IQS00년 상반기보고000520(소장)-1_Book1_다대포 해수욕장-내역서" xfId="4105"/>
    <cellStyle name="통_IQS00년 상반기보고000520(소장)-1_Book1_다대포 해수욕장-내역서 2" xfId="4739"/>
    <cellStyle name="통_IQS00년 상반기보고000520(소장)-1_Book1_조형물 내역서(원본)" xfId="4106"/>
    <cellStyle name="통_IQS00년 상반기보고000520(소장)-1_Book1_조형물 내역서(원본) 2" xfId="4740"/>
    <cellStyle name="통_IQS00년 상반기보고000520(소장)-1_다대포 해수욕장-내역서" xfId="4107"/>
    <cellStyle name="통_IQS00년 상반기보고000520(소장)-1_다대포 해수욕장-내역서 2" xfId="4741"/>
    <cellStyle name="통_IQS00년 상반기보고000520(소장)-1_사장님IQS개선회의(조립생기팀0816)" xfId="4108"/>
    <cellStyle name="통_IQS00년 상반기보고000520(소장)-1_사장님IQS개선회의(조립생기팀0816) 2" xfId="4742"/>
    <cellStyle name="통_IQS00년 상반기보고000520(소장)-1_사장님IQS개선회의(조립생기팀0816)_Book1" xfId="4109"/>
    <cellStyle name="통_IQS00년 상반기보고000520(소장)-1_사장님IQS개선회의(조립생기팀0816)_Book1 2" xfId="4743"/>
    <cellStyle name="통_IQS00년 상반기보고000520(소장)-1_사장님IQS개선회의(조립생기팀0816)_Book1_다대포 해수욕장-내역서" xfId="4110"/>
    <cellStyle name="통_IQS00년 상반기보고000520(소장)-1_사장님IQS개선회의(조립생기팀0816)_Book1_다대포 해수욕장-내역서 2" xfId="4744"/>
    <cellStyle name="통_IQS00년 상반기보고000520(소장)-1_사장님IQS개선회의(조립생기팀0816)_Book1_조형물 내역서(원본)" xfId="4111"/>
    <cellStyle name="통_IQS00년 상반기보고000520(소장)-1_사장님IQS개선회의(조립생기팀0816)_Book1_조형물 내역서(원본) 2" xfId="4745"/>
    <cellStyle name="통_IQS00년 상반기보고000520(소장)-1_사장님IQS개선회의(조립생기팀0816)_다대포 해수욕장-내역서" xfId="4112"/>
    <cellStyle name="통_IQS00년 상반기보고000520(소장)-1_사장님IQS개선회의(조립생기팀0816)_다대포 해수욕장-내역서 2" xfId="4746"/>
    <cellStyle name="통_IQS00년 상반기보고000520(소장)-1_사장님IQS개선회의(조립생기팀0816)_인상시부담액(임,단협(1).04.26수정)" xfId="4113"/>
    <cellStyle name="통_IQS00년 상반기보고000520(소장)-1_사장님IQS개선회의(조립생기팀0816)_인상시부담액(임,단협(1).04.26수정) 2" xfId="4747"/>
    <cellStyle name="통_IQS00년 상반기보고000520(소장)-1_사장님IQS개선회의(조립생기팀0816)_인상시부담액(임,단협(1).04.26수정)_다대포 해수욕장-내역서" xfId="4114"/>
    <cellStyle name="통_IQS00년 상반기보고000520(소장)-1_사장님IQS개선회의(조립생기팀0816)_인상시부담액(임,단협(1).04.26수정)_다대포 해수욕장-내역서 2" xfId="4748"/>
    <cellStyle name="통_IQS00년 상반기보고000520(소장)-1_사장님IQS개선회의(조립생기팀0816)_인상시부담액(임,단협(1).04.26수정)_조형물 내역서(원본)" xfId="4115"/>
    <cellStyle name="통_IQS00년 상반기보고000520(소장)-1_사장님IQS개선회의(조립생기팀0816)_인상시부담액(임,단협(1).04.26수정)_조형물 내역서(원본) 2" xfId="4749"/>
    <cellStyle name="통_IQS00년 상반기보고000520(소장)-1_사장님IQS개선회의(조립생기팀0816)_조형물 내역서(원본)" xfId="4116"/>
    <cellStyle name="통_IQS00년 상반기보고000520(소장)-1_사장님IQS개선회의(조립생기팀0816)_조형물 내역서(원본) 2" xfId="4750"/>
    <cellStyle name="통_IQS00년 상반기보고000520(소장)-1_인상시부담액(임,단협(1).04.26수정)" xfId="4117"/>
    <cellStyle name="통_IQS00년 상반기보고000520(소장)-1_인상시부담액(임,단협(1).04.26수정) 2" xfId="4751"/>
    <cellStyle name="통_IQS00년 상반기보고000520(소장)-1_인상시부담액(임,단협(1).04.26수정)_다대포 해수욕장-내역서" xfId="4118"/>
    <cellStyle name="통_IQS00년 상반기보고000520(소장)-1_인상시부담액(임,단협(1).04.26수정)_다대포 해수욕장-내역서 2" xfId="4752"/>
    <cellStyle name="통_IQS00년 상반기보고000520(소장)-1_인상시부담액(임,단협(1).04.26수정)_조형물 내역서(원본)" xfId="4119"/>
    <cellStyle name="통_IQS00년 상반기보고000520(소장)-1_인상시부담액(임,단협(1).04.26수정)_조형물 내역서(원본) 2" xfId="4753"/>
    <cellStyle name="통_IQS00년 상반기보고000520(소장)-1_정이사님보고0907" xfId="4120"/>
    <cellStyle name="통_IQS00년 상반기보고000520(소장)-1_정이사님보고0907 2" xfId="4754"/>
    <cellStyle name="통_IQS00년 상반기보고000520(소장)-1_정이사님보고0907_Book1" xfId="4121"/>
    <cellStyle name="통_IQS00년 상반기보고000520(소장)-1_정이사님보고0907_Book1 2" xfId="4755"/>
    <cellStyle name="통_IQS00년 상반기보고000520(소장)-1_정이사님보고0907_Book1_다대포 해수욕장-내역서" xfId="4122"/>
    <cellStyle name="통_IQS00년 상반기보고000520(소장)-1_정이사님보고0907_Book1_다대포 해수욕장-내역서 2" xfId="4756"/>
    <cellStyle name="통_IQS00년 상반기보고000520(소장)-1_정이사님보고0907_Book1_조형물 내역서(원본)" xfId="4123"/>
    <cellStyle name="통_IQS00년 상반기보고000520(소장)-1_정이사님보고0907_Book1_조형물 내역서(원본) 2" xfId="4757"/>
    <cellStyle name="통_IQS00년 상반기보고000520(소장)-1_정이사님보고0907_다대포 해수욕장-내역서" xfId="4124"/>
    <cellStyle name="통_IQS00년 상반기보고000520(소장)-1_정이사님보고0907_다대포 해수욕장-내역서 2" xfId="4758"/>
    <cellStyle name="통_IQS00년 상반기보고000520(소장)-1_정이사님보고0907_인상시부담액(임,단협(1).04.26수정)" xfId="4125"/>
    <cellStyle name="통_IQS00년 상반기보고000520(소장)-1_정이사님보고0907_인상시부담액(임,단협(1).04.26수정) 2" xfId="4759"/>
    <cellStyle name="통_IQS00년 상반기보고000520(소장)-1_정이사님보고0907_인상시부담액(임,단협(1).04.26수정)_다대포 해수욕장-내역서" xfId="4126"/>
    <cellStyle name="통_IQS00년 상반기보고000520(소장)-1_정이사님보고0907_인상시부담액(임,단협(1).04.26수정)_다대포 해수욕장-내역서 2" xfId="4760"/>
    <cellStyle name="통_IQS00년 상반기보고000520(소장)-1_정이사님보고0907_인상시부담액(임,단협(1).04.26수정)_조형물 내역서(원본)" xfId="4127"/>
    <cellStyle name="통_IQS00년 상반기보고000520(소장)-1_정이사님보고0907_인상시부담액(임,단협(1).04.26수정)_조형물 내역서(원본) 2" xfId="4761"/>
    <cellStyle name="통_IQS00년 상반기보고000520(소장)-1_정이사님보고0907_조형물 내역서(원본)" xfId="4128"/>
    <cellStyle name="통_IQS00년 상반기보고000520(소장)-1_정이사님보고0907_조형물 내역서(원본) 2" xfId="4762"/>
    <cellStyle name="통_IQS00년 상반기보고000520(소장)-1_조형물 내역서(원본)" xfId="4129"/>
    <cellStyle name="통_IQS00년 상반기보고000520(소장)-1_조형물 내역서(원본) 2" xfId="4763"/>
    <cellStyle name="통_고련지2제당" xfId="12199"/>
    <cellStyle name="통_고련지2제당_고련지2제당" xfId="12200"/>
    <cellStyle name="통_공사비도급내역(비상방수문-변경1)" xfId="12201"/>
    <cellStyle name="통_다대포 해수욕장-내역서" xfId="4130"/>
    <cellStyle name="통_다대포 해수욕장-내역서 2" xfId="4764"/>
    <cellStyle name="통_다대포 해수욕장-내역서_5공구 내역서" xfId="4131"/>
    <cellStyle name="통_다대포 해수욕장-내역서_5공구 내역서 2" xfId="4765"/>
    <cellStyle name="통_다대포 해수욕장-내역서_5공구 내역서1" xfId="4132"/>
    <cellStyle name="통_다대포 해수욕장-내역서_5공구 내역서1 2" xfId="4766"/>
    <cellStyle name="통_다대포 해수욕장-내역서_경관조명-내역서(20100423)" xfId="4133"/>
    <cellStyle name="통_다대포 해수욕장-내역서_경관조명-내역서(20100423) 2" xfId="4767"/>
    <cellStyle name="통_다대포 해수욕장-내역서_경관조명-내역서(20100726)" xfId="4134"/>
    <cellStyle name="통_다대포 해수욕장-내역서_경관조명-내역서(20100726) 2" xfId="4768"/>
    <cellStyle name="통_다대포 해수욕장-내역서_경관조명-내역서(20100803)" xfId="4135"/>
    <cellStyle name="통_다대포 해수욕장-내역서_경관조명-내역서(20100803) 2" xfId="4769"/>
    <cellStyle name="통_다대포 해수욕장-내역서_계남고가 내역서" xfId="4136"/>
    <cellStyle name="통_다대포 해수욕장-내역서_계남고가 내역서 2" xfId="4770"/>
    <cellStyle name="통_다대포 해수욕장-내역서_계남고가 내역서1111" xfId="4137"/>
    <cellStyle name="통_다대포 해수욕장-내역서_계남고가 내역서1111 2" xfId="4771"/>
    <cellStyle name="통_다대포 해수욕장-내역서_남한강내역서" xfId="4138"/>
    <cellStyle name="통_다대포 해수욕장-내역서_남한강내역서 2" xfId="4772"/>
    <cellStyle name="통_다대포 해수욕장-내역서_내역서" xfId="4139"/>
    <cellStyle name="통_다대포 해수욕장-내역서_내역서 2" xfId="4773"/>
    <cellStyle name="통_다대포 해수욕장-내역서_대청호 내역서" xfId="4140"/>
    <cellStyle name="통_다대포 해수욕장-내역서_대청호 내역서 2" xfId="4774"/>
    <cellStyle name="통_다대포 해수욕장-내역서_대청호 내역서-4.9억%" xfId="4141"/>
    <cellStyle name="통_다대포 해수욕장-내역서_대청호 내역서-4.9억% 2" xfId="4775"/>
    <cellStyle name="통_다대포 해수욕장-내역서_대청호 내역서-4.9억%(그라비스 수정)" xfId="4142"/>
    <cellStyle name="통_다대포 해수욕장-내역서_대청호 내역서-4.9억%(그라비스 수정) 2" xfId="4776"/>
    <cellStyle name="통_다대포 해수욕장-내역서_보도블럭-1" xfId="4143"/>
    <cellStyle name="통_다대포 해수욕장-내역서_보도블럭-1 2" xfId="4777"/>
    <cellStyle name="통_다대포 해수욕장-내역서_위천천 내역서" xfId="4144"/>
    <cellStyle name="통_다대포 해수욕장-내역서_위천천 내역서 2" xfId="4778"/>
    <cellStyle name="통_다대포 해수욕장-내역서_전호대교-내역서(교량)-수정" xfId="4145"/>
    <cellStyle name="통_다대포 해수욕장-내역서_전호대교-내역서(교량)-수정 2" xfId="4779"/>
    <cellStyle name="통_다대포 해수욕장-내역서_하늘도시" xfId="4146"/>
    <cellStyle name="통_다대포 해수욕장-내역서_하늘도시 2" xfId="4780"/>
    <cellStyle name="통_다대포 해수욕장-내역서_하천 내역서" xfId="4147"/>
    <cellStyle name="통_다대포 해수욕장-내역서_하천 내역서 2" xfId="4781"/>
    <cellStyle name="통_동월농로" xfId="12202"/>
    <cellStyle name="통_동월농로(변경)" xfId="12203"/>
    <cellStyle name="통_동월농로1" xfId="12204"/>
    <cellStyle name="통_배수공" xfId="12205"/>
    <cellStyle name="통_변경설계서" xfId="12206"/>
    <cellStyle name="통_변경설계서(스라브13.5M)" xfId="12207"/>
    <cellStyle name="통_부대공" xfId="12208"/>
    <cellStyle name="통_부대공사" xfId="12209"/>
    <cellStyle name="통_부대공사단위수량" xfId="12210"/>
    <cellStyle name="통_사본 - 계산서" xfId="4148"/>
    <cellStyle name="통_사본 - 계산서 2" xfId="4782"/>
    <cellStyle name="통_사본 - 고련지구2004년변경공정계획(농조)" xfId="12211"/>
    <cellStyle name="통_사본 - 고련지구2004년변경공정계획(농조)_고련지2제당" xfId="12212"/>
    <cellStyle name="통_사본 - 고련지구2004년변경공정계획(농조)_고련지추가변경(우치곡)" xfId="12213"/>
    <cellStyle name="통_사본 - 고련지구2004년변경공정계획(농조)_고련지추가변경(우치곡)_고련지2제당" xfId="12214"/>
    <cellStyle name="통_사본 - 고련지구2004년변경공정계획(농조)_고련지추가변경(우치곡)_고련지2제당_고련지2제당" xfId="12215"/>
    <cellStyle name="통_서암지공사비1(제당변경완)" xfId="12216"/>
    <cellStyle name="통_서암지공사비1(제당변경완)_함안지구2005(여수토)실형고(수정1)" xfId="12217"/>
    <cellStyle name="통_서암지공사비1(제당변경완)_함안지구2005(여수토)실형고(수정1)_덕실지구2005(여수토)실형고" xfId="12218"/>
    <cellStyle name="통_서암지공사비1(제당변경완)_함안지구2005(여수토)실형고(수정1)_함안지구2005(여수토)실형고(수정2)" xfId="12219"/>
    <cellStyle name="통_서암지실형내역" xfId="12220"/>
    <cellStyle name="통_서암지실형내역_함안지구2005(여수토)실형고(수정1)" xfId="12221"/>
    <cellStyle name="통_서암지실형내역_함안지구2005(여수토)실형고(수정1)_덕실지구2005(여수토)실형고" xfId="12222"/>
    <cellStyle name="통_서암지실형내역_함안지구2005(여수토)실형고(수정1)_함안지구2005(여수토)실형고(수정2)" xfId="12223"/>
    <cellStyle name="통_석촌동꽃마을빌딩" xfId="4149"/>
    <cellStyle name="통_석촌동꽃마을빌딩 2" xfId="4783"/>
    <cellStyle name="통_성산아파트" xfId="4150"/>
    <cellStyle name="통_성산아파트 2" xfId="4784"/>
    <cellStyle name="통_솔빛마을연결도로(최종)" xfId="12224"/>
    <cellStyle name="통_수량산출서(수정)" xfId="12225"/>
    <cellStyle name="통_수량산출서(수정)_01-토공_02-배수공" xfId="6326"/>
    <cellStyle name="통_수량산출서(수정)_01-토공_02-배수공_2차설계변경내역서(2007굴착)" xfId="6327"/>
    <cellStyle name="통_수량산출서(수정)_01-토공_02-배수공_Sheet1" xfId="6328"/>
    <cellStyle name="통_수량산출서(수정)_01-토공_02-배수공_갑지" xfId="6329"/>
    <cellStyle name="통_수량산출서(수정)_01-토공_02-배수공_관급자재" xfId="6330"/>
    <cellStyle name="통_수량산출서(수정)_01-토공_02-배수공_이설비" xfId="6331"/>
    <cellStyle name="통_수량산출서(수정)_01-토공_02-배수공_토공" xfId="6332"/>
    <cellStyle name="통_수량산출서(수정)_01-토공_02-배수공_토공_2차설계변경내역서(2007굴착)" xfId="6333"/>
    <cellStyle name="통_수량산출서(수정)_01-토공_02-배수공_토공_Sheet1" xfId="6334"/>
    <cellStyle name="통_수량산출서(수정)_01-토공_02-배수공_토공_갑지" xfId="6335"/>
    <cellStyle name="통_수량산출서(수정)_01-토공_02-배수공_토공_관급자재" xfId="6336"/>
    <cellStyle name="통_수량산출서(수정)_01-토공_02-배수공_토공_이설비" xfId="6337"/>
    <cellStyle name="통_수량산출서(수정)_02-배수공" xfId="6338"/>
    <cellStyle name="통_수량산출서(수정)_02-배수공_02-반중력식옹벽" xfId="6339"/>
    <cellStyle name="통_수량산출서(수정)_02-배수공_02-반중력식옹벽_2차설계변경내역서(2007굴착)" xfId="6340"/>
    <cellStyle name="통_수량산출서(수정)_02-배수공_02-반중력식옹벽_Sheet1" xfId="6341"/>
    <cellStyle name="통_수량산출서(수정)_02-배수공_02-반중력식옹벽_갑지" xfId="6342"/>
    <cellStyle name="통_수량산출서(수정)_02-배수공_02-반중력식옹벽_관급자재" xfId="6343"/>
    <cellStyle name="통_수량산출서(수정)_02-배수공_02-반중력식옹벽_이설비" xfId="6344"/>
    <cellStyle name="통_수량산출서(수정)_02-배수공_02-반중력식옹벽_토공" xfId="6345"/>
    <cellStyle name="통_수량산출서(수정)_02-배수공_02-반중력식옹벽_토공_2차설계변경내역서(2007굴착)" xfId="6346"/>
    <cellStyle name="통_수량산출서(수정)_02-배수공_02-반중력식옹벽_토공_Sheet1" xfId="6347"/>
    <cellStyle name="통_수량산출서(수정)_02-배수공_02-반중력식옹벽_토공_갑지" xfId="6348"/>
    <cellStyle name="통_수량산출서(수정)_02-배수공_02-반중력식옹벽_토공_관급자재" xfId="6349"/>
    <cellStyle name="통_수량산출서(수정)_02-배수공_02-반중력식옹벽_토공_이설비" xfId="6350"/>
    <cellStyle name="통_수량산출서(수정)_02-배수공_02-배수공" xfId="6351"/>
    <cellStyle name="통_수량산출서(수정)_02-배수공_02-배수공_2차설계변경내역서(2007굴착)" xfId="6352"/>
    <cellStyle name="통_수량산출서(수정)_02-배수공_02-배수공_Sheet1" xfId="6353"/>
    <cellStyle name="통_수량산출서(수정)_02-배수공_02-배수공_갑지" xfId="6354"/>
    <cellStyle name="통_수량산출서(수정)_02-배수공_02-배수공_관급자재" xfId="6355"/>
    <cellStyle name="통_수량산출서(수정)_02-배수공_02-배수공_이설비" xfId="6356"/>
    <cellStyle name="통_수량산출서(수정)_02-배수공_02-배수공_토공" xfId="6357"/>
    <cellStyle name="통_수량산출서(수정)_02-배수공_02-배수공_토공_2차설계변경내역서(2007굴착)" xfId="6358"/>
    <cellStyle name="통_수량산출서(수정)_02-배수공_02-배수공_토공_Sheet1" xfId="6359"/>
    <cellStyle name="통_수량산출서(수정)_02-배수공_02-배수공_토공_갑지" xfId="6360"/>
    <cellStyle name="통_수량산출서(수정)_02-배수공_02-배수공_토공_관급자재" xfId="6361"/>
    <cellStyle name="통_수량산출서(수정)_02-배수공_02-배수공_토공_이설비" xfId="6362"/>
    <cellStyle name="통_수량산출서(수정)_02-배수공_2차설계변경내역서(2007굴착)" xfId="6363"/>
    <cellStyle name="통_수량산출서(수정)_02-배수공_Sheet1" xfId="6364"/>
    <cellStyle name="통_수량산출서(수정)_02-배수공_갑지" xfId="6365"/>
    <cellStyle name="통_수량산출서(수정)_02-배수공_관급자재" xfId="6366"/>
    <cellStyle name="통_수량산출서(수정)_02-배수공_반중력" xfId="6367"/>
    <cellStyle name="통_수량산출서(수정)_02-배수공_반중력_2차설계변경내역서(2007굴착)" xfId="6368"/>
    <cellStyle name="통_수량산출서(수정)_02-배수공_반중력_Sheet1" xfId="6369"/>
    <cellStyle name="통_수량산출서(수정)_02-배수공_반중력_갑지" xfId="6370"/>
    <cellStyle name="통_수량산출서(수정)_02-배수공_반중력_관급자재" xfId="6371"/>
    <cellStyle name="통_수량산출서(수정)_02-배수공_반중력_이설비" xfId="6372"/>
    <cellStyle name="통_수량산출서(수정)_02-배수공_반중력_토공" xfId="6373"/>
    <cellStyle name="통_수량산출서(수정)_02-배수공_반중력_토공_2차설계변경내역서(2007굴착)" xfId="6374"/>
    <cellStyle name="통_수량산출서(수정)_02-배수공_반중력_토공_Sheet1" xfId="6375"/>
    <cellStyle name="통_수량산출서(수정)_02-배수공_반중력_토공_갑지" xfId="6376"/>
    <cellStyle name="통_수량산출서(수정)_02-배수공_반중력_토공_관급자재" xfId="6377"/>
    <cellStyle name="통_수량산출서(수정)_02-배수공_반중력_토공_이설비" xfId="6378"/>
    <cellStyle name="통_수량산출서(수정)_02-배수공_이설비" xfId="6379"/>
    <cellStyle name="통_수량산출서(수정)_02-배수공_토공" xfId="6380"/>
    <cellStyle name="통_수량산출서(수정)_02-배수공_토공_2차설계변경내역서(2007굴착)" xfId="6381"/>
    <cellStyle name="통_수량산출서(수정)_02-배수공_토공_Sheet1" xfId="6382"/>
    <cellStyle name="통_수량산출서(수정)_02-배수공_토공_갑지" xfId="6383"/>
    <cellStyle name="통_수량산출서(수정)_02-배수공_토공_관급자재" xfId="6384"/>
    <cellStyle name="통_수량산출서(수정)_02-배수공_토공_이설비" xfId="6385"/>
    <cellStyle name="통_수량산출서(수정)_04-포장공_02-배수공" xfId="6386"/>
    <cellStyle name="통_수량산출서(수정)_04-포장공_02-배수공_2차설계변경내역서(2007굴착)" xfId="6387"/>
    <cellStyle name="통_수량산출서(수정)_04-포장공_02-배수공_Sheet1" xfId="6388"/>
    <cellStyle name="통_수량산출서(수정)_04-포장공_02-배수공_갑지" xfId="6389"/>
    <cellStyle name="통_수량산출서(수정)_04-포장공_02-배수공_관급자재" xfId="6390"/>
    <cellStyle name="통_수량산출서(수정)_04-포장공_02-배수공_이설비" xfId="6391"/>
    <cellStyle name="통_수량산출서(수정)_04-포장공_02-배수공_토공" xfId="6392"/>
    <cellStyle name="통_수량산출서(수정)_04-포장공_02-배수공_토공_2차설계변경내역서(2007굴착)" xfId="6393"/>
    <cellStyle name="통_수량산출서(수정)_04-포장공_02-배수공_토공_Sheet1" xfId="6394"/>
    <cellStyle name="통_수량산출서(수정)_04-포장공_02-배수공_토공_갑지" xfId="6395"/>
    <cellStyle name="통_수량산출서(수정)_04-포장공_02-배수공_토공_관급자재" xfId="6396"/>
    <cellStyle name="통_수량산출서(수정)_04-포장공_02-배수공_토공_이설비" xfId="6397"/>
    <cellStyle name="통_수량산출서(수정)_06-부대공_02-배수공" xfId="6398"/>
    <cellStyle name="통_수량산출서(수정)_06-부대공_02-배수공_2차설계변경내역서(2007굴착)" xfId="6399"/>
    <cellStyle name="통_수량산출서(수정)_06-부대공_02-배수공_Sheet1" xfId="6400"/>
    <cellStyle name="통_수량산출서(수정)_06-부대공_02-배수공_갑지" xfId="6401"/>
    <cellStyle name="통_수량산출서(수정)_06-부대공_02-배수공_관급자재" xfId="6402"/>
    <cellStyle name="통_수량산출서(수정)_06-부대공_02-배수공_이설비" xfId="6403"/>
    <cellStyle name="통_수량산출서(수정)_06-부대공_02-배수공_토공" xfId="6404"/>
    <cellStyle name="통_수량산출서(수정)_06-부대공_02-배수공_토공_2차설계변경내역서(2007굴착)" xfId="6405"/>
    <cellStyle name="통_수량산출서(수정)_06-부대공_02-배수공_토공_Sheet1" xfId="6406"/>
    <cellStyle name="통_수량산출서(수정)_06-부대공_02-배수공_토공_갑지" xfId="6407"/>
    <cellStyle name="통_수량산출서(수정)_06-부대공_02-배수공_토공_관급자재" xfId="6408"/>
    <cellStyle name="통_수량산출서(수정)_06-부대공_02-배수공_토공_이설비" xfId="6409"/>
    <cellStyle name="통_수량산출서(수정)_3. 신광R~숭의R(배수공)" xfId="12226"/>
    <cellStyle name="통_수량산출서(수정)_고련지2제당" xfId="12227"/>
    <cellStyle name="통_수량산출서(수정)_고련지2제당_고련지2제당" xfId="12228"/>
    <cellStyle name="통_수량산출서(수정)_공사비도급내역(비상방수문-변경1)" xfId="12229"/>
    <cellStyle name="통_수량산출서(수정)_배수공" xfId="12230"/>
    <cellStyle name="통_수량산출서(수정)_사본 - 고련지구2004년변경공정계획(농조)" xfId="12231"/>
    <cellStyle name="통_수량산출서(수정)_사본 - 고련지구2004년변경공정계획(농조)_고련지2제당" xfId="12232"/>
    <cellStyle name="통_수량산출서(수정)_사본 - 고련지구2004년변경공정계획(농조)_고련지추가변경(우치곡)" xfId="12233"/>
    <cellStyle name="통_수량산출서(수정)_사본 - 고련지구2004년변경공정계획(농조)_고련지추가변경(우치곡)_고련지2제당" xfId="12234"/>
    <cellStyle name="통_수량산출서(수정)_사본 - 고련지구2004년변경공정계획(농조)_고련지추가변경(우치곡)_고련지2제당_고련지2제당" xfId="12235"/>
    <cellStyle name="통_수량산출서(수정)_서암지공사비1(제당변경완)" xfId="12236"/>
    <cellStyle name="통_수량산출서(수정)_서암지공사비1(제당변경완)_함안지구2005(여수토)실형고(수정1)" xfId="12237"/>
    <cellStyle name="통_수량산출서(수정)_서암지공사비1(제당변경완)_함안지구2005(여수토)실형고(수정1)_덕실지구2005(여수토)실형고" xfId="12238"/>
    <cellStyle name="통_수량산출서(수정)_서암지공사비1(제당변경완)_함안지구2005(여수토)실형고(수정1)_함안지구2005(여수토)실형고(수정2)" xfId="12239"/>
    <cellStyle name="통_수량산출서(수정)_서암지실형내역" xfId="12240"/>
    <cellStyle name="통_수량산출서(수정)_서암지실형내역_함안지구2005(여수토)실형고(수정1)" xfId="12241"/>
    <cellStyle name="통_수량산출서(수정)_서암지실형내역_함안지구2005(여수토)실형고(수정1)_덕실지구2005(여수토)실형고" xfId="12242"/>
    <cellStyle name="통_수량산출서(수정)_서암지실형내역_함안지구2005(여수토)실형고(수정1)_함안지구2005(여수토)실형고(수정2)" xfId="12243"/>
    <cellStyle name="통_수량산출서(수정)_솔빛마을연결도로(최종)" xfId="12244"/>
    <cellStyle name="통_수량산출서(수정)_실형고관련" xfId="12245"/>
    <cellStyle name="통_수량산출서(수정)_실형고관련_공사비도급내역(비상방수문-변경1)" xfId="12246"/>
    <cellStyle name="통_수량산출서(수정)_실형고관련_서암지공사비1(제당변경완)" xfId="12247"/>
    <cellStyle name="통_수량산출서(수정)_실형고관련_서암지공사비1(제당변경완)_함안지구2005(여수토)실형고(수정1)" xfId="12248"/>
    <cellStyle name="통_수량산출서(수정)_실형고관련_서암지공사비1(제당변경완)_함안지구2005(여수토)실형고(수정1)_덕실지구2005(여수토)실형고" xfId="12249"/>
    <cellStyle name="통_수량산출서(수정)_실형고관련_서암지공사비1(제당변경완)_함안지구2005(여수토)실형고(수정1)_함안지구2005(여수토)실형고(수정2)" xfId="12250"/>
    <cellStyle name="통_수량산출서(수정)_실형고관련_서암지실형내역" xfId="12251"/>
    <cellStyle name="통_수량산출서(수정)_실형고관련_서암지실형내역_함안지구2005(여수토)실형고(수정1)" xfId="12252"/>
    <cellStyle name="통_수량산출서(수정)_실형고관련_서암지실형내역_함안지구2005(여수토)실형고(수정1)_덕실지구2005(여수토)실형고" xfId="12253"/>
    <cellStyle name="통_수량산출서(수정)_실형고관련_서암지실형내역_함안지구2005(여수토)실형고(수정1)_함안지구2005(여수토)실형고(수정2)" xfId="12254"/>
    <cellStyle name="통_수량산출서(수정)_실형고관련_함안지구2005(여수토)실형고(수정1)" xfId="12255"/>
    <cellStyle name="통_수량산출서(수정)_실형고관련_함안지구2005(여수토)실형고(수정1)_덕실지구2005(여수토)실형고" xfId="12256"/>
    <cellStyle name="통_수량산출서(수정)_실형고관련_함안지구2005(여수토)실형고(수정1)_함안지구2005(여수토)실형고(수정2)" xfId="12257"/>
    <cellStyle name="통_수량산출서(수정)_함안지구2005(여수토)실형고(수정1)" xfId="12258"/>
    <cellStyle name="통_수량산출서(수정)_함안지구2005(여수토)실형고(수정1)_덕실지구2005(여수토)실형고" xfId="12259"/>
    <cellStyle name="통_수량산출서(수정)_함안지구2005(여수토)실형고(수정1)_함안지구2005(여수토)실형고(수정2)" xfId="12260"/>
    <cellStyle name="통_신성교회" xfId="4151"/>
    <cellStyle name="통_신성교회 2" xfId="4785"/>
    <cellStyle name="통_실형고관련" xfId="12261"/>
    <cellStyle name="통_실형고관련_공사비도급내역(비상방수문-변경1)" xfId="12262"/>
    <cellStyle name="통_실형고관련_서암지공사비1(제당변경완)" xfId="12263"/>
    <cellStyle name="통_실형고관련_서암지공사비1(제당변경완)_함안지구2005(여수토)실형고(수정1)" xfId="12264"/>
    <cellStyle name="통_실형고관련_서암지공사비1(제당변경완)_함안지구2005(여수토)실형고(수정1)_덕실지구2005(여수토)실형고" xfId="12265"/>
    <cellStyle name="통_실형고관련_서암지공사비1(제당변경완)_함안지구2005(여수토)실형고(수정1)_함안지구2005(여수토)실형고(수정2)" xfId="12266"/>
    <cellStyle name="통_실형고관련_서암지실형내역" xfId="12267"/>
    <cellStyle name="통_실형고관련_서암지실형내역_함안지구2005(여수토)실형고(수정1)" xfId="12268"/>
    <cellStyle name="통_실형고관련_서암지실형내역_함안지구2005(여수토)실형고(수정1)_덕실지구2005(여수토)실형고" xfId="12269"/>
    <cellStyle name="통_실형고관련_서암지실형내역_함안지구2005(여수토)실형고(수정1)_함안지구2005(여수토)실형고(수정2)" xfId="12270"/>
    <cellStyle name="통_실형고관련_함안지구2005(여수토)실형고(수정1)" xfId="12271"/>
    <cellStyle name="통_실형고관련_함안지구2005(여수토)실형고(수정1)_덕실지구2005(여수토)실형고" xfId="12272"/>
    <cellStyle name="통_실형고관련_함안지구2005(여수토)실형고(수정1)_함안지구2005(여수토)실형고(수정2)" xfId="12273"/>
    <cellStyle name="통_조형물 내역서(원본)" xfId="4152"/>
    <cellStyle name="통_조형물 내역서(원본) 2" xfId="4786"/>
    <cellStyle name="통_조형물 내역서(원본)_5공구 내역서" xfId="4153"/>
    <cellStyle name="통_조형물 내역서(원본)_5공구 내역서 2" xfId="4787"/>
    <cellStyle name="통_조형물 내역서(원본)_5공구 내역서1" xfId="4154"/>
    <cellStyle name="통_조형물 내역서(원본)_5공구 내역서1 2" xfId="4788"/>
    <cellStyle name="통_조형물 내역서(원본)_경관조명-내역서(20100423)" xfId="4155"/>
    <cellStyle name="통_조형물 내역서(원본)_경관조명-내역서(20100423) 2" xfId="4789"/>
    <cellStyle name="통_조형물 내역서(원본)_경관조명-내역서(20100726)" xfId="4156"/>
    <cellStyle name="통_조형물 내역서(원본)_경관조명-내역서(20100726) 2" xfId="4790"/>
    <cellStyle name="통_조형물 내역서(원본)_경관조명-내역서(20100803)" xfId="4157"/>
    <cellStyle name="통_조형물 내역서(원본)_경관조명-내역서(20100803) 2" xfId="4791"/>
    <cellStyle name="통_조형물 내역서(원본)_계남고가 내역서" xfId="4158"/>
    <cellStyle name="통_조형물 내역서(원본)_계남고가 내역서 2" xfId="4792"/>
    <cellStyle name="통_조형물 내역서(원본)_계남고가 내역서1111" xfId="4159"/>
    <cellStyle name="통_조형물 내역서(원본)_계남고가 내역서1111 2" xfId="4793"/>
    <cellStyle name="통_조형물 내역서(원본)_남한강내역서" xfId="4160"/>
    <cellStyle name="통_조형물 내역서(원본)_남한강내역서 2" xfId="4794"/>
    <cellStyle name="통_조형물 내역서(원본)_내역서" xfId="4161"/>
    <cellStyle name="통_조형물 내역서(원본)_내역서 2" xfId="4795"/>
    <cellStyle name="통_조형물 내역서(원본)_대청호 내역서" xfId="4162"/>
    <cellStyle name="통_조형물 내역서(원본)_대청호 내역서 2" xfId="4796"/>
    <cellStyle name="통_조형물 내역서(원본)_대청호 내역서-4.9억%" xfId="4163"/>
    <cellStyle name="통_조형물 내역서(원본)_대청호 내역서-4.9억% 2" xfId="4797"/>
    <cellStyle name="통_조형물 내역서(원본)_대청호 내역서-4.9억%(그라비스 수정)" xfId="4164"/>
    <cellStyle name="통_조형물 내역서(원본)_대청호 내역서-4.9억%(그라비스 수정) 2" xfId="4798"/>
    <cellStyle name="통_조형물 내역서(원본)_보도블럭-1" xfId="4165"/>
    <cellStyle name="통_조형물 내역서(원본)_보도블럭-1 2" xfId="4799"/>
    <cellStyle name="통_조형물 내역서(원본)_위천천 내역서" xfId="4166"/>
    <cellStyle name="통_조형물 내역서(원본)_위천천 내역서 2" xfId="4800"/>
    <cellStyle name="통_조형물 내역서(원본)_전호대교-내역서(교량)-수정" xfId="4167"/>
    <cellStyle name="통_조형물 내역서(원본)_전호대교-내역서(교량)-수정 2" xfId="4801"/>
    <cellStyle name="통_조형물 내역서(원본)_하늘도시" xfId="4168"/>
    <cellStyle name="통_조형물 내역서(원본)_하늘도시 2" xfId="4802"/>
    <cellStyle name="통_조형물 내역서(원본)_하천 내역서" xfId="4169"/>
    <cellStyle name="통_조형물 내역서(원본)_하천 내역서 2" xfId="4803"/>
    <cellStyle name="통_지수천1수해(전석)" xfId="12274"/>
    <cellStyle name="통_진북연동소류지" xfId="12275"/>
    <cellStyle name="통_추동소하천정비공사(설계내역서)" xfId="12276"/>
    <cellStyle name="통_함안지구2005(여수토)실형고(수정1)" xfId="12277"/>
    <cellStyle name="통_함안지구2005(여수토)실형고(수정1)_덕실지구2005(여수토)실형고" xfId="12278"/>
    <cellStyle name="통_함안지구2005(여수토)실형고(수정1)_함안지구2005(여수토)실형고(수정2)" xfId="12279"/>
    <cellStyle name="통화 [" xfId="4170"/>
    <cellStyle name="통화 [ 2" xfId="4804"/>
    <cellStyle name="通貨 [0.00]_　配車(by matue)" xfId="10869"/>
    <cellStyle name="통화 [0??" xfId="12280"/>
    <cellStyle name="통화 [0] 2" xfId="4171"/>
    <cellStyle name="통화 [0] 2 2" xfId="10870"/>
    <cellStyle name="통화 [0] 3" xfId="10871"/>
    <cellStyle name="통화 [0㉝〸" xfId="12281"/>
    <cellStyle name="通貨_　配車(by matue)" xfId="10872"/>
    <cellStyle name="팒" xfId="4172"/>
    <cellStyle name="팒 2" xfId="4805"/>
    <cellStyle name="퍼센트" xfId="4173"/>
    <cellStyle name="퍼센트 2" xfId="4806"/>
    <cellStyle name="퍼센트 3" xfId="12282"/>
    <cellStyle name="퍼센트 4" xfId="12283"/>
    <cellStyle name="퍼센트 5" xfId="12284"/>
    <cellStyle name="퍼센트 6" xfId="12285"/>
    <cellStyle name="퍼센트 7" xfId="12286"/>
    <cellStyle name="퍼센트_가로등 일제정비공사 토목" xfId="12287"/>
    <cellStyle name="표" xfId="4174"/>
    <cellStyle name="표 2" xfId="4807"/>
    <cellStyle name="표 2 2" xfId="11378"/>
    <cellStyle name="표 3" xfId="10873"/>
    <cellStyle name="표(가는선,가운데,중앙)" xfId="4175"/>
    <cellStyle name="표(가는선,가운데,중앙) 2" xfId="6410"/>
    <cellStyle name="표(가는선,왼쪽,중앙)" xfId="4176"/>
    <cellStyle name="표(가는선,왼쪽,중앙) 2" xfId="6411"/>
    <cellStyle name="표(세로쓰기)" xfId="4177"/>
    <cellStyle name="표(세로쓰기) 2" xfId="6412"/>
    <cellStyle name="표_00년상반기현황분석(000512)-A.xls Chart 156" xfId="4178"/>
    <cellStyle name="표_00년상반기현황분석(000512)-A.xls Chart 156 2" xfId="4808"/>
    <cellStyle name="표_00년상반기현황분석(000512)-A.xls Chart 156_Book1" xfId="4179"/>
    <cellStyle name="표_00년상반기현황분석(000512)-A.xls Chart 156_Book1 2" xfId="4809"/>
    <cellStyle name="표_00년상반기현황분석(000512)-A.xls Chart 156_Book1_다대포 해수욕장-내역서" xfId="4180"/>
    <cellStyle name="표_00년상반기현황분석(000512)-A.xls Chart 156_Book1_다대포 해수욕장-내역서 2" xfId="4810"/>
    <cellStyle name="표_00년상반기현황분석(000512)-A.xls Chart 156_Book1_조형물 내역서(원본)" xfId="4181"/>
    <cellStyle name="표_00년상반기현황분석(000512)-A.xls Chart 156_Book1_조형물 내역서(원본) 2" xfId="4811"/>
    <cellStyle name="표_00년상반기현황분석(000512)-A.xls Chart 156_다대포 해수욕장-내역서" xfId="4182"/>
    <cellStyle name="표_00년상반기현황분석(000512)-A.xls Chart 156_다대포 해수욕장-내역서 2" xfId="4812"/>
    <cellStyle name="표_00년상반기현황분석(000512)-A.xls Chart 156_사장님IQS개선회의(조립생기팀0816)" xfId="4183"/>
    <cellStyle name="표_00년상반기현황분석(000512)-A.xls Chart 156_사장님IQS개선회의(조립생기팀0816) 2" xfId="4813"/>
    <cellStyle name="표_00년상반기현황분석(000512)-A.xls Chart 156_사장님IQS개선회의(조립생기팀0816)_Book1" xfId="4184"/>
    <cellStyle name="표_00년상반기현황분석(000512)-A.xls Chart 156_사장님IQS개선회의(조립생기팀0816)_Book1 2" xfId="4814"/>
    <cellStyle name="표_00년상반기현황분석(000512)-A.xls Chart 156_사장님IQS개선회의(조립생기팀0816)_Book1_다대포 해수욕장-내역서" xfId="4185"/>
    <cellStyle name="표_00년상반기현황분석(000512)-A.xls Chart 156_사장님IQS개선회의(조립생기팀0816)_Book1_다대포 해수욕장-내역서 2" xfId="4815"/>
    <cellStyle name="표_00년상반기현황분석(000512)-A.xls Chart 156_사장님IQS개선회의(조립생기팀0816)_Book1_조형물 내역서(원본)" xfId="4186"/>
    <cellStyle name="표_00년상반기현황분석(000512)-A.xls Chart 156_사장님IQS개선회의(조립생기팀0816)_Book1_조형물 내역서(원본) 2" xfId="4816"/>
    <cellStyle name="표_00년상반기현황분석(000512)-A.xls Chart 156_사장님IQS개선회의(조립생기팀0816)_다대포 해수욕장-내역서" xfId="4187"/>
    <cellStyle name="표_00년상반기현황분석(000512)-A.xls Chart 156_사장님IQS개선회의(조립생기팀0816)_다대포 해수욕장-내역서 2" xfId="4817"/>
    <cellStyle name="표_00년상반기현황분석(000512)-A.xls Chart 156_사장님IQS개선회의(조립생기팀0816)_인상시부담액(임,단협(1).04.26수정)" xfId="4188"/>
    <cellStyle name="표_00년상반기현황분석(000512)-A.xls Chart 156_사장님IQS개선회의(조립생기팀0816)_인상시부담액(임,단협(1).04.26수정) 2" xfId="4818"/>
    <cellStyle name="표_00년상반기현황분석(000512)-A.xls Chart 156_사장님IQS개선회의(조립생기팀0816)_인상시부담액(임,단협(1).04.26수정)_다대포 해수욕장-내역서" xfId="4189"/>
    <cellStyle name="표_00년상반기현황분석(000512)-A.xls Chart 156_사장님IQS개선회의(조립생기팀0816)_인상시부담액(임,단협(1).04.26수정)_다대포 해수욕장-내역서 2" xfId="4819"/>
    <cellStyle name="표_00년상반기현황분석(000512)-A.xls Chart 156_사장님IQS개선회의(조립생기팀0816)_인상시부담액(임,단협(1).04.26수정)_조형물 내역서(원본)" xfId="4190"/>
    <cellStyle name="표_00년상반기현황분석(000512)-A.xls Chart 156_사장님IQS개선회의(조립생기팀0816)_인상시부담액(임,단협(1).04.26수정)_조형물 내역서(원본) 2" xfId="4820"/>
    <cellStyle name="표_00년상반기현황분석(000512)-A.xls Chart 156_사장님IQS개선회의(조립생기팀0816)_조형물 내역서(원본)" xfId="4191"/>
    <cellStyle name="표_00년상반기현황분석(000512)-A.xls Chart 156_사장님IQS개선회의(조립생기팀0816)_조형물 내역서(원본) 2" xfId="4821"/>
    <cellStyle name="표_00년상반기현황분석(000512)-A.xls Chart 156_인상시부담액(임,단협(1).04.26수정)" xfId="4192"/>
    <cellStyle name="표_00년상반기현황분석(000512)-A.xls Chart 156_인상시부담액(임,단협(1).04.26수정) 2" xfId="4822"/>
    <cellStyle name="표_00년상반기현황분석(000512)-A.xls Chart 156_인상시부담액(임,단협(1).04.26수정)_다대포 해수욕장-내역서" xfId="4193"/>
    <cellStyle name="표_00년상반기현황분석(000512)-A.xls Chart 156_인상시부담액(임,단협(1).04.26수정)_다대포 해수욕장-내역서 2" xfId="4823"/>
    <cellStyle name="표_00년상반기현황분석(000512)-A.xls Chart 156_인상시부담액(임,단협(1).04.26수정)_조형물 내역서(원본)" xfId="4194"/>
    <cellStyle name="표_00년상반기현황분석(000512)-A.xls Chart 156_인상시부담액(임,단협(1).04.26수정)_조형물 내역서(원본) 2" xfId="4824"/>
    <cellStyle name="표_00년상반기현황분석(000512)-A.xls Chart 156_정이사님보고0907" xfId="4195"/>
    <cellStyle name="표_00년상반기현황분석(000512)-A.xls Chart 156_정이사님보고0907 2" xfId="4825"/>
    <cellStyle name="표_00년상반기현황분석(000512)-A.xls Chart 156_정이사님보고0907_Book1" xfId="4196"/>
    <cellStyle name="표_00년상반기현황분석(000512)-A.xls Chart 156_정이사님보고0907_Book1 2" xfId="4826"/>
    <cellStyle name="표_00년상반기현황분석(000512)-A.xls Chart 156_정이사님보고0907_Book1_다대포 해수욕장-내역서" xfId="4197"/>
    <cellStyle name="표_00년상반기현황분석(000512)-A.xls Chart 156_정이사님보고0907_Book1_다대포 해수욕장-내역서 2" xfId="4827"/>
    <cellStyle name="표_00년상반기현황분석(000512)-A.xls Chart 156_정이사님보고0907_Book1_조형물 내역서(원본)" xfId="4198"/>
    <cellStyle name="표_00년상반기현황분석(000512)-A.xls Chart 156_정이사님보고0907_Book1_조형물 내역서(원본) 2" xfId="4828"/>
    <cellStyle name="표_00년상반기현황분석(000512)-A.xls Chart 156_정이사님보고0907_다대포 해수욕장-내역서" xfId="4199"/>
    <cellStyle name="표_00년상반기현황분석(000512)-A.xls Chart 156_정이사님보고0907_다대포 해수욕장-내역서 2" xfId="4829"/>
    <cellStyle name="표_00년상반기현황분석(000512)-A.xls Chart 156_정이사님보고0907_인상시부담액(임,단협(1).04.26수정)" xfId="4200"/>
    <cellStyle name="표_00년상반기현황분석(000512)-A.xls Chart 156_정이사님보고0907_인상시부담액(임,단협(1).04.26수정) 2" xfId="4830"/>
    <cellStyle name="표_00년상반기현황분석(000512)-A.xls Chart 156_정이사님보고0907_인상시부담액(임,단협(1).04.26수정)_다대포 해수욕장-내역서" xfId="4201"/>
    <cellStyle name="표_00년상반기현황분석(000512)-A.xls Chart 156_정이사님보고0907_인상시부담액(임,단협(1).04.26수정)_다대포 해수욕장-내역서 2" xfId="4831"/>
    <cellStyle name="표_00년상반기현황분석(000512)-A.xls Chart 156_정이사님보고0907_인상시부담액(임,단협(1).04.26수정)_조형물 내역서(원본)" xfId="4202"/>
    <cellStyle name="표_00년상반기현황분석(000512)-A.xls Chart 156_정이사님보고0907_인상시부담액(임,단협(1).04.26수정)_조형물 내역서(원본) 2" xfId="4832"/>
    <cellStyle name="표_00년상반기현황분석(000512)-A.xls Chart 156_정이사님보고0907_조형물 내역서(원본)" xfId="4203"/>
    <cellStyle name="표_00년상반기현황분석(000512)-A.xls Chart 156_정이사님보고0907_조형물 내역서(원본) 2" xfId="4833"/>
    <cellStyle name="표_00년상반기현황분석(000512)-A.xls Chart 156_조형물 내역서(원본)" xfId="4204"/>
    <cellStyle name="표_00년상반기현황분석(000512)-A.xls Chart 156_조형물 내역서(원본) 2" xfId="4834"/>
    <cellStyle name="표_00년상반기현황분석(000512)-A.xls Chart 157" xfId="4205"/>
    <cellStyle name="표_00년상반기현황분석(000512)-A.xls Chart 157 2" xfId="4835"/>
    <cellStyle name="표_00년상반기현황분석(000512)-A.xls Chart 157_Book1" xfId="4206"/>
    <cellStyle name="표_00년상반기현황분석(000512)-A.xls Chart 157_Book1 2" xfId="4836"/>
    <cellStyle name="표_00년상반기현황분석(000512)-A.xls Chart 157_Book1_다대포 해수욕장-내역서" xfId="4207"/>
    <cellStyle name="표_00년상반기현황분석(000512)-A.xls Chart 157_Book1_다대포 해수욕장-내역서 2" xfId="4837"/>
    <cellStyle name="표_00년상반기현황분석(000512)-A.xls Chart 157_Book1_조형물 내역서(원본)" xfId="4208"/>
    <cellStyle name="표_00년상반기현황분석(000512)-A.xls Chart 157_Book1_조형물 내역서(원본) 2" xfId="4838"/>
    <cellStyle name="표_00년상반기현황분석(000512)-A.xls Chart 157_다대포 해수욕장-내역서" xfId="4209"/>
    <cellStyle name="표_00년상반기현황분석(000512)-A.xls Chart 157_다대포 해수욕장-내역서 2" xfId="4839"/>
    <cellStyle name="표_00년상반기현황분석(000512)-A.xls Chart 157_사장님IQS개선회의(조립생기팀0816)" xfId="4210"/>
    <cellStyle name="표_00년상반기현황분석(000512)-A.xls Chart 157_사장님IQS개선회의(조립생기팀0816) 2" xfId="4840"/>
    <cellStyle name="표_00년상반기현황분석(000512)-A.xls Chart 157_사장님IQS개선회의(조립생기팀0816)_Book1" xfId="4211"/>
    <cellStyle name="표_00년상반기현황분석(000512)-A.xls Chart 157_사장님IQS개선회의(조립생기팀0816)_Book1 2" xfId="4841"/>
    <cellStyle name="표_00년상반기현황분석(000512)-A.xls Chart 157_사장님IQS개선회의(조립생기팀0816)_Book1_다대포 해수욕장-내역서" xfId="4212"/>
    <cellStyle name="표_00년상반기현황분석(000512)-A.xls Chart 157_사장님IQS개선회의(조립생기팀0816)_Book1_다대포 해수욕장-내역서 2" xfId="4842"/>
    <cellStyle name="표_00년상반기현황분석(000512)-A.xls Chart 157_사장님IQS개선회의(조립생기팀0816)_Book1_조형물 내역서(원본)" xfId="4213"/>
    <cellStyle name="표_00년상반기현황분석(000512)-A.xls Chart 157_사장님IQS개선회의(조립생기팀0816)_Book1_조형물 내역서(원본) 2" xfId="4843"/>
    <cellStyle name="표_00년상반기현황분석(000512)-A.xls Chart 157_사장님IQS개선회의(조립생기팀0816)_다대포 해수욕장-내역서" xfId="4214"/>
    <cellStyle name="표_00년상반기현황분석(000512)-A.xls Chart 157_사장님IQS개선회의(조립생기팀0816)_다대포 해수욕장-내역서 2" xfId="4844"/>
    <cellStyle name="표_00년상반기현황분석(000512)-A.xls Chart 157_사장님IQS개선회의(조립생기팀0816)_인상시부담액(임,단협(1).04.26수정)" xfId="4215"/>
    <cellStyle name="표_00년상반기현황분석(000512)-A.xls Chart 157_사장님IQS개선회의(조립생기팀0816)_인상시부담액(임,단협(1).04.26수정) 2" xfId="4845"/>
    <cellStyle name="표_00년상반기현황분석(000512)-A.xls Chart 157_사장님IQS개선회의(조립생기팀0816)_인상시부담액(임,단협(1).04.26수정)_다대포 해수욕장-내역서" xfId="4216"/>
    <cellStyle name="표_00년상반기현황분석(000512)-A.xls Chart 157_사장님IQS개선회의(조립생기팀0816)_인상시부담액(임,단협(1).04.26수정)_다대포 해수욕장-내역서 2" xfId="4846"/>
    <cellStyle name="표_00년상반기현황분석(000512)-A.xls Chart 157_사장님IQS개선회의(조립생기팀0816)_인상시부담액(임,단협(1).04.26수정)_조형물 내역서(원본)" xfId="4217"/>
    <cellStyle name="표_00년상반기현황분석(000512)-A.xls Chart 157_사장님IQS개선회의(조립생기팀0816)_인상시부담액(임,단협(1).04.26수정)_조형물 내역서(원본) 2" xfId="4847"/>
    <cellStyle name="표_00년상반기현황분석(000512)-A.xls Chart 157_사장님IQS개선회의(조립생기팀0816)_조형물 내역서(원본)" xfId="4218"/>
    <cellStyle name="표_00년상반기현황분석(000512)-A.xls Chart 157_사장님IQS개선회의(조립생기팀0816)_조형물 내역서(원본) 2" xfId="4848"/>
    <cellStyle name="표_00년상반기현황분석(000512)-A.xls Chart 157_인상시부담액(임,단협(1).04.26수정)" xfId="4219"/>
    <cellStyle name="표_00년상반기현황분석(000512)-A.xls Chart 157_인상시부담액(임,단협(1).04.26수정) 2" xfId="4849"/>
    <cellStyle name="표_00년상반기현황분석(000512)-A.xls Chart 157_인상시부담액(임,단협(1).04.26수정)_다대포 해수욕장-내역서" xfId="4220"/>
    <cellStyle name="표_00년상반기현황분석(000512)-A.xls Chart 157_인상시부담액(임,단협(1).04.26수정)_다대포 해수욕장-내역서 2" xfId="4850"/>
    <cellStyle name="표_00년상반기현황분석(000512)-A.xls Chart 157_인상시부담액(임,단협(1).04.26수정)_조형물 내역서(원본)" xfId="4221"/>
    <cellStyle name="표_00년상반기현황분석(000512)-A.xls Chart 157_인상시부담액(임,단협(1).04.26수정)_조형물 내역서(원본) 2" xfId="4851"/>
    <cellStyle name="표_00년상반기현황분석(000512)-A.xls Chart 157_정이사님보고0907" xfId="4222"/>
    <cellStyle name="표_00년상반기현황분석(000512)-A.xls Chart 157_정이사님보고0907 2" xfId="4852"/>
    <cellStyle name="표_00년상반기현황분석(000512)-A.xls Chart 157_정이사님보고0907_Book1" xfId="4223"/>
    <cellStyle name="표_00년상반기현황분석(000512)-A.xls Chart 157_정이사님보고0907_Book1 2" xfId="4853"/>
    <cellStyle name="표_00년상반기현황분석(000512)-A.xls Chart 157_정이사님보고0907_Book1_다대포 해수욕장-내역서" xfId="4224"/>
    <cellStyle name="표_00년상반기현황분석(000512)-A.xls Chart 157_정이사님보고0907_Book1_다대포 해수욕장-내역서 2" xfId="4854"/>
    <cellStyle name="표_00년상반기현황분석(000512)-A.xls Chart 157_정이사님보고0907_Book1_조형물 내역서(원본)" xfId="4225"/>
    <cellStyle name="표_00년상반기현황분석(000512)-A.xls Chart 157_정이사님보고0907_Book1_조형물 내역서(원본) 2" xfId="4855"/>
    <cellStyle name="표_00년상반기현황분석(000512)-A.xls Chart 157_정이사님보고0907_다대포 해수욕장-내역서" xfId="4226"/>
    <cellStyle name="표_00년상반기현황분석(000512)-A.xls Chart 157_정이사님보고0907_다대포 해수욕장-내역서 2" xfId="4856"/>
    <cellStyle name="표_00년상반기현황분석(000512)-A.xls Chart 157_정이사님보고0907_인상시부담액(임,단협(1).04.26수정)" xfId="4227"/>
    <cellStyle name="표_00년상반기현황분석(000512)-A.xls Chart 157_정이사님보고0907_인상시부담액(임,단협(1).04.26수정) 2" xfId="4857"/>
    <cellStyle name="표_00년상반기현황분석(000512)-A.xls Chart 157_정이사님보고0907_인상시부담액(임,단협(1).04.26수정)_다대포 해수욕장-내역서" xfId="4228"/>
    <cellStyle name="표_00년상반기현황분석(000512)-A.xls Chart 157_정이사님보고0907_인상시부담액(임,단협(1).04.26수정)_다대포 해수욕장-내역서 2" xfId="4858"/>
    <cellStyle name="표_00년상반기현황분석(000512)-A.xls Chart 157_정이사님보고0907_인상시부담액(임,단협(1).04.26수정)_조형물 내역서(원본)" xfId="4229"/>
    <cellStyle name="표_00년상반기현황분석(000512)-A.xls Chart 157_정이사님보고0907_인상시부담액(임,단협(1).04.26수정)_조형물 내역서(원본) 2" xfId="4859"/>
    <cellStyle name="표_00년상반기현황분석(000512)-A.xls Chart 157_정이사님보고0907_조형물 내역서(원본)" xfId="4230"/>
    <cellStyle name="표_00년상반기현황분석(000512)-A.xls Chart 157_정이사님보고0907_조형물 내역서(원본) 2" xfId="4860"/>
    <cellStyle name="표_00년상반기현황분석(000512)-A.xls Chart 157_조형물 내역서(원본)" xfId="4231"/>
    <cellStyle name="표_00년상반기현황분석(000512)-A.xls Chart 157_조형물 내역서(원본) 2" xfId="4861"/>
    <cellStyle name="표_00년상반기현황분석(000512)-A.xls Chart 158" xfId="4232"/>
    <cellStyle name="표_00년상반기현황분석(000512)-A.xls Chart 158 2" xfId="4862"/>
    <cellStyle name="표_00년상반기현황분석(000512)-A.xls Chart 158_Book1" xfId="4233"/>
    <cellStyle name="표_00년상반기현황분석(000512)-A.xls Chart 158_Book1 2" xfId="4863"/>
    <cellStyle name="표_00년상반기현황분석(000512)-A.xls Chart 158_Book1_다대포 해수욕장-내역서" xfId="4234"/>
    <cellStyle name="표_00년상반기현황분석(000512)-A.xls Chart 158_Book1_다대포 해수욕장-내역서 2" xfId="4864"/>
    <cellStyle name="표_00년상반기현황분석(000512)-A.xls Chart 158_Book1_조형물 내역서(원본)" xfId="4235"/>
    <cellStyle name="표_00년상반기현황분석(000512)-A.xls Chart 158_Book1_조형물 내역서(원본) 2" xfId="4865"/>
    <cellStyle name="표_00년상반기현황분석(000512)-A.xls Chart 158_다대포 해수욕장-내역서" xfId="4236"/>
    <cellStyle name="표_00년상반기현황분석(000512)-A.xls Chart 158_다대포 해수욕장-내역서 2" xfId="4866"/>
    <cellStyle name="표_00년상반기현황분석(000512)-A.xls Chart 158_사장님IQS개선회의(조립생기팀0816)" xfId="4237"/>
    <cellStyle name="표_00년상반기현황분석(000512)-A.xls Chart 158_사장님IQS개선회의(조립생기팀0816) 2" xfId="4867"/>
    <cellStyle name="표_00년상반기현황분석(000512)-A.xls Chart 158_사장님IQS개선회의(조립생기팀0816)_Book1" xfId="4238"/>
    <cellStyle name="표_00년상반기현황분석(000512)-A.xls Chart 158_사장님IQS개선회의(조립생기팀0816)_Book1 2" xfId="4868"/>
    <cellStyle name="표_00년상반기현황분석(000512)-A.xls Chart 158_사장님IQS개선회의(조립생기팀0816)_Book1_다대포 해수욕장-내역서" xfId="4239"/>
    <cellStyle name="표_00년상반기현황분석(000512)-A.xls Chart 158_사장님IQS개선회의(조립생기팀0816)_Book1_다대포 해수욕장-내역서 2" xfId="4869"/>
    <cellStyle name="표_00년상반기현황분석(000512)-A.xls Chart 158_사장님IQS개선회의(조립생기팀0816)_Book1_조형물 내역서(원본)" xfId="4240"/>
    <cellStyle name="표_00년상반기현황분석(000512)-A.xls Chart 158_사장님IQS개선회의(조립생기팀0816)_Book1_조형물 내역서(원본) 2" xfId="4870"/>
    <cellStyle name="표_00년상반기현황분석(000512)-A.xls Chart 158_사장님IQS개선회의(조립생기팀0816)_다대포 해수욕장-내역서" xfId="4241"/>
    <cellStyle name="표_00년상반기현황분석(000512)-A.xls Chart 158_사장님IQS개선회의(조립생기팀0816)_다대포 해수욕장-내역서 2" xfId="4871"/>
    <cellStyle name="표_00년상반기현황분석(000512)-A.xls Chart 158_사장님IQS개선회의(조립생기팀0816)_인상시부담액(임,단협(1).04.26수정)" xfId="4242"/>
    <cellStyle name="표_00년상반기현황분석(000512)-A.xls Chart 158_사장님IQS개선회의(조립생기팀0816)_인상시부담액(임,단협(1).04.26수정) 2" xfId="4872"/>
    <cellStyle name="표_00년상반기현황분석(000512)-A.xls Chart 158_사장님IQS개선회의(조립생기팀0816)_인상시부담액(임,단협(1).04.26수정)_다대포 해수욕장-내역서" xfId="4243"/>
    <cellStyle name="표_00년상반기현황분석(000512)-A.xls Chart 158_사장님IQS개선회의(조립생기팀0816)_인상시부담액(임,단협(1).04.26수정)_다대포 해수욕장-내역서 2" xfId="4873"/>
    <cellStyle name="표_00년상반기현황분석(000512)-A.xls Chart 158_사장님IQS개선회의(조립생기팀0816)_인상시부담액(임,단협(1).04.26수정)_조형물 내역서(원본)" xfId="4244"/>
    <cellStyle name="표_00년상반기현황분석(000512)-A.xls Chart 158_사장님IQS개선회의(조립생기팀0816)_인상시부담액(임,단협(1).04.26수정)_조형물 내역서(원본) 2" xfId="4874"/>
    <cellStyle name="표_00년상반기현황분석(000512)-A.xls Chart 158_사장님IQS개선회의(조립생기팀0816)_조형물 내역서(원본)" xfId="4245"/>
    <cellStyle name="표_00년상반기현황분석(000512)-A.xls Chart 158_사장님IQS개선회의(조립생기팀0816)_조형물 내역서(원본) 2" xfId="4875"/>
    <cellStyle name="표_00년상반기현황분석(000512)-A.xls Chart 158_인상시부담액(임,단협(1).04.26수정)" xfId="4246"/>
    <cellStyle name="표_00년상반기현황분석(000512)-A.xls Chart 158_인상시부담액(임,단협(1).04.26수정) 2" xfId="4876"/>
    <cellStyle name="표_00년상반기현황분석(000512)-A.xls Chart 158_인상시부담액(임,단협(1).04.26수정)_다대포 해수욕장-내역서" xfId="4247"/>
    <cellStyle name="표_00년상반기현황분석(000512)-A.xls Chart 158_인상시부담액(임,단협(1).04.26수정)_다대포 해수욕장-내역서 2" xfId="4877"/>
    <cellStyle name="표_00년상반기현황분석(000512)-A.xls Chart 158_인상시부담액(임,단협(1).04.26수정)_조형물 내역서(원본)" xfId="4248"/>
    <cellStyle name="표_00년상반기현황분석(000512)-A.xls Chart 158_인상시부담액(임,단협(1).04.26수정)_조형물 내역서(원본) 2" xfId="4878"/>
    <cellStyle name="표_00년상반기현황분석(000512)-A.xls Chart 158_정이사님보고0907" xfId="4249"/>
    <cellStyle name="표_00년상반기현황분석(000512)-A.xls Chart 158_정이사님보고0907 2" xfId="4879"/>
    <cellStyle name="표_00년상반기현황분석(000512)-A.xls Chart 158_정이사님보고0907_Book1" xfId="4250"/>
    <cellStyle name="표_00년상반기현황분석(000512)-A.xls Chart 158_정이사님보고0907_Book1 2" xfId="4880"/>
    <cellStyle name="표_00년상반기현황분석(000512)-A.xls Chart 158_정이사님보고0907_Book1_다대포 해수욕장-내역서" xfId="4251"/>
    <cellStyle name="표_00년상반기현황분석(000512)-A.xls Chart 158_정이사님보고0907_Book1_다대포 해수욕장-내역서 2" xfId="4881"/>
    <cellStyle name="표_00년상반기현황분석(000512)-A.xls Chart 158_정이사님보고0907_Book1_조형물 내역서(원본)" xfId="4252"/>
    <cellStyle name="표_00년상반기현황분석(000512)-A.xls Chart 158_정이사님보고0907_Book1_조형물 내역서(원본) 2" xfId="4882"/>
    <cellStyle name="표_00년상반기현황분석(000512)-A.xls Chart 158_정이사님보고0907_다대포 해수욕장-내역서" xfId="4253"/>
    <cellStyle name="표_00년상반기현황분석(000512)-A.xls Chart 158_정이사님보고0907_다대포 해수욕장-내역서 2" xfId="4883"/>
    <cellStyle name="표_00년상반기현황분석(000512)-A.xls Chart 158_정이사님보고0907_인상시부담액(임,단협(1).04.26수정)" xfId="4254"/>
    <cellStyle name="표_00년상반기현황분석(000512)-A.xls Chart 158_정이사님보고0907_인상시부담액(임,단협(1).04.26수정) 2" xfId="4884"/>
    <cellStyle name="표_00년상반기현황분석(000512)-A.xls Chart 158_정이사님보고0907_인상시부담액(임,단협(1).04.26수정)_다대포 해수욕장-내역서" xfId="4255"/>
    <cellStyle name="표_00년상반기현황분석(000512)-A.xls Chart 158_정이사님보고0907_인상시부담액(임,단협(1).04.26수정)_다대포 해수욕장-내역서 2" xfId="4885"/>
    <cellStyle name="표_00년상반기현황분석(000512)-A.xls Chart 158_정이사님보고0907_인상시부담액(임,단협(1).04.26수정)_조형물 내역서(원본)" xfId="4256"/>
    <cellStyle name="표_00년상반기현황분석(000512)-A.xls Chart 158_정이사님보고0907_인상시부담액(임,단협(1).04.26수정)_조형물 내역서(원본) 2" xfId="4886"/>
    <cellStyle name="표_00년상반기현황분석(000512)-A.xls Chart 158_정이사님보고0907_조형물 내역서(원본)" xfId="4257"/>
    <cellStyle name="표_00년상반기현황분석(000512)-A.xls Chart 158_정이사님보고0907_조형물 내역서(원본) 2" xfId="4887"/>
    <cellStyle name="표_00년상반기현황분석(000512)-A.xls Chart 158_조형물 내역서(원본)" xfId="4258"/>
    <cellStyle name="표_00년상반기현황분석(000512)-A.xls Chart 158_조형물 내역서(원본) 2" xfId="4888"/>
    <cellStyle name="표_00년상반기현황분석(000512)-A.xls Chart 160" xfId="4259"/>
    <cellStyle name="표_00년상반기현황분석(000512)-A.xls Chart 160 2" xfId="4889"/>
    <cellStyle name="표_00년상반기현황분석(000512)-A.xls Chart 160_Book1" xfId="4260"/>
    <cellStyle name="표_00년상반기현황분석(000512)-A.xls Chart 160_Book1 2" xfId="4890"/>
    <cellStyle name="표_00년상반기현황분석(000512)-A.xls Chart 160_Book1_다대포 해수욕장-내역서" xfId="4261"/>
    <cellStyle name="표_00년상반기현황분석(000512)-A.xls Chart 160_Book1_다대포 해수욕장-내역서 2" xfId="4891"/>
    <cellStyle name="표_00년상반기현황분석(000512)-A.xls Chart 160_Book1_조형물 내역서(원본)" xfId="4262"/>
    <cellStyle name="표_00년상반기현황분석(000512)-A.xls Chart 160_Book1_조형물 내역서(원본) 2" xfId="4892"/>
    <cellStyle name="표_00년상반기현황분석(000512)-A.xls Chart 160_다대포 해수욕장-내역서" xfId="4263"/>
    <cellStyle name="표_00년상반기현황분석(000512)-A.xls Chart 160_다대포 해수욕장-내역서 2" xfId="4893"/>
    <cellStyle name="표_00년상반기현황분석(000512)-A.xls Chart 160_사장님IQS개선회의(조립생기팀0816)" xfId="4264"/>
    <cellStyle name="표_00년상반기현황분석(000512)-A.xls Chart 160_사장님IQS개선회의(조립생기팀0816) 2" xfId="4894"/>
    <cellStyle name="표_00년상반기현황분석(000512)-A.xls Chart 160_사장님IQS개선회의(조립생기팀0816)_Book1" xfId="4265"/>
    <cellStyle name="표_00년상반기현황분석(000512)-A.xls Chart 160_사장님IQS개선회의(조립생기팀0816)_Book1 2" xfId="4895"/>
    <cellStyle name="표_00년상반기현황분석(000512)-A.xls Chart 160_사장님IQS개선회의(조립생기팀0816)_Book1_다대포 해수욕장-내역서" xfId="4266"/>
    <cellStyle name="표_00년상반기현황분석(000512)-A.xls Chart 160_사장님IQS개선회의(조립생기팀0816)_Book1_다대포 해수욕장-내역서 2" xfId="4896"/>
    <cellStyle name="표_00년상반기현황분석(000512)-A.xls Chart 160_사장님IQS개선회의(조립생기팀0816)_Book1_조형물 내역서(원본)" xfId="4267"/>
    <cellStyle name="표_00년상반기현황분석(000512)-A.xls Chart 160_사장님IQS개선회의(조립생기팀0816)_Book1_조형물 내역서(원본) 2" xfId="4897"/>
    <cellStyle name="표_00년상반기현황분석(000512)-A.xls Chart 160_사장님IQS개선회의(조립생기팀0816)_다대포 해수욕장-내역서" xfId="4268"/>
    <cellStyle name="표_00년상반기현황분석(000512)-A.xls Chart 160_사장님IQS개선회의(조립생기팀0816)_다대포 해수욕장-내역서 2" xfId="4898"/>
    <cellStyle name="표_00년상반기현황분석(000512)-A.xls Chart 160_사장님IQS개선회의(조립생기팀0816)_인상시부담액(임,단협(1).04.26수정)" xfId="4269"/>
    <cellStyle name="표_00년상반기현황분석(000512)-A.xls Chart 160_사장님IQS개선회의(조립생기팀0816)_인상시부담액(임,단협(1).04.26수정) 2" xfId="4899"/>
    <cellStyle name="표_00년상반기현황분석(000512)-A.xls Chart 160_사장님IQS개선회의(조립생기팀0816)_인상시부담액(임,단협(1).04.26수정)_다대포 해수욕장-내역서" xfId="4270"/>
    <cellStyle name="표_00년상반기현황분석(000512)-A.xls Chart 160_사장님IQS개선회의(조립생기팀0816)_인상시부담액(임,단협(1).04.26수정)_다대포 해수욕장-내역서 2" xfId="4900"/>
    <cellStyle name="표_00년상반기현황분석(000512)-A.xls Chart 160_사장님IQS개선회의(조립생기팀0816)_인상시부담액(임,단협(1).04.26수정)_조형물 내역서(원본)" xfId="4271"/>
    <cellStyle name="표_00년상반기현황분석(000512)-A.xls Chart 160_사장님IQS개선회의(조립생기팀0816)_인상시부담액(임,단협(1).04.26수정)_조형물 내역서(원본) 2" xfId="4901"/>
    <cellStyle name="표_00년상반기현황분석(000512)-A.xls Chart 160_사장님IQS개선회의(조립생기팀0816)_조형물 내역서(원본)" xfId="4272"/>
    <cellStyle name="표_00년상반기현황분석(000512)-A.xls Chart 160_사장님IQS개선회의(조립생기팀0816)_조형물 내역서(원본) 2" xfId="4902"/>
    <cellStyle name="표_00년상반기현황분석(000512)-A.xls Chart 160_인상시부담액(임,단협(1).04.26수정)" xfId="4273"/>
    <cellStyle name="표_00년상반기현황분석(000512)-A.xls Chart 160_인상시부담액(임,단협(1).04.26수정) 2" xfId="4903"/>
    <cellStyle name="표_00년상반기현황분석(000512)-A.xls Chart 160_인상시부담액(임,단협(1).04.26수정)_다대포 해수욕장-내역서" xfId="4274"/>
    <cellStyle name="표_00년상반기현황분석(000512)-A.xls Chart 160_인상시부담액(임,단협(1).04.26수정)_다대포 해수욕장-내역서 2" xfId="4904"/>
    <cellStyle name="표_00년상반기현황분석(000512)-A.xls Chart 160_인상시부담액(임,단협(1).04.26수정)_조형물 내역서(원본)" xfId="4275"/>
    <cellStyle name="표_00년상반기현황분석(000512)-A.xls Chart 160_인상시부담액(임,단협(1).04.26수정)_조형물 내역서(원본) 2" xfId="4905"/>
    <cellStyle name="표_00년상반기현황분석(000512)-A.xls Chart 160_정이사님보고0907" xfId="4276"/>
    <cellStyle name="표_00년상반기현황분석(000512)-A.xls Chart 160_정이사님보고0907 2" xfId="4906"/>
    <cellStyle name="표_00년상반기현황분석(000512)-A.xls Chart 160_정이사님보고0907_Book1" xfId="4277"/>
    <cellStyle name="표_00년상반기현황분석(000512)-A.xls Chart 160_정이사님보고0907_Book1 2" xfId="4907"/>
    <cellStyle name="표_00년상반기현황분석(000512)-A.xls Chart 160_정이사님보고0907_Book1_다대포 해수욕장-내역서" xfId="4278"/>
    <cellStyle name="표_00년상반기현황분석(000512)-A.xls Chart 160_정이사님보고0907_Book1_다대포 해수욕장-내역서 2" xfId="4908"/>
    <cellStyle name="표_00년상반기현황분석(000512)-A.xls Chart 160_정이사님보고0907_Book1_조형물 내역서(원본)" xfId="4279"/>
    <cellStyle name="표_00년상반기현황분석(000512)-A.xls Chart 160_정이사님보고0907_Book1_조형물 내역서(원본) 2" xfId="4909"/>
    <cellStyle name="표_00년상반기현황분석(000512)-A.xls Chart 160_정이사님보고0907_다대포 해수욕장-내역서" xfId="4280"/>
    <cellStyle name="표_00년상반기현황분석(000512)-A.xls Chart 160_정이사님보고0907_다대포 해수욕장-내역서 2" xfId="4910"/>
    <cellStyle name="표_00년상반기현황분석(000512)-A.xls Chart 160_정이사님보고0907_인상시부담액(임,단협(1).04.26수정)" xfId="4281"/>
    <cellStyle name="표_00년상반기현황분석(000512)-A.xls Chart 160_정이사님보고0907_인상시부담액(임,단협(1).04.26수정) 2" xfId="4911"/>
    <cellStyle name="표_00년상반기현황분석(000512)-A.xls Chart 160_정이사님보고0907_인상시부담액(임,단협(1).04.26수정)_다대포 해수욕장-내역서" xfId="4282"/>
    <cellStyle name="표_00년상반기현황분석(000512)-A.xls Chart 160_정이사님보고0907_인상시부담액(임,단협(1).04.26수정)_다대포 해수욕장-내역서 2" xfId="4912"/>
    <cellStyle name="표_00년상반기현황분석(000512)-A.xls Chart 160_정이사님보고0907_인상시부담액(임,단협(1).04.26수정)_조형물 내역서(원본)" xfId="4283"/>
    <cellStyle name="표_00년상반기현황분석(000512)-A.xls Chart 160_정이사님보고0907_인상시부담액(임,단협(1).04.26수정)_조형물 내역서(원본) 2" xfId="4913"/>
    <cellStyle name="표_00년상반기현황분석(000512)-A.xls Chart 160_정이사님보고0907_조형물 내역서(원본)" xfId="4284"/>
    <cellStyle name="표_00년상반기현황분석(000512)-A.xls Chart 160_정이사님보고0907_조형물 내역서(원본) 2" xfId="4914"/>
    <cellStyle name="표_00년상반기현황분석(000512)-A.xls Chart 160_조형물 내역서(원본)" xfId="4285"/>
    <cellStyle name="표_00년상반기현황분석(000512)-A.xls Chart 160_조형물 내역서(원본) 2" xfId="4915"/>
    <cellStyle name="표_00년상반기현황분석(000512)-A.xls Chart 161" xfId="4286"/>
    <cellStyle name="표_00년상반기현황분석(000512)-A.xls Chart 161 2" xfId="4916"/>
    <cellStyle name="표_00년상반기현황분석(000512)-A.xls Chart 161_Book1" xfId="4287"/>
    <cellStyle name="표_00년상반기현황분석(000512)-A.xls Chart 161_Book1 2" xfId="4917"/>
    <cellStyle name="표_00년상반기현황분석(000512)-A.xls Chart 161_Book1_다대포 해수욕장-내역서" xfId="4288"/>
    <cellStyle name="표_00년상반기현황분석(000512)-A.xls Chart 161_Book1_다대포 해수욕장-내역서 2" xfId="4918"/>
    <cellStyle name="표_00년상반기현황분석(000512)-A.xls Chart 161_Book1_조형물 내역서(원본)" xfId="4289"/>
    <cellStyle name="표_00년상반기현황분석(000512)-A.xls Chart 161_Book1_조형물 내역서(원본) 2" xfId="4919"/>
    <cellStyle name="표_00년상반기현황분석(000512)-A.xls Chart 161_다대포 해수욕장-내역서" xfId="4290"/>
    <cellStyle name="표_00년상반기현황분석(000512)-A.xls Chart 161_다대포 해수욕장-내역서 2" xfId="4920"/>
    <cellStyle name="표_00년상반기현황분석(000512)-A.xls Chart 161_사장님IQS개선회의(조립생기팀0816)" xfId="4291"/>
    <cellStyle name="표_00년상반기현황분석(000512)-A.xls Chart 161_사장님IQS개선회의(조립생기팀0816) 2" xfId="4921"/>
    <cellStyle name="표_00년상반기현황분석(000512)-A.xls Chart 161_사장님IQS개선회의(조립생기팀0816)_Book1" xfId="4292"/>
    <cellStyle name="표_00년상반기현황분석(000512)-A.xls Chart 161_사장님IQS개선회의(조립생기팀0816)_Book1 2" xfId="4922"/>
    <cellStyle name="표_00년상반기현황분석(000512)-A.xls Chart 161_사장님IQS개선회의(조립생기팀0816)_Book1_다대포 해수욕장-내역서" xfId="4293"/>
    <cellStyle name="표_00년상반기현황분석(000512)-A.xls Chart 161_사장님IQS개선회의(조립생기팀0816)_Book1_다대포 해수욕장-내역서 2" xfId="4923"/>
    <cellStyle name="표_00년상반기현황분석(000512)-A.xls Chart 161_사장님IQS개선회의(조립생기팀0816)_Book1_조형물 내역서(원본)" xfId="4294"/>
    <cellStyle name="표_00년상반기현황분석(000512)-A.xls Chart 161_사장님IQS개선회의(조립생기팀0816)_Book1_조형물 내역서(원본) 2" xfId="4924"/>
    <cellStyle name="표_00년상반기현황분석(000512)-A.xls Chart 161_사장님IQS개선회의(조립생기팀0816)_다대포 해수욕장-내역서" xfId="4295"/>
    <cellStyle name="표_00년상반기현황분석(000512)-A.xls Chart 161_사장님IQS개선회의(조립생기팀0816)_다대포 해수욕장-내역서 2" xfId="4925"/>
    <cellStyle name="표_00년상반기현황분석(000512)-A.xls Chart 161_사장님IQS개선회의(조립생기팀0816)_인상시부담액(임,단협(1).04.26수정)" xfId="4296"/>
    <cellStyle name="표_00년상반기현황분석(000512)-A.xls Chart 161_사장님IQS개선회의(조립생기팀0816)_인상시부담액(임,단협(1).04.26수정) 2" xfId="4926"/>
    <cellStyle name="표_00년상반기현황분석(000512)-A.xls Chart 161_사장님IQS개선회의(조립생기팀0816)_인상시부담액(임,단협(1).04.26수정)_다대포 해수욕장-내역서" xfId="4297"/>
    <cellStyle name="표_00년상반기현황분석(000512)-A.xls Chart 161_사장님IQS개선회의(조립생기팀0816)_인상시부담액(임,단협(1).04.26수정)_다대포 해수욕장-내역서 2" xfId="4927"/>
    <cellStyle name="표_00년상반기현황분석(000512)-A.xls Chart 161_사장님IQS개선회의(조립생기팀0816)_인상시부담액(임,단협(1).04.26수정)_조형물 내역서(원본)" xfId="4298"/>
    <cellStyle name="표_00년상반기현황분석(000512)-A.xls Chart 161_사장님IQS개선회의(조립생기팀0816)_인상시부담액(임,단협(1).04.26수정)_조형물 내역서(원본) 2" xfId="4928"/>
    <cellStyle name="표_00년상반기현황분석(000512)-A.xls Chart 161_사장님IQS개선회의(조립생기팀0816)_조형물 내역서(원본)" xfId="4299"/>
    <cellStyle name="표_00년상반기현황분석(000512)-A.xls Chart 161_사장님IQS개선회의(조립생기팀0816)_조형물 내역서(원본) 2" xfId="4929"/>
    <cellStyle name="표_00년상반기현황분석(000512)-A.xls Chart 161_인상시부담액(임,단협(1).04.26수정)" xfId="4300"/>
    <cellStyle name="표_00년상반기현황분석(000512)-A.xls Chart 161_인상시부담액(임,단협(1).04.26수정) 2" xfId="4930"/>
    <cellStyle name="표_00년상반기현황분석(000512)-A.xls Chart 161_인상시부담액(임,단협(1).04.26수정)_다대포 해수욕장-내역서" xfId="4301"/>
    <cellStyle name="표_00년상반기현황분석(000512)-A.xls Chart 161_인상시부담액(임,단협(1).04.26수정)_다대포 해수욕장-내역서 2" xfId="4931"/>
    <cellStyle name="표_00년상반기현황분석(000512)-A.xls Chart 161_인상시부담액(임,단협(1).04.26수정)_조형물 내역서(원본)" xfId="4302"/>
    <cellStyle name="표_00년상반기현황분석(000512)-A.xls Chart 161_인상시부담액(임,단협(1).04.26수정)_조형물 내역서(원본) 2" xfId="4932"/>
    <cellStyle name="표_00년상반기현황분석(000512)-A.xls Chart 161_정이사님보고0907" xfId="4303"/>
    <cellStyle name="표_00년상반기현황분석(000512)-A.xls Chart 161_정이사님보고0907 2" xfId="4933"/>
    <cellStyle name="표_00년상반기현황분석(000512)-A.xls Chart 161_정이사님보고0907_Book1" xfId="4304"/>
    <cellStyle name="표_00년상반기현황분석(000512)-A.xls Chart 161_정이사님보고0907_Book1 2" xfId="4934"/>
    <cellStyle name="표_00년상반기현황분석(000512)-A.xls Chart 161_정이사님보고0907_Book1_다대포 해수욕장-내역서" xfId="4305"/>
    <cellStyle name="표_00년상반기현황분석(000512)-A.xls Chart 161_정이사님보고0907_Book1_다대포 해수욕장-내역서 2" xfId="4935"/>
    <cellStyle name="표_00년상반기현황분석(000512)-A.xls Chart 161_정이사님보고0907_Book1_조형물 내역서(원본)" xfId="4306"/>
    <cellStyle name="표_00년상반기현황분석(000512)-A.xls Chart 161_정이사님보고0907_Book1_조형물 내역서(원본) 2" xfId="4936"/>
    <cellStyle name="표_00년상반기현황분석(000512)-A.xls Chart 161_정이사님보고0907_다대포 해수욕장-내역서" xfId="4307"/>
    <cellStyle name="표_00년상반기현황분석(000512)-A.xls Chart 161_정이사님보고0907_다대포 해수욕장-내역서 2" xfId="4937"/>
    <cellStyle name="표_00년상반기현황분석(000512)-A.xls Chart 161_정이사님보고0907_인상시부담액(임,단협(1).04.26수정)" xfId="4308"/>
    <cellStyle name="표_00년상반기현황분석(000512)-A.xls Chart 161_정이사님보고0907_인상시부담액(임,단협(1).04.26수정) 2" xfId="4938"/>
    <cellStyle name="표_00년상반기현황분석(000512)-A.xls Chart 161_정이사님보고0907_인상시부담액(임,단협(1).04.26수정)_다대포 해수욕장-내역서" xfId="4309"/>
    <cellStyle name="표_00년상반기현황분석(000512)-A.xls Chart 161_정이사님보고0907_인상시부담액(임,단협(1).04.26수정)_다대포 해수욕장-내역서 2" xfId="4939"/>
    <cellStyle name="표_00년상반기현황분석(000512)-A.xls Chart 161_정이사님보고0907_인상시부담액(임,단협(1).04.26수정)_조형물 내역서(원본)" xfId="4310"/>
    <cellStyle name="표_00년상반기현황분석(000512)-A.xls Chart 161_정이사님보고0907_인상시부담액(임,단협(1).04.26수정)_조형물 내역서(원본) 2" xfId="4940"/>
    <cellStyle name="표_00년상반기현황분석(000512)-A.xls Chart 161_정이사님보고0907_조형물 내역서(원본)" xfId="4311"/>
    <cellStyle name="표_00년상반기현황분석(000512)-A.xls Chart 161_정이사님보고0907_조형물 내역서(원본) 2" xfId="4941"/>
    <cellStyle name="표_00년상반기현황분석(000512)-A.xls Chart 161_조형물 내역서(원본)" xfId="4312"/>
    <cellStyle name="표_00년상반기현황분석(000512)-A.xls Chart 161_조형물 내역서(원본) 2" xfId="4942"/>
    <cellStyle name="표_01-토공_02-배수공" xfId="6413"/>
    <cellStyle name="표_01-토공_02-배수공_2차설계변경내역서(2007굴착)" xfId="6414"/>
    <cellStyle name="표_01-토공_02-배수공_Sheet1" xfId="6415"/>
    <cellStyle name="표_01-토공_02-배수공_갑지" xfId="6416"/>
    <cellStyle name="표_01-토공_02-배수공_관급자재" xfId="6417"/>
    <cellStyle name="표_01-토공_02-배수공_이설비" xfId="6418"/>
    <cellStyle name="표_01-토공_02-배수공_토공" xfId="6419"/>
    <cellStyle name="표_01-토공_02-배수공_토공_2차설계변경내역서(2007굴착)" xfId="6420"/>
    <cellStyle name="표_01-토공_02-배수공_토공_Sheet1" xfId="6421"/>
    <cellStyle name="표_01-토공_02-배수공_토공_갑지" xfId="6422"/>
    <cellStyle name="표_01-토공_02-배수공_토공_관급자재" xfId="6423"/>
    <cellStyle name="표_01-토공_02-배수공_토공_이설비" xfId="6424"/>
    <cellStyle name="표_02-배수공" xfId="6425"/>
    <cellStyle name="표_02-배수공_02-반중력식옹벽" xfId="6426"/>
    <cellStyle name="표_02-배수공_02-반중력식옹벽_2차설계변경내역서(2007굴착)" xfId="6427"/>
    <cellStyle name="표_02-배수공_02-반중력식옹벽_Sheet1" xfId="6428"/>
    <cellStyle name="표_02-배수공_02-반중력식옹벽_갑지" xfId="6429"/>
    <cellStyle name="표_02-배수공_02-반중력식옹벽_관급자재" xfId="6430"/>
    <cellStyle name="표_02-배수공_02-반중력식옹벽_이설비" xfId="6431"/>
    <cellStyle name="표_02-배수공_02-반중력식옹벽_토공" xfId="6432"/>
    <cellStyle name="표_02-배수공_02-반중력식옹벽_토공_2차설계변경내역서(2007굴착)" xfId="6433"/>
    <cellStyle name="표_02-배수공_02-반중력식옹벽_토공_Sheet1" xfId="6434"/>
    <cellStyle name="표_02-배수공_02-반중력식옹벽_토공_갑지" xfId="6435"/>
    <cellStyle name="표_02-배수공_02-반중력식옹벽_토공_관급자재" xfId="6436"/>
    <cellStyle name="표_02-배수공_02-반중력식옹벽_토공_이설비" xfId="6437"/>
    <cellStyle name="표_02-배수공_02-배수공" xfId="6438"/>
    <cellStyle name="표_02-배수공_02-배수공_2차설계변경내역서(2007굴착)" xfId="6439"/>
    <cellStyle name="표_02-배수공_02-배수공_Sheet1" xfId="6440"/>
    <cellStyle name="표_02-배수공_02-배수공_갑지" xfId="6441"/>
    <cellStyle name="표_02-배수공_02-배수공_관급자재" xfId="6442"/>
    <cellStyle name="표_02-배수공_02-배수공_이설비" xfId="6443"/>
    <cellStyle name="표_02-배수공_02-배수공_토공" xfId="6444"/>
    <cellStyle name="표_02-배수공_02-배수공_토공_2차설계변경내역서(2007굴착)" xfId="6445"/>
    <cellStyle name="표_02-배수공_02-배수공_토공_Sheet1" xfId="6446"/>
    <cellStyle name="표_02-배수공_02-배수공_토공_갑지" xfId="6447"/>
    <cellStyle name="표_02-배수공_02-배수공_토공_관급자재" xfId="6448"/>
    <cellStyle name="표_02-배수공_02-배수공_토공_이설비" xfId="6449"/>
    <cellStyle name="표_02-배수공_2차설계변경내역서(2007굴착)" xfId="6450"/>
    <cellStyle name="표_02-배수공_Sheet1" xfId="6451"/>
    <cellStyle name="표_02-배수공_갑지" xfId="6452"/>
    <cellStyle name="표_02-배수공_관급자재" xfId="6453"/>
    <cellStyle name="표_02-배수공_반중력" xfId="6454"/>
    <cellStyle name="표_02-배수공_반중력_2차설계변경내역서(2007굴착)" xfId="6455"/>
    <cellStyle name="표_02-배수공_반중력_Sheet1" xfId="6456"/>
    <cellStyle name="표_02-배수공_반중력_갑지" xfId="6457"/>
    <cellStyle name="표_02-배수공_반중력_관급자재" xfId="6458"/>
    <cellStyle name="표_02-배수공_반중력_이설비" xfId="6459"/>
    <cellStyle name="표_02-배수공_반중력_토공" xfId="6460"/>
    <cellStyle name="표_02-배수공_반중력_토공_2차설계변경내역서(2007굴착)" xfId="6461"/>
    <cellStyle name="표_02-배수공_반중력_토공_Sheet1" xfId="6462"/>
    <cellStyle name="표_02-배수공_반중력_토공_갑지" xfId="6463"/>
    <cellStyle name="표_02-배수공_반중력_토공_관급자재" xfId="6464"/>
    <cellStyle name="표_02-배수공_반중력_토공_이설비" xfId="6465"/>
    <cellStyle name="표_02-배수공_이설비" xfId="6466"/>
    <cellStyle name="표_02-배수공_토공" xfId="6467"/>
    <cellStyle name="표_02-배수공_토공_2차설계변경내역서(2007굴착)" xfId="6468"/>
    <cellStyle name="표_02-배수공_토공_Sheet1" xfId="6469"/>
    <cellStyle name="표_02-배수공_토공_갑지" xfId="6470"/>
    <cellStyle name="표_02-배수공_토공_관급자재" xfId="6471"/>
    <cellStyle name="표_02-배수공_토공_이설비" xfId="6472"/>
    <cellStyle name="표_04-포장공_02-배수공" xfId="6473"/>
    <cellStyle name="표_04-포장공_02-배수공_2차설계변경내역서(2007굴착)" xfId="6474"/>
    <cellStyle name="표_04-포장공_02-배수공_Sheet1" xfId="6475"/>
    <cellStyle name="표_04-포장공_02-배수공_갑지" xfId="6476"/>
    <cellStyle name="표_04-포장공_02-배수공_관급자재" xfId="6477"/>
    <cellStyle name="표_04-포장공_02-배수공_이설비" xfId="6478"/>
    <cellStyle name="표_04-포장공_02-배수공_토공" xfId="6479"/>
    <cellStyle name="표_04-포장공_02-배수공_토공_2차설계변경내역서(2007굴착)" xfId="6480"/>
    <cellStyle name="표_04-포장공_02-배수공_토공_Sheet1" xfId="6481"/>
    <cellStyle name="표_04-포장공_02-배수공_토공_갑지" xfId="6482"/>
    <cellStyle name="표_04-포장공_02-배수공_토공_관급자재" xfId="6483"/>
    <cellStyle name="표_04-포장공_02-배수공_토공_이설비" xfId="6484"/>
    <cellStyle name="표_06-부대공_02-배수공" xfId="6485"/>
    <cellStyle name="표_06-부대공_02-배수공_2차설계변경내역서(2007굴착)" xfId="6486"/>
    <cellStyle name="표_06-부대공_02-배수공_Sheet1" xfId="6487"/>
    <cellStyle name="표_06-부대공_02-배수공_갑지" xfId="6488"/>
    <cellStyle name="표_06-부대공_02-배수공_관급자재" xfId="6489"/>
    <cellStyle name="표_06-부대공_02-배수공_이설비" xfId="6490"/>
    <cellStyle name="표_06-부대공_02-배수공_토공" xfId="6491"/>
    <cellStyle name="표_06-부대공_02-배수공_토공_2차설계변경내역서(2007굴착)" xfId="6492"/>
    <cellStyle name="표_06-부대공_02-배수공_토공_Sheet1" xfId="6493"/>
    <cellStyle name="표_06-부대공_02-배수공_토공_갑지" xfId="6494"/>
    <cellStyle name="표_06-부대공_02-배수공_토공_관급자재" xfId="6495"/>
    <cellStyle name="표_06-부대공_02-배수공_토공_이설비" xfId="6496"/>
    <cellStyle name="표_2011_신호등_연간단가_내역서기성(2011.09.01)(최종11)" xfId="10874"/>
    <cellStyle name="표_2차 변경 - 임곡도급내역서" xfId="12288"/>
    <cellStyle name="표_3. 신광R~숭의R(배수공)" xfId="12289"/>
    <cellStyle name="표_IQS00년 상반기보고000520(소장)-1" xfId="4313"/>
    <cellStyle name="표_IQS00년 상반기보고000520(소장)-1 2" xfId="4943"/>
    <cellStyle name="표_IQS00년 상반기보고000520(소장)-1.xls Chart 156" xfId="4314"/>
    <cellStyle name="표_IQS00년 상반기보고000520(소장)-1.xls Chart 156 2" xfId="4944"/>
    <cellStyle name="표_IQS00년 상반기보고000520(소장)-1.xls Chart 156_Book1" xfId="4315"/>
    <cellStyle name="표_IQS00년 상반기보고000520(소장)-1.xls Chart 156_Book1 2" xfId="4945"/>
    <cellStyle name="표_IQS00년 상반기보고000520(소장)-1.xls Chart 156_Book1_다대포 해수욕장-내역서" xfId="4316"/>
    <cellStyle name="표_IQS00년 상반기보고000520(소장)-1.xls Chart 156_Book1_다대포 해수욕장-내역서 2" xfId="4946"/>
    <cellStyle name="표_IQS00년 상반기보고000520(소장)-1.xls Chart 156_Book1_조형물 내역서(원본)" xfId="4317"/>
    <cellStyle name="표_IQS00년 상반기보고000520(소장)-1.xls Chart 156_Book1_조형물 내역서(원본) 2" xfId="4947"/>
    <cellStyle name="표_IQS00년 상반기보고000520(소장)-1.xls Chart 156_다대포 해수욕장-내역서" xfId="4318"/>
    <cellStyle name="표_IQS00년 상반기보고000520(소장)-1.xls Chart 156_다대포 해수욕장-내역서 2" xfId="4948"/>
    <cellStyle name="표_IQS00년 상반기보고000520(소장)-1.xls Chart 156_사장님IQS개선회의(조립생기팀0816)" xfId="4319"/>
    <cellStyle name="표_IQS00년 상반기보고000520(소장)-1.xls Chart 156_사장님IQS개선회의(조립생기팀0816) 2" xfId="4949"/>
    <cellStyle name="표_IQS00년 상반기보고000520(소장)-1.xls Chart 156_사장님IQS개선회의(조립생기팀0816)_Book1" xfId="4320"/>
    <cellStyle name="표_IQS00년 상반기보고000520(소장)-1.xls Chart 156_사장님IQS개선회의(조립생기팀0816)_Book1 2" xfId="4950"/>
    <cellStyle name="표_IQS00년 상반기보고000520(소장)-1.xls Chart 156_사장님IQS개선회의(조립생기팀0816)_Book1_다대포 해수욕장-내역서" xfId="4321"/>
    <cellStyle name="표_IQS00년 상반기보고000520(소장)-1.xls Chart 156_사장님IQS개선회의(조립생기팀0816)_Book1_다대포 해수욕장-내역서 2" xfId="4951"/>
    <cellStyle name="표_IQS00년 상반기보고000520(소장)-1.xls Chart 156_사장님IQS개선회의(조립생기팀0816)_Book1_조형물 내역서(원본)" xfId="4322"/>
    <cellStyle name="표_IQS00년 상반기보고000520(소장)-1.xls Chart 156_사장님IQS개선회의(조립생기팀0816)_Book1_조형물 내역서(원본) 2" xfId="4952"/>
    <cellStyle name="표_IQS00년 상반기보고000520(소장)-1.xls Chart 156_사장님IQS개선회의(조립생기팀0816)_다대포 해수욕장-내역서" xfId="4323"/>
    <cellStyle name="표_IQS00년 상반기보고000520(소장)-1.xls Chart 156_사장님IQS개선회의(조립생기팀0816)_다대포 해수욕장-내역서 2" xfId="4953"/>
    <cellStyle name="표_IQS00년 상반기보고000520(소장)-1.xls Chart 156_사장님IQS개선회의(조립생기팀0816)_인상시부담액(임,단협(1).04.26수정)" xfId="4324"/>
    <cellStyle name="표_IQS00년 상반기보고000520(소장)-1.xls Chart 156_사장님IQS개선회의(조립생기팀0816)_인상시부담액(임,단협(1).04.26수정) 2" xfId="4954"/>
    <cellStyle name="표_IQS00년 상반기보고000520(소장)-1.xls Chart 156_사장님IQS개선회의(조립생기팀0816)_인상시부담액(임,단협(1).04.26수정)_다대포 해수욕장-내역서" xfId="4325"/>
    <cellStyle name="표_IQS00년 상반기보고000520(소장)-1.xls Chart 156_사장님IQS개선회의(조립생기팀0816)_인상시부담액(임,단협(1).04.26수정)_다대포 해수욕장-내역서 2" xfId="4955"/>
    <cellStyle name="표_IQS00년 상반기보고000520(소장)-1.xls Chart 156_사장님IQS개선회의(조립생기팀0816)_인상시부담액(임,단협(1).04.26수정)_조형물 내역서(원본)" xfId="4326"/>
    <cellStyle name="표_IQS00년 상반기보고000520(소장)-1.xls Chart 156_사장님IQS개선회의(조립생기팀0816)_인상시부담액(임,단협(1).04.26수정)_조형물 내역서(원본) 2" xfId="4956"/>
    <cellStyle name="표_IQS00년 상반기보고000520(소장)-1.xls Chart 156_사장님IQS개선회의(조립생기팀0816)_조형물 내역서(원본)" xfId="4327"/>
    <cellStyle name="표_IQS00년 상반기보고000520(소장)-1.xls Chart 156_사장님IQS개선회의(조립생기팀0816)_조형물 내역서(원본) 2" xfId="4957"/>
    <cellStyle name="표_IQS00년 상반기보고000520(소장)-1.xls Chart 156_인상시부담액(임,단협(1).04.26수정)" xfId="4328"/>
    <cellStyle name="표_IQS00년 상반기보고000520(소장)-1.xls Chart 156_인상시부담액(임,단협(1).04.26수정) 2" xfId="4958"/>
    <cellStyle name="표_IQS00년 상반기보고000520(소장)-1.xls Chart 156_인상시부담액(임,단협(1).04.26수정)_다대포 해수욕장-내역서" xfId="4329"/>
    <cellStyle name="표_IQS00년 상반기보고000520(소장)-1.xls Chart 156_인상시부담액(임,단협(1).04.26수정)_다대포 해수욕장-내역서 2" xfId="4959"/>
    <cellStyle name="표_IQS00년 상반기보고000520(소장)-1.xls Chart 156_인상시부담액(임,단협(1).04.26수정)_조형물 내역서(원본)" xfId="4330"/>
    <cellStyle name="표_IQS00년 상반기보고000520(소장)-1.xls Chart 156_인상시부담액(임,단협(1).04.26수정)_조형물 내역서(원본) 2" xfId="4960"/>
    <cellStyle name="표_IQS00년 상반기보고000520(소장)-1.xls Chart 156_정이사님보고0907" xfId="4331"/>
    <cellStyle name="표_IQS00년 상반기보고000520(소장)-1.xls Chart 156_정이사님보고0907 2" xfId="4961"/>
    <cellStyle name="표_IQS00년 상반기보고000520(소장)-1.xls Chart 156_정이사님보고0907_Book1" xfId="4332"/>
    <cellStyle name="표_IQS00년 상반기보고000520(소장)-1.xls Chart 156_정이사님보고0907_Book1 2" xfId="4962"/>
    <cellStyle name="표_IQS00년 상반기보고000520(소장)-1.xls Chart 156_정이사님보고0907_Book1_다대포 해수욕장-내역서" xfId="4333"/>
    <cellStyle name="표_IQS00년 상반기보고000520(소장)-1.xls Chart 156_정이사님보고0907_Book1_다대포 해수욕장-내역서 2" xfId="4963"/>
    <cellStyle name="표_IQS00년 상반기보고000520(소장)-1.xls Chart 156_정이사님보고0907_Book1_조형물 내역서(원본)" xfId="4334"/>
    <cellStyle name="표_IQS00년 상반기보고000520(소장)-1.xls Chart 156_정이사님보고0907_Book1_조형물 내역서(원본) 2" xfId="4964"/>
    <cellStyle name="표_IQS00년 상반기보고000520(소장)-1.xls Chart 156_정이사님보고0907_다대포 해수욕장-내역서" xfId="4335"/>
    <cellStyle name="표_IQS00년 상반기보고000520(소장)-1.xls Chart 156_정이사님보고0907_다대포 해수욕장-내역서 2" xfId="4965"/>
    <cellStyle name="표_IQS00년 상반기보고000520(소장)-1.xls Chart 156_정이사님보고0907_인상시부담액(임,단협(1).04.26수정)" xfId="4336"/>
    <cellStyle name="표_IQS00년 상반기보고000520(소장)-1.xls Chart 156_정이사님보고0907_인상시부담액(임,단협(1).04.26수정) 2" xfId="4966"/>
    <cellStyle name="표_IQS00년 상반기보고000520(소장)-1.xls Chart 156_정이사님보고0907_인상시부담액(임,단협(1).04.26수정)_다대포 해수욕장-내역서" xfId="4337"/>
    <cellStyle name="표_IQS00년 상반기보고000520(소장)-1.xls Chart 156_정이사님보고0907_인상시부담액(임,단협(1).04.26수정)_다대포 해수욕장-내역서 2" xfId="4967"/>
    <cellStyle name="표_IQS00년 상반기보고000520(소장)-1.xls Chart 156_정이사님보고0907_인상시부담액(임,단협(1).04.26수정)_조형물 내역서(원본)" xfId="4338"/>
    <cellStyle name="표_IQS00년 상반기보고000520(소장)-1.xls Chart 156_정이사님보고0907_인상시부담액(임,단협(1).04.26수정)_조형물 내역서(원본) 2" xfId="4968"/>
    <cellStyle name="표_IQS00년 상반기보고000520(소장)-1.xls Chart 156_정이사님보고0907_조형물 내역서(원본)" xfId="4339"/>
    <cellStyle name="표_IQS00년 상반기보고000520(소장)-1.xls Chart 156_정이사님보고0907_조형물 내역서(원본) 2" xfId="4969"/>
    <cellStyle name="표_IQS00년 상반기보고000520(소장)-1.xls Chart 156_조형물 내역서(원본)" xfId="4340"/>
    <cellStyle name="표_IQS00년 상반기보고000520(소장)-1.xls Chart 156_조형물 내역서(원본) 2" xfId="4970"/>
    <cellStyle name="표_IQS00년 상반기보고000520(소장)-1.xls Chart 157" xfId="4341"/>
    <cellStyle name="표_IQS00년 상반기보고000520(소장)-1.xls Chart 157 2" xfId="4971"/>
    <cellStyle name="표_IQS00년 상반기보고000520(소장)-1.xls Chart 157_Book1" xfId="4342"/>
    <cellStyle name="표_IQS00년 상반기보고000520(소장)-1.xls Chart 157_Book1 2" xfId="4972"/>
    <cellStyle name="표_IQS00년 상반기보고000520(소장)-1.xls Chart 157_Book1_다대포 해수욕장-내역서" xfId="4343"/>
    <cellStyle name="표_IQS00년 상반기보고000520(소장)-1.xls Chart 157_Book1_다대포 해수욕장-내역서 2" xfId="4973"/>
    <cellStyle name="표_IQS00년 상반기보고000520(소장)-1.xls Chart 157_Book1_조형물 내역서(원본)" xfId="4344"/>
    <cellStyle name="표_IQS00년 상반기보고000520(소장)-1.xls Chart 157_Book1_조형물 내역서(원본) 2" xfId="4974"/>
    <cellStyle name="표_IQS00년 상반기보고000520(소장)-1.xls Chart 157_다대포 해수욕장-내역서" xfId="4345"/>
    <cellStyle name="표_IQS00년 상반기보고000520(소장)-1.xls Chart 157_다대포 해수욕장-내역서 2" xfId="4975"/>
    <cellStyle name="표_IQS00년 상반기보고000520(소장)-1.xls Chart 157_사장님IQS개선회의(조립생기팀0816)" xfId="4346"/>
    <cellStyle name="표_IQS00년 상반기보고000520(소장)-1.xls Chart 157_사장님IQS개선회의(조립생기팀0816) 2" xfId="4976"/>
    <cellStyle name="표_IQS00년 상반기보고000520(소장)-1.xls Chart 157_사장님IQS개선회의(조립생기팀0816)_Book1" xfId="4347"/>
    <cellStyle name="표_IQS00년 상반기보고000520(소장)-1.xls Chart 157_사장님IQS개선회의(조립생기팀0816)_Book1 2" xfId="4977"/>
    <cellStyle name="표_IQS00년 상반기보고000520(소장)-1.xls Chart 157_사장님IQS개선회의(조립생기팀0816)_Book1_다대포 해수욕장-내역서" xfId="4348"/>
    <cellStyle name="표_IQS00년 상반기보고000520(소장)-1.xls Chart 157_사장님IQS개선회의(조립생기팀0816)_Book1_다대포 해수욕장-내역서 2" xfId="4978"/>
    <cellStyle name="표_IQS00년 상반기보고000520(소장)-1.xls Chart 157_사장님IQS개선회의(조립생기팀0816)_Book1_조형물 내역서(원본)" xfId="4349"/>
    <cellStyle name="표_IQS00년 상반기보고000520(소장)-1.xls Chart 157_사장님IQS개선회의(조립생기팀0816)_Book1_조형물 내역서(원본) 2" xfId="4979"/>
    <cellStyle name="표_IQS00년 상반기보고000520(소장)-1.xls Chart 157_사장님IQS개선회의(조립생기팀0816)_다대포 해수욕장-내역서" xfId="4350"/>
    <cellStyle name="표_IQS00년 상반기보고000520(소장)-1.xls Chart 157_사장님IQS개선회의(조립생기팀0816)_다대포 해수욕장-내역서 2" xfId="4980"/>
    <cellStyle name="표_IQS00년 상반기보고000520(소장)-1.xls Chart 157_사장님IQS개선회의(조립생기팀0816)_인상시부담액(임,단협(1).04.26수정)" xfId="4351"/>
    <cellStyle name="표_IQS00년 상반기보고000520(소장)-1.xls Chart 157_사장님IQS개선회의(조립생기팀0816)_인상시부담액(임,단협(1).04.26수정) 2" xfId="4981"/>
    <cellStyle name="표_IQS00년 상반기보고000520(소장)-1.xls Chart 157_사장님IQS개선회의(조립생기팀0816)_인상시부담액(임,단협(1).04.26수정)_다대포 해수욕장-내역서" xfId="4352"/>
    <cellStyle name="표_IQS00년 상반기보고000520(소장)-1.xls Chart 157_사장님IQS개선회의(조립생기팀0816)_인상시부담액(임,단협(1).04.26수정)_다대포 해수욕장-내역서 2" xfId="4982"/>
    <cellStyle name="표_IQS00년 상반기보고000520(소장)-1.xls Chart 157_사장님IQS개선회의(조립생기팀0816)_인상시부담액(임,단협(1).04.26수정)_조형물 내역서(원본)" xfId="4353"/>
    <cellStyle name="표_IQS00년 상반기보고000520(소장)-1.xls Chart 157_사장님IQS개선회의(조립생기팀0816)_인상시부담액(임,단협(1).04.26수정)_조형물 내역서(원본) 2" xfId="4983"/>
    <cellStyle name="표_IQS00년 상반기보고000520(소장)-1.xls Chart 157_사장님IQS개선회의(조립생기팀0816)_조형물 내역서(원본)" xfId="4354"/>
    <cellStyle name="표_IQS00년 상반기보고000520(소장)-1.xls Chart 157_사장님IQS개선회의(조립생기팀0816)_조형물 내역서(원본) 2" xfId="4984"/>
    <cellStyle name="표_IQS00년 상반기보고000520(소장)-1.xls Chart 157_인상시부담액(임,단협(1).04.26수정)" xfId="4355"/>
    <cellStyle name="표_IQS00년 상반기보고000520(소장)-1.xls Chart 157_인상시부담액(임,단협(1).04.26수정) 2" xfId="4985"/>
    <cellStyle name="표_IQS00년 상반기보고000520(소장)-1.xls Chart 157_인상시부담액(임,단협(1).04.26수정)_다대포 해수욕장-내역서" xfId="4356"/>
    <cellStyle name="표_IQS00년 상반기보고000520(소장)-1.xls Chart 157_인상시부담액(임,단협(1).04.26수정)_다대포 해수욕장-내역서 2" xfId="4986"/>
    <cellStyle name="표_IQS00년 상반기보고000520(소장)-1.xls Chart 157_인상시부담액(임,단협(1).04.26수정)_조형물 내역서(원본)" xfId="4357"/>
    <cellStyle name="표_IQS00년 상반기보고000520(소장)-1.xls Chart 157_인상시부담액(임,단협(1).04.26수정)_조형물 내역서(원본) 2" xfId="4987"/>
    <cellStyle name="표_IQS00년 상반기보고000520(소장)-1.xls Chart 157_정이사님보고0907" xfId="4358"/>
    <cellStyle name="표_IQS00년 상반기보고000520(소장)-1.xls Chart 157_정이사님보고0907 2" xfId="4988"/>
    <cellStyle name="표_IQS00년 상반기보고000520(소장)-1.xls Chart 157_정이사님보고0907_Book1" xfId="4359"/>
    <cellStyle name="표_IQS00년 상반기보고000520(소장)-1.xls Chart 157_정이사님보고0907_Book1 2" xfId="4989"/>
    <cellStyle name="표_IQS00년 상반기보고000520(소장)-1.xls Chart 157_정이사님보고0907_Book1_다대포 해수욕장-내역서" xfId="4360"/>
    <cellStyle name="표_IQS00년 상반기보고000520(소장)-1.xls Chart 157_정이사님보고0907_Book1_다대포 해수욕장-내역서 2" xfId="4990"/>
    <cellStyle name="표_IQS00년 상반기보고000520(소장)-1.xls Chart 157_정이사님보고0907_Book1_조형물 내역서(원본)" xfId="4361"/>
    <cellStyle name="표_IQS00년 상반기보고000520(소장)-1.xls Chart 157_정이사님보고0907_Book1_조형물 내역서(원본) 2" xfId="4991"/>
    <cellStyle name="표_IQS00년 상반기보고000520(소장)-1.xls Chart 157_정이사님보고0907_다대포 해수욕장-내역서" xfId="4362"/>
    <cellStyle name="표_IQS00년 상반기보고000520(소장)-1.xls Chart 157_정이사님보고0907_다대포 해수욕장-내역서 2" xfId="4992"/>
    <cellStyle name="표_IQS00년 상반기보고000520(소장)-1.xls Chart 157_정이사님보고0907_인상시부담액(임,단협(1).04.26수정)" xfId="4363"/>
    <cellStyle name="표_IQS00년 상반기보고000520(소장)-1.xls Chart 157_정이사님보고0907_인상시부담액(임,단협(1).04.26수정) 2" xfId="4993"/>
    <cellStyle name="표_IQS00년 상반기보고000520(소장)-1.xls Chart 157_정이사님보고0907_인상시부담액(임,단협(1).04.26수정)_다대포 해수욕장-내역서" xfId="4364"/>
    <cellStyle name="표_IQS00년 상반기보고000520(소장)-1.xls Chart 157_정이사님보고0907_인상시부담액(임,단협(1).04.26수정)_다대포 해수욕장-내역서 2" xfId="4994"/>
    <cellStyle name="표_IQS00년 상반기보고000520(소장)-1.xls Chart 157_정이사님보고0907_인상시부담액(임,단협(1).04.26수정)_조형물 내역서(원본)" xfId="4365"/>
    <cellStyle name="표_IQS00년 상반기보고000520(소장)-1.xls Chart 157_정이사님보고0907_인상시부담액(임,단협(1).04.26수정)_조형물 내역서(원본) 2" xfId="4995"/>
    <cellStyle name="표_IQS00년 상반기보고000520(소장)-1.xls Chart 157_정이사님보고0907_조형물 내역서(원본)" xfId="4366"/>
    <cellStyle name="표_IQS00년 상반기보고000520(소장)-1.xls Chart 157_정이사님보고0907_조형물 내역서(원본) 2" xfId="4996"/>
    <cellStyle name="표_IQS00년 상반기보고000520(소장)-1.xls Chart 157_조형물 내역서(원본)" xfId="4367"/>
    <cellStyle name="표_IQS00년 상반기보고000520(소장)-1.xls Chart 157_조형물 내역서(원본) 2" xfId="4997"/>
    <cellStyle name="표_IQS00년 상반기보고000520(소장)-1.xls Chart 158" xfId="4368"/>
    <cellStyle name="표_IQS00년 상반기보고000520(소장)-1.xls Chart 158 2" xfId="4998"/>
    <cellStyle name="표_IQS00년 상반기보고000520(소장)-1.xls Chart 158_Book1" xfId="4369"/>
    <cellStyle name="표_IQS00년 상반기보고000520(소장)-1.xls Chart 158_Book1 2" xfId="4999"/>
    <cellStyle name="표_IQS00년 상반기보고000520(소장)-1.xls Chart 158_Book1_다대포 해수욕장-내역서" xfId="4370"/>
    <cellStyle name="표_IQS00년 상반기보고000520(소장)-1.xls Chart 158_Book1_다대포 해수욕장-내역서 2" xfId="5000"/>
    <cellStyle name="표_IQS00년 상반기보고000520(소장)-1.xls Chart 158_Book1_조형물 내역서(원본)" xfId="4371"/>
    <cellStyle name="표_IQS00년 상반기보고000520(소장)-1.xls Chart 158_Book1_조형물 내역서(원본) 2" xfId="5001"/>
    <cellStyle name="표_IQS00년 상반기보고000520(소장)-1.xls Chart 158_다대포 해수욕장-내역서" xfId="4372"/>
    <cellStyle name="표_IQS00년 상반기보고000520(소장)-1.xls Chart 158_다대포 해수욕장-내역서 2" xfId="5002"/>
    <cellStyle name="표_IQS00년 상반기보고000520(소장)-1.xls Chart 158_사장님IQS개선회의(조립생기팀0816)" xfId="4373"/>
    <cellStyle name="표_IQS00년 상반기보고000520(소장)-1.xls Chart 158_사장님IQS개선회의(조립생기팀0816) 2" xfId="5003"/>
    <cellStyle name="표_IQS00년 상반기보고000520(소장)-1.xls Chart 158_사장님IQS개선회의(조립생기팀0816)_Book1" xfId="4374"/>
    <cellStyle name="표_IQS00년 상반기보고000520(소장)-1.xls Chart 158_사장님IQS개선회의(조립생기팀0816)_Book1 2" xfId="5004"/>
    <cellStyle name="표_IQS00년 상반기보고000520(소장)-1.xls Chart 158_사장님IQS개선회의(조립생기팀0816)_Book1_다대포 해수욕장-내역서" xfId="4375"/>
    <cellStyle name="표_IQS00년 상반기보고000520(소장)-1.xls Chart 158_사장님IQS개선회의(조립생기팀0816)_Book1_다대포 해수욕장-내역서 2" xfId="5005"/>
    <cellStyle name="표_IQS00년 상반기보고000520(소장)-1.xls Chart 158_사장님IQS개선회의(조립생기팀0816)_Book1_조형물 내역서(원본)" xfId="4376"/>
    <cellStyle name="표_IQS00년 상반기보고000520(소장)-1.xls Chart 158_사장님IQS개선회의(조립생기팀0816)_Book1_조형물 내역서(원본) 2" xfId="5006"/>
    <cellStyle name="표_IQS00년 상반기보고000520(소장)-1.xls Chart 158_사장님IQS개선회의(조립생기팀0816)_다대포 해수욕장-내역서" xfId="4377"/>
    <cellStyle name="표_IQS00년 상반기보고000520(소장)-1.xls Chart 158_사장님IQS개선회의(조립생기팀0816)_다대포 해수욕장-내역서 2" xfId="5007"/>
    <cellStyle name="표_IQS00년 상반기보고000520(소장)-1.xls Chart 158_사장님IQS개선회의(조립생기팀0816)_인상시부담액(임,단협(1).04.26수정)" xfId="4378"/>
    <cellStyle name="표_IQS00년 상반기보고000520(소장)-1.xls Chart 158_사장님IQS개선회의(조립생기팀0816)_인상시부담액(임,단협(1).04.26수정) 2" xfId="5008"/>
    <cellStyle name="표_IQS00년 상반기보고000520(소장)-1.xls Chart 158_사장님IQS개선회의(조립생기팀0816)_인상시부담액(임,단협(1).04.26수정)_다대포 해수욕장-내역서" xfId="4379"/>
    <cellStyle name="표_IQS00년 상반기보고000520(소장)-1.xls Chart 158_사장님IQS개선회의(조립생기팀0816)_인상시부담액(임,단협(1).04.26수정)_다대포 해수욕장-내역서 2" xfId="5009"/>
    <cellStyle name="표_IQS00년 상반기보고000520(소장)-1.xls Chart 158_사장님IQS개선회의(조립생기팀0816)_인상시부담액(임,단협(1).04.26수정)_조형물 내역서(원본)" xfId="4380"/>
    <cellStyle name="표_IQS00년 상반기보고000520(소장)-1.xls Chart 158_사장님IQS개선회의(조립생기팀0816)_인상시부담액(임,단협(1).04.26수정)_조형물 내역서(원본) 2" xfId="5010"/>
    <cellStyle name="표_IQS00년 상반기보고000520(소장)-1.xls Chart 158_사장님IQS개선회의(조립생기팀0816)_조형물 내역서(원본)" xfId="4381"/>
    <cellStyle name="표_IQS00년 상반기보고000520(소장)-1.xls Chart 158_사장님IQS개선회의(조립생기팀0816)_조형물 내역서(원본) 2" xfId="5011"/>
    <cellStyle name="표_IQS00년 상반기보고000520(소장)-1.xls Chart 158_인상시부담액(임,단협(1).04.26수정)" xfId="4382"/>
    <cellStyle name="표_IQS00년 상반기보고000520(소장)-1.xls Chart 158_인상시부담액(임,단협(1).04.26수정) 2" xfId="5012"/>
    <cellStyle name="표_IQS00년 상반기보고000520(소장)-1.xls Chart 158_인상시부담액(임,단협(1).04.26수정)_다대포 해수욕장-내역서" xfId="4383"/>
    <cellStyle name="표_IQS00년 상반기보고000520(소장)-1.xls Chart 158_인상시부담액(임,단협(1).04.26수정)_다대포 해수욕장-내역서 2" xfId="5013"/>
    <cellStyle name="표_IQS00년 상반기보고000520(소장)-1.xls Chart 158_인상시부담액(임,단협(1).04.26수정)_조형물 내역서(원본)" xfId="4384"/>
    <cellStyle name="표_IQS00년 상반기보고000520(소장)-1.xls Chart 158_인상시부담액(임,단협(1).04.26수정)_조형물 내역서(원본) 2" xfId="5014"/>
    <cellStyle name="표_IQS00년 상반기보고000520(소장)-1.xls Chart 158_정이사님보고0907" xfId="4385"/>
    <cellStyle name="표_IQS00년 상반기보고000520(소장)-1.xls Chart 158_정이사님보고0907 2" xfId="5015"/>
    <cellStyle name="표_IQS00년 상반기보고000520(소장)-1.xls Chart 158_정이사님보고0907_Book1" xfId="4386"/>
    <cellStyle name="표_IQS00년 상반기보고000520(소장)-1.xls Chart 158_정이사님보고0907_Book1 2" xfId="5016"/>
    <cellStyle name="표_IQS00년 상반기보고000520(소장)-1.xls Chart 158_정이사님보고0907_Book1_다대포 해수욕장-내역서" xfId="4387"/>
    <cellStyle name="표_IQS00년 상반기보고000520(소장)-1.xls Chart 158_정이사님보고0907_Book1_다대포 해수욕장-내역서 2" xfId="5017"/>
    <cellStyle name="표_IQS00년 상반기보고000520(소장)-1.xls Chart 158_정이사님보고0907_Book1_조형물 내역서(원본)" xfId="4388"/>
    <cellStyle name="표_IQS00년 상반기보고000520(소장)-1.xls Chart 158_정이사님보고0907_Book1_조형물 내역서(원본) 2" xfId="5018"/>
    <cellStyle name="표_IQS00년 상반기보고000520(소장)-1.xls Chart 158_정이사님보고0907_다대포 해수욕장-내역서" xfId="4389"/>
    <cellStyle name="표_IQS00년 상반기보고000520(소장)-1.xls Chart 158_정이사님보고0907_다대포 해수욕장-내역서 2" xfId="5019"/>
    <cellStyle name="표_IQS00년 상반기보고000520(소장)-1.xls Chart 158_정이사님보고0907_인상시부담액(임,단협(1).04.26수정)" xfId="4390"/>
    <cellStyle name="표_IQS00년 상반기보고000520(소장)-1.xls Chart 158_정이사님보고0907_인상시부담액(임,단협(1).04.26수정) 2" xfId="5020"/>
    <cellStyle name="표_IQS00년 상반기보고000520(소장)-1.xls Chart 158_정이사님보고0907_인상시부담액(임,단협(1).04.26수정)_다대포 해수욕장-내역서" xfId="4391"/>
    <cellStyle name="표_IQS00년 상반기보고000520(소장)-1.xls Chart 158_정이사님보고0907_인상시부담액(임,단협(1).04.26수정)_다대포 해수욕장-내역서 2" xfId="5021"/>
    <cellStyle name="표_IQS00년 상반기보고000520(소장)-1.xls Chart 158_정이사님보고0907_인상시부담액(임,단협(1).04.26수정)_조형물 내역서(원본)" xfId="4392"/>
    <cellStyle name="표_IQS00년 상반기보고000520(소장)-1.xls Chart 158_정이사님보고0907_인상시부담액(임,단협(1).04.26수정)_조형물 내역서(원본) 2" xfId="5022"/>
    <cellStyle name="표_IQS00년 상반기보고000520(소장)-1.xls Chart 158_정이사님보고0907_조형물 내역서(원본)" xfId="4393"/>
    <cellStyle name="표_IQS00년 상반기보고000520(소장)-1.xls Chart 158_정이사님보고0907_조형물 내역서(원본) 2" xfId="5023"/>
    <cellStyle name="표_IQS00년 상반기보고000520(소장)-1.xls Chart 158_조형물 내역서(원본)" xfId="4394"/>
    <cellStyle name="표_IQS00년 상반기보고000520(소장)-1.xls Chart 158_조형물 내역서(원본) 2" xfId="5024"/>
    <cellStyle name="표_IQS00년 상반기보고000520(소장)-1.xls Chart 160" xfId="4395"/>
    <cellStyle name="표_IQS00년 상반기보고000520(소장)-1.xls Chart 160 2" xfId="5025"/>
    <cellStyle name="표_IQS00년 상반기보고000520(소장)-1.xls Chart 160_Book1" xfId="4396"/>
    <cellStyle name="표_IQS00년 상반기보고000520(소장)-1.xls Chart 160_Book1 2" xfId="5026"/>
    <cellStyle name="표_IQS00년 상반기보고000520(소장)-1.xls Chart 160_Book1_다대포 해수욕장-내역서" xfId="4397"/>
    <cellStyle name="표_IQS00년 상반기보고000520(소장)-1.xls Chart 160_Book1_다대포 해수욕장-내역서 2" xfId="5027"/>
    <cellStyle name="표_IQS00년 상반기보고000520(소장)-1.xls Chart 160_Book1_조형물 내역서(원본)" xfId="4398"/>
    <cellStyle name="표_IQS00년 상반기보고000520(소장)-1.xls Chart 160_Book1_조형물 내역서(원본) 2" xfId="5028"/>
    <cellStyle name="표_IQS00년 상반기보고000520(소장)-1.xls Chart 160_다대포 해수욕장-내역서" xfId="4399"/>
    <cellStyle name="표_IQS00년 상반기보고000520(소장)-1.xls Chart 160_다대포 해수욕장-내역서 2" xfId="5029"/>
    <cellStyle name="표_IQS00년 상반기보고000520(소장)-1.xls Chart 160_사장님IQS개선회의(조립생기팀0816)" xfId="4400"/>
    <cellStyle name="표_IQS00년 상반기보고000520(소장)-1.xls Chart 160_사장님IQS개선회의(조립생기팀0816) 2" xfId="5030"/>
    <cellStyle name="표_IQS00년 상반기보고000520(소장)-1.xls Chart 160_사장님IQS개선회의(조립생기팀0816)_Book1" xfId="4401"/>
    <cellStyle name="표_IQS00년 상반기보고000520(소장)-1.xls Chart 160_사장님IQS개선회의(조립생기팀0816)_Book1 2" xfId="5031"/>
    <cellStyle name="표_IQS00년 상반기보고000520(소장)-1.xls Chart 160_사장님IQS개선회의(조립생기팀0816)_Book1_다대포 해수욕장-내역서" xfId="4402"/>
    <cellStyle name="표_IQS00년 상반기보고000520(소장)-1.xls Chart 160_사장님IQS개선회의(조립생기팀0816)_Book1_다대포 해수욕장-내역서 2" xfId="5032"/>
    <cellStyle name="표_IQS00년 상반기보고000520(소장)-1.xls Chart 160_사장님IQS개선회의(조립생기팀0816)_Book1_조형물 내역서(원본)" xfId="4403"/>
    <cellStyle name="표_IQS00년 상반기보고000520(소장)-1.xls Chart 160_사장님IQS개선회의(조립생기팀0816)_Book1_조형물 내역서(원본) 2" xfId="5033"/>
    <cellStyle name="표_IQS00년 상반기보고000520(소장)-1.xls Chart 160_사장님IQS개선회의(조립생기팀0816)_다대포 해수욕장-내역서" xfId="4404"/>
    <cellStyle name="표_IQS00년 상반기보고000520(소장)-1.xls Chart 160_사장님IQS개선회의(조립생기팀0816)_다대포 해수욕장-내역서 2" xfId="5034"/>
    <cellStyle name="표_IQS00년 상반기보고000520(소장)-1.xls Chart 160_사장님IQS개선회의(조립생기팀0816)_인상시부담액(임,단협(1).04.26수정)" xfId="4405"/>
    <cellStyle name="표_IQS00년 상반기보고000520(소장)-1.xls Chart 160_사장님IQS개선회의(조립생기팀0816)_인상시부담액(임,단협(1).04.26수정) 2" xfId="5035"/>
    <cellStyle name="표_IQS00년 상반기보고000520(소장)-1.xls Chart 160_사장님IQS개선회의(조립생기팀0816)_인상시부담액(임,단협(1).04.26수정)_다대포 해수욕장-내역서" xfId="4406"/>
    <cellStyle name="표_IQS00년 상반기보고000520(소장)-1.xls Chart 160_사장님IQS개선회의(조립생기팀0816)_인상시부담액(임,단협(1).04.26수정)_다대포 해수욕장-내역서 2" xfId="5036"/>
    <cellStyle name="표_IQS00년 상반기보고000520(소장)-1.xls Chart 160_사장님IQS개선회의(조립생기팀0816)_인상시부담액(임,단협(1).04.26수정)_조형물 내역서(원본)" xfId="4407"/>
    <cellStyle name="표_IQS00년 상반기보고000520(소장)-1.xls Chart 160_사장님IQS개선회의(조립생기팀0816)_인상시부담액(임,단협(1).04.26수정)_조형물 내역서(원본) 2" xfId="5037"/>
    <cellStyle name="표_IQS00년 상반기보고000520(소장)-1.xls Chart 160_사장님IQS개선회의(조립생기팀0816)_조형물 내역서(원본)" xfId="4408"/>
    <cellStyle name="표_IQS00년 상반기보고000520(소장)-1.xls Chart 160_사장님IQS개선회의(조립생기팀0816)_조형물 내역서(원본) 2" xfId="5038"/>
    <cellStyle name="표_IQS00년 상반기보고000520(소장)-1.xls Chart 160_인상시부담액(임,단협(1).04.26수정)" xfId="4409"/>
    <cellStyle name="표_IQS00년 상반기보고000520(소장)-1.xls Chart 160_인상시부담액(임,단협(1).04.26수정) 2" xfId="5039"/>
    <cellStyle name="표_IQS00년 상반기보고000520(소장)-1.xls Chart 160_인상시부담액(임,단협(1).04.26수정)_다대포 해수욕장-내역서" xfId="4410"/>
    <cellStyle name="표_IQS00년 상반기보고000520(소장)-1.xls Chart 160_인상시부담액(임,단협(1).04.26수정)_다대포 해수욕장-내역서 2" xfId="5040"/>
    <cellStyle name="표_IQS00년 상반기보고000520(소장)-1.xls Chart 160_인상시부담액(임,단협(1).04.26수정)_조형물 내역서(원본)" xfId="4411"/>
    <cellStyle name="표_IQS00년 상반기보고000520(소장)-1.xls Chart 160_인상시부담액(임,단협(1).04.26수정)_조형물 내역서(원본) 2" xfId="5041"/>
    <cellStyle name="표_IQS00년 상반기보고000520(소장)-1.xls Chart 160_정이사님보고0907" xfId="4412"/>
    <cellStyle name="표_IQS00년 상반기보고000520(소장)-1.xls Chart 160_정이사님보고0907 2" xfId="5042"/>
    <cellStyle name="표_IQS00년 상반기보고000520(소장)-1.xls Chart 160_정이사님보고0907_Book1" xfId="4413"/>
    <cellStyle name="표_IQS00년 상반기보고000520(소장)-1.xls Chart 160_정이사님보고0907_Book1 2" xfId="5043"/>
    <cellStyle name="표_IQS00년 상반기보고000520(소장)-1.xls Chart 160_정이사님보고0907_Book1_다대포 해수욕장-내역서" xfId="4414"/>
    <cellStyle name="표_IQS00년 상반기보고000520(소장)-1.xls Chart 160_정이사님보고0907_Book1_다대포 해수욕장-내역서 2" xfId="5044"/>
    <cellStyle name="표_IQS00년 상반기보고000520(소장)-1.xls Chart 160_정이사님보고0907_Book1_조형물 내역서(원본)" xfId="4415"/>
    <cellStyle name="표_IQS00년 상반기보고000520(소장)-1.xls Chart 160_정이사님보고0907_Book1_조형물 내역서(원본) 2" xfId="5045"/>
    <cellStyle name="표_IQS00년 상반기보고000520(소장)-1.xls Chart 160_정이사님보고0907_다대포 해수욕장-내역서" xfId="4416"/>
    <cellStyle name="표_IQS00년 상반기보고000520(소장)-1.xls Chart 160_정이사님보고0907_다대포 해수욕장-내역서 2" xfId="5046"/>
    <cellStyle name="표_IQS00년 상반기보고000520(소장)-1.xls Chart 160_정이사님보고0907_인상시부담액(임,단협(1).04.26수정)" xfId="4417"/>
    <cellStyle name="표_IQS00년 상반기보고000520(소장)-1.xls Chart 160_정이사님보고0907_인상시부담액(임,단협(1).04.26수정) 2" xfId="5047"/>
    <cellStyle name="표_IQS00년 상반기보고000520(소장)-1.xls Chart 160_정이사님보고0907_인상시부담액(임,단협(1).04.26수정)_다대포 해수욕장-내역서" xfId="4418"/>
    <cellStyle name="표_IQS00년 상반기보고000520(소장)-1.xls Chart 160_정이사님보고0907_인상시부담액(임,단협(1).04.26수정)_다대포 해수욕장-내역서 2" xfId="5048"/>
    <cellStyle name="표_IQS00년 상반기보고000520(소장)-1.xls Chart 160_정이사님보고0907_인상시부담액(임,단협(1).04.26수정)_조형물 내역서(원본)" xfId="4419"/>
    <cellStyle name="표_IQS00년 상반기보고000520(소장)-1.xls Chart 160_정이사님보고0907_인상시부담액(임,단협(1).04.26수정)_조형물 내역서(원본) 2" xfId="5049"/>
    <cellStyle name="표_IQS00년 상반기보고000520(소장)-1.xls Chart 160_정이사님보고0907_조형물 내역서(원본)" xfId="4420"/>
    <cellStyle name="표_IQS00년 상반기보고000520(소장)-1.xls Chart 160_정이사님보고0907_조형물 내역서(원본) 2" xfId="5050"/>
    <cellStyle name="표_IQS00년 상반기보고000520(소장)-1.xls Chart 160_조형물 내역서(원본)" xfId="4421"/>
    <cellStyle name="표_IQS00년 상반기보고000520(소장)-1.xls Chart 160_조형물 내역서(원본) 2" xfId="5051"/>
    <cellStyle name="표_IQS00년 상반기보고000520(소장)-1.xls Chart 161" xfId="4422"/>
    <cellStyle name="표_IQS00년 상반기보고000520(소장)-1.xls Chart 161 2" xfId="5052"/>
    <cellStyle name="표_IQS00년 상반기보고000520(소장)-1.xls Chart 161_Book1" xfId="4423"/>
    <cellStyle name="표_IQS00년 상반기보고000520(소장)-1.xls Chart 161_Book1 2" xfId="5053"/>
    <cellStyle name="표_IQS00년 상반기보고000520(소장)-1.xls Chart 161_Book1_다대포 해수욕장-내역서" xfId="4424"/>
    <cellStyle name="표_IQS00년 상반기보고000520(소장)-1.xls Chart 161_Book1_다대포 해수욕장-내역서 2" xfId="5054"/>
    <cellStyle name="표_IQS00년 상반기보고000520(소장)-1.xls Chart 161_Book1_조형물 내역서(원본)" xfId="4425"/>
    <cellStyle name="표_IQS00년 상반기보고000520(소장)-1.xls Chart 161_Book1_조형물 내역서(원본) 2" xfId="5055"/>
    <cellStyle name="표_IQS00년 상반기보고000520(소장)-1.xls Chart 161_다대포 해수욕장-내역서" xfId="4426"/>
    <cellStyle name="표_IQS00년 상반기보고000520(소장)-1.xls Chart 161_다대포 해수욕장-내역서 2" xfId="5056"/>
    <cellStyle name="표_IQS00년 상반기보고000520(소장)-1.xls Chart 161_사장님IQS개선회의(조립생기팀0816)" xfId="4427"/>
    <cellStyle name="표_IQS00년 상반기보고000520(소장)-1.xls Chart 161_사장님IQS개선회의(조립생기팀0816) 2" xfId="5057"/>
    <cellStyle name="표_IQS00년 상반기보고000520(소장)-1.xls Chart 161_사장님IQS개선회의(조립생기팀0816)_Book1" xfId="4428"/>
    <cellStyle name="표_IQS00년 상반기보고000520(소장)-1.xls Chart 161_사장님IQS개선회의(조립생기팀0816)_Book1 2" xfId="5058"/>
    <cellStyle name="표_IQS00년 상반기보고000520(소장)-1.xls Chart 161_사장님IQS개선회의(조립생기팀0816)_Book1_다대포 해수욕장-내역서" xfId="4429"/>
    <cellStyle name="표_IQS00년 상반기보고000520(소장)-1.xls Chart 161_사장님IQS개선회의(조립생기팀0816)_Book1_다대포 해수욕장-내역서 2" xfId="5059"/>
    <cellStyle name="표_IQS00년 상반기보고000520(소장)-1.xls Chart 161_사장님IQS개선회의(조립생기팀0816)_Book1_조형물 내역서(원본)" xfId="4430"/>
    <cellStyle name="표_IQS00년 상반기보고000520(소장)-1.xls Chart 161_사장님IQS개선회의(조립생기팀0816)_Book1_조형물 내역서(원본) 2" xfId="5060"/>
    <cellStyle name="표_IQS00년 상반기보고000520(소장)-1.xls Chart 161_사장님IQS개선회의(조립생기팀0816)_다대포 해수욕장-내역서" xfId="4431"/>
    <cellStyle name="표_IQS00년 상반기보고000520(소장)-1.xls Chart 161_사장님IQS개선회의(조립생기팀0816)_다대포 해수욕장-내역서 2" xfId="5061"/>
    <cellStyle name="표_IQS00년 상반기보고000520(소장)-1.xls Chart 161_사장님IQS개선회의(조립생기팀0816)_인상시부담액(임,단협(1).04.26수정)" xfId="4432"/>
    <cellStyle name="표_IQS00년 상반기보고000520(소장)-1.xls Chart 161_사장님IQS개선회의(조립생기팀0816)_인상시부담액(임,단협(1).04.26수정) 2" xfId="5062"/>
    <cellStyle name="표_IQS00년 상반기보고000520(소장)-1.xls Chart 161_사장님IQS개선회의(조립생기팀0816)_인상시부담액(임,단협(1).04.26수정)_다대포 해수욕장-내역서" xfId="4433"/>
    <cellStyle name="표_IQS00년 상반기보고000520(소장)-1.xls Chart 161_사장님IQS개선회의(조립생기팀0816)_인상시부담액(임,단협(1).04.26수정)_다대포 해수욕장-내역서 2" xfId="5063"/>
    <cellStyle name="표_IQS00년 상반기보고000520(소장)-1.xls Chart 161_사장님IQS개선회의(조립생기팀0816)_인상시부담액(임,단협(1).04.26수정)_조형물 내역서(원본)" xfId="4434"/>
    <cellStyle name="표_IQS00년 상반기보고000520(소장)-1.xls Chart 161_사장님IQS개선회의(조립생기팀0816)_인상시부담액(임,단협(1).04.26수정)_조형물 내역서(원본) 2" xfId="5064"/>
    <cellStyle name="표_IQS00년 상반기보고000520(소장)-1.xls Chart 161_사장님IQS개선회의(조립생기팀0816)_조형물 내역서(원본)" xfId="4435"/>
    <cellStyle name="표_IQS00년 상반기보고000520(소장)-1.xls Chart 161_사장님IQS개선회의(조립생기팀0816)_조형물 내역서(원본) 2" xfId="5065"/>
    <cellStyle name="표_IQS00년 상반기보고000520(소장)-1.xls Chart 161_인상시부담액(임,단협(1).04.26수정)" xfId="4436"/>
    <cellStyle name="표_IQS00년 상반기보고000520(소장)-1.xls Chart 161_인상시부담액(임,단협(1).04.26수정) 2" xfId="5066"/>
    <cellStyle name="표_IQS00년 상반기보고000520(소장)-1.xls Chart 161_인상시부담액(임,단협(1).04.26수정)_다대포 해수욕장-내역서" xfId="4437"/>
    <cellStyle name="표_IQS00년 상반기보고000520(소장)-1.xls Chart 161_인상시부담액(임,단협(1).04.26수정)_다대포 해수욕장-내역서 2" xfId="5067"/>
    <cellStyle name="표_IQS00년 상반기보고000520(소장)-1.xls Chart 161_인상시부담액(임,단협(1).04.26수정)_조형물 내역서(원본)" xfId="4438"/>
    <cellStyle name="표_IQS00년 상반기보고000520(소장)-1.xls Chart 161_인상시부담액(임,단협(1).04.26수정)_조형물 내역서(원본) 2" xfId="5068"/>
    <cellStyle name="표_IQS00년 상반기보고000520(소장)-1.xls Chart 161_정이사님보고0907" xfId="4439"/>
    <cellStyle name="표_IQS00년 상반기보고000520(소장)-1.xls Chart 161_정이사님보고0907 2" xfId="5069"/>
    <cellStyle name="표_IQS00년 상반기보고000520(소장)-1.xls Chart 161_정이사님보고0907_Book1" xfId="4440"/>
    <cellStyle name="표_IQS00년 상반기보고000520(소장)-1.xls Chart 161_정이사님보고0907_Book1 2" xfId="5070"/>
    <cellStyle name="표_IQS00년 상반기보고000520(소장)-1.xls Chart 161_정이사님보고0907_Book1_다대포 해수욕장-내역서" xfId="4441"/>
    <cellStyle name="표_IQS00년 상반기보고000520(소장)-1.xls Chart 161_정이사님보고0907_Book1_다대포 해수욕장-내역서 2" xfId="5071"/>
    <cellStyle name="표_IQS00년 상반기보고000520(소장)-1.xls Chart 161_정이사님보고0907_Book1_조형물 내역서(원본)" xfId="4442"/>
    <cellStyle name="표_IQS00년 상반기보고000520(소장)-1.xls Chart 161_정이사님보고0907_Book1_조형물 내역서(원본) 2" xfId="5072"/>
    <cellStyle name="표_IQS00년 상반기보고000520(소장)-1.xls Chart 161_정이사님보고0907_다대포 해수욕장-내역서" xfId="4443"/>
    <cellStyle name="표_IQS00년 상반기보고000520(소장)-1.xls Chart 161_정이사님보고0907_다대포 해수욕장-내역서 2" xfId="5073"/>
    <cellStyle name="표_IQS00년 상반기보고000520(소장)-1.xls Chart 161_정이사님보고0907_인상시부담액(임,단협(1).04.26수정)" xfId="4444"/>
    <cellStyle name="표_IQS00년 상반기보고000520(소장)-1.xls Chart 161_정이사님보고0907_인상시부담액(임,단협(1).04.26수정) 2" xfId="5074"/>
    <cellStyle name="표_IQS00년 상반기보고000520(소장)-1.xls Chart 161_정이사님보고0907_인상시부담액(임,단협(1).04.26수정)_다대포 해수욕장-내역서" xfId="4445"/>
    <cellStyle name="표_IQS00년 상반기보고000520(소장)-1.xls Chart 161_정이사님보고0907_인상시부담액(임,단협(1).04.26수정)_다대포 해수욕장-내역서 2" xfId="5075"/>
    <cellStyle name="표_IQS00년 상반기보고000520(소장)-1.xls Chart 161_정이사님보고0907_인상시부담액(임,단협(1).04.26수정)_조형물 내역서(원본)" xfId="4446"/>
    <cellStyle name="표_IQS00년 상반기보고000520(소장)-1.xls Chart 161_정이사님보고0907_인상시부담액(임,단협(1).04.26수정)_조형물 내역서(원본) 2" xfId="5076"/>
    <cellStyle name="표_IQS00년 상반기보고000520(소장)-1.xls Chart 161_정이사님보고0907_조형물 내역서(원본)" xfId="4447"/>
    <cellStyle name="표_IQS00년 상반기보고000520(소장)-1.xls Chart 161_정이사님보고0907_조형물 내역서(원본) 2" xfId="5077"/>
    <cellStyle name="표_IQS00년 상반기보고000520(소장)-1.xls Chart 161_조형물 내역서(원본)" xfId="4448"/>
    <cellStyle name="표_IQS00년 상반기보고000520(소장)-1.xls Chart 161_조형물 내역서(원본) 2" xfId="5078"/>
    <cellStyle name="표_IQS00년 상반기보고000520(소장)-1_Book1" xfId="4449"/>
    <cellStyle name="표_IQS00년 상반기보고000520(소장)-1_Book1 2" xfId="5079"/>
    <cellStyle name="표_IQS00년 상반기보고000520(소장)-1_Book1_다대포 해수욕장-내역서" xfId="4450"/>
    <cellStyle name="표_IQS00년 상반기보고000520(소장)-1_Book1_다대포 해수욕장-내역서 2" xfId="5080"/>
    <cellStyle name="표_IQS00년 상반기보고000520(소장)-1_Book1_조형물 내역서(원본)" xfId="4451"/>
    <cellStyle name="표_IQS00년 상반기보고000520(소장)-1_Book1_조형물 내역서(원본) 2" xfId="5081"/>
    <cellStyle name="표_IQS00년 상반기보고000520(소장)-1_다대포 해수욕장-내역서" xfId="4452"/>
    <cellStyle name="표_IQS00년 상반기보고000520(소장)-1_다대포 해수욕장-내역서 2" xfId="5082"/>
    <cellStyle name="표_IQS00년 상반기보고000520(소장)-1_사장님IQS개선회의(조립생기팀0816)" xfId="4453"/>
    <cellStyle name="표_IQS00년 상반기보고000520(소장)-1_사장님IQS개선회의(조립생기팀0816) 2" xfId="5083"/>
    <cellStyle name="표_IQS00년 상반기보고000520(소장)-1_사장님IQS개선회의(조립생기팀0816)_Book1" xfId="4454"/>
    <cellStyle name="표_IQS00년 상반기보고000520(소장)-1_사장님IQS개선회의(조립생기팀0816)_Book1 2" xfId="5084"/>
    <cellStyle name="표_IQS00년 상반기보고000520(소장)-1_사장님IQS개선회의(조립생기팀0816)_Book1_다대포 해수욕장-내역서" xfId="4455"/>
    <cellStyle name="표_IQS00년 상반기보고000520(소장)-1_사장님IQS개선회의(조립생기팀0816)_Book1_다대포 해수욕장-내역서 2" xfId="5085"/>
    <cellStyle name="표_IQS00년 상반기보고000520(소장)-1_사장님IQS개선회의(조립생기팀0816)_Book1_조형물 내역서(원본)" xfId="4456"/>
    <cellStyle name="표_IQS00년 상반기보고000520(소장)-1_사장님IQS개선회의(조립생기팀0816)_Book1_조형물 내역서(원본) 2" xfId="5086"/>
    <cellStyle name="표_IQS00년 상반기보고000520(소장)-1_사장님IQS개선회의(조립생기팀0816)_다대포 해수욕장-내역서" xfId="4457"/>
    <cellStyle name="표_IQS00년 상반기보고000520(소장)-1_사장님IQS개선회의(조립생기팀0816)_다대포 해수욕장-내역서 2" xfId="5087"/>
    <cellStyle name="표_IQS00년 상반기보고000520(소장)-1_사장님IQS개선회의(조립생기팀0816)_인상시부담액(임,단협(1).04.26수정)" xfId="4458"/>
    <cellStyle name="표_IQS00년 상반기보고000520(소장)-1_사장님IQS개선회의(조립생기팀0816)_인상시부담액(임,단협(1).04.26수정) 2" xfId="5088"/>
    <cellStyle name="표_IQS00년 상반기보고000520(소장)-1_사장님IQS개선회의(조립생기팀0816)_인상시부담액(임,단협(1).04.26수정)_다대포 해수욕장-내역서" xfId="4459"/>
    <cellStyle name="표_IQS00년 상반기보고000520(소장)-1_사장님IQS개선회의(조립생기팀0816)_인상시부담액(임,단협(1).04.26수정)_다대포 해수욕장-내역서 2" xfId="5089"/>
    <cellStyle name="표_IQS00년 상반기보고000520(소장)-1_사장님IQS개선회의(조립생기팀0816)_인상시부담액(임,단협(1).04.26수정)_조형물 내역서(원본)" xfId="4460"/>
    <cellStyle name="표_IQS00년 상반기보고000520(소장)-1_사장님IQS개선회의(조립생기팀0816)_인상시부담액(임,단협(1).04.26수정)_조형물 내역서(원본) 2" xfId="5090"/>
    <cellStyle name="표_IQS00년 상반기보고000520(소장)-1_사장님IQS개선회의(조립생기팀0816)_조형물 내역서(원본)" xfId="4461"/>
    <cellStyle name="표_IQS00년 상반기보고000520(소장)-1_사장님IQS개선회의(조립생기팀0816)_조형물 내역서(원본) 2" xfId="5091"/>
    <cellStyle name="표_IQS00년 상반기보고000520(소장)-1_인상시부담액(임,단협(1).04.26수정)" xfId="4462"/>
    <cellStyle name="표_IQS00년 상반기보고000520(소장)-1_인상시부담액(임,단협(1).04.26수정) 2" xfId="5092"/>
    <cellStyle name="표_IQS00년 상반기보고000520(소장)-1_인상시부담액(임,단협(1).04.26수정)_다대포 해수욕장-내역서" xfId="4463"/>
    <cellStyle name="표_IQS00년 상반기보고000520(소장)-1_인상시부담액(임,단협(1).04.26수정)_다대포 해수욕장-내역서 2" xfId="5093"/>
    <cellStyle name="표_IQS00년 상반기보고000520(소장)-1_인상시부담액(임,단협(1).04.26수정)_조형물 내역서(원본)" xfId="4464"/>
    <cellStyle name="표_IQS00년 상반기보고000520(소장)-1_인상시부담액(임,단협(1).04.26수정)_조형물 내역서(원본) 2" xfId="5094"/>
    <cellStyle name="표_IQS00년 상반기보고000520(소장)-1_정이사님보고0907" xfId="4465"/>
    <cellStyle name="표_IQS00년 상반기보고000520(소장)-1_정이사님보고0907 2" xfId="5095"/>
    <cellStyle name="표_IQS00년 상반기보고000520(소장)-1_정이사님보고0907_Book1" xfId="4466"/>
    <cellStyle name="표_IQS00년 상반기보고000520(소장)-1_정이사님보고0907_Book1 2" xfId="5096"/>
    <cellStyle name="표_IQS00년 상반기보고000520(소장)-1_정이사님보고0907_Book1_다대포 해수욕장-내역서" xfId="4467"/>
    <cellStyle name="표_IQS00년 상반기보고000520(소장)-1_정이사님보고0907_Book1_다대포 해수욕장-내역서 2" xfId="5097"/>
    <cellStyle name="표_IQS00년 상반기보고000520(소장)-1_정이사님보고0907_Book1_조형물 내역서(원본)" xfId="4468"/>
    <cellStyle name="표_IQS00년 상반기보고000520(소장)-1_정이사님보고0907_Book1_조형물 내역서(원본) 2" xfId="5098"/>
    <cellStyle name="표_IQS00년 상반기보고000520(소장)-1_정이사님보고0907_다대포 해수욕장-내역서" xfId="4469"/>
    <cellStyle name="표_IQS00년 상반기보고000520(소장)-1_정이사님보고0907_다대포 해수욕장-내역서 2" xfId="5099"/>
    <cellStyle name="표_IQS00년 상반기보고000520(소장)-1_정이사님보고0907_인상시부담액(임,단협(1).04.26수정)" xfId="4470"/>
    <cellStyle name="표_IQS00년 상반기보고000520(소장)-1_정이사님보고0907_인상시부담액(임,단협(1).04.26수정) 2" xfId="5100"/>
    <cellStyle name="표_IQS00년 상반기보고000520(소장)-1_정이사님보고0907_인상시부담액(임,단협(1).04.26수정)_다대포 해수욕장-내역서" xfId="4471"/>
    <cellStyle name="표_IQS00년 상반기보고000520(소장)-1_정이사님보고0907_인상시부담액(임,단협(1).04.26수정)_다대포 해수욕장-내역서 2" xfId="5101"/>
    <cellStyle name="표_IQS00년 상반기보고000520(소장)-1_정이사님보고0907_인상시부담액(임,단협(1).04.26수정)_조형물 내역서(원본)" xfId="4472"/>
    <cellStyle name="표_IQS00년 상반기보고000520(소장)-1_정이사님보고0907_인상시부담액(임,단협(1).04.26수정)_조형물 내역서(원본) 2" xfId="5102"/>
    <cellStyle name="표_IQS00년 상반기보고000520(소장)-1_정이사님보고0907_조형물 내역서(원본)" xfId="4473"/>
    <cellStyle name="표_IQS00년 상반기보고000520(소장)-1_정이사님보고0907_조형물 내역서(원본) 2" xfId="5103"/>
    <cellStyle name="표_IQS00년 상반기보고000520(소장)-1_조형물 내역서(원본)" xfId="4474"/>
    <cellStyle name="표_IQS00년 상반기보고000520(소장)-1_조형물 내역서(원본) 2" xfId="5104"/>
    <cellStyle name="표_고련지2제당" xfId="12290"/>
    <cellStyle name="표_고련지2제당_고련지2제당" xfId="12291"/>
    <cellStyle name="표_공사비도급내역(비상방수문-변경1)" xfId="12292"/>
    <cellStyle name="표_다대포 해수욕장-내역서" xfId="4475"/>
    <cellStyle name="표_다대포 해수욕장-내역서 2" xfId="5105"/>
    <cellStyle name="표_다대포 해수욕장-내역서_5공구 내역서" xfId="4476"/>
    <cellStyle name="표_다대포 해수욕장-내역서_5공구 내역서 2" xfId="5106"/>
    <cellStyle name="표_다대포 해수욕장-내역서_5공구 내역서1" xfId="4477"/>
    <cellStyle name="표_다대포 해수욕장-내역서_5공구 내역서1 2" xfId="5107"/>
    <cellStyle name="표_다대포 해수욕장-내역서_경관조명-내역서(20100423)" xfId="4478"/>
    <cellStyle name="표_다대포 해수욕장-내역서_경관조명-내역서(20100423) 2" xfId="5108"/>
    <cellStyle name="표_다대포 해수욕장-내역서_경관조명-내역서(20100726)" xfId="4479"/>
    <cellStyle name="표_다대포 해수욕장-내역서_경관조명-내역서(20100726) 2" xfId="5109"/>
    <cellStyle name="표_다대포 해수욕장-내역서_경관조명-내역서(20100803)" xfId="4480"/>
    <cellStyle name="표_다대포 해수욕장-내역서_경관조명-내역서(20100803) 2" xfId="5110"/>
    <cellStyle name="표_다대포 해수욕장-내역서_계남고가 내역서" xfId="4481"/>
    <cellStyle name="표_다대포 해수욕장-내역서_계남고가 내역서 2" xfId="5111"/>
    <cellStyle name="표_다대포 해수욕장-내역서_계남고가 내역서1111" xfId="4482"/>
    <cellStyle name="표_다대포 해수욕장-내역서_계남고가 내역서1111 2" xfId="5112"/>
    <cellStyle name="표_다대포 해수욕장-내역서_남한강내역서" xfId="4483"/>
    <cellStyle name="표_다대포 해수욕장-내역서_남한강내역서 2" xfId="5113"/>
    <cellStyle name="표_다대포 해수욕장-내역서_내역서" xfId="4484"/>
    <cellStyle name="표_다대포 해수욕장-내역서_내역서 2" xfId="5114"/>
    <cellStyle name="표_다대포 해수욕장-내역서_대청호 내역서" xfId="4485"/>
    <cellStyle name="표_다대포 해수욕장-내역서_대청호 내역서 2" xfId="5115"/>
    <cellStyle name="표_다대포 해수욕장-내역서_대청호 내역서-4.9억%" xfId="4486"/>
    <cellStyle name="표_다대포 해수욕장-내역서_대청호 내역서-4.9억% 2" xfId="5116"/>
    <cellStyle name="표_다대포 해수욕장-내역서_대청호 내역서-4.9억%(그라비스 수정)" xfId="4487"/>
    <cellStyle name="표_다대포 해수욕장-내역서_대청호 내역서-4.9억%(그라비스 수정) 2" xfId="5117"/>
    <cellStyle name="표_다대포 해수욕장-내역서_보도블럭-1" xfId="4488"/>
    <cellStyle name="표_다대포 해수욕장-내역서_보도블럭-1 2" xfId="5118"/>
    <cellStyle name="표_다대포 해수욕장-내역서_위천천 내역서" xfId="4489"/>
    <cellStyle name="표_다대포 해수욕장-내역서_위천천 내역서 2" xfId="5119"/>
    <cellStyle name="표_다대포 해수욕장-내역서_전호대교-내역서(교량)-수정" xfId="4490"/>
    <cellStyle name="표_다대포 해수욕장-내역서_전호대교-내역서(교량)-수정 2" xfId="5120"/>
    <cellStyle name="표_다대포 해수욕장-내역서_하늘도시" xfId="4491"/>
    <cellStyle name="표_다대포 해수욕장-내역서_하늘도시 2" xfId="5121"/>
    <cellStyle name="표_다대포 해수욕장-내역서_하천 내역서" xfId="4492"/>
    <cellStyle name="표_다대포 해수욕장-내역서_하천 내역서 2" xfId="5122"/>
    <cellStyle name="표_동월농로" xfId="12293"/>
    <cellStyle name="표_동월농로(변경)" xfId="12294"/>
    <cellStyle name="표_동월농로1" xfId="12295"/>
    <cellStyle name="표_배수공" xfId="12296"/>
    <cellStyle name="표_변경설계서" xfId="12297"/>
    <cellStyle name="표_변경설계서(스라브13.5M)" xfId="12298"/>
    <cellStyle name="표_부대공" xfId="12299"/>
    <cellStyle name="표_부대공사" xfId="12300"/>
    <cellStyle name="표_부대공사단위수량" xfId="12301"/>
    <cellStyle name="표_사본 - 계산서" xfId="4493"/>
    <cellStyle name="표_사본 - 계산서 2" xfId="5123"/>
    <cellStyle name="표_사본 - 고련지구2004년변경공정계획(농조)" xfId="12302"/>
    <cellStyle name="표_사본 - 고련지구2004년변경공정계획(농조)_고련지2제당" xfId="12303"/>
    <cellStyle name="표_사본 - 고련지구2004년변경공정계획(농조)_고련지추가변경(우치곡)" xfId="12304"/>
    <cellStyle name="표_사본 - 고련지구2004년변경공정계획(농조)_고련지추가변경(우치곡)_고련지2제당" xfId="12305"/>
    <cellStyle name="표_사본 - 고련지구2004년변경공정계획(농조)_고련지추가변경(우치곡)_고련지2제당_고련지2제당" xfId="12306"/>
    <cellStyle name="표_서암지공사비1(제당변경완)" xfId="12307"/>
    <cellStyle name="표_서암지공사비1(제당변경완)_함안지구2005(여수토)실형고(수정1)" xfId="12308"/>
    <cellStyle name="표_서암지공사비1(제당변경완)_함안지구2005(여수토)실형고(수정1)_덕실지구2005(여수토)실형고" xfId="12309"/>
    <cellStyle name="표_서암지공사비1(제당변경완)_함안지구2005(여수토)실형고(수정1)_함안지구2005(여수토)실형고(수정2)" xfId="12310"/>
    <cellStyle name="표_서암지실형내역" xfId="12311"/>
    <cellStyle name="표_서암지실형내역_함안지구2005(여수토)실형고(수정1)" xfId="12312"/>
    <cellStyle name="표_서암지실형내역_함안지구2005(여수토)실형고(수정1)_덕실지구2005(여수토)실형고" xfId="12313"/>
    <cellStyle name="표_서암지실형내역_함안지구2005(여수토)실형고(수정1)_함안지구2005(여수토)실형고(수정2)" xfId="12314"/>
    <cellStyle name="표_석촌동꽃마을빌딩" xfId="4494"/>
    <cellStyle name="표_석촌동꽃마을빌딩 2" xfId="5124"/>
    <cellStyle name="표_설계내역서" xfId="10875"/>
    <cellStyle name="표_성산아파트" xfId="4495"/>
    <cellStyle name="표_성산아파트 2" xfId="5125"/>
    <cellStyle name="표_솔빛마을연결도로(최종)" xfId="12315"/>
    <cellStyle name="표_수량산출서(수정)" xfId="12316"/>
    <cellStyle name="표_수량산출서(수정)_01-토공_02-배수공" xfId="6497"/>
    <cellStyle name="표_수량산출서(수정)_01-토공_02-배수공_2차설계변경내역서(2007굴착)" xfId="6498"/>
    <cellStyle name="표_수량산출서(수정)_01-토공_02-배수공_Sheet1" xfId="6499"/>
    <cellStyle name="표_수량산출서(수정)_01-토공_02-배수공_갑지" xfId="6500"/>
    <cellStyle name="표_수량산출서(수정)_01-토공_02-배수공_관급자재" xfId="6501"/>
    <cellStyle name="표_수량산출서(수정)_01-토공_02-배수공_이설비" xfId="6502"/>
    <cellStyle name="표_수량산출서(수정)_01-토공_02-배수공_토공" xfId="6503"/>
    <cellStyle name="표_수량산출서(수정)_01-토공_02-배수공_토공_2차설계변경내역서(2007굴착)" xfId="6504"/>
    <cellStyle name="표_수량산출서(수정)_01-토공_02-배수공_토공_Sheet1" xfId="6505"/>
    <cellStyle name="표_수량산출서(수정)_01-토공_02-배수공_토공_갑지" xfId="6506"/>
    <cellStyle name="표_수량산출서(수정)_01-토공_02-배수공_토공_관급자재" xfId="6507"/>
    <cellStyle name="표_수량산출서(수정)_01-토공_02-배수공_토공_이설비" xfId="6508"/>
    <cellStyle name="표_수량산출서(수정)_02-배수공" xfId="6509"/>
    <cellStyle name="표_수량산출서(수정)_02-배수공_02-반중력식옹벽" xfId="6510"/>
    <cellStyle name="표_수량산출서(수정)_02-배수공_02-반중력식옹벽_2차설계변경내역서(2007굴착)" xfId="6511"/>
    <cellStyle name="표_수량산출서(수정)_02-배수공_02-반중력식옹벽_Sheet1" xfId="6512"/>
    <cellStyle name="표_수량산출서(수정)_02-배수공_02-반중력식옹벽_갑지" xfId="6513"/>
    <cellStyle name="표_수량산출서(수정)_02-배수공_02-반중력식옹벽_관급자재" xfId="6514"/>
    <cellStyle name="표_수량산출서(수정)_02-배수공_02-반중력식옹벽_이설비" xfId="6515"/>
    <cellStyle name="표_수량산출서(수정)_02-배수공_02-반중력식옹벽_토공" xfId="6516"/>
    <cellStyle name="표_수량산출서(수정)_02-배수공_02-반중력식옹벽_토공_2차설계변경내역서(2007굴착)" xfId="6517"/>
    <cellStyle name="표_수량산출서(수정)_02-배수공_02-반중력식옹벽_토공_Sheet1" xfId="6518"/>
    <cellStyle name="표_수량산출서(수정)_02-배수공_02-반중력식옹벽_토공_갑지" xfId="6519"/>
    <cellStyle name="표_수량산출서(수정)_02-배수공_02-반중력식옹벽_토공_관급자재" xfId="6520"/>
    <cellStyle name="표_수량산출서(수정)_02-배수공_02-반중력식옹벽_토공_이설비" xfId="6521"/>
    <cellStyle name="표_수량산출서(수정)_02-배수공_02-배수공" xfId="6522"/>
    <cellStyle name="표_수량산출서(수정)_02-배수공_02-배수공_2차설계변경내역서(2007굴착)" xfId="6523"/>
    <cellStyle name="표_수량산출서(수정)_02-배수공_02-배수공_Sheet1" xfId="6524"/>
    <cellStyle name="표_수량산출서(수정)_02-배수공_02-배수공_갑지" xfId="6525"/>
    <cellStyle name="표_수량산출서(수정)_02-배수공_02-배수공_관급자재" xfId="6526"/>
    <cellStyle name="표_수량산출서(수정)_02-배수공_02-배수공_이설비" xfId="6527"/>
    <cellStyle name="표_수량산출서(수정)_02-배수공_02-배수공_토공" xfId="6528"/>
    <cellStyle name="표_수량산출서(수정)_02-배수공_02-배수공_토공_2차설계변경내역서(2007굴착)" xfId="6529"/>
    <cellStyle name="표_수량산출서(수정)_02-배수공_02-배수공_토공_Sheet1" xfId="6530"/>
    <cellStyle name="표_수량산출서(수정)_02-배수공_02-배수공_토공_갑지" xfId="6531"/>
    <cellStyle name="표_수량산출서(수정)_02-배수공_02-배수공_토공_관급자재" xfId="6532"/>
    <cellStyle name="표_수량산출서(수정)_02-배수공_02-배수공_토공_이설비" xfId="6533"/>
    <cellStyle name="표_수량산출서(수정)_02-배수공_2차설계변경내역서(2007굴착)" xfId="6534"/>
    <cellStyle name="표_수량산출서(수정)_02-배수공_Sheet1" xfId="6535"/>
    <cellStyle name="표_수량산출서(수정)_02-배수공_갑지" xfId="6536"/>
    <cellStyle name="표_수량산출서(수정)_02-배수공_관급자재" xfId="6537"/>
    <cellStyle name="표_수량산출서(수정)_02-배수공_반중력" xfId="6538"/>
    <cellStyle name="표_수량산출서(수정)_02-배수공_반중력_2차설계변경내역서(2007굴착)" xfId="6539"/>
    <cellStyle name="표_수량산출서(수정)_02-배수공_반중력_Sheet1" xfId="6540"/>
    <cellStyle name="표_수량산출서(수정)_02-배수공_반중력_갑지" xfId="6541"/>
    <cellStyle name="표_수량산출서(수정)_02-배수공_반중력_관급자재" xfId="6542"/>
    <cellStyle name="표_수량산출서(수정)_02-배수공_반중력_이설비" xfId="6543"/>
    <cellStyle name="표_수량산출서(수정)_02-배수공_반중력_토공" xfId="6544"/>
    <cellStyle name="표_수량산출서(수정)_02-배수공_반중력_토공_2차설계변경내역서(2007굴착)" xfId="6545"/>
    <cellStyle name="표_수량산출서(수정)_02-배수공_반중력_토공_Sheet1" xfId="6546"/>
    <cellStyle name="표_수량산출서(수정)_02-배수공_반중력_토공_갑지" xfId="6547"/>
    <cellStyle name="표_수량산출서(수정)_02-배수공_반중력_토공_관급자재" xfId="6548"/>
    <cellStyle name="표_수량산출서(수정)_02-배수공_반중력_토공_이설비" xfId="6549"/>
    <cellStyle name="표_수량산출서(수정)_02-배수공_이설비" xfId="6550"/>
    <cellStyle name="표_수량산출서(수정)_02-배수공_토공" xfId="6551"/>
    <cellStyle name="표_수량산출서(수정)_02-배수공_토공_2차설계변경내역서(2007굴착)" xfId="6552"/>
    <cellStyle name="표_수량산출서(수정)_02-배수공_토공_Sheet1" xfId="6553"/>
    <cellStyle name="표_수량산출서(수정)_02-배수공_토공_갑지" xfId="6554"/>
    <cellStyle name="표_수량산출서(수정)_02-배수공_토공_관급자재" xfId="6555"/>
    <cellStyle name="표_수량산출서(수정)_02-배수공_토공_이설비" xfId="6556"/>
    <cellStyle name="표_수량산출서(수정)_04-포장공_02-배수공" xfId="6557"/>
    <cellStyle name="표_수량산출서(수정)_04-포장공_02-배수공_2차설계변경내역서(2007굴착)" xfId="6558"/>
    <cellStyle name="표_수량산출서(수정)_04-포장공_02-배수공_Sheet1" xfId="6559"/>
    <cellStyle name="표_수량산출서(수정)_04-포장공_02-배수공_갑지" xfId="6560"/>
    <cellStyle name="표_수량산출서(수정)_04-포장공_02-배수공_관급자재" xfId="6561"/>
    <cellStyle name="표_수량산출서(수정)_04-포장공_02-배수공_이설비" xfId="6562"/>
    <cellStyle name="표_수량산출서(수정)_04-포장공_02-배수공_토공" xfId="6563"/>
    <cellStyle name="표_수량산출서(수정)_04-포장공_02-배수공_토공_2차설계변경내역서(2007굴착)" xfId="6564"/>
    <cellStyle name="표_수량산출서(수정)_04-포장공_02-배수공_토공_Sheet1" xfId="6565"/>
    <cellStyle name="표_수량산출서(수정)_04-포장공_02-배수공_토공_갑지" xfId="6566"/>
    <cellStyle name="표_수량산출서(수정)_04-포장공_02-배수공_토공_관급자재" xfId="6567"/>
    <cellStyle name="표_수량산출서(수정)_04-포장공_02-배수공_토공_이설비" xfId="6568"/>
    <cellStyle name="표_수량산출서(수정)_06-부대공_02-배수공" xfId="6569"/>
    <cellStyle name="표_수량산출서(수정)_06-부대공_02-배수공_2차설계변경내역서(2007굴착)" xfId="6570"/>
    <cellStyle name="표_수량산출서(수정)_06-부대공_02-배수공_Sheet1" xfId="6571"/>
    <cellStyle name="표_수량산출서(수정)_06-부대공_02-배수공_갑지" xfId="6572"/>
    <cellStyle name="표_수량산출서(수정)_06-부대공_02-배수공_관급자재" xfId="6573"/>
    <cellStyle name="표_수량산출서(수정)_06-부대공_02-배수공_이설비" xfId="6574"/>
    <cellStyle name="표_수량산출서(수정)_06-부대공_02-배수공_토공" xfId="6575"/>
    <cellStyle name="표_수량산출서(수정)_06-부대공_02-배수공_토공_2차설계변경내역서(2007굴착)" xfId="6576"/>
    <cellStyle name="표_수량산출서(수정)_06-부대공_02-배수공_토공_Sheet1" xfId="6577"/>
    <cellStyle name="표_수량산출서(수정)_06-부대공_02-배수공_토공_갑지" xfId="6578"/>
    <cellStyle name="표_수량산출서(수정)_06-부대공_02-배수공_토공_관급자재" xfId="6579"/>
    <cellStyle name="표_수량산출서(수정)_06-부대공_02-배수공_토공_이설비" xfId="6580"/>
    <cellStyle name="표_수량산출서(수정)_3. 신광R~숭의R(배수공)" xfId="12317"/>
    <cellStyle name="표_수량산출서(수정)_고련지2제당" xfId="12318"/>
    <cellStyle name="표_수량산출서(수정)_고련지2제당_고련지2제당" xfId="12319"/>
    <cellStyle name="표_수량산출서(수정)_공사비도급내역(비상방수문-변경1)" xfId="12320"/>
    <cellStyle name="표_수량산출서(수정)_배수공" xfId="12321"/>
    <cellStyle name="표_수량산출서(수정)_사본 - 고련지구2004년변경공정계획(농조)" xfId="12322"/>
    <cellStyle name="표_수량산출서(수정)_사본 - 고련지구2004년변경공정계획(농조)_고련지2제당" xfId="12323"/>
    <cellStyle name="표_수량산출서(수정)_사본 - 고련지구2004년변경공정계획(농조)_고련지추가변경(우치곡)" xfId="12324"/>
    <cellStyle name="표_수량산출서(수정)_사본 - 고련지구2004년변경공정계획(농조)_고련지추가변경(우치곡)_고련지2제당" xfId="12325"/>
    <cellStyle name="표_수량산출서(수정)_사본 - 고련지구2004년변경공정계획(농조)_고련지추가변경(우치곡)_고련지2제당_고련지2제당" xfId="12326"/>
    <cellStyle name="표_수량산출서(수정)_서암지공사비1(제당변경완)" xfId="12327"/>
    <cellStyle name="표_수량산출서(수정)_서암지공사비1(제당변경완)_함안지구2005(여수토)실형고(수정1)" xfId="12328"/>
    <cellStyle name="표_수량산출서(수정)_서암지공사비1(제당변경완)_함안지구2005(여수토)실형고(수정1)_덕실지구2005(여수토)실형고" xfId="12329"/>
    <cellStyle name="표_수량산출서(수정)_서암지공사비1(제당변경완)_함안지구2005(여수토)실형고(수정1)_함안지구2005(여수토)실형고(수정2)" xfId="12330"/>
    <cellStyle name="표_수량산출서(수정)_서암지실형내역" xfId="12331"/>
    <cellStyle name="표_수량산출서(수정)_서암지실형내역_함안지구2005(여수토)실형고(수정1)" xfId="12332"/>
    <cellStyle name="표_수량산출서(수정)_서암지실형내역_함안지구2005(여수토)실형고(수정1)_덕실지구2005(여수토)실형고" xfId="12333"/>
    <cellStyle name="표_수량산출서(수정)_서암지실형내역_함안지구2005(여수토)실형고(수정1)_함안지구2005(여수토)실형고(수정2)" xfId="12334"/>
    <cellStyle name="표_수량산출서(수정)_솔빛마을연결도로(최종)" xfId="12335"/>
    <cellStyle name="표_수량산출서(수정)_실형고관련" xfId="12336"/>
    <cellStyle name="표_수량산출서(수정)_실형고관련_공사비도급내역(비상방수문-변경1)" xfId="12337"/>
    <cellStyle name="표_수량산출서(수정)_실형고관련_서암지공사비1(제당변경완)" xfId="12338"/>
    <cellStyle name="표_수량산출서(수정)_실형고관련_서암지공사비1(제당변경완)_함안지구2005(여수토)실형고(수정1)" xfId="12339"/>
    <cellStyle name="표_수량산출서(수정)_실형고관련_서암지공사비1(제당변경완)_함안지구2005(여수토)실형고(수정1)_덕실지구2005(여수토)실형고" xfId="12340"/>
    <cellStyle name="표_수량산출서(수정)_실형고관련_서암지공사비1(제당변경완)_함안지구2005(여수토)실형고(수정1)_함안지구2005(여수토)실형고(수정2)" xfId="12341"/>
    <cellStyle name="표_수량산출서(수정)_실형고관련_서암지실형내역" xfId="12342"/>
    <cellStyle name="표_수량산출서(수정)_실형고관련_서암지실형내역_함안지구2005(여수토)실형고(수정1)" xfId="12343"/>
    <cellStyle name="표_수량산출서(수정)_실형고관련_서암지실형내역_함안지구2005(여수토)실형고(수정1)_덕실지구2005(여수토)실형고" xfId="12344"/>
    <cellStyle name="표_수량산출서(수정)_실형고관련_서암지실형내역_함안지구2005(여수토)실형고(수정1)_함안지구2005(여수토)실형고(수정2)" xfId="12345"/>
    <cellStyle name="표_수량산출서(수정)_실형고관련_함안지구2005(여수토)실형고(수정1)" xfId="12346"/>
    <cellStyle name="표_수량산출서(수정)_실형고관련_함안지구2005(여수토)실형고(수정1)_덕실지구2005(여수토)실형고" xfId="12347"/>
    <cellStyle name="표_수량산출서(수정)_실형고관련_함안지구2005(여수토)실형고(수정1)_함안지구2005(여수토)실형고(수정2)" xfId="12348"/>
    <cellStyle name="표_수량산출서(수정)_함안지구2005(여수토)실형고(수정1)" xfId="12349"/>
    <cellStyle name="표_수량산출서(수정)_함안지구2005(여수토)실형고(수정1)_덕실지구2005(여수토)실형고" xfId="12350"/>
    <cellStyle name="표_수량산출서(수정)_함안지구2005(여수토)실형고(수정1)_함안지구2005(여수토)실형고(수정2)" xfId="12351"/>
    <cellStyle name="표_신성교회" xfId="4496"/>
    <cellStyle name="표_신성교회 2" xfId="5126"/>
    <cellStyle name="표_실형고관련" xfId="12352"/>
    <cellStyle name="표_실형고관련_공사비도급내역(비상방수문-변경1)" xfId="12353"/>
    <cellStyle name="표_실형고관련_서암지공사비1(제당변경완)" xfId="12354"/>
    <cellStyle name="표_실형고관련_서암지공사비1(제당변경완)_함안지구2005(여수토)실형고(수정1)" xfId="12355"/>
    <cellStyle name="표_실형고관련_서암지공사비1(제당변경완)_함안지구2005(여수토)실형고(수정1)_덕실지구2005(여수토)실형고" xfId="12356"/>
    <cellStyle name="표_실형고관련_서암지공사비1(제당변경완)_함안지구2005(여수토)실형고(수정1)_함안지구2005(여수토)실형고(수정2)" xfId="12357"/>
    <cellStyle name="표_실형고관련_서암지실형내역" xfId="12358"/>
    <cellStyle name="표_실형고관련_서암지실형내역_함안지구2005(여수토)실형고(수정1)" xfId="12359"/>
    <cellStyle name="표_실형고관련_서암지실형내역_함안지구2005(여수토)실형고(수정1)_덕실지구2005(여수토)실형고" xfId="12360"/>
    <cellStyle name="표_실형고관련_서암지실형내역_함안지구2005(여수토)실형고(수정1)_함안지구2005(여수토)실형고(수정2)" xfId="12361"/>
    <cellStyle name="표_실형고관련_함안지구2005(여수토)실형고(수정1)" xfId="12362"/>
    <cellStyle name="표_실형고관련_함안지구2005(여수토)실형고(수정1)_덕실지구2005(여수토)실형고" xfId="12363"/>
    <cellStyle name="표_실형고관련_함안지구2005(여수토)실형고(수정1)_함안지구2005(여수토)실형고(수정2)" xfId="12364"/>
    <cellStyle name="표_조형물 내역서(원본)" xfId="4497"/>
    <cellStyle name="표_조형물 내역서(원본) 2" xfId="5127"/>
    <cellStyle name="표_조형물 내역서(원본)_5공구 내역서" xfId="4498"/>
    <cellStyle name="표_조형물 내역서(원본)_5공구 내역서 2" xfId="5128"/>
    <cellStyle name="표_조형물 내역서(원본)_5공구 내역서1" xfId="4499"/>
    <cellStyle name="표_조형물 내역서(원본)_5공구 내역서1 2" xfId="5129"/>
    <cellStyle name="표_조형물 내역서(원본)_경관조명-내역서(20100423)" xfId="4500"/>
    <cellStyle name="표_조형물 내역서(원본)_경관조명-내역서(20100423) 2" xfId="5130"/>
    <cellStyle name="표_조형물 내역서(원본)_경관조명-내역서(20100726)" xfId="4501"/>
    <cellStyle name="표_조형물 내역서(원본)_경관조명-내역서(20100726) 2" xfId="5131"/>
    <cellStyle name="표_조형물 내역서(원본)_경관조명-내역서(20100803)" xfId="4502"/>
    <cellStyle name="표_조형물 내역서(원본)_경관조명-내역서(20100803) 2" xfId="5132"/>
    <cellStyle name="표_조형물 내역서(원본)_계남고가 내역서" xfId="4503"/>
    <cellStyle name="표_조형물 내역서(원본)_계남고가 내역서 2" xfId="5133"/>
    <cellStyle name="표_조형물 내역서(원본)_계남고가 내역서1111" xfId="4504"/>
    <cellStyle name="표_조형물 내역서(원본)_계남고가 내역서1111 2" xfId="5134"/>
    <cellStyle name="표_조형물 내역서(원본)_남한강내역서" xfId="4505"/>
    <cellStyle name="표_조형물 내역서(원본)_남한강내역서 2" xfId="5135"/>
    <cellStyle name="표_조형물 내역서(원본)_내역서" xfId="4506"/>
    <cellStyle name="표_조형물 내역서(원본)_내역서 2" xfId="5136"/>
    <cellStyle name="표_조형물 내역서(원본)_대청호 내역서" xfId="4507"/>
    <cellStyle name="표_조형물 내역서(원본)_대청호 내역서 2" xfId="5137"/>
    <cellStyle name="표_조형물 내역서(원본)_대청호 내역서-4.9억%" xfId="4508"/>
    <cellStyle name="표_조형물 내역서(원본)_대청호 내역서-4.9억% 2" xfId="5138"/>
    <cellStyle name="표_조형물 내역서(원본)_대청호 내역서-4.9억%(그라비스 수정)" xfId="4509"/>
    <cellStyle name="표_조형물 내역서(원본)_대청호 내역서-4.9억%(그라비스 수정) 2" xfId="5139"/>
    <cellStyle name="표_조형물 내역서(원본)_보도블럭-1" xfId="4510"/>
    <cellStyle name="표_조형물 내역서(원본)_보도블럭-1 2" xfId="5140"/>
    <cellStyle name="표_조형물 내역서(원본)_위천천 내역서" xfId="4511"/>
    <cellStyle name="표_조형물 내역서(원본)_위천천 내역서 2" xfId="5141"/>
    <cellStyle name="표_조형물 내역서(원본)_전호대교-내역서(교량)-수정" xfId="4512"/>
    <cellStyle name="표_조형물 내역서(원본)_전호대교-내역서(교량)-수정 2" xfId="5142"/>
    <cellStyle name="표_조형물 내역서(원본)_하늘도시" xfId="4513"/>
    <cellStyle name="표_조형물 내역서(원본)_하늘도시 2" xfId="5143"/>
    <cellStyle name="표_조형물 내역서(원본)_하천 내역서" xfId="4514"/>
    <cellStyle name="표_조형물 내역서(원본)_하천 내역서 2" xfId="5144"/>
    <cellStyle name="표_지수천1수해(전석)" xfId="12365"/>
    <cellStyle name="표_진북연동소류지" xfId="12366"/>
    <cellStyle name="표_추동소하천정비공사(설계내역서)" xfId="12367"/>
    <cellStyle name="표_함안지구2005(여수토)실형고(수정1)" xfId="12368"/>
    <cellStyle name="표_함안지구2005(여수토)실형고(수정1)_덕실지구2005(여수토)실형고" xfId="12369"/>
    <cellStyle name="표_함안지구2005(여수토)실형고(수정1)_함안지구2005(여수토)실형고(수정2)" xfId="12370"/>
    <cellStyle name="표10" xfId="10876"/>
    <cellStyle name="표10 2" xfId="10877"/>
    <cellStyle name="표10_설계내역서" xfId="10878"/>
    <cellStyle name="표13" xfId="10879"/>
    <cellStyle name="표13 2" xfId="10880"/>
    <cellStyle name="표13_설계내역서" xfId="10881"/>
    <cellStyle name="表示済みのハイパーリンク" xfId="4515"/>
    <cellStyle name="表示済みのハイパーリンク 2" xfId="5145"/>
    <cellStyle name="표준" xfId="0" builtinId="0"/>
    <cellStyle name="표준 10" xfId="10882"/>
    <cellStyle name="표준 11" xfId="10883"/>
    <cellStyle name="표준 12" xfId="10884"/>
    <cellStyle name="표준 13" xfId="10885"/>
    <cellStyle name="표준 14" xfId="10886"/>
    <cellStyle name="표준 15" xfId="11388"/>
    <cellStyle name="표준 16" xfId="12384"/>
    <cellStyle name="표준 17" xfId="37534"/>
    <cellStyle name="표준 18" xfId="37537"/>
    <cellStyle name="표준 19" xfId="37539"/>
    <cellStyle name="표준 2" xfId="4516"/>
    <cellStyle name="표준 2 10" xfId="6614"/>
    <cellStyle name="표준 2 11" xfId="10887"/>
    <cellStyle name="표준 2 2" xfId="4517"/>
    <cellStyle name="표준 2 2 2" xfId="4518"/>
    <cellStyle name="표준 2 2 2 2" xfId="11380"/>
    <cellStyle name="표준 2 2 2 3" xfId="12371"/>
    <cellStyle name="표준 2 2 3" xfId="11379"/>
    <cellStyle name="표준 2 2 4" xfId="37540"/>
    <cellStyle name="표준 2 2_설계내역서" xfId="10888"/>
    <cellStyle name="표준 2 3" xfId="4519"/>
    <cellStyle name="표준 2 4" xfId="5146"/>
    <cellStyle name="표준 2 4 2" xfId="11381"/>
    <cellStyle name="표준 2 4 3" xfId="11400"/>
    <cellStyle name="표준 2 5" xfId="10889"/>
    <cellStyle name="표준 2 6" xfId="10890"/>
    <cellStyle name="표준 2 7" xfId="10891"/>
    <cellStyle name="표준 2 8" xfId="10892"/>
    <cellStyle name="표준 2 9" xfId="10893"/>
    <cellStyle name="표준 2_설계내역서" xfId="10894"/>
    <cellStyle name="표준 20" xfId="37541"/>
    <cellStyle name="표준 20 2" xfId="37543"/>
    <cellStyle name="표준 21" xfId="37544"/>
    <cellStyle name="표준 3" xfId="4520"/>
    <cellStyle name="표준 3 2" xfId="10895"/>
    <cellStyle name="표준 3 3" xfId="10896"/>
    <cellStyle name="표준 3_설계내역서" xfId="10897"/>
    <cellStyle name="표준 4" xfId="4521"/>
    <cellStyle name="표준 4 2" xfId="4522"/>
    <cellStyle name="표준 4 2 2" xfId="11383"/>
    <cellStyle name="표준 4 3" xfId="11382"/>
    <cellStyle name="표준 5" xfId="5153"/>
    <cellStyle name="표준 5 2" xfId="11384"/>
    <cellStyle name="표준 5 2 2" xfId="16541"/>
    <cellStyle name="표준 5 2 2 2" xfId="29317"/>
    <cellStyle name="표준 5 2 3" xfId="23007"/>
    <cellStyle name="표준 5 2 3 2" xfId="35440"/>
    <cellStyle name="표준 5 2 4" xfId="25223"/>
    <cellStyle name="표준 6" xfId="10898"/>
    <cellStyle name="표준 6 2" xfId="37546"/>
    <cellStyle name="표준 7" xfId="10899"/>
    <cellStyle name="표준 8" xfId="10900"/>
    <cellStyle name="표준 9" xfId="10901"/>
    <cellStyle name="標準_ ｹ-ﾌﾞﾙ物量(B)" xfId="10902"/>
    <cellStyle name="표준_00.공원등내역20030304" xfId="4539"/>
    <cellStyle name="標準_Akia(F）-8" xfId="4523"/>
    <cellStyle name="표준_남대천 야간 경관조명 내역서 (통합본)" xfId="4524"/>
    <cellStyle name="표준_내역서(원가계산서)-5억미만" xfId="4535"/>
    <cellStyle name="표준_설계예산서" xfId="37545"/>
    <cellStyle name="표준_송전선로자재단가(12)" xfId="4534"/>
    <cellStyle name="표준_송추-교현bd" xfId="37538"/>
    <cellStyle name="표준_신형산교내역서(참고후삭제)" xfId="4525"/>
    <cellStyle name="표준_일위대가(화성내역)-수정" xfId="4533"/>
    <cellStyle name="표준_일위대가산출근거" xfId="4536"/>
    <cellStyle name="표준_일위대가산출자료" xfId="4538"/>
    <cellStyle name="표준1" xfId="4526"/>
    <cellStyle name="표준1 2" xfId="5147"/>
    <cellStyle name="표준2" xfId="4527"/>
    <cellStyle name="표준2 2" xfId="5148"/>
    <cellStyle name="표준2 2 2" xfId="11385"/>
    <cellStyle name="표준2 2 2 10" xfId="13046"/>
    <cellStyle name="표준2 2 2 11" xfId="14880"/>
    <cellStyle name="표준2 2 2 11 2" xfId="27701"/>
    <cellStyle name="표준2 2 2 12" xfId="23008"/>
    <cellStyle name="표준2 2 2 12 2" xfId="35441"/>
    <cellStyle name="표준2 2 2 13" xfId="21135"/>
    <cellStyle name="표준2 2 2 13 2" xfId="33572"/>
    <cellStyle name="표준2 2 2 14" xfId="18600"/>
    <cellStyle name="표준2 2 2 14 2" xfId="31305"/>
    <cellStyle name="표준2 2 2 15" xfId="19235"/>
    <cellStyle name="표준2 2 2 15 2" xfId="31890"/>
    <cellStyle name="표준2 2 2 16" xfId="20775"/>
    <cellStyle name="표준2 2 2 16 2" xfId="33214"/>
    <cellStyle name="표준2 2 2 17" xfId="22440"/>
    <cellStyle name="표준2 2 2 17 2" xfId="34874"/>
    <cellStyle name="표준2 2 2 18" xfId="18766"/>
    <cellStyle name="표준2 2 2 18 2" xfId="31471"/>
    <cellStyle name="표준2 2 2 19" xfId="21763"/>
    <cellStyle name="표준2 2 2 19 2" xfId="34200"/>
    <cellStyle name="표준2 2 2 2" xfId="16542"/>
    <cellStyle name="표준2 2 2 2 2" xfId="29318"/>
    <cellStyle name="표준2 2 2 20" xfId="23850"/>
    <cellStyle name="표준2 2 2 20 2" xfId="36281"/>
    <cellStyle name="표준2 2 2 21" xfId="18867"/>
    <cellStyle name="표준2 2 2 21 2" xfId="31572"/>
    <cellStyle name="표준2 2 2 22" xfId="22468"/>
    <cellStyle name="표준2 2 2 22 2" xfId="34902"/>
    <cellStyle name="표준2 2 2 23" xfId="24009"/>
    <cellStyle name="표준2 2 2 23 2" xfId="36440"/>
    <cellStyle name="표준2 2 2 24" xfId="25224"/>
    <cellStyle name="표준2 2 2 3" xfId="15067"/>
    <cellStyle name="표준2 2 2 3 2" xfId="27886"/>
    <cellStyle name="표준2 2 2 4" xfId="14113"/>
    <cellStyle name="표준2 2 2 4 2" xfId="26961"/>
    <cellStyle name="표준2 2 2 5" xfId="12842"/>
    <cellStyle name="표준2 2 2 5 2" xfId="25718"/>
    <cellStyle name="표준2 2 2 6" xfId="17507"/>
    <cellStyle name="표준2 2 2 6 2" xfId="30229"/>
    <cellStyle name="표준2 2 2 7" xfId="14870"/>
    <cellStyle name="표준2 2 2 7 2" xfId="27692"/>
    <cellStyle name="표준2 2 2 8" xfId="17412"/>
    <cellStyle name="표준2 2 2 8 2" xfId="30140"/>
    <cellStyle name="표준2 2 2 9" xfId="15295"/>
    <cellStyle name="표준2 2 2 9 2" xfId="28112"/>
    <cellStyle name="표준2 3" xfId="10942"/>
    <cellStyle name="표준2 3 10" xfId="14285"/>
    <cellStyle name="표준2 3 11" xfId="12911"/>
    <cellStyle name="표준2 3 11 2" xfId="25787"/>
    <cellStyle name="표준2 3 12" xfId="22663"/>
    <cellStyle name="표준2 3 12 2" xfId="35097"/>
    <cellStyle name="표준2 3 13" xfId="21498"/>
    <cellStyle name="표준2 3 13 2" xfId="33935"/>
    <cellStyle name="표준2 3 14" xfId="18365"/>
    <cellStyle name="표준2 3 14 2" xfId="31071"/>
    <cellStyle name="표준2 3 15" xfId="22238"/>
    <cellStyle name="표준2 3 15 2" xfId="34673"/>
    <cellStyle name="표준2 3 16" xfId="18431"/>
    <cellStyle name="표준2 3 16 2" xfId="31136"/>
    <cellStyle name="표준2 3 17" xfId="23250"/>
    <cellStyle name="표준2 3 17 2" xfId="35682"/>
    <cellStyle name="표준2 3 18" xfId="20561"/>
    <cellStyle name="표준2 3 18 2" xfId="33006"/>
    <cellStyle name="표준2 3 19" xfId="18648"/>
    <cellStyle name="표준2 3 19 2" xfId="31353"/>
    <cellStyle name="표준2 3 2" xfId="16204"/>
    <cellStyle name="표준2 3 2 2" xfId="28980"/>
    <cellStyle name="표준2 3 20" xfId="18793"/>
    <cellStyle name="표준2 3 20 2" xfId="31498"/>
    <cellStyle name="표준2 3 21" xfId="20110"/>
    <cellStyle name="표준2 3 21 2" xfId="32556"/>
    <cellStyle name="표준2 3 22" xfId="23439"/>
    <cellStyle name="표준2 3 22 2" xfId="35870"/>
    <cellStyle name="표준2 3 23" xfId="19863"/>
    <cellStyle name="표준2 3 23 2" xfId="32313"/>
    <cellStyle name="표준2 3 24" xfId="25117"/>
    <cellStyle name="표준2 3 3" xfId="15253"/>
    <cellStyle name="표준2 3 3 2" xfId="28070"/>
    <cellStyle name="표준2 3 4" xfId="13163"/>
    <cellStyle name="표준2 3 4 2" xfId="26032"/>
    <cellStyle name="표준2 3 5" xfId="12814"/>
    <cellStyle name="표준2 3 5 2" xfId="25690"/>
    <cellStyle name="표준2 3 6" xfId="12551"/>
    <cellStyle name="표준2 3 6 2" xfId="25431"/>
    <cellStyle name="표준2 3 7" xfId="13020"/>
    <cellStyle name="표준2 3 7 2" xfId="25895"/>
    <cellStyle name="표준2 3 8" xfId="12552"/>
    <cellStyle name="표준2 3 8 2" xfId="25432"/>
    <cellStyle name="표준2 3 9" xfId="17491"/>
    <cellStyle name="표준2 3 9 2" xfId="30213"/>
    <cellStyle name="표준날짜" xfId="10903"/>
    <cellStyle name="표준숫자" xfId="10904"/>
    <cellStyle name="표준체" xfId="4528"/>
    <cellStyle name="표준체 2" xfId="5149"/>
    <cellStyle name="표쥰" xfId="6581"/>
    <cellStyle name="합계" xfId="4529"/>
    <cellStyle name="합계 2" xfId="6582"/>
    <cellStyle name="합산" xfId="4530"/>
    <cellStyle name="합산 2" xfId="5150"/>
    <cellStyle name="桁区切り [0.00]_競合状況" xfId="10905"/>
    <cellStyle name="桁区切り_競合状況" xfId="10906"/>
    <cellStyle name="垓" xfId="10907"/>
    <cellStyle name="垓 2" xfId="10908"/>
    <cellStyle name="허윤정" xfId="10909"/>
    <cellStyle name="화폐기호" xfId="4531"/>
    <cellStyle name="화폐기호 2" xfId="5151"/>
    <cellStyle name="화폐기호 3" xfId="12372"/>
    <cellStyle name="화폐기호 4" xfId="12373"/>
    <cellStyle name="화폐기호 5" xfId="12374"/>
    <cellStyle name="화폐기호 6" xfId="12375"/>
    <cellStyle name="화폐기호 7" xfId="12376"/>
    <cellStyle name="화폐기호_가로등 일제정비공사 토목" xfId="12377"/>
    <cellStyle name="화폐기호0" xfId="4532"/>
    <cellStyle name="화폐기호0 2" xfId="5152"/>
    <cellStyle name="화폐기호0 3" xfId="12378"/>
    <cellStyle name="화폐기호0 4" xfId="12379"/>
    <cellStyle name="화폐기호0 5" xfId="12380"/>
    <cellStyle name="화폐기호0 6" xfId="12381"/>
    <cellStyle name="화폐기호0 7" xfId="12382"/>
    <cellStyle name="화폐기호0_가로등 일제정비공사 토목" xfId="12383"/>
    <cellStyle name="〰㜯〱" xfId="1091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4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248</xdr:row>
      <xdr:rowOff>168087</xdr:rowOff>
    </xdr:from>
    <xdr:to>
      <xdr:col>24</xdr:col>
      <xdr:colOff>114300</xdr:colOff>
      <xdr:row>266</xdr:row>
      <xdr:rowOff>89646</xdr:rowOff>
    </xdr:to>
    <xdr:pic>
      <xdr:nvPicPr>
        <xdr:cNvPr id="4" name="Picture 8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" y="19465737"/>
          <a:ext cx="6191250" cy="3693459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</xdr:colOff>
          <xdr:row>1</xdr:row>
          <xdr:rowOff>114300</xdr:rowOff>
        </xdr:from>
        <xdr:to>
          <xdr:col>25</xdr:col>
          <xdr:colOff>38100</xdr:colOff>
          <xdr:row>20</xdr:row>
          <xdr:rowOff>19050</xdr:rowOff>
        </xdr:to>
        <xdr:sp macro="" textlink="">
          <xdr:nvSpPr>
            <xdr:cNvPr id="384001" name="Object 1" hidden="1">
              <a:extLst>
                <a:ext uri="{63B3BB69-23CF-44E3-9099-C40C66FF867C}">
                  <a14:compatExt spid="_x0000_s384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</xdr:colOff>
          <xdr:row>123</xdr:row>
          <xdr:rowOff>38100</xdr:rowOff>
        </xdr:from>
        <xdr:to>
          <xdr:col>24</xdr:col>
          <xdr:colOff>200025</xdr:colOff>
          <xdr:row>142</xdr:row>
          <xdr:rowOff>152400</xdr:rowOff>
        </xdr:to>
        <xdr:sp macro="" textlink="">
          <xdr:nvSpPr>
            <xdr:cNvPr id="384002" name="Object 2" hidden="1">
              <a:extLst>
                <a:ext uri="{63B3BB69-23CF-44E3-9099-C40C66FF867C}">
                  <a14:compatExt spid="_x0000_s384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152400</xdr:colOff>
          <xdr:row>41</xdr:row>
          <xdr:rowOff>38100</xdr:rowOff>
        </xdr:from>
        <xdr:to>
          <xdr:col>24</xdr:col>
          <xdr:colOff>266700</xdr:colOff>
          <xdr:row>60</xdr:row>
          <xdr:rowOff>190500</xdr:rowOff>
        </xdr:to>
        <xdr:sp macro="" textlink="">
          <xdr:nvSpPr>
            <xdr:cNvPr id="384003" name="Object 3" hidden="1">
              <a:extLst>
                <a:ext uri="{63B3BB69-23CF-44E3-9099-C40C66FF867C}">
                  <a14:compatExt spid="_x0000_s384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</xdr:colOff>
          <xdr:row>207</xdr:row>
          <xdr:rowOff>114300</xdr:rowOff>
        </xdr:from>
        <xdr:to>
          <xdr:col>25</xdr:col>
          <xdr:colOff>38100</xdr:colOff>
          <xdr:row>226</xdr:row>
          <xdr:rowOff>19050</xdr:rowOff>
        </xdr:to>
        <xdr:sp macro="" textlink="">
          <xdr:nvSpPr>
            <xdr:cNvPr id="384004" name="Object 4" hidden="1">
              <a:extLst>
                <a:ext uri="{63B3BB69-23CF-44E3-9099-C40C66FF867C}">
                  <a14:compatExt spid="_x0000_s384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209550</xdr:colOff>
          <xdr:row>81</xdr:row>
          <xdr:rowOff>114300</xdr:rowOff>
        </xdr:from>
        <xdr:to>
          <xdr:col>25</xdr:col>
          <xdr:colOff>38100</xdr:colOff>
          <xdr:row>100</xdr:row>
          <xdr:rowOff>19050</xdr:rowOff>
        </xdr:to>
        <xdr:sp macro="" textlink="">
          <xdr:nvSpPr>
            <xdr:cNvPr id="384007" name="Object 7" hidden="1">
              <a:extLst>
                <a:ext uri="{63B3BB69-23CF-44E3-9099-C40C66FF867C}">
                  <a14:compatExt spid="_x0000_s384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104775</xdr:colOff>
          <xdr:row>163</xdr:row>
          <xdr:rowOff>38100</xdr:rowOff>
        </xdr:from>
        <xdr:to>
          <xdr:col>24</xdr:col>
          <xdr:colOff>200025</xdr:colOff>
          <xdr:row>182</xdr:row>
          <xdr:rowOff>152400</xdr:rowOff>
        </xdr:to>
        <xdr:sp macro="" textlink="">
          <xdr:nvSpPr>
            <xdr:cNvPr id="384008" name="Object 8" hidden="1">
              <a:extLst>
                <a:ext uri="{63B3BB69-23CF-44E3-9099-C40C66FF867C}">
                  <a14:compatExt spid="_x0000_s384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37</xdr:row>
      <xdr:rowOff>0</xdr:rowOff>
    </xdr:from>
    <xdr:to>
      <xdr:col>1</xdr:col>
      <xdr:colOff>329292</xdr:colOff>
      <xdr:row>43</xdr:row>
      <xdr:rowOff>10885</xdr:rowOff>
    </xdr:to>
    <xdr:sp macro="" textlink="">
      <xdr:nvSpPr>
        <xdr:cNvPr id="4" name="Line 382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SpPr>
          <a:spLocks noChangeShapeType="1"/>
        </xdr:cNvSpPr>
      </xdr:nvSpPr>
      <xdr:spPr bwMode="auto">
        <a:xfrm flipH="1">
          <a:off x="1076325" y="1076325"/>
          <a:ext cx="5442" cy="11538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36</xdr:row>
      <xdr:rowOff>180975</xdr:rowOff>
    </xdr:from>
    <xdr:to>
      <xdr:col>2</xdr:col>
      <xdr:colOff>424542</xdr:colOff>
      <xdr:row>43</xdr:row>
      <xdr:rowOff>1360</xdr:rowOff>
    </xdr:to>
    <xdr:sp macro="" textlink="">
      <xdr:nvSpPr>
        <xdr:cNvPr id="5" name="Line 382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SpPr>
          <a:spLocks noChangeShapeType="1"/>
        </xdr:cNvSpPr>
      </xdr:nvSpPr>
      <xdr:spPr bwMode="auto">
        <a:xfrm flipH="1">
          <a:off x="1924050" y="1066800"/>
          <a:ext cx="5442" cy="11538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37</xdr:row>
      <xdr:rowOff>0</xdr:rowOff>
    </xdr:from>
    <xdr:to>
      <xdr:col>2</xdr:col>
      <xdr:colOff>447675</xdr:colOff>
      <xdr:row>37</xdr:row>
      <xdr:rowOff>0</xdr:rowOff>
    </xdr:to>
    <xdr:sp macro="" textlink="">
      <xdr:nvSpPr>
        <xdr:cNvPr id="6" name="Line 384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SpPr>
          <a:spLocks noChangeShapeType="1"/>
        </xdr:cNvSpPr>
      </xdr:nvSpPr>
      <xdr:spPr bwMode="auto">
        <a:xfrm>
          <a:off x="1076325" y="107632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36</xdr:row>
      <xdr:rowOff>9525</xdr:rowOff>
    </xdr:from>
    <xdr:to>
      <xdr:col>2</xdr:col>
      <xdr:colOff>447675</xdr:colOff>
      <xdr:row>36</xdr:row>
      <xdr:rowOff>9525</xdr:rowOff>
    </xdr:to>
    <xdr:sp macro="" textlink="">
      <xdr:nvSpPr>
        <xdr:cNvPr id="7" name="Line 388">
          <a:extLst>
            <a:ext uri="{FF2B5EF4-FFF2-40B4-BE49-F238E27FC236}">
              <a16:creationId xmlns="" xmlns:a16="http://schemas.microsoft.com/office/drawing/2014/main" id="{00000000-0008-0000-1A00-000007000000}"/>
            </a:ext>
          </a:extLst>
        </xdr:cNvPr>
        <xdr:cNvSpPr>
          <a:spLocks noChangeShapeType="1"/>
        </xdr:cNvSpPr>
      </xdr:nvSpPr>
      <xdr:spPr bwMode="auto">
        <a:xfrm>
          <a:off x="1104900" y="895350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35</xdr:row>
      <xdr:rowOff>0</xdr:rowOff>
    </xdr:from>
    <xdr:to>
      <xdr:col>2</xdr:col>
      <xdr:colOff>742950</xdr:colOff>
      <xdr:row>35</xdr:row>
      <xdr:rowOff>0</xdr:rowOff>
    </xdr:to>
    <xdr:sp macro="" textlink="">
      <xdr:nvSpPr>
        <xdr:cNvPr id="8" name="Line 394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SpPr>
          <a:spLocks noChangeShapeType="1"/>
        </xdr:cNvSpPr>
      </xdr:nvSpPr>
      <xdr:spPr bwMode="auto">
        <a:xfrm>
          <a:off x="742950" y="69532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200025</xdr:colOff>
      <xdr:row>40</xdr:row>
      <xdr:rowOff>19050</xdr:rowOff>
    </xdr:from>
    <xdr:to>
      <xdr:col>1</xdr:col>
      <xdr:colOff>1361</xdr:colOff>
      <xdr:row>40</xdr:row>
      <xdr:rowOff>19050</xdr:rowOff>
    </xdr:to>
    <xdr:sp macro="" textlink="">
      <xdr:nvSpPr>
        <xdr:cNvPr id="9" name="Line 374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SpPr>
          <a:spLocks noChangeShapeType="1"/>
        </xdr:cNvSpPr>
      </xdr:nvSpPr>
      <xdr:spPr bwMode="auto">
        <a:xfrm flipH="1">
          <a:off x="200025" y="1666875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42</xdr:row>
      <xdr:rowOff>171450</xdr:rowOff>
    </xdr:from>
    <xdr:to>
      <xdr:col>3</xdr:col>
      <xdr:colOff>27215</xdr:colOff>
      <xdr:row>42</xdr:row>
      <xdr:rowOff>172811</xdr:rowOff>
    </xdr:to>
    <xdr:sp macro="" textlink="">
      <xdr:nvSpPr>
        <xdr:cNvPr id="10" name="Line 366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SpPr>
          <a:spLocks noChangeShapeType="1"/>
        </xdr:cNvSpPr>
      </xdr:nvSpPr>
      <xdr:spPr bwMode="auto">
        <a:xfrm>
          <a:off x="762000" y="2200275"/>
          <a:ext cx="1522640" cy="136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37</xdr:row>
      <xdr:rowOff>0</xdr:rowOff>
    </xdr:from>
    <xdr:to>
      <xdr:col>4</xdr:col>
      <xdr:colOff>315687</xdr:colOff>
      <xdr:row>43</xdr:row>
      <xdr:rowOff>6803</xdr:rowOff>
    </xdr:to>
    <xdr:sp macro="" textlink="">
      <xdr:nvSpPr>
        <xdr:cNvPr id="12" name="Line 378">
          <a:extLst>
            <a:ext uri="{FF2B5EF4-FFF2-40B4-BE49-F238E27FC236}">
              <a16:creationId xmlns="" xmlns:a16="http://schemas.microsoft.com/office/drawing/2014/main" id="{00000000-0008-0000-1A00-00000C000000}"/>
            </a:ext>
          </a:extLst>
        </xdr:cNvPr>
        <xdr:cNvSpPr>
          <a:spLocks noChangeShapeType="1"/>
        </xdr:cNvSpPr>
      </xdr:nvSpPr>
      <xdr:spPr bwMode="auto">
        <a:xfrm>
          <a:off x="3324225" y="1076325"/>
          <a:ext cx="1362" cy="1149803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37</xdr:row>
      <xdr:rowOff>9525</xdr:rowOff>
    </xdr:from>
    <xdr:to>
      <xdr:col>4</xdr:col>
      <xdr:colOff>357867</xdr:colOff>
      <xdr:row>37</xdr:row>
      <xdr:rowOff>9526</xdr:rowOff>
    </xdr:to>
    <xdr:sp macro="" textlink="">
      <xdr:nvSpPr>
        <xdr:cNvPr id="13" name="Line 387">
          <a:extLst>
            <a:ext uri="{FF2B5EF4-FFF2-40B4-BE49-F238E27FC236}">
              <a16:creationId xmlns="" xmlns:a16="http://schemas.microsoft.com/office/drawing/2014/main" id="{00000000-0008-0000-1A00-00000D000000}"/>
            </a:ext>
          </a:extLst>
        </xdr:cNvPr>
        <xdr:cNvSpPr>
          <a:spLocks noChangeShapeType="1"/>
        </xdr:cNvSpPr>
      </xdr:nvSpPr>
      <xdr:spPr bwMode="auto">
        <a:xfrm>
          <a:off x="2571750" y="108585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43</xdr:row>
      <xdr:rowOff>9525</xdr:rowOff>
    </xdr:from>
    <xdr:to>
      <xdr:col>4</xdr:col>
      <xdr:colOff>367392</xdr:colOff>
      <xdr:row>43</xdr:row>
      <xdr:rowOff>9526</xdr:rowOff>
    </xdr:to>
    <xdr:sp macro="" textlink="">
      <xdr:nvSpPr>
        <xdr:cNvPr id="14" name="Line 387">
          <a:extLst>
            <a:ext uri="{FF2B5EF4-FFF2-40B4-BE49-F238E27FC236}">
              <a16:creationId xmlns="" xmlns:a16="http://schemas.microsoft.com/office/drawing/2014/main" id="{00000000-0008-0000-1A00-00000E000000}"/>
            </a:ext>
          </a:extLst>
        </xdr:cNvPr>
        <xdr:cNvSpPr>
          <a:spLocks noChangeShapeType="1"/>
        </xdr:cNvSpPr>
      </xdr:nvSpPr>
      <xdr:spPr bwMode="auto">
        <a:xfrm>
          <a:off x="2581275" y="222885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428625</xdr:colOff>
      <xdr:row>40</xdr:row>
      <xdr:rowOff>0</xdr:rowOff>
    </xdr:from>
    <xdr:to>
      <xdr:col>3</xdr:col>
      <xdr:colOff>429985</xdr:colOff>
      <xdr:row>42</xdr:row>
      <xdr:rowOff>190499</xdr:rowOff>
    </xdr:to>
    <xdr:sp macro="" textlink="">
      <xdr:nvSpPr>
        <xdr:cNvPr id="15" name="Line 386">
          <a:extLst>
            <a:ext uri="{FF2B5EF4-FFF2-40B4-BE49-F238E27FC236}">
              <a16:creationId xmlns="" xmlns:a16="http://schemas.microsoft.com/office/drawing/2014/main" id="{00000000-0008-0000-1A00-00000F000000}"/>
            </a:ext>
          </a:extLst>
        </xdr:cNvPr>
        <xdr:cNvSpPr>
          <a:spLocks noChangeShapeType="1"/>
        </xdr:cNvSpPr>
      </xdr:nvSpPr>
      <xdr:spPr bwMode="auto">
        <a:xfrm>
          <a:off x="2686050" y="1647825"/>
          <a:ext cx="1360" cy="57149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428625</xdr:colOff>
      <xdr:row>37</xdr:row>
      <xdr:rowOff>19050</xdr:rowOff>
    </xdr:from>
    <xdr:to>
      <xdr:col>3</xdr:col>
      <xdr:colOff>429985</xdr:colOff>
      <xdr:row>40</xdr:row>
      <xdr:rowOff>19049</xdr:rowOff>
    </xdr:to>
    <xdr:sp macro="" textlink="">
      <xdr:nvSpPr>
        <xdr:cNvPr id="16" name="Line 386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SpPr>
          <a:spLocks noChangeShapeType="1"/>
        </xdr:cNvSpPr>
      </xdr:nvSpPr>
      <xdr:spPr bwMode="auto">
        <a:xfrm>
          <a:off x="2686050" y="1095375"/>
          <a:ext cx="1360" cy="57149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733425</xdr:colOff>
      <xdr:row>39</xdr:row>
      <xdr:rowOff>180975</xdr:rowOff>
    </xdr:from>
    <xdr:to>
      <xdr:col>3</xdr:col>
      <xdr:colOff>534761</xdr:colOff>
      <xdr:row>39</xdr:row>
      <xdr:rowOff>180975</xdr:rowOff>
    </xdr:to>
    <xdr:sp macro="" textlink="">
      <xdr:nvSpPr>
        <xdr:cNvPr id="17" name="Line 374">
          <a:extLst>
            <a:ext uri="{FF2B5EF4-FFF2-40B4-BE49-F238E27FC236}">
              <a16:creationId xmlns="" xmlns:a16="http://schemas.microsoft.com/office/drawing/2014/main" id="{00000000-0008-0000-1A00-000011000000}"/>
            </a:ext>
          </a:extLst>
        </xdr:cNvPr>
        <xdr:cNvSpPr>
          <a:spLocks noChangeShapeType="1"/>
        </xdr:cNvSpPr>
      </xdr:nvSpPr>
      <xdr:spPr bwMode="auto">
        <a:xfrm flipH="1">
          <a:off x="2238375" y="1638300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39</xdr:row>
      <xdr:rowOff>180975</xdr:rowOff>
    </xdr:from>
    <xdr:to>
      <xdr:col>1</xdr:col>
      <xdr:colOff>13608</xdr:colOff>
      <xdr:row>43</xdr:row>
      <xdr:rowOff>8164</xdr:rowOff>
    </xdr:to>
    <xdr:sp macro="" textlink="">
      <xdr:nvSpPr>
        <xdr:cNvPr id="18" name="Line 615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SpPr>
          <a:spLocks noChangeShapeType="1"/>
        </xdr:cNvSpPr>
      </xdr:nvSpPr>
      <xdr:spPr bwMode="auto">
        <a:xfrm>
          <a:off x="762000" y="1638300"/>
          <a:ext cx="4083" cy="589189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39</xdr:row>
      <xdr:rowOff>161925</xdr:rowOff>
    </xdr:from>
    <xdr:to>
      <xdr:col>3</xdr:col>
      <xdr:colOff>13608</xdr:colOff>
      <xdr:row>42</xdr:row>
      <xdr:rowOff>179614</xdr:rowOff>
    </xdr:to>
    <xdr:sp macro="" textlink="">
      <xdr:nvSpPr>
        <xdr:cNvPr id="19" name="Line 615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SpPr>
          <a:spLocks noChangeShapeType="1"/>
        </xdr:cNvSpPr>
      </xdr:nvSpPr>
      <xdr:spPr bwMode="auto">
        <a:xfrm>
          <a:off x="2266950" y="1619250"/>
          <a:ext cx="4083" cy="589189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</xdr:row>
      <xdr:rowOff>0</xdr:rowOff>
    </xdr:from>
    <xdr:to>
      <xdr:col>1</xdr:col>
      <xdr:colOff>0</xdr:colOff>
      <xdr:row>36</xdr:row>
      <xdr:rowOff>179613</xdr:rowOff>
    </xdr:to>
    <xdr:sp macro="" textlink="">
      <xdr:nvSpPr>
        <xdr:cNvPr id="20" name="Line 395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SpPr>
          <a:spLocks noChangeShapeType="1"/>
        </xdr:cNvSpPr>
      </xdr:nvSpPr>
      <xdr:spPr bwMode="auto">
        <a:xfrm>
          <a:off x="752475" y="695325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35</xdr:row>
      <xdr:rowOff>0</xdr:rowOff>
    </xdr:from>
    <xdr:to>
      <xdr:col>2</xdr:col>
      <xdr:colOff>742950</xdr:colOff>
      <xdr:row>36</xdr:row>
      <xdr:rowOff>179613</xdr:rowOff>
    </xdr:to>
    <xdr:sp macro="" textlink="">
      <xdr:nvSpPr>
        <xdr:cNvPr id="21" name="Line 395">
          <a:extLst>
            <a:ext uri="{FF2B5EF4-FFF2-40B4-BE49-F238E27FC236}">
              <a16:creationId xmlns="" xmlns:a16="http://schemas.microsoft.com/office/drawing/2014/main" id="{00000000-0008-0000-1A00-000015000000}"/>
            </a:ext>
          </a:extLst>
        </xdr:cNvPr>
        <xdr:cNvSpPr>
          <a:spLocks noChangeShapeType="1"/>
        </xdr:cNvSpPr>
      </xdr:nvSpPr>
      <xdr:spPr bwMode="auto">
        <a:xfrm>
          <a:off x="2247900" y="695325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45</xdr:row>
      <xdr:rowOff>0</xdr:rowOff>
    </xdr:from>
    <xdr:to>
      <xdr:col>2</xdr:col>
      <xdr:colOff>371475</xdr:colOff>
      <xdr:row>45</xdr:row>
      <xdr:rowOff>0</xdr:rowOff>
    </xdr:to>
    <xdr:sp macro="" textlink="">
      <xdr:nvSpPr>
        <xdr:cNvPr id="22" name="Line 372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SpPr>
          <a:spLocks noChangeShapeType="1"/>
        </xdr:cNvSpPr>
      </xdr:nvSpPr>
      <xdr:spPr bwMode="auto">
        <a:xfrm>
          <a:off x="1095375" y="260032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47</xdr:row>
      <xdr:rowOff>0</xdr:rowOff>
    </xdr:from>
    <xdr:to>
      <xdr:col>2</xdr:col>
      <xdr:colOff>581025</xdr:colOff>
      <xdr:row>47</xdr:row>
      <xdr:rowOff>0</xdr:rowOff>
    </xdr:to>
    <xdr:sp macro="" textlink="">
      <xdr:nvSpPr>
        <xdr:cNvPr id="23" name="Line 377">
          <a:extLst>
            <a:ext uri="{FF2B5EF4-FFF2-40B4-BE49-F238E27FC236}">
              <a16:creationId xmlns="" xmlns:a16="http://schemas.microsoft.com/office/drawing/2014/main" id="{00000000-0008-0000-1A00-000017000000}"/>
            </a:ext>
          </a:extLst>
        </xdr:cNvPr>
        <xdr:cNvSpPr>
          <a:spLocks noChangeShapeType="1"/>
        </xdr:cNvSpPr>
      </xdr:nvSpPr>
      <xdr:spPr bwMode="auto">
        <a:xfrm>
          <a:off x="904875" y="298132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46</xdr:row>
      <xdr:rowOff>38100</xdr:rowOff>
    </xdr:from>
    <xdr:to>
      <xdr:col>1</xdr:col>
      <xdr:colOff>161925</xdr:colOff>
      <xdr:row>48</xdr:row>
      <xdr:rowOff>9525</xdr:rowOff>
    </xdr:to>
    <xdr:sp macro="" textlink="">
      <xdr:nvSpPr>
        <xdr:cNvPr id="24" name="Line 370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SpPr>
          <a:spLocks noChangeShapeType="1"/>
        </xdr:cNvSpPr>
      </xdr:nvSpPr>
      <xdr:spPr bwMode="auto">
        <a:xfrm>
          <a:off x="914400" y="28289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46</xdr:row>
      <xdr:rowOff>28575</xdr:rowOff>
    </xdr:from>
    <xdr:to>
      <xdr:col>2</xdr:col>
      <xdr:colOff>561975</xdr:colOff>
      <xdr:row>48</xdr:row>
      <xdr:rowOff>0</xdr:rowOff>
    </xdr:to>
    <xdr:sp macro="" textlink="">
      <xdr:nvSpPr>
        <xdr:cNvPr id="25" name="Line 370">
          <a:extLst>
            <a:ext uri="{FF2B5EF4-FFF2-40B4-BE49-F238E27FC236}">
              <a16:creationId xmlns="" xmlns:a16="http://schemas.microsoft.com/office/drawing/2014/main" id="{00000000-0008-0000-1A00-000019000000}"/>
            </a:ext>
          </a:extLst>
        </xdr:cNvPr>
        <xdr:cNvSpPr>
          <a:spLocks noChangeShapeType="1"/>
        </xdr:cNvSpPr>
      </xdr:nvSpPr>
      <xdr:spPr bwMode="auto">
        <a:xfrm>
          <a:off x="2066925" y="281940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361950</xdr:colOff>
      <xdr:row>44</xdr:row>
      <xdr:rowOff>47625</xdr:rowOff>
    </xdr:from>
    <xdr:to>
      <xdr:col>2</xdr:col>
      <xdr:colOff>361950</xdr:colOff>
      <xdr:row>46</xdr:row>
      <xdr:rowOff>19050</xdr:rowOff>
    </xdr:to>
    <xdr:sp macro="" textlink="">
      <xdr:nvSpPr>
        <xdr:cNvPr id="26" name="Line 370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SpPr>
          <a:spLocks noChangeShapeType="1"/>
        </xdr:cNvSpPr>
      </xdr:nvSpPr>
      <xdr:spPr bwMode="auto">
        <a:xfrm>
          <a:off x="1866900" y="245745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44</xdr:row>
      <xdr:rowOff>38100</xdr:rowOff>
    </xdr:from>
    <xdr:to>
      <xdr:col>1</xdr:col>
      <xdr:colOff>342900</xdr:colOff>
      <xdr:row>46</xdr:row>
      <xdr:rowOff>9525</xdr:rowOff>
    </xdr:to>
    <xdr:sp macro="" textlink="">
      <xdr:nvSpPr>
        <xdr:cNvPr id="27" name="Line 370">
          <a:extLst>
            <a:ext uri="{FF2B5EF4-FFF2-40B4-BE49-F238E27FC236}">
              <a16:creationId xmlns="" xmlns:a16="http://schemas.microsoft.com/office/drawing/2014/main" id="{00000000-0008-0000-1A00-00001B000000}"/>
            </a:ext>
          </a:extLst>
        </xdr:cNvPr>
        <xdr:cNvSpPr>
          <a:spLocks noChangeShapeType="1"/>
        </xdr:cNvSpPr>
      </xdr:nvSpPr>
      <xdr:spPr bwMode="auto">
        <a:xfrm>
          <a:off x="1095375" y="24479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58</xdr:row>
      <xdr:rowOff>9525</xdr:rowOff>
    </xdr:from>
    <xdr:to>
      <xdr:col>3</xdr:col>
      <xdr:colOff>8165</xdr:colOff>
      <xdr:row>58</xdr:row>
      <xdr:rowOff>10886</xdr:rowOff>
    </xdr:to>
    <xdr:sp macro="" textlink="">
      <xdr:nvSpPr>
        <xdr:cNvPr id="28" name="Line 366">
          <a:extLst>
            <a:ext uri="{FF2B5EF4-FFF2-40B4-BE49-F238E27FC236}">
              <a16:creationId xmlns="" xmlns:a16="http://schemas.microsoft.com/office/drawing/2014/main" id="{00000000-0008-0000-1A00-00001C000000}"/>
            </a:ext>
          </a:extLst>
        </xdr:cNvPr>
        <xdr:cNvSpPr>
          <a:spLocks noChangeShapeType="1"/>
        </xdr:cNvSpPr>
      </xdr:nvSpPr>
      <xdr:spPr bwMode="auto">
        <a:xfrm>
          <a:off x="742950" y="5086350"/>
          <a:ext cx="1522640" cy="136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55</xdr:row>
      <xdr:rowOff>0</xdr:rowOff>
    </xdr:from>
    <xdr:to>
      <xdr:col>0</xdr:col>
      <xdr:colOff>749231</xdr:colOff>
      <xdr:row>58</xdr:row>
      <xdr:rowOff>17689</xdr:rowOff>
    </xdr:to>
    <xdr:sp macro="" textlink="">
      <xdr:nvSpPr>
        <xdr:cNvPr id="29" name="Line 615">
          <a:extLst>
            <a:ext uri="{FF2B5EF4-FFF2-40B4-BE49-F238E27FC236}">
              <a16:creationId xmlns="" xmlns:a16="http://schemas.microsoft.com/office/drawing/2014/main" id="{00000000-0008-0000-1A00-00001D000000}"/>
            </a:ext>
          </a:extLst>
        </xdr:cNvPr>
        <xdr:cNvSpPr>
          <a:spLocks noChangeShapeType="1"/>
        </xdr:cNvSpPr>
      </xdr:nvSpPr>
      <xdr:spPr bwMode="auto">
        <a:xfrm>
          <a:off x="742950" y="4505325"/>
          <a:ext cx="6281" cy="589189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54</xdr:row>
      <xdr:rowOff>180975</xdr:rowOff>
    </xdr:from>
    <xdr:to>
      <xdr:col>2</xdr:col>
      <xdr:colOff>749231</xdr:colOff>
      <xdr:row>58</xdr:row>
      <xdr:rowOff>8164</xdr:rowOff>
    </xdr:to>
    <xdr:sp macro="" textlink="">
      <xdr:nvSpPr>
        <xdr:cNvPr id="30" name="Line 615">
          <a:extLst>
            <a:ext uri="{FF2B5EF4-FFF2-40B4-BE49-F238E27FC236}">
              <a16:creationId xmlns="" xmlns:a16="http://schemas.microsoft.com/office/drawing/2014/main" id="{00000000-0008-0000-1A00-00001E000000}"/>
            </a:ext>
          </a:extLst>
        </xdr:cNvPr>
        <xdr:cNvSpPr>
          <a:spLocks noChangeShapeType="1"/>
        </xdr:cNvSpPr>
      </xdr:nvSpPr>
      <xdr:spPr bwMode="auto">
        <a:xfrm>
          <a:off x="2247900" y="4495800"/>
          <a:ext cx="6281" cy="589189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55</xdr:row>
      <xdr:rowOff>9525</xdr:rowOff>
    </xdr:from>
    <xdr:to>
      <xdr:col>1</xdr:col>
      <xdr:colOff>10886</xdr:colOff>
      <xdr:row>55</xdr:row>
      <xdr:rowOff>9525</xdr:rowOff>
    </xdr:to>
    <xdr:sp macro="" textlink="">
      <xdr:nvSpPr>
        <xdr:cNvPr id="31" name="Line 374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SpPr>
          <a:spLocks noChangeShapeType="1"/>
        </xdr:cNvSpPr>
      </xdr:nvSpPr>
      <xdr:spPr bwMode="auto">
        <a:xfrm flipH="1">
          <a:off x="209550" y="4514850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54</xdr:row>
      <xdr:rowOff>180975</xdr:rowOff>
    </xdr:from>
    <xdr:to>
      <xdr:col>3</xdr:col>
      <xdr:colOff>563336</xdr:colOff>
      <xdr:row>54</xdr:row>
      <xdr:rowOff>180975</xdr:rowOff>
    </xdr:to>
    <xdr:sp macro="" textlink="">
      <xdr:nvSpPr>
        <xdr:cNvPr id="32" name="Line 374">
          <a:extLst>
            <a:ext uri="{FF2B5EF4-FFF2-40B4-BE49-F238E27FC236}">
              <a16:creationId xmlns="" xmlns:a16="http://schemas.microsoft.com/office/drawing/2014/main" id="{00000000-0008-0000-1A00-000020000000}"/>
            </a:ext>
          </a:extLst>
        </xdr:cNvPr>
        <xdr:cNvSpPr>
          <a:spLocks noChangeShapeType="1"/>
        </xdr:cNvSpPr>
      </xdr:nvSpPr>
      <xdr:spPr bwMode="auto">
        <a:xfrm flipH="1">
          <a:off x="2266950" y="4495800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51</xdr:row>
      <xdr:rowOff>171450</xdr:rowOff>
    </xdr:from>
    <xdr:to>
      <xdr:col>1</xdr:col>
      <xdr:colOff>342900</xdr:colOff>
      <xdr:row>57</xdr:row>
      <xdr:rowOff>176892</xdr:rowOff>
    </xdr:to>
    <xdr:sp macro="" textlink="">
      <xdr:nvSpPr>
        <xdr:cNvPr id="33" name="Line 383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SpPr>
          <a:spLocks noChangeShapeType="1"/>
        </xdr:cNvSpPr>
      </xdr:nvSpPr>
      <xdr:spPr bwMode="auto">
        <a:xfrm flipH="1">
          <a:off x="1095375" y="3914775"/>
          <a:ext cx="0" cy="11484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51</xdr:row>
      <xdr:rowOff>180975</xdr:rowOff>
    </xdr:from>
    <xdr:to>
      <xdr:col>2</xdr:col>
      <xdr:colOff>371475</xdr:colOff>
      <xdr:row>57</xdr:row>
      <xdr:rowOff>186417</xdr:rowOff>
    </xdr:to>
    <xdr:sp macro="" textlink="">
      <xdr:nvSpPr>
        <xdr:cNvPr id="34" name="Line 383">
          <a:extLst>
            <a:ext uri="{FF2B5EF4-FFF2-40B4-BE49-F238E27FC236}">
              <a16:creationId xmlns="" xmlns:a16="http://schemas.microsoft.com/office/drawing/2014/main" id="{00000000-0008-0000-1A00-000022000000}"/>
            </a:ext>
          </a:extLst>
        </xdr:cNvPr>
        <xdr:cNvSpPr>
          <a:spLocks noChangeShapeType="1"/>
        </xdr:cNvSpPr>
      </xdr:nvSpPr>
      <xdr:spPr bwMode="auto">
        <a:xfrm flipH="1">
          <a:off x="1876425" y="3924300"/>
          <a:ext cx="0" cy="11484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52</xdr:row>
      <xdr:rowOff>0</xdr:rowOff>
    </xdr:from>
    <xdr:to>
      <xdr:col>2</xdr:col>
      <xdr:colOff>419100</xdr:colOff>
      <xdr:row>52</xdr:row>
      <xdr:rowOff>0</xdr:rowOff>
    </xdr:to>
    <xdr:sp macro="" textlink="">
      <xdr:nvSpPr>
        <xdr:cNvPr id="35" name="Line 384">
          <a:extLst>
            <a:ext uri="{FF2B5EF4-FFF2-40B4-BE49-F238E27FC236}">
              <a16:creationId xmlns="" xmlns:a16="http://schemas.microsoft.com/office/drawing/2014/main" id="{00000000-0008-0000-1A00-000023000000}"/>
            </a:ext>
          </a:extLst>
        </xdr:cNvPr>
        <xdr:cNvSpPr>
          <a:spLocks noChangeShapeType="1"/>
        </xdr:cNvSpPr>
      </xdr:nvSpPr>
      <xdr:spPr bwMode="auto">
        <a:xfrm>
          <a:off x="1047750" y="393382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314325</xdr:colOff>
      <xdr:row>51</xdr:row>
      <xdr:rowOff>0</xdr:rowOff>
    </xdr:from>
    <xdr:to>
      <xdr:col>2</xdr:col>
      <xdr:colOff>409575</xdr:colOff>
      <xdr:row>51</xdr:row>
      <xdr:rowOff>0</xdr:rowOff>
    </xdr:to>
    <xdr:sp macro="" textlink="">
      <xdr:nvSpPr>
        <xdr:cNvPr id="36" name="Line 388">
          <a:extLst>
            <a:ext uri="{FF2B5EF4-FFF2-40B4-BE49-F238E27FC236}">
              <a16:creationId xmlns="" xmlns:a16="http://schemas.microsoft.com/office/drawing/2014/main" id="{00000000-0008-0000-1A00-000024000000}"/>
            </a:ext>
          </a:extLst>
        </xdr:cNvPr>
        <xdr:cNvSpPr>
          <a:spLocks noChangeShapeType="1"/>
        </xdr:cNvSpPr>
      </xdr:nvSpPr>
      <xdr:spPr bwMode="auto">
        <a:xfrm>
          <a:off x="1066800" y="374332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9525</xdr:rowOff>
    </xdr:from>
    <xdr:to>
      <xdr:col>3</xdr:col>
      <xdr:colOff>0</xdr:colOff>
      <xdr:row>50</xdr:row>
      <xdr:rowOff>9525</xdr:rowOff>
    </xdr:to>
    <xdr:sp macro="" textlink="">
      <xdr:nvSpPr>
        <xdr:cNvPr id="37" name="Line 394">
          <a:extLst>
            <a:ext uri="{FF2B5EF4-FFF2-40B4-BE49-F238E27FC236}">
              <a16:creationId xmlns="" xmlns:a16="http://schemas.microsoft.com/office/drawing/2014/main" id="{00000000-0008-0000-1A00-000025000000}"/>
            </a:ext>
          </a:extLst>
        </xdr:cNvPr>
        <xdr:cNvSpPr>
          <a:spLocks noChangeShapeType="1"/>
        </xdr:cNvSpPr>
      </xdr:nvSpPr>
      <xdr:spPr bwMode="auto">
        <a:xfrm>
          <a:off x="752475" y="3562350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49</xdr:row>
      <xdr:rowOff>180975</xdr:rowOff>
    </xdr:from>
    <xdr:to>
      <xdr:col>1</xdr:col>
      <xdr:colOff>9525</xdr:colOff>
      <xdr:row>51</xdr:row>
      <xdr:rowOff>170088</xdr:rowOff>
    </xdr:to>
    <xdr:sp macro="" textlink="">
      <xdr:nvSpPr>
        <xdr:cNvPr id="38" name="Line 395">
          <a:extLst>
            <a:ext uri="{FF2B5EF4-FFF2-40B4-BE49-F238E27FC236}">
              <a16:creationId xmlns="" xmlns:a16="http://schemas.microsoft.com/office/drawing/2014/main" id="{00000000-0008-0000-1A00-000026000000}"/>
            </a:ext>
          </a:extLst>
        </xdr:cNvPr>
        <xdr:cNvSpPr>
          <a:spLocks noChangeShapeType="1"/>
        </xdr:cNvSpPr>
      </xdr:nvSpPr>
      <xdr:spPr bwMode="auto">
        <a:xfrm>
          <a:off x="762000" y="3543300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49</xdr:row>
      <xdr:rowOff>180975</xdr:rowOff>
    </xdr:from>
    <xdr:to>
      <xdr:col>2</xdr:col>
      <xdr:colOff>742950</xdr:colOff>
      <xdr:row>51</xdr:row>
      <xdr:rowOff>170088</xdr:rowOff>
    </xdr:to>
    <xdr:sp macro="" textlink="">
      <xdr:nvSpPr>
        <xdr:cNvPr id="39" name="Line 395">
          <a:extLst>
            <a:ext uri="{FF2B5EF4-FFF2-40B4-BE49-F238E27FC236}">
              <a16:creationId xmlns="" xmlns:a16="http://schemas.microsoft.com/office/drawing/2014/main" id="{00000000-0008-0000-1A00-000027000000}"/>
            </a:ext>
          </a:extLst>
        </xdr:cNvPr>
        <xdr:cNvSpPr>
          <a:spLocks noChangeShapeType="1"/>
        </xdr:cNvSpPr>
      </xdr:nvSpPr>
      <xdr:spPr bwMode="auto">
        <a:xfrm>
          <a:off x="2247900" y="3543300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457200</xdr:colOff>
      <xdr:row>54</xdr:row>
      <xdr:rowOff>180975</xdr:rowOff>
    </xdr:from>
    <xdr:to>
      <xdr:col>3</xdr:col>
      <xdr:colOff>458560</xdr:colOff>
      <xdr:row>57</xdr:row>
      <xdr:rowOff>180974</xdr:rowOff>
    </xdr:to>
    <xdr:sp macro="" textlink="">
      <xdr:nvSpPr>
        <xdr:cNvPr id="40" name="Line 386">
          <a:extLst>
            <a:ext uri="{FF2B5EF4-FFF2-40B4-BE49-F238E27FC236}">
              <a16:creationId xmlns="" xmlns:a16="http://schemas.microsoft.com/office/drawing/2014/main" id="{00000000-0008-0000-1A00-000028000000}"/>
            </a:ext>
          </a:extLst>
        </xdr:cNvPr>
        <xdr:cNvSpPr>
          <a:spLocks noChangeShapeType="1"/>
        </xdr:cNvSpPr>
      </xdr:nvSpPr>
      <xdr:spPr bwMode="auto">
        <a:xfrm>
          <a:off x="2714625" y="4495800"/>
          <a:ext cx="1360" cy="57149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457200</xdr:colOff>
      <xdr:row>51</xdr:row>
      <xdr:rowOff>161925</xdr:rowOff>
    </xdr:from>
    <xdr:to>
      <xdr:col>3</xdr:col>
      <xdr:colOff>458560</xdr:colOff>
      <xdr:row>54</xdr:row>
      <xdr:rowOff>161924</xdr:rowOff>
    </xdr:to>
    <xdr:sp macro="" textlink="">
      <xdr:nvSpPr>
        <xdr:cNvPr id="41" name="Line 386">
          <a:extLst>
            <a:ext uri="{FF2B5EF4-FFF2-40B4-BE49-F238E27FC236}">
              <a16:creationId xmlns="" xmlns:a16="http://schemas.microsoft.com/office/drawing/2014/main" id="{00000000-0008-0000-1A00-000029000000}"/>
            </a:ext>
          </a:extLst>
        </xdr:cNvPr>
        <xdr:cNvSpPr>
          <a:spLocks noChangeShapeType="1"/>
        </xdr:cNvSpPr>
      </xdr:nvSpPr>
      <xdr:spPr bwMode="auto">
        <a:xfrm>
          <a:off x="2714625" y="3905250"/>
          <a:ext cx="1360" cy="571499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51</xdr:row>
      <xdr:rowOff>180975</xdr:rowOff>
    </xdr:from>
    <xdr:to>
      <xdr:col>4</xdr:col>
      <xdr:colOff>287112</xdr:colOff>
      <xdr:row>57</xdr:row>
      <xdr:rowOff>187778</xdr:rowOff>
    </xdr:to>
    <xdr:sp macro="" textlink="">
      <xdr:nvSpPr>
        <xdr:cNvPr id="42" name="Line 378">
          <a:extLst>
            <a:ext uri="{FF2B5EF4-FFF2-40B4-BE49-F238E27FC236}">
              <a16:creationId xmlns="" xmlns:a16="http://schemas.microsoft.com/office/drawing/2014/main" id="{00000000-0008-0000-1A00-00002A000000}"/>
            </a:ext>
          </a:extLst>
        </xdr:cNvPr>
        <xdr:cNvSpPr>
          <a:spLocks noChangeShapeType="1"/>
        </xdr:cNvSpPr>
      </xdr:nvSpPr>
      <xdr:spPr bwMode="auto">
        <a:xfrm>
          <a:off x="3295650" y="3924300"/>
          <a:ext cx="1362" cy="1149803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57</xdr:row>
      <xdr:rowOff>180975</xdr:rowOff>
    </xdr:from>
    <xdr:to>
      <xdr:col>4</xdr:col>
      <xdr:colOff>310242</xdr:colOff>
      <xdr:row>57</xdr:row>
      <xdr:rowOff>180976</xdr:rowOff>
    </xdr:to>
    <xdr:sp macro="" textlink="">
      <xdr:nvSpPr>
        <xdr:cNvPr id="43" name="Line 387">
          <a:extLst>
            <a:ext uri="{FF2B5EF4-FFF2-40B4-BE49-F238E27FC236}">
              <a16:creationId xmlns="" xmlns:a16="http://schemas.microsoft.com/office/drawing/2014/main" id="{00000000-0008-0000-1A00-00002B000000}"/>
            </a:ext>
          </a:extLst>
        </xdr:cNvPr>
        <xdr:cNvSpPr>
          <a:spLocks noChangeShapeType="1"/>
        </xdr:cNvSpPr>
      </xdr:nvSpPr>
      <xdr:spPr bwMode="auto">
        <a:xfrm>
          <a:off x="2524125" y="506730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247650</xdr:colOff>
      <xdr:row>52</xdr:row>
      <xdr:rowOff>0</xdr:rowOff>
    </xdr:from>
    <xdr:to>
      <xdr:col>4</xdr:col>
      <xdr:colOff>291192</xdr:colOff>
      <xdr:row>52</xdr:row>
      <xdr:rowOff>1</xdr:rowOff>
    </xdr:to>
    <xdr:sp macro="" textlink="">
      <xdr:nvSpPr>
        <xdr:cNvPr id="44" name="Line 387">
          <a:extLst>
            <a:ext uri="{FF2B5EF4-FFF2-40B4-BE49-F238E27FC236}">
              <a16:creationId xmlns="" xmlns:a16="http://schemas.microsoft.com/office/drawing/2014/main" id="{00000000-0008-0000-1A00-00002C000000}"/>
            </a:ext>
          </a:extLst>
        </xdr:cNvPr>
        <xdr:cNvSpPr>
          <a:spLocks noChangeShapeType="1"/>
        </xdr:cNvSpPr>
      </xdr:nvSpPr>
      <xdr:spPr bwMode="auto">
        <a:xfrm>
          <a:off x="2505075" y="3933825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60</xdr:row>
      <xdr:rowOff>0</xdr:rowOff>
    </xdr:from>
    <xdr:to>
      <xdr:col>2</xdr:col>
      <xdr:colOff>409575</xdr:colOff>
      <xdr:row>60</xdr:row>
      <xdr:rowOff>0</xdr:rowOff>
    </xdr:to>
    <xdr:sp macro="" textlink="">
      <xdr:nvSpPr>
        <xdr:cNvPr id="45" name="Line 372">
          <a:extLst>
            <a:ext uri="{FF2B5EF4-FFF2-40B4-BE49-F238E27FC236}">
              <a16:creationId xmlns="" xmlns:a16="http://schemas.microsoft.com/office/drawing/2014/main" id="{00000000-0008-0000-1A00-00002D000000}"/>
            </a:ext>
          </a:extLst>
        </xdr:cNvPr>
        <xdr:cNvSpPr>
          <a:spLocks noChangeShapeType="1"/>
        </xdr:cNvSpPr>
      </xdr:nvSpPr>
      <xdr:spPr bwMode="auto">
        <a:xfrm>
          <a:off x="1133475" y="545782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</xdr:colOff>
      <xdr:row>61</xdr:row>
      <xdr:rowOff>171450</xdr:rowOff>
    </xdr:from>
    <xdr:to>
      <xdr:col>2</xdr:col>
      <xdr:colOff>571500</xdr:colOff>
      <xdr:row>61</xdr:row>
      <xdr:rowOff>171450</xdr:rowOff>
    </xdr:to>
    <xdr:sp macro="" textlink="">
      <xdr:nvSpPr>
        <xdr:cNvPr id="46" name="Line 377">
          <a:extLst>
            <a:ext uri="{FF2B5EF4-FFF2-40B4-BE49-F238E27FC236}">
              <a16:creationId xmlns="" xmlns:a16="http://schemas.microsoft.com/office/drawing/2014/main" id="{00000000-0008-0000-1A00-00002E000000}"/>
            </a:ext>
          </a:extLst>
        </xdr:cNvPr>
        <xdr:cNvSpPr>
          <a:spLocks noChangeShapeType="1"/>
        </xdr:cNvSpPr>
      </xdr:nvSpPr>
      <xdr:spPr bwMode="auto">
        <a:xfrm>
          <a:off x="895350" y="581977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59</xdr:row>
      <xdr:rowOff>38100</xdr:rowOff>
    </xdr:from>
    <xdr:to>
      <xdr:col>1</xdr:col>
      <xdr:colOff>390525</xdr:colOff>
      <xdr:row>61</xdr:row>
      <xdr:rowOff>9525</xdr:rowOff>
    </xdr:to>
    <xdr:sp macro="" textlink="">
      <xdr:nvSpPr>
        <xdr:cNvPr id="47" name="Line 370">
          <a:extLst>
            <a:ext uri="{FF2B5EF4-FFF2-40B4-BE49-F238E27FC236}">
              <a16:creationId xmlns="" xmlns:a16="http://schemas.microsoft.com/office/drawing/2014/main" id="{00000000-0008-0000-1A00-00002F000000}"/>
            </a:ext>
          </a:extLst>
        </xdr:cNvPr>
        <xdr:cNvSpPr>
          <a:spLocks noChangeShapeType="1"/>
        </xdr:cNvSpPr>
      </xdr:nvSpPr>
      <xdr:spPr bwMode="auto">
        <a:xfrm>
          <a:off x="1143000" y="53054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400050</xdr:colOff>
      <xdr:row>59</xdr:row>
      <xdr:rowOff>57150</xdr:rowOff>
    </xdr:from>
    <xdr:to>
      <xdr:col>2</xdr:col>
      <xdr:colOff>400050</xdr:colOff>
      <xdr:row>61</xdr:row>
      <xdr:rowOff>28575</xdr:rowOff>
    </xdr:to>
    <xdr:sp macro="" textlink="">
      <xdr:nvSpPr>
        <xdr:cNvPr id="48" name="Line 370">
          <a:extLst>
            <a:ext uri="{FF2B5EF4-FFF2-40B4-BE49-F238E27FC236}">
              <a16:creationId xmlns="" xmlns:a16="http://schemas.microsoft.com/office/drawing/2014/main" id="{00000000-0008-0000-1A00-000030000000}"/>
            </a:ext>
          </a:extLst>
        </xdr:cNvPr>
        <xdr:cNvSpPr>
          <a:spLocks noChangeShapeType="1"/>
        </xdr:cNvSpPr>
      </xdr:nvSpPr>
      <xdr:spPr bwMode="auto">
        <a:xfrm>
          <a:off x="1905000" y="532447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61</xdr:row>
      <xdr:rowOff>9525</xdr:rowOff>
    </xdr:from>
    <xdr:to>
      <xdr:col>2</xdr:col>
      <xdr:colOff>561975</xdr:colOff>
      <xdr:row>62</xdr:row>
      <xdr:rowOff>171450</xdr:rowOff>
    </xdr:to>
    <xdr:sp macro="" textlink="">
      <xdr:nvSpPr>
        <xdr:cNvPr id="49" name="Line 370">
          <a:extLst>
            <a:ext uri="{FF2B5EF4-FFF2-40B4-BE49-F238E27FC236}">
              <a16:creationId xmlns="" xmlns:a16="http://schemas.microsoft.com/office/drawing/2014/main" id="{00000000-0008-0000-1A00-000031000000}"/>
            </a:ext>
          </a:extLst>
        </xdr:cNvPr>
        <xdr:cNvSpPr>
          <a:spLocks noChangeShapeType="1"/>
        </xdr:cNvSpPr>
      </xdr:nvSpPr>
      <xdr:spPr bwMode="auto">
        <a:xfrm>
          <a:off x="2066925" y="565785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142875</xdr:colOff>
      <xdr:row>61</xdr:row>
      <xdr:rowOff>28575</xdr:rowOff>
    </xdr:from>
    <xdr:to>
      <xdr:col>1</xdr:col>
      <xdr:colOff>142875</xdr:colOff>
      <xdr:row>63</xdr:row>
      <xdr:rowOff>0</xdr:rowOff>
    </xdr:to>
    <xdr:sp macro="" textlink="">
      <xdr:nvSpPr>
        <xdr:cNvPr id="50" name="Line 370">
          <a:extLst>
            <a:ext uri="{FF2B5EF4-FFF2-40B4-BE49-F238E27FC236}">
              <a16:creationId xmlns="" xmlns:a16="http://schemas.microsoft.com/office/drawing/2014/main" id="{00000000-0008-0000-1A00-000032000000}"/>
            </a:ext>
          </a:extLst>
        </xdr:cNvPr>
        <xdr:cNvSpPr>
          <a:spLocks noChangeShapeType="1"/>
        </xdr:cNvSpPr>
      </xdr:nvSpPr>
      <xdr:spPr bwMode="auto">
        <a:xfrm>
          <a:off x="895350" y="567690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723900</xdr:colOff>
      <xdr:row>70</xdr:row>
      <xdr:rowOff>9525</xdr:rowOff>
    </xdr:from>
    <xdr:to>
      <xdr:col>2</xdr:col>
      <xdr:colOff>723900</xdr:colOff>
      <xdr:row>70</xdr:row>
      <xdr:rowOff>9525</xdr:rowOff>
    </xdr:to>
    <xdr:sp macro="" textlink="">
      <xdr:nvSpPr>
        <xdr:cNvPr id="51" name="Line 1076">
          <a:extLst>
            <a:ext uri="{FF2B5EF4-FFF2-40B4-BE49-F238E27FC236}">
              <a16:creationId xmlns="" xmlns:a16="http://schemas.microsoft.com/office/drawing/2014/main" id="{00000000-0008-0000-1A00-000033000000}"/>
            </a:ext>
          </a:extLst>
        </xdr:cNvPr>
        <xdr:cNvSpPr>
          <a:spLocks noChangeShapeType="1"/>
        </xdr:cNvSpPr>
      </xdr:nvSpPr>
      <xdr:spPr bwMode="auto">
        <a:xfrm>
          <a:off x="723900" y="749617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</xdr:colOff>
      <xdr:row>86</xdr:row>
      <xdr:rowOff>9525</xdr:rowOff>
    </xdr:from>
    <xdr:to>
      <xdr:col>2</xdr:col>
      <xdr:colOff>600075</xdr:colOff>
      <xdr:row>86</xdr:row>
      <xdr:rowOff>9525</xdr:rowOff>
    </xdr:to>
    <xdr:sp macro="" textlink="">
      <xdr:nvSpPr>
        <xdr:cNvPr id="52" name="Line 1086">
          <a:extLst>
            <a:ext uri="{FF2B5EF4-FFF2-40B4-BE49-F238E27FC236}">
              <a16:creationId xmlns="" xmlns:a16="http://schemas.microsoft.com/office/drawing/2014/main" id="{00000000-0008-0000-1A00-000034000000}"/>
            </a:ext>
          </a:extLst>
        </xdr:cNvPr>
        <xdr:cNvSpPr>
          <a:spLocks noChangeShapeType="1"/>
        </xdr:cNvSpPr>
      </xdr:nvSpPr>
      <xdr:spPr bwMode="auto">
        <a:xfrm>
          <a:off x="923925" y="1054417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228600</xdr:colOff>
      <xdr:row>81</xdr:row>
      <xdr:rowOff>0</xdr:rowOff>
    </xdr:from>
    <xdr:to>
      <xdr:col>2</xdr:col>
      <xdr:colOff>619125</xdr:colOff>
      <xdr:row>81</xdr:row>
      <xdr:rowOff>0</xdr:rowOff>
    </xdr:to>
    <xdr:sp macro="" textlink="">
      <xdr:nvSpPr>
        <xdr:cNvPr id="53" name="Line 1066">
          <a:extLst>
            <a:ext uri="{FF2B5EF4-FFF2-40B4-BE49-F238E27FC236}">
              <a16:creationId xmlns="" xmlns:a16="http://schemas.microsoft.com/office/drawing/2014/main" id="{00000000-0008-0000-1A00-000035000000}"/>
            </a:ext>
          </a:extLst>
        </xdr:cNvPr>
        <xdr:cNvSpPr>
          <a:spLocks noChangeShapeType="1"/>
        </xdr:cNvSpPr>
      </xdr:nvSpPr>
      <xdr:spPr bwMode="auto">
        <a:xfrm>
          <a:off x="981075" y="9582150"/>
          <a:ext cx="114300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619125</xdr:colOff>
      <xdr:row>73</xdr:row>
      <xdr:rowOff>161925</xdr:rowOff>
    </xdr:from>
    <xdr:to>
      <xdr:col>3</xdr:col>
      <xdr:colOff>78398</xdr:colOff>
      <xdr:row>81</xdr:row>
      <xdr:rowOff>0</xdr:rowOff>
    </xdr:to>
    <xdr:sp macro="" textlink="">
      <xdr:nvSpPr>
        <xdr:cNvPr id="54" name="Line 1067">
          <a:extLst>
            <a:ext uri="{FF2B5EF4-FFF2-40B4-BE49-F238E27FC236}">
              <a16:creationId xmlns="" xmlns:a16="http://schemas.microsoft.com/office/drawing/2014/main" id="{00000000-0008-0000-1A00-000036000000}"/>
            </a:ext>
          </a:extLst>
        </xdr:cNvPr>
        <xdr:cNvSpPr>
          <a:spLocks noChangeShapeType="1"/>
        </xdr:cNvSpPr>
      </xdr:nvSpPr>
      <xdr:spPr bwMode="auto">
        <a:xfrm flipH="1">
          <a:off x="2124075" y="8220075"/>
          <a:ext cx="211748" cy="136207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74</xdr:row>
      <xdr:rowOff>19050</xdr:rowOff>
    </xdr:from>
    <xdr:to>
      <xdr:col>1</xdr:col>
      <xdr:colOff>219075</xdr:colOff>
      <xdr:row>81</xdr:row>
      <xdr:rowOff>0</xdr:rowOff>
    </xdr:to>
    <xdr:sp macro="" textlink="">
      <xdr:nvSpPr>
        <xdr:cNvPr id="55" name="Line 1065">
          <a:extLst>
            <a:ext uri="{FF2B5EF4-FFF2-40B4-BE49-F238E27FC236}">
              <a16:creationId xmlns="" xmlns:a16="http://schemas.microsoft.com/office/drawing/2014/main" id="{00000000-0008-0000-1A00-000037000000}"/>
            </a:ext>
          </a:extLst>
        </xdr:cNvPr>
        <xdr:cNvSpPr>
          <a:spLocks noChangeShapeType="1"/>
        </xdr:cNvSpPr>
      </xdr:nvSpPr>
      <xdr:spPr bwMode="auto">
        <a:xfrm>
          <a:off x="790575" y="8267700"/>
          <a:ext cx="180975" cy="131445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457200</xdr:colOff>
      <xdr:row>71</xdr:row>
      <xdr:rowOff>180975</xdr:rowOff>
    </xdr:from>
    <xdr:to>
      <xdr:col>2</xdr:col>
      <xdr:colOff>295275</xdr:colOff>
      <xdr:row>71</xdr:row>
      <xdr:rowOff>180975</xdr:rowOff>
    </xdr:to>
    <xdr:sp macro="" textlink="">
      <xdr:nvSpPr>
        <xdr:cNvPr id="56" name="Line 1073">
          <a:extLst>
            <a:ext uri="{FF2B5EF4-FFF2-40B4-BE49-F238E27FC236}">
              <a16:creationId xmlns="" xmlns:a16="http://schemas.microsoft.com/office/drawing/2014/main" id="{00000000-0008-0000-1A00-000038000000}"/>
            </a:ext>
          </a:extLst>
        </xdr:cNvPr>
        <xdr:cNvSpPr>
          <a:spLocks noChangeShapeType="1"/>
        </xdr:cNvSpPr>
      </xdr:nvSpPr>
      <xdr:spPr bwMode="auto">
        <a:xfrm>
          <a:off x="1209675" y="7858125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74</xdr:row>
      <xdr:rowOff>9525</xdr:rowOff>
    </xdr:from>
    <xdr:to>
      <xdr:col>2</xdr:col>
      <xdr:colOff>375138</xdr:colOff>
      <xdr:row>74</xdr:row>
      <xdr:rowOff>12456</xdr:rowOff>
    </xdr:to>
    <xdr:sp macro="" textlink="">
      <xdr:nvSpPr>
        <xdr:cNvPr id="57" name="Line 1070">
          <a:extLst>
            <a:ext uri="{FF2B5EF4-FFF2-40B4-BE49-F238E27FC236}">
              <a16:creationId xmlns="" xmlns:a16="http://schemas.microsoft.com/office/drawing/2014/main" id="{00000000-0008-0000-1A00-000039000000}"/>
            </a:ext>
          </a:extLst>
        </xdr:cNvPr>
        <xdr:cNvSpPr>
          <a:spLocks noChangeShapeType="1"/>
        </xdr:cNvSpPr>
      </xdr:nvSpPr>
      <xdr:spPr bwMode="auto">
        <a:xfrm>
          <a:off x="1200150" y="8258175"/>
          <a:ext cx="679938" cy="293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74</xdr:row>
      <xdr:rowOff>19050</xdr:rowOff>
    </xdr:from>
    <xdr:to>
      <xdr:col>1</xdr:col>
      <xdr:colOff>38100</xdr:colOff>
      <xdr:row>74</xdr:row>
      <xdr:rowOff>19050</xdr:rowOff>
    </xdr:to>
    <xdr:sp macro="" textlink="">
      <xdr:nvSpPr>
        <xdr:cNvPr id="58" name="Line 1083">
          <a:extLst>
            <a:ext uri="{FF2B5EF4-FFF2-40B4-BE49-F238E27FC236}">
              <a16:creationId xmlns="" xmlns:a16="http://schemas.microsoft.com/office/drawing/2014/main" id="{00000000-0008-0000-1A00-00003A000000}"/>
            </a:ext>
          </a:extLst>
        </xdr:cNvPr>
        <xdr:cNvSpPr>
          <a:spLocks noChangeShapeType="1"/>
        </xdr:cNvSpPr>
      </xdr:nvSpPr>
      <xdr:spPr bwMode="auto">
        <a:xfrm flipH="1">
          <a:off x="238125" y="8267700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73</xdr:row>
      <xdr:rowOff>180975</xdr:rowOff>
    </xdr:from>
    <xdr:to>
      <xdr:col>3</xdr:col>
      <xdr:colOff>600075</xdr:colOff>
      <xdr:row>73</xdr:row>
      <xdr:rowOff>180975</xdr:rowOff>
    </xdr:to>
    <xdr:sp macro="" textlink="">
      <xdr:nvSpPr>
        <xdr:cNvPr id="59" name="Line 1083">
          <a:extLst>
            <a:ext uri="{FF2B5EF4-FFF2-40B4-BE49-F238E27FC236}">
              <a16:creationId xmlns="" xmlns:a16="http://schemas.microsoft.com/office/drawing/2014/main" id="{00000000-0008-0000-1A00-00003B000000}"/>
            </a:ext>
          </a:extLst>
        </xdr:cNvPr>
        <xdr:cNvSpPr>
          <a:spLocks noChangeShapeType="1"/>
        </xdr:cNvSpPr>
      </xdr:nvSpPr>
      <xdr:spPr bwMode="auto">
        <a:xfrm flipH="1">
          <a:off x="2305050" y="8239125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74</xdr:row>
      <xdr:rowOff>19050</xdr:rowOff>
    </xdr:from>
    <xdr:to>
      <xdr:col>1</xdr:col>
      <xdr:colOff>447675</xdr:colOff>
      <xdr:row>81</xdr:row>
      <xdr:rowOff>19050</xdr:rowOff>
    </xdr:to>
    <xdr:sp macro="" textlink="">
      <xdr:nvSpPr>
        <xdr:cNvPr id="60" name="Line 1068">
          <a:extLst>
            <a:ext uri="{FF2B5EF4-FFF2-40B4-BE49-F238E27FC236}">
              <a16:creationId xmlns="" xmlns:a16="http://schemas.microsoft.com/office/drawing/2014/main" id="{00000000-0008-0000-1A00-00003C000000}"/>
            </a:ext>
          </a:extLst>
        </xdr:cNvPr>
        <xdr:cNvSpPr>
          <a:spLocks noChangeShapeType="1"/>
        </xdr:cNvSpPr>
      </xdr:nvSpPr>
      <xdr:spPr bwMode="auto">
        <a:xfrm flipV="1">
          <a:off x="1095375" y="8267700"/>
          <a:ext cx="104775" cy="133350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361950</xdr:colOff>
      <xdr:row>74</xdr:row>
      <xdr:rowOff>19050</xdr:rowOff>
    </xdr:from>
    <xdr:to>
      <xdr:col>2</xdr:col>
      <xdr:colOff>476250</xdr:colOff>
      <xdr:row>81</xdr:row>
      <xdr:rowOff>28575</xdr:rowOff>
    </xdr:to>
    <xdr:sp macro="" textlink="">
      <xdr:nvSpPr>
        <xdr:cNvPr id="61" name="Line 1069">
          <a:extLst>
            <a:ext uri="{FF2B5EF4-FFF2-40B4-BE49-F238E27FC236}">
              <a16:creationId xmlns="" xmlns:a16="http://schemas.microsoft.com/office/drawing/2014/main" id="{00000000-0008-0000-1A00-00003D000000}"/>
            </a:ext>
          </a:extLst>
        </xdr:cNvPr>
        <xdr:cNvSpPr>
          <a:spLocks noChangeShapeType="1"/>
        </xdr:cNvSpPr>
      </xdr:nvSpPr>
      <xdr:spPr bwMode="auto">
        <a:xfrm>
          <a:off x="1866900" y="8267700"/>
          <a:ext cx="114300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73</xdr:row>
      <xdr:rowOff>171450</xdr:rowOff>
    </xdr:from>
    <xdr:to>
      <xdr:col>3</xdr:col>
      <xdr:colOff>304800</xdr:colOff>
      <xdr:row>81</xdr:row>
      <xdr:rowOff>0</xdr:rowOff>
    </xdr:to>
    <xdr:sp macro="" textlink="">
      <xdr:nvSpPr>
        <xdr:cNvPr id="62" name="Line 1081">
          <a:extLst>
            <a:ext uri="{FF2B5EF4-FFF2-40B4-BE49-F238E27FC236}">
              <a16:creationId xmlns="" xmlns:a16="http://schemas.microsoft.com/office/drawing/2014/main" id="{00000000-0008-0000-1A00-00003E000000}"/>
            </a:ext>
          </a:extLst>
        </xdr:cNvPr>
        <xdr:cNvSpPr>
          <a:spLocks noChangeShapeType="1"/>
        </xdr:cNvSpPr>
      </xdr:nvSpPr>
      <xdr:spPr bwMode="auto">
        <a:xfrm>
          <a:off x="2562225" y="8229600"/>
          <a:ext cx="0" cy="135255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80</xdr:row>
      <xdr:rowOff>180975</xdr:rowOff>
    </xdr:from>
    <xdr:to>
      <xdr:col>3</xdr:col>
      <xdr:colOff>610466</xdr:colOff>
      <xdr:row>80</xdr:row>
      <xdr:rowOff>180975</xdr:rowOff>
    </xdr:to>
    <xdr:sp macro="" textlink="">
      <xdr:nvSpPr>
        <xdr:cNvPr id="63" name="Line 1080">
          <a:extLst>
            <a:ext uri="{FF2B5EF4-FFF2-40B4-BE49-F238E27FC236}">
              <a16:creationId xmlns="" xmlns:a16="http://schemas.microsoft.com/office/drawing/2014/main" id="{00000000-0008-0000-1A00-00003F000000}"/>
            </a:ext>
          </a:extLst>
        </xdr:cNvPr>
        <xdr:cNvSpPr>
          <a:spLocks noChangeShapeType="1"/>
        </xdr:cNvSpPr>
      </xdr:nvSpPr>
      <xdr:spPr bwMode="auto">
        <a:xfrm>
          <a:off x="2286000" y="9572625"/>
          <a:ext cx="58189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466725</xdr:colOff>
      <xdr:row>71</xdr:row>
      <xdr:rowOff>66675</xdr:rowOff>
    </xdr:from>
    <xdr:to>
      <xdr:col>1</xdr:col>
      <xdr:colOff>466725</xdr:colOff>
      <xdr:row>73</xdr:row>
      <xdr:rowOff>0</xdr:rowOff>
    </xdr:to>
    <xdr:sp macro="" textlink="">
      <xdr:nvSpPr>
        <xdr:cNvPr id="64" name="Line 1072">
          <a:extLst>
            <a:ext uri="{FF2B5EF4-FFF2-40B4-BE49-F238E27FC236}">
              <a16:creationId xmlns="" xmlns:a16="http://schemas.microsoft.com/office/drawing/2014/main" id="{00000000-0008-0000-1A00-000040000000}"/>
            </a:ext>
          </a:extLst>
        </xdr:cNvPr>
        <xdr:cNvSpPr>
          <a:spLocks noChangeShapeType="1"/>
        </xdr:cNvSpPr>
      </xdr:nvSpPr>
      <xdr:spPr bwMode="auto">
        <a:xfrm>
          <a:off x="1219200" y="77438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304800</xdr:colOff>
      <xdr:row>71</xdr:row>
      <xdr:rowOff>47625</xdr:rowOff>
    </xdr:from>
    <xdr:to>
      <xdr:col>2</xdr:col>
      <xdr:colOff>304800</xdr:colOff>
      <xdr:row>72</xdr:row>
      <xdr:rowOff>171450</xdr:rowOff>
    </xdr:to>
    <xdr:sp macro="" textlink="">
      <xdr:nvSpPr>
        <xdr:cNvPr id="65" name="Line 1072">
          <a:extLst>
            <a:ext uri="{FF2B5EF4-FFF2-40B4-BE49-F238E27FC236}">
              <a16:creationId xmlns="" xmlns:a16="http://schemas.microsoft.com/office/drawing/2014/main" id="{00000000-0008-0000-1A00-000041000000}"/>
            </a:ext>
          </a:extLst>
        </xdr:cNvPr>
        <xdr:cNvSpPr>
          <a:spLocks noChangeShapeType="1"/>
        </xdr:cNvSpPr>
      </xdr:nvSpPr>
      <xdr:spPr bwMode="auto">
        <a:xfrm>
          <a:off x="1809750" y="77247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733425</xdr:colOff>
      <xdr:row>69</xdr:row>
      <xdr:rowOff>85725</xdr:rowOff>
    </xdr:from>
    <xdr:to>
      <xdr:col>2</xdr:col>
      <xdr:colOff>733425</xdr:colOff>
      <xdr:row>71</xdr:row>
      <xdr:rowOff>19050</xdr:rowOff>
    </xdr:to>
    <xdr:sp macro="" textlink="">
      <xdr:nvSpPr>
        <xdr:cNvPr id="66" name="Line 1072">
          <a:extLst>
            <a:ext uri="{FF2B5EF4-FFF2-40B4-BE49-F238E27FC236}">
              <a16:creationId xmlns="" xmlns:a16="http://schemas.microsoft.com/office/drawing/2014/main" id="{00000000-0008-0000-1A00-000042000000}"/>
            </a:ext>
          </a:extLst>
        </xdr:cNvPr>
        <xdr:cNvSpPr>
          <a:spLocks noChangeShapeType="1"/>
        </xdr:cNvSpPr>
      </xdr:nvSpPr>
      <xdr:spPr bwMode="auto">
        <a:xfrm>
          <a:off x="2238375" y="73818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69</xdr:row>
      <xdr:rowOff>95250</xdr:rowOff>
    </xdr:from>
    <xdr:to>
      <xdr:col>0</xdr:col>
      <xdr:colOff>742950</xdr:colOff>
      <xdr:row>71</xdr:row>
      <xdr:rowOff>28575</xdr:rowOff>
    </xdr:to>
    <xdr:sp macro="" textlink="">
      <xdr:nvSpPr>
        <xdr:cNvPr id="67" name="Line 1072">
          <a:extLst>
            <a:ext uri="{FF2B5EF4-FFF2-40B4-BE49-F238E27FC236}">
              <a16:creationId xmlns="" xmlns:a16="http://schemas.microsoft.com/office/drawing/2014/main" id="{00000000-0008-0000-1A00-000043000000}"/>
            </a:ext>
          </a:extLst>
        </xdr:cNvPr>
        <xdr:cNvSpPr>
          <a:spLocks noChangeShapeType="1"/>
        </xdr:cNvSpPr>
      </xdr:nvSpPr>
      <xdr:spPr bwMode="auto">
        <a:xfrm>
          <a:off x="742950" y="739140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83</xdr:row>
      <xdr:rowOff>0</xdr:rowOff>
    </xdr:from>
    <xdr:to>
      <xdr:col>2</xdr:col>
      <xdr:colOff>390525</xdr:colOff>
      <xdr:row>83</xdr:row>
      <xdr:rowOff>0</xdr:rowOff>
    </xdr:to>
    <xdr:sp macro="" textlink="">
      <xdr:nvSpPr>
        <xdr:cNvPr id="68" name="Line 1079">
          <a:extLst>
            <a:ext uri="{FF2B5EF4-FFF2-40B4-BE49-F238E27FC236}">
              <a16:creationId xmlns="" xmlns:a16="http://schemas.microsoft.com/office/drawing/2014/main" id="{00000000-0008-0000-1A00-000044000000}"/>
            </a:ext>
          </a:extLst>
        </xdr:cNvPr>
        <xdr:cNvSpPr>
          <a:spLocks noChangeShapeType="1"/>
        </xdr:cNvSpPr>
      </xdr:nvSpPr>
      <xdr:spPr bwMode="auto">
        <a:xfrm>
          <a:off x="1114425" y="9963150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82</xdr:row>
      <xdr:rowOff>66675</xdr:rowOff>
    </xdr:from>
    <xdr:to>
      <xdr:col>1</xdr:col>
      <xdr:colOff>371475</xdr:colOff>
      <xdr:row>84</xdr:row>
      <xdr:rowOff>0</xdr:rowOff>
    </xdr:to>
    <xdr:sp macro="" textlink="">
      <xdr:nvSpPr>
        <xdr:cNvPr id="69" name="Line 1078">
          <a:extLst>
            <a:ext uri="{FF2B5EF4-FFF2-40B4-BE49-F238E27FC236}">
              <a16:creationId xmlns="" xmlns:a16="http://schemas.microsoft.com/office/drawing/2014/main" id="{00000000-0008-0000-1A00-000045000000}"/>
            </a:ext>
          </a:extLst>
        </xdr:cNvPr>
        <xdr:cNvSpPr>
          <a:spLocks noChangeShapeType="1"/>
        </xdr:cNvSpPr>
      </xdr:nvSpPr>
      <xdr:spPr bwMode="auto">
        <a:xfrm>
          <a:off x="1123950" y="98393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82</xdr:row>
      <xdr:rowOff>38100</xdr:rowOff>
    </xdr:from>
    <xdr:to>
      <xdr:col>2</xdr:col>
      <xdr:colOff>381000</xdr:colOff>
      <xdr:row>83</xdr:row>
      <xdr:rowOff>161925</xdr:rowOff>
    </xdr:to>
    <xdr:sp macro="" textlink="">
      <xdr:nvSpPr>
        <xdr:cNvPr id="70" name="Line 1078">
          <a:extLst>
            <a:ext uri="{FF2B5EF4-FFF2-40B4-BE49-F238E27FC236}">
              <a16:creationId xmlns="" xmlns:a16="http://schemas.microsoft.com/office/drawing/2014/main" id="{00000000-0008-0000-1A00-000046000000}"/>
            </a:ext>
          </a:extLst>
        </xdr:cNvPr>
        <xdr:cNvSpPr>
          <a:spLocks noChangeShapeType="1"/>
        </xdr:cNvSpPr>
      </xdr:nvSpPr>
      <xdr:spPr bwMode="auto">
        <a:xfrm>
          <a:off x="1885950" y="98107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600075</xdr:colOff>
      <xdr:row>85</xdr:row>
      <xdr:rowOff>57150</xdr:rowOff>
    </xdr:from>
    <xdr:to>
      <xdr:col>2</xdr:col>
      <xdr:colOff>600075</xdr:colOff>
      <xdr:row>86</xdr:row>
      <xdr:rowOff>180975</xdr:rowOff>
    </xdr:to>
    <xdr:sp macro="" textlink="">
      <xdr:nvSpPr>
        <xdr:cNvPr id="71" name="Line 1078">
          <a:extLst>
            <a:ext uri="{FF2B5EF4-FFF2-40B4-BE49-F238E27FC236}">
              <a16:creationId xmlns="" xmlns:a16="http://schemas.microsoft.com/office/drawing/2014/main" id="{00000000-0008-0000-1A00-000047000000}"/>
            </a:ext>
          </a:extLst>
        </xdr:cNvPr>
        <xdr:cNvSpPr>
          <a:spLocks noChangeShapeType="1"/>
        </xdr:cNvSpPr>
      </xdr:nvSpPr>
      <xdr:spPr bwMode="auto">
        <a:xfrm>
          <a:off x="2105025" y="1040130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85</xdr:row>
      <xdr:rowOff>76200</xdr:rowOff>
    </xdr:from>
    <xdr:to>
      <xdr:col>1</xdr:col>
      <xdr:colOff>180975</xdr:colOff>
      <xdr:row>87</xdr:row>
      <xdr:rowOff>9525</xdr:rowOff>
    </xdr:to>
    <xdr:sp macro="" textlink="">
      <xdr:nvSpPr>
        <xdr:cNvPr id="72" name="Line 1078">
          <a:extLst>
            <a:ext uri="{FF2B5EF4-FFF2-40B4-BE49-F238E27FC236}">
              <a16:creationId xmlns="" xmlns:a16="http://schemas.microsoft.com/office/drawing/2014/main" id="{00000000-0008-0000-1A00-000048000000}"/>
            </a:ext>
          </a:extLst>
        </xdr:cNvPr>
        <xdr:cNvSpPr>
          <a:spLocks noChangeShapeType="1"/>
        </xdr:cNvSpPr>
      </xdr:nvSpPr>
      <xdr:spPr bwMode="auto">
        <a:xfrm>
          <a:off x="933450" y="104203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134</xdr:row>
      <xdr:rowOff>9525</xdr:rowOff>
    </xdr:from>
    <xdr:to>
      <xdr:col>3</xdr:col>
      <xdr:colOff>9525</xdr:colOff>
      <xdr:row>134</xdr:row>
      <xdr:rowOff>9525</xdr:rowOff>
    </xdr:to>
    <xdr:sp macro="" textlink="">
      <xdr:nvSpPr>
        <xdr:cNvPr id="73" name="Line 1076">
          <a:extLst>
            <a:ext uri="{FF2B5EF4-FFF2-40B4-BE49-F238E27FC236}">
              <a16:creationId xmlns="" xmlns:a16="http://schemas.microsoft.com/office/drawing/2014/main" id="{00000000-0008-0000-1A00-000049000000}"/>
            </a:ext>
          </a:extLst>
        </xdr:cNvPr>
        <xdr:cNvSpPr>
          <a:spLocks noChangeShapeType="1"/>
        </xdr:cNvSpPr>
      </xdr:nvSpPr>
      <xdr:spPr bwMode="auto">
        <a:xfrm>
          <a:off x="762000" y="13716000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135</xdr:row>
      <xdr:rowOff>180975</xdr:rowOff>
    </xdr:from>
    <xdr:to>
      <xdr:col>2</xdr:col>
      <xdr:colOff>276225</xdr:colOff>
      <xdr:row>135</xdr:row>
      <xdr:rowOff>180975</xdr:rowOff>
    </xdr:to>
    <xdr:sp macro="" textlink="">
      <xdr:nvSpPr>
        <xdr:cNvPr id="74" name="Line 1073">
          <a:extLst>
            <a:ext uri="{FF2B5EF4-FFF2-40B4-BE49-F238E27FC236}">
              <a16:creationId xmlns="" xmlns:a16="http://schemas.microsoft.com/office/drawing/2014/main" id="{00000000-0008-0000-1A00-00004A000000}"/>
            </a:ext>
          </a:extLst>
        </xdr:cNvPr>
        <xdr:cNvSpPr>
          <a:spLocks noChangeShapeType="1"/>
        </xdr:cNvSpPr>
      </xdr:nvSpPr>
      <xdr:spPr bwMode="auto">
        <a:xfrm>
          <a:off x="1190625" y="1407795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146</xdr:row>
      <xdr:rowOff>180975</xdr:rowOff>
    </xdr:from>
    <xdr:to>
      <xdr:col>2</xdr:col>
      <xdr:colOff>390525</xdr:colOff>
      <xdr:row>146</xdr:row>
      <xdr:rowOff>180975</xdr:rowOff>
    </xdr:to>
    <xdr:sp macro="" textlink="">
      <xdr:nvSpPr>
        <xdr:cNvPr id="75" name="Line 1079">
          <a:extLst>
            <a:ext uri="{FF2B5EF4-FFF2-40B4-BE49-F238E27FC236}">
              <a16:creationId xmlns="" xmlns:a16="http://schemas.microsoft.com/office/drawing/2014/main" id="{00000000-0008-0000-1A00-00004B000000}"/>
            </a:ext>
          </a:extLst>
        </xdr:cNvPr>
        <xdr:cNvSpPr>
          <a:spLocks noChangeShapeType="1"/>
        </xdr:cNvSpPr>
      </xdr:nvSpPr>
      <xdr:spPr bwMode="auto">
        <a:xfrm>
          <a:off x="1114425" y="16173450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150</xdr:row>
      <xdr:rowOff>9525</xdr:rowOff>
    </xdr:from>
    <xdr:to>
      <xdr:col>2</xdr:col>
      <xdr:colOff>581025</xdr:colOff>
      <xdr:row>150</xdr:row>
      <xdr:rowOff>9525</xdr:rowOff>
    </xdr:to>
    <xdr:sp macro="" textlink="">
      <xdr:nvSpPr>
        <xdr:cNvPr id="76" name="Line 1086">
          <a:extLst>
            <a:ext uri="{FF2B5EF4-FFF2-40B4-BE49-F238E27FC236}">
              <a16:creationId xmlns="" xmlns:a16="http://schemas.microsoft.com/office/drawing/2014/main" id="{00000000-0008-0000-1A00-00004C000000}"/>
            </a:ext>
          </a:extLst>
        </xdr:cNvPr>
        <xdr:cNvSpPr>
          <a:spLocks noChangeShapeType="1"/>
        </xdr:cNvSpPr>
      </xdr:nvSpPr>
      <xdr:spPr bwMode="auto">
        <a:xfrm>
          <a:off x="904875" y="16764000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149</xdr:row>
      <xdr:rowOff>66675</xdr:rowOff>
    </xdr:from>
    <xdr:to>
      <xdr:col>1</xdr:col>
      <xdr:colOff>161925</xdr:colOff>
      <xdr:row>150</xdr:row>
      <xdr:rowOff>161925</xdr:rowOff>
    </xdr:to>
    <xdr:sp macro="" textlink="">
      <xdr:nvSpPr>
        <xdr:cNvPr id="77" name="Line 1091">
          <a:extLst>
            <a:ext uri="{FF2B5EF4-FFF2-40B4-BE49-F238E27FC236}">
              <a16:creationId xmlns="" xmlns:a16="http://schemas.microsoft.com/office/drawing/2014/main" id="{00000000-0008-0000-1A00-00004D000000}"/>
            </a:ext>
          </a:extLst>
        </xdr:cNvPr>
        <xdr:cNvSpPr>
          <a:spLocks noChangeShapeType="1"/>
        </xdr:cNvSpPr>
      </xdr:nvSpPr>
      <xdr:spPr bwMode="auto">
        <a:xfrm>
          <a:off x="914400" y="16630650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149</xdr:row>
      <xdr:rowOff>76200</xdr:rowOff>
    </xdr:from>
    <xdr:to>
      <xdr:col>2</xdr:col>
      <xdr:colOff>581025</xdr:colOff>
      <xdr:row>150</xdr:row>
      <xdr:rowOff>171450</xdr:rowOff>
    </xdr:to>
    <xdr:sp macro="" textlink="">
      <xdr:nvSpPr>
        <xdr:cNvPr id="78" name="Line 1091">
          <a:extLst>
            <a:ext uri="{FF2B5EF4-FFF2-40B4-BE49-F238E27FC236}">
              <a16:creationId xmlns="" xmlns:a16="http://schemas.microsoft.com/office/drawing/2014/main" id="{00000000-0008-0000-1A00-00004E000000}"/>
            </a:ext>
          </a:extLst>
        </xdr:cNvPr>
        <xdr:cNvSpPr>
          <a:spLocks noChangeShapeType="1"/>
        </xdr:cNvSpPr>
      </xdr:nvSpPr>
      <xdr:spPr bwMode="auto">
        <a:xfrm>
          <a:off x="2085975" y="16640175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138</xdr:row>
      <xdr:rowOff>9525</xdr:rowOff>
    </xdr:from>
    <xdr:to>
      <xdr:col>1</xdr:col>
      <xdr:colOff>9525</xdr:colOff>
      <xdr:row>138</xdr:row>
      <xdr:rowOff>9525</xdr:rowOff>
    </xdr:to>
    <xdr:sp macro="" textlink="">
      <xdr:nvSpPr>
        <xdr:cNvPr id="79" name="Line 1083">
          <a:extLst>
            <a:ext uri="{FF2B5EF4-FFF2-40B4-BE49-F238E27FC236}">
              <a16:creationId xmlns="" xmlns:a16="http://schemas.microsoft.com/office/drawing/2014/main" id="{00000000-0008-0000-1A00-00004F000000}"/>
            </a:ext>
          </a:extLst>
        </xdr:cNvPr>
        <xdr:cNvSpPr>
          <a:spLocks noChangeShapeType="1"/>
        </xdr:cNvSpPr>
      </xdr:nvSpPr>
      <xdr:spPr bwMode="auto">
        <a:xfrm flipH="1">
          <a:off x="209550" y="14478000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171450</xdr:colOff>
      <xdr:row>145</xdr:row>
      <xdr:rowOff>19050</xdr:rowOff>
    </xdr:to>
    <xdr:sp macro="" textlink="">
      <xdr:nvSpPr>
        <xdr:cNvPr id="80" name="Line 1065">
          <a:extLst>
            <a:ext uri="{FF2B5EF4-FFF2-40B4-BE49-F238E27FC236}">
              <a16:creationId xmlns="" xmlns:a16="http://schemas.microsoft.com/office/drawing/2014/main" id="{00000000-0008-0000-1A00-000050000000}"/>
            </a:ext>
          </a:extLst>
        </xdr:cNvPr>
        <xdr:cNvSpPr>
          <a:spLocks noChangeShapeType="1"/>
        </xdr:cNvSpPr>
      </xdr:nvSpPr>
      <xdr:spPr bwMode="auto">
        <a:xfrm>
          <a:off x="762000" y="14478000"/>
          <a:ext cx="161925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145</xdr:row>
      <xdr:rowOff>19050</xdr:rowOff>
    </xdr:from>
    <xdr:to>
      <xdr:col>2</xdr:col>
      <xdr:colOff>542925</xdr:colOff>
      <xdr:row>145</xdr:row>
      <xdr:rowOff>19050</xdr:rowOff>
    </xdr:to>
    <xdr:sp macro="" textlink="">
      <xdr:nvSpPr>
        <xdr:cNvPr id="81" name="Line 1066">
          <a:extLst>
            <a:ext uri="{FF2B5EF4-FFF2-40B4-BE49-F238E27FC236}">
              <a16:creationId xmlns="" xmlns:a16="http://schemas.microsoft.com/office/drawing/2014/main" id="{00000000-0008-0000-1A00-000051000000}"/>
            </a:ext>
          </a:extLst>
        </xdr:cNvPr>
        <xdr:cNvSpPr>
          <a:spLocks noChangeShapeType="1"/>
        </xdr:cNvSpPr>
      </xdr:nvSpPr>
      <xdr:spPr bwMode="auto">
        <a:xfrm>
          <a:off x="904875" y="15821025"/>
          <a:ext cx="114300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552450</xdr:colOff>
      <xdr:row>138</xdr:row>
      <xdr:rowOff>0</xdr:rowOff>
    </xdr:from>
    <xdr:to>
      <xdr:col>3</xdr:col>
      <xdr:colOff>9525</xdr:colOff>
      <xdr:row>145</xdr:row>
      <xdr:rowOff>28575</xdr:rowOff>
    </xdr:to>
    <xdr:sp macro="" textlink="">
      <xdr:nvSpPr>
        <xdr:cNvPr id="82" name="Line 1067">
          <a:extLst>
            <a:ext uri="{FF2B5EF4-FFF2-40B4-BE49-F238E27FC236}">
              <a16:creationId xmlns="" xmlns:a16="http://schemas.microsoft.com/office/drawing/2014/main" id="{00000000-0008-0000-1A00-000052000000}"/>
            </a:ext>
          </a:extLst>
        </xdr:cNvPr>
        <xdr:cNvSpPr>
          <a:spLocks noChangeShapeType="1"/>
        </xdr:cNvSpPr>
      </xdr:nvSpPr>
      <xdr:spPr bwMode="auto">
        <a:xfrm flipH="1">
          <a:off x="2057400" y="14468475"/>
          <a:ext cx="209550" cy="136207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138</xdr:row>
      <xdr:rowOff>9525</xdr:rowOff>
    </xdr:from>
    <xdr:to>
      <xdr:col>4</xdr:col>
      <xdr:colOff>0</xdr:colOff>
      <xdr:row>138</xdr:row>
      <xdr:rowOff>9525</xdr:rowOff>
    </xdr:to>
    <xdr:sp macro="" textlink="">
      <xdr:nvSpPr>
        <xdr:cNvPr id="83" name="Line 1082">
          <a:extLst>
            <a:ext uri="{FF2B5EF4-FFF2-40B4-BE49-F238E27FC236}">
              <a16:creationId xmlns="" xmlns:a16="http://schemas.microsoft.com/office/drawing/2014/main" id="{00000000-0008-0000-1A00-000053000000}"/>
            </a:ext>
          </a:extLst>
        </xdr:cNvPr>
        <xdr:cNvSpPr>
          <a:spLocks noChangeShapeType="1"/>
        </xdr:cNvSpPr>
      </xdr:nvSpPr>
      <xdr:spPr bwMode="auto">
        <a:xfrm flipV="1">
          <a:off x="2257425" y="14478000"/>
          <a:ext cx="752475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138</xdr:row>
      <xdr:rowOff>0</xdr:rowOff>
    </xdr:from>
    <xdr:to>
      <xdr:col>2</xdr:col>
      <xdr:colOff>342900</xdr:colOff>
      <xdr:row>138</xdr:row>
      <xdr:rowOff>9525</xdr:rowOff>
    </xdr:to>
    <xdr:sp macro="" textlink="">
      <xdr:nvSpPr>
        <xdr:cNvPr id="84" name="Line 1070">
          <a:extLst>
            <a:ext uri="{FF2B5EF4-FFF2-40B4-BE49-F238E27FC236}">
              <a16:creationId xmlns="" xmlns:a16="http://schemas.microsoft.com/office/drawing/2014/main" id="{00000000-0008-0000-1A00-000054000000}"/>
            </a:ext>
          </a:extLst>
        </xdr:cNvPr>
        <xdr:cNvSpPr>
          <a:spLocks noChangeShapeType="1"/>
        </xdr:cNvSpPr>
      </xdr:nvSpPr>
      <xdr:spPr bwMode="auto">
        <a:xfrm flipV="1">
          <a:off x="1190625" y="14468475"/>
          <a:ext cx="657225" cy="95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138</xdr:row>
      <xdr:rowOff>9525</xdr:rowOff>
    </xdr:from>
    <xdr:to>
      <xdr:col>1</xdr:col>
      <xdr:colOff>447675</xdr:colOff>
      <xdr:row>145</xdr:row>
      <xdr:rowOff>9525</xdr:rowOff>
    </xdr:to>
    <xdr:sp macro="" textlink="">
      <xdr:nvSpPr>
        <xdr:cNvPr id="85" name="Line 1068">
          <a:extLst>
            <a:ext uri="{FF2B5EF4-FFF2-40B4-BE49-F238E27FC236}">
              <a16:creationId xmlns="" xmlns:a16="http://schemas.microsoft.com/office/drawing/2014/main" id="{00000000-0008-0000-1A00-000055000000}"/>
            </a:ext>
          </a:extLst>
        </xdr:cNvPr>
        <xdr:cNvSpPr>
          <a:spLocks noChangeShapeType="1"/>
        </xdr:cNvSpPr>
      </xdr:nvSpPr>
      <xdr:spPr bwMode="auto">
        <a:xfrm flipV="1">
          <a:off x="1095375" y="14478000"/>
          <a:ext cx="104775" cy="133350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342900</xdr:colOff>
      <xdr:row>138</xdr:row>
      <xdr:rowOff>9525</xdr:rowOff>
    </xdr:from>
    <xdr:to>
      <xdr:col>2</xdr:col>
      <xdr:colOff>457200</xdr:colOff>
      <xdr:row>145</xdr:row>
      <xdr:rowOff>19050</xdr:rowOff>
    </xdr:to>
    <xdr:sp macro="" textlink="">
      <xdr:nvSpPr>
        <xdr:cNvPr id="86" name="Line 1069">
          <a:extLst>
            <a:ext uri="{FF2B5EF4-FFF2-40B4-BE49-F238E27FC236}">
              <a16:creationId xmlns="" xmlns:a16="http://schemas.microsoft.com/office/drawing/2014/main" id="{00000000-0008-0000-1A00-000056000000}"/>
            </a:ext>
          </a:extLst>
        </xdr:cNvPr>
        <xdr:cNvSpPr>
          <a:spLocks noChangeShapeType="1"/>
        </xdr:cNvSpPr>
      </xdr:nvSpPr>
      <xdr:spPr bwMode="auto">
        <a:xfrm>
          <a:off x="1847850" y="14478000"/>
          <a:ext cx="114300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135</xdr:row>
      <xdr:rowOff>57150</xdr:rowOff>
    </xdr:from>
    <xdr:to>
      <xdr:col>1</xdr:col>
      <xdr:colOff>438150</xdr:colOff>
      <xdr:row>136</xdr:row>
      <xdr:rowOff>180975</xdr:rowOff>
    </xdr:to>
    <xdr:sp macro="" textlink="">
      <xdr:nvSpPr>
        <xdr:cNvPr id="87" name="Line 1072">
          <a:extLst>
            <a:ext uri="{FF2B5EF4-FFF2-40B4-BE49-F238E27FC236}">
              <a16:creationId xmlns="" xmlns:a16="http://schemas.microsoft.com/office/drawing/2014/main" id="{00000000-0008-0000-1A00-000057000000}"/>
            </a:ext>
          </a:extLst>
        </xdr:cNvPr>
        <xdr:cNvSpPr>
          <a:spLocks noChangeShapeType="1"/>
        </xdr:cNvSpPr>
      </xdr:nvSpPr>
      <xdr:spPr bwMode="auto">
        <a:xfrm>
          <a:off x="1190625" y="139541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285750</xdr:colOff>
      <xdr:row>135</xdr:row>
      <xdr:rowOff>57150</xdr:rowOff>
    </xdr:from>
    <xdr:to>
      <xdr:col>2</xdr:col>
      <xdr:colOff>285750</xdr:colOff>
      <xdr:row>136</xdr:row>
      <xdr:rowOff>180975</xdr:rowOff>
    </xdr:to>
    <xdr:sp macro="" textlink="">
      <xdr:nvSpPr>
        <xdr:cNvPr id="88" name="Line 1072">
          <a:extLst>
            <a:ext uri="{FF2B5EF4-FFF2-40B4-BE49-F238E27FC236}">
              <a16:creationId xmlns="" xmlns:a16="http://schemas.microsoft.com/office/drawing/2014/main" id="{00000000-0008-0000-1A00-000058000000}"/>
            </a:ext>
          </a:extLst>
        </xdr:cNvPr>
        <xdr:cNvSpPr>
          <a:spLocks noChangeShapeType="1"/>
        </xdr:cNvSpPr>
      </xdr:nvSpPr>
      <xdr:spPr bwMode="auto">
        <a:xfrm>
          <a:off x="1790700" y="139541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133</xdr:row>
      <xdr:rowOff>66675</xdr:rowOff>
    </xdr:from>
    <xdr:to>
      <xdr:col>3</xdr:col>
      <xdr:colOff>0</xdr:colOff>
      <xdr:row>135</xdr:row>
      <xdr:rowOff>0</xdr:rowOff>
    </xdr:to>
    <xdr:sp macro="" textlink="">
      <xdr:nvSpPr>
        <xdr:cNvPr id="89" name="Line 1072">
          <a:extLst>
            <a:ext uri="{FF2B5EF4-FFF2-40B4-BE49-F238E27FC236}">
              <a16:creationId xmlns="" xmlns:a16="http://schemas.microsoft.com/office/drawing/2014/main" id="{00000000-0008-0000-1A00-000059000000}"/>
            </a:ext>
          </a:extLst>
        </xdr:cNvPr>
        <xdr:cNvSpPr>
          <a:spLocks noChangeShapeType="1"/>
        </xdr:cNvSpPr>
      </xdr:nvSpPr>
      <xdr:spPr bwMode="auto">
        <a:xfrm>
          <a:off x="2257425" y="135826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133</xdr:row>
      <xdr:rowOff>57150</xdr:rowOff>
    </xdr:from>
    <xdr:to>
      <xdr:col>1</xdr:col>
      <xdr:colOff>28575</xdr:colOff>
      <xdr:row>134</xdr:row>
      <xdr:rowOff>180975</xdr:rowOff>
    </xdr:to>
    <xdr:sp macro="" textlink="">
      <xdr:nvSpPr>
        <xdr:cNvPr id="90" name="Line 1072">
          <a:extLst>
            <a:ext uri="{FF2B5EF4-FFF2-40B4-BE49-F238E27FC236}">
              <a16:creationId xmlns="" xmlns:a16="http://schemas.microsoft.com/office/drawing/2014/main" id="{00000000-0008-0000-1A00-00005A000000}"/>
            </a:ext>
          </a:extLst>
        </xdr:cNvPr>
        <xdr:cNvSpPr>
          <a:spLocks noChangeShapeType="1"/>
        </xdr:cNvSpPr>
      </xdr:nvSpPr>
      <xdr:spPr bwMode="auto">
        <a:xfrm>
          <a:off x="781050" y="135731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238125</xdr:colOff>
      <xdr:row>137</xdr:row>
      <xdr:rowOff>180975</xdr:rowOff>
    </xdr:from>
    <xdr:to>
      <xdr:col>3</xdr:col>
      <xdr:colOff>238125</xdr:colOff>
      <xdr:row>145</xdr:row>
      <xdr:rowOff>9525</xdr:rowOff>
    </xdr:to>
    <xdr:sp macro="" textlink="">
      <xdr:nvSpPr>
        <xdr:cNvPr id="91" name="Line 1081">
          <a:extLst>
            <a:ext uri="{FF2B5EF4-FFF2-40B4-BE49-F238E27FC236}">
              <a16:creationId xmlns="" xmlns:a16="http://schemas.microsoft.com/office/drawing/2014/main" id="{00000000-0008-0000-1A00-00005B000000}"/>
            </a:ext>
          </a:extLst>
        </xdr:cNvPr>
        <xdr:cNvSpPr>
          <a:spLocks noChangeShapeType="1"/>
        </xdr:cNvSpPr>
      </xdr:nvSpPr>
      <xdr:spPr bwMode="auto">
        <a:xfrm>
          <a:off x="2495550" y="14458950"/>
          <a:ext cx="0" cy="135255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400050</xdr:colOff>
      <xdr:row>146</xdr:row>
      <xdr:rowOff>47625</xdr:rowOff>
    </xdr:from>
    <xdr:to>
      <xdr:col>2</xdr:col>
      <xdr:colOff>400050</xdr:colOff>
      <xdr:row>147</xdr:row>
      <xdr:rowOff>142875</xdr:rowOff>
    </xdr:to>
    <xdr:sp macro="" textlink="">
      <xdr:nvSpPr>
        <xdr:cNvPr id="92" name="Line 1091">
          <a:extLst>
            <a:ext uri="{FF2B5EF4-FFF2-40B4-BE49-F238E27FC236}">
              <a16:creationId xmlns="" xmlns:a16="http://schemas.microsoft.com/office/drawing/2014/main" id="{00000000-0008-0000-1A00-00005C000000}"/>
            </a:ext>
          </a:extLst>
        </xdr:cNvPr>
        <xdr:cNvSpPr>
          <a:spLocks noChangeShapeType="1"/>
        </xdr:cNvSpPr>
      </xdr:nvSpPr>
      <xdr:spPr bwMode="auto">
        <a:xfrm>
          <a:off x="1905000" y="16040100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146</xdr:row>
      <xdr:rowOff>47625</xdr:rowOff>
    </xdr:from>
    <xdr:to>
      <xdr:col>1</xdr:col>
      <xdr:colOff>371475</xdr:colOff>
      <xdr:row>147</xdr:row>
      <xdr:rowOff>142875</xdr:rowOff>
    </xdr:to>
    <xdr:sp macro="" textlink="">
      <xdr:nvSpPr>
        <xdr:cNvPr id="93" name="Line 1091">
          <a:extLst>
            <a:ext uri="{FF2B5EF4-FFF2-40B4-BE49-F238E27FC236}">
              <a16:creationId xmlns="" xmlns:a16="http://schemas.microsoft.com/office/drawing/2014/main" id="{00000000-0008-0000-1A00-00005D000000}"/>
            </a:ext>
          </a:extLst>
        </xdr:cNvPr>
        <xdr:cNvSpPr>
          <a:spLocks noChangeShapeType="1"/>
        </xdr:cNvSpPr>
      </xdr:nvSpPr>
      <xdr:spPr bwMode="auto">
        <a:xfrm>
          <a:off x="1123950" y="16040100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166</xdr:row>
      <xdr:rowOff>9525</xdr:rowOff>
    </xdr:from>
    <xdr:to>
      <xdr:col>3</xdr:col>
      <xdr:colOff>0</xdr:colOff>
      <xdr:row>166</xdr:row>
      <xdr:rowOff>9525</xdr:rowOff>
    </xdr:to>
    <xdr:sp macro="" textlink="">
      <xdr:nvSpPr>
        <xdr:cNvPr id="94" name="Line 1076">
          <a:extLst>
            <a:ext uri="{FF2B5EF4-FFF2-40B4-BE49-F238E27FC236}">
              <a16:creationId xmlns="" xmlns:a16="http://schemas.microsoft.com/office/drawing/2014/main" id="{00000000-0008-0000-1A00-00005E000000}"/>
            </a:ext>
          </a:extLst>
        </xdr:cNvPr>
        <xdr:cNvSpPr>
          <a:spLocks noChangeShapeType="1"/>
        </xdr:cNvSpPr>
      </xdr:nvSpPr>
      <xdr:spPr bwMode="auto">
        <a:xfrm>
          <a:off x="752475" y="1993582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85725</xdr:colOff>
      <xdr:row>180</xdr:row>
      <xdr:rowOff>180975</xdr:rowOff>
    </xdr:from>
    <xdr:to>
      <xdr:col>2</xdr:col>
      <xdr:colOff>514350</xdr:colOff>
      <xdr:row>180</xdr:row>
      <xdr:rowOff>180975</xdr:rowOff>
    </xdr:to>
    <xdr:sp macro="" textlink="">
      <xdr:nvSpPr>
        <xdr:cNvPr id="95" name="Line 1086">
          <a:extLst>
            <a:ext uri="{FF2B5EF4-FFF2-40B4-BE49-F238E27FC236}">
              <a16:creationId xmlns="" xmlns:a16="http://schemas.microsoft.com/office/drawing/2014/main" id="{00000000-0008-0000-1A00-00005F000000}"/>
            </a:ext>
          </a:extLst>
        </xdr:cNvPr>
        <xdr:cNvSpPr>
          <a:spLocks noChangeShapeType="1"/>
        </xdr:cNvSpPr>
      </xdr:nvSpPr>
      <xdr:spPr bwMode="auto">
        <a:xfrm>
          <a:off x="838200" y="2277427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170</xdr:row>
      <xdr:rowOff>9525</xdr:rowOff>
    </xdr:from>
    <xdr:to>
      <xdr:col>1</xdr:col>
      <xdr:colOff>9525</xdr:colOff>
      <xdr:row>170</xdr:row>
      <xdr:rowOff>9525</xdr:rowOff>
    </xdr:to>
    <xdr:sp macro="" textlink="">
      <xdr:nvSpPr>
        <xdr:cNvPr id="97" name="Line 1083">
          <a:extLst>
            <a:ext uri="{FF2B5EF4-FFF2-40B4-BE49-F238E27FC236}">
              <a16:creationId xmlns="" xmlns:a16="http://schemas.microsoft.com/office/drawing/2014/main" id="{00000000-0008-0000-1A00-000061000000}"/>
            </a:ext>
          </a:extLst>
        </xdr:cNvPr>
        <xdr:cNvSpPr>
          <a:spLocks noChangeShapeType="1"/>
        </xdr:cNvSpPr>
      </xdr:nvSpPr>
      <xdr:spPr bwMode="auto">
        <a:xfrm flipH="1">
          <a:off x="209550" y="20697825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170</xdr:row>
      <xdr:rowOff>0</xdr:rowOff>
    </xdr:to>
    <xdr:sp macro="" textlink="">
      <xdr:nvSpPr>
        <xdr:cNvPr id="98" name="Line 1082">
          <a:extLst>
            <a:ext uri="{FF2B5EF4-FFF2-40B4-BE49-F238E27FC236}">
              <a16:creationId xmlns="" xmlns:a16="http://schemas.microsoft.com/office/drawing/2014/main" id="{00000000-0008-0000-1A00-000062000000}"/>
            </a:ext>
          </a:extLst>
        </xdr:cNvPr>
        <xdr:cNvSpPr>
          <a:spLocks noChangeShapeType="1"/>
        </xdr:cNvSpPr>
      </xdr:nvSpPr>
      <xdr:spPr bwMode="auto">
        <a:xfrm flipV="1">
          <a:off x="2257425" y="20688300"/>
          <a:ext cx="752475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466725</xdr:colOff>
      <xdr:row>168</xdr:row>
      <xdr:rowOff>0</xdr:rowOff>
    </xdr:from>
    <xdr:to>
      <xdr:col>2</xdr:col>
      <xdr:colOff>304800</xdr:colOff>
      <xdr:row>168</xdr:row>
      <xdr:rowOff>0</xdr:rowOff>
    </xdr:to>
    <xdr:sp macro="" textlink="">
      <xdr:nvSpPr>
        <xdr:cNvPr id="99" name="Line 1073">
          <a:extLst>
            <a:ext uri="{FF2B5EF4-FFF2-40B4-BE49-F238E27FC236}">
              <a16:creationId xmlns="" xmlns:a16="http://schemas.microsoft.com/office/drawing/2014/main" id="{00000000-0008-0000-1A00-000063000000}"/>
            </a:ext>
          </a:extLst>
        </xdr:cNvPr>
        <xdr:cNvSpPr>
          <a:spLocks noChangeShapeType="1"/>
        </xdr:cNvSpPr>
      </xdr:nvSpPr>
      <xdr:spPr bwMode="auto">
        <a:xfrm>
          <a:off x="1219200" y="20307300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165</xdr:row>
      <xdr:rowOff>85725</xdr:rowOff>
    </xdr:from>
    <xdr:to>
      <xdr:col>1</xdr:col>
      <xdr:colOff>9525</xdr:colOff>
      <xdr:row>167</xdr:row>
      <xdr:rowOff>19050</xdr:rowOff>
    </xdr:to>
    <xdr:sp macro="" textlink="">
      <xdr:nvSpPr>
        <xdr:cNvPr id="100" name="Line 1072">
          <a:extLst>
            <a:ext uri="{FF2B5EF4-FFF2-40B4-BE49-F238E27FC236}">
              <a16:creationId xmlns="" xmlns:a16="http://schemas.microsoft.com/office/drawing/2014/main" id="{00000000-0008-0000-1A00-000064000000}"/>
            </a:ext>
          </a:extLst>
        </xdr:cNvPr>
        <xdr:cNvSpPr>
          <a:spLocks noChangeShapeType="1"/>
        </xdr:cNvSpPr>
      </xdr:nvSpPr>
      <xdr:spPr bwMode="auto">
        <a:xfrm>
          <a:off x="762000" y="198215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165</xdr:row>
      <xdr:rowOff>114300</xdr:rowOff>
    </xdr:from>
    <xdr:to>
      <xdr:col>2</xdr:col>
      <xdr:colOff>742950</xdr:colOff>
      <xdr:row>167</xdr:row>
      <xdr:rowOff>47625</xdr:rowOff>
    </xdr:to>
    <xdr:sp macro="" textlink="">
      <xdr:nvSpPr>
        <xdr:cNvPr id="101" name="Line 1072">
          <a:extLst>
            <a:ext uri="{FF2B5EF4-FFF2-40B4-BE49-F238E27FC236}">
              <a16:creationId xmlns="" xmlns:a16="http://schemas.microsoft.com/office/drawing/2014/main" id="{00000000-0008-0000-1A00-000065000000}"/>
            </a:ext>
          </a:extLst>
        </xdr:cNvPr>
        <xdr:cNvSpPr>
          <a:spLocks noChangeShapeType="1"/>
        </xdr:cNvSpPr>
      </xdr:nvSpPr>
      <xdr:spPr bwMode="auto">
        <a:xfrm>
          <a:off x="2247900" y="1985010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170</xdr:row>
      <xdr:rowOff>0</xdr:rowOff>
    </xdr:from>
    <xdr:to>
      <xdr:col>1</xdr:col>
      <xdr:colOff>171450</xdr:colOff>
      <xdr:row>177</xdr:row>
      <xdr:rowOff>9525</xdr:rowOff>
    </xdr:to>
    <xdr:sp macro="" textlink="">
      <xdr:nvSpPr>
        <xdr:cNvPr id="102" name="Line 1065">
          <a:extLst>
            <a:ext uri="{FF2B5EF4-FFF2-40B4-BE49-F238E27FC236}">
              <a16:creationId xmlns="" xmlns:a16="http://schemas.microsoft.com/office/drawing/2014/main" id="{00000000-0008-0000-1A00-000066000000}"/>
            </a:ext>
          </a:extLst>
        </xdr:cNvPr>
        <xdr:cNvSpPr>
          <a:spLocks noChangeShapeType="1"/>
        </xdr:cNvSpPr>
      </xdr:nvSpPr>
      <xdr:spPr bwMode="auto">
        <a:xfrm>
          <a:off x="762000" y="20688300"/>
          <a:ext cx="161925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169</xdr:row>
      <xdr:rowOff>180975</xdr:rowOff>
    </xdr:from>
    <xdr:to>
      <xdr:col>2</xdr:col>
      <xdr:colOff>742950</xdr:colOff>
      <xdr:row>177</xdr:row>
      <xdr:rowOff>19050</xdr:rowOff>
    </xdr:to>
    <xdr:sp macro="" textlink="">
      <xdr:nvSpPr>
        <xdr:cNvPr id="103" name="Line 1067">
          <a:extLst>
            <a:ext uri="{FF2B5EF4-FFF2-40B4-BE49-F238E27FC236}">
              <a16:creationId xmlns="" xmlns:a16="http://schemas.microsoft.com/office/drawing/2014/main" id="{00000000-0008-0000-1A00-000067000000}"/>
            </a:ext>
          </a:extLst>
        </xdr:cNvPr>
        <xdr:cNvSpPr>
          <a:spLocks noChangeShapeType="1"/>
        </xdr:cNvSpPr>
      </xdr:nvSpPr>
      <xdr:spPr bwMode="auto">
        <a:xfrm flipH="1">
          <a:off x="2038350" y="20678775"/>
          <a:ext cx="209550" cy="136207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177</xdr:row>
      <xdr:rowOff>0</xdr:rowOff>
    </xdr:from>
    <xdr:to>
      <xdr:col>2</xdr:col>
      <xdr:colOff>552450</xdr:colOff>
      <xdr:row>177</xdr:row>
      <xdr:rowOff>0</xdr:rowOff>
    </xdr:to>
    <xdr:sp macro="" textlink="">
      <xdr:nvSpPr>
        <xdr:cNvPr id="104" name="Line 1066">
          <a:extLst>
            <a:ext uri="{FF2B5EF4-FFF2-40B4-BE49-F238E27FC236}">
              <a16:creationId xmlns="" xmlns:a16="http://schemas.microsoft.com/office/drawing/2014/main" id="{00000000-0008-0000-1A00-000068000000}"/>
            </a:ext>
          </a:extLst>
        </xdr:cNvPr>
        <xdr:cNvSpPr>
          <a:spLocks noChangeShapeType="1"/>
        </xdr:cNvSpPr>
      </xdr:nvSpPr>
      <xdr:spPr bwMode="auto">
        <a:xfrm>
          <a:off x="914400" y="22021800"/>
          <a:ext cx="114300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170</xdr:row>
      <xdr:rowOff>9525</xdr:rowOff>
    </xdr:from>
    <xdr:to>
      <xdr:col>2</xdr:col>
      <xdr:colOff>352425</xdr:colOff>
      <xdr:row>170</xdr:row>
      <xdr:rowOff>19050</xdr:rowOff>
    </xdr:to>
    <xdr:sp macro="" textlink="">
      <xdr:nvSpPr>
        <xdr:cNvPr id="105" name="Line 1070">
          <a:extLst>
            <a:ext uri="{FF2B5EF4-FFF2-40B4-BE49-F238E27FC236}">
              <a16:creationId xmlns="" xmlns:a16="http://schemas.microsoft.com/office/drawing/2014/main" id="{00000000-0008-0000-1A00-000069000000}"/>
            </a:ext>
          </a:extLst>
        </xdr:cNvPr>
        <xdr:cNvSpPr>
          <a:spLocks noChangeShapeType="1"/>
        </xdr:cNvSpPr>
      </xdr:nvSpPr>
      <xdr:spPr bwMode="auto">
        <a:xfrm flipV="1">
          <a:off x="1200150" y="20697825"/>
          <a:ext cx="657225" cy="95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170</xdr:row>
      <xdr:rowOff>28575</xdr:rowOff>
    </xdr:from>
    <xdr:to>
      <xdr:col>1</xdr:col>
      <xdr:colOff>457200</xdr:colOff>
      <xdr:row>177</xdr:row>
      <xdr:rowOff>28575</xdr:rowOff>
    </xdr:to>
    <xdr:sp macro="" textlink="">
      <xdr:nvSpPr>
        <xdr:cNvPr id="106" name="Line 1068">
          <a:extLst>
            <a:ext uri="{FF2B5EF4-FFF2-40B4-BE49-F238E27FC236}">
              <a16:creationId xmlns="" xmlns:a16="http://schemas.microsoft.com/office/drawing/2014/main" id="{00000000-0008-0000-1A00-00006A000000}"/>
            </a:ext>
          </a:extLst>
        </xdr:cNvPr>
        <xdr:cNvSpPr>
          <a:spLocks noChangeShapeType="1"/>
        </xdr:cNvSpPr>
      </xdr:nvSpPr>
      <xdr:spPr bwMode="auto">
        <a:xfrm flipV="1">
          <a:off x="1104900" y="20716875"/>
          <a:ext cx="104775" cy="133350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323850</xdr:colOff>
      <xdr:row>170</xdr:row>
      <xdr:rowOff>0</xdr:rowOff>
    </xdr:from>
    <xdr:to>
      <xdr:col>2</xdr:col>
      <xdr:colOff>438150</xdr:colOff>
      <xdr:row>177</xdr:row>
      <xdr:rowOff>9525</xdr:rowOff>
    </xdr:to>
    <xdr:sp macro="" textlink="">
      <xdr:nvSpPr>
        <xdr:cNvPr id="107" name="Line 1069">
          <a:extLst>
            <a:ext uri="{FF2B5EF4-FFF2-40B4-BE49-F238E27FC236}">
              <a16:creationId xmlns="" xmlns:a16="http://schemas.microsoft.com/office/drawing/2014/main" id="{00000000-0008-0000-1A00-00006B000000}"/>
            </a:ext>
          </a:extLst>
        </xdr:cNvPr>
        <xdr:cNvSpPr>
          <a:spLocks noChangeShapeType="1"/>
        </xdr:cNvSpPr>
      </xdr:nvSpPr>
      <xdr:spPr bwMode="auto">
        <a:xfrm>
          <a:off x="1828800" y="20688300"/>
          <a:ext cx="114300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342900</xdr:colOff>
      <xdr:row>169</xdr:row>
      <xdr:rowOff>180975</xdr:rowOff>
    </xdr:from>
    <xdr:to>
      <xdr:col>3</xdr:col>
      <xdr:colOff>342900</xdr:colOff>
      <xdr:row>177</xdr:row>
      <xdr:rowOff>9525</xdr:rowOff>
    </xdr:to>
    <xdr:sp macro="" textlink="">
      <xdr:nvSpPr>
        <xdr:cNvPr id="108" name="Line 1081">
          <a:extLst>
            <a:ext uri="{FF2B5EF4-FFF2-40B4-BE49-F238E27FC236}">
              <a16:creationId xmlns="" xmlns:a16="http://schemas.microsoft.com/office/drawing/2014/main" id="{00000000-0008-0000-1A00-00006C000000}"/>
            </a:ext>
          </a:extLst>
        </xdr:cNvPr>
        <xdr:cNvSpPr>
          <a:spLocks noChangeShapeType="1"/>
        </xdr:cNvSpPr>
      </xdr:nvSpPr>
      <xdr:spPr bwMode="auto">
        <a:xfrm>
          <a:off x="2600325" y="20678775"/>
          <a:ext cx="0" cy="135255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123825</xdr:colOff>
      <xdr:row>177</xdr:row>
      <xdr:rowOff>9525</xdr:rowOff>
    </xdr:from>
    <xdr:to>
      <xdr:col>3</xdr:col>
      <xdr:colOff>704850</xdr:colOff>
      <xdr:row>177</xdr:row>
      <xdr:rowOff>9525</xdr:rowOff>
    </xdr:to>
    <xdr:sp macro="" textlink="">
      <xdr:nvSpPr>
        <xdr:cNvPr id="109" name="Line 1080">
          <a:extLst>
            <a:ext uri="{FF2B5EF4-FFF2-40B4-BE49-F238E27FC236}">
              <a16:creationId xmlns="" xmlns:a16="http://schemas.microsoft.com/office/drawing/2014/main" id="{00000000-0008-0000-1A00-00006D000000}"/>
            </a:ext>
          </a:extLst>
        </xdr:cNvPr>
        <xdr:cNvSpPr>
          <a:spLocks noChangeShapeType="1"/>
        </xdr:cNvSpPr>
      </xdr:nvSpPr>
      <xdr:spPr bwMode="auto">
        <a:xfrm>
          <a:off x="2381250" y="22031325"/>
          <a:ext cx="581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178</xdr:row>
      <xdr:rowOff>180975</xdr:rowOff>
    </xdr:from>
    <xdr:to>
      <xdr:col>2</xdr:col>
      <xdr:colOff>390525</xdr:colOff>
      <xdr:row>178</xdr:row>
      <xdr:rowOff>180975</xdr:rowOff>
    </xdr:to>
    <xdr:sp macro="" textlink="">
      <xdr:nvSpPr>
        <xdr:cNvPr id="110" name="Line 1079">
          <a:extLst>
            <a:ext uri="{FF2B5EF4-FFF2-40B4-BE49-F238E27FC236}">
              <a16:creationId xmlns="" xmlns:a16="http://schemas.microsoft.com/office/drawing/2014/main" id="{00000000-0008-0000-1A00-00006E000000}"/>
            </a:ext>
          </a:extLst>
        </xdr:cNvPr>
        <xdr:cNvSpPr>
          <a:spLocks noChangeShapeType="1"/>
        </xdr:cNvSpPr>
      </xdr:nvSpPr>
      <xdr:spPr bwMode="auto">
        <a:xfrm>
          <a:off x="1114425" y="2239327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95250</xdr:colOff>
      <xdr:row>180</xdr:row>
      <xdr:rowOff>38100</xdr:rowOff>
    </xdr:from>
    <xdr:to>
      <xdr:col>1</xdr:col>
      <xdr:colOff>95250</xdr:colOff>
      <xdr:row>182</xdr:row>
      <xdr:rowOff>0</xdr:rowOff>
    </xdr:to>
    <xdr:sp macro="" textlink="">
      <xdr:nvSpPr>
        <xdr:cNvPr id="111" name="Line 1077">
          <a:extLst>
            <a:ext uri="{FF2B5EF4-FFF2-40B4-BE49-F238E27FC236}">
              <a16:creationId xmlns="" xmlns:a16="http://schemas.microsoft.com/office/drawing/2014/main" id="{00000000-0008-0000-1A00-00006F000000}"/>
            </a:ext>
          </a:extLst>
        </xdr:cNvPr>
        <xdr:cNvSpPr>
          <a:spLocks noChangeShapeType="1"/>
        </xdr:cNvSpPr>
      </xdr:nvSpPr>
      <xdr:spPr bwMode="auto">
        <a:xfrm>
          <a:off x="847725" y="22631400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523875</xdr:colOff>
      <xdr:row>180</xdr:row>
      <xdr:rowOff>76200</xdr:rowOff>
    </xdr:from>
    <xdr:to>
      <xdr:col>2</xdr:col>
      <xdr:colOff>523875</xdr:colOff>
      <xdr:row>182</xdr:row>
      <xdr:rowOff>38100</xdr:rowOff>
    </xdr:to>
    <xdr:sp macro="" textlink="">
      <xdr:nvSpPr>
        <xdr:cNvPr id="112" name="Line 1077">
          <a:extLst>
            <a:ext uri="{FF2B5EF4-FFF2-40B4-BE49-F238E27FC236}">
              <a16:creationId xmlns="" xmlns:a16="http://schemas.microsoft.com/office/drawing/2014/main" id="{00000000-0008-0000-1A00-000070000000}"/>
            </a:ext>
          </a:extLst>
        </xdr:cNvPr>
        <xdr:cNvSpPr>
          <a:spLocks noChangeShapeType="1"/>
        </xdr:cNvSpPr>
      </xdr:nvSpPr>
      <xdr:spPr bwMode="auto">
        <a:xfrm>
          <a:off x="2028825" y="22669500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178</xdr:row>
      <xdr:rowOff>28575</xdr:rowOff>
    </xdr:from>
    <xdr:to>
      <xdr:col>1</xdr:col>
      <xdr:colOff>352425</xdr:colOff>
      <xdr:row>179</xdr:row>
      <xdr:rowOff>180975</xdr:rowOff>
    </xdr:to>
    <xdr:sp macro="" textlink="">
      <xdr:nvSpPr>
        <xdr:cNvPr id="113" name="Line 1077">
          <a:extLst>
            <a:ext uri="{FF2B5EF4-FFF2-40B4-BE49-F238E27FC236}">
              <a16:creationId xmlns="" xmlns:a16="http://schemas.microsoft.com/office/drawing/2014/main" id="{00000000-0008-0000-1A00-000071000000}"/>
            </a:ext>
          </a:extLst>
        </xdr:cNvPr>
        <xdr:cNvSpPr>
          <a:spLocks noChangeShapeType="1"/>
        </xdr:cNvSpPr>
      </xdr:nvSpPr>
      <xdr:spPr bwMode="auto">
        <a:xfrm>
          <a:off x="1104900" y="22240875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178</xdr:row>
      <xdr:rowOff>28575</xdr:rowOff>
    </xdr:from>
    <xdr:to>
      <xdr:col>2</xdr:col>
      <xdr:colOff>390525</xdr:colOff>
      <xdr:row>179</xdr:row>
      <xdr:rowOff>180975</xdr:rowOff>
    </xdr:to>
    <xdr:sp macro="" textlink="">
      <xdr:nvSpPr>
        <xdr:cNvPr id="114" name="Line 1077">
          <a:extLst>
            <a:ext uri="{FF2B5EF4-FFF2-40B4-BE49-F238E27FC236}">
              <a16:creationId xmlns="" xmlns:a16="http://schemas.microsoft.com/office/drawing/2014/main" id="{00000000-0008-0000-1A00-000072000000}"/>
            </a:ext>
          </a:extLst>
        </xdr:cNvPr>
        <xdr:cNvSpPr>
          <a:spLocks noChangeShapeType="1"/>
        </xdr:cNvSpPr>
      </xdr:nvSpPr>
      <xdr:spPr bwMode="auto">
        <a:xfrm>
          <a:off x="1895475" y="22240875"/>
          <a:ext cx="0" cy="342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723900</xdr:colOff>
      <xdr:row>102</xdr:row>
      <xdr:rowOff>9525</xdr:rowOff>
    </xdr:from>
    <xdr:to>
      <xdr:col>2</xdr:col>
      <xdr:colOff>723900</xdr:colOff>
      <xdr:row>102</xdr:row>
      <xdr:rowOff>9525</xdr:rowOff>
    </xdr:to>
    <xdr:sp macro="" textlink="">
      <xdr:nvSpPr>
        <xdr:cNvPr id="115" name="Line 1076">
          <a:extLst>
            <a:ext uri="{FF2B5EF4-FFF2-40B4-BE49-F238E27FC236}">
              <a16:creationId xmlns="" xmlns:a16="http://schemas.microsoft.com/office/drawing/2014/main" id="{00000000-0008-0000-1A00-000073000000}"/>
            </a:ext>
          </a:extLst>
        </xdr:cNvPr>
        <xdr:cNvSpPr>
          <a:spLocks noChangeShapeType="1"/>
        </xdr:cNvSpPr>
      </xdr:nvSpPr>
      <xdr:spPr bwMode="auto">
        <a:xfrm>
          <a:off x="723900" y="749617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171450</xdr:colOff>
      <xdr:row>118</xdr:row>
      <xdr:rowOff>9525</xdr:rowOff>
    </xdr:from>
    <xdr:to>
      <xdr:col>2</xdr:col>
      <xdr:colOff>600075</xdr:colOff>
      <xdr:row>118</xdr:row>
      <xdr:rowOff>9525</xdr:rowOff>
    </xdr:to>
    <xdr:sp macro="" textlink="">
      <xdr:nvSpPr>
        <xdr:cNvPr id="116" name="Line 1086">
          <a:extLst>
            <a:ext uri="{FF2B5EF4-FFF2-40B4-BE49-F238E27FC236}">
              <a16:creationId xmlns="" xmlns:a16="http://schemas.microsoft.com/office/drawing/2014/main" id="{00000000-0008-0000-1A00-000074000000}"/>
            </a:ext>
          </a:extLst>
        </xdr:cNvPr>
        <xdr:cNvSpPr>
          <a:spLocks noChangeShapeType="1"/>
        </xdr:cNvSpPr>
      </xdr:nvSpPr>
      <xdr:spPr bwMode="auto">
        <a:xfrm>
          <a:off x="923925" y="1054417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228600</xdr:colOff>
      <xdr:row>113</xdr:row>
      <xdr:rowOff>0</xdr:rowOff>
    </xdr:from>
    <xdr:to>
      <xdr:col>2</xdr:col>
      <xdr:colOff>619125</xdr:colOff>
      <xdr:row>113</xdr:row>
      <xdr:rowOff>0</xdr:rowOff>
    </xdr:to>
    <xdr:sp macro="" textlink="">
      <xdr:nvSpPr>
        <xdr:cNvPr id="117" name="Line 1066">
          <a:extLst>
            <a:ext uri="{FF2B5EF4-FFF2-40B4-BE49-F238E27FC236}">
              <a16:creationId xmlns="" xmlns:a16="http://schemas.microsoft.com/office/drawing/2014/main" id="{00000000-0008-0000-1A00-000075000000}"/>
            </a:ext>
          </a:extLst>
        </xdr:cNvPr>
        <xdr:cNvSpPr>
          <a:spLocks noChangeShapeType="1"/>
        </xdr:cNvSpPr>
      </xdr:nvSpPr>
      <xdr:spPr bwMode="auto">
        <a:xfrm>
          <a:off x="981075" y="9582150"/>
          <a:ext cx="114300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619125</xdr:colOff>
      <xdr:row>105</xdr:row>
      <xdr:rowOff>161925</xdr:rowOff>
    </xdr:from>
    <xdr:to>
      <xdr:col>3</xdr:col>
      <xdr:colOff>78398</xdr:colOff>
      <xdr:row>113</xdr:row>
      <xdr:rowOff>0</xdr:rowOff>
    </xdr:to>
    <xdr:sp macro="" textlink="">
      <xdr:nvSpPr>
        <xdr:cNvPr id="118" name="Line 1067">
          <a:extLst>
            <a:ext uri="{FF2B5EF4-FFF2-40B4-BE49-F238E27FC236}">
              <a16:creationId xmlns="" xmlns:a16="http://schemas.microsoft.com/office/drawing/2014/main" id="{00000000-0008-0000-1A00-000076000000}"/>
            </a:ext>
          </a:extLst>
        </xdr:cNvPr>
        <xdr:cNvSpPr>
          <a:spLocks noChangeShapeType="1"/>
        </xdr:cNvSpPr>
      </xdr:nvSpPr>
      <xdr:spPr bwMode="auto">
        <a:xfrm flipH="1">
          <a:off x="2124075" y="8220075"/>
          <a:ext cx="211748" cy="136207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106</xdr:row>
      <xdr:rowOff>19050</xdr:rowOff>
    </xdr:from>
    <xdr:to>
      <xdr:col>1</xdr:col>
      <xdr:colOff>219075</xdr:colOff>
      <xdr:row>113</xdr:row>
      <xdr:rowOff>0</xdr:rowOff>
    </xdr:to>
    <xdr:sp macro="" textlink="">
      <xdr:nvSpPr>
        <xdr:cNvPr id="119" name="Line 1065">
          <a:extLst>
            <a:ext uri="{FF2B5EF4-FFF2-40B4-BE49-F238E27FC236}">
              <a16:creationId xmlns="" xmlns:a16="http://schemas.microsoft.com/office/drawing/2014/main" id="{00000000-0008-0000-1A00-000077000000}"/>
            </a:ext>
          </a:extLst>
        </xdr:cNvPr>
        <xdr:cNvSpPr>
          <a:spLocks noChangeShapeType="1"/>
        </xdr:cNvSpPr>
      </xdr:nvSpPr>
      <xdr:spPr bwMode="auto">
        <a:xfrm>
          <a:off x="790575" y="8267700"/>
          <a:ext cx="180975" cy="131445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457200</xdr:colOff>
      <xdr:row>103</xdr:row>
      <xdr:rowOff>180975</xdr:rowOff>
    </xdr:from>
    <xdr:to>
      <xdr:col>2</xdr:col>
      <xdr:colOff>295275</xdr:colOff>
      <xdr:row>103</xdr:row>
      <xdr:rowOff>180975</xdr:rowOff>
    </xdr:to>
    <xdr:sp macro="" textlink="">
      <xdr:nvSpPr>
        <xdr:cNvPr id="120" name="Line 1073">
          <a:extLst>
            <a:ext uri="{FF2B5EF4-FFF2-40B4-BE49-F238E27FC236}">
              <a16:creationId xmlns="" xmlns:a16="http://schemas.microsoft.com/office/drawing/2014/main" id="{00000000-0008-0000-1A00-000078000000}"/>
            </a:ext>
          </a:extLst>
        </xdr:cNvPr>
        <xdr:cNvSpPr>
          <a:spLocks noChangeShapeType="1"/>
        </xdr:cNvSpPr>
      </xdr:nvSpPr>
      <xdr:spPr bwMode="auto">
        <a:xfrm>
          <a:off x="1209675" y="7858125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447675</xdr:colOff>
      <xdr:row>106</xdr:row>
      <xdr:rowOff>9525</xdr:rowOff>
    </xdr:from>
    <xdr:to>
      <xdr:col>2</xdr:col>
      <xdr:colOff>375138</xdr:colOff>
      <xdr:row>106</xdr:row>
      <xdr:rowOff>12456</xdr:rowOff>
    </xdr:to>
    <xdr:sp macro="" textlink="">
      <xdr:nvSpPr>
        <xdr:cNvPr id="121" name="Line 1070">
          <a:extLst>
            <a:ext uri="{FF2B5EF4-FFF2-40B4-BE49-F238E27FC236}">
              <a16:creationId xmlns="" xmlns:a16="http://schemas.microsoft.com/office/drawing/2014/main" id="{00000000-0008-0000-1A00-000079000000}"/>
            </a:ext>
          </a:extLst>
        </xdr:cNvPr>
        <xdr:cNvSpPr>
          <a:spLocks noChangeShapeType="1"/>
        </xdr:cNvSpPr>
      </xdr:nvSpPr>
      <xdr:spPr bwMode="auto">
        <a:xfrm>
          <a:off x="1200150" y="8258175"/>
          <a:ext cx="679938" cy="293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238125</xdr:colOff>
      <xdr:row>106</xdr:row>
      <xdr:rowOff>19050</xdr:rowOff>
    </xdr:from>
    <xdr:to>
      <xdr:col>1</xdr:col>
      <xdr:colOff>38100</xdr:colOff>
      <xdr:row>106</xdr:row>
      <xdr:rowOff>19050</xdr:rowOff>
    </xdr:to>
    <xdr:sp macro="" textlink="">
      <xdr:nvSpPr>
        <xdr:cNvPr id="122" name="Line 1083">
          <a:extLst>
            <a:ext uri="{FF2B5EF4-FFF2-40B4-BE49-F238E27FC236}">
              <a16:creationId xmlns="" xmlns:a16="http://schemas.microsoft.com/office/drawing/2014/main" id="{00000000-0008-0000-1A00-00007A000000}"/>
            </a:ext>
          </a:extLst>
        </xdr:cNvPr>
        <xdr:cNvSpPr>
          <a:spLocks noChangeShapeType="1"/>
        </xdr:cNvSpPr>
      </xdr:nvSpPr>
      <xdr:spPr bwMode="auto">
        <a:xfrm flipH="1">
          <a:off x="238125" y="8267700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</xdr:colOff>
      <xdr:row>105</xdr:row>
      <xdr:rowOff>180975</xdr:rowOff>
    </xdr:from>
    <xdr:to>
      <xdr:col>3</xdr:col>
      <xdr:colOff>600075</xdr:colOff>
      <xdr:row>105</xdr:row>
      <xdr:rowOff>180975</xdr:rowOff>
    </xdr:to>
    <xdr:sp macro="" textlink="">
      <xdr:nvSpPr>
        <xdr:cNvPr id="123" name="Line 1083">
          <a:extLst>
            <a:ext uri="{FF2B5EF4-FFF2-40B4-BE49-F238E27FC236}">
              <a16:creationId xmlns="" xmlns:a16="http://schemas.microsoft.com/office/drawing/2014/main" id="{00000000-0008-0000-1A00-00007B000000}"/>
            </a:ext>
          </a:extLst>
        </xdr:cNvPr>
        <xdr:cNvSpPr>
          <a:spLocks noChangeShapeType="1"/>
        </xdr:cNvSpPr>
      </xdr:nvSpPr>
      <xdr:spPr bwMode="auto">
        <a:xfrm flipH="1">
          <a:off x="2305050" y="8239125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106</xdr:row>
      <xdr:rowOff>19050</xdr:rowOff>
    </xdr:from>
    <xdr:to>
      <xdr:col>1</xdr:col>
      <xdr:colOff>447675</xdr:colOff>
      <xdr:row>113</xdr:row>
      <xdr:rowOff>19050</xdr:rowOff>
    </xdr:to>
    <xdr:sp macro="" textlink="">
      <xdr:nvSpPr>
        <xdr:cNvPr id="124" name="Line 1068">
          <a:extLst>
            <a:ext uri="{FF2B5EF4-FFF2-40B4-BE49-F238E27FC236}">
              <a16:creationId xmlns="" xmlns:a16="http://schemas.microsoft.com/office/drawing/2014/main" id="{00000000-0008-0000-1A00-00007C000000}"/>
            </a:ext>
          </a:extLst>
        </xdr:cNvPr>
        <xdr:cNvSpPr>
          <a:spLocks noChangeShapeType="1"/>
        </xdr:cNvSpPr>
      </xdr:nvSpPr>
      <xdr:spPr bwMode="auto">
        <a:xfrm flipV="1">
          <a:off x="1095375" y="8267700"/>
          <a:ext cx="104775" cy="133350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361950</xdr:colOff>
      <xdr:row>106</xdr:row>
      <xdr:rowOff>19050</xdr:rowOff>
    </xdr:from>
    <xdr:to>
      <xdr:col>2</xdr:col>
      <xdr:colOff>476250</xdr:colOff>
      <xdr:row>113</xdr:row>
      <xdr:rowOff>28575</xdr:rowOff>
    </xdr:to>
    <xdr:sp macro="" textlink="">
      <xdr:nvSpPr>
        <xdr:cNvPr id="125" name="Line 1069">
          <a:extLst>
            <a:ext uri="{FF2B5EF4-FFF2-40B4-BE49-F238E27FC236}">
              <a16:creationId xmlns="" xmlns:a16="http://schemas.microsoft.com/office/drawing/2014/main" id="{00000000-0008-0000-1A00-00007D000000}"/>
            </a:ext>
          </a:extLst>
        </xdr:cNvPr>
        <xdr:cNvSpPr>
          <a:spLocks noChangeShapeType="1"/>
        </xdr:cNvSpPr>
      </xdr:nvSpPr>
      <xdr:spPr bwMode="auto">
        <a:xfrm>
          <a:off x="1866900" y="8267700"/>
          <a:ext cx="114300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105</xdr:row>
      <xdr:rowOff>171450</xdr:rowOff>
    </xdr:from>
    <xdr:to>
      <xdr:col>3</xdr:col>
      <xdr:colOff>304800</xdr:colOff>
      <xdr:row>113</xdr:row>
      <xdr:rowOff>0</xdr:rowOff>
    </xdr:to>
    <xdr:sp macro="" textlink="">
      <xdr:nvSpPr>
        <xdr:cNvPr id="126" name="Line 1081">
          <a:extLst>
            <a:ext uri="{FF2B5EF4-FFF2-40B4-BE49-F238E27FC236}">
              <a16:creationId xmlns="" xmlns:a16="http://schemas.microsoft.com/office/drawing/2014/main" id="{00000000-0008-0000-1A00-00007E000000}"/>
            </a:ext>
          </a:extLst>
        </xdr:cNvPr>
        <xdr:cNvSpPr>
          <a:spLocks noChangeShapeType="1"/>
        </xdr:cNvSpPr>
      </xdr:nvSpPr>
      <xdr:spPr bwMode="auto">
        <a:xfrm>
          <a:off x="2562225" y="8229600"/>
          <a:ext cx="0" cy="135255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112</xdr:row>
      <xdr:rowOff>180975</xdr:rowOff>
    </xdr:from>
    <xdr:to>
      <xdr:col>3</xdr:col>
      <xdr:colOff>610466</xdr:colOff>
      <xdr:row>112</xdr:row>
      <xdr:rowOff>180975</xdr:rowOff>
    </xdr:to>
    <xdr:sp macro="" textlink="">
      <xdr:nvSpPr>
        <xdr:cNvPr id="127" name="Line 1080">
          <a:extLst>
            <a:ext uri="{FF2B5EF4-FFF2-40B4-BE49-F238E27FC236}">
              <a16:creationId xmlns="" xmlns:a16="http://schemas.microsoft.com/office/drawing/2014/main" id="{00000000-0008-0000-1A00-00007F000000}"/>
            </a:ext>
          </a:extLst>
        </xdr:cNvPr>
        <xdr:cNvSpPr>
          <a:spLocks noChangeShapeType="1"/>
        </xdr:cNvSpPr>
      </xdr:nvSpPr>
      <xdr:spPr bwMode="auto">
        <a:xfrm>
          <a:off x="2286000" y="9572625"/>
          <a:ext cx="581891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466725</xdr:colOff>
      <xdr:row>103</xdr:row>
      <xdr:rowOff>66675</xdr:rowOff>
    </xdr:from>
    <xdr:to>
      <xdr:col>1</xdr:col>
      <xdr:colOff>466725</xdr:colOff>
      <xdr:row>105</xdr:row>
      <xdr:rowOff>0</xdr:rowOff>
    </xdr:to>
    <xdr:sp macro="" textlink="">
      <xdr:nvSpPr>
        <xdr:cNvPr id="128" name="Line 1072">
          <a:extLst>
            <a:ext uri="{FF2B5EF4-FFF2-40B4-BE49-F238E27FC236}">
              <a16:creationId xmlns="" xmlns:a16="http://schemas.microsoft.com/office/drawing/2014/main" id="{00000000-0008-0000-1A00-000080000000}"/>
            </a:ext>
          </a:extLst>
        </xdr:cNvPr>
        <xdr:cNvSpPr>
          <a:spLocks noChangeShapeType="1"/>
        </xdr:cNvSpPr>
      </xdr:nvSpPr>
      <xdr:spPr bwMode="auto">
        <a:xfrm>
          <a:off x="1219200" y="77438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304800</xdr:colOff>
      <xdr:row>103</xdr:row>
      <xdr:rowOff>47625</xdr:rowOff>
    </xdr:from>
    <xdr:to>
      <xdr:col>2</xdr:col>
      <xdr:colOff>304800</xdr:colOff>
      <xdr:row>104</xdr:row>
      <xdr:rowOff>171450</xdr:rowOff>
    </xdr:to>
    <xdr:sp macro="" textlink="">
      <xdr:nvSpPr>
        <xdr:cNvPr id="129" name="Line 1072">
          <a:extLst>
            <a:ext uri="{FF2B5EF4-FFF2-40B4-BE49-F238E27FC236}">
              <a16:creationId xmlns="" xmlns:a16="http://schemas.microsoft.com/office/drawing/2014/main" id="{00000000-0008-0000-1A00-000081000000}"/>
            </a:ext>
          </a:extLst>
        </xdr:cNvPr>
        <xdr:cNvSpPr>
          <a:spLocks noChangeShapeType="1"/>
        </xdr:cNvSpPr>
      </xdr:nvSpPr>
      <xdr:spPr bwMode="auto">
        <a:xfrm>
          <a:off x="1809750" y="77247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733425</xdr:colOff>
      <xdr:row>101</xdr:row>
      <xdr:rowOff>85725</xdr:rowOff>
    </xdr:from>
    <xdr:to>
      <xdr:col>2</xdr:col>
      <xdr:colOff>733425</xdr:colOff>
      <xdr:row>103</xdr:row>
      <xdr:rowOff>19050</xdr:rowOff>
    </xdr:to>
    <xdr:sp macro="" textlink="">
      <xdr:nvSpPr>
        <xdr:cNvPr id="130" name="Line 1072">
          <a:extLst>
            <a:ext uri="{FF2B5EF4-FFF2-40B4-BE49-F238E27FC236}">
              <a16:creationId xmlns="" xmlns:a16="http://schemas.microsoft.com/office/drawing/2014/main" id="{00000000-0008-0000-1A00-000082000000}"/>
            </a:ext>
          </a:extLst>
        </xdr:cNvPr>
        <xdr:cNvSpPr>
          <a:spLocks noChangeShapeType="1"/>
        </xdr:cNvSpPr>
      </xdr:nvSpPr>
      <xdr:spPr bwMode="auto">
        <a:xfrm>
          <a:off x="2238375" y="73818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101</xdr:row>
      <xdr:rowOff>95250</xdr:rowOff>
    </xdr:from>
    <xdr:to>
      <xdr:col>0</xdr:col>
      <xdr:colOff>742950</xdr:colOff>
      <xdr:row>103</xdr:row>
      <xdr:rowOff>28575</xdr:rowOff>
    </xdr:to>
    <xdr:sp macro="" textlink="">
      <xdr:nvSpPr>
        <xdr:cNvPr id="131" name="Line 1072">
          <a:extLst>
            <a:ext uri="{FF2B5EF4-FFF2-40B4-BE49-F238E27FC236}">
              <a16:creationId xmlns="" xmlns:a16="http://schemas.microsoft.com/office/drawing/2014/main" id="{00000000-0008-0000-1A00-000083000000}"/>
            </a:ext>
          </a:extLst>
        </xdr:cNvPr>
        <xdr:cNvSpPr>
          <a:spLocks noChangeShapeType="1"/>
        </xdr:cNvSpPr>
      </xdr:nvSpPr>
      <xdr:spPr bwMode="auto">
        <a:xfrm>
          <a:off x="742950" y="739140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115</xdr:row>
      <xdr:rowOff>0</xdr:rowOff>
    </xdr:from>
    <xdr:to>
      <xdr:col>2</xdr:col>
      <xdr:colOff>390525</xdr:colOff>
      <xdr:row>115</xdr:row>
      <xdr:rowOff>0</xdr:rowOff>
    </xdr:to>
    <xdr:sp macro="" textlink="">
      <xdr:nvSpPr>
        <xdr:cNvPr id="132" name="Line 1079">
          <a:extLst>
            <a:ext uri="{FF2B5EF4-FFF2-40B4-BE49-F238E27FC236}">
              <a16:creationId xmlns="" xmlns:a16="http://schemas.microsoft.com/office/drawing/2014/main" id="{00000000-0008-0000-1A00-000084000000}"/>
            </a:ext>
          </a:extLst>
        </xdr:cNvPr>
        <xdr:cNvSpPr>
          <a:spLocks noChangeShapeType="1"/>
        </xdr:cNvSpPr>
      </xdr:nvSpPr>
      <xdr:spPr bwMode="auto">
        <a:xfrm>
          <a:off x="1114425" y="9963150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114</xdr:row>
      <xdr:rowOff>66675</xdr:rowOff>
    </xdr:from>
    <xdr:to>
      <xdr:col>1</xdr:col>
      <xdr:colOff>371475</xdr:colOff>
      <xdr:row>116</xdr:row>
      <xdr:rowOff>0</xdr:rowOff>
    </xdr:to>
    <xdr:sp macro="" textlink="">
      <xdr:nvSpPr>
        <xdr:cNvPr id="133" name="Line 1078">
          <a:extLst>
            <a:ext uri="{FF2B5EF4-FFF2-40B4-BE49-F238E27FC236}">
              <a16:creationId xmlns="" xmlns:a16="http://schemas.microsoft.com/office/drawing/2014/main" id="{00000000-0008-0000-1A00-000085000000}"/>
            </a:ext>
          </a:extLst>
        </xdr:cNvPr>
        <xdr:cNvSpPr>
          <a:spLocks noChangeShapeType="1"/>
        </xdr:cNvSpPr>
      </xdr:nvSpPr>
      <xdr:spPr bwMode="auto">
        <a:xfrm>
          <a:off x="1123950" y="983932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114</xdr:row>
      <xdr:rowOff>38100</xdr:rowOff>
    </xdr:from>
    <xdr:to>
      <xdr:col>2</xdr:col>
      <xdr:colOff>381000</xdr:colOff>
      <xdr:row>115</xdr:row>
      <xdr:rowOff>161925</xdr:rowOff>
    </xdr:to>
    <xdr:sp macro="" textlink="">
      <xdr:nvSpPr>
        <xdr:cNvPr id="134" name="Line 1078">
          <a:extLst>
            <a:ext uri="{FF2B5EF4-FFF2-40B4-BE49-F238E27FC236}">
              <a16:creationId xmlns="" xmlns:a16="http://schemas.microsoft.com/office/drawing/2014/main" id="{00000000-0008-0000-1A00-000086000000}"/>
            </a:ext>
          </a:extLst>
        </xdr:cNvPr>
        <xdr:cNvSpPr>
          <a:spLocks noChangeShapeType="1"/>
        </xdr:cNvSpPr>
      </xdr:nvSpPr>
      <xdr:spPr bwMode="auto">
        <a:xfrm>
          <a:off x="1885950" y="98107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600075</xdr:colOff>
      <xdr:row>117</xdr:row>
      <xdr:rowOff>57150</xdr:rowOff>
    </xdr:from>
    <xdr:to>
      <xdr:col>2</xdr:col>
      <xdr:colOff>600075</xdr:colOff>
      <xdr:row>118</xdr:row>
      <xdr:rowOff>180975</xdr:rowOff>
    </xdr:to>
    <xdr:sp macro="" textlink="">
      <xdr:nvSpPr>
        <xdr:cNvPr id="135" name="Line 1078">
          <a:extLst>
            <a:ext uri="{FF2B5EF4-FFF2-40B4-BE49-F238E27FC236}">
              <a16:creationId xmlns="" xmlns:a16="http://schemas.microsoft.com/office/drawing/2014/main" id="{00000000-0008-0000-1A00-000087000000}"/>
            </a:ext>
          </a:extLst>
        </xdr:cNvPr>
        <xdr:cNvSpPr>
          <a:spLocks noChangeShapeType="1"/>
        </xdr:cNvSpPr>
      </xdr:nvSpPr>
      <xdr:spPr bwMode="auto">
        <a:xfrm>
          <a:off x="2105025" y="1040130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117</xdr:row>
      <xdr:rowOff>76200</xdr:rowOff>
    </xdr:from>
    <xdr:to>
      <xdr:col>1</xdr:col>
      <xdr:colOff>180975</xdr:colOff>
      <xdr:row>119</xdr:row>
      <xdr:rowOff>9525</xdr:rowOff>
    </xdr:to>
    <xdr:sp macro="" textlink="">
      <xdr:nvSpPr>
        <xdr:cNvPr id="136" name="Line 1078">
          <a:extLst>
            <a:ext uri="{FF2B5EF4-FFF2-40B4-BE49-F238E27FC236}">
              <a16:creationId xmlns="" xmlns:a16="http://schemas.microsoft.com/office/drawing/2014/main" id="{00000000-0008-0000-1A00-000088000000}"/>
            </a:ext>
          </a:extLst>
        </xdr:cNvPr>
        <xdr:cNvSpPr>
          <a:spLocks noChangeShapeType="1"/>
        </xdr:cNvSpPr>
      </xdr:nvSpPr>
      <xdr:spPr bwMode="auto">
        <a:xfrm>
          <a:off x="933450" y="104203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230</xdr:row>
      <xdr:rowOff>9525</xdr:rowOff>
    </xdr:from>
    <xdr:to>
      <xdr:col>3</xdr:col>
      <xdr:colOff>9525</xdr:colOff>
      <xdr:row>230</xdr:row>
      <xdr:rowOff>9525</xdr:rowOff>
    </xdr:to>
    <xdr:sp macro="" textlink="">
      <xdr:nvSpPr>
        <xdr:cNvPr id="137" name="Line 1076">
          <a:extLst>
            <a:ext uri="{FF2B5EF4-FFF2-40B4-BE49-F238E27FC236}">
              <a16:creationId xmlns="" xmlns:a16="http://schemas.microsoft.com/office/drawing/2014/main" id="{00000000-0008-0000-1A00-000089000000}"/>
            </a:ext>
          </a:extLst>
        </xdr:cNvPr>
        <xdr:cNvSpPr>
          <a:spLocks noChangeShapeType="1"/>
        </xdr:cNvSpPr>
      </xdr:nvSpPr>
      <xdr:spPr bwMode="auto">
        <a:xfrm>
          <a:off x="762000" y="1993582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231</xdr:row>
      <xdr:rowOff>180975</xdr:rowOff>
    </xdr:from>
    <xdr:to>
      <xdr:col>2</xdr:col>
      <xdr:colOff>276225</xdr:colOff>
      <xdr:row>231</xdr:row>
      <xdr:rowOff>180975</xdr:rowOff>
    </xdr:to>
    <xdr:sp macro="" textlink="">
      <xdr:nvSpPr>
        <xdr:cNvPr id="138" name="Line 1073">
          <a:extLst>
            <a:ext uri="{FF2B5EF4-FFF2-40B4-BE49-F238E27FC236}">
              <a16:creationId xmlns="" xmlns:a16="http://schemas.microsoft.com/office/drawing/2014/main" id="{00000000-0008-0000-1A00-00008A000000}"/>
            </a:ext>
          </a:extLst>
        </xdr:cNvPr>
        <xdr:cNvSpPr>
          <a:spLocks noChangeShapeType="1"/>
        </xdr:cNvSpPr>
      </xdr:nvSpPr>
      <xdr:spPr bwMode="auto">
        <a:xfrm>
          <a:off x="1190625" y="20297775"/>
          <a:ext cx="590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242</xdr:row>
      <xdr:rowOff>180975</xdr:rowOff>
    </xdr:from>
    <xdr:to>
      <xdr:col>2</xdr:col>
      <xdr:colOff>390525</xdr:colOff>
      <xdr:row>242</xdr:row>
      <xdr:rowOff>180975</xdr:rowOff>
    </xdr:to>
    <xdr:sp macro="" textlink="">
      <xdr:nvSpPr>
        <xdr:cNvPr id="139" name="Line 1079">
          <a:extLst>
            <a:ext uri="{FF2B5EF4-FFF2-40B4-BE49-F238E27FC236}">
              <a16:creationId xmlns="" xmlns:a16="http://schemas.microsoft.com/office/drawing/2014/main" id="{00000000-0008-0000-1A00-00008B000000}"/>
            </a:ext>
          </a:extLst>
        </xdr:cNvPr>
        <xdr:cNvSpPr>
          <a:spLocks noChangeShapeType="1"/>
        </xdr:cNvSpPr>
      </xdr:nvSpPr>
      <xdr:spPr bwMode="auto">
        <a:xfrm>
          <a:off x="1114425" y="2239327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246</xdr:row>
      <xdr:rowOff>9525</xdr:rowOff>
    </xdr:from>
    <xdr:to>
      <xdr:col>2</xdr:col>
      <xdr:colOff>581025</xdr:colOff>
      <xdr:row>246</xdr:row>
      <xdr:rowOff>9525</xdr:rowOff>
    </xdr:to>
    <xdr:sp macro="" textlink="">
      <xdr:nvSpPr>
        <xdr:cNvPr id="140" name="Line 1086">
          <a:extLst>
            <a:ext uri="{FF2B5EF4-FFF2-40B4-BE49-F238E27FC236}">
              <a16:creationId xmlns="" xmlns:a16="http://schemas.microsoft.com/office/drawing/2014/main" id="{00000000-0008-0000-1A00-00008C000000}"/>
            </a:ext>
          </a:extLst>
        </xdr:cNvPr>
        <xdr:cNvSpPr>
          <a:spLocks noChangeShapeType="1"/>
        </xdr:cNvSpPr>
      </xdr:nvSpPr>
      <xdr:spPr bwMode="auto">
        <a:xfrm>
          <a:off x="904875" y="22983825"/>
          <a:ext cx="1181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245</xdr:row>
      <xdr:rowOff>66675</xdr:rowOff>
    </xdr:from>
    <xdr:to>
      <xdr:col>1</xdr:col>
      <xdr:colOff>161925</xdr:colOff>
      <xdr:row>246</xdr:row>
      <xdr:rowOff>161925</xdr:rowOff>
    </xdr:to>
    <xdr:sp macro="" textlink="">
      <xdr:nvSpPr>
        <xdr:cNvPr id="141" name="Line 1091">
          <a:extLst>
            <a:ext uri="{FF2B5EF4-FFF2-40B4-BE49-F238E27FC236}">
              <a16:creationId xmlns="" xmlns:a16="http://schemas.microsoft.com/office/drawing/2014/main" id="{00000000-0008-0000-1A00-00008D000000}"/>
            </a:ext>
          </a:extLst>
        </xdr:cNvPr>
        <xdr:cNvSpPr>
          <a:spLocks noChangeShapeType="1"/>
        </xdr:cNvSpPr>
      </xdr:nvSpPr>
      <xdr:spPr bwMode="auto">
        <a:xfrm>
          <a:off x="914400" y="22850475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245</xdr:row>
      <xdr:rowOff>76200</xdr:rowOff>
    </xdr:from>
    <xdr:to>
      <xdr:col>2</xdr:col>
      <xdr:colOff>581025</xdr:colOff>
      <xdr:row>246</xdr:row>
      <xdr:rowOff>171450</xdr:rowOff>
    </xdr:to>
    <xdr:sp macro="" textlink="">
      <xdr:nvSpPr>
        <xdr:cNvPr id="142" name="Line 1091">
          <a:extLst>
            <a:ext uri="{FF2B5EF4-FFF2-40B4-BE49-F238E27FC236}">
              <a16:creationId xmlns="" xmlns:a16="http://schemas.microsoft.com/office/drawing/2014/main" id="{00000000-0008-0000-1A00-00008E000000}"/>
            </a:ext>
          </a:extLst>
        </xdr:cNvPr>
        <xdr:cNvSpPr>
          <a:spLocks noChangeShapeType="1"/>
        </xdr:cNvSpPr>
      </xdr:nvSpPr>
      <xdr:spPr bwMode="auto">
        <a:xfrm>
          <a:off x="2085975" y="22860000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234</xdr:row>
      <xdr:rowOff>9525</xdr:rowOff>
    </xdr:from>
    <xdr:to>
      <xdr:col>1</xdr:col>
      <xdr:colOff>9525</xdr:colOff>
      <xdr:row>234</xdr:row>
      <xdr:rowOff>9525</xdr:rowOff>
    </xdr:to>
    <xdr:sp macro="" textlink="">
      <xdr:nvSpPr>
        <xdr:cNvPr id="143" name="Line 1083">
          <a:extLst>
            <a:ext uri="{FF2B5EF4-FFF2-40B4-BE49-F238E27FC236}">
              <a16:creationId xmlns="" xmlns:a16="http://schemas.microsoft.com/office/drawing/2014/main" id="{00000000-0008-0000-1A00-00008F000000}"/>
            </a:ext>
          </a:extLst>
        </xdr:cNvPr>
        <xdr:cNvSpPr>
          <a:spLocks noChangeShapeType="1"/>
        </xdr:cNvSpPr>
      </xdr:nvSpPr>
      <xdr:spPr bwMode="auto">
        <a:xfrm flipH="1">
          <a:off x="209550" y="20697825"/>
          <a:ext cx="55245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171450</xdr:colOff>
      <xdr:row>241</xdr:row>
      <xdr:rowOff>19050</xdr:rowOff>
    </xdr:to>
    <xdr:sp macro="" textlink="">
      <xdr:nvSpPr>
        <xdr:cNvPr id="144" name="Line 1065">
          <a:extLst>
            <a:ext uri="{FF2B5EF4-FFF2-40B4-BE49-F238E27FC236}">
              <a16:creationId xmlns="" xmlns:a16="http://schemas.microsoft.com/office/drawing/2014/main" id="{00000000-0008-0000-1A00-000090000000}"/>
            </a:ext>
          </a:extLst>
        </xdr:cNvPr>
        <xdr:cNvSpPr>
          <a:spLocks noChangeShapeType="1"/>
        </xdr:cNvSpPr>
      </xdr:nvSpPr>
      <xdr:spPr bwMode="auto">
        <a:xfrm>
          <a:off x="762000" y="20697825"/>
          <a:ext cx="161925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152400</xdr:colOff>
      <xdr:row>241</xdr:row>
      <xdr:rowOff>19050</xdr:rowOff>
    </xdr:from>
    <xdr:to>
      <xdr:col>2</xdr:col>
      <xdr:colOff>542925</xdr:colOff>
      <xdr:row>241</xdr:row>
      <xdr:rowOff>19050</xdr:rowOff>
    </xdr:to>
    <xdr:sp macro="" textlink="">
      <xdr:nvSpPr>
        <xdr:cNvPr id="145" name="Line 1066">
          <a:extLst>
            <a:ext uri="{FF2B5EF4-FFF2-40B4-BE49-F238E27FC236}">
              <a16:creationId xmlns="" xmlns:a16="http://schemas.microsoft.com/office/drawing/2014/main" id="{00000000-0008-0000-1A00-000091000000}"/>
            </a:ext>
          </a:extLst>
        </xdr:cNvPr>
        <xdr:cNvSpPr>
          <a:spLocks noChangeShapeType="1"/>
        </xdr:cNvSpPr>
      </xdr:nvSpPr>
      <xdr:spPr bwMode="auto">
        <a:xfrm>
          <a:off x="904875" y="22040850"/>
          <a:ext cx="1143000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552450</xdr:colOff>
      <xdr:row>234</xdr:row>
      <xdr:rowOff>0</xdr:rowOff>
    </xdr:from>
    <xdr:to>
      <xdr:col>3</xdr:col>
      <xdr:colOff>9525</xdr:colOff>
      <xdr:row>241</xdr:row>
      <xdr:rowOff>28575</xdr:rowOff>
    </xdr:to>
    <xdr:sp macro="" textlink="">
      <xdr:nvSpPr>
        <xdr:cNvPr id="146" name="Line 1067">
          <a:extLst>
            <a:ext uri="{FF2B5EF4-FFF2-40B4-BE49-F238E27FC236}">
              <a16:creationId xmlns="" xmlns:a16="http://schemas.microsoft.com/office/drawing/2014/main" id="{00000000-0008-0000-1A00-000092000000}"/>
            </a:ext>
          </a:extLst>
        </xdr:cNvPr>
        <xdr:cNvSpPr>
          <a:spLocks noChangeShapeType="1"/>
        </xdr:cNvSpPr>
      </xdr:nvSpPr>
      <xdr:spPr bwMode="auto">
        <a:xfrm flipH="1">
          <a:off x="2057400" y="20688300"/>
          <a:ext cx="209550" cy="136207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234</xdr:row>
      <xdr:rowOff>9525</xdr:rowOff>
    </xdr:from>
    <xdr:to>
      <xdr:col>4</xdr:col>
      <xdr:colOff>0</xdr:colOff>
      <xdr:row>234</xdr:row>
      <xdr:rowOff>9525</xdr:rowOff>
    </xdr:to>
    <xdr:sp macro="" textlink="">
      <xdr:nvSpPr>
        <xdr:cNvPr id="147" name="Line 1082">
          <a:extLst>
            <a:ext uri="{FF2B5EF4-FFF2-40B4-BE49-F238E27FC236}">
              <a16:creationId xmlns="" xmlns:a16="http://schemas.microsoft.com/office/drawing/2014/main" id="{00000000-0008-0000-1A00-000093000000}"/>
            </a:ext>
          </a:extLst>
        </xdr:cNvPr>
        <xdr:cNvSpPr>
          <a:spLocks noChangeShapeType="1"/>
        </xdr:cNvSpPr>
      </xdr:nvSpPr>
      <xdr:spPr bwMode="auto">
        <a:xfrm flipV="1">
          <a:off x="2257425" y="20697825"/>
          <a:ext cx="752475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234</xdr:row>
      <xdr:rowOff>0</xdr:rowOff>
    </xdr:from>
    <xdr:to>
      <xdr:col>2</xdr:col>
      <xdr:colOff>342900</xdr:colOff>
      <xdr:row>234</xdr:row>
      <xdr:rowOff>9525</xdr:rowOff>
    </xdr:to>
    <xdr:sp macro="" textlink="">
      <xdr:nvSpPr>
        <xdr:cNvPr id="148" name="Line 1070">
          <a:extLst>
            <a:ext uri="{FF2B5EF4-FFF2-40B4-BE49-F238E27FC236}">
              <a16:creationId xmlns="" xmlns:a16="http://schemas.microsoft.com/office/drawing/2014/main" id="{00000000-0008-0000-1A00-000094000000}"/>
            </a:ext>
          </a:extLst>
        </xdr:cNvPr>
        <xdr:cNvSpPr>
          <a:spLocks noChangeShapeType="1"/>
        </xdr:cNvSpPr>
      </xdr:nvSpPr>
      <xdr:spPr bwMode="auto">
        <a:xfrm flipV="1">
          <a:off x="1190625" y="20688300"/>
          <a:ext cx="657225" cy="95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234</xdr:row>
      <xdr:rowOff>9525</xdr:rowOff>
    </xdr:from>
    <xdr:to>
      <xdr:col>1</xdr:col>
      <xdr:colOff>447675</xdr:colOff>
      <xdr:row>241</xdr:row>
      <xdr:rowOff>9525</xdr:rowOff>
    </xdr:to>
    <xdr:sp macro="" textlink="">
      <xdr:nvSpPr>
        <xdr:cNvPr id="149" name="Line 1068">
          <a:extLst>
            <a:ext uri="{FF2B5EF4-FFF2-40B4-BE49-F238E27FC236}">
              <a16:creationId xmlns="" xmlns:a16="http://schemas.microsoft.com/office/drawing/2014/main" id="{00000000-0008-0000-1A00-000095000000}"/>
            </a:ext>
          </a:extLst>
        </xdr:cNvPr>
        <xdr:cNvSpPr>
          <a:spLocks noChangeShapeType="1"/>
        </xdr:cNvSpPr>
      </xdr:nvSpPr>
      <xdr:spPr bwMode="auto">
        <a:xfrm flipV="1">
          <a:off x="1095375" y="20697825"/>
          <a:ext cx="104775" cy="133350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342900</xdr:colOff>
      <xdr:row>234</xdr:row>
      <xdr:rowOff>9525</xdr:rowOff>
    </xdr:from>
    <xdr:to>
      <xdr:col>2</xdr:col>
      <xdr:colOff>457200</xdr:colOff>
      <xdr:row>241</xdr:row>
      <xdr:rowOff>19050</xdr:rowOff>
    </xdr:to>
    <xdr:sp macro="" textlink="">
      <xdr:nvSpPr>
        <xdr:cNvPr id="150" name="Line 1069">
          <a:extLst>
            <a:ext uri="{FF2B5EF4-FFF2-40B4-BE49-F238E27FC236}">
              <a16:creationId xmlns="" xmlns:a16="http://schemas.microsoft.com/office/drawing/2014/main" id="{00000000-0008-0000-1A00-000096000000}"/>
            </a:ext>
          </a:extLst>
        </xdr:cNvPr>
        <xdr:cNvSpPr>
          <a:spLocks noChangeShapeType="1"/>
        </xdr:cNvSpPr>
      </xdr:nvSpPr>
      <xdr:spPr bwMode="auto">
        <a:xfrm>
          <a:off x="1847850" y="20697825"/>
          <a:ext cx="114300" cy="1343025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438150</xdr:colOff>
      <xdr:row>231</xdr:row>
      <xdr:rowOff>57150</xdr:rowOff>
    </xdr:from>
    <xdr:to>
      <xdr:col>1</xdr:col>
      <xdr:colOff>438150</xdr:colOff>
      <xdr:row>232</xdr:row>
      <xdr:rowOff>180975</xdr:rowOff>
    </xdr:to>
    <xdr:sp macro="" textlink="">
      <xdr:nvSpPr>
        <xdr:cNvPr id="151" name="Line 1072">
          <a:extLst>
            <a:ext uri="{FF2B5EF4-FFF2-40B4-BE49-F238E27FC236}">
              <a16:creationId xmlns="" xmlns:a16="http://schemas.microsoft.com/office/drawing/2014/main" id="{00000000-0008-0000-1A00-000097000000}"/>
            </a:ext>
          </a:extLst>
        </xdr:cNvPr>
        <xdr:cNvSpPr>
          <a:spLocks noChangeShapeType="1"/>
        </xdr:cNvSpPr>
      </xdr:nvSpPr>
      <xdr:spPr bwMode="auto">
        <a:xfrm>
          <a:off x="1190625" y="201739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285750</xdr:colOff>
      <xdr:row>231</xdr:row>
      <xdr:rowOff>57150</xdr:rowOff>
    </xdr:from>
    <xdr:to>
      <xdr:col>2</xdr:col>
      <xdr:colOff>285750</xdr:colOff>
      <xdr:row>232</xdr:row>
      <xdr:rowOff>180975</xdr:rowOff>
    </xdr:to>
    <xdr:sp macro="" textlink="">
      <xdr:nvSpPr>
        <xdr:cNvPr id="152" name="Line 1072">
          <a:extLst>
            <a:ext uri="{FF2B5EF4-FFF2-40B4-BE49-F238E27FC236}">
              <a16:creationId xmlns="" xmlns:a16="http://schemas.microsoft.com/office/drawing/2014/main" id="{00000000-0008-0000-1A00-000098000000}"/>
            </a:ext>
          </a:extLst>
        </xdr:cNvPr>
        <xdr:cNvSpPr>
          <a:spLocks noChangeShapeType="1"/>
        </xdr:cNvSpPr>
      </xdr:nvSpPr>
      <xdr:spPr bwMode="auto">
        <a:xfrm>
          <a:off x="1790700" y="201739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229</xdr:row>
      <xdr:rowOff>66675</xdr:rowOff>
    </xdr:from>
    <xdr:to>
      <xdr:col>3</xdr:col>
      <xdr:colOff>0</xdr:colOff>
      <xdr:row>231</xdr:row>
      <xdr:rowOff>0</xdr:rowOff>
    </xdr:to>
    <xdr:sp macro="" textlink="">
      <xdr:nvSpPr>
        <xdr:cNvPr id="153" name="Line 1072">
          <a:extLst>
            <a:ext uri="{FF2B5EF4-FFF2-40B4-BE49-F238E27FC236}">
              <a16:creationId xmlns="" xmlns:a16="http://schemas.microsoft.com/office/drawing/2014/main" id="{00000000-0008-0000-1A00-000099000000}"/>
            </a:ext>
          </a:extLst>
        </xdr:cNvPr>
        <xdr:cNvSpPr>
          <a:spLocks noChangeShapeType="1"/>
        </xdr:cNvSpPr>
      </xdr:nvSpPr>
      <xdr:spPr bwMode="auto">
        <a:xfrm>
          <a:off x="2257425" y="19802475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229</xdr:row>
      <xdr:rowOff>57150</xdr:rowOff>
    </xdr:from>
    <xdr:to>
      <xdr:col>1</xdr:col>
      <xdr:colOff>28575</xdr:colOff>
      <xdr:row>230</xdr:row>
      <xdr:rowOff>180975</xdr:rowOff>
    </xdr:to>
    <xdr:sp macro="" textlink="">
      <xdr:nvSpPr>
        <xdr:cNvPr id="154" name="Line 1072">
          <a:extLst>
            <a:ext uri="{FF2B5EF4-FFF2-40B4-BE49-F238E27FC236}">
              <a16:creationId xmlns="" xmlns:a16="http://schemas.microsoft.com/office/drawing/2014/main" id="{00000000-0008-0000-1A00-00009A000000}"/>
            </a:ext>
          </a:extLst>
        </xdr:cNvPr>
        <xdr:cNvSpPr>
          <a:spLocks noChangeShapeType="1"/>
        </xdr:cNvSpPr>
      </xdr:nvSpPr>
      <xdr:spPr bwMode="auto">
        <a:xfrm>
          <a:off x="781050" y="19792950"/>
          <a:ext cx="0" cy="3143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238125</xdr:colOff>
      <xdr:row>233</xdr:row>
      <xdr:rowOff>180975</xdr:rowOff>
    </xdr:from>
    <xdr:to>
      <xdr:col>3</xdr:col>
      <xdr:colOff>238125</xdr:colOff>
      <xdr:row>241</xdr:row>
      <xdr:rowOff>9525</xdr:rowOff>
    </xdr:to>
    <xdr:sp macro="" textlink="">
      <xdr:nvSpPr>
        <xdr:cNvPr id="155" name="Line 1081">
          <a:extLst>
            <a:ext uri="{FF2B5EF4-FFF2-40B4-BE49-F238E27FC236}">
              <a16:creationId xmlns="" xmlns:a16="http://schemas.microsoft.com/office/drawing/2014/main" id="{00000000-0008-0000-1A00-00009B000000}"/>
            </a:ext>
          </a:extLst>
        </xdr:cNvPr>
        <xdr:cNvSpPr>
          <a:spLocks noChangeShapeType="1"/>
        </xdr:cNvSpPr>
      </xdr:nvSpPr>
      <xdr:spPr bwMode="auto">
        <a:xfrm>
          <a:off x="2495550" y="20678775"/>
          <a:ext cx="0" cy="135255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400050</xdr:colOff>
      <xdr:row>242</xdr:row>
      <xdr:rowOff>47625</xdr:rowOff>
    </xdr:from>
    <xdr:to>
      <xdr:col>2</xdr:col>
      <xdr:colOff>400050</xdr:colOff>
      <xdr:row>243</xdr:row>
      <xdr:rowOff>142875</xdr:rowOff>
    </xdr:to>
    <xdr:sp macro="" textlink="">
      <xdr:nvSpPr>
        <xdr:cNvPr id="156" name="Line 1091">
          <a:extLst>
            <a:ext uri="{FF2B5EF4-FFF2-40B4-BE49-F238E27FC236}">
              <a16:creationId xmlns="" xmlns:a16="http://schemas.microsoft.com/office/drawing/2014/main" id="{00000000-0008-0000-1A00-00009C000000}"/>
            </a:ext>
          </a:extLst>
        </xdr:cNvPr>
        <xdr:cNvSpPr>
          <a:spLocks noChangeShapeType="1"/>
        </xdr:cNvSpPr>
      </xdr:nvSpPr>
      <xdr:spPr bwMode="auto">
        <a:xfrm>
          <a:off x="1905000" y="22259925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371475</xdr:colOff>
      <xdr:row>242</xdr:row>
      <xdr:rowOff>47625</xdr:rowOff>
    </xdr:from>
    <xdr:to>
      <xdr:col>1</xdr:col>
      <xdr:colOff>371475</xdr:colOff>
      <xdr:row>243</xdr:row>
      <xdr:rowOff>142875</xdr:rowOff>
    </xdr:to>
    <xdr:sp macro="" textlink="">
      <xdr:nvSpPr>
        <xdr:cNvPr id="157" name="Line 1091">
          <a:extLst>
            <a:ext uri="{FF2B5EF4-FFF2-40B4-BE49-F238E27FC236}">
              <a16:creationId xmlns="" xmlns:a16="http://schemas.microsoft.com/office/drawing/2014/main" id="{00000000-0008-0000-1A00-00009D000000}"/>
            </a:ext>
          </a:extLst>
        </xdr:cNvPr>
        <xdr:cNvSpPr>
          <a:spLocks noChangeShapeType="1"/>
        </xdr:cNvSpPr>
      </xdr:nvSpPr>
      <xdr:spPr bwMode="auto">
        <a:xfrm>
          <a:off x="1123950" y="22259925"/>
          <a:ext cx="0" cy="285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161925</xdr:colOff>
      <xdr:row>61</xdr:row>
      <xdr:rowOff>38100</xdr:rowOff>
    </xdr:from>
    <xdr:to>
      <xdr:col>1</xdr:col>
      <xdr:colOff>161925</xdr:colOff>
      <xdr:row>63</xdr:row>
      <xdr:rowOff>9525</xdr:rowOff>
    </xdr:to>
    <xdr:sp macro="" textlink="">
      <xdr:nvSpPr>
        <xdr:cNvPr id="158" name="Line 370">
          <a:extLst>
            <a:ext uri="{FF2B5EF4-FFF2-40B4-BE49-F238E27FC236}">
              <a16:creationId xmlns="" xmlns:a16="http://schemas.microsoft.com/office/drawing/2014/main" id="{00000000-0008-0000-1A00-00009E000000}"/>
            </a:ext>
          </a:extLst>
        </xdr:cNvPr>
        <xdr:cNvSpPr>
          <a:spLocks noChangeShapeType="1"/>
        </xdr:cNvSpPr>
      </xdr:nvSpPr>
      <xdr:spPr bwMode="auto">
        <a:xfrm>
          <a:off x="914400" y="28289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61</xdr:row>
      <xdr:rowOff>28575</xdr:rowOff>
    </xdr:from>
    <xdr:to>
      <xdr:col>2</xdr:col>
      <xdr:colOff>561975</xdr:colOff>
      <xdr:row>63</xdr:row>
      <xdr:rowOff>0</xdr:rowOff>
    </xdr:to>
    <xdr:sp macro="" textlink="">
      <xdr:nvSpPr>
        <xdr:cNvPr id="159" name="Line 370">
          <a:extLst>
            <a:ext uri="{FF2B5EF4-FFF2-40B4-BE49-F238E27FC236}">
              <a16:creationId xmlns="" xmlns:a16="http://schemas.microsoft.com/office/drawing/2014/main" id="{00000000-0008-0000-1A00-00009F000000}"/>
            </a:ext>
          </a:extLst>
        </xdr:cNvPr>
        <xdr:cNvSpPr>
          <a:spLocks noChangeShapeType="1"/>
        </xdr:cNvSpPr>
      </xdr:nvSpPr>
      <xdr:spPr bwMode="auto">
        <a:xfrm>
          <a:off x="2066925" y="281940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5</xdr:row>
      <xdr:rowOff>0</xdr:rowOff>
    </xdr:from>
    <xdr:to>
      <xdr:col>1</xdr:col>
      <xdr:colOff>329292</xdr:colOff>
      <xdr:row>11</xdr:row>
      <xdr:rowOff>10885</xdr:rowOff>
    </xdr:to>
    <xdr:sp macro="" textlink="">
      <xdr:nvSpPr>
        <xdr:cNvPr id="160" name="Line 382">
          <a:extLst>
            <a:ext uri="{FF2B5EF4-FFF2-40B4-BE49-F238E27FC236}">
              <a16:creationId xmlns="" xmlns:a16="http://schemas.microsoft.com/office/drawing/2014/main" id="{00000000-0008-0000-1A00-0000A0000000}"/>
            </a:ext>
          </a:extLst>
        </xdr:cNvPr>
        <xdr:cNvSpPr>
          <a:spLocks noChangeShapeType="1"/>
        </xdr:cNvSpPr>
      </xdr:nvSpPr>
      <xdr:spPr bwMode="auto">
        <a:xfrm flipH="1">
          <a:off x="1076325" y="1076325"/>
          <a:ext cx="5442" cy="11538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4</xdr:row>
      <xdr:rowOff>180975</xdr:rowOff>
    </xdr:from>
    <xdr:to>
      <xdr:col>2</xdr:col>
      <xdr:colOff>424542</xdr:colOff>
      <xdr:row>11</xdr:row>
      <xdr:rowOff>1360</xdr:rowOff>
    </xdr:to>
    <xdr:sp macro="" textlink="">
      <xdr:nvSpPr>
        <xdr:cNvPr id="161" name="Line 382">
          <a:extLst>
            <a:ext uri="{FF2B5EF4-FFF2-40B4-BE49-F238E27FC236}">
              <a16:creationId xmlns="" xmlns:a16="http://schemas.microsoft.com/office/drawing/2014/main" id="{00000000-0008-0000-1A00-0000A1000000}"/>
            </a:ext>
          </a:extLst>
        </xdr:cNvPr>
        <xdr:cNvSpPr>
          <a:spLocks noChangeShapeType="1"/>
        </xdr:cNvSpPr>
      </xdr:nvSpPr>
      <xdr:spPr bwMode="auto">
        <a:xfrm flipH="1">
          <a:off x="1924050" y="1066800"/>
          <a:ext cx="5442" cy="115388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323850</xdr:colOff>
      <xdr:row>5</xdr:row>
      <xdr:rowOff>0</xdr:rowOff>
    </xdr:from>
    <xdr:to>
      <xdr:col>2</xdr:col>
      <xdr:colOff>447675</xdr:colOff>
      <xdr:row>5</xdr:row>
      <xdr:rowOff>0</xdr:rowOff>
    </xdr:to>
    <xdr:sp macro="" textlink="">
      <xdr:nvSpPr>
        <xdr:cNvPr id="162" name="Line 384">
          <a:extLst>
            <a:ext uri="{FF2B5EF4-FFF2-40B4-BE49-F238E27FC236}">
              <a16:creationId xmlns="" xmlns:a16="http://schemas.microsoft.com/office/drawing/2014/main" id="{00000000-0008-0000-1A00-0000A2000000}"/>
            </a:ext>
          </a:extLst>
        </xdr:cNvPr>
        <xdr:cNvSpPr>
          <a:spLocks noChangeShapeType="1"/>
        </xdr:cNvSpPr>
      </xdr:nvSpPr>
      <xdr:spPr bwMode="auto">
        <a:xfrm>
          <a:off x="1076325" y="107632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352425</xdr:colOff>
      <xdr:row>4</xdr:row>
      <xdr:rowOff>9525</xdr:rowOff>
    </xdr:from>
    <xdr:to>
      <xdr:col>2</xdr:col>
      <xdr:colOff>447675</xdr:colOff>
      <xdr:row>4</xdr:row>
      <xdr:rowOff>9525</xdr:rowOff>
    </xdr:to>
    <xdr:sp macro="" textlink="">
      <xdr:nvSpPr>
        <xdr:cNvPr id="163" name="Line 388">
          <a:extLst>
            <a:ext uri="{FF2B5EF4-FFF2-40B4-BE49-F238E27FC236}">
              <a16:creationId xmlns="" xmlns:a16="http://schemas.microsoft.com/office/drawing/2014/main" id="{00000000-0008-0000-1A00-0000A3000000}"/>
            </a:ext>
          </a:extLst>
        </xdr:cNvPr>
        <xdr:cNvSpPr>
          <a:spLocks noChangeShapeType="1"/>
        </xdr:cNvSpPr>
      </xdr:nvSpPr>
      <xdr:spPr bwMode="auto">
        <a:xfrm>
          <a:off x="1104900" y="895350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3</xdr:row>
      <xdr:rowOff>0</xdr:rowOff>
    </xdr:from>
    <xdr:to>
      <xdr:col>2</xdr:col>
      <xdr:colOff>742950</xdr:colOff>
      <xdr:row>3</xdr:row>
      <xdr:rowOff>0</xdr:rowOff>
    </xdr:to>
    <xdr:sp macro="" textlink="">
      <xdr:nvSpPr>
        <xdr:cNvPr id="164" name="Line 394">
          <a:extLst>
            <a:ext uri="{FF2B5EF4-FFF2-40B4-BE49-F238E27FC236}">
              <a16:creationId xmlns="" xmlns:a16="http://schemas.microsoft.com/office/drawing/2014/main" id="{00000000-0008-0000-1A00-0000A4000000}"/>
            </a:ext>
          </a:extLst>
        </xdr:cNvPr>
        <xdr:cNvSpPr>
          <a:spLocks noChangeShapeType="1"/>
        </xdr:cNvSpPr>
      </xdr:nvSpPr>
      <xdr:spPr bwMode="auto">
        <a:xfrm>
          <a:off x="742950" y="69532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200025</xdr:colOff>
      <xdr:row>5</xdr:row>
      <xdr:rowOff>28575</xdr:rowOff>
    </xdr:from>
    <xdr:to>
      <xdr:col>1</xdr:col>
      <xdr:colOff>1361</xdr:colOff>
      <xdr:row>5</xdr:row>
      <xdr:rowOff>28575</xdr:rowOff>
    </xdr:to>
    <xdr:sp macro="" textlink="">
      <xdr:nvSpPr>
        <xdr:cNvPr id="165" name="Line 374">
          <a:extLst>
            <a:ext uri="{FF2B5EF4-FFF2-40B4-BE49-F238E27FC236}">
              <a16:creationId xmlns="" xmlns:a16="http://schemas.microsoft.com/office/drawing/2014/main" id="{00000000-0008-0000-1A00-0000A5000000}"/>
            </a:ext>
          </a:extLst>
        </xdr:cNvPr>
        <xdr:cNvSpPr>
          <a:spLocks noChangeShapeType="1"/>
        </xdr:cNvSpPr>
      </xdr:nvSpPr>
      <xdr:spPr bwMode="auto">
        <a:xfrm flipH="1">
          <a:off x="200025" y="1104900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10</xdr:row>
      <xdr:rowOff>171450</xdr:rowOff>
    </xdr:from>
    <xdr:to>
      <xdr:col>3</xdr:col>
      <xdr:colOff>27215</xdr:colOff>
      <xdr:row>10</xdr:row>
      <xdr:rowOff>172811</xdr:rowOff>
    </xdr:to>
    <xdr:sp macro="" textlink="">
      <xdr:nvSpPr>
        <xdr:cNvPr id="166" name="Line 366">
          <a:extLst>
            <a:ext uri="{FF2B5EF4-FFF2-40B4-BE49-F238E27FC236}">
              <a16:creationId xmlns="" xmlns:a16="http://schemas.microsoft.com/office/drawing/2014/main" id="{00000000-0008-0000-1A00-0000A6000000}"/>
            </a:ext>
          </a:extLst>
        </xdr:cNvPr>
        <xdr:cNvSpPr>
          <a:spLocks noChangeShapeType="1"/>
        </xdr:cNvSpPr>
      </xdr:nvSpPr>
      <xdr:spPr bwMode="auto">
        <a:xfrm>
          <a:off x="762000" y="2200275"/>
          <a:ext cx="1522640" cy="136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314325</xdr:colOff>
      <xdr:row>5</xdr:row>
      <xdr:rowOff>0</xdr:rowOff>
    </xdr:from>
    <xdr:to>
      <xdr:col>4</xdr:col>
      <xdr:colOff>315687</xdr:colOff>
      <xdr:row>11</xdr:row>
      <xdr:rowOff>6803</xdr:rowOff>
    </xdr:to>
    <xdr:sp macro="" textlink="">
      <xdr:nvSpPr>
        <xdr:cNvPr id="167" name="Line 378">
          <a:extLst>
            <a:ext uri="{FF2B5EF4-FFF2-40B4-BE49-F238E27FC236}">
              <a16:creationId xmlns="" xmlns:a16="http://schemas.microsoft.com/office/drawing/2014/main" id="{00000000-0008-0000-1A00-0000A7000000}"/>
            </a:ext>
          </a:extLst>
        </xdr:cNvPr>
        <xdr:cNvSpPr>
          <a:spLocks noChangeShapeType="1"/>
        </xdr:cNvSpPr>
      </xdr:nvSpPr>
      <xdr:spPr bwMode="auto">
        <a:xfrm>
          <a:off x="3324225" y="1076325"/>
          <a:ext cx="1362" cy="1149803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5</xdr:row>
      <xdr:rowOff>9525</xdr:rowOff>
    </xdr:from>
    <xdr:to>
      <xdr:col>4</xdr:col>
      <xdr:colOff>357867</xdr:colOff>
      <xdr:row>5</xdr:row>
      <xdr:rowOff>9526</xdr:rowOff>
    </xdr:to>
    <xdr:sp macro="" textlink="">
      <xdr:nvSpPr>
        <xdr:cNvPr id="168" name="Line 387">
          <a:extLst>
            <a:ext uri="{FF2B5EF4-FFF2-40B4-BE49-F238E27FC236}">
              <a16:creationId xmlns="" xmlns:a16="http://schemas.microsoft.com/office/drawing/2014/main" id="{00000000-0008-0000-1A00-0000A8000000}"/>
            </a:ext>
          </a:extLst>
        </xdr:cNvPr>
        <xdr:cNvSpPr>
          <a:spLocks noChangeShapeType="1"/>
        </xdr:cNvSpPr>
      </xdr:nvSpPr>
      <xdr:spPr bwMode="auto">
        <a:xfrm>
          <a:off x="2571750" y="108585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11</xdr:row>
      <xdr:rowOff>9525</xdr:rowOff>
    </xdr:from>
    <xdr:to>
      <xdr:col>4</xdr:col>
      <xdr:colOff>367392</xdr:colOff>
      <xdr:row>11</xdr:row>
      <xdr:rowOff>9526</xdr:rowOff>
    </xdr:to>
    <xdr:sp macro="" textlink="">
      <xdr:nvSpPr>
        <xdr:cNvPr id="169" name="Line 387">
          <a:extLst>
            <a:ext uri="{FF2B5EF4-FFF2-40B4-BE49-F238E27FC236}">
              <a16:creationId xmlns="" xmlns:a16="http://schemas.microsoft.com/office/drawing/2014/main" id="{00000000-0008-0000-1A00-0000A9000000}"/>
            </a:ext>
          </a:extLst>
        </xdr:cNvPr>
        <xdr:cNvSpPr>
          <a:spLocks noChangeShapeType="1"/>
        </xdr:cNvSpPr>
      </xdr:nvSpPr>
      <xdr:spPr bwMode="auto">
        <a:xfrm>
          <a:off x="2581275" y="222885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733425</xdr:colOff>
      <xdr:row>5</xdr:row>
      <xdr:rowOff>0</xdr:rowOff>
    </xdr:from>
    <xdr:to>
      <xdr:col>3</xdr:col>
      <xdr:colOff>534761</xdr:colOff>
      <xdr:row>5</xdr:row>
      <xdr:rowOff>0</xdr:rowOff>
    </xdr:to>
    <xdr:sp macro="" textlink="">
      <xdr:nvSpPr>
        <xdr:cNvPr id="170" name="Line 374">
          <a:extLst>
            <a:ext uri="{FF2B5EF4-FFF2-40B4-BE49-F238E27FC236}">
              <a16:creationId xmlns="" xmlns:a16="http://schemas.microsoft.com/office/drawing/2014/main" id="{00000000-0008-0000-1A00-0000AA000000}"/>
            </a:ext>
          </a:extLst>
        </xdr:cNvPr>
        <xdr:cNvSpPr>
          <a:spLocks noChangeShapeType="1"/>
        </xdr:cNvSpPr>
      </xdr:nvSpPr>
      <xdr:spPr bwMode="auto">
        <a:xfrm flipH="1">
          <a:off x="2238375" y="1076325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13608</xdr:colOff>
      <xdr:row>5</xdr:row>
      <xdr:rowOff>19051</xdr:rowOff>
    </xdr:from>
    <xdr:to>
      <xdr:col>1</xdr:col>
      <xdr:colOff>13608</xdr:colOff>
      <xdr:row>11</xdr:row>
      <xdr:rowOff>8165</xdr:rowOff>
    </xdr:to>
    <xdr:sp macro="" textlink="">
      <xdr:nvSpPr>
        <xdr:cNvPr id="171" name="Line 615">
          <a:extLst>
            <a:ext uri="{FF2B5EF4-FFF2-40B4-BE49-F238E27FC236}">
              <a16:creationId xmlns="" xmlns:a16="http://schemas.microsoft.com/office/drawing/2014/main" id="{00000000-0008-0000-1A00-0000AB000000}"/>
            </a:ext>
          </a:extLst>
        </xdr:cNvPr>
        <xdr:cNvSpPr>
          <a:spLocks noChangeShapeType="1"/>
        </xdr:cNvSpPr>
      </xdr:nvSpPr>
      <xdr:spPr bwMode="auto">
        <a:xfrm>
          <a:off x="766083" y="1095376"/>
          <a:ext cx="0" cy="1132114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13608</xdr:colOff>
      <xdr:row>5</xdr:row>
      <xdr:rowOff>1</xdr:rowOff>
    </xdr:from>
    <xdr:to>
      <xdr:col>3</xdr:col>
      <xdr:colOff>13608</xdr:colOff>
      <xdr:row>10</xdr:row>
      <xdr:rowOff>179615</xdr:rowOff>
    </xdr:to>
    <xdr:sp macro="" textlink="">
      <xdr:nvSpPr>
        <xdr:cNvPr id="172" name="Line 615">
          <a:extLst>
            <a:ext uri="{FF2B5EF4-FFF2-40B4-BE49-F238E27FC236}">
              <a16:creationId xmlns="" xmlns:a16="http://schemas.microsoft.com/office/drawing/2014/main" id="{00000000-0008-0000-1A00-0000AC000000}"/>
            </a:ext>
          </a:extLst>
        </xdr:cNvPr>
        <xdr:cNvSpPr>
          <a:spLocks noChangeShapeType="1"/>
        </xdr:cNvSpPr>
      </xdr:nvSpPr>
      <xdr:spPr bwMode="auto">
        <a:xfrm>
          <a:off x="2271033" y="1076326"/>
          <a:ext cx="0" cy="1132114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</xdr:row>
      <xdr:rowOff>179613</xdr:rowOff>
    </xdr:to>
    <xdr:sp macro="" textlink="">
      <xdr:nvSpPr>
        <xdr:cNvPr id="173" name="Line 395">
          <a:extLst>
            <a:ext uri="{FF2B5EF4-FFF2-40B4-BE49-F238E27FC236}">
              <a16:creationId xmlns="" xmlns:a16="http://schemas.microsoft.com/office/drawing/2014/main" id="{00000000-0008-0000-1A00-0000AD000000}"/>
            </a:ext>
          </a:extLst>
        </xdr:cNvPr>
        <xdr:cNvSpPr>
          <a:spLocks noChangeShapeType="1"/>
        </xdr:cNvSpPr>
      </xdr:nvSpPr>
      <xdr:spPr bwMode="auto">
        <a:xfrm>
          <a:off x="752475" y="695325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3</xdr:row>
      <xdr:rowOff>0</xdr:rowOff>
    </xdr:from>
    <xdr:to>
      <xdr:col>2</xdr:col>
      <xdr:colOff>742950</xdr:colOff>
      <xdr:row>4</xdr:row>
      <xdr:rowOff>179613</xdr:rowOff>
    </xdr:to>
    <xdr:sp macro="" textlink="">
      <xdr:nvSpPr>
        <xdr:cNvPr id="174" name="Line 395">
          <a:extLst>
            <a:ext uri="{FF2B5EF4-FFF2-40B4-BE49-F238E27FC236}">
              <a16:creationId xmlns="" xmlns:a16="http://schemas.microsoft.com/office/drawing/2014/main" id="{00000000-0008-0000-1A00-0000AE000000}"/>
            </a:ext>
          </a:extLst>
        </xdr:cNvPr>
        <xdr:cNvSpPr>
          <a:spLocks noChangeShapeType="1"/>
        </xdr:cNvSpPr>
      </xdr:nvSpPr>
      <xdr:spPr bwMode="auto">
        <a:xfrm>
          <a:off x="2247900" y="695325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13</xdr:row>
      <xdr:rowOff>0</xdr:rowOff>
    </xdr:from>
    <xdr:to>
      <xdr:col>2</xdr:col>
      <xdr:colOff>371475</xdr:colOff>
      <xdr:row>13</xdr:row>
      <xdr:rowOff>0</xdr:rowOff>
    </xdr:to>
    <xdr:sp macro="" textlink="">
      <xdr:nvSpPr>
        <xdr:cNvPr id="175" name="Line 372">
          <a:extLst>
            <a:ext uri="{FF2B5EF4-FFF2-40B4-BE49-F238E27FC236}">
              <a16:creationId xmlns="" xmlns:a16="http://schemas.microsoft.com/office/drawing/2014/main" id="{00000000-0008-0000-1A00-0000AF000000}"/>
            </a:ext>
          </a:extLst>
        </xdr:cNvPr>
        <xdr:cNvSpPr>
          <a:spLocks noChangeShapeType="1"/>
        </xdr:cNvSpPr>
      </xdr:nvSpPr>
      <xdr:spPr bwMode="auto">
        <a:xfrm>
          <a:off x="1095375" y="260032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</xdr:row>
      <xdr:rowOff>0</xdr:rowOff>
    </xdr:from>
    <xdr:to>
      <xdr:col>3</xdr:col>
      <xdr:colOff>0</xdr:colOff>
      <xdr:row>15</xdr:row>
      <xdr:rowOff>0</xdr:rowOff>
    </xdr:to>
    <xdr:sp macro="" textlink="">
      <xdr:nvSpPr>
        <xdr:cNvPr id="176" name="Line 377">
          <a:extLst>
            <a:ext uri="{FF2B5EF4-FFF2-40B4-BE49-F238E27FC236}">
              <a16:creationId xmlns="" xmlns:a16="http://schemas.microsoft.com/office/drawing/2014/main" id="{00000000-0008-0000-1A00-0000B0000000}"/>
            </a:ext>
          </a:extLst>
        </xdr:cNvPr>
        <xdr:cNvSpPr>
          <a:spLocks noChangeShapeType="1"/>
        </xdr:cNvSpPr>
      </xdr:nvSpPr>
      <xdr:spPr bwMode="auto">
        <a:xfrm>
          <a:off x="752475" y="298132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</xdr:row>
      <xdr:rowOff>38100</xdr:rowOff>
    </xdr:from>
    <xdr:to>
      <xdr:col>1</xdr:col>
      <xdr:colOff>0</xdr:colOff>
      <xdr:row>16</xdr:row>
      <xdr:rowOff>9525</xdr:rowOff>
    </xdr:to>
    <xdr:sp macro="" textlink="">
      <xdr:nvSpPr>
        <xdr:cNvPr id="177" name="Line 370">
          <a:extLst>
            <a:ext uri="{FF2B5EF4-FFF2-40B4-BE49-F238E27FC236}">
              <a16:creationId xmlns="" xmlns:a16="http://schemas.microsoft.com/office/drawing/2014/main" id="{00000000-0008-0000-1A00-0000B1000000}"/>
            </a:ext>
          </a:extLst>
        </xdr:cNvPr>
        <xdr:cNvSpPr>
          <a:spLocks noChangeShapeType="1"/>
        </xdr:cNvSpPr>
      </xdr:nvSpPr>
      <xdr:spPr bwMode="auto">
        <a:xfrm>
          <a:off x="752475" y="28289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14</xdr:row>
      <xdr:rowOff>28575</xdr:rowOff>
    </xdr:from>
    <xdr:to>
      <xdr:col>3</xdr:col>
      <xdr:colOff>0</xdr:colOff>
      <xdr:row>16</xdr:row>
      <xdr:rowOff>0</xdr:rowOff>
    </xdr:to>
    <xdr:sp macro="" textlink="">
      <xdr:nvSpPr>
        <xdr:cNvPr id="178" name="Line 370">
          <a:extLst>
            <a:ext uri="{FF2B5EF4-FFF2-40B4-BE49-F238E27FC236}">
              <a16:creationId xmlns="" xmlns:a16="http://schemas.microsoft.com/office/drawing/2014/main" id="{00000000-0008-0000-1A00-0000B2000000}"/>
            </a:ext>
          </a:extLst>
        </xdr:cNvPr>
        <xdr:cNvSpPr>
          <a:spLocks noChangeShapeType="1"/>
        </xdr:cNvSpPr>
      </xdr:nvSpPr>
      <xdr:spPr bwMode="auto">
        <a:xfrm>
          <a:off x="2257425" y="281940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361950</xdr:colOff>
      <xdr:row>12</xdr:row>
      <xdr:rowOff>47625</xdr:rowOff>
    </xdr:from>
    <xdr:to>
      <xdr:col>2</xdr:col>
      <xdr:colOff>361950</xdr:colOff>
      <xdr:row>14</xdr:row>
      <xdr:rowOff>19050</xdr:rowOff>
    </xdr:to>
    <xdr:sp macro="" textlink="">
      <xdr:nvSpPr>
        <xdr:cNvPr id="179" name="Line 370">
          <a:extLst>
            <a:ext uri="{FF2B5EF4-FFF2-40B4-BE49-F238E27FC236}">
              <a16:creationId xmlns="" xmlns:a16="http://schemas.microsoft.com/office/drawing/2014/main" id="{00000000-0008-0000-1A00-0000B3000000}"/>
            </a:ext>
          </a:extLst>
        </xdr:cNvPr>
        <xdr:cNvSpPr>
          <a:spLocks noChangeShapeType="1"/>
        </xdr:cNvSpPr>
      </xdr:nvSpPr>
      <xdr:spPr bwMode="auto">
        <a:xfrm>
          <a:off x="1866900" y="245745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12</xdr:row>
      <xdr:rowOff>38100</xdr:rowOff>
    </xdr:from>
    <xdr:to>
      <xdr:col>1</xdr:col>
      <xdr:colOff>342900</xdr:colOff>
      <xdr:row>14</xdr:row>
      <xdr:rowOff>9525</xdr:rowOff>
    </xdr:to>
    <xdr:sp macro="" textlink="">
      <xdr:nvSpPr>
        <xdr:cNvPr id="180" name="Line 370">
          <a:extLst>
            <a:ext uri="{FF2B5EF4-FFF2-40B4-BE49-F238E27FC236}">
              <a16:creationId xmlns="" xmlns:a16="http://schemas.microsoft.com/office/drawing/2014/main" id="{00000000-0008-0000-1A00-0000B4000000}"/>
            </a:ext>
          </a:extLst>
        </xdr:cNvPr>
        <xdr:cNvSpPr>
          <a:spLocks noChangeShapeType="1"/>
        </xdr:cNvSpPr>
      </xdr:nvSpPr>
      <xdr:spPr bwMode="auto">
        <a:xfrm>
          <a:off x="1095375" y="24479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742950</xdr:colOff>
      <xdr:row>26</xdr:row>
      <xdr:rowOff>9525</xdr:rowOff>
    </xdr:from>
    <xdr:to>
      <xdr:col>3</xdr:col>
      <xdr:colOff>8165</xdr:colOff>
      <xdr:row>26</xdr:row>
      <xdr:rowOff>10886</xdr:rowOff>
    </xdr:to>
    <xdr:sp macro="" textlink="">
      <xdr:nvSpPr>
        <xdr:cNvPr id="181" name="Line 366">
          <a:extLst>
            <a:ext uri="{FF2B5EF4-FFF2-40B4-BE49-F238E27FC236}">
              <a16:creationId xmlns="" xmlns:a16="http://schemas.microsoft.com/office/drawing/2014/main" id="{00000000-0008-0000-1A00-0000B5000000}"/>
            </a:ext>
          </a:extLst>
        </xdr:cNvPr>
        <xdr:cNvSpPr>
          <a:spLocks noChangeShapeType="1"/>
        </xdr:cNvSpPr>
      </xdr:nvSpPr>
      <xdr:spPr bwMode="auto">
        <a:xfrm>
          <a:off x="742950" y="5086350"/>
          <a:ext cx="1522640" cy="1361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749231</xdr:colOff>
      <xdr:row>20</xdr:row>
      <xdr:rowOff>9526</xdr:rowOff>
    </xdr:from>
    <xdr:to>
      <xdr:col>0</xdr:col>
      <xdr:colOff>749231</xdr:colOff>
      <xdr:row>26</xdr:row>
      <xdr:rowOff>17690</xdr:rowOff>
    </xdr:to>
    <xdr:sp macro="" textlink="">
      <xdr:nvSpPr>
        <xdr:cNvPr id="182" name="Line 615">
          <a:extLst>
            <a:ext uri="{FF2B5EF4-FFF2-40B4-BE49-F238E27FC236}">
              <a16:creationId xmlns="" xmlns:a16="http://schemas.microsoft.com/office/drawing/2014/main" id="{00000000-0008-0000-1A00-0000B6000000}"/>
            </a:ext>
          </a:extLst>
        </xdr:cNvPr>
        <xdr:cNvSpPr>
          <a:spLocks noChangeShapeType="1"/>
        </xdr:cNvSpPr>
      </xdr:nvSpPr>
      <xdr:spPr bwMode="auto">
        <a:xfrm>
          <a:off x="749231" y="3943351"/>
          <a:ext cx="0" cy="1151164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749231</xdr:colOff>
      <xdr:row>20</xdr:row>
      <xdr:rowOff>9525</xdr:rowOff>
    </xdr:from>
    <xdr:to>
      <xdr:col>2</xdr:col>
      <xdr:colOff>749231</xdr:colOff>
      <xdr:row>26</xdr:row>
      <xdr:rowOff>8164</xdr:rowOff>
    </xdr:to>
    <xdr:sp macro="" textlink="">
      <xdr:nvSpPr>
        <xdr:cNvPr id="183" name="Line 615">
          <a:extLst>
            <a:ext uri="{FF2B5EF4-FFF2-40B4-BE49-F238E27FC236}">
              <a16:creationId xmlns="" xmlns:a16="http://schemas.microsoft.com/office/drawing/2014/main" id="{00000000-0008-0000-1A00-0000B7000000}"/>
            </a:ext>
          </a:extLst>
        </xdr:cNvPr>
        <xdr:cNvSpPr>
          <a:spLocks noChangeShapeType="1"/>
        </xdr:cNvSpPr>
      </xdr:nvSpPr>
      <xdr:spPr bwMode="auto">
        <a:xfrm>
          <a:off x="2254181" y="3943350"/>
          <a:ext cx="0" cy="1141639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209550</xdr:colOff>
      <xdr:row>20</xdr:row>
      <xdr:rowOff>19050</xdr:rowOff>
    </xdr:from>
    <xdr:to>
      <xdr:col>1</xdr:col>
      <xdr:colOff>10886</xdr:colOff>
      <xdr:row>20</xdr:row>
      <xdr:rowOff>19050</xdr:rowOff>
    </xdr:to>
    <xdr:sp macro="" textlink="">
      <xdr:nvSpPr>
        <xdr:cNvPr id="184" name="Line 374">
          <a:extLst>
            <a:ext uri="{FF2B5EF4-FFF2-40B4-BE49-F238E27FC236}">
              <a16:creationId xmlns="" xmlns:a16="http://schemas.microsoft.com/office/drawing/2014/main" id="{00000000-0008-0000-1A00-0000B8000000}"/>
            </a:ext>
          </a:extLst>
        </xdr:cNvPr>
        <xdr:cNvSpPr>
          <a:spLocks noChangeShapeType="1"/>
        </xdr:cNvSpPr>
      </xdr:nvSpPr>
      <xdr:spPr bwMode="auto">
        <a:xfrm flipH="1">
          <a:off x="209550" y="3952875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20</xdr:row>
      <xdr:rowOff>0</xdr:rowOff>
    </xdr:from>
    <xdr:to>
      <xdr:col>3</xdr:col>
      <xdr:colOff>563336</xdr:colOff>
      <xdr:row>20</xdr:row>
      <xdr:rowOff>0</xdr:rowOff>
    </xdr:to>
    <xdr:sp macro="" textlink="">
      <xdr:nvSpPr>
        <xdr:cNvPr id="185" name="Line 374">
          <a:extLst>
            <a:ext uri="{FF2B5EF4-FFF2-40B4-BE49-F238E27FC236}">
              <a16:creationId xmlns="" xmlns:a16="http://schemas.microsoft.com/office/drawing/2014/main" id="{00000000-0008-0000-1A00-0000B9000000}"/>
            </a:ext>
          </a:extLst>
        </xdr:cNvPr>
        <xdr:cNvSpPr>
          <a:spLocks noChangeShapeType="1"/>
        </xdr:cNvSpPr>
      </xdr:nvSpPr>
      <xdr:spPr bwMode="auto">
        <a:xfrm flipH="1">
          <a:off x="2266950" y="3933825"/>
          <a:ext cx="553811" cy="0"/>
        </a:xfrm>
        <a:prstGeom prst="line">
          <a:avLst/>
        </a:prstGeom>
        <a:noFill/>
        <a:ln w="1714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342900</xdr:colOff>
      <xdr:row>19</xdr:row>
      <xdr:rowOff>171450</xdr:rowOff>
    </xdr:from>
    <xdr:to>
      <xdr:col>1</xdr:col>
      <xdr:colOff>342900</xdr:colOff>
      <xdr:row>25</xdr:row>
      <xdr:rowOff>176892</xdr:rowOff>
    </xdr:to>
    <xdr:sp macro="" textlink="">
      <xdr:nvSpPr>
        <xdr:cNvPr id="186" name="Line 383">
          <a:extLst>
            <a:ext uri="{FF2B5EF4-FFF2-40B4-BE49-F238E27FC236}">
              <a16:creationId xmlns="" xmlns:a16="http://schemas.microsoft.com/office/drawing/2014/main" id="{00000000-0008-0000-1A00-0000BA000000}"/>
            </a:ext>
          </a:extLst>
        </xdr:cNvPr>
        <xdr:cNvSpPr>
          <a:spLocks noChangeShapeType="1"/>
        </xdr:cNvSpPr>
      </xdr:nvSpPr>
      <xdr:spPr bwMode="auto">
        <a:xfrm flipH="1">
          <a:off x="1095375" y="3914775"/>
          <a:ext cx="0" cy="11484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371475</xdr:colOff>
      <xdr:row>19</xdr:row>
      <xdr:rowOff>180975</xdr:rowOff>
    </xdr:from>
    <xdr:to>
      <xdr:col>2</xdr:col>
      <xdr:colOff>371475</xdr:colOff>
      <xdr:row>25</xdr:row>
      <xdr:rowOff>186417</xdr:rowOff>
    </xdr:to>
    <xdr:sp macro="" textlink="">
      <xdr:nvSpPr>
        <xdr:cNvPr id="187" name="Line 383">
          <a:extLst>
            <a:ext uri="{FF2B5EF4-FFF2-40B4-BE49-F238E27FC236}">
              <a16:creationId xmlns="" xmlns:a16="http://schemas.microsoft.com/office/drawing/2014/main" id="{00000000-0008-0000-1A00-0000BB000000}"/>
            </a:ext>
          </a:extLst>
        </xdr:cNvPr>
        <xdr:cNvSpPr>
          <a:spLocks noChangeShapeType="1"/>
        </xdr:cNvSpPr>
      </xdr:nvSpPr>
      <xdr:spPr bwMode="auto">
        <a:xfrm flipH="1">
          <a:off x="1876425" y="3924300"/>
          <a:ext cx="0" cy="11484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20</xdr:row>
      <xdr:rowOff>0</xdr:rowOff>
    </xdr:from>
    <xdr:to>
      <xdr:col>2</xdr:col>
      <xdr:colOff>419100</xdr:colOff>
      <xdr:row>20</xdr:row>
      <xdr:rowOff>0</xdr:rowOff>
    </xdr:to>
    <xdr:sp macro="" textlink="">
      <xdr:nvSpPr>
        <xdr:cNvPr id="188" name="Line 384">
          <a:extLst>
            <a:ext uri="{FF2B5EF4-FFF2-40B4-BE49-F238E27FC236}">
              <a16:creationId xmlns="" xmlns:a16="http://schemas.microsoft.com/office/drawing/2014/main" id="{00000000-0008-0000-1A00-0000BC000000}"/>
            </a:ext>
          </a:extLst>
        </xdr:cNvPr>
        <xdr:cNvSpPr>
          <a:spLocks noChangeShapeType="1"/>
        </xdr:cNvSpPr>
      </xdr:nvSpPr>
      <xdr:spPr bwMode="auto">
        <a:xfrm>
          <a:off x="1047750" y="3933825"/>
          <a:ext cx="876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314325</xdr:colOff>
      <xdr:row>19</xdr:row>
      <xdr:rowOff>0</xdr:rowOff>
    </xdr:from>
    <xdr:to>
      <xdr:col>2</xdr:col>
      <xdr:colOff>409575</xdr:colOff>
      <xdr:row>19</xdr:row>
      <xdr:rowOff>0</xdr:rowOff>
    </xdr:to>
    <xdr:sp macro="" textlink="">
      <xdr:nvSpPr>
        <xdr:cNvPr id="189" name="Line 388">
          <a:extLst>
            <a:ext uri="{FF2B5EF4-FFF2-40B4-BE49-F238E27FC236}">
              <a16:creationId xmlns="" xmlns:a16="http://schemas.microsoft.com/office/drawing/2014/main" id="{00000000-0008-0000-1A00-0000BD000000}"/>
            </a:ext>
          </a:extLst>
        </xdr:cNvPr>
        <xdr:cNvSpPr>
          <a:spLocks noChangeShapeType="1"/>
        </xdr:cNvSpPr>
      </xdr:nvSpPr>
      <xdr:spPr bwMode="auto">
        <a:xfrm>
          <a:off x="1066800" y="374332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</xdr:row>
      <xdr:rowOff>9525</xdr:rowOff>
    </xdr:from>
    <xdr:to>
      <xdr:col>3</xdr:col>
      <xdr:colOff>0</xdr:colOff>
      <xdr:row>18</xdr:row>
      <xdr:rowOff>9525</xdr:rowOff>
    </xdr:to>
    <xdr:sp macro="" textlink="">
      <xdr:nvSpPr>
        <xdr:cNvPr id="190" name="Line 394">
          <a:extLst>
            <a:ext uri="{FF2B5EF4-FFF2-40B4-BE49-F238E27FC236}">
              <a16:creationId xmlns="" xmlns:a16="http://schemas.microsoft.com/office/drawing/2014/main" id="{00000000-0008-0000-1A00-0000BE000000}"/>
            </a:ext>
          </a:extLst>
        </xdr:cNvPr>
        <xdr:cNvSpPr>
          <a:spLocks noChangeShapeType="1"/>
        </xdr:cNvSpPr>
      </xdr:nvSpPr>
      <xdr:spPr bwMode="auto">
        <a:xfrm>
          <a:off x="752475" y="3562350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17</xdr:row>
      <xdr:rowOff>180975</xdr:rowOff>
    </xdr:from>
    <xdr:to>
      <xdr:col>1</xdr:col>
      <xdr:colOff>9525</xdr:colOff>
      <xdr:row>19</xdr:row>
      <xdr:rowOff>170088</xdr:rowOff>
    </xdr:to>
    <xdr:sp macro="" textlink="">
      <xdr:nvSpPr>
        <xdr:cNvPr id="191" name="Line 395">
          <a:extLst>
            <a:ext uri="{FF2B5EF4-FFF2-40B4-BE49-F238E27FC236}">
              <a16:creationId xmlns="" xmlns:a16="http://schemas.microsoft.com/office/drawing/2014/main" id="{00000000-0008-0000-1A00-0000BF000000}"/>
            </a:ext>
          </a:extLst>
        </xdr:cNvPr>
        <xdr:cNvSpPr>
          <a:spLocks noChangeShapeType="1"/>
        </xdr:cNvSpPr>
      </xdr:nvSpPr>
      <xdr:spPr bwMode="auto">
        <a:xfrm>
          <a:off x="762000" y="3543300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742950</xdr:colOff>
      <xdr:row>17</xdr:row>
      <xdr:rowOff>180975</xdr:rowOff>
    </xdr:from>
    <xdr:to>
      <xdr:col>2</xdr:col>
      <xdr:colOff>742950</xdr:colOff>
      <xdr:row>19</xdr:row>
      <xdr:rowOff>170088</xdr:rowOff>
    </xdr:to>
    <xdr:sp macro="" textlink="">
      <xdr:nvSpPr>
        <xdr:cNvPr id="192" name="Line 395">
          <a:extLst>
            <a:ext uri="{FF2B5EF4-FFF2-40B4-BE49-F238E27FC236}">
              <a16:creationId xmlns="" xmlns:a16="http://schemas.microsoft.com/office/drawing/2014/main" id="{00000000-0008-0000-1A00-0000C0000000}"/>
            </a:ext>
          </a:extLst>
        </xdr:cNvPr>
        <xdr:cNvSpPr>
          <a:spLocks noChangeShapeType="1"/>
        </xdr:cNvSpPr>
      </xdr:nvSpPr>
      <xdr:spPr bwMode="auto">
        <a:xfrm>
          <a:off x="2247900" y="3543300"/>
          <a:ext cx="0" cy="37011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285750</xdr:colOff>
      <xdr:row>19</xdr:row>
      <xdr:rowOff>180975</xdr:rowOff>
    </xdr:from>
    <xdr:to>
      <xdr:col>4</xdr:col>
      <xdr:colOff>287112</xdr:colOff>
      <xdr:row>25</xdr:row>
      <xdr:rowOff>187778</xdr:rowOff>
    </xdr:to>
    <xdr:sp macro="" textlink="">
      <xdr:nvSpPr>
        <xdr:cNvPr id="193" name="Line 378">
          <a:extLst>
            <a:ext uri="{FF2B5EF4-FFF2-40B4-BE49-F238E27FC236}">
              <a16:creationId xmlns="" xmlns:a16="http://schemas.microsoft.com/office/drawing/2014/main" id="{00000000-0008-0000-1A00-0000C1000000}"/>
            </a:ext>
          </a:extLst>
        </xdr:cNvPr>
        <xdr:cNvSpPr>
          <a:spLocks noChangeShapeType="1"/>
        </xdr:cNvSpPr>
      </xdr:nvSpPr>
      <xdr:spPr bwMode="auto">
        <a:xfrm>
          <a:off x="3295650" y="3924300"/>
          <a:ext cx="1362" cy="1149803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25</xdr:row>
      <xdr:rowOff>180975</xdr:rowOff>
    </xdr:from>
    <xdr:to>
      <xdr:col>4</xdr:col>
      <xdr:colOff>310242</xdr:colOff>
      <xdr:row>25</xdr:row>
      <xdr:rowOff>180976</xdr:rowOff>
    </xdr:to>
    <xdr:sp macro="" textlink="">
      <xdr:nvSpPr>
        <xdr:cNvPr id="194" name="Line 387">
          <a:extLst>
            <a:ext uri="{FF2B5EF4-FFF2-40B4-BE49-F238E27FC236}">
              <a16:creationId xmlns="" xmlns:a16="http://schemas.microsoft.com/office/drawing/2014/main" id="{00000000-0008-0000-1A00-0000C2000000}"/>
            </a:ext>
          </a:extLst>
        </xdr:cNvPr>
        <xdr:cNvSpPr>
          <a:spLocks noChangeShapeType="1"/>
        </xdr:cNvSpPr>
      </xdr:nvSpPr>
      <xdr:spPr bwMode="auto">
        <a:xfrm>
          <a:off x="2524125" y="5067300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247650</xdr:colOff>
      <xdr:row>20</xdr:row>
      <xdr:rowOff>0</xdr:rowOff>
    </xdr:from>
    <xdr:to>
      <xdr:col>4</xdr:col>
      <xdr:colOff>291192</xdr:colOff>
      <xdr:row>20</xdr:row>
      <xdr:rowOff>1</xdr:rowOff>
    </xdr:to>
    <xdr:sp macro="" textlink="">
      <xdr:nvSpPr>
        <xdr:cNvPr id="195" name="Line 387">
          <a:extLst>
            <a:ext uri="{FF2B5EF4-FFF2-40B4-BE49-F238E27FC236}">
              <a16:creationId xmlns="" xmlns:a16="http://schemas.microsoft.com/office/drawing/2014/main" id="{00000000-0008-0000-1A00-0000C3000000}"/>
            </a:ext>
          </a:extLst>
        </xdr:cNvPr>
        <xdr:cNvSpPr>
          <a:spLocks noChangeShapeType="1"/>
        </xdr:cNvSpPr>
      </xdr:nvSpPr>
      <xdr:spPr bwMode="auto">
        <a:xfrm>
          <a:off x="2505075" y="3933825"/>
          <a:ext cx="796017" cy="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28</xdr:row>
      <xdr:rowOff>0</xdr:rowOff>
    </xdr:from>
    <xdr:to>
      <xdr:col>2</xdr:col>
      <xdr:colOff>409575</xdr:colOff>
      <xdr:row>28</xdr:row>
      <xdr:rowOff>0</xdr:rowOff>
    </xdr:to>
    <xdr:sp macro="" textlink="">
      <xdr:nvSpPr>
        <xdr:cNvPr id="196" name="Line 372">
          <a:extLst>
            <a:ext uri="{FF2B5EF4-FFF2-40B4-BE49-F238E27FC236}">
              <a16:creationId xmlns="" xmlns:a16="http://schemas.microsoft.com/office/drawing/2014/main" id="{00000000-0008-0000-1A00-0000C4000000}"/>
            </a:ext>
          </a:extLst>
        </xdr:cNvPr>
        <xdr:cNvSpPr>
          <a:spLocks noChangeShapeType="1"/>
        </xdr:cNvSpPr>
      </xdr:nvSpPr>
      <xdr:spPr bwMode="auto">
        <a:xfrm>
          <a:off x="1133475" y="5457825"/>
          <a:ext cx="781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5953</xdr:colOff>
      <xdr:row>29</xdr:row>
      <xdr:rowOff>171450</xdr:rowOff>
    </xdr:from>
    <xdr:to>
      <xdr:col>3</xdr:col>
      <xdr:colOff>5953</xdr:colOff>
      <xdr:row>29</xdr:row>
      <xdr:rowOff>171450</xdr:rowOff>
    </xdr:to>
    <xdr:sp macro="" textlink="">
      <xdr:nvSpPr>
        <xdr:cNvPr id="197" name="Line 377">
          <a:extLst>
            <a:ext uri="{FF2B5EF4-FFF2-40B4-BE49-F238E27FC236}">
              <a16:creationId xmlns="" xmlns:a16="http://schemas.microsoft.com/office/drawing/2014/main" id="{00000000-0008-0000-1A00-0000C5000000}"/>
            </a:ext>
          </a:extLst>
        </xdr:cNvPr>
        <xdr:cNvSpPr>
          <a:spLocks noChangeShapeType="1"/>
        </xdr:cNvSpPr>
      </xdr:nvSpPr>
      <xdr:spPr bwMode="auto">
        <a:xfrm>
          <a:off x="758428" y="5819775"/>
          <a:ext cx="1504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27</xdr:row>
      <xdr:rowOff>38100</xdr:rowOff>
    </xdr:from>
    <xdr:to>
      <xdr:col>1</xdr:col>
      <xdr:colOff>390525</xdr:colOff>
      <xdr:row>29</xdr:row>
      <xdr:rowOff>9525</xdr:rowOff>
    </xdr:to>
    <xdr:sp macro="" textlink="">
      <xdr:nvSpPr>
        <xdr:cNvPr id="198" name="Line 370">
          <a:extLst>
            <a:ext uri="{FF2B5EF4-FFF2-40B4-BE49-F238E27FC236}">
              <a16:creationId xmlns="" xmlns:a16="http://schemas.microsoft.com/office/drawing/2014/main" id="{00000000-0008-0000-1A00-0000C6000000}"/>
            </a:ext>
          </a:extLst>
        </xdr:cNvPr>
        <xdr:cNvSpPr>
          <a:spLocks noChangeShapeType="1"/>
        </xdr:cNvSpPr>
      </xdr:nvSpPr>
      <xdr:spPr bwMode="auto">
        <a:xfrm>
          <a:off x="1143000" y="530542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400050</xdr:colOff>
      <xdr:row>27</xdr:row>
      <xdr:rowOff>57150</xdr:rowOff>
    </xdr:from>
    <xdr:to>
      <xdr:col>2</xdr:col>
      <xdr:colOff>400050</xdr:colOff>
      <xdr:row>29</xdr:row>
      <xdr:rowOff>28575</xdr:rowOff>
    </xdr:to>
    <xdr:sp macro="" textlink="">
      <xdr:nvSpPr>
        <xdr:cNvPr id="199" name="Line 370">
          <a:extLst>
            <a:ext uri="{FF2B5EF4-FFF2-40B4-BE49-F238E27FC236}">
              <a16:creationId xmlns="" xmlns:a16="http://schemas.microsoft.com/office/drawing/2014/main" id="{00000000-0008-0000-1A00-0000C7000000}"/>
            </a:ext>
          </a:extLst>
        </xdr:cNvPr>
        <xdr:cNvSpPr>
          <a:spLocks noChangeShapeType="1"/>
        </xdr:cNvSpPr>
      </xdr:nvSpPr>
      <xdr:spPr bwMode="auto">
        <a:xfrm>
          <a:off x="1905000" y="5324475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29</xdr:row>
      <xdr:rowOff>9525</xdr:rowOff>
    </xdr:from>
    <xdr:to>
      <xdr:col>3</xdr:col>
      <xdr:colOff>0</xdr:colOff>
      <xdr:row>30</xdr:row>
      <xdr:rowOff>171450</xdr:rowOff>
    </xdr:to>
    <xdr:sp macro="" textlink="">
      <xdr:nvSpPr>
        <xdr:cNvPr id="200" name="Line 370">
          <a:extLst>
            <a:ext uri="{FF2B5EF4-FFF2-40B4-BE49-F238E27FC236}">
              <a16:creationId xmlns="" xmlns:a16="http://schemas.microsoft.com/office/drawing/2014/main" id="{00000000-0008-0000-1A00-0000C8000000}"/>
            </a:ext>
          </a:extLst>
        </xdr:cNvPr>
        <xdr:cNvSpPr>
          <a:spLocks noChangeShapeType="1"/>
        </xdr:cNvSpPr>
      </xdr:nvSpPr>
      <xdr:spPr bwMode="auto">
        <a:xfrm>
          <a:off x="2257425" y="565785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7144</xdr:colOff>
      <xdr:row>29</xdr:row>
      <xdr:rowOff>28575</xdr:rowOff>
    </xdr:from>
    <xdr:to>
      <xdr:col>1</xdr:col>
      <xdr:colOff>7144</xdr:colOff>
      <xdr:row>31</xdr:row>
      <xdr:rowOff>0</xdr:rowOff>
    </xdr:to>
    <xdr:sp macro="" textlink="">
      <xdr:nvSpPr>
        <xdr:cNvPr id="201" name="Line 370">
          <a:extLst>
            <a:ext uri="{FF2B5EF4-FFF2-40B4-BE49-F238E27FC236}">
              <a16:creationId xmlns="" xmlns:a16="http://schemas.microsoft.com/office/drawing/2014/main" id="{00000000-0008-0000-1A00-0000C9000000}"/>
            </a:ext>
          </a:extLst>
        </xdr:cNvPr>
        <xdr:cNvSpPr>
          <a:spLocks noChangeShapeType="1"/>
        </xdr:cNvSpPr>
      </xdr:nvSpPr>
      <xdr:spPr bwMode="auto">
        <a:xfrm>
          <a:off x="759619" y="5676900"/>
          <a:ext cx="0" cy="3524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1</xdr:row>
      <xdr:rowOff>180975</xdr:rowOff>
    </xdr:from>
    <xdr:to>
      <xdr:col>17</xdr:col>
      <xdr:colOff>200025</xdr:colOff>
      <xdr:row>13</xdr:row>
      <xdr:rowOff>0</xdr:rowOff>
    </xdr:to>
    <xdr:sp macro="" textlink="">
      <xdr:nvSpPr>
        <xdr:cNvPr id="382979" name="AutoShape 3">
          <a:extLst>
            <a:ext uri="{FF2B5EF4-FFF2-40B4-BE49-F238E27FC236}">
              <a16:creationId xmlns="" xmlns:a16="http://schemas.microsoft.com/office/drawing/2014/main" id="{00000000-0008-0000-1B00-000003D805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495300"/>
          <a:ext cx="346710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238125</xdr:colOff>
      <xdr:row>1</xdr:row>
      <xdr:rowOff>85725</xdr:rowOff>
    </xdr:from>
    <xdr:to>
      <xdr:col>19</xdr:col>
      <xdr:colOff>0</xdr:colOff>
      <xdr:row>12</xdr:row>
      <xdr:rowOff>57150</xdr:rowOff>
    </xdr:to>
    <xdr:pic>
      <xdr:nvPicPr>
        <xdr:cNvPr id="7" name="Picture 12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400050"/>
          <a:ext cx="4181475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23</xdr:row>
      <xdr:rowOff>171450</xdr:rowOff>
    </xdr:from>
    <xdr:to>
      <xdr:col>19</xdr:col>
      <xdr:colOff>76200</xdr:colOff>
      <xdr:row>35</xdr:row>
      <xdr:rowOff>0</xdr:rowOff>
    </xdr:to>
    <xdr:pic>
      <xdr:nvPicPr>
        <xdr:cNvPr id="8" name="Picture 13"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5934075"/>
          <a:ext cx="4448175" cy="280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45</xdr:row>
      <xdr:rowOff>66675</xdr:rowOff>
    </xdr:from>
    <xdr:to>
      <xdr:col>18</xdr:col>
      <xdr:colOff>123825</xdr:colOff>
      <xdr:row>56</xdr:row>
      <xdr:rowOff>76200</xdr:rowOff>
    </xdr:to>
    <xdr:pic>
      <xdr:nvPicPr>
        <xdr:cNvPr id="9" name="Picture 14"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1277600"/>
          <a:ext cx="4267200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111</xdr:row>
      <xdr:rowOff>114300</xdr:rowOff>
    </xdr:from>
    <xdr:to>
      <xdr:col>19</xdr:col>
      <xdr:colOff>28575</xdr:colOff>
      <xdr:row>122</xdr:row>
      <xdr:rowOff>76200</xdr:rowOff>
    </xdr:to>
    <xdr:pic>
      <xdr:nvPicPr>
        <xdr:cNvPr id="10" name="Picture 45">
          <a:extLst>
            <a:ext uri="{FF2B5EF4-FFF2-40B4-BE49-F238E27FC236}">
              <a16:creationId xmlns=""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7670125"/>
          <a:ext cx="40005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67</xdr:row>
          <xdr:rowOff>142875</xdr:rowOff>
        </xdr:from>
        <xdr:to>
          <xdr:col>18</xdr:col>
          <xdr:colOff>19050</xdr:colOff>
          <xdr:row>78</xdr:row>
          <xdr:rowOff>66675</xdr:rowOff>
        </xdr:to>
        <xdr:sp macro="" textlink="">
          <xdr:nvSpPr>
            <xdr:cNvPr id="387074" name="Object 2" hidden="1">
              <a:extLst>
                <a:ext uri="{63B3BB69-23CF-44E3-9099-C40C66FF867C}">
                  <a14:compatExt spid="_x0000_s387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</xdr:colOff>
          <xdr:row>89</xdr:row>
          <xdr:rowOff>190500</xdr:rowOff>
        </xdr:from>
        <xdr:to>
          <xdr:col>18</xdr:col>
          <xdr:colOff>28575</xdr:colOff>
          <xdr:row>100</xdr:row>
          <xdr:rowOff>114300</xdr:rowOff>
        </xdr:to>
        <xdr:sp macro="" textlink="">
          <xdr:nvSpPr>
            <xdr:cNvPr id="387075" name="Object 3" hidden="1">
              <a:extLst>
                <a:ext uri="{63B3BB69-23CF-44E3-9099-C40C66FF867C}">
                  <a14:compatExt spid="_x0000_s387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1116;&#50672;\aproject\skec\TDI\BM\TDIB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\c\1\&#49884;&#47549;&#46020;&#49436;&#44288;&#44053;&#45817;\TO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4053;&#49436;&#44396;&#52397;\&#44032;&#47196;&#46321;&#50672;&#44036;&#45800;&#44032;\&#44592;&#49457;\2010&#45380;\&#50577;&#52380;&#44396;&#52397;\&#44032;&#47196;&#46321;&#50672;&#44036;&#45800;&#44032;(&#54620;&#44397;&#49888;&#54840;)\&#51228;2&#54924;&#49444;&#48320;\&#51228;2&#54924;&#49444;&#48320;\&#49444;&#44228;&#48320;&#44221;&#49324;&#50976;&#4943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1648;&#50689;\D\KHJ\XLS\RC&#49836;&#46972;&#48652;\&#54620;&#44221;\&#51473;&#49328;&#4436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4868;1\&#47196;&#52972;%20&#46356;&#49828;&#53356;%20(d)\work\2002&#54980;&#48152;&#44592;\007-&#54952;&#51648;2&#46041;&#50500;&#54028;&#53944;&#49888;&#49444;&#44277;&#49324;\&#49688;&#47049;&#49328;&#52636;&#49436;\&#54868;&#49328;&#51648;&#44396;\&#50641;&#49472;&#47928;&#49436;\&#44221;&#44228;&#51340;&#5436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4508;\&#50577;&#54217;\ok\&#45824;&#44396;-&#45824;&#46041;\&#44396;&#51312;&#44228;&#49328;&#49436;\&#52572;&#51333;\&#44368;&#45824;\77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49437;\D\Program%20Files\AutoCAD%20R14\&#49892;&#49884;\&#49569;&#46972;&#52488;&#46321;&#54617;&#44368;\&#45236;&#50669;&#49436;\&#49569;&#46972;&#52488;&#51473;&#54617;&#44368;(final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73;&#49328;&#443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221;&#44592;\my%20documents\Program%20Files\AutoCAD%20R14\&#49892;&#49884;\&#49569;&#46972;&#52488;&#46321;&#54617;&#44368;\&#45236;&#50669;&#49436;\&#49569;&#46972;&#52488;&#51473;&#54617;&#44368;(final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47564;\D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&#51204;&#44592;&#51088;&#47308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21;&#54984;\&#47196;&#52972;%20&#46356;&#49828;&#53356;%20(e)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4805;&#45224;\&#44277;&#50976;\&#44277;&#50976;\Project\01%20&#48376;&#49324;\&#46020;&#49884;&#44228;&#54925;&#48512;\03.&#51473;&#48512;&#44428;%20&#47932;&#47448;&#49468;&#53552;\&#44592;&#48376;&#49444;&#44228;\hwp\&#45236;&#50669;&#49436;\8&#50900;%20&#45800;&#44032;\pjt-2002\&#54217;&#54868;&#51032;&#45840;\&#50696;&#49328;&#49436;(&#51068;&#50948;&#45824;&#44032;,&#45840;)\&#49444;&#44228;&#48320;&#44221;(&#44397;&#51088;)\&#44397;&#51088;&#48320;&#44221;&#53685;&#49888;\13&#5226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-csm\c\P-Iso\Calc-St2\ILLU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4284;&#51109;\&#47196;&#52972;%20&#46356;&#49828;&#53356;%20(f)\&#44256;&#49457;\&#48512;&#44221;&#45824;&#45236;&#50669;&#49436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608;&#50857;&#44592;\&#50641;&#49472;\GUMI4B2\&#44396;&#48120;4&#45800;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077;&#52272;&#5050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p\&#50724;&#51648;&#47560;&#51012;2\&#52397;&#50896;&#44400;\&#48512;&#50857;\&#49688;&#47049;\2&#44277;&#44396;\5-&#51088;&#5111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2268;&#50857;\D\&#51088;&#47308;\&#54616;&#50864;&#51088;&#47308;(&#51652;&#50689;&#50724;&#49688;&#44288;&#51221;&#48708;&#49324;&#50629;)\&#49688;&#47049;\4.&#54252;&#51109;&#44277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49440;\D\&#44053;&#45236;&#51228;\&#49688;&#47049;&#4988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4428;&#53469;\&#46160;&#49328;3&#44277;&#44396;\WWORK\SURYANG\&#53664;&#51201;&#54364;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50689;&#49437;\&#47196;&#52972;%20&#46356;&#49828;&#53356;%20(d)\My%20Documents\&#54252;&#51109;&#45800;&#47732;&#44228;&#4932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\d\aajob\&#49468;&#53568;&#49884;&#54000;&#44060;&#48156;&#49324;&#50629;(&#51204;&#44592;&#48143;&#44592;&#44228;)\&#49688;&#47049;&#49328;&#52636;&#49436;\&#44032;&#47196;&#46321;&#48143;&#44277;&#50896;\&#49328;&#52636;&#44540;&#44144;&#53685;&#546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hb\&#49340;&#49328;1&#51648;&#44396;(&#49892;&#49884;)\&#51452;&#44277;&#49688;&#47049;\&#51068;&#50948;&#45824;&#44032;98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elmer\vester\LIM&#44204;&#51201;\ESTI\&#54644;&#50808;\FED\R-0054\KHM\98&#51452;&#4988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DS\PROJECT\&#52628;%20&#54413;%20&#47161;\&#52628;&#54413;&#52572;&#5133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01A\OUT\Y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2\D\My%20Documents\&#49437;&#48393;&#51648;&#54616;&#52264;&#46020;\&#50900;&#49569;Ic&#44368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M"/>
      <sheetName val="DRUM"/>
      <sheetName val="표지"/>
      <sheetName val="TDIBM1"/>
      <sheetName val="CTEMCOST"/>
      <sheetName val="PAD TR보호대기초"/>
      <sheetName val="가로등기초"/>
      <sheetName val="HANDHOLE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량산출"/>
      <sheetName val="중량산출"/>
      <sheetName val="PANEL 중량산출"/>
      <sheetName val="내역서"/>
      <sheetName val="견적대비표"/>
      <sheetName val="단가대비표"/>
      <sheetName val="I一般比"/>
      <sheetName val="과천MAIN"/>
      <sheetName val="대비"/>
      <sheetName val="내역서(총)"/>
      <sheetName val="TEL"/>
      <sheetName val="부대대비"/>
      <sheetName val="냉연집계"/>
      <sheetName val="Sheet3"/>
      <sheetName val="신우"/>
      <sheetName val="교각계산"/>
      <sheetName val="민속촌메뉴"/>
      <sheetName val="수량산출서"/>
      <sheetName val="N賃率-職"/>
      <sheetName val="노원열병합  건축공사기성내역서"/>
      <sheetName val="일위대가"/>
      <sheetName val="설계조건"/>
      <sheetName val="직노"/>
      <sheetName val="20관리비율"/>
      <sheetName val="plan&amp;section of foundation"/>
      <sheetName val="C-노임단가"/>
      <sheetName val="직재"/>
      <sheetName val="경산"/>
      <sheetName val="Sheet2"/>
      <sheetName val="입찰안"/>
      <sheetName val="DATE"/>
      <sheetName val="sheets"/>
      <sheetName val="예산M12A"/>
      <sheetName val="일위대가목차"/>
      <sheetName val="노임단가"/>
      <sheetName val="경비_원본"/>
      <sheetName val="code"/>
      <sheetName val="터널조도"/>
      <sheetName val="실행내역서 "/>
      <sheetName val="부하계산서"/>
      <sheetName val="CT "/>
      <sheetName val="노임"/>
      <sheetName val="ABUT수량-A1"/>
      <sheetName val="발신정보"/>
      <sheetName val="기본일위"/>
      <sheetName val="2F 회의실견적(5_14 일대)"/>
      <sheetName val="TOTAL"/>
      <sheetName val="NOMUBI"/>
      <sheetName val="sw1"/>
      <sheetName val="J直材4"/>
      <sheetName val="실행철강하도"/>
      <sheetName val="단가비교표"/>
      <sheetName val="동원(3)"/>
      <sheetName val="예정(3)"/>
      <sheetName val="인건-측정"/>
      <sheetName val="조도계산서 (도서)"/>
      <sheetName val="동력부하(도산)"/>
      <sheetName val="명세서"/>
      <sheetName val="danga"/>
      <sheetName val="ilch"/>
      <sheetName val="Sheet14"/>
      <sheetName val="Sheet13"/>
      <sheetName val="유림골조"/>
      <sheetName val="업무"/>
      <sheetName val="공사현황"/>
      <sheetName val="소비자가"/>
      <sheetName val="6호기"/>
      <sheetName val="공사원가계산서"/>
      <sheetName val="감가상각"/>
      <sheetName val="재집"/>
      <sheetName val="FANDBS"/>
      <sheetName val="GRDATA"/>
      <sheetName val="SHAFTDBSE"/>
      <sheetName val="자재단가비교표"/>
      <sheetName val="견적서"/>
      <sheetName val="단가조사"/>
      <sheetName val="을"/>
      <sheetName val="제36-40호표"/>
      <sheetName val="#REF"/>
      <sheetName val="총괄집계표"/>
      <sheetName val="노무비"/>
      <sheetName val="공조기휀"/>
      <sheetName val="재료"/>
      <sheetName val="설치자재"/>
      <sheetName val="기본사항"/>
      <sheetName val="환산"/>
      <sheetName val="일위"/>
      <sheetName val="노임이"/>
      <sheetName val="TABLE"/>
      <sheetName val="유기공정"/>
      <sheetName val="96물가 CODE"/>
      <sheetName val="연부97-1"/>
      <sheetName val="갑지1"/>
      <sheetName val="단가산출2"/>
      <sheetName val="조명시설"/>
      <sheetName val="예산변경사항"/>
      <sheetName val="개요"/>
      <sheetName val="세부내역"/>
      <sheetName val="정공공사"/>
      <sheetName val="Sheet5"/>
      <sheetName val="갑지"/>
      <sheetName val="인건비"/>
      <sheetName val="DB단가"/>
      <sheetName val="도"/>
      <sheetName val="공사내역"/>
      <sheetName val="전기일위대가"/>
      <sheetName val="DATA"/>
      <sheetName val="BID"/>
      <sheetName val="내역"/>
      <sheetName val="LEGEND"/>
      <sheetName val="조경"/>
      <sheetName val="계산서(곡선부)"/>
      <sheetName val="-치수표(곡선부)"/>
      <sheetName val="운반"/>
      <sheetName val="UR2-Calculation"/>
      <sheetName val="건축내역"/>
      <sheetName val="을지"/>
      <sheetName val="DB"/>
      <sheetName val="설직재-1"/>
      <sheetName val="주소록"/>
      <sheetName val="Sheet1"/>
      <sheetName val="갑지(추정)"/>
      <sheetName val="합천내역"/>
      <sheetName val="최종갑지"/>
      <sheetName val="sum1 (2)"/>
      <sheetName val="견적정보"/>
      <sheetName val="PANEL_중량산출"/>
      <sheetName val="노원열병합__건축공사기성내역서"/>
      <sheetName val="plan&amp;section_of_foundation"/>
      <sheetName val="1단계"/>
      <sheetName val="FB25JN"/>
      <sheetName val="년도별실"/>
      <sheetName val="본장"/>
      <sheetName val="도체종-상수표"/>
      <sheetName val="OPT7"/>
      <sheetName val="원가계산서"/>
      <sheetName val="1.설계조건"/>
      <sheetName val="LOPCALC"/>
      <sheetName val="프로그램"/>
      <sheetName val="예산서"/>
      <sheetName val="운반비"/>
      <sheetName val="단가(1)"/>
      <sheetName val="단가(2)"/>
      <sheetName val="배관(TON)"/>
      <sheetName val="물량집계"/>
      <sheetName val="물량비교"/>
      <sheetName val="배관비교"/>
      <sheetName val="리스트"/>
      <sheetName val="용량-침사"/>
      <sheetName val="용량-펌프"/>
      <sheetName val="장애코드"/>
      <sheetName val="현금예금"/>
      <sheetName val="종배수관"/>
      <sheetName val="CP-E2 (품셈표)"/>
      <sheetName val="품목납기"/>
      <sheetName val="설비"/>
      <sheetName val="U-TYPE(1)"/>
      <sheetName val="조도계산(1)"/>
      <sheetName val="전차선로 물량표"/>
      <sheetName val="일위대가목록"/>
      <sheetName val="001"/>
      <sheetName val="와동25-3(변경)"/>
      <sheetName val="60명당사(총괄)"/>
      <sheetName val="CT_"/>
      <sheetName val="2F_회의실견적(5_14_일대)"/>
      <sheetName val="조도계산서_(도서)"/>
      <sheetName val="96물가_CODE"/>
      <sheetName val="CP-E2_(품셈표)"/>
      <sheetName val="70%"/>
      <sheetName val="전기단가조사서"/>
      <sheetName val="반중력식옹벽3.5"/>
      <sheetName val="중기사용료"/>
      <sheetName val="Macro1"/>
      <sheetName val="Macro2"/>
      <sheetName val="김재복부장님"/>
      <sheetName val="기초대가"/>
      <sheetName val="97"/>
      <sheetName val="WORK"/>
      <sheetName val="K1자재(3차등)"/>
      <sheetName val="자재단가"/>
      <sheetName val="덕전리"/>
      <sheetName val="선급금신청서"/>
      <sheetName val="실행비교"/>
      <sheetName val="6PILE  (돌출)"/>
      <sheetName val="신규 수주분(사용자 정의)"/>
      <sheetName val="UserData"/>
      <sheetName val="환율"/>
      <sheetName val="금액집계"/>
      <sheetName val="화재 탐지 설비"/>
      <sheetName val="工완성공사율"/>
      <sheetName val="Y-WORK"/>
      <sheetName val="EACT10"/>
      <sheetName val="일위단가"/>
      <sheetName val="Sheet9"/>
      <sheetName val="1안"/>
      <sheetName val="음료실행"/>
      <sheetName val="APT내역"/>
      <sheetName val="부대시설"/>
      <sheetName val="기둥(원형)"/>
      <sheetName val="기성금내역서"/>
      <sheetName val="통신원가"/>
      <sheetName val="터파기및재료"/>
      <sheetName val="원가"/>
      <sheetName val="밸브설치"/>
      <sheetName val="토공계산서(부체도로)"/>
      <sheetName val="단가산출(변경없음)"/>
      <sheetName val="사통"/>
      <sheetName val="CTEMCOST"/>
      <sheetName val="타견적1"/>
      <sheetName val="타견적2"/>
      <sheetName val="타견적3"/>
      <sheetName val="FPA"/>
      <sheetName val="순수개발"/>
      <sheetName val="소상 &quot;1&quot;"/>
      <sheetName val="여과지동"/>
      <sheetName val="기초자료"/>
      <sheetName val="CONCRETE"/>
      <sheetName val="부하LOAD"/>
      <sheetName val="데이타"/>
      <sheetName val="11월 가격"/>
      <sheetName val="일위대가(1)"/>
      <sheetName val="연수동"/>
      <sheetName val="1000 DB구축 부표"/>
      <sheetName val="청천내"/>
      <sheetName val="차액보증"/>
      <sheetName val="10월가격"/>
      <sheetName val="원형1호맨홀토공수량"/>
      <sheetName val="정부노임단가"/>
      <sheetName val="철거산출근거"/>
      <sheetName val="실행내역"/>
      <sheetName val="기계경비산출기준"/>
      <sheetName val="원본(갑지)"/>
      <sheetName val="판매96"/>
      <sheetName val="제-노임"/>
      <sheetName val="제직재"/>
      <sheetName val="GAEYO"/>
      <sheetName val="11.단가비교표_"/>
      <sheetName val="16.기계경비산출내역_"/>
      <sheetName val="부속동"/>
      <sheetName val="공사개요(좌)"/>
      <sheetName val="직공비"/>
      <sheetName val="매입세율"/>
      <sheetName val="공사개요"/>
      <sheetName val="Sheet7"/>
      <sheetName val="어음광고주"/>
      <sheetName val="단가표"/>
      <sheetName val="copy"/>
      <sheetName val="내역서1999.8최종"/>
      <sheetName val="화재_탐지_설비"/>
      <sheetName val="견적대비 견적서"/>
      <sheetName val="기성"/>
      <sheetName val="단"/>
      <sheetName val="토공정보"/>
      <sheetName val="예산M5A"/>
      <sheetName val="예산M2"/>
      <sheetName val="표지"/>
      <sheetName val="남양시작동자105노65기1.3화1.2"/>
      <sheetName val="지급자재"/>
      <sheetName val="계약내역서(을지)"/>
      <sheetName val="장비분석"/>
      <sheetName val="공조기"/>
      <sheetName val="STORAGE"/>
      <sheetName val="토목주소"/>
      <sheetName val="프랜트면허"/>
      <sheetName val="별표 "/>
      <sheetName val="조명율표"/>
      <sheetName val="단가조사-2"/>
      <sheetName val="집계표"/>
      <sheetName val="VE절감"/>
      <sheetName val="물량표S"/>
      <sheetName val="금액내역서"/>
      <sheetName val="물가시세"/>
      <sheetName val="전기"/>
      <sheetName val="ITEM"/>
      <sheetName val="type-F"/>
      <sheetName val="교각1"/>
      <sheetName val="토공(우물통,기타) "/>
      <sheetName val="wall"/>
      <sheetName val="COPING"/>
      <sheetName val="AA3000"/>
      <sheetName val="AA3100"/>
      <sheetName val="비계"/>
      <sheetName val="AA3200"/>
      <sheetName val="동바리"/>
      <sheetName val="AA3300"/>
      <sheetName val="특수거푸집"/>
      <sheetName val="AA3400"/>
      <sheetName val="9GNG운반"/>
      <sheetName val="준검 내역서"/>
      <sheetName val="T13(P68~72,78)"/>
      <sheetName val="2"/>
      <sheetName val="여방토공 "/>
      <sheetName val="날개벽수량표"/>
      <sheetName val="단가목록"/>
      <sheetName val="대창(장성)"/>
      <sheetName val="백암비스타내역"/>
      <sheetName val="기계내역"/>
      <sheetName val="소상_&quot;1&quot;"/>
      <sheetName val="7.1 자재단가표(케이블)"/>
      <sheetName val="Data Vol"/>
      <sheetName val="공통가설"/>
      <sheetName val="전체"/>
      <sheetName val="차수"/>
      <sheetName val="Galaxy 소비자가격표"/>
      <sheetName val="Oper Amount"/>
      <sheetName val="실적단가"/>
      <sheetName val="일위대가_복합"/>
      <sheetName val="일위대가_서비스"/>
      <sheetName val="장비집계"/>
      <sheetName val="8.PILE  (돌출)"/>
      <sheetName val="임차품의(농조)"/>
      <sheetName val="심사물량"/>
      <sheetName val="심사계산"/>
      <sheetName val="입출재고현황 (2)"/>
      <sheetName val="조도계산서 _도서_"/>
      <sheetName val="가로등기초"/>
      <sheetName val="BASIC (2)"/>
      <sheetName val="원가 (2)"/>
      <sheetName val="대치판정"/>
      <sheetName val="rate"/>
      <sheetName val="첨부파일"/>
      <sheetName val="일반수량총괄"/>
      <sheetName val="토공총괄"/>
      <sheetName val="골재수량"/>
      <sheetName val="레미콘집계"/>
      <sheetName val="주요자재"/>
      <sheetName val="타공종이기"/>
      <sheetName val="산출내역서집계표"/>
      <sheetName val="내역서 (2)"/>
      <sheetName val="총괄내역서"/>
      <sheetName val="(C)원내역"/>
      <sheetName val="원가계산"/>
      <sheetName val="사급자재"/>
      <sheetName val="이토변실(A3-LINE)"/>
      <sheetName val="98수문일위"/>
      <sheetName val="진주방향"/>
      <sheetName val="유통망계획"/>
      <sheetName val="기준자료"/>
      <sheetName val="제품"/>
      <sheetName val="견적계산"/>
      <sheetName val="TRE TABLE"/>
      <sheetName val="내부부하"/>
      <sheetName val="건축원가계산서"/>
      <sheetName val="기계경비(시간당)"/>
      <sheetName val="램머"/>
      <sheetName val="교대(A1-A2)"/>
      <sheetName val="공사비집계"/>
      <sheetName val="건축"/>
      <sheetName val="제잡비"/>
      <sheetName val="B(함)일반수량"/>
      <sheetName val="플랜트 설치"/>
      <sheetName val="산출근거"/>
      <sheetName val="단가산출"/>
      <sheetName val="환경평가"/>
      <sheetName val="인구"/>
      <sheetName val="배수관공"/>
      <sheetName val="Sheet1 (2)"/>
      <sheetName val="dt0301"/>
      <sheetName val="dtt0301"/>
      <sheetName val="목록"/>
      <sheetName val="LOAD-46"/>
      <sheetName val="부하(성남)"/>
      <sheetName val="실행"/>
      <sheetName val="설계내역(2001)"/>
      <sheetName val="본체"/>
      <sheetName val="토목"/>
      <sheetName val="말뚝지지력산정"/>
      <sheetName val="예산대비"/>
      <sheetName val="공문"/>
      <sheetName val="DRUM"/>
      <sheetName val="품목"/>
      <sheetName val="AV시스템"/>
      <sheetName val="C1"/>
      <sheetName val="기성내역서표지"/>
      <sheetName val="sub"/>
      <sheetName val="(A)내역서"/>
      <sheetName val="값"/>
      <sheetName val="횡 연장"/>
      <sheetName val="호표"/>
      <sheetName val="공사비명세서"/>
      <sheetName val="지수"/>
      <sheetName val="일위대가표"/>
      <sheetName val="자료"/>
      <sheetName val="7단가"/>
      <sheetName val="약품공급2"/>
      <sheetName val="dtxl"/>
      <sheetName val="자재운반단가일람표"/>
      <sheetName val="단면가정"/>
      <sheetName val="우각부보강"/>
      <sheetName val="품산출서"/>
      <sheetName val="DLA"/>
      <sheetName val=" 견적서"/>
      <sheetName val="견내"/>
      <sheetName val="매립"/>
      <sheetName val="소업1교"/>
      <sheetName val="변경갑지"/>
      <sheetName val="증감(갑지)"/>
      <sheetName val="손익차9월2"/>
      <sheetName val="단가"/>
      <sheetName val="Cost bd-&quot;A&quot;"/>
      <sheetName val="간선계산"/>
      <sheetName val="단가조사서"/>
      <sheetName val="목차"/>
      <sheetName val="간지"/>
      <sheetName val="외주가공"/>
      <sheetName val="BUS제원1"/>
      <sheetName val="7내역"/>
      <sheetName val="표지판단위"/>
      <sheetName val="설계"/>
      <sheetName val="협조전"/>
      <sheetName val="담장산출"/>
      <sheetName val="NEYOK"/>
      <sheetName val="노무비 근거"/>
      <sheetName val="배수내역 (2)"/>
      <sheetName val="재1"/>
      <sheetName val="I.설계조건"/>
      <sheetName val="자판실행"/>
      <sheetName val="건축내역서"/>
      <sheetName val="BOX"/>
      <sheetName val="1-1"/>
      <sheetName val="차도조도계산"/>
      <sheetName val="실정공사비단가표"/>
      <sheetName val="PROCESS"/>
      <sheetName val="일위대가(계측기설치)"/>
      <sheetName val=" HIT-&gt;HMC 견적(3900)"/>
      <sheetName val="우수"/>
      <sheetName val="자재조사표(참고용)"/>
      <sheetName val="품셈집계표"/>
      <sheetName val="일반부표집계표"/>
      <sheetName val="공종별내역서"/>
      <sheetName val="11"/>
      <sheetName val="전선 및 전선관"/>
      <sheetName val="청주(철골발주의뢰서)"/>
      <sheetName val="정렬"/>
      <sheetName val="분전함신설"/>
      <sheetName val="접지1종"/>
      <sheetName val="자재집계"/>
      <sheetName val="골재랑"/>
      <sheetName val="기초총괄"/>
      <sheetName val="구체총괄"/>
      <sheetName val="구체+기초총괄"/>
      <sheetName val="교대집계"/>
      <sheetName val="교대철근(구체)"/>
      <sheetName val="교대철근(기초)"/>
      <sheetName val="교대철근(구체+기초)"/>
      <sheetName val="교각집계"/>
      <sheetName val="교각철근(구체)"/>
      <sheetName val="교각철근 (기초)"/>
      <sheetName val="교각철근 (구체+기초)"/>
      <sheetName val="현장타설말뚝"/>
      <sheetName val="강재집계표"/>
      <sheetName val="원동교강재집계표"/>
      <sheetName val="자재테이블"/>
      <sheetName val="산출금액내역"/>
      <sheetName val="변압기 및 발전기 용량"/>
      <sheetName val="A-4"/>
      <sheetName val="건축집계표"/>
      <sheetName val="실행간접비용"/>
      <sheetName val="3련 BOX"/>
      <sheetName val="단위수량"/>
      <sheetName val="CB"/>
      <sheetName val="FACTOR"/>
      <sheetName val="48일위"/>
      <sheetName val="48수량"/>
      <sheetName val="22수량"/>
      <sheetName val="49일위"/>
      <sheetName val="22일위"/>
      <sheetName val="49수량"/>
      <sheetName val="설계명세서(선로)"/>
      <sheetName val="전기,계장"/>
      <sheetName val="품셈"/>
      <sheetName val="구조물공집계"/>
      <sheetName val="암거집계 "/>
      <sheetName val="암거구체수량"/>
      <sheetName val="암거구체"/>
      <sheetName val="날개벽집계표"/>
      <sheetName val="날개벽단위"/>
      <sheetName val="차수벽집계표"/>
      <sheetName val="차수벽"/>
      <sheetName val="도근좌표"/>
      <sheetName val="99총공사내역서"/>
      <sheetName val="입상내역"/>
      <sheetName val="단위중량"/>
      <sheetName val="공주-교대(A1)"/>
      <sheetName val="토사(PE)"/>
      <sheetName val="Ekog10"/>
      <sheetName val="코드표"/>
      <sheetName val="기초단가"/>
      <sheetName val="수량산출서 갑지"/>
      <sheetName val="상승노임"/>
      <sheetName val="매크로"/>
      <sheetName val="설계예산서(2016년 보안등 신설공사 단가계약-).xls"/>
      <sheetName val="cost"/>
      <sheetName val="변화치수"/>
      <sheetName val="시행후면적"/>
      <sheetName val="수지예산"/>
      <sheetName val="단가대비"/>
      <sheetName val="소요자재"/>
      <sheetName val="ROOF(ALKALI)"/>
      <sheetName val="일위대가(4층원격)"/>
      <sheetName val="단가표 "/>
      <sheetName val="총괄"/>
      <sheetName val="공사비"/>
      <sheetName val="OPT"/>
      <sheetName val="SV"/>
      <sheetName val="1공구(을)"/>
      <sheetName val="XL4Poppy"/>
      <sheetName val="List"/>
      <sheetName val="CHITIET VL-NC"/>
      <sheetName val="DON GIA"/>
      <sheetName val="MOTOR"/>
      <sheetName val="참고"/>
      <sheetName val="7.경제성결과"/>
      <sheetName val="FRP내역서"/>
      <sheetName val="부대내역"/>
      <sheetName val="실행내역서_"/>
      <sheetName val="FAB별"/>
      <sheetName val="견적(갑지)"/>
      <sheetName val="계약내력"/>
      <sheetName val="맨홀토공"/>
      <sheetName val="DHEQSUPT"/>
      <sheetName val="DATA1"/>
      <sheetName val="목표세부명세"/>
      <sheetName val="암거공"/>
      <sheetName val="배수통관(좌)"/>
      <sheetName val="Baby일위대가"/>
      <sheetName val="견적"/>
      <sheetName val="EQUIPMENT -2"/>
      <sheetName val="대림경상68억"/>
      <sheetName val="F1"/>
      <sheetName val="포장공자재집계표"/>
      <sheetName val="일반수량"/>
      <sheetName val="자재일람"/>
      <sheetName val="교대(A1)"/>
      <sheetName val="대가표(품셈)"/>
      <sheetName val="단가산출서"/>
      <sheetName val="토목공사"/>
      <sheetName val="위치"/>
      <sheetName val="총공사내역서"/>
      <sheetName val="다곡2교"/>
      <sheetName val="기초자료입력"/>
      <sheetName val="안정검토"/>
      <sheetName val="H-pile(298x299)"/>
      <sheetName val="H-pile(250x250)"/>
      <sheetName val="일위_파일"/>
      <sheetName val="연결임시"/>
      <sheetName val="단면검토"/>
      <sheetName val="_산근2_"/>
      <sheetName val="_산근4_"/>
      <sheetName val="_산근5_"/>
      <sheetName val="BQ_Utl_Off"/>
      <sheetName val="BREAKDOWN(철거설치)"/>
      <sheetName val="기계경비"/>
      <sheetName val="시화점실행"/>
      <sheetName val="연령현황"/>
      <sheetName val="__"/>
      <sheetName val="DIAPHRAGM"/>
      <sheetName val="원계약서"/>
      <sheetName val="총괄내역"/>
      <sheetName val="물량산출근거"/>
      <sheetName val="가격표"/>
      <sheetName val="원가입력"/>
      <sheetName val="교통대책내역"/>
      <sheetName val="수량집계"/>
      <sheetName val="수량산출서 (2)"/>
      <sheetName val="Customer Databas"/>
      <sheetName val="분류작업"/>
      <sheetName val="기본자료"/>
      <sheetName val="2002상반기노임기준"/>
      <sheetName val="안정계산"/>
      <sheetName val="전체현황"/>
      <sheetName val="안정성검토"/>
      <sheetName val="하중계산"/>
      <sheetName val="설계기준"/>
      <sheetName val="총괄표"/>
      <sheetName val="대상공사(조달청)"/>
      <sheetName val="자료(통합)"/>
      <sheetName val="횡배수관집현황(2공구)"/>
      <sheetName val="JUCKEYK"/>
      <sheetName val="수목표준대가"/>
      <sheetName val="웅진교-S2"/>
      <sheetName val="시중노임(공사)"/>
      <sheetName val="식재"/>
      <sheetName val="시설물"/>
      <sheetName val="식재출력용"/>
      <sheetName val="유지관리"/>
      <sheetName val="암거"/>
      <sheetName val="포장공"/>
      <sheetName val="배수공"/>
      <sheetName val="설계명세서"/>
      <sheetName val="주요측점"/>
      <sheetName val="유림총괄"/>
      <sheetName val="BOQ(전체)"/>
      <sheetName val="위치조서"/>
      <sheetName val="집계"/>
      <sheetName val="TYPE-A"/>
      <sheetName val="CAL"/>
      <sheetName val="COVER-P"/>
      <sheetName val="3BL공동구 수량"/>
      <sheetName val="수안보-MBR1"/>
      <sheetName val="L형 옹벽"/>
      <sheetName val="작업일정"/>
      <sheetName val="INPUT"/>
      <sheetName val="Macro(차단기)"/>
      <sheetName val="BQ(실행)"/>
      <sheetName val="JUCK"/>
      <sheetName val="요약&amp;결과"/>
      <sheetName val="배관배선 단가조사"/>
      <sheetName val="일위대가집계"/>
      <sheetName val="4안전율"/>
      <sheetName val="사다리"/>
      <sheetName val="AA2000"/>
      <sheetName val="AA2100"/>
      <sheetName val="토류시설"/>
      <sheetName val="AA2200"/>
      <sheetName val="배수및물푸기시설집계"/>
      <sheetName val="가배수관"/>
      <sheetName val="가도수로"/>
      <sheetName val="절성경계도수로현황"/>
      <sheetName val="물푸기집계"/>
      <sheetName val="AA2300"/>
      <sheetName val="AA2400"/>
      <sheetName val="AA2500"/>
      <sheetName val="방호시설집계"/>
      <sheetName val="AA2600"/>
      <sheetName val="교통안전시설공집계"/>
      <sheetName val="교통처리가도수량집계"/>
      <sheetName val="국지도70호선-수량"/>
      <sheetName val="국지도70호선-현황"/>
      <sheetName val="남춘천IC접속부-수량"/>
      <sheetName val="남춘천IC접속부-현황"/>
      <sheetName val="군자4교하부-수량"/>
      <sheetName val="군자4교하부-현황"/>
      <sheetName val="AA2700"/>
      <sheetName val="낙하물방지공"/>
      <sheetName val="AA2800"/>
      <sheetName val="작업용가시설"/>
      <sheetName val="AA2900"/>
      <sheetName val="교량환기시설"/>
      <sheetName val="환기시설 (1)"/>
      <sheetName val="환기시설 (2)"/>
      <sheetName val="상-교대(A1-A2)"/>
      <sheetName val="15100"/>
      <sheetName val="시행예산"/>
      <sheetName val="현장지지물물량"/>
      <sheetName val="두앙"/>
      <sheetName val="재료비"/>
      <sheetName val="보온자재단가표"/>
      <sheetName val="9호관로"/>
      <sheetName val="단가대비표 표지"/>
      <sheetName val="2000시행"/>
      <sheetName val="샘플표지"/>
      <sheetName val="물가연동제"/>
      <sheetName val="1. 설계조건 2.단면가정 3. 하중계산"/>
      <sheetName val="DATA 입력란"/>
      <sheetName val="금융비용"/>
      <sheetName val="주안3차A-A"/>
      <sheetName val="본실행경비"/>
      <sheetName val="자재"/>
      <sheetName val="원형맨홀수량"/>
      <sheetName val="기기리스트"/>
      <sheetName val="01"/>
      <sheetName val="연돌일위집계"/>
      <sheetName val="AHU집계"/>
      <sheetName val="맨홀토공산출"/>
      <sheetName val="000000"/>
      <sheetName val="총내역서"/>
      <sheetName val="경관내역"/>
      <sheetName val="가로등내역"/>
      <sheetName val="영상수량산출"/>
      <sheetName val="경관수량산출"/>
      <sheetName val="가로등수량산출"/>
      <sheetName val="영상단가대비표 "/>
      <sheetName val="경관단가대비표"/>
      <sheetName val="배관"/>
      <sheetName val=" 냉각수펌프"/>
      <sheetName val="일위대가1"/>
      <sheetName val="__MAIN"/>
      <sheetName val="회로내역(승인)"/>
      <sheetName val="안정검토(온1)"/>
      <sheetName val="관급"/>
      <sheetName val="투찰(하수)"/>
      <sheetName val="Site Expenses"/>
      <sheetName val="소운반"/>
      <sheetName val="CATV"/>
      <sheetName val="콘_재료분리(1)"/>
      <sheetName val="최종견"/>
      <sheetName val="sun"/>
      <sheetName val="예산M11A"/>
      <sheetName val="자료입력"/>
      <sheetName val="경사수로"/>
      <sheetName val="D16"/>
      <sheetName val="D25"/>
      <sheetName val="D22"/>
      <sheetName val="대전-교대(A1-A2)"/>
      <sheetName val="8-1"/>
      <sheetName val="물가"/>
      <sheetName val="Controls"/>
      <sheetName val="해상PCB"/>
      <sheetName val="COVER"/>
      <sheetName val="일보"/>
      <sheetName val="기력고압전동기"/>
      <sheetName val="OH공량old"/>
      <sheetName val="PIPE"/>
      <sheetName val="FLANGE"/>
      <sheetName val="VALVE"/>
      <sheetName val="1을"/>
      <sheetName val="예시 (수정 및 삭제금지)"/>
      <sheetName val="예산내역서"/>
      <sheetName val="원형측구(B-type)"/>
      <sheetName val="몰탈재료산출"/>
      <sheetName val="G.R300경비"/>
      <sheetName val="3.공통공사대비"/>
      <sheetName val="1-3.조건,바닥판 "/>
      <sheetName val="월말"/>
      <sheetName val="데리네이타현황"/>
      <sheetName val="가정오수"/>
      <sheetName val="잔수량(작성)"/>
      <sheetName val="토공총괄표"/>
      <sheetName val="물건도(원본)"/>
      <sheetName val="적용단위길이"/>
      <sheetName val="피벗테이블데이터분석"/>
      <sheetName val="특수기호강도거푸집"/>
      <sheetName val="종배수관면벽신"/>
      <sheetName val="종배수관(신)"/>
      <sheetName val="기본"/>
      <sheetName val="견적대비"/>
      <sheetName val="교차구"/>
      <sheetName val="TABLE DB"/>
      <sheetName val="쌍용 data base"/>
      <sheetName val="guard(mac)"/>
      <sheetName val="추가예산"/>
      <sheetName val="Sheet4"/>
      <sheetName val="기초안정검토"/>
      <sheetName val="산수배수"/>
      <sheetName val="출입자명단"/>
      <sheetName val="뚝토공"/>
      <sheetName val="단위수량산출"/>
      <sheetName val="우배수"/>
      <sheetName val="설명"/>
      <sheetName val="wing"/>
      <sheetName val="98비정기소모"/>
      <sheetName val="TYPE1"/>
      <sheetName val="입력자료모음"/>
      <sheetName val="원가계산서(공사)"/>
      <sheetName val="식재가격"/>
      <sheetName val="식재총괄"/>
      <sheetName val="일위목록"/>
      <sheetName val="2000년1차"/>
      <sheetName val="구조물철거타공정이월"/>
      <sheetName val="수목데이타 "/>
      <sheetName val="토공(우물통,기타)_2"/>
      <sheetName val="내역서_(2)2"/>
      <sheetName val="횡_연장2"/>
      <sheetName val="토공(우물통,기타)_"/>
      <sheetName val="내역서_(2)"/>
      <sheetName val="횡_연장"/>
      <sheetName val="토공(우물통,기타)_1"/>
      <sheetName val="내역서_(2)1"/>
      <sheetName val="횡_연장1"/>
      <sheetName val="하부철근수량"/>
      <sheetName val="적용기준"/>
      <sheetName val="지주토목내역서"/>
      <sheetName val="일위대가(건축)"/>
      <sheetName val="6. 직접경비"/>
      <sheetName val="DS기성최종"/>
      <sheetName val="DS설변내역서"/>
      <sheetName val="단가_1_"/>
      <sheetName val="실행내역 "/>
      <sheetName val="ⴭⴭⴭⴭⴭ"/>
      <sheetName val="2001년 건설노임"/>
      <sheetName val="98지급계획"/>
      <sheetName val="맨홀수량산출"/>
      <sheetName val="E.P.T수량산출서"/>
      <sheetName val="교각별수량"/>
      <sheetName val="단가일람"/>
      <sheetName val="단가적용기준"/>
      <sheetName val="대로근거"/>
      <sheetName val="산근1"/>
      <sheetName val="장비"/>
      <sheetName val="노무"/>
      <sheetName val="돈암사업"/>
      <sheetName val="단면치수"/>
      <sheetName val="입찰견적보고서"/>
      <sheetName val="일반공사"/>
      <sheetName val="사  업  비  수  지  예  산  서"/>
      <sheetName val="암거(내역)"/>
      <sheetName val="VENDOR LIST"/>
      <sheetName val="사전공사"/>
      <sheetName val="Macro(전선)"/>
      <sheetName val="총요약서"/>
      <sheetName val="지주목시비량산출서"/>
      <sheetName val="1,2공구원가계산서"/>
      <sheetName val="2공구산출내역"/>
      <sheetName val="1공구산출내역서"/>
      <sheetName val="EPro"/>
      <sheetName val="오존실배관내역"/>
      <sheetName val="특별교실"/>
      <sheetName val="옹벽1"/>
      <sheetName val="BSD (2)"/>
      <sheetName val="Proposal"/>
      <sheetName val="CALCULATION"/>
      <sheetName val="원가계산하도"/>
      <sheetName val="기초공"/>
      <sheetName val="물량표"/>
      <sheetName val="평가데이터"/>
      <sheetName val="직접인건비"/>
      <sheetName val="각종양식"/>
      <sheetName val="통합"/>
      <sheetName val="토적표"/>
      <sheetName val="Front"/>
      <sheetName val="사용성검토"/>
      <sheetName val="깨기수량"/>
      <sheetName val="PANEL_중량산출1"/>
      <sheetName val="plan&amp;section_of_foundation1"/>
      <sheetName val="노원열병합__건축공사기성내역서1"/>
      <sheetName val="CT_1"/>
      <sheetName val="2F_회의실견적(5_14_일대)1"/>
      <sheetName val="조도계산서_(도서)1"/>
      <sheetName val="96물가_CODE1"/>
      <sheetName val="sum1_(2)"/>
      <sheetName val="1_설계조건"/>
      <sheetName val="CP-E2_(품셈표)1"/>
      <sheetName val="전차선로_물량표"/>
      <sheetName val="반중력식옹벽3_5"/>
      <sheetName val="6PILE__(돌출)"/>
      <sheetName val="신규_수주분(사용자_정의)"/>
      <sheetName val="화재_탐지_설비1"/>
      <sheetName val="소상_&quot;1&quot;1"/>
      <sheetName val="11월_가격"/>
      <sheetName val="1000_DB구축_부표"/>
      <sheetName val="준검_내역서"/>
      <sheetName val="여방토공_"/>
      <sheetName val="내역서1999_8최종"/>
      <sheetName val="Data_Vol"/>
      <sheetName val="11_단가비교표_"/>
      <sheetName val="16_기계경비산출내역_"/>
      <sheetName val="Galaxy_소비자가격표"/>
      <sheetName val="Oper_Amount"/>
      <sheetName val="8_PILE__(돌출)"/>
      <sheetName val="입출재고현황_(2)"/>
      <sheetName val="조도계산서__도서_"/>
      <sheetName val="교각철근_(기초)"/>
      <sheetName val="교각철근_(구체+기초)"/>
      <sheetName val="플랜트_설치"/>
      <sheetName val="암거집계_"/>
      <sheetName val="견적대비_견적서"/>
      <sheetName val="BASIC_(2)"/>
      <sheetName val="원가_(2)"/>
      <sheetName val="남양시작동자105노65기1_3화1_2"/>
      <sheetName val="별표_"/>
      <sheetName val="3련_BOX"/>
      <sheetName val="7_1_자재단가표(케이블)"/>
      <sheetName val="변압기_및_발전기_용량"/>
      <sheetName val="Sheet1_(2)"/>
      <sheetName val="TRE_TABLE"/>
      <sheetName val="노무비_근거"/>
      <sheetName val="_HIT-&gt;HMC_견적(3900)"/>
      <sheetName val="단가표_"/>
      <sheetName val="Cost_bd-&quot;A&quot;"/>
      <sheetName val="전선_및_전선관"/>
      <sheetName val="_견적서"/>
      <sheetName val="보험료산출"/>
      <sheetName val="PIPE내역(FCN)"/>
      <sheetName val="설비내역서"/>
      <sheetName val="전기내역서"/>
      <sheetName val="SW개발대상목록(기능점수)"/>
      <sheetName val="9.1지하2층하부보"/>
      <sheetName val="anchor"/>
      <sheetName val="서울대규장각_가시설흙막이_"/>
      <sheetName val="기성내역서"/>
      <sheetName val="일위목차"/>
      <sheetName val="24.보증금(전신전화가입권)"/>
      <sheetName val="계정code"/>
      <sheetName val="시산표"/>
      <sheetName val="비교1"/>
      <sheetName val="첨부1-1"/>
      <sheetName val="우棌"/>
      <sheetName val="배수공 시멘트 및 골재량 산출"/>
      <sheetName val="총_x0000_ϭ"/>
      <sheetName val="우륀"/>
      <sheetName val="식재ط"/>
      <sheetName val="총_x0002__x0000_"/>
      <sheetName val="총蚨ϖ"/>
      <sheetName val="총蓨ώ"/>
      <sheetName val="총벝l"/>
      <sheetName val="총벝ê"/>
      <sheetName val="단락전류-A"/>
      <sheetName val="참조"/>
      <sheetName val="40총괄"/>
      <sheetName val="40집계"/>
      <sheetName val="총_x0010__x0000_"/>
      <sheetName val="주식"/>
      <sheetName val="사업수지"/>
      <sheetName val="식재품셈"/>
      <sheetName val="공통부대비"/>
      <sheetName val="회로내역(승인䠎"/>
      <sheetName val="회로내역(승인Ԉ"/>
      <sheetName val="1. 설계서-갑지"/>
      <sheetName val="2. 설계서-을지"/>
      <sheetName val="3. 산출기계"/>
      <sheetName val="4. 산출전기"/>
      <sheetName val="5. 일위대가목록"/>
      <sheetName val="6. 일위대가 "/>
      <sheetName val="7. 물가조사"/>
      <sheetName val="8. 견적대비"/>
      <sheetName val="9. 시중노임"/>
      <sheetName val="23"/>
      <sheetName val="내역서(삼호)"/>
      <sheetName val="규격"/>
      <sheetName val="입고장부 (4)"/>
      <sheetName val="횡배수관재료-"/>
      <sheetName val="계산서(직선부)"/>
      <sheetName val="포장재료집계표"/>
      <sheetName val="콘크리트측구연장"/>
      <sheetName val="-몰탈콘크리트"/>
      <sheetName val="-배수구조물공토공"/>
      <sheetName val="견적보고(총액)"/>
      <sheetName val="마산방향"/>
      <sheetName val="사리부설"/>
      <sheetName val="요율"/>
      <sheetName val="일위집계(기존)"/>
      <sheetName val="제경비"/>
      <sheetName val="공사손익실적"/>
      <sheetName val="역T형교대(말뚝기초)"/>
      <sheetName val="C.배수관공"/>
      <sheetName val="비용"/>
      <sheetName val="4.2.1 마루높이 검토"/>
      <sheetName val="타견적(을)"/>
      <sheetName val="SANTOGO"/>
      <sheetName val="SANBAISU"/>
      <sheetName val="3.현장배치"/>
      <sheetName val="관로공표지"/>
      <sheetName val="구천"/>
      <sheetName val="AS포장복구 "/>
      <sheetName val="근생APT-신마감"/>
      <sheetName val="복지관_FIART"/>
      <sheetName val="근생APT-FIART"/>
      <sheetName val="근생-FI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 refreshError="1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 refreshError="1"/>
      <sheetData sheetId="457" refreshError="1"/>
      <sheetData sheetId="458"/>
      <sheetData sheetId="459" refreshError="1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/>
      <sheetData sheetId="870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/>
      <sheetData sheetId="900"/>
      <sheetData sheetId="901"/>
      <sheetData sheetId="902"/>
      <sheetData sheetId="903"/>
      <sheetData sheetId="904"/>
      <sheetData sheetId="905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갑지"/>
      <sheetName val="총괄내역"/>
      <sheetName val="운반비"/>
      <sheetName val="처리비"/>
      <sheetName val="수량산출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XXXXXXX"/>
      <sheetName val="#REF"/>
      <sheetName val="tggwan(mac)"/>
      <sheetName val="차액보증"/>
      <sheetName val="상수도토공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화산경계"/>
      <sheetName val="경계좌표"/>
      <sheetName val="깨기"/>
      <sheetName val="3BL공동구 수량"/>
      <sheetName val="8.PILE  (돌출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77"/>
      <sheetName val="#REF"/>
      <sheetName val="6PILE  (돌출)"/>
      <sheetName val="내역서"/>
      <sheetName val="자재"/>
      <sheetName val="종배수관"/>
      <sheetName val="마산방향"/>
      <sheetName val="진주방향"/>
      <sheetName val="1.설계조건"/>
      <sheetName val="변경후-SHEET"/>
      <sheetName val="우배수"/>
      <sheetName val="삼보지질"/>
      <sheetName val="DATE"/>
      <sheetName val="단가산출"/>
      <sheetName val="수량집계"/>
      <sheetName val="NOMUBI"/>
      <sheetName val="8.PILE  (돌출)"/>
      <sheetName val="수자재단위당"/>
      <sheetName val="ABUT수량-A1"/>
      <sheetName val="맨홀수량"/>
      <sheetName val="일반수량총괄집계"/>
      <sheetName val="맨홀수량산출"/>
      <sheetName val="4.2유효폭의 계산"/>
      <sheetName val="노임단가"/>
      <sheetName val="물집"/>
      <sheetName val="7.산출집계"/>
      <sheetName val="3.단가산출서"/>
      <sheetName val="4.일위산출"/>
      <sheetName val="9.자재단가"/>
      <sheetName val="물질수지-음식물  "/>
      <sheetName val="FAB별"/>
      <sheetName val="WIND"/>
      <sheetName val="최종보고1"/>
      <sheetName val="계산식"/>
      <sheetName val="노임"/>
      <sheetName val="총괄표"/>
      <sheetName val="일위대가표"/>
      <sheetName val="수안보-MBR1"/>
      <sheetName val="PLCAL"/>
      <sheetName val="4.말뚝설계"/>
      <sheetName val="말뚝지지력산정"/>
      <sheetName val="바닥판"/>
      <sheetName val="입력DATA"/>
      <sheetName val="총집계표"/>
      <sheetName val="예정(3)"/>
      <sheetName val="동원(3)"/>
      <sheetName val="터널조도"/>
      <sheetName val="조도계산서 (도서)"/>
      <sheetName val="단위수량"/>
      <sheetName val="MFAB"/>
      <sheetName val="MFRT"/>
      <sheetName val="MPKG"/>
      <sheetName val="MPRD"/>
      <sheetName val="1.3.1절점좌표"/>
      <sheetName val="1.1설계기준"/>
      <sheetName val="5.모델링"/>
      <sheetName val="일위"/>
      <sheetName val="보성조서"/>
      <sheetName val="품셈TABLE"/>
      <sheetName val="9GNG운반"/>
      <sheetName val="지구단위계획"/>
      <sheetName val="1호맨홀수량산출"/>
      <sheetName val="인구밀도산정"/>
      <sheetName val="1호철근량"/>
      <sheetName val="수직구(H-pile)"/>
      <sheetName val="가시설(TYPE-A)"/>
      <sheetName val="1-1평균터파기고(1)"/>
      <sheetName val="설계"/>
      <sheetName val="DATA"/>
      <sheetName val="교통표지판수량집계표"/>
      <sheetName val="대창(장성)"/>
      <sheetName val="대창(함평)-창열"/>
      <sheetName val="3BL공동구 수량"/>
      <sheetName val="단가"/>
      <sheetName val="원형맨홀수량"/>
      <sheetName val="방음벽기초(H=4m)"/>
      <sheetName val="터파기및재료"/>
      <sheetName val="단면가정"/>
      <sheetName val="집계표"/>
      <sheetName val="상-교대(A1-A2)"/>
      <sheetName val="평균터파기고(1-2,ASP)"/>
      <sheetName val="배수통관(좌)"/>
      <sheetName val="현장조사"/>
      <sheetName val="Sheet1"/>
      <sheetName val="BID"/>
      <sheetName val="내역표지"/>
      <sheetName val="조명시설"/>
      <sheetName val="실행철강하도"/>
      <sheetName val="수량산출"/>
      <sheetName val="일위대가"/>
      <sheetName val="노무비"/>
      <sheetName val="1차3회-개소별명세서-빨간색-인쇄용(21873)"/>
      <sheetName val="내역서 (2)"/>
      <sheetName val="건축"/>
      <sheetName val="차액보증"/>
      <sheetName val="교통대책내역"/>
      <sheetName val="집계"/>
      <sheetName val="건축내역"/>
      <sheetName val="건축원가계산서"/>
      <sheetName val="미드수량"/>
      <sheetName val="단면치수"/>
      <sheetName val="70%"/>
      <sheetName val="기둥(원형)"/>
      <sheetName val="내역서01"/>
      <sheetName val="우각부보강"/>
      <sheetName val="정부노임단가"/>
      <sheetName val="산출내역서집계표"/>
      <sheetName val="내역"/>
      <sheetName val="실행예산"/>
      <sheetName val="날개벽수량표"/>
      <sheetName val="입찰안"/>
      <sheetName val="3지구단위"/>
      <sheetName val="식재가격"/>
      <sheetName val="식재총괄"/>
      <sheetName val="일위목록"/>
      <sheetName val="Sheet17"/>
      <sheetName val="단가비교표_공통1"/>
      <sheetName val="플랜트 설치"/>
      <sheetName val="흙쌓기도수로설치현황(1)"/>
      <sheetName val="MOTOR"/>
      <sheetName val="COPING"/>
      <sheetName val="쌍송교"/>
      <sheetName val="시중노임단가"/>
      <sheetName val="설 계"/>
      <sheetName val="1호맨홀가감수량"/>
      <sheetName val="단가(1)"/>
      <sheetName val="capbeam(1)"/>
      <sheetName val="교각1"/>
      <sheetName val="변화치수"/>
      <sheetName val="TYPE-A"/>
      <sheetName val="단가 및 재료비"/>
      <sheetName val="단가산출1"/>
      <sheetName val="Total"/>
      <sheetName val="토공1차"/>
      <sheetName val="전체내역 (2)"/>
      <sheetName val="산출근거"/>
      <sheetName val="토목주소"/>
      <sheetName val="프랜트면허"/>
      <sheetName val="조건표"/>
      <sheetName val="수리계산(2021)"/>
      <sheetName val="내역(중앙)"/>
      <sheetName val="JUCKEYK"/>
      <sheetName val="화산경계"/>
      <sheetName val="guard(mac)"/>
      <sheetName val="라.공사비"/>
      <sheetName val="다.도서인쇄비"/>
      <sheetName val="수목단가"/>
      <sheetName val="정렬"/>
      <sheetName val="투찰"/>
      <sheetName val="전력구구조물산근"/>
      <sheetName val="토공 total"/>
      <sheetName val="대운산출"/>
      <sheetName val="자재비"/>
      <sheetName val="1.설계기준"/>
      <sheetName val="지수"/>
      <sheetName val="일위대가(가설)"/>
      <sheetName val="L_RPTA05_목록"/>
      <sheetName val="6PILE__(돌출)"/>
      <sheetName val="기기리스트"/>
      <sheetName val="집계표(육상)"/>
      <sheetName val="연결임시"/>
      <sheetName val="수문일1"/>
      <sheetName val="식재수량표"/>
      <sheetName val="인수공규격"/>
      <sheetName val="보차도경계석"/>
      <sheetName val="JUCK"/>
      <sheetName val="대비"/>
      <sheetName val="Sheet1 (2)"/>
      <sheetName val="6공구(당초)"/>
      <sheetName val="기계경비"/>
      <sheetName val="인상효1"/>
      <sheetName val="기초계산(Pmax)"/>
      <sheetName val="용소리교"/>
      <sheetName val="단위중량"/>
      <sheetName val="이토변실(A3-LINE)"/>
      <sheetName val="인건-측정"/>
      <sheetName val="5지구단위"/>
      <sheetName val="眞비상(진주)"/>
      <sheetName val="토목2"/>
      <sheetName val="CALCULATION"/>
      <sheetName val="sheets"/>
      <sheetName val="8-3기계경비"/>
      <sheetName val="sw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샘플표지"/>
      <sheetName val="1안"/>
      <sheetName val="N賃率-職"/>
      <sheetName val="일위"/>
      <sheetName val="단가비교표"/>
      <sheetName val="매립"/>
      <sheetName val="과천MAIN"/>
      <sheetName val="원가 (2)"/>
      <sheetName val="Sheet2"/>
      <sheetName val="신우"/>
      <sheetName val="I一般比"/>
      <sheetName val="ABUT수량-A1"/>
      <sheetName val="노임"/>
      <sheetName val="J直材4"/>
      <sheetName val="여과지동"/>
      <sheetName val="기초자료"/>
      <sheetName val="2F 회의실견적(5_14 일대)"/>
      <sheetName val="내역서1999.8최종"/>
      <sheetName val="송라초중학교(final)"/>
      <sheetName val="전차선로 물량표"/>
      <sheetName val="예가표"/>
      <sheetName val="일위대가목차"/>
      <sheetName val="품목납기"/>
      <sheetName val="집계표"/>
      <sheetName val="자재단가"/>
      <sheetName val="제-노임"/>
      <sheetName val="제직재"/>
      <sheetName val="감가상각"/>
      <sheetName val="96갑지"/>
      <sheetName val="#REF"/>
      <sheetName val="인건-측정"/>
      <sheetName val="기본일위"/>
      <sheetName val="Macro1"/>
      <sheetName val="S0"/>
      <sheetName val="Sheet1"/>
      <sheetName val="sw1"/>
      <sheetName val="NOMUBI"/>
      <sheetName val="동원(3)"/>
      <sheetName val="예정(3)"/>
      <sheetName val="정부노임단가"/>
      <sheetName val="노무비"/>
      <sheetName val="PANEL_중량산출"/>
      <sheetName val="원가_(2)"/>
      <sheetName val="터널조도"/>
      <sheetName val="조도계산서 (도서)"/>
      <sheetName val="6PILE  (돌출)"/>
      <sheetName val="대치판정"/>
      <sheetName val="CT "/>
      <sheetName val="copy"/>
      <sheetName val="실행내역서 "/>
      <sheetName val="내역"/>
      <sheetName val="갑지"/>
      <sheetName val="일_4_"/>
      <sheetName val="N賃率_職"/>
      <sheetName val="총_구조물공"/>
      <sheetName val="내역서1-2"/>
      <sheetName val="내역서2안"/>
      <sheetName val="2.대외공문"/>
      <sheetName val="설계명세서"/>
      <sheetName val="일(4)"/>
      <sheetName val="수량산출(음암)"/>
      <sheetName val="00노임기준"/>
      <sheetName val="일위대가"/>
      <sheetName val="관리자"/>
      <sheetName val="재료비"/>
      <sheetName val="데이타"/>
      <sheetName val="식재인부"/>
      <sheetName val="금액내역서"/>
      <sheetName val="설직재-1"/>
      <sheetName val="1.토공집계표"/>
      <sheetName val="H-PILE수량집계"/>
      <sheetName val="참조"/>
      <sheetName val="직노"/>
      <sheetName val="실행내역"/>
      <sheetName val="토목공사일반"/>
      <sheetName val="집계"/>
      <sheetName val="패널"/>
      <sheetName val="99노임기준"/>
      <sheetName val="구체"/>
      <sheetName val="좌측날개벽"/>
      <sheetName val="우측날개벽"/>
      <sheetName val="실측자료"/>
      <sheetName val="setup"/>
      <sheetName val="연습"/>
      <sheetName val="식재수량표"/>
      <sheetName val="노임단가"/>
      <sheetName val="9GNG운반"/>
      <sheetName val="합천내역"/>
      <sheetName val="제출내역 (2)"/>
      <sheetName val="工완성공사율"/>
      <sheetName val="단가 (2)"/>
      <sheetName val="설계명세서(선로)"/>
      <sheetName val="이월가격"/>
      <sheetName val="시행후면적"/>
      <sheetName val="수지예산"/>
      <sheetName val="전신환매도율"/>
      <sheetName val="원본(갑지)"/>
      <sheetName val="중기사용료"/>
      <sheetName val="하조서"/>
      <sheetName val="설비"/>
      <sheetName val="부산4"/>
      <sheetName val="약품설비"/>
      <sheetName val="부대공Ⅱ"/>
      <sheetName val="산출내역서집계표"/>
      <sheetName val="내역을"/>
      <sheetName val="안전장치"/>
      <sheetName val="임시정보시트"/>
      <sheetName val="임율"/>
      <sheetName val="전시사인집계"/>
      <sheetName val="수량"/>
      <sheetName val="목록"/>
      <sheetName val="단가"/>
      <sheetName val="내역(영일)"/>
      <sheetName val="G.R300경비"/>
      <sheetName val="관급_File"/>
      <sheetName val="부하LOAD"/>
      <sheetName val="ITEM"/>
      <sheetName val="인건비"/>
      <sheetName val="부하(성남)"/>
      <sheetName val="부대내역"/>
      <sheetName val="OPT7"/>
      <sheetName val="외천교"/>
      <sheetName val="종배수관"/>
      <sheetName val="Total"/>
      <sheetName val="발신정보"/>
      <sheetName val="갑"/>
      <sheetName val="실정공사비단가표"/>
      <sheetName val=" 총괄표"/>
      <sheetName val="단가 및 재료비"/>
      <sheetName val="중기사용료산출근거"/>
      <sheetName val="단가표"/>
      <sheetName val="설계기준"/>
      <sheetName val="내역1"/>
      <sheetName val="역T형교대(말뚝기초)"/>
      <sheetName val="토적표"/>
      <sheetName val="1.일위대가"/>
      <sheetName val="날개벽"/>
      <sheetName val="정공공사"/>
      <sheetName val="호남2"/>
      <sheetName val="소요자재"/>
      <sheetName val="10월가격"/>
      <sheetName val="기타유틸리티설비"/>
      <sheetName val="명세서"/>
      <sheetName val="일위대가목록"/>
      <sheetName val="한전고리-을"/>
      <sheetName val="2F_회의실견적(5_14_일대)"/>
      <sheetName val="SBarch산근"/>
      <sheetName val="예총"/>
      <sheetName val="CTEMCOST"/>
      <sheetName val="일위총괄표"/>
      <sheetName val="소방"/>
      <sheetName val="건축-물가변동"/>
      <sheetName val="공량서"/>
      <sheetName val="기관"/>
      <sheetName val="257A1"/>
      <sheetName val="교환노무"/>
      <sheetName val="K1자재(3차등)"/>
      <sheetName val="Sheet3"/>
      <sheetName val="금호"/>
      <sheetName val="실행철강하도"/>
      <sheetName val="COVER"/>
      <sheetName val="약품공급2"/>
      <sheetName val="운동장 (2)"/>
      <sheetName val="Sheet4"/>
      <sheetName val="유기공정"/>
      <sheetName val="DATE"/>
      <sheetName val="업무분장 "/>
      <sheetName val="공통"/>
      <sheetName val="총괄"/>
      <sheetName val="우각부보강"/>
      <sheetName val="판매96"/>
      <sheetName val="직재"/>
      <sheetName val="price"/>
      <sheetName val="배수공 시멘트 및 골재량 산출"/>
      <sheetName val="WORK"/>
      <sheetName val="DATA"/>
      <sheetName val="산출내역서"/>
      <sheetName val="직공비"/>
      <sheetName val="Piping Design Data"/>
      <sheetName val="원가계산서"/>
      <sheetName val="SCH"/>
      <sheetName val="물량산출근거"/>
      <sheetName val="단위수량"/>
      <sheetName val="가시설수량"/>
      <sheetName val="관급자재대"/>
      <sheetName val="입찰안"/>
      <sheetName val="도급"/>
      <sheetName val="저리조양"/>
      <sheetName val="사통"/>
      <sheetName val="공통가설"/>
      <sheetName val="Macro(차단기)"/>
      <sheetName val="순공사비"/>
      <sheetName val="실행비교"/>
      <sheetName val="Project Brief"/>
      <sheetName val="각형맨홀"/>
      <sheetName val="가설건물"/>
      <sheetName val="SANBAISU"/>
      <sheetName val="SANTOGO"/>
      <sheetName val="차액보증"/>
      <sheetName val="JUCK"/>
      <sheetName val="인사자료총집계"/>
      <sheetName val="노원열병합  건축공사기성내역서"/>
      <sheetName val="PANEL_중량산출1"/>
      <sheetName val="조도계산서_(도서)"/>
      <sheetName val="원가_(2)1"/>
      <sheetName val="내역서1999_8최종"/>
      <sheetName val="전차선로_물량표"/>
      <sheetName val="Piping_Design_Data"/>
      <sheetName val="6PILE__(돌출)"/>
      <sheetName val="CT_"/>
      <sheetName val="실행내역서_"/>
      <sheetName val="2_대외공문"/>
      <sheetName val="1_토공집계표"/>
      <sheetName val="제출내역_(2)"/>
      <sheetName val="단가_(2)"/>
      <sheetName val="표지"/>
      <sheetName val="소비자가"/>
      <sheetName val="부하계산서"/>
      <sheetName val="산출근거#2-3"/>
      <sheetName val="일보"/>
      <sheetName val="현장지지물물량"/>
      <sheetName val="사업장공제"/>
      <sheetName val="산근"/>
      <sheetName val="단면치수"/>
      <sheetName val="기판현황  "/>
      <sheetName val="OH공량old"/>
      <sheetName val="PROCESS"/>
      <sheetName val="6호기"/>
      <sheetName val="재무가정"/>
      <sheetName val="anaysis_sheet"/>
      <sheetName val=" HIT-&gt;HMC 견적(3900)"/>
      <sheetName val="인제내역"/>
      <sheetName val="교통대책내역"/>
      <sheetName val="재집"/>
      <sheetName val="유림골조"/>
      <sheetName val="설계내역서"/>
      <sheetName val="인테리어세부내역"/>
      <sheetName val="한강운반비"/>
      <sheetName val="T13(P68~72,78)"/>
      <sheetName val="예산결제란"/>
      <sheetName val="관급"/>
      <sheetName val="WIND"/>
      <sheetName val="소상 &quot;1&quot;"/>
      <sheetName val="MFAB"/>
      <sheetName val="MFRT"/>
      <sheetName val="MPKG"/>
      <sheetName val="MPRD"/>
      <sheetName val="견적내용입력"/>
      <sheetName val="List"/>
      <sheetName val="8.PILE  (돌출)"/>
      <sheetName val="001"/>
      <sheetName val="PROJECT BRIEF(EX.NEW)"/>
      <sheetName val="공사개요"/>
      <sheetName val="참고"/>
      <sheetName val="갑지(추정)"/>
      <sheetName val="YES-T"/>
      <sheetName val="공통(20-91)"/>
      <sheetName val="pbs_lambda"/>
      <sheetName val="Matériel embarqué PVC"/>
      <sheetName val="MOTOR"/>
      <sheetName val="투찰"/>
      <sheetName val="해체"/>
      <sheetName val="danga"/>
      <sheetName val="ilch"/>
      <sheetName val="날개벽수량표"/>
      <sheetName val="견적3"/>
      <sheetName val="맨홀"/>
      <sheetName val="cost"/>
      <sheetName val="A-4"/>
      <sheetName val="구조물철거타공정이월"/>
      <sheetName val="분석"/>
      <sheetName val="시나리오2"/>
      <sheetName val="1기 비용"/>
      <sheetName val="시나리오"/>
      <sheetName val="xxxxxx"/>
      <sheetName val="5.모델링"/>
      <sheetName val="토사(PE)"/>
      <sheetName val="2F_회의실견적(5_14_일대)1"/>
      <sheetName val="배수공_시멘트_및_골재량_산출"/>
      <sheetName val="G_R300경비"/>
      <sheetName val="_총괄표"/>
      <sheetName val="단가_및_재료비"/>
      <sheetName val="1_일위대가"/>
      <sheetName val="운동장_(2)"/>
      <sheetName val="업무분장_"/>
      <sheetName val="PANEL_중량산출2"/>
      <sheetName val="원가_(2)2"/>
      <sheetName val="내역서1999_8최종1"/>
      <sheetName val="2F_회의실견적(5_14_일대)2"/>
      <sheetName val="실행내역서_1"/>
      <sheetName val="전차선로_물량표1"/>
      <sheetName val="6PILE__(돌출)1"/>
      <sheetName val="조도계산서_(도서)1"/>
      <sheetName val="CT_1"/>
      <sheetName val="2_대외공문1"/>
      <sheetName val="1_토공집계표1"/>
      <sheetName val="제출내역_(2)1"/>
      <sheetName val="단가_(2)1"/>
      <sheetName val="배수공_시멘트_및_골재량_산출1"/>
      <sheetName val="G_R300경비1"/>
      <sheetName val="_총괄표1"/>
      <sheetName val="단가_및_재료비1"/>
      <sheetName val="1_일위대가1"/>
      <sheetName val="운동장_(2)1"/>
      <sheetName val="업무분장_1"/>
      <sheetName val="Piping_Design_Data1"/>
      <sheetName val="VXXXXXXX"/>
      <sheetName val="표지판단위"/>
      <sheetName val="배수공"/>
      <sheetName val="암거"/>
      <sheetName val="포장공"/>
      <sheetName val="골재집계"/>
      <sheetName val="공종별 집계"/>
      <sheetName val="호안공"/>
      <sheetName val="XL4Poppy"/>
      <sheetName val="공비대비"/>
      <sheetName val="본관동"/>
      <sheetName val="후관동"/>
    </sheetNames>
    <sheetDataSet>
      <sheetData sheetId="0">
        <row r="3">
          <cell r="A3">
            <v>3</v>
          </cell>
        </row>
      </sheetData>
      <sheetData sheetId="1">
        <row r="3">
          <cell r="A3">
            <v>3</v>
          </cell>
        </row>
      </sheetData>
      <sheetData sheetId="2">
        <row r="3">
          <cell r="A3">
            <v>3</v>
          </cell>
        </row>
      </sheetData>
      <sheetData sheetId="3">
        <row r="3">
          <cell r="A3">
            <v>3</v>
          </cell>
        </row>
      </sheetData>
      <sheetData sheetId="4">
        <row r="3">
          <cell r="A3">
            <v>3</v>
          </cell>
        </row>
      </sheetData>
      <sheetData sheetId="5">
        <row r="3">
          <cell r="A3">
            <v>3</v>
          </cell>
        </row>
      </sheetData>
      <sheetData sheetId="6">
        <row r="3">
          <cell r="A3">
            <v>3</v>
          </cell>
        </row>
      </sheetData>
      <sheetData sheetId="7">
        <row r="3">
          <cell r="A3">
            <v>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YES"/>
      <sheetName val="기둥(원형)"/>
      <sheetName val="동원(3)"/>
      <sheetName val="예정(3)"/>
      <sheetName val="주형"/>
      <sheetName val="조명율표"/>
      <sheetName val="터널조도"/>
      <sheetName val="MOTOR"/>
      <sheetName val="WORK"/>
      <sheetName val="과천MAIN"/>
      <sheetName val="노무비 근거"/>
      <sheetName val="Sheet2"/>
      <sheetName val="DATA"/>
      <sheetName val="H-PILE수량집계"/>
      <sheetName val="ABUT수량-A1"/>
      <sheetName val="Sheet1 (2)"/>
      <sheetName val="3차설계"/>
      <sheetName val="단가비교표"/>
      <sheetName val="1.설계기준"/>
      <sheetName val="노임"/>
      <sheetName val="현황CODE"/>
      <sheetName val="손익현황"/>
      <sheetName val="옹벽"/>
      <sheetName val="3.바닥판설계"/>
      <sheetName val="동력부하(도산)"/>
      <sheetName val="기술자료 (연수)"/>
      <sheetName val="Sheet1"/>
      <sheetName val="수안보-MBR1"/>
      <sheetName val="工완성공사율"/>
      <sheetName val="Macro(차단기)"/>
      <sheetName val="연습장소"/>
      <sheetName val="밸브설치"/>
      <sheetName val="JUCK"/>
      <sheetName val="시공계획"/>
      <sheetName val="데이타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소방사항"/>
      <sheetName val="ITEM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견적서"/>
      <sheetName val="호계"/>
      <sheetName val="제암"/>
      <sheetName val="월마트"/>
      <sheetName val="월드컵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견적조건"/>
      <sheetName val="견적조건(을지)"/>
      <sheetName val="대구실행"/>
      <sheetName val="Baby일위대가"/>
      <sheetName val="일반공사"/>
      <sheetName val="을"/>
      <sheetName val="N賃率-職"/>
      <sheetName val="표지 (2)"/>
      <sheetName val="간선계산"/>
      <sheetName val="FILE1"/>
      <sheetName val="입찰안"/>
      <sheetName val="대치판정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총괄"/>
      <sheetName val="기성"/>
      <sheetName val="기성내역 진짜"/>
      <sheetName val="기성갑지"/>
      <sheetName val="총괄표"/>
      <sheetName val="2회기성사정"/>
      <sheetName val="3회기성갑지"/>
      <sheetName val="3회총괄"/>
      <sheetName val="3회기성"/>
      <sheetName val="TRE TABLE"/>
      <sheetName val="토목"/>
      <sheetName val="설계예산서"/>
      <sheetName val="수량집계"/>
      <sheetName val="EACT10"/>
      <sheetName val="가로등내역서"/>
      <sheetName val="수량산출서"/>
      <sheetName val="2000.11월설계내역"/>
      <sheetName val="#REF"/>
      <sheetName val="터파기및재료"/>
      <sheetName val="집계표"/>
      <sheetName val="단가"/>
      <sheetName val="말뚝지지력산정"/>
      <sheetName val="전선 및 전선관"/>
      <sheetName val="실행철강하도"/>
      <sheetName val="내역서2안"/>
      <sheetName val="단가산출"/>
      <sheetName val="소야공정계획표"/>
      <sheetName val="준검 내역서"/>
      <sheetName val="단가조사"/>
      <sheetName val="6호기"/>
      <sheetName val="봉양~조차장간고하개명(신설)"/>
      <sheetName val="수량산출"/>
      <sheetName val="내역"/>
      <sheetName val="보증수수료산출"/>
      <sheetName val="주상도"/>
      <sheetName val="설계가"/>
      <sheetName val="- INFORMATION -"/>
      <sheetName val="현금"/>
      <sheetName val="현장"/>
      <sheetName val="t형"/>
      <sheetName val="BID"/>
      <sheetName val="점수계산1-2"/>
      <sheetName val="총계"/>
      <sheetName val="조건"/>
      <sheetName val="설비"/>
      <sheetName val="설계조건"/>
      <sheetName val="인건-측정"/>
      <sheetName val="MACRO(전선관)"/>
      <sheetName val="Ampecity Data"/>
      <sheetName val="품셈"/>
      <sheetName val="6PILE  (돌출)"/>
      <sheetName val="설계내역서"/>
      <sheetName val="현장관리비집계표"/>
      <sheetName val="Macro1"/>
      <sheetName val="내역(설계)"/>
      <sheetName val="예산변경사항"/>
      <sheetName val="대비"/>
      <sheetName val="직공비"/>
      <sheetName val="부대공사비"/>
      <sheetName val="직노"/>
      <sheetName val="실행내역"/>
      <sheetName val="200"/>
      <sheetName val="2F 회의실견적(5_14 일대)"/>
      <sheetName val="부하계산서"/>
      <sheetName val="식생블럭단위수량"/>
      <sheetName val="을지"/>
      <sheetName val="기초단가"/>
      <sheetName val="0.집계"/>
      <sheetName val="가로등부표"/>
      <sheetName val="001"/>
      <sheetName val="산출내역서집계표"/>
      <sheetName val="노무비"/>
      <sheetName val="본선차로수량집계표"/>
      <sheetName val="기계경비"/>
      <sheetName val="단가 및 재료비"/>
      <sheetName val="INPUT"/>
      <sheetName val="하조서"/>
      <sheetName val="1.수인터널"/>
      <sheetName val="가로등"/>
      <sheetName val="공사비예산서(토목분)"/>
      <sheetName val="수목데이타 "/>
      <sheetName val="변압기 및 발전기 용량"/>
      <sheetName val="일위대가(목록)"/>
      <sheetName val="재료비"/>
      <sheetName val="참고"/>
      <sheetName val="공사개요"/>
      <sheetName val="각형맨홀"/>
      <sheetName val="수목단가"/>
      <sheetName val="시설수량표"/>
      <sheetName val="식재수량표"/>
      <sheetName val="일위목록"/>
      <sheetName val="자재단가"/>
      <sheetName val="2000년1차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DANGA"/>
      <sheetName val="BQ"/>
      <sheetName val="일위대가(가설)"/>
      <sheetName val="BID-도로"/>
      <sheetName val="실행내역서"/>
      <sheetName val="설 계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JUCKEYK"/>
      <sheetName val="연습"/>
      <sheetName val="수주현황2월"/>
      <sheetName val="토공유동표"/>
      <sheetName val="교각계산"/>
      <sheetName val="단면 (2)"/>
      <sheetName val="ASP포장"/>
      <sheetName val="단가산출서(기계)"/>
      <sheetName val="정부노임단가"/>
      <sheetName val="내역서(전기)"/>
      <sheetName val="3BL공동구 수량"/>
      <sheetName val="일위대가표"/>
      <sheetName val="에너지동"/>
      <sheetName val="Total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건축공사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8. 안정검토"/>
      <sheetName val="입력DATA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BASIC (2)"/>
      <sheetName val="MCC제원"/>
      <sheetName val="Piping Design Data"/>
      <sheetName val="종배수관"/>
      <sheetName val="여흥"/>
      <sheetName val="현장지지물물량"/>
      <sheetName val="wall"/>
      <sheetName val="H PILE수량"/>
      <sheetName val="TC표지"/>
      <sheetName val="2003상반기노임기준"/>
      <sheetName val="중기조종사 단위단가"/>
      <sheetName val="UNIT"/>
      <sheetName val="48신설수량"/>
      <sheetName val="통합"/>
      <sheetName val="BOX"/>
      <sheetName val="산출(전주P7)"/>
      <sheetName val="9GNG운반"/>
      <sheetName val="전기일위대가"/>
      <sheetName val="설직재-1"/>
      <sheetName val="20관리비율"/>
      <sheetName val="2006기계경비산출표"/>
      <sheetName val="2공구수량"/>
      <sheetName val="cost"/>
      <sheetName val="sw1"/>
      <sheetName val="일위대가표(유단가)"/>
      <sheetName val="적용(기계)"/>
      <sheetName val="총괄집계표"/>
      <sheetName val="DATA1"/>
      <sheetName val="점검총괄"/>
      <sheetName val="자재목록"/>
      <sheetName val="신우"/>
      <sheetName val="옹벽수량집계"/>
      <sheetName val="자재단가표"/>
      <sheetName val="고창터널(고창방향)"/>
      <sheetName val="부속동"/>
      <sheetName val="입찰결과(DATA)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CABLE SIZE-3"/>
      <sheetName val="EQUIP-H"/>
      <sheetName val="경비_원본"/>
      <sheetName val="공구원가계산"/>
      <sheetName val="기계경비시간당손료목록"/>
      <sheetName val="1차증가원가계산"/>
      <sheetName val="가감수량"/>
      <sheetName val="맨홀수량산출"/>
      <sheetName val="단가조사서"/>
      <sheetName val="관로"/>
      <sheetName val="A-4"/>
      <sheetName val="AS포장복구 "/>
      <sheetName val="간접1"/>
      <sheetName val="통장출금액"/>
      <sheetName val="기계경비(시간당)"/>
      <sheetName val="램머"/>
      <sheetName val="단면(RW1)"/>
      <sheetName val="시설물일위"/>
      <sheetName val="비교표"/>
      <sheetName val="소비자가"/>
      <sheetName val="ilch"/>
      <sheetName val="IMP(MAIN)"/>
      <sheetName val="IMP (REACTOR)"/>
      <sheetName val="차액보증"/>
      <sheetName val="오산갈곳"/>
      <sheetName val="맨홀수량집계"/>
      <sheetName val="날개벽(TYPE3)"/>
      <sheetName val="안정계산"/>
      <sheetName val="단면검토"/>
      <sheetName val="원가"/>
      <sheetName val="VA_code"/>
      <sheetName val="2000전체분"/>
      <sheetName val="일반수량"/>
      <sheetName val="말뚝물량"/>
      <sheetName val="공종별원가계산"/>
      <sheetName val="말고개터널조명전압강하"/>
      <sheetName val="물가자료"/>
      <sheetName val="품의서"/>
      <sheetName val="물가시세"/>
      <sheetName val="SG"/>
      <sheetName val="전신환매도율"/>
      <sheetName val="원가계산서 (총괄)"/>
      <sheetName val="원가계산서 (건축)"/>
      <sheetName val="(총괄집계)"/>
      <sheetName val="방음벽기초(H=4m)"/>
      <sheetName val="우수맨홀공제단위수량"/>
      <sheetName val="예산갑지"/>
      <sheetName val="제수변수량"/>
      <sheetName val="공기변수량"/>
      <sheetName val="포장공"/>
      <sheetName val="상수도토공집계표"/>
      <sheetName val="PO-BOQ"/>
      <sheetName val="일반수량총괄"/>
      <sheetName val="외주"/>
      <sheetName val="구조물철거타공정이월"/>
      <sheetName val="의왕내역"/>
      <sheetName val="입출재고현황 (2)"/>
      <sheetName val="변경비교-을"/>
      <sheetName val=" 상부공통집계(총괄)"/>
      <sheetName val="참조-(1)"/>
      <sheetName val="인건비 "/>
      <sheetName val="AILC004"/>
      <sheetName val="연결관산출조서"/>
      <sheetName val="단가일람"/>
      <sheetName val="조경일람"/>
      <sheetName val="일위대가목록"/>
      <sheetName val="BOX전기내역"/>
      <sheetName val="하수급견적대비"/>
      <sheetName val="간접비"/>
      <sheetName val="9-1차이내역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대창(함평)-창열"/>
      <sheetName val="대창(장성)"/>
      <sheetName val="경비2내역"/>
      <sheetName val="현장관리비내역서"/>
      <sheetName val="포장복구집계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교대(A1-A2)"/>
      <sheetName val="정화조동내역"/>
      <sheetName val="45,46"/>
      <sheetName val="교대(A1)"/>
      <sheetName val="단위수량"/>
      <sheetName val="관리사무소"/>
      <sheetName val="대구-교대(A1-A2)"/>
      <sheetName val="원형1호맨홀토공수량"/>
      <sheetName val="REACTION(USD지진시)"/>
      <sheetName val="안정검토"/>
      <sheetName val="REACTION(USE평시)"/>
      <sheetName val="일위대가표 (2)"/>
      <sheetName val="단가대비표"/>
      <sheetName val="Testing"/>
      <sheetName val="계화배수"/>
      <sheetName val="I一般比"/>
      <sheetName val="조명시설"/>
      <sheetName val="방음벽 기초 일반수량"/>
      <sheetName val="I.설계조건"/>
      <sheetName val="단면가정"/>
      <sheetName val="부재력정리"/>
      <sheetName val="BLOCK(1)"/>
      <sheetName val="단면치수"/>
      <sheetName val="NEYOK"/>
      <sheetName val="토목내역"/>
      <sheetName val="건축"/>
      <sheetName val="단가산출서 (2)"/>
      <sheetName val="단가산출서"/>
      <sheetName val="Sheet17"/>
      <sheetName val="재정비직인"/>
      <sheetName val="재정비내역"/>
      <sheetName val="지적고시내역"/>
      <sheetName val="철거산출근거"/>
      <sheetName val="단위단가"/>
      <sheetName val="금리계산"/>
      <sheetName val="부대공Ⅱ"/>
      <sheetName val="98NS-N"/>
      <sheetName val="3.공통공사대비"/>
      <sheetName val="90.03실행 "/>
      <sheetName val="자료입력"/>
      <sheetName val="제-노임"/>
      <sheetName val="제직재"/>
      <sheetName val="96보완계획7.12"/>
      <sheetName val="지진시"/>
      <sheetName val="토량산출서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영업소실적"/>
      <sheetName val="공사진행"/>
      <sheetName val="견적서(대외) (2)"/>
      <sheetName val="기초자료"/>
      <sheetName val="Project Brief"/>
      <sheetName val="Pier 3"/>
      <sheetName val="Stem Footing"/>
      <sheetName val="토목검측서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BJJIN"/>
      <sheetName val="제품별"/>
      <sheetName val="금액내역서"/>
      <sheetName val="철근량 검토"/>
      <sheetName val="원가계산서"/>
      <sheetName val="기초코드"/>
      <sheetName val="총괄내역서"/>
      <sheetName val="일위대가 집계표"/>
      <sheetName val="횡배수관토공수량"/>
      <sheetName val="품셈TABLE"/>
      <sheetName val="지급자재"/>
      <sheetName val="하중계산"/>
      <sheetName val="DATE"/>
      <sheetName val="유기공정"/>
      <sheetName val="STBOX"/>
      <sheetName val="우각부보강"/>
      <sheetName val="nys"/>
      <sheetName val="기준액"/>
      <sheetName val="교량하부공"/>
      <sheetName val="guard(mac)"/>
      <sheetName val="품셈표"/>
      <sheetName val="부대대비"/>
      <sheetName val="냉연집계"/>
      <sheetName val="BSD (2)"/>
      <sheetName val="산출내역서"/>
      <sheetName val="저"/>
      <sheetName val="SLAB&quot;1&quot;"/>
      <sheetName val="경상비"/>
      <sheetName val="와동25-3(변경)"/>
      <sheetName val="기계"/>
      <sheetName val="TYPE-A"/>
      <sheetName val="__MAIN"/>
      <sheetName val="°úÃµMAIN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CTEMCOST"/>
      <sheetName val="Mc1"/>
      <sheetName val="2000,9월 일위"/>
      <sheetName val="물량산출근거"/>
      <sheetName val="CONCRETE"/>
      <sheetName val="설산1.나"/>
      <sheetName val="본사S"/>
      <sheetName val="전압강하계산"/>
      <sheetName val="D-3503"/>
      <sheetName val="8.PILE  (돌출)"/>
      <sheetName val="70%"/>
      <sheetName val="본체"/>
      <sheetName val="부안일위"/>
      <sheetName val="7.1유효폭"/>
      <sheetName val="가공비"/>
      <sheetName val="공사기본자료"/>
      <sheetName val="변경서식"/>
      <sheetName val="1SPAN"/>
      <sheetName val="원본"/>
      <sheetName val="노임이"/>
      <sheetName val="확정실적"/>
      <sheetName val="NOMUBI"/>
      <sheetName val="부산4"/>
      <sheetName val="갑지1"/>
      <sheetName val="연부97-1"/>
      <sheetName val="일위집계표"/>
      <sheetName val="5.정산서"/>
      <sheetName val="약품설비"/>
      <sheetName val="물량표"/>
      <sheetName val="견적대비"/>
      <sheetName val="견적의뢰서"/>
      <sheetName val="목동1절주.bh0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/>
      <sheetData sheetId="196" refreshError="1"/>
      <sheetData sheetId="197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/>
      <sheetData sheetId="232" refreshError="1"/>
      <sheetData sheetId="233" refreshError="1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터널조도"/>
      <sheetName val="ABUT수량_A1"/>
      <sheetName val="중산교"/>
      <sheetName val="4)유동표"/>
      <sheetName val="총괄내역서"/>
      <sheetName val="노임"/>
      <sheetName val="식재총괄"/>
      <sheetName val="예정(3)"/>
      <sheetName val="동원(3)"/>
      <sheetName val="수안보-MBR1"/>
      <sheetName val="입찰안"/>
      <sheetName val="일위"/>
      <sheetName val="설계"/>
      <sheetName val="신기1-LINE별연장"/>
      <sheetName val="대치판정"/>
      <sheetName val="6PILE  (돌출)"/>
      <sheetName val="계산중"/>
      <sheetName val="횡배위치"/>
      <sheetName val="DATE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PIER수량m1"/>
      <sheetName val="tggwan(mac)"/>
      <sheetName val="1.설계조건"/>
      <sheetName val="Sheet1"/>
      <sheetName val="우각부보강"/>
      <sheetName val="NOMUBI"/>
      <sheetName val="sw1"/>
      <sheetName val="ETC"/>
      <sheetName val="자재단가"/>
      <sheetName val="토량산출서"/>
      <sheetName val="종배수관"/>
      <sheetName val="기본DATA"/>
      <sheetName val="MOTOR"/>
      <sheetName val="200"/>
      <sheetName val="실행철강하도"/>
      <sheetName val="배수장토목공사비"/>
      <sheetName val="별표집계"/>
      <sheetName val="#REF"/>
      <sheetName val="원가"/>
      <sheetName val="J형측구단위수량"/>
      <sheetName val="원형1호맨홀토공수량"/>
      <sheetName val="Macro(차단기)"/>
      <sheetName val="인건-측정"/>
      <sheetName val="설비"/>
      <sheetName val="Sheet1 (2)"/>
      <sheetName val="말뚝지지력산정"/>
      <sheetName val="1SPAN"/>
      <sheetName val="바닥판"/>
      <sheetName val="옹벽철근"/>
      <sheetName val="단위수량(출력X)"/>
      <sheetName val="수량집계"/>
      <sheetName val="INPUT"/>
      <sheetName val="일위대가"/>
      <sheetName val="청천내"/>
      <sheetName val="주형"/>
      <sheetName val="전신환매도율"/>
      <sheetName val="단위중량"/>
      <sheetName val="단면치수"/>
      <sheetName val="단위수량"/>
      <sheetName val="내역서(당초변경)"/>
      <sheetName val="SORCE1"/>
      <sheetName val="내역서"/>
      <sheetName val="A-4"/>
      <sheetName val="제수"/>
      <sheetName val="통합"/>
      <sheetName val="ASP포장"/>
      <sheetName val="이토변실(A3-LINE)"/>
      <sheetName val="토사(PE)"/>
      <sheetName val="가시설단위수량"/>
      <sheetName val="수질정화시설"/>
      <sheetName val="노임이"/>
      <sheetName val="EACT10"/>
      <sheetName val="기초계산(Pmax)"/>
      <sheetName val="지장물C"/>
      <sheetName val="1-1평균터파기고(1)"/>
      <sheetName val="정부노임단가"/>
      <sheetName val="ⴭⴭⴭⴭ"/>
      <sheetName val="입출재고현황 (2)"/>
      <sheetName val="데리네이타현황"/>
      <sheetName val="실행비교"/>
      <sheetName val="자재단가비교표"/>
      <sheetName val="대로근거"/>
      <sheetName val="중로근거"/>
      <sheetName val="SG"/>
      <sheetName val="약품설비"/>
      <sheetName val="부하계산서"/>
      <sheetName val="적용단위길이"/>
      <sheetName val="터파기및재료"/>
      <sheetName val="좌측"/>
      <sheetName val="주방환기"/>
      <sheetName val="노임단가"/>
      <sheetName val="Sheet2"/>
      <sheetName val="제잡비.xls"/>
      <sheetName val="ITEM"/>
      <sheetName val="TYPE-A"/>
      <sheetName val="眞비상(진주)"/>
      <sheetName val="일위_파일"/>
      <sheetName val="신표지1"/>
      <sheetName val="당초내역서"/>
      <sheetName val="배수공1"/>
      <sheetName val="토공"/>
      <sheetName val="Sheet17"/>
      <sheetName val="U-TYPE(1)"/>
      <sheetName val="철근단면적"/>
      <sheetName val="국공유지및사유지"/>
      <sheetName val="흄관기초"/>
      <sheetName val="DATA"/>
      <sheetName val="집계장(대목_실행)"/>
      <sheetName val="전계가"/>
      <sheetName val="품셈TABLE"/>
      <sheetName val="횡배수관토공수량"/>
      <sheetName val="9GNG운반"/>
      <sheetName val="용소리교"/>
      <sheetName val="1-1"/>
      <sheetName val="물가시세"/>
      <sheetName val="말뚝기초"/>
      <sheetName val="JUCKEYK"/>
      <sheetName val="도근좌표"/>
      <sheetName val="단면 (2)"/>
      <sheetName val="J直材4"/>
      <sheetName val="산출근거"/>
      <sheetName val="상수도토공집계표"/>
      <sheetName val="쌍송교"/>
      <sheetName val="3련 BOX"/>
      <sheetName val="배수통관토공수량"/>
      <sheetName val="입찰"/>
      <sheetName val="현경"/>
      <sheetName val="변경집계표"/>
      <sheetName val="부속동"/>
      <sheetName val="내역"/>
      <sheetName val="백호우계수"/>
      <sheetName val="BID"/>
      <sheetName val="EQUIP LIST"/>
      <sheetName val="깨기"/>
      <sheetName val="기둥(원형)"/>
      <sheetName val="우배수"/>
      <sheetName val="지장물"/>
      <sheetName val="설계내역서"/>
      <sheetName val="제-노임"/>
      <sheetName val="제직재"/>
      <sheetName val="COPING"/>
      <sheetName val="2000년1차"/>
      <sheetName val="일반공사"/>
      <sheetName val="토공1차"/>
      <sheetName val="실행내역서"/>
      <sheetName val="설계조건"/>
      <sheetName val="배수공 주요자재 집계표"/>
      <sheetName val="토지조서"/>
      <sheetName val="토지평가조서(발송용)"/>
      <sheetName val="토지가격산출근거(발송용)"/>
      <sheetName val="토지가격산출근거"/>
      <sheetName val="2009.06지가변동율"/>
      <sheetName val="2006 표준지공시지가"/>
      <sheetName val="제시액조서(토지)"/>
      <sheetName val="기타요인 산출근거"/>
      <sheetName val="리스(CIF)산출"/>
      <sheetName val="토지평가조서"/>
      <sheetName val="단가"/>
      <sheetName val="계약서"/>
      <sheetName val="집1"/>
      <sheetName val="조도계산서 (도서)"/>
      <sheetName val="안정계산"/>
      <sheetName val="단면검토"/>
      <sheetName val="우수"/>
      <sheetName val="지급자재"/>
      <sheetName val="L형옹벽단위수량(25)"/>
      <sheetName val="L형옹벽단위수량(35)"/>
      <sheetName val="3BL공동구 수량"/>
      <sheetName val="일반맨홀수량집계"/>
      <sheetName val="플랜트 설치"/>
      <sheetName val="충주"/>
      <sheetName val="상 부"/>
      <sheetName val="가시설수량"/>
      <sheetName val="기존"/>
      <sheetName val="수량"/>
      <sheetName val="토목공사일반"/>
      <sheetName val="DIAPHRAGM"/>
      <sheetName val="물량집계"/>
      <sheetName val="FOOTING단면력"/>
      <sheetName val="교각1"/>
      <sheetName val="차선도색현황"/>
      <sheetName val="capbeam(1)"/>
      <sheetName val="방음벽기초(H=4m)"/>
      <sheetName val="식생블럭단위수량"/>
      <sheetName val="자압"/>
      <sheetName val="공사내역"/>
      <sheetName val="연결임시"/>
      <sheetName val="반중력식옹벽"/>
      <sheetName val="금액내역서"/>
      <sheetName val="8.PILE  (돌출)"/>
      <sheetName val="위치조서"/>
      <sheetName val="주beam"/>
      <sheetName val="편입조서"/>
      <sheetName val="anaysis_sheet"/>
      <sheetName val="단 box"/>
      <sheetName val="전체내역 (2)"/>
      <sheetName val="인건비 "/>
      <sheetName val="1호맨홀토공"/>
      <sheetName val="집수정(600-700)"/>
      <sheetName val="직노"/>
      <sheetName val="장비집계"/>
      <sheetName val="경비단가"/>
      <sheetName val="변화치수"/>
      <sheetName val="70%"/>
      <sheetName val="공용시설내역"/>
      <sheetName val="일위대가목차"/>
      <sheetName val="날개벽"/>
      <sheetName val="MFAB"/>
      <sheetName val="MFRT"/>
      <sheetName val="MPKG"/>
      <sheetName val="MPRD"/>
      <sheetName val="자료입력"/>
      <sheetName val="현장관리비 산출내역"/>
      <sheetName val="단가비교표"/>
      <sheetName val="도장수량(하1)"/>
      <sheetName val="화산경계"/>
      <sheetName val="일위대가표"/>
      <sheetName val="단면가정"/>
      <sheetName val="기초1"/>
      <sheetName val="공사비집계"/>
      <sheetName val="증감대비"/>
      <sheetName val="샌딩 에폭시 도장"/>
      <sheetName val="2.단면가정"/>
      <sheetName val="농로수량집계"/>
      <sheetName val="농로토공집계"/>
      <sheetName val="L형 옹벽"/>
      <sheetName val="수량산출"/>
      <sheetName val="안전노무비(3월)"/>
      <sheetName val="단가조사서"/>
      <sheetName val="용수량(생활용수)"/>
      <sheetName val="지구단위계획"/>
      <sheetName val="양식"/>
      <sheetName val="인건비"/>
      <sheetName val="산출내역서집계표"/>
      <sheetName val="가설건물"/>
      <sheetName val="CALCULATION"/>
      <sheetName val="조정금액결과표 (차수별)"/>
      <sheetName val="Sheet5"/>
      <sheetName val="단중표"/>
      <sheetName val="노무비"/>
      <sheetName val="외천교"/>
      <sheetName val="SCH"/>
      <sheetName val="관로공수량집계표(본선)"/>
      <sheetName val="98수문일위"/>
      <sheetName val="하수급견적대비"/>
      <sheetName val="공사개요"/>
      <sheetName val="IMPEADENCE MAP 취수장"/>
      <sheetName val="전력구구조물산근2구간"/>
      <sheetName val="PROJECT BRIEF(EX.NEW)"/>
      <sheetName val="부하(성남)"/>
      <sheetName val="단가비교"/>
      <sheetName val="2000년하반기"/>
      <sheetName val="배수내역 (2)"/>
      <sheetName val="기초자료"/>
      <sheetName val="평균터파기고(1-2,ASP)"/>
      <sheetName val="입력DATA"/>
      <sheetName val="Macro1"/>
      <sheetName val="8-3기계경비"/>
      <sheetName val="공량산출서"/>
      <sheetName val="조명시설"/>
      <sheetName val="조도계산(1)"/>
      <sheetName val="일위대가(계측기설치)"/>
      <sheetName val="부안변전"/>
      <sheetName val="차액보증"/>
      <sheetName val="1공구내역서(1)"/>
      <sheetName val="부대내역"/>
      <sheetName val="A(Rev.3)"/>
      <sheetName val="가도공"/>
      <sheetName val="배수통관(좌)"/>
      <sheetName val="원형측구(B-type)"/>
      <sheetName val="단가대비표"/>
      <sheetName val="진접"/>
      <sheetName val="중기일위대가"/>
      <sheetName val="입력"/>
      <sheetName val="수목단가"/>
      <sheetName val="시설수량표"/>
      <sheetName val="ilch"/>
      <sheetName val="코드표"/>
      <sheetName val="집수정"/>
      <sheetName val="4.구조물boq"/>
      <sheetName val="POOM_MOTO"/>
      <sheetName val="계산식"/>
      <sheetName val="견적접수"/>
      <sheetName val="기초별표"/>
      <sheetName val="횡배수관"/>
      <sheetName val="Stem Footing"/>
      <sheetName val="97노임단가"/>
      <sheetName val="b_balju_cho"/>
      <sheetName val="도로토적"/>
      <sheetName val="HANDHOLE(2)"/>
      <sheetName val="기초공"/>
      <sheetName val="맨홀수량"/>
      <sheetName val="BOX(1.5X1.5)"/>
      <sheetName val="회사정보"/>
      <sheetName val="견적서"/>
      <sheetName val="깨기 총괄"/>
      <sheetName val="1.설계기준"/>
      <sheetName val="양수장내역"/>
      <sheetName val="부대공사비"/>
      <sheetName val="변경서식"/>
      <sheetName val="guard(mac)"/>
      <sheetName val="cost"/>
      <sheetName val="WORK"/>
      <sheetName val="A LINE"/>
      <sheetName val="취수탑"/>
      <sheetName val="건축-물가변동"/>
      <sheetName val="1,2공구원가계산서"/>
      <sheetName val="2공구산출내역"/>
      <sheetName val="1공구산출내역서"/>
      <sheetName val="투찰내역"/>
      <sheetName val="공기"/>
      <sheetName val="조건표"/>
      <sheetName val="N賃率-職"/>
      <sheetName val="대창(함평)-창열"/>
      <sheetName val="대창(장성)"/>
      <sheetName val="토공정보"/>
      <sheetName val="오동"/>
      <sheetName val="대조"/>
      <sheetName val="나한"/>
      <sheetName val="날개벽(TYPE2)"/>
      <sheetName val="포장공"/>
      <sheetName val="고창방향"/>
      <sheetName val="입력값"/>
      <sheetName val="측구집계"/>
      <sheetName val="설계기준 및 하중계산"/>
      <sheetName val="일위(PN)"/>
      <sheetName val="Sheet3"/>
      <sheetName val="C"/>
      <sheetName val="하나모듈옥외소화전이설"/>
      <sheetName val="양수장(기계)"/>
      <sheetName val="관개"/>
      <sheetName val="Macro2"/>
      <sheetName val="총수량집계표"/>
      <sheetName val="산근"/>
      <sheetName val="단가산출"/>
      <sheetName val="전기일위목록"/>
      <sheetName val="요율"/>
      <sheetName val="표층포설및다짐"/>
      <sheetName val="기계경비"/>
      <sheetName val="000000"/>
      <sheetName val="45,46"/>
      <sheetName val="횡날개수집"/>
      <sheetName val="물질수지(2011)"/>
      <sheetName val="no_1"/>
      <sheetName val="no_2"/>
      <sheetName val="no_3"/>
      <sheetName val="no_4"/>
      <sheetName val="no_5"/>
      <sheetName val="검색"/>
      <sheetName val="내역서적용수량 (지방도893)"/>
      <sheetName val="우수맨홀공제단위수량"/>
      <sheetName val="변경후-SHEET"/>
      <sheetName val="화재 탐지 설비"/>
      <sheetName val="공사요율"/>
      <sheetName val="JUCK"/>
      <sheetName val="Type(123)"/>
      <sheetName val="상부집계표"/>
      <sheetName val="날개벽(시점좌측)"/>
      <sheetName val="PROCESS"/>
      <sheetName val="자재집게표 "/>
      <sheetName val="건축내역"/>
      <sheetName val="수량이동"/>
      <sheetName val="토공집계"/>
      <sheetName val="입찰결과보고"/>
      <sheetName val="골재산출"/>
      <sheetName val="밸브설치"/>
      <sheetName val="1_설계조건"/>
      <sheetName val="Sheet1_(2)"/>
      <sheetName val="6PILE__(돌출)"/>
      <sheetName val="출입문(C-C)수량_"/>
      <sheetName val="항목별세부내역"/>
      <sheetName val="전기 원가계산서"/>
      <sheetName val="지진시"/>
      <sheetName val="수문일1"/>
      <sheetName val="옹벽(수량)"/>
      <sheetName val="cash"/>
      <sheetName val="교각토공"/>
      <sheetName val="개별직종노임단가(2003.9)"/>
      <sheetName val="중기경유지급대장"/>
      <sheetName val="중기잡유공제"/>
      <sheetName val="중기잡유지급대장"/>
      <sheetName val="중기임차료"/>
      <sheetName val="중기경유공제"/>
      <sheetName val="PE관"/>
      <sheetName val="날개벽수량표"/>
      <sheetName val="증감내역서"/>
      <sheetName val="4.고용보험"/>
      <sheetName val="집계표"/>
      <sheetName val="가설공사비"/>
      <sheetName val="배수관토공산출"/>
      <sheetName val="역T형"/>
      <sheetName val="설계개요"/>
      <sheetName val="수입"/>
      <sheetName val="수지"/>
      <sheetName val="데이타"/>
      <sheetName val="주관사업"/>
      <sheetName val="법곳동"/>
      <sheetName val="대화동"/>
      <sheetName val="가람과비교"/>
      <sheetName val="표준지"/>
      <sheetName val="시멘트"/>
      <sheetName val="변동률산출"/>
      <sheetName val="명세표"/>
      <sheetName val="Intro2"/>
      <sheetName val="Id"/>
      <sheetName val="변수"/>
      <sheetName val="1월"/>
      <sheetName val="경비산출"/>
      <sheetName val="가시설(TYPE-A)"/>
      <sheetName val="투찰"/>
      <sheetName val="대림경상68억"/>
      <sheetName val="부안일위"/>
      <sheetName val="기술자료 (연수)"/>
      <sheetName val="1련박스"/>
      <sheetName val="1. 설계조건 2.단면가정 3. 하중계산"/>
      <sheetName val="DATA 입력란"/>
      <sheetName val="배수공"/>
      <sheetName val="암거"/>
      <sheetName val="noyim"/>
      <sheetName val="unitpric"/>
      <sheetName val="junggi"/>
      <sheetName val="일위대가모듈"/>
      <sheetName val="001"/>
      <sheetName val="내역을"/>
      <sheetName val="전기일위대가"/>
      <sheetName val="말뚝물량"/>
      <sheetName val="자료"/>
      <sheetName val="보도경계블럭"/>
      <sheetName val="Excel"/>
      <sheetName val="심사계산"/>
      <sheetName val="심사물량"/>
      <sheetName val="표지판현황"/>
      <sheetName val="세목전체"/>
      <sheetName val="SLAB&quot;1&quot;"/>
      <sheetName val="L형옹벽(key)"/>
      <sheetName val="기계경비일람"/>
      <sheetName val="포장재료(1)"/>
      <sheetName val="설 계"/>
      <sheetName val="견적내역서"/>
      <sheetName val="맨홀수량산출"/>
      <sheetName val="가압장(토목)"/>
      <sheetName val="SKETCH"/>
      <sheetName val="REINF."/>
      <sheetName val="LOADS"/>
      <sheetName val="CHECK1"/>
      <sheetName val="출입구총집계"/>
      <sheetName val="재료비"/>
      <sheetName val="횡배수관 토공량 산출"/>
      <sheetName val="MSG 수량"/>
      <sheetName val="구조물철거타공정이월"/>
      <sheetName val="평균높이산출근거"/>
      <sheetName val="card1"/>
      <sheetName val="시행후면적"/>
      <sheetName val="집계"/>
      <sheetName val="입출재고현황_(2)"/>
      <sheetName val="일위집계표"/>
      <sheetName val="암거단위"/>
      <sheetName val="횡 연장"/>
      <sheetName val="자압1"/>
      <sheetName val="수량3"/>
      <sheetName val="지중자재단가"/>
      <sheetName val="가격조사서"/>
      <sheetName val="수량산출서"/>
      <sheetName val="수공기"/>
      <sheetName val="보차도경계석"/>
      <sheetName val="단가(반정1교-원주)"/>
      <sheetName val="98지급계획"/>
      <sheetName val="피벗테이블데이터분석"/>
      <sheetName val="특수기호강도거푸집"/>
      <sheetName val="종배수관면벽신"/>
      <sheetName val="종배수관(신)"/>
      <sheetName val="인구밀도산정"/>
      <sheetName val="제수변실산출근거"/>
      <sheetName val="반중력식옹벽3.5"/>
      <sheetName val="상부수량(1)"/>
      <sheetName val="D-3109"/>
      <sheetName val="수량산출서(당초)"/>
      <sheetName val="품셈"/>
      <sheetName val="표지판단위"/>
      <sheetName val="표지"/>
      <sheetName val="현장타설맨홀수량산출"/>
      <sheetName val="3.바닥판설계"/>
      <sheetName val="20관리비율"/>
      <sheetName val="수지예산"/>
      <sheetName val="감가상각"/>
      <sheetName val="3. 지하차도 물량 집계표"/>
      <sheetName val="(A)내역서"/>
      <sheetName val="A_4"/>
      <sheetName val="대비"/>
      <sheetName val="c_balju"/>
      <sheetName val="원가계산서"/>
      <sheetName val="9902"/>
      <sheetName val="단가 및 재료비"/>
      <sheetName val="단가산출2"/>
      <sheetName val="단가산출1"/>
      <sheetName val="관공일위대가"/>
      <sheetName val="5월항목"/>
      <sheetName val="자재집계표"/>
      <sheetName val="10.1"/>
      <sheetName val="노무비단가"/>
      <sheetName val="PARAMETER"/>
      <sheetName val="LEGEND"/>
      <sheetName val="일위대가(뷔페)"/>
      <sheetName val="맨홀수량집계"/>
      <sheetName val="경비"/>
      <sheetName val="공정코드"/>
      <sheetName val="도장"/>
      <sheetName val="1"/>
      <sheetName val="건축집계"/>
      <sheetName val="INPUT-DATA"/>
      <sheetName val="물질수지"/>
      <sheetName val="공통(20-91)"/>
      <sheetName val="전차선로 물량표"/>
      <sheetName val="한강운반비"/>
      <sheetName val="자재"/>
      <sheetName val="시설물기초"/>
      <sheetName val="단가조건(02년)"/>
      <sheetName val="1호맨홀가감수량"/>
      <sheetName val="토적계산"/>
      <sheetName val="목차"/>
      <sheetName val="계수시트"/>
      <sheetName val="STEEL BOX 단면설계(SEC.8)"/>
      <sheetName val="총괄표"/>
      <sheetName val="5.모델링"/>
      <sheetName val="내역(포장)"/>
      <sheetName val="공사비예산서(토목분)"/>
      <sheetName val="경비2내역"/>
      <sheetName val="1.3.1절점좌표"/>
      <sheetName val="1.1설계기준"/>
      <sheetName val="98비정기소모"/>
      <sheetName val="표  지"/>
      <sheetName val="받이단위량"/>
      <sheetName val="1호맨홀수량산출"/>
      <sheetName val="토목내역서"/>
      <sheetName val="일반맨홀수량집계(A-7 LINE)"/>
      <sheetName val="가압장구체수량산출서"/>
      <sheetName val="Dae_Jiju"/>
      <sheetName val="시화점실행"/>
      <sheetName val="출입문(C-C)수량_4"/>
      <sheetName val="출입문(C-C)수량_1"/>
      <sheetName val="출입문(C-C)수량_2"/>
      <sheetName val="출입문(C-C)수량_3"/>
      <sheetName val="제원.설계조건"/>
      <sheetName val="기기리스트"/>
      <sheetName val="공사비 내역 (가)"/>
      <sheetName val="토공(우물통,기타) "/>
      <sheetName val="P-산#1-1(WOWA1)"/>
      <sheetName val="woo(mac)"/>
      <sheetName val="일위목록"/>
      <sheetName val="품셈총괄표"/>
      <sheetName val="총괄설계내역서"/>
      <sheetName val="간선계산"/>
      <sheetName val="PIPE"/>
      <sheetName val="FLANGE"/>
      <sheetName val="VALVE"/>
      <sheetName val="횡배수관수량집계"/>
      <sheetName val="포장공사"/>
      <sheetName val="견적대비표"/>
      <sheetName val="수원역(전체분)설계서"/>
      <sheetName val="과천MAIN"/>
      <sheetName val="nys"/>
      <sheetName val="토적계산서"/>
      <sheetName val="수리계산(2021)"/>
      <sheetName val="05년"/>
      <sheetName val="자재조사표(참고용)"/>
      <sheetName val="품셈집계표"/>
      <sheetName val="CHITIET VL-NC"/>
      <sheetName val="DON GIA"/>
      <sheetName val="판"/>
      <sheetName val="연결관산출조서"/>
      <sheetName val="Apt내역"/>
      <sheetName val="부대시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99노임기준"/>
      <sheetName val="일위대가"/>
      <sheetName val="자재단가"/>
      <sheetName val="노무"/>
      <sheetName val="데이타"/>
      <sheetName val="식재인부"/>
      <sheetName val="노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>
            <v>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수량산출"/>
      <sheetName val="수량산출(음암)"/>
      <sheetName val="데이타"/>
      <sheetName val="식재인부"/>
      <sheetName val="5 일위목록"/>
      <sheetName val="7 단가조사"/>
      <sheetName val="6 일위대가"/>
      <sheetName val="13차"/>
      <sheetName val="기본단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조도"/>
      <sheetName val="부하"/>
      <sheetName val="동력"/>
      <sheetName val="변압기"/>
      <sheetName val="발전기"/>
      <sheetName val="간선"/>
      <sheetName val="APT"/>
      <sheetName val="도체상수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전기자료"/>
      <sheetName val="GEN"/>
      <sheetName val="#REF"/>
      <sheetName val="도체종-상수표"/>
      <sheetName val="_REF"/>
      <sheetName val="VXXXXX"/>
      <sheetName val="Analyzer"/>
      <sheetName val="Press"/>
      <sheetName val="level"/>
      <sheetName val="Temp"/>
      <sheetName val="Flow"/>
      <sheetName val="DR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일위"/>
      <sheetName val="가시설단위수량"/>
      <sheetName val="SORCE1"/>
      <sheetName val="단위수량"/>
      <sheetName val="단가 및 재료비"/>
      <sheetName val="중기사용료산출근거"/>
      <sheetName val="설계기준"/>
      <sheetName val="내역1"/>
      <sheetName val="SLAB&quot;1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본댐"/>
      <sheetName val="도수"/>
      <sheetName val="ssb"/>
      <sheetName val="증감"/>
      <sheetName val="토목"/>
      <sheetName val="국고"/>
      <sheetName val="발전"/>
      <sheetName val="건축"/>
      <sheetName val="건축내역"/>
      <sheetName val="기계"/>
      <sheetName val="전기"/>
      <sheetName val="통신"/>
      <sheetName val="집계"/>
      <sheetName val="챠트"/>
      <sheetName val="물가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정공공사"/>
      <sheetName val="수량산출"/>
      <sheetName val="1"/>
      <sheetName val="일위"/>
      <sheetName val="기본단가표"/>
      <sheetName val="단가"/>
      <sheetName val="ABUT수량-A1"/>
      <sheetName val="13차"/>
      <sheetName val="8.석축단위(H=1.5M)"/>
      <sheetName val="항목별사용내용"/>
      <sheetName val="건설산출"/>
      <sheetName val="말뚝지지력산정"/>
      <sheetName val="데이타"/>
      <sheetName val="식재인부"/>
      <sheetName val="401"/>
      <sheetName val="내역서"/>
      <sheetName val="수량산출(음암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용수량(생활용수)"/>
      <sheetName val="평가데이터"/>
      <sheetName val="공구"/>
      <sheetName val="기계경비(시간당)"/>
      <sheetName val="램머"/>
      <sheetName val="구천"/>
      <sheetName val="장비집계"/>
      <sheetName val="Sheet1"/>
      <sheetName val="말뚝지지력산정"/>
      <sheetName val="신표지1"/>
      <sheetName val="3BL공동구 수량"/>
      <sheetName val="자재집계표"/>
      <sheetName val="가중치"/>
      <sheetName val="제-노임"/>
      <sheetName val="제직재"/>
      <sheetName val="수량산출"/>
      <sheetName val="산출금액내역"/>
      <sheetName val="내역서"/>
      <sheetName val="청천내"/>
      <sheetName val="경산"/>
      <sheetName val="#REF"/>
      <sheetName val="일위"/>
      <sheetName val="기계경비"/>
      <sheetName val="9GNG운반"/>
      <sheetName val="실행철강하도"/>
      <sheetName val="현장예산"/>
      <sheetName val="예총"/>
      <sheetName val="2000년1차"/>
      <sheetName val="2000전체분"/>
      <sheetName val="집계표"/>
      <sheetName val="자재대"/>
      <sheetName val="일위대가9803"/>
      <sheetName val="DATE"/>
      <sheetName val="명세서"/>
      <sheetName val="내역"/>
      <sheetName val="설계예산서"/>
      <sheetName val="조경내역서"/>
      <sheetName val="동원인원"/>
      <sheetName val="주차구획선수량"/>
      <sheetName val="요율"/>
      <sheetName val="포장공"/>
      <sheetName val="2공구하도급내역서"/>
      <sheetName val="3.공통공사대비"/>
      <sheetName val="연결관암거"/>
      <sheetName val="총괄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TOTAL_BOQ"/>
      <sheetName val="범례표"/>
      <sheetName val="옹벽일반수량"/>
      <sheetName val="품셈집계표"/>
      <sheetName val="자재조사표"/>
      <sheetName val="Total"/>
      <sheetName val="자재단가"/>
      <sheetName val="Sheet5"/>
      <sheetName val="우수맨홀공제단위수량"/>
      <sheetName val="한강운반비"/>
      <sheetName val="신우"/>
      <sheetName val="원본(갑지)"/>
      <sheetName val="단열-자재"/>
      <sheetName val="공제수량총집계표"/>
      <sheetName val="임금단가"/>
      <sheetName val="총집계표"/>
      <sheetName val="가압장(토목)"/>
      <sheetName val="조명율표"/>
      <sheetName val="입력란"/>
      <sheetName val="97노임단가"/>
      <sheetName val="본선차로수량집계표"/>
      <sheetName val="설계서을"/>
      <sheetName val="산출근거"/>
      <sheetName val="견적"/>
      <sheetName val="설계내역서"/>
      <sheetName val="준검 내역서"/>
      <sheetName val="대창(함평)"/>
      <sheetName val="대창(장성)"/>
      <sheetName val="대창(함평)-창열"/>
      <sheetName val="원가"/>
      <sheetName val="데이타"/>
      <sheetName val="연습"/>
      <sheetName val="수량3"/>
      <sheetName val="대치판정"/>
      <sheetName val="H-PILE수량집계"/>
      <sheetName val="3BL공동구_수량"/>
      <sheetName val="안정검토"/>
      <sheetName val="단면설계"/>
      <sheetName val="6PILE  (돌출)"/>
      <sheetName val="공사기본내용입력"/>
      <sheetName val="현장경비"/>
      <sheetName val="방배동내역(리라)"/>
      <sheetName val="건축공사집계표"/>
      <sheetName val="방배동내역 (총괄)"/>
      <sheetName val="부대공사총괄"/>
      <sheetName val="9.정착구 보강"/>
      <sheetName val="CTEMCOST"/>
      <sheetName val="Sheet3"/>
      <sheetName val="날개벽수량표"/>
      <sheetName val="이토변실(A3-LINE)"/>
      <sheetName val="터파기및재료"/>
      <sheetName val="Sheet2"/>
      <sheetName val="공사개요"/>
      <sheetName val="토적표"/>
      <sheetName val="설계예산"/>
      <sheetName val="T13(P68~72,78)"/>
      <sheetName val="WORK"/>
      <sheetName val="내역서단가산출용"/>
      <sheetName val="심사공종"/>
      <sheetName val="bid"/>
      <sheetName val="단가산출"/>
      <sheetName val="SANBAISU"/>
      <sheetName val="토목검측서"/>
      <sheetName val="ABUT수량-A1"/>
      <sheetName val="1차 내역서"/>
      <sheetName val="slurrywall설계가"/>
      <sheetName val="총투입계"/>
      <sheetName val="부하계산서"/>
      <sheetName val="전선 및 전선관"/>
      <sheetName val="파형강관집계"/>
      <sheetName val="철근량"/>
      <sheetName val="일반수량"/>
      <sheetName val="2002하반기노임기준"/>
      <sheetName val="단가 (2)"/>
      <sheetName val="내역갑지"/>
      <sheetName val="환경기계공정표 (3)"/>
      <sheetName val="절대삭제금지"/>
      <sheetName val="배관배선 단가조사"/>
      <sheetName val="일위대가집계"/>
      <sheetName val="설비"/>
      <sheetName val="구조물터파기수량집계"/>
      <sheetName val="배수공 시멘트 및 골재량 산출"/>
      <sheetName val="공량(1월22일)"/>
      <sheetName val="측구터파기공수량집계"/>
      <sheetName val="96보완계획7.12"/>
      <sheetName val="을"/>
      <sheetName val="SG"/>
      <sheetName val="12호기내역서(건축분)"/>
      <sheetName val="빙장비사양"/>
      <sheetName val="토사(PE)"/>
      <sheetName val="하조서"/>
      <sheetName val="날개벽"/>
      <sheetName val="현장경상비"/>
      <sheetName val="교대(A1)"/>
      <sheetName val="대비"/>
      <sheetName val="수량증감표"/>
      <sheetName val="터파기운반비산출"/>
      <sheetName val="산적토운반비산출"/>
      <sheetName val="적용단가"/>
      <sheetName val="시선유도표지집계표"/>
      <sheetName val="70%"/>
      <sheetName val="코드표"/>
      <sheetName val="database"/>
      <sheetName val="15"/>
      <sheetName val="노임이"/>
      <sheetName val="마산방향"/>
      <sheetName val="진주방향"/>
      <sheetName val="준공평가"/>
      <sheetName val="98NS-N"/>
      <sheetName val="집수정(600-700)"/>
      <sheetName val="몰탈"/>
      <sheetName val="맨홀수량"/>
      <sheetName val="98수문일위"/>
      <sheetName val="시설물단가표"/>
      <sheetName val="노무비단가표"/>
      <sheetName val="기초자료입력"/>
      <sheetName val="설계명세서"/>
      <sheetName val="설계예시"/>
      <sheetName val="식재인부"/>
      <sheetName val="덕전리"/>
      <sheetName val="기초단가"/>
      <sheetName val="200"/>
      <sheetName val="기초코드"/>
      <sheetName val="8.PILE  (돌출)"/>
      <sheetName val="부대내역"/>
      <sheetName val="내역서01"/>
      <sheetName val="1.수인터널"/>
      <sheetName val="프랜트면허"/>
      <sheetName val="(A)내역서"/>
      <sheetName val="일위대가표"/>
      <sheetName val="배수철근"/>
      <sheetName val="일위단위"/>
      <sheetName val="초기화면"/>
      <sheetName val="관급자재"/>
      <sheetName val="비교1"/>
      <sheetName val="물량표"/>
      <sheetName val="Sheet4"/>
      <sheetName val="구의33고"/>
      <sheetName val="고유코드_설계"/>
      <sheetName val="총괄내역서"/>
      <sheetName val="실행견적"/>
      <sheetName val="수입"/>
      <sheetName val="계양가시설"/>
      <sheetName val="신호등일위대가"/>
      <sheetName val="흄관기초"/>
      <sheetName val="Sheet1 (2)"/>
      <sheetName val="내역서(전기)"/>
      <sheetName val="대로근거"/>
      <sheetName val="증감내역서"/>
      <sheetName val="PROJECT BRIEF(EX.NEW)"/>
      <sheetName val="Site Expenses"/>
      <sheetName val="공용(현대건설공구)"/>
      <sheetName val="현대건설공구(UNIT)"/>
      <sheetName val="실행내역서"/>
      <sheetName val="본사공가현황"/>
      <sheetName val="GI-LIST"/>
      <sheetName val="설계"/>
      <sheetName val="실행내역"/>
      <sheetName val="EACT10"/>
      <sheetName val="해평견적"/>
      <sheetName val="COPING"/>
      <sheetName val="TYPE-A"/>
      <sheetName val="원형맨홀수량"/>
      <sheetName val="단가조사-2"/>
      <sheetName val="우수공"/>
      <sheetName val="전기단가조사서"/>
      <sheetName val="단위수량산출"/>
      <sheetName val="용산1(해보)"/>
      <sheetName val="11.1 단면hwp"/>
      <sheetName val="9-1차이내역"/>
      <sheetName val="데리네이타현황"/>
      <sheetName val="하수급견적대비"/>
      <sheetName val="직노"/>
      <sheetName val="시점교대"/>
      <sheetName val="계수시트"/>
      <sheetName val="설계가"/>
      <sheetName val="INPUT"/>
      <sheetName val="자료입력"/>
      <sheetName val="공사비증감"/>
      <sheetName val="DATA 입력란"/>
      <sheetName val="1. 설계조건 2.단면가정 3. 하중계산"/>
      <sheetName val="danga"/>
      <sheetName val="ilch"/>
      <sheetName val="목차"/>
      <sheetName val="원형1호맨홀토공수량"/>
      <sheetName val="BSD (2)"/>
      <sheetName val="공사비집계"/>
      <sheetName val="배수공"/>
      <sheetName val="파일의이용"/>
      <sheetName val="청 구"/>
      <sheetName val="설계산출기초"/>
      <sheetName val="실행대비"/>
      <sheetName val="수산(당)"/>
      <sheetName val="을지"/>
      <sheetName val="날개벽(TYPE2)"/>
      <sheetName val="산출내역서집계표"/>
      <sheetName val="이름정의"/>
      <sheetName val="Macro1"/>
      <sheetName val="중로근거"/>
      <sheetName val="토목(용인)"/>
      <sheetName val="음성방향"/>
      <sheetName val="산출기준자료"/>
      <sheetName val="구역화물"/>
      <sheetName val="시험비"/>
      <sheetName val="일위대가목록"/>
      <sheetName val="차액보증"/>
      <sheetName val="단위목록"/>
      <sheetName val="교각계산"/>
      <sheetName val="우각부보강"/>
      <sheetName val="6호기"/>
      <sheetName val="토목주소"/>
      <sheetName val="현금흐름"/>
      <sheetName val="노임"/>
      <sheetName val="건축공사"/>
      <sheetName val="건축내역"/>
      <sheetName val="배수통관(좌)"/>
      <sheetName val="INPUT(덕도방향-시점)"/>
      <sheetName val="상 부"/>
      <sheetName val="Customer Databas"/>
      <sheetName val="DATA"/>
      <sheetName val="교각1"/>
      <sheetName val="예가표"/>
      <sheetName val="공내역"/>
      <sheetName val="사  업  비  수  지  예  산  서"/>
      <sheetName val="7.PILE  (돌출)"/>
      <sheetName val="평내중"/>
      <sheetName val="N賃率-職"/>
      <sheetName val="토공(우물통,기타) "/>
      <sheetName val="연결임시"/>
      <sheetName val="흙쌓기도수로설치현황"/>
      <sheetName val="변경비교-을"/>
      <sheetName val="공량산출서"/>
      <sheetName val="할증"/>
      <sheetName val="입찰안"/>
      <sheetName val="현장소운반"/>
      <sheetName val="관구보호몰탈"/>
      <sheetName val="금액내역서"/>
      <sheetName val="노임단가"/>
      <sheetName val="총괄서"/>
      <sheetName val="낙석방지수량"/>
      <sheetName val="오수주요자재"/>
      <sheetName val="s"/>
      <sheetName val="용역비내역-진짜"/>
      <sheetName val="guard(mac)"/>
      <sheetName val="MAT"/>
      <sheetName val="연도별cash"/>
      <sheetName val="대림경상68억"/>
      <sheetName val="GR"/>
      <sheetName val="2호맨홀공제수량"/>
      <sheetName val="토목공사"/>
      <sheetName val="도기류"/>
      <sheetName val="확약서"/>
      <sheetName val="일반수량총괄집계"/>
      <sheetName val="빗물받이(910-510-410)"/>
      <sheetName val="내역서1999.8최종"/>
      <sheetName val="수량집계"/>
      <sheetName val="Baby일위대가"/>
      <sheetName val="옹벽공 수량집계표"/>
      <sheetName val="지중자재단가"/>
      <sheetName val="날개벽(시점좌측)"/>
      <sheetName val="견적서"/>
      <sheetName val="교사기준면적(중)"/>
      <sheetName val="물가시세"/>
      <sheetName val="내역(신례)"/>
      <sheetName val="wall"/>
      <sheetName val="품셈"/>
      <sheetName val="인부임"/>
      <sheetName val="원가+내역"/>
      <sheetName val="선정요령"/>
      <sheetName val="화설내"/>
      <sheetName val="갑지"/>
      <sheetName val="시운전연료"/>
      <sheetName val="b_balju"/>
      <sheetName val="수로단위수량"/>
      <sheetName val="전기"/>
      <sheetName val="간접"/>
      <sheetName val="차선도색-연장,수량(1)"/>
      <sheetName val="배수공 주요자재 집계표"/>
      <sheetName val="관접합및부설"/>
      <sheetName val="단가"/>
      <sheetName val="VXXXXXX"/>
      <sheetName val="조건"/>
      <sheetName val="pier-1"/>
      <sheetName val="단양 00 아파트-세부내역"/>
      <sheetName val="정부노임단가"/>
      <sheetName val="공사"/>
      <sheetName val="일위대가_가설_"/>
      <sheetName val="06 일위대가목록"/>
      <sheetName val="공사현황"/>
      <sheetName val="중기사용료"/>
      <sheetName val="연장및면적(좌측)"/>
      <sheetName val="조경"/>
      <sheetName val="금액"/>
      <sheetName val="PI"/>
      <sheetName val="SORCE1"/>
      <sheetName val="물가대비표"/>
      <sheetName val="Sheet2 (2)"/>
      <sheetName val="단위단가"/>
      <sheetName val="건축내역서 (경제상무실)"/>
      <sheetName val="원가계산하도"/>
      <sheetName val="입력자료"/>
      <sheetName val="설내역서 "/>
      <sheetName val="간지"/>
      <sheetName val="내역전기"/>
      <sheetName val="감액총괄표"/>
      <sheetName val="세부내역서"/>
      <sheetName val="단면가정"/>
      <sheetName val="설계조건"/>
      <sheetName val="Sheet22"/>
      <sheetName val="표지"/>
      <sheetName val="노무비"/>
      <sheetName val="재료비단가"/>
      <sheetName val="도로경계단위"/>
      <sheetName val="추가예산"/>
      <sheetName val="단중표"/>
      <sheetName val="현장관리비참조"/>
      <sheetName val="다곡2교"/>
      <sheetName val="포장복구집계"/>
      <sheetName val="반포2차"/>
      <sheetName val="첨"/>
      <sheetName val="6공구(당초)"/>
      <sheetName val="말뚝기초(안정검토)-외측"/>
      <sheetName val="수주추정"/>
      <sheetName val="환율CHANGE"/>
      <sheetName val="맨홀수량산출(A-LINE)"/>
      <sheetName val="시설물기초"/>
      <sheetName val="SLAB&quot;1&quot;"/>
      <sheetName val="내역서 (2)"/>
      <sheetName val="교대철근집계"/>
      <sheetName val="터파기단면도(보도)"/>
      <sheetName val="9811"/>
      <sheetName val="위치조서"/>
      <sheetName val="4.2.1 마루높이 검토"/>
      <sheetName val="A-8 PD(도로중앙)"/>
      <sheetName val="호프"/>
      <sheetName val="1.CB"/>
      <sheetName val="변수"/>
      <sheetName val="역T형교대(말뚝기초)"/>
      <sheetName val="산근"/>
      <sheetName val="총괄표"/>
      <sheetName val="슬래브수량"/>
      <sheetName val="수량집계표"/>
      <sheetName val="탄성1"/>
      <sheetName val="단면 (2)"/>
      <sheetName val="직접경비"/>
      <sheetName val="직접인건비"/>
      <sheetName val="실행간접비용"/>
      <sheetName val="가로등내역서"/>
      <sheetName val="관경별내역서"/>
      <sheetName val="내역_FILE"/>
      <sheetName val="GAEYO"/>
      <sheetName val="남양내역"/>
      <sheetName val="MAIN_TABLE"/>
      <sheetName val="1.설계조건"/>
      <sheetName val="공사비 증감 내역서"/>
      <sheetName val="인원투입"/>
      <sheetName val="VII-2현장경비"/>
      <sheetName val="Ⅴ-2.공종별내역"/>
      <sheetName val="각형맨홀"/>
      <sheetName val="원가서"/>
      <sheetName val="CAT_5"/>
      <sheetName val="일위대가(1)"/>
      <sheetName val="예산명세서"/>
      <sheetName val="포장물량집계"/>
      <sheetName val="표지 (2)"/>
      <sheetName val="입력시트"/>
      <sheetName val="출장내역"/>
      <sheetName val="공사설명서"/>
      <sheetName val="수안보-MBR1"/>
      <sheetName val="입력DATA"/>
      <sheetName val="바닥판"/>
      <sheetName val="앵커구조계산"/>
      <sheetName val="도장수량(하1)"/>
      <sheetName val="주형"/>
      <sheetName val="부표총괄"/>
      <sheetName val="sst,stl창호"/>
      <sheetName val="역T형"/>
      <sheetName val="ETC"/>
      <sheetName val="A4"/>
      <sheetName val="기안"/>
      <sheetName val="2-1. 경관조명 내역총괄표"/>
      <sheetName val="1000 DB구축 부표"/>
      <sheetName val="1차설계변경내역"/>
      <sheetName val="보차도경계석"/>
      <sheetName val="1.설계기준"/>
      <sheetName val="산출내역서"/>
      <sheetName val="단가조건(02년)"/>
      <sheetName val="사통"/>
      <sheetName val="우수"/>
      <sheetName val="입력"/>
      <sheetName val="계림(함평)"/>
      <sheetName val="계림(장성)"/>
      <sheetName val="산수배수"/>
      <sheetName val="포장공자재집계표"/>
      <sheetName val="내역표지"/>
      <sheetName val="구조물공집계"/>
      <sheetName val="상행-교대(A1-A2)"/>
      <sheetName val="수목표준대가"/>
      <sheetName val="건축공사실행"/>
      <sheetName val="관급자재대"/>
      <sheetName val="중기사용료산출근거"/>
      <sheetName val="단가 및 재료비"/>
      <sheetName val="내역서적용수량"/>
      <sheetName val="갑지(추정)"/>
      <sheetName val="출력X"/>
      <sheetName val="nys"/>
      <sheetName val="옹벽수량집계"/>
      <sheetName val="4.내진설계"/>
      <sheetName val=" ｹ-ﾌﾞﾙ"/>
      <sheetName val="노임단가 (2)"/>
      <sheetName val="유림골조"/>
      <sheetName val="플랜트 설치"/>
      <sheetName val="공사비"/>
      <sheetName val="연도손익"/>
      <sheetName val="회수금"/>
      <sheetName val="대체용지"/>
      <sheetName val="건자이자"/>
      <sheetName val="내부매출원가"/>
      <sheetName val="지구 리스트"/>
      <sheetName val="용지비"/>
      <sheetName val="용역단가"/>
      <sheetName val="효성CB 1P기초"/>
      <sheetName val="조견표"/>
      <sheetName val="전차선로 물량표"/>
      <sheetName val="집수A"/>
      <sheetName val="특수선일위대가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(당평)자재"/>
      <sheetName val="당초명세(평)"/>
      <sheetName val="tggwan(mac)"/>
      <sheetName val="총괄내역"/>
      <sheetName val="입찰견적보고서"/>
      <sheetName val="공사분석"/>
      <sheetName val="하도급 검토"/>
      <sheetName val="3.하중계산"/>
      <sheetName val="보도포장연장조서-표준차도부"/>
      <sheetName val="표준차도부연장조서-ASP"/>
      <sheetName val=" 상부공통집계(총괄)"/>
      <sheetName val="단가조정표"/>
      <sheetName val="순공사비"/>
      <sheetName val="3BL공동구_수량1"/>
      <sheetName val="3_공통공사대비"/>
      <sheetName val="9_정착구_보강"/>
      <sheetName val="6PILE__(돌출)"/>
      <sheetName val="방배동내역_(총괄)"/>
      <sheetName val="준검_내역서"/>
      <sheetName val="단가_(2)"/>
      <sheetName val="1차_내역서"/>
      <sheetName val="전선_및_전선관"/>
      <sheetName val="배관배선_단가조사"/>
      <sheetName val="환경기계공정표_(3)"/>
      <sheetName val="DATA_입력란"/>
      <sheetName val="1__설계조건_2_단면가정_3__하중계산"/>
      <sheetName val="BSD_(2)"/>
      <sheetName val="배수공_시멘트_및_골재량_산출"/>
      <sheetName val="96보완계획7_12"/>
      <sheetName val="7_PILE__(돌출)"/>
      <sheetName val="8_PILE__(돌출)"/>
      <sheetName val="사__업__비__수__지__예__산__서"/>
      <sheetName val="1"/>
      <sheetName val="공사품의서"/>
      <sheetName val="폐기물"/>
      <sheetName val="2공구산출내역"/>
      <sheetName val="품셈TABLE"/>
      <sheetName val="낙찰표"/>
      <sheetName val="단 box"/>
      <sheetName val="포장공수량집계표"/>
      <sheetName val="코드"/>
      <sheetName val="개요"/>
      <sheetName val="갑지1"/>
      <sheetName val="기본일위"/>
      <sheetName val="마산월령동골조물량변경"/>
      <sheetName val="뚝토공"/>
      <sheetName val="중요"/>
      <sheetName val="총내역서"/>
      <sheetName val="시점경사로"/>
      <sheetName val="가열로SW"/>
      <sheetName val="고창방향"/>
      <sheetName val="설계내역"/>
      <sheetName val="sub"/>
      <sheetName val="기둥(원형)"/>
      <sheetName val="전체내역서"/>
      <sheetName val="03전반노무비"/>
      <sheetName val="2_단면가정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상호참고자료"/>
      <sheetName val="발주처자료입력"/>
      <sheetName val="회사기본자료"/>
      <sheetName val="하자보증자료"/>
      <sheetName val="기술자관련자료"/>
      <sheetName val="일위대가(가설)"/>
      <sheetName val="달서천-대비"/>
      <sheetName val="현장관리비"/>
      <sheetName val="99노임단가"/>
      <sheetName val="unitpric"/>
      <sheetName val="noyim"/>
      <sheetName val="기존포장깨기"/>
      <sheetName val="석축헐기"/>
      <sheetName val="구조물철거타공정이월"/>
      <sheetName val="중강당 내역"/>
      <sheetName val="관로토공"/>
      <sheetName val="setup"/>
      <sheetName val="참고사항"/>
      <sheetName val="근로자자료입력"/>
      <sheetName val="기초일위"/>
      <sheetName val="수목단가"/>
      <sheetName val="시설수량표"/>
      <sheetName val="시설일위"/>
      <sheetName val="식재수량표"/>
      <sheetName val="1차"/>
      <sheetName val="단가(1)"/>
      <sheetName val="배수공수집"/>
      <sheetName val="08-공사비총괄표"/>
      <sheetName val="01-적용기준"/>
      <sheetName val="산근(1)"/>
      <sheetName val="조명일위"/>
      <sheetName val="도급내역"/>
      <sheetName val="물집"/>
      <sheetName val="도급금액"/>
      <sheetName val="재노경"/>
      <sheetName val="부대tu"/>
      <sheetName val="45,46"/>
      <sheetName val="자재"/>
      <sheetName val="경비_원본"/>
      <sheetName val="Sheet1_(2)"/>
      <sheetName val="청_구"/>
      <sheetName val="1_수인터널"/>
      <sheetName val="상_부"/>
      <sheetName val="공사비_증감_내역서"/>
      <sheetName val="Sheet2_(2)"/>
      <sheetName val="Customer_Databas"/>
      <sheetName val="PROJECT_BRIEF(EX_NEW)"/>
      <sheetName val="Site_Expenses"/>
      <sheetName val="경영상태"/>
      <sheetName val="참조"/>
      <sheetName val="제경비율"/>
      <sheetName val="공사명입력"/>
      <sheetName val="참고자료"/>
      <sheetName val="우수받이"/>
      <sheetName val="철근단면적"/>
      <sheetName val="단가산출서"/>
      <sheetName val="단가산출서 (2)"/>
      <sheetName val="몰탈재료산출"/>
      <sheetName val="05-원가계산"/>
      <sheetName val="인건비"/>
      <sheetName val="3.하중산정4.지지력"/>
      <sheetName val="J형측구단위수량"/>
      <sheetName val="가로등설치"/>
      <sheetName val="개별직종노임단가(2005.1)"/>
      <sheetName val="노단"/>
      <sheetName val="단산"/>
      <sheetName val="명세"/>
      <sheetName val="일대"/>
      <sheetName val="APT"/>
      <sheetName val="단면치수"/>
      <sheetName val="실행"/>
      <sheetName val="1.우편집중내역서"/>
      <sheetName val="사각맨홀"/>
      <sheetName val="전 기"/>
      <sheetName val="콘크리트타설집계표"/>
      <sheetName val="공비현2"/>
      <sheetName val="원하도급내역서(당초)"/>
      <sheetName val="사유서제출현황-2"/>
      <sheetName val="List"/>
      <sheetName val="연속벽현황"/>
      <sheetName val="단"/>
      <sheetName val="원유_BANK"/>
      <sheetName val="세금자료"/>
      <sheetName val="결과조달"/>
      <sheetName val="기계"/>
      <sheetName val="협력업체"/>
      <sheetName val="설계명세서(종합)"/>
      <sheetName val="소요자재"/>
      <sheetName val="노무산출서"/>
      <sheetName val="시화점실행"/>
      <sheetName val="해외(원화)"/>
      <sheetName val="총 원가계산"/>
      <sheetName val="국공유지및사유지"/>
      <sheetName val="90.03실행 "/>
      <sheetName val="1차기성"/>
      <sheetName val="이음개소"/>
      <sheetName val="코스모공장 (어음)"/>
      <sheetName val="공통가설"/>
      <sheetName val="수량산출서-2"/>
      <sheetName val="직재"/>
      <sheetName val="재집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데이타"/>
      <sheetName val="조도"/>
      <sheetName val="DATA"/>
      <sheetName val="Sheet1"/>
      <sheetName val="Sheet2"/>
      <sheetName val="노임"/>
      <sheetName val="노임단가"/>
      <sheetName val="일위목록"/>
      <sheetName val="요율"/>
      <sheetName val="4-7.중앙전기실(노임단가)"/>
      <sheetName val="ⴭⴭⴭⴭⴭ"/>
      <sheetName val="단가조사"/>
      <sheetName val="터널조도"/>
      <sheetName val="G.R300경비"/>
      <sheetName val="ILLU"/>
      <sheetName val="일위대가"/>
      <sheetName val="코드표"/>
      <sheetName val="증감대비"/>
      <sheetName val="경산"/>
      <sheetName val="7단가"/>
      <sheetName val="건축"/>
      <sheetName val="비탈면보호공수량산출"/>
      <sheetName val="식재가격"/>
      <sheetName val="식재총괄"/>
      <sheetName val="수목표준대가"/>
      <sheetName val="BID"/>
      <sheetName val="9509"/>
      <sheetName val="전기"/>
      <sheetName val="건축내역"/>
      <sheetName val="일위대가목차"/>
      <sheetName val="A갑지"/>
      <sheetName val="소비자가"/>
      <sheetName val="#REF"/>
      <sheetName val="내역서"/>
      <sheetName val="???"/>
      <sheetName val="종배수관면벽신"/>
      <sheetName val="적용단위길이"/>
      <sheetName val="자재단가"/>
      <sheetName val="토목"/>
      <sheetName val="담장산출"/>
      <sheetName val="Y-WORK"/>
      <sheetName val="기성내역서표지"/>
      <sheetName val="전기일위대가"/>
      <sheetName val="DESIGN CRITERIA"/>
      <sheetName val="조도계산"/>
      <sheetName val="노무비"/>
      <sheetName val="토사(PE)"/>
      <sheetName val="단위일위"/>
      <sheetName val="LIST"/>
      <sheetName val="WORK"/>
      <sheetName val="COVER"/>
      <sheetName val="NEGO"/>
      <sheetName val="DATE"/>
      <sheetName val="점수계산1-2"/>
      <sheetName val="단락전류-A"/>
      <sheetName val="COST"/>
      <sheetName val="I一般比"/>
      <sheetName val="N賃率-職"/>
      <sheetName val="9811"/>
      <sheetName val="전산망"/>
      <sheetName val="가격조사"/>
      <sheetName val="일위총괄표"/>
      <sheetName val="설비"/>
      <sheetName val="COPING"/>
      <sheetName val="포장복구집계"/>
      <sheetName val="인건비 "/>
      <sheetName val="BQ(실행)"/>
      <sheetName val="TEL"/>
      <sheetName val="입찰안"/>
      <sheetName val="기계경비(시간당)"/>
      <sheetName val="램머"/>
      <sheetName val="Sheet3"/>
      <sheetName val="대비"/>
      <sheetName val="내역"/>
      <sheetName val="경비_원본"/>
      <sheetName val="수량-가로등"/>
      <sheetName val="직노"/>
      <sheetName val="MOTOR"/>
      <sheetName val="CABdata"/>
      <sheetName val="냉천부속동"/>
      <sheetName val="EQ-R1"/>
      <sheetName val="인건비"/>
      <sheetName val="EACT10"/>
      <sheetName val="사급자재"/>
      <sheetName val="2000년1차"/>
      <sheetName val="6공구(당초)"/>
      <sheetName val="개요"/>
      <sheetName val="집계표"/>
      <sheetName val="설비내역서"/>
      <sheetName val="건축내역서"/>
      <sheetName val="전기내역서"/>
      <sheetName val="남양주부대"/>
      <sheetName val="공종구간"/>
      <sheetName val="단가비교"/>
      <sheetName val="b_balju_cho"/>
      <sheetName val="File_관급"/>
      <sheetName val="공정집계"/>
      <sheetName val="노임단"/>
      <sheetName val="배수공"/>
      <sheetName val="부대공"/>
      <sheetName val="운반공"/>
      <sheetName val="자재단"/>
      <sheetName val="장비단"/>
      <sheetName val="Sheet5"/>
      <sheetName val="설변물량"/>
      <sheetName val="설계조건"/>
      <sheetName val="안정계산"/>
      <sheetName val="단면검토"/>
      <sheetName val="Customer Databas"/>
      <sheetName val="금융비용"/>
      <sheetName val="일위집계(기존)"/>
      <sheetName val="µ¥ÀÌÅ¸"/>
      <sheetName val="Á¶µµ"/>
      <sheetName val="³ëÀÓ"/>
      <sheetName val="G.R300°æºñ"/>
      <sheetName val="ºñÅ»¸éº¸È£°ø¼ö·®»êÃâ"/>
      <sheetName val="³ëÀÓ´Ü°¡"/>
      <sheetName val="ÀÏÀ§¸ñ·Ï"/>
      <sheetName val="¿äÀ²"/>
      <sheetName val="ÀÏÀ§´ë°¡"/>
      <sheetName val="ÅÍ³ÎÁ¶µµ"/>
      <sheetName val="ÄÚµåÇ¥"/>
      <sheetName val="´Ü°¡Á¶»ç"/>
      <sheetName val="내역서(기계)"/>
      <sheetName val="수량산출서"/>
      <sheetName val="터파기및재료"/>
      <sheetName val="01상노임"/>
      <sheetName val="자료"/>
      <sheetName val="공주-교대(A1)"/>
      <sheetName val="노임9월"/>
      <sheetName val="무산소조"/>
      <sheetName val="11.1 단면hwp"/>
      <sheetName val="진주방향"/>
      <sheetName val="기계경비"/>
      <sheetName val="일반자재"/>
      <sheetName val="데리네이타현황"/>
      <sheetName val="단가산출2"/>
      <sheetName val="단가 및 재료비"/>
      <sheetName val="단가산출1"/>
      <sheetName val="CODE"/>
      <sheetName val="DATA 입력부"/>
      <sheetName val="자재"/>
      <sheetName val="옹벽"/>
      <sheetName val="내역서(총)"/>
      <sheetName val="을"/>
      <sheetName val="수안보-MBR1"/>
      <sheetName val="통합"/>
      <sheetName val="ABUT수량-A1"/>
      <sheetName val="전기산출"/>
      <sheetName val="단가"/>
      <sheetName val="중기사용료산출근거"/>
      <sheetName val="MATERIAL"/>
      <sheetName val="단 box"/>
      <sheetName val="단가 "/>
      <sheetName val="일위대가(가설)"/>
      <sheetName val="비교1"/>
      <sheetName val="NEYOK"/>
      <sheetName val="°æ»ê"/>
      <sheetName val="첨부1"/>
      <sheetName val="토공계산서(부체도로)"/>
      <sheetName val="산업"/>
      <sheetName val="calculation"/>
      <sheetName val="공통가설"/>
      <sheetName val="AS복구"/>
      <sheetName val="중기터파기"/>
      <sheetName val="변수값"/>
      <sheetName val="중기상차"/>
      <sheetName val="b_balju"/>
      <sheetName val="주공기준"/>
      <sheetName val="1-1"/>
      <sheetName val="도급"/>
      <sheetName val="1단계"/>
      <sheetName val="wall"/>
      <sheetName val="Front"/>
      <sheetName val="사용성검토"/>
      <sheetName val="손익분석"/>
      <sheetName val="6호기"/>
      <sheetName val="1차 내역서"/>
      <sheetName val="노임이"/>
      <sheetName val="부표총괄"/>
      <sheetName val="시중노임(공사)"/>
      <sheetName val="건축내역(도급)"/>
      <sheetName val="교각1"/>
      <sheetName val="갑지(추정)"/>
      <sheetName val="노무"/>
      <sheetName val="SLAB&quot;1&quot;"/>
      <sheetName val="6PILE  (돌출)"/>
      <sheetName val="날개벽"/>
      <sheetName val="노단"/>
      <sheetName val="수량인공"/>
      <sheetName val="원형1호맨홀토공수량"/>
      <sheetName val="노원열병합  건축공사기성내역서"/>
      <sheetName val="2.가정단면"/>
      <sheetName val="장비"/>
      <sheetName val="1.설계조건"/>
      <sheetName val="제잡비 산출내역(실적공사비)"/>
      <sheetName val="자동차폐수처리장"/>
      <sheetName val="10.공통-노임단가"/>
      <sheetName val="TRE TABLE"/>
      <sheetName val="ASEM내역"/>
      <sheetName val="조건표"/>
      <sheetName val="예산명세서"/>
      <sheetName val="설계명세서"/>
      <sheetName val="자료입력"/>
      <sheetName val="AC포장수량"/>
      <sheetName val="난간벽단위"/>
      <sheetName val="교각별수량"/>
      <sheetName val="횡배수관"/>
      <sheetName val="단가산출"/>
      <sheetName val="유류사용"/>
      <sheetName val="INFO"/>
      <sheetName val="2.냉난방설비공사"/>
      <sheetName val="7.자동제어공사"/>
      <sheetName val="산수배수"/>
      <sheetName val="제잡비1"/>
      <sheetName val="조명율표"/>
      <sheetName val="CATCH BASIN"/>
      <sheetName val="대로근거"/>
      <sheetName val="내역서(갑)"/>
      <sheetName val="단위중량"/>
      <sheetName val="변압기 및 발전기 용량"/>
      <sheetName val="제품"/>
      <sheetName val="산출근거"/>
      <sheetName val="Sheet1 (2)"/>
      <sheetName val="중간부"/>
      <sheetName val="인부노임"/>
      <sheetName val="예산변경사항"/>
      <sheetName val="첨부파일"/>
      <sheetName val="관급"/>
      <sheetName val="출력-내역서"/>
      <sheetName val="견적서세부내용"/>
      <sheetName val="견적내용입력"/>
      <sheetName val="발신정보"/>
      <sheetName val="예정(3)"/>
      <sheetName val="동원(3)"/>
      <sheetName val="말뚝지지력산정"/>
      <sheetName val="옹벽기초자료"/>
      <sheetName val="현황산출서"/>
      <sheetName val="원가계산서 "/>
      <sheetName val="Macro(전선)"/>
      <sheetName val="자재단가비교표"/>
      <sheetName val="플랜트 설치"/>
      <sheetName val="내부부하"/>
      <sheetName val="부대대비"/>
      <sheetName val="냉연집계"/>
      <sheetName val="실행내역 "/>
      <sheetName val="도급정산"/>
      <sheetName val="공종목록표"/>
      <sheetName val="물가"/>
      <sheetName val="맨홀수량산출"/>
      <sheetName val="기둥(원형)"/>
      <sheetName val="단면 (2)"/>
      <sheetName val="노임단가표"/>
      <sheetName val="단가조사서"/>
      <sheetName val="토 적 표"/>
      <sheetName val="간선계산"/>
      <sheetName val="수량산출"/>
      <sheetName val="세부내역"/>
      <sheetName val="2001년 건설노임"/>
      <sheetName val="CIVIL"/>
      <sheetName val="예산M12A"/>
      <sheetName val="일위목차"/>
      <sheetName val="정부노임단가"/>
      <sheetName val="동해title"/>
      <sheetName val="공정코드"/>
      <sheetName val="실행내역"/>
      <sheetName val="목차"/>
      <sheetName val="측량노임단가"/>
      <sheetName val="토공2"/>
      <sheetName val="토공1"/>
      <sheetName val="구조물토공1"/>
      <sheetName val="토공3"/>
      <sheetName val="자재단가-1"/>
      <sheetName val="공통가설비"/>
      <sheetName val="안정검토"/>
      <sheetName val="WEIGHT LIST"/>
      <sheetName val="POL6차-PIPING"/>
      <sheetName val="산#2-1 (2)"/>
      <sheetName val="산#3-1"/>
      <sheetName val="(A)내역서"/>
      <sheetName val="Sheet15"/>
      <sheetName val="총괄표"/>
      <sheetName val="인공산출"/>
      <sheetName val="부대내역"/>
      <sheetName val="말고개터널조명전압강하"/>
      <sheetName val="건축(충일분)"/>
      <sheetName val="방송일위대가"/>
      <sheetName val="3.하중산정4.지지력"/>
      <sheetName val="단가코드"/>
      <sheetName val="교통대책내역"/>
      <sheetName val="내역분기"/>
      <sheetName val="자재단가표"/>
      <sheetName val="계수시트"/>
      <sheetName val="XL4Poppy"/>
      <sheetName val="설계산출기초"/>
      <sheetName val="설계산출표지"/>
      <sheetName val="도급예산내역서총괄표"/>
      <sheetName val="을부담운반비"/>
      <sheetName val="운반비산출"/>
      <sheetName val="직공비"/>
      <sheetName val="비목군단가비교표"/>
      <sheetName val="INPUT(덕도방향-시점)"/>
      <sheetName val="원가계산서"/>
      <sheetName val="하수급견적대비"/>
      <sheetName val="건축집계표"/>
      <sheetName val="2009노임(공사)"/>
      <sheetName val="공문"/>
      <sheetName val="전장품(관리용)"/>
      <sheetName val="견적서"/>
      <sheetName val="기자재대비표"/>
      <sheetName val="2004,상노임"/>
      <sheetName val="96노임기준"/>
      <sheetName val="시설물일위"/>
      <sheetName val="input"/>
      <sheetName val="DATA(광속)"/>
      <sheetName val="교각계산"/>
      <sheetName val="G_R300경비"/>
      <sheetName val="단가_"/>
      <sheetName val="4-7_중앙전기실(노임단가)"/>
      <sheetName val="성곽내역서"/>
      <sheetName val="수량명세서"/>
      <sheetName val="토공수량산출"/>
      <sheetName val="토적계산서"/>
      <sheetName val="전선 및 전선관"/>
      <sheetName val="관리비"/>
      <sheetName val="내역(2000년)"/>
      <sheetName val="일위노임단가"/>
      <sheetName val="Mc1"/>
      <sheetName val="7´Ü°¡"/>
      <sheetName val="¼ö¸ñÇ¥ÁØ´ë°¡"/>
      <sheetName val="IìéÚõÝï"/>
      <sheetName val="NìüëÒ-òÅ"/>
      <sheetName val="°ÇÃà³»¿ª"/>
      <sheetName val="Áõ°¨´ëºñ"/>
      <sheetName val="³»¿ª¼­"/>
      <sheetName val="A°©Áö"/>
      <sheetName val="4-7.Áß¾ÓÀü±â½Ç(³ëÀÓ´Ü°¡)"/>
      <sheetName val="°ÇÃà"/>
      <sheetName val="½ÄÀç°¡°Ý"/>
      <sheetName val="½ÄÀçÃÑ°ý"/>
      <sheetName val="Àü±â"/>
      <sheetName val="´ãÀå»êÃâ"/>
      <sheetName val="Åä»ç(PE)"/>
      <sheetName val="11.1 ´Ü¸éhwp"/>
      <sheetName val="6È£±â"/>
      <sheetName val="ÀÎ°Çºñ "/>
      <sheetName val="´ëºñ"/>
      <sheetName val="BQ(½ÇÇà)"/>
      <sheetName val="Á¡¼ö°è»ê1-2"/>
      <sheetName val="³ë¹«ºñ"/>
      <sheetName val="±â°è°æºñ(½Ã°£´ç)"/>
      <sheetName val="·¥¸Ó"/>
      <sheetName val="Àü±âÀÏÀ§´ë°¡"/>
      <sheetName val="File_°ü±Þ"/>
      <sheetName val="°øÁ¤Áý°è"/>
      <sheetName val="ÀÔÂû¾È"/>
      <sheetName val="³»¿ª"/>
      <sheetName val="Æ÷Àåº¹±¸Áý°è"/>
      <sheetName val="1Â÷ ³»¿ª¼­"/>
      <sheetName val="°øÅë°¡¼³"/>
      <sheetName val="01»ó³ëÀÓ"/>
      <sheetName val="½ÃÁß³ëÀÓ(°ø»ç)"/>
      <sheetName val="³ëÀÓ9¿ù"/>
      <sheetName val="¹«»ê¼ÒÁ¶"/>
      <sheetName val="¼³°èÁ¶°Ç"/>
      <sheetName val="¾ÈÁ¤°è»ê"/>
      <sheetName val="´Ü¸é°ËÅä"/>
      <sheetName val="ÅÍÆÄ±â¹×Àç·á"/>
      <sheetName val="Àü»ê¸Á"/>
      <sheetName val="µ¥¸®³×ÀÌÅ¸ÇöÈ²"/>
      <sheetName val="Á÷³ë"/>
      <sheetName val="Á¾¹è¼ö°ü¸éº®½Å"/>
      <sheetName val="Àû¿ë´ÜÀ§±æÀÌ"/>
      <sheetName val="2000³â1Â÷"/>
      <sheetName val="6°ø±¸(´çÃÊ)"/>
      <sheetName val="°³¿ä"/>
      <sheetName val="ÀÚ·á"/>
      <sheetName val="´Ü¶ôÀü·ù-A"/>
      <sheetName val="±â°è°æºñ"/>
      <sheetName val="ÀÏ¹ÝÀÚÀç"/>
      <sheetName val="¹è¼ö°ø"/>
      <sheetName val="ÁøÁÖ¹æÇâ"/>
      <sheetName val="¼ö¾Èº¸-MBR1"/>
      <sheetName val="°øÁÖ-±³´ë(A1)"/>
      <sheetName val="³ÃÃµºÎ¼Óµ¿"/>
      <sheetName val="´Ü°¡"/>
      <sheetName val="ÀÎ°Çºñ"/>
      <sheetName val="¿¹»ê¸í¼¼¼­"/>
      <sheetName val="¼³°è¸í¼¼¼­"/>
      <sheetName val="ÀÚ·áÀÔ·Â"/>
      <sheetName val="À»"/>
      <sheetName val="´Ü°¡ºñ±³"/>
      <sheetName val="°æºñ_¿øº»"/>
      <sheetName val="¼ö·®-°¡·Îµî"/>
      <sheetName val="´ÜÀ§ÀÏÀ§"/>
      <sheetName val="¿ø°¡°è»ê¼­"/>
      <sheetName val="¼³ºñ"/>
      <sheetName val="°ÇÃàÁý°èÇ¥"/>
      <sheetName val="»ê¾÷"/>
      <sheetName val="ÀÚÀç´Ü°¡"/>
      <sheetName val="¼ÒºñÀÚ°¡"/>
      <sheetName val="´Ü°¡ "/>
      <sheetName val="ÀÏÀ§ÃÑ°ýÇ¥"/>
      <sheetName val="1´Ü°è"/>
      <sheetName val="¼ö·®»êÃâ¼­"/>
      <sheetName val="³ë¹«"/>
      <sheetName val="Åä¸ñ"/>
      <sheetName val="공조기"/>
      <sheetName val="기본일위"/>
      <sheetName val="경  비 "/>
      <sheetName val="재료비"/>
      <sheetName val="4동급수"/>
      <sheetName val="차수"/>
      <sheetName val="신규 수주분(사용자 정의)"/>
      <sheetName val="비용"/>
      <sheetName val="시설물"/>
      <sheetName val="식재출력용"/>
      <sheetName val="식재"/>
      <sheetName val="유지관리"/>
      <sheetName val="과천MAIN"/>
      <sheetName val="h-013211-2"/>
      <sheetName val="2경간"/>
      <sheetName val="3련 BOX"/>
      <sheetName val="실행대비"/>
      <sheetName val="남대문빌딩"/>
      <sheetName val="지급자재"/>
      <sheetName val="노무비 "/>
      <sheetName val="일위대가(건축)"/>
      <sheetName val="NEWDRAW"/>
      <sheetName val="TB-내역서"/>
      <sheetName val="을지"/>
      <sheetName val="금액집계"/>
      <sheetName val="현장관리비"/>
      <sheetName val="고창터널(고창방향)"/>
      <sheetName val="아스.노면절삭"/>
      <sheetName val="평가데이터"/>
      <sheetName val="토공유동표"/>
      <sheetName val="발주설계서(당초)"/>
      <sheetName val="기초자료"/>
      <sheetName val="일위"/>
      <sheetName val="배선DATA"/>
      <sheetName val="전동기DATA"/>
      <sheetName val="type-F"/>
      <sheetName val="문산방향-교대(A2)"/>
      <sheetName val="우수토적(진입도로)"/>
      <sheetName val="연결임시"/>
      <sheetName val="비용display"/>
      <sheetName val="기초일위"/>
      <sheetName val="시설일위"/>
      <sheetName val="조명일위"/>
      <sheetName val="2000,9월 일위"/>
      <sheetName val="관로내역원"/>
      <sheetName val="갑지"/>
      <sheetName val="쌍송교"/>
      <sheetName val="재집"/>
      <sheetName val="직재"/>
      <sheetName val="Total"/>
      <sheetName val="guard(mac)"/>
      <sheetName val="관기성공.내"/>
      <sheetName val="실행내역서 "/>
      <sheetName val="102역사"/>
      <sheetName val="차도조도계산"/>
      <sheetName val="개소별수량산출"/>
      <sheetName val="danga"/>
      <sheetName val="ilch"/>
      <sheetName val="실행철강하도"/>
      <sheetName val="소업1교"/>
      <sheetName val="소총괄표1"/>
      <sheetName val="SIL98"/>
      <sheetName val="상반기손익차2총괄"/>
      <sheetName val="단가대비"/>
      <sheetName val="1"/>
      <sheetName val="SUMMARYMCA"/>
      <sheetName val="일위집계"/>
      <sheetName val="부하계산"/>
      <sheetName val="sheets"/>
      <sheetName val="중기조종사 단위단가"/>
      <sheetName val="dt0301"/>
      <sheetName val="dtt0301"/>
      <sheetName val="부하계산서"/>
      <sheetName val="2. 공원조도(전통공원)"/>
      <sheetName val="자단"/>
      <sheetName val="95WBS"/>
      <sheetName val="지주토목내역서"/>
      <sheetName val="철콘공사"/>
      <sheetName val="일위대가 (100%)"/>
      <sheetName val="계산근거"/>
      <sheetName val="월별손익"/>
      <sheetName val="배수장토목공사비"/>
      <sheetName val="수량집계"/>
      <sheetName val="총괄집계표"/>
      <sheetName val="Imp-Data"/>
      <sheetName val="견적업체"/>
      <sheetName val="공통가설공사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견적990322"/>
      <sheetName val="TOTAL_BOQ"/>
      <sheetName val="BSD (2)"/>
      <sheetName val="일위대가(1)"/>
      <sheetName val="eq_data"/>
      <sheetName val="원가"/>
      <sheetName val="공내역"/>
      <sheetName val="협조전"/>
      <sheetName val="정산노무"/>
      <sheetName val="정산재료"/>
      <sheetName val="Manual Valve List"/>
      <sheetName val="효성CB 1P기초"/>
      <sheetName val="실적원가"/>
      <sheetName val="기초자료입력"/>
      <sheetName val="각종장비전압강하계산"/>
      <sheetName val="단가비교표"/>
      <sheetName val="수목데이타 "/>
      <sheetName val="전체현황"/>
      <sheetName val="일위_파일"/>
      <sheetName val="적용률"/>
      <sheetName val="기계내역"/>
      <sheetName val="경비2내역"/>
      <sheetName val="남양구조시험동"/>
      <sheetName val="제출내역 (2)"/>
      <sheetName val="교대시점"/>
      <sheetName val="돈암사업"/>
      <sheetName val="배수장공사비명세서"/>
      <sheetName val="G_R300경비1"/>
      <sheetName val="4-7_중앙전기실(노임단가)1"/>
      <sheetName val="단면가정"/>
      <sheetName val="집계장(대목_실행)"/>
      <sheetName val="다심-cable"/>
      <sheetName val="1C-cable"/>
      <sheetName val="대운반(신설-관급)"/>
      <sheetName val="납부서"/>
      <sheetName val="금광1터널"/>
      <sheetName val="총괄"/>
      <sheetName val="현장경비"/>
      <sheetName val="원가기준정보"/>
      <sheetName val="원가배부작업시간"/>
      <sheetName val="품셈표"/>
      <sheetName val="단가표"/>
      <sheetName val="내역서2안"/>
      <sheetName val="2_냉난방설비공사"/>
      <sheetName val="Macro1"/>
      <sheetName val="첨부1-1"/>
      <sheetName val="발전기"/>
      <sheetName val="간선"/>
      <sheetName val="부하"/>
      <sheetName val="투찰(하수)"/>
      <sheetName val="공내역서"/>
      <sheetName val="내역표지"/>
      <sheetName val="견"/>
      <sheetName val="8.2TON"/>
      <sheetName val="ITEM"/>
      <sheetName val="토공"/>
      <sheetName val="일위대가표"/>
      <sheetName val="토목주소"/>
      <sheetName val="상부공"/>
      <sheetName val="토공(우물통,기타) "/>
      <sheetName val="노임목록"/>
      <sheetName val="자재목록"/>
      <sheetName val="중기목록"/>
      <sheetName val="총2000실2000연"/>
      <sheetName val="예산M2"/>
      <sheetName val="작성"/>
      <sheetName val="갈현동"/>
      <sheetName val="2"/>
      <sheetName val="WO"/>
      <sheetName val="참고자료"/>
      <sheetName val="IN"/>
      <sheetName val="기둥"/>
      <sheetName val="저판(버림100)"/>
      <sheetName val="제경비적용기준"/>
      <sheetName val="견적"/>
      <sheetName val="본부소개"/>
      <sheetName val="콘크리트타설입력"/>
      <sheetName val="레미콘입고현황"/>
      <sheetName val="견적집계표"/>
      <sheetName val="sub"/>
      <sheetName val="견적을지"/>
      <sheetName val="기계경비산출기준"/>
      <sheetName val="건축원가계산서"/>
      <sheetName val="기본"/>
      <sheetName val="토공사"/>
      <sheetName val="공량예산"/>
      <sheetName val="역T형옹벽단위수량"/>
      <sheetName val="부하LOAD"/>
      <sheetName val="6. 직접경비"/>
      <sheetName val="22-2M단"/>
      <sheetName val="22-1소단"/>
      <sheetName val="Macro(차단기)"/>
      <sheetName val="Noname 1"/>
      <sheetName val="SP"/>
      <sheetName val="가도공"/>
      <sheetName val="1호인버트수량"/>
      <sheetName val="공사원가계산서"/>
      <sheetName val="JUCKEYK"/>
      <sheetName val="순공사비"/>
      <sheetName val="단"/>
      <sheetName val="일위대가표(무)"/>
      <sheetName val="일위대가산출기초"/>
      <sheetName val="내2"/>
      <sheetName val="9902"/>
      <sheetName val="목록1"/>
      <sheetName val="목록2"/>
      <sheetName val="중기"/>
      <sheetName val="Sheet10"/>
      <sheetName val="단가조건(02년)"/>
      <sheetName val="인건비_"/>
      <sheetName val="G_R300°æºñ"/>
      <sheetName val="11_1_단면hwp"/>
      <sheetName val="TRE_TABLE"/>
      <sheetName val="Customer_Databas"/>
      <sheetName val="7_자동제어공사"/>
      <sheetName val="DATA_입력부"/>
      <sheetName val="1_설계조건"/>
      <sheetName val="제잡비_산출내역(실적공사비)"/>
      <sheetName val="단가_및_재료비"/>
      <sheetName val="변압기_및_발전기_용량"/>
      <sheetName val="Sheet1_(2)"/>
      <sheetName val="토_적_표"/>
      <sheetName val="노원열병합__건축공사기성내역서"/>
      <sheetName val="변경현황"/>
      <sheetName val="총괄내역서"/>
      <sheetName val="관접합및부설"/>
      <sheetName val="품셈집계표"/>
      <sheetName val="공사설명서"/>
      <sheetName val="공사계획서"/>
      <sheetName val="송라터널총괄"/>
      <sheetName val="중로근거"/>
      <sheetName val="TYPE-A"/>
      <sheetName val="1련박스"/>
      <sheetName val="11.자재단가"/>
      <sheetName val="02하반기노임"/>
      <sheetName val="SG"/>
      <sheetName val="건축2"/>
      <sheetName val="본사업"/>
      <sheetName val="가시설단위수량"/>
      <sheetName val="Macro3"/>
      <sheetName val="감액총괄표"/>
      <sheetName val="960318-1"/>
      <sheetName val="DATA1"/>
      <sheetName val="철근단면적"/>
      <sheetName val="말뚝기초"/>
      <sheetName val="2010노임(공사)"/>
      <sheetName val="가로등기초"/>
      <sheetName val="진접"/>
      <sheetName val="TOTAL3"/>
      <sheetName val="Macro2"/>
      <sheetName val="ZONE.1"/>
      <sheetName val="1.설계기준"/>
      <sheetName val="백암비스타내역"/>
      <sheetName val="01_ 원가계산서"/>
      <sheetName val="000000"/>
      <sheetName val="설계내역(2001)"/>
      <sheetName val="공량산출서"/>
      <sheetName val="일위산출"/>
      <sheetName val="36단가"/>
      <sheetName val="36수량"/>
      <sheetName val="Sheet9"/>
      <sheetName val="KMT물량"/>
      <sheetName val="단가(1)"/>
      <sheetName val="1.동력공사"/>
      <sheetName val="CRUDE RE-bar"/>
      <sheetName val="제수"/>
      <sheetName val="공종"/>
      <sheetName val="대치판정"/>
      <sheetName val="조명시설"/>
      <sheetName val="36신설수량"/>
      <sheetName val="11"/>
      <sheetName val="입력"/>
      <sheetName val="22수량"/>
      <sheetName val="48신설수량"/>
      <sheetName val="예산M5A"/>
      <sheetName val="당초"/>
      <sheetName val="참조"/>
      <sheetName val="남양시작동자105노65기1.3화1.2"/>
      <sheetName val="소일위대가코드표"/>
      <sheetName val="시설C"/>
      <sheetName val="공사내역"/>
      <sheetName val="수도일위대가"/>
      <sheetName val="가감수량"/>
      <sheetName val="재무가정"/>
      <sheetName val="바닥판"/>
      <sheetName val="입력DATA"/>
      <sheetName val="전직종(노임단가)"/>
      <sheetName val="산출내역서집계표"/>
      <sheetName val="E01-02(EV-1-LBS)"/>
      <sheetName val="국별인원"/>
      <sheetName val="인건-측정"/>
      <sheetName val="_x0000_pY&lt;u_x0000__x0000__x0000__x0000__x0000__x0000__x0000__x0000_ô+_x001f__x0000_I}0_x0012__x0004__x0000__x0000__x0001_"/>
      <sheetName val="산출"/>
      <sheetName val="신우"/>
      <sheetName val="기둥(하중)"/>
      <sheetName val="노임표"/>
      <sheetName val="CAT_5"/>
      <sheetName val="간접비내역-1"/>
      <sheetName val="00000"/>
      <sheetName val="도급전체"/>
      <sheetName val="내역1"/>
      <sheetName val="총 괄 표"/>
      <sheetName val="산근1"/>
      <sheetName val="참고 1"/>
      <sheetName val="4)유동표"/>
      <sheetName val="VXXXXXXX"/>
      <sheetName val="건축원가"/>
      <sheetName val="YOEMAGUM"/>
      <sheetName val="Inputs"/>
      <sheetName val="Cost Inputs"/>
      <sheetName val="5차설계"/>
      <sheetName val="회로내역(승인)"/>
      <sheetName val="품의서"/>
      <sheetName val="단가일람"/>
      <sheetName val="조경일람"/>
      <sheetName val="계약내력"/>
      <sheetName val="2000전체분"/>
      <sheetName val="기타경비"/>
      <sheetName val="복구경비"/>
      <sheetName val="기술자료 (광화문)"/>
      <sheetName val="공조기휀"/>
      <sheetName val="AHU집계"/>
      <sheetName val="주방동력"/>
      <sheetName val="식재인부"/>
      <sheetName val="가설공사내역"/>
      <sheetName val="401"/>
      <sheetName val="IMPEADENCE MAP 취수장"/>
      <sheetName val="재료단가"/>
      <sheetName val="총괄갑 "/>
      <sheetName val="철콘-부대"/>
      <sheetName val="기본단가"/>
      <sheetName val="말뚝물량"/>
      <sheetName val="수원역(전체분)설계서"/>
      <sheetName val="11.우각부 보강"/>
      <sheetName val="기별명세"/>
      <sheetName val="가압장구체수량산출서"/>
      <sheetName val="노무비단가"/>
      <sheetName val="밸브설치"/>
      <sheetName val="파일의이용"/>
      <sheetName val="plan&amp;section of foundation"/>
      <sheetName val="pile bearing capa &amp; arrenge"/>
      <sheetName val="design load"/>
      <sheetName val="working load at the btm ft."/>
      <sheetName val="stability check"/>
      <sheetName val="sw1"/>
      <sheetName val="NOMUBI"/>
      <sheetName val="__MAIN"/>
      <sheetName val="table"/>
      <sheetName val="허용전류-IEC DATA"/>
      <sheetName val="금액내역서"/>
      <sheetName val="기준액"/>
      <sheetName val="품셈(기초)"/>
      <sheetName val="물가대비표"/>
      <sheetName val="노임단가(2006하)"/>
      <sheetName val="산출2-기기동력"/>
      <sheetName val="Sheet14"/>
      <sheetName val="Sheet13"/>
      <sheetName val="SORCE1"/>
      <sheetName val="단위수량"/>
      <sheetName val="8.PILE  (돌출)"/>
      <sheetName val="패널"/>
      <sheetName val="G2설비도급"/>
      <sheetName val="제경비율"/>
      <sheetName val="빌딩 안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부경대1차내역서"/>
      <sheetName val="부경대총괄내역서"/>
      <sheetName val="Sheet2"/>
      <sheetName val="Sheet3"/>
      <sheetName val="교대(A1-A2)"/>
      <sheetName val="08-1.수량산출서(공단2대로01-1)"/>
      <sheetName val="08-1.산출집계(공단2대로01-1)"/>
      <sheetName val="08.수량산출서(공단2대로01)"/>
      <sheetName val="08.산출집계(공단2대로01)"/>
      <sheetName val="12.수량산출서(대은로03-1)"/>
      <sheetName val="12.산출집계(대은로03-1)"/>
      <sheetName val="01.수량산출서(복지로05)"/>
      <sheetName val="01.산출집계(복지로05)"/>
      <sheetName val="03.수량산출서(서해안로05)"/>
      <sheetName val="03.산출집계(서해안로05)"/>
      <sheetName val="04.수량산출서(서해안로09)"/>
      <sheetName val="04.산출집계(서해안로09)"/>
      <sheetName val="11-1.수량산출서(역전로09-1)"/>
      <sheetName val="11-1.산출집계(역전로09-1)"/>
      <sheetName val="11-2.수량산출서(역전로09-2)"/>
      <sheetName val="11-2.산출집계(역전로09-2)"/>
      <sheetName val="11.수량산출서(역전로09)"/>
      <sheetName val="11.산출집계(역전로09)"/>
      <sheetName val="05-1.수량산출서(옥구고가교01-1)"/>
      <sheetName val="05-1.산출집계(옥구고가교01-1)"/>
      <sheetName val="05.수량산출서(옥구고가교01)"/>
      <sheetName val="05.산출집계(옥구고가교01)"/>
      <sheetName val="10-1.수량산출서(옥구공원로03-1)"/>
      <sheetName val="10-1.산출집계(옥구공원로03-1)"/>
      <sheetName val="10-2.수량산출서(옥구공원로03-2)"/>
      <sheetName val="10-2.산출집계(옥구공원로03-2)"/>
      <sheetName val="10.수량산출서(옥구공원로03)"/>
      <sheetName val="10.산출집계(옥구공원로03)"/>
      <sheetName val="02-1.수량산출서(은행로02-1)"/>
      <sheetName val="02-1.산출집계(은행로02-1)"/>
      <sheetName val="02-2.수량산출서(은행로02-2)"/>
      <sheetName val="02-2.산출집계(은행로02-2)"/>
      <sheetName val="02-3.수량산출서(은행로02-3)"/>
      <sheetName val="02-3.산출집계(은행로02-3)"/>
      <sheetName val="02.수량산출서(은행로02)"/>
      <sheetName val="02.산출집계(은행로02)"/>
      <sheetName val="06-1.수량산출서(정왕대로28번길-1)"/>
      <sheetName val="06-1.산출집계(정왕대로28번길-1)"/>
      <sheetName val="06-2.수량산출서(정왕대로28번길-2)"/>
      <sheetName val="06-2.산출집계(정왕대로28번길-2)"/>
      <sheetName val="06.수량산출서(정왕대로28번길)"/>
      <sheetName val="06.산출집계(정왕대로28번길)"/>
      <sheetName val="07-1.수량산출서(중심상가로04-1)"/>
      <sheetName val="07-1.산출집계(중심상가로04-1)"/>
      <sheetName val="07.수량산출서(중심상가로04)"/>
      <sheetName val="07.산출집계(중심상가로04)"/>
      <sheetName val="09-1.수량산출서(중심상가로07-1-1)"/>
      <sheetName val="09-1.산출집계(중심상가로07-1-1)"/>
      <sheetName val="09.수량산출서(중심상가로07-1)"/>
      <sheetName val="09.산출집계(중심상가로07-1)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보고서"/>
      <sheetName val="70%"/>
      <sheetName val="내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재"/>
      <sheetName val="자재 (2)"/>
      <sheetName val="총괄"/>
    </sheetNames>
    <sheetDataSet>
      <sheetData sheetId="0"/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포장공 자재집계표"/>
      <sheetName val="포장공 수량집계표"/>
      <sheetName val="오수관로포장집계표"/>
      <sheetName val="ASP-관로 -02"/>
      <sheetName val="콘크리트-ASP-OR-02"/>
      <sheetName val="콘크리트-ASP-OR-02 맨홀"/>
      <sheetName val="CONC-오수연결관"/>
      <sheetName val="CONC-오수받이"/>
      <sheetName val="기존관로 깨기 수량 집계표"/>
      <sheetName val="기존관로철거공수량산출"/>
      <sheetName val="기존관로철거공 A7"/>
      <sheetName val="기존관로철거공 B1"/>
      <sheetName val="기존관로철거공B4"/>
      <sheetName val="기존관로철거공C"/>
      <sheetName val="배수통관(좌)"/>
      <sheetName val="부경대총괄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량총괄"/>
      <sheetName val="총괄"/>
      <sheetName val="소요자재"/>
      <sheetName val="주요자재총"/>
      <sheetName val="주요자재"/>
      <sheetName val="축제공총괄표"/>
      <sheetName val="축제공집계표"/>
      <sheetName val="토적표(우)"/>
      <sheetName val="호안총괄"/>
      <sheetName val="호안집계"/>
      <sheetName val="통관총괄표"/>
      <sheetName val="통관집계"/>
      <sheetName val="배수통관(좌)"/>
      <sheetName val="배수통관(우)"/>
      <sheetName val="배수문총괄표 산출근거"/>
      <sheetName val="부체집"/>
      <sheetName val="부체토공(좌안)"/>
      <sheetName val="부체토공(2공구)"/>
      <sheetName val="부체콘크리트(1공구)"/>
      <sheetName val="부체콘크리트(2공구)"/>
      <sheetName val="콘크리트깨기"/>
      <sheetName val="철근수량집계표"/>
      <sheetName val="콘크리트수량집계표"/>
      <sheetName val="PILE 및 두부정리 집계표"/>
      <sheetName val="사급자재수량집계표"/>
      <sheetName val="흄관집계표"/>
      <sheetName val="장비운반소요대수"/>
      <sheetName val="토취장토적표"/>
      <sheetName val="토적표(좌)"/>
      <sheetName val="부체토공(1공구)"/>
      <sheetName val="오억미만"/>
      <sheetName val="가시설(TYPE-A)"/>
      <sheetName val="1-1평균터파기고(1)"/>
      <sheetName val="가정급수관"/>
      <sheetName val="자재집계표"/>
      <sheetName val="설계명세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토적표"/>
      <sheetName val="연약지반 토적"/>
      <sheetName val="누가토적"/>
      <sheetName val="단가"/>
      <sheetName val="#REF"/>
      <sheetName val="중기사용료"/>
      <sheetName val="수량산출"/>
      <sheetName val="날개벽"/>
      <sheetName val="예가표"/>
      <sheetName val="1TL종점(1)"/>
      <sheetName val="연약지반_토적"/>
      <sheetName val="견적서"/>
      <sheetName val="주현(해보)"/>
      <sheetName val="목표세부명세"/>
      <sheetName val="설계내역"/>
      <sheetName val="교각계산"/>
      <sheetName val="단가조사"/>
      <sheetName val="일위대가"/>
      <sheetName val="노임"/>
      <sheetName val="내역서"/>
      <sheetName val="단가산출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포장단면계산"/>
      <sheetName val="#REF"/>
      <sheetName val="교각계산"/>
      <sheetName val="측구공위치"/>
      <sheetName val="L형측구단위수량"/>
      <sheetName val="계산중"/>
      <sheetName val="횡배위치"/>
      <sheetName val="이월토공집계"/>
      <sheetName val="수량계산"/>
      <sheetName val="98수문일위"/>
      <sheetName val="찰쌓기수량집계"/>
      <sheetName val="본선포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 TR보호대기초"/>
      <sheetName val="가로등기초"/>
      <sheetName val="HANDHOLE(2)"/>
      <sheetName val="ELECTRIC"/>
      <sheetName val="CTEMCOST"/>
      <sheetName val="SCHEDULE"/>
      <sheetName val="Sheet9"/>
      <sheetName val="전기자료"/>
      <sheetName val="Sheet14"/>
      <sheetName val="Sheet10"/>
      <sheetName val="Sheet13"/>
      <sheetName val="조도계산"/>
      <sheetName val="S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  <sheetName val="36+45-113-18+19+20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적격점수"/>
      <sheetName val="심사평가"/>
      <sheetName val="자재인력"/>
      <sheetName val="설계실행"/>
      <sheetName val="관리비"/>
      <sheetName val="표지1"/>
      <sheetName val="총괄1"/>
      <sheetName val="하도사항1"/>
      <sheetName val="별지1"/>
      <sheetName val="토공11"/>
      <sheetName val="토공12"/>
      <sheetName val="토공13"/>
      <sheetName val="토공14"/>
      <sheetName val="토공15"/>
      <sheetName val="철콘11"/>
      <sheetName val="철콘12"/>
      <sheetName val="철콘13"/>
      <sheetName val="철콘14"/>
      <sheetName val="철콘15"/>
      <sheetName val="철강1"/>
      <sheetName val="표지2"/>
      <sheetName val="총괄2"/>
      <sheetName val="하도사항2"/>
      <sheetName val="별지2"/>
      <sheetName val="토공21"/>
      <sheetName val="토공22"/>
      <sheetName val="토공23"/>
      <sheetName val="토공24"/>
      <sheetName val="토공25"/>
      <sheetName val="철콘21"/>
      <sheetName val="철콘22"/>
      <sheetName val="철콘23"/>
      <sheetName val="철콘24"/>
      <sheetName val="철콘25"/>
      <sheetName val="철강2"/>
      <sheetName val="조경"/>
      <sheetName val="포장"/>
      <sheetName val="P-F"/>
      <sheetName val="선정.1"/>
      <sheetName val="선정.2"/>
      <sheetName val="선정.3"/>
      <sheetName val="선정.4"/>
      <sheetName val="선정.5"/>
      <sheetName val="견적결과"/>
      <sheetName val="집행(1)"/>
      <sheetName val="집행(2)"/>
      <sheetName val="합의서"/>
      <sheetName val="견적조건"/>
      <sheetName val="전기집계"/>
      <sheetName val="전기투찰"/>
      <sheetName val="토목총괄"/>
      <sheetName val="전기총괄"/>
      <sheetName val="내역서"/>
      <sheetName val="설 계"/>
      <sheetName val="추풍최종"/>
      <sheetName val="입출재고현황 (2)"/>
      <sheetName val="차액보증"/>
      <sheetName val="노임"/>
      <sheetName val="일위대가(계측기설치)"/>
      <sheetName val="내역(설계)"/>
      <sheetName val="A-4"/>
      <sheetName val="단가"/>
      <sheetName val="INPUT"/>
      <sheetName val="45,46"/>
      <sheetName val="전기"/>
      <sheetName val="양수장(기계)"/>
      <sheetName val="품셈TABLE"/>
      <sheetName val="횡배수관토공수량"/>
      <sheetName val="ABUT수량-A1"/>
      <sheetName val="기초자료(x)"/>
      <sheetName val="2000년1차"/>
      <sheetName val="2000전체분"/>
      <sheetName val="도급"/>
      <sheetName val="갑지"/>
      <sheetName val="2000년하반기"/>
      <sheetName val="기본DATA"/>
      <sheetName val="지급자재"/>
      <sheetName val="취수탑"/>
      <sheetName val="3F"/>
      <sheetName val="일위대가(가설)"/>
      <sheetName val="점수계산1-2"/>
      <sheetName val="표지"/>
      <sheetName val="단가표"/>
      <sheetName val="Sheet5"/>
      <sheetName val="기계내역"/>
      <sheetName val="전신환매도율"/>
      <sheetName val="BID"/>
      <sheetName val="건축내역"/>
      <sheetName val="반중력식옹벽"/>
      <sheetName val="토공실행"/>
      <sheetName val="전계가"/>
      <sheetName val="청천내"/>
      <sheetName val="내역표지"/>
      <sheetName val="G.R300경비"/>
      <sheetName val="설계"/>
      <sheetName val="원본"/>
      <sheetName val="통합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-WORK"/>
      <sheetName val="STORAGE"/>
      <sheetName val="YES"/>
      <sheetName val="전선 및 전선관"/>
      <sheetName val="설계예산서"/>
      <sheetName val="수량집계"/>
      <sheetName val="총괄"/>
      <sheetName val="토목"/>
      <sheetName val="가로등내역서"/>
      <sheetName val="DATA"/>
      <sheetName val="#REF"/>
      <sheetName val="수량산출서"/>
      <sheetName val="일위대가"/>
      <sheetName val="2000.11월설계내역"/>
      <sheetName val="터파기및재료"/>
      <sheetName val="말뚝지지력산정"/>
      <sheetName val="집계표"/>
      <sheetName val="단가"/>
      <sheetName val="총괄표"/>
      <sheetName val="조명율표"/>
      <sheetName val="정부노임단가"/>
      <sheetName val="3BL공동구 수량"/>
      <sheetName val="실행철강하도"/>
      <sheetName val="내역서(전기)"/>
      <sheetName val="하조서"/>
      <sheetName val="내역서"/>
      <sheetName val="단가산출"/>
      <sheetName val="소야공정계획표"/>
      <sheetName val="내역서2안"/>
      <sheetName val="입찰안"/>
      <sheetName val="6호기"/>
      <sheetName val="수량산출"/>
      <sheetName val="내역"/>
      <sheetName val="보증수수료산출"/>
      <sheetName val="준검 내역서"/>
      <sheetName val="봉양~조차장간고하개명(신설)"/>
      <sheetName val="bid"/>
      <sheetName val="기계경비"/>
      <sheetName val="공사비예산서(토목분)"/>
      <sheetName val="각형맨홀"/>
      <sheetName val="수목단가"/>
      <sheetName val="시설수량표"/>
      <sheetName val="식재수량표"/>
      <sheetName val="일위목록"/>
      <sheetName val="자재단가"/>
      <sheetName val="1.수인터널"/>
      <sheetName val="가로등"/>
      <sheetName val="INPUT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부대내역"/>
      <sheetName val="JUCK"/>
      <sheetName val="수목데이타 "/>
      <sheetName val="변압기 및 발전기 용량"/>
      <sheetName val="ASP포장"/>
      <sheetName val="단가산출서(기계)"/>
      <sheetName val="교각1"/>
      <sheetName val="단가조사"/>
      <sheetName val="일위대가표"/>
      <sheetName val="단가 및 재료비"/>
      <sheetName val="Sheet2"/>
      <sheetName val="Sheet1 (2)"/>
      <sheetName val="코드표"/>
      <sheetName val="MOTOR"/>
      <sheetName val="주상도"/>
      <sheetName val="예산변경사항"/>
      <sheetName val="2000년1차"/>
      <sheetName val="ETC"/>
      <sheetName val="표지 (2)"/>
      <sheetName val="에너지동"/>
      <sheetName val="연습"/>
      <sheetName val="상수도토공집계표"/>
      <sheetName val="신우"/>
      <sheetName val="점검총괄"/>
      <sheetName val="자재목록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노임단가"/>
      <sheetName val="기안"/>
      <sheetName val="갑지"/>
      <sheetName val="견적서"/>
      <sheetName val="호계"/>
      <sheetName val="제암"/>
      <sheetName val="월마트"/>
      <sheetName val="월드컵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설계내역서"/>
      <sheetName val="ITEM"/>
      <sheetName val="- INFORMATION -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단가비교표"/>
      <sheetName val="Module11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일위대가표(유단가)"/>
      <sheetName val="20관리비율"/>
      <sheetName val="총괄집계표"/>
      <sheetName val="Baby일위대가"/>
      <sheetName val="DATA1"/>
      <sheetName val="Total"/>
      <sheetName val="원가계산"/>
      <sheetName val="참조-(1)"/>
      <sheetName val="구조물철거타공정이월"/>
      <sheetName val="ABUT수량-A1"/>
      <sheetName val="단면 (2)"/>
      <sheetName val="노임"/>
      <sheetName val="기둥(원형)"/>
      <sheetName val="COPING"/>
      <sheetName val="간선계산"/>
      <sheetName val="동력부하(도산)"/>
      <sheetName val="입찰결과(DATA)"/>
      <sheetName val="일위대가(목록)"/>
      <sheetName val="재료비"/>
      <sheetName val="예산갑지"/>
      <sheetName val="데이타"/>
      <sheetName val="요율"/>
      <sheetName val="자재대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AS포장복구 "/>
      <sheetName val="CABLE SIZE-3"/>
      <sheetName val="EQUIP-H"/>
      <sheetName val="기계경비시간당손료목록"/>
      <sheetName val="스톱로그내역"/>
      <sheetName val="공구원가계산"/>
      <sheetName val="외주"/>
      <sheetName val="금액내역서"/>
      <sheetName val="돌망태단위수량"/>
      <sheetName val="말뚝물량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물가자료"/>
      <sheetName val="품의서"/>
      <sheetName val="부하계산서"/>
      <sheetName val="물가시세"/>
      <sheetName val="SG"/>
      <sheetName val="전신환매도율"/>
      <sheetName val="EACT10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BOX전기내역"/>
      <sheetName val="단가일람"/>
      <sheetName val="조경일람"/>
      <sheetName val="일위대가목록"/>
      <sheetName val="공종별원가계산"/>
      <sheetName val="대치판정"/>
      <sheetName val="제수변수량"/>
      <sheetName val="공기변수량"/>
      <sheetName val="9-1차이내역"/>
      <sheetName val="2006기계경비산출표"/>
      <sheetName val="22단가(철거)"/>
      <sheetName val="49단가"/>
      <sheetName val="49단가(철거)"/>
      <sheetName val="22단가"/>
      <sheetName val="LD일"/>
      <sheetName val="FA설치명세"/>
      <sheetName val="FD"/>
      <sheetName val="증감대비"/>
      <sheetName val="공종단가"/>
      <sheetName val="BASIC (2)"/>
      <sheetName val="부속동"/>
      <sheetName val="AILC004"/>
      <sheetName val="단가조사서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내역구성"/>
      <sheetName val="4원가"/>
      <sheetName val="임시급식"/>
      <sheetName val="옥외가스"/>
      <sheetName val="임시급식 (2)"/>
      <sheetName val="목차"/>
      <sheetName val="BQ"/>
      <sheetName val="견적조건"/>
      <sheetName val="견적조건(을지)"/>
      <sheetName val="대구실행"/>
      <sheetName val="0.집계"/>
      <sheetName val="구역화물"/>
      <sheetName val="unit 4"/>
      <sheetName val="Summary Sheets"/>
      <sheetName val="일위목록-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견적대비"/>
      <sheetName val="간접1"/>
      <sheetName val="가감수량"/>
      <sheetName val="맨홀수량산출"/>
      <sheetName val="종합기별"/>
      <sheetName val="노무비명세서"/>
      <sheetName val="소요자재명세서"/>
      <sheetName val="경비_원본"/>
      <sheetName val="1차증가원가계산"/>
      <sheetName val="2000전체분"/>
      <sheetName val="간접비"/>
      <sheetName val="토량1-1"/>
      <sheetName val="5.정산서"/>
      <sheetName val="소요자재"/>
      <sheetName val="노무산출서"/>
      <sheetName val="일용노임단가"/>
      <sheetName val="Macro(차단기)"/>
      <sheetName val="기계내역"/>
      <sheetName val="참고"/>
      <sheetName val="공사개요"/>
      <sheetName val="토공"/>
      <sheetName val="우수맨홀공제단위수량"/>
      <sheetName val="본선차로수량집계표"/>
      <sheetName val="수주현황2월"/>
      <sheetName val="타공종이기"/>
      <sheetName val="수입"/>
      <sheetName val="토공유동표"/>
      <sheetName val="교각계산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기계경비(시간당)"/>
      <sheetName val="램머"/>
      <sheetName val="일반수량"/>
      <sheetName val="VA_code"/>
      <sheetName val="말고개터널조명전압강하"/>
      <sheetName val=" 상부공통집계(총괄)"/>
      <sheetName val="조건표"/>
      <sheetName val="JJ"/>
      <sheetName val="설계"/>
      <sheetName val="설 계"/>
      <sheetName val="식생블럭단위수량"/>
      <sheetName val="전기일위대가"/>
      <sheetName val="단면(RW1)"/>
      <sheetName val="WORK"/>
      <sheetName val="시설물일위"/>
      <sheetName val="비교표"/>
      <sheetName val="소비자가"/>
      <sheetName val="ilch"/>
      <sheetName val="예정(3)"/>
      <sheetName val="동원(3)"/>
      <sheetName val="을지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N賃率-職"/>
      <sheetName val="가로등부표"/>
      <sheetName val="조도계산서 (도서)"/>
      <sheetName val="LOPCALC"/>
      <sheetName val="재료"/>
      <sheetName val="매립"/>
      <sheetName val="MAIN_TABLE"/>
      <sheetName val="1.설계조건"/>
      <sheetName val="일위대가목차"/>
      <sheetName val="제경비율"/>
      <sheetName val="아산추가1220"/>
      <sheetName val="3-1.CB"/>
      <sheetName val="XL4Poppy"/>
      <sheetName val="98지급계획"/>
      <sheetName val="당초"/>
      <sheetName val="본공사"/>
      <sheetName val="DANGA"/>
      <sheetName val="A-4"/>
      <sheetName val="IMP(MAIN)"/>
      <sheetName val="IMP (REACTOR)"/>
      <sheetName val="차액보증"/>
      <sheetName val="오산갈곳"/>
      <sheetName val="맨홀수량집계"/>
      <sheetName val="설계조건"/>
      <sheetName val="날개벽(TYPE3)"/>
      <sheetName val="1.설계기준"/>
      <sheetName val="터널조도"/>
      <sheetName val="현황CODE"/>
      <sheetName val="손익현황"/>
      <sheetName val="3차설계"/>
      <sheetName val="주형"/>
      <sheetName val="밸브설치"/>
      <sheetName val="3.바닥판설계"/>
      <sheetName val="안정계산"/>
      <sheetName val="단면검토"/>
      <sheetName val="원가"/>
      <sheetName val="통장출금액"/>
      <sheetName val="약품설비"/>
      <sheetName val="PO-BOQ"/>
      <sheetName val="설산1.나"/>
      <sheetName val="본사S"/>
      <sheetName val="일반수량총괄"/>
      <sheetName val="품셈"/>
      <sheetName val="사각맨홀"/>
      <sheetName val="관로"/>
      <sheetName val="기흥하도용"/>
      <sheetName val="의왕내역"/>
      <sheetName val="°ø»çºñ¿¹»ê¼­(Åä¸ñºÐ)"/>
      <sheetName val="°¢Çü¸ÇÈ¦"/>
      <sheetName val="¼ö¸ñ´Ü°¡"/>
      <sheetName val="½Ã¼³¼ö·®Ç¥"/>
      <sheetName val="½ÄÀç¼ö·®Ç¥"/>
      <sheetName val="ÀÏÀ§¸ñ·Ï"/>
      <sheetName val="ÀÚÀç´Ü°¡"/>
      <sheetName val="°¡·Îµî"/>
      <sheetName val="기자재대비표"/>
      <sheetName val="연결관산출조서"/>
      <sheetName val="LP-S"/>
      <sheetName val="하수급견적대비"/>
      <sheetName val="적용(기계)"/>
      <sheetName val="일위집계표"/>
      <sheetName val="MACRO(MCC)"/>
      <sheetName val="옹벽수량집계"/>
      <sheetName val="1SPAN"/>
      <sheetName val="wall"/>
      <sheetName val="조명일위"/>
      <sheetName val="인건비 "/>
      <sheetName val="포장공"/>
      <sheetName val="메서,변+증"/>
      <sheetName val="투찰추정"/>
      <sheetName val="공내역"/>
      <sheetName val="안정검토"/>
      <sheetName val="단면설계"/>
      <sheetName val="수로교총재료집계"/>
      <sheetName val="001"/>
      <sheetName val="노무비"/>
      <sheetName val="총계"/>
      <sheetName val="입찰보고"/>
      <sheetName val="1차설계변경내역"/>
      <sheetName val="노무비단가"/>
      <sheetName val="일위대가(가설)"/>
      <sheetName val="실행내역서"/>
      <sheetName val="인건비"/>
      <sheetName val="BID-도로"/>
      <sheetName val="내력서"/>
      <sheetName val="대창(함평)-창열"/>
      <sheetName val="대창(장성)"/>
      <sheetName val="기자재비"/>
      <sheetName val="직공비"/>
      <sheetName val="입출재고현황 (2)"/>
      <sheetName val="Macro2"/>
      <sheetName val="과세표준율-2"/>
      <sheetName val="면적분양가"/>
      <sheetName val="분양면적(1123)"/>
      <sheetName val="출력소스"/>
      <sheetName val="부하LOAD"/>
      <sheetName val="자  재"/>
      <sheetName val="2공구산출내역"/>
      <sheetName val="건축내역서 (경제상무실)"/>
      <sheetName val="단가산출서"/>
      <sheetName val="SLAB&quot;1&quot;"/>
      <sheetName val="공통가설"/>
      <sheetName val="설계예시"/>
      <sheetName val="DATA 입력란"/>
      <sheetName val="1. 설계조건 2.단면가정 3. 하중계산"/>
      <sheetName val="설계가"/>
      <sheetName val="산근"/>
      <sheetName val="자재단가표"/>
      <sheetName val="AS복구"/>
      <sheetName val="중기터파기"/>
      <sheetName val="변수값"/>
      <sheetName val="중기상차"/>
      <sheetName val="단면가정"/>
      <sheetName val="주관사업"/>
      <sheetName val="수문일1"/>
      <sheetName val="발주설계서(당초)"/>
      <sheetName val="가설건물"/>
      <sheetName val="물량표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교대(A1)"/>
      <sheetName val="교대(A1-A2)"/>
      <sheetName val="I一般比"/>
      <sheetName val="경비2내역"/>
      <sheetName val="현장관리비내역서"/>
      <sheetName val="단가대비표"/>
      <sheetName val="일위대가표 (2)"/>
      <sheetName val="포장복구집계"/>
      <sheetName val="REACTION(USD지진시)"/>
      <sheetName val="REACTION(USE평시)"/>
      <sheetName val="부재력정리"/>
      <sheetName val="BLOCK(1)"/>
      <sheetName val="8. 안정검토"/>
      <sheetName val="제-노임"/>
      <sheetName val="제직재"/>
      <sheetName val="96보완계획7.12"/>
      <sheetName val="지진시"/>
      <sheetName val="3.공통공사대비"/>
      <sheetName val="6PILE  (돌출)"/>
      <sheetName val="98NS-N"/>
      <sheetName val="토량산출서"/>
      <sheetName val="조명시설"/>
      <sheetName val="90.03실행 "/>
      <sheetName val="자료입력"/>
      <sheetName val="금리계산"/>
      <sheetName val="대구-교대(A1-A2)"/>
      <sheetName val="원형1호맨홀토공수량"/>
      <sheetName val="Sheet17"/>
      <sheetName val="°©Áö"/>
      <sheetName val="°ø»ç¿ø°¡°è»ê¼­"/>
      <sheetName val="ÃÑ³»¿ª¼­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µ¿¿ø(3)"/>
      <sheetName val="¿¹Á¤(3)"/>
      <sheetName val="ÁÖÇü"/>
      <sheetName val="부대시설"/>
      <sheetName val="Apt내역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Ç¥Áö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재정비직인"/>
      <sheetName val="재정비내역"/>
      <sheetName val="지적고시내역"/>
      <sheetName val="철거산출근거"/>
      <sheetName val="단위단가"/>
      <sheetName val="현장설명서"/>
      <sheetName val="견적조건서"/>
      <sheetName val="시공일반사항"/>
      <sheetName val="현장설명서갑지"/>
      <sheetName val="하도급선정의뢰서(습식공사)"/>
      <sheetName val="검사조서"/>
      <sheetName val="검사원"/>
      <sheetName val="집계(총괄)"/>
      <sheetName val="구성비"/>
      <sheetName val="실적보고"/>
      <sheetName val="표준안전집계"/>
      <sheetName val="표준안전내역"/>
      <sheetName val="9GNG운반"/>
      <sheetName val="36신설수량"/>
      <sheetName val="cost"/>
      <sheetName val="제품별"/>
      <sheetName val="원가계산서"/>
      <sheetName val="15"/>
      <sheetName val="기초코드"/>
      <sheetName val="기성"/>
      <sheetName val="기성내역 진짜"/>
      <sheetName val="기성갑지"/>
      <sheetName val="교통량조사"/>
      <sheetName val="변경비교-을"/>
      <sheetName val="CTEMCOST"/>
      <sheetName val="견적의뢰서"/>
      <sheetName val="48일위"/>
      <sheetName val="48수량"/>
      <sheetName val="22수량"/>
      <sheetName val="49일위"/>
      <sheetName val="22일위"/>
      <sheetName val="49수량"/>
      <sheetName val="현장관리비 "/>
      <sheetName val="2000,9월 일위"/>
      <sheetName val="금액결정"/>
      <sheetName val="전차선로 물량표"/>
      <sheetName val="Mc1"/>
      <sheetName val="Data&amp;Result"/>
      <sheetName val="일위대가(출입)"/>
      <sheetName val="목동1절주.bh01"/>
      <sheetName val=" 총괄표"/>
      <sheetName val="사급자재(1단계)"/>
      <sheetName val="고창터널(고창방향)"/>
      <sheetName val="b_balju_cho"/>
      <sheetName val="건축개요"/>
      <sheetName val="시멘트"/>
      <sheetName val="guard(mac)"/>
      <sheetName val="품셈TABLE"/>
      <sheetName val="품셈표"/>
      <sheetName val="부대대비"/>
      <sheetName val="냉연집계"/>
      <sheetName val="BSD (2)"/>
      <sheetName val="산출내역서"/>
      <sheetName val="저"/>
      <sheetName val="경상비"/>
      <sheetName val="열린교실"/>
      <sheetName val="명세서"/>
      <sheetName val="단가목록"/>
      <sheetName val="일위"/>
      <sheetName val="경산(을)"/>
      <sheetName val="위치조서"/>
      <sheetName val="버스운행안내"/>
      <sheetName val="예방접종계획"/>
      <sheetName val="근태계획서"/>
      <sheetName val="제진기"/>
      <sheetName val="영구청"/>
      <sheetName val="영구청이설"/>
      <sheetName val="사당2"/>
      <sheetName val="사당4"/>
      <sheetName val="사당4이설"/>
      <sheetName val="교대2"/>
      <sheetName val="교대2이설"/>
      <sheetName val="교대3"/>
      <sheetName val="교대3이설"/>
      <sheetName val="수서3"/>
      <sheetName val="수서3이설"/>
      <sheetName val="영구청afc"/>
      <sheetName val="ⴭⴭⴭⴭ"/>
      <sheetName val="2회기성사정"/>
      <sheetName val="3회기성갑지"/>
      <sheetName val="3회총괄"/>
      <sheetName val="3회기성"/>
      <sheetName val="소방사항"/>
      <sheetName val="TRE TABLE"/>
      <sheetName val="제수"/>
      <sheetName val="공기"/>
      <sheetName val="몰탈재료산출"/>
      <sheetName val="단위목록"/>
      <sheetName val="기계경비목록"/>
      <sheetName val="관급"/>
      <sheetName val="실행갑지"/>
      <sheetName val="기계경비일람"/>
      <sheetName val="FAX"/>
      <sheetName val="담장산출"/>
      <sheetName val="역T형"/>
      <sheetName val="설계기준 및 하중계산"/>
      <sheetName val="입력값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아파트기별"/>
      <sheetName val="공리일"/>
      <sheetName val="LEGEND"/>
      <sheetName val="기본DATA"/>
      <sheetName val="품셈집계표"/>
      <sheetName val="자재조사표"/>
      <sheetName val="일반부표집계표"/>
      <sheetName val="가도공"/>
      <sheetName val="하중산정"/>
      <sheetName val="정화조방수미장"/>
      <sheetName val="백호우계수"/>
      <sheetName val="2F 회의실견적(5_14 일대)"/>
      <sheetName val="출력X"/>
      <sheetName val="DATE"/>
      <sheetName val="인건-측정"/>
      <sheetName val="사급자재"/>
      <sheetName val="지주설치제원"/>
      <sheetName val="접속도로1"/>
      <sheetName val="단가표"/>
      <sheetName val="공사별 가중치 산출근거(토목)"/>
      <sheetName val="가중치근거(조경)"/>
      <sheetName val="진접"/>
      <sheetName val="차도조도계산"/>
      <sheetName val="설계명세서"/>
      <sheetName val="기초자료입력"/>
      <sheetName val="역집계1"/>
      <sheetName val="과천MAIN"/>
      <sheetName val="노무비 근거"/>
      <sheetName val="효성CB 1P기초"/>
      <sheetName val="EQ-R1"/>
      <sheetName val="품목"/>
      <sheetName val="중총괄"/>
      <sheetName val="소총괄"/>
      <sheetName val="사용내역"/>
      <sheetName val="안전세부"/>
      <sheetName val="총급여"/>
      <sheetName val="급여"/>
      <sheetName val="안전사진"/>
      <sheetName val="계좌"/>
      <sheetName val="사진"/>
      <sheetName val="작업일지"/>
      <sheetName val="계획"/>
      <sheetName val="계획세부"/>
      <sheetName val="사용내역서"/>
      <sheetName val="항목별내역서"/>
      <sheetName val="안전담당자"/>
      <sheetName val="유도원"/>
      <sheetName val="단위가격"/>
      <sheetName val="토사(PE)"/>
      <sheetName val="각종장비전압강하계산"/>
      <sheetName val="일위대가(계측기설치)"/>
      <sheetName val="내역서01"/>
      <sheetName val="총집계표"/>
      <sheetName val="Option"/>
      <sheetName val="실행(표지,갑,을)"/>
      <sheetName val="인수공총괄"/>
      <sheetName val="공사비집계"/>
      <sheetName val="정화조동내역"/>
      <sheetName val="단위수량"/>
      <sheetName val="관리사무소"/>
      <sheetName val="가시설단위수량"/>
      <sheetName val="SORCE1"/>
      <sheetName val="Á¡°ËÃÑ°ý"/>
      <sheetName val="»ó¼öµµÅä°øÁý°èÇ¥"/>
      <sheetName val="°ßÀû´ëºñ"/>
      <sheetName val="ÀÏÀ§´ë°¡Ç¥(À¯´Ü°¡)"/>
      <sheetName val="ÀÚÀç¸ñ·Ï"/>
      <sheetName val="20°ü¸®ºñÀ²"/>
      <sheetName val="진주방향"/>
      <sheetName val="마산방향"/>
      <sheetName val="설직재-1"/>
      <sheetName val="재료집계"/>
      <sheetName val="HRSG SMALL07220"/>
      <sheetName val="견적990322"/>
      <sheetName val="sw1"/>
      <sheetName val="할증 "/>
      <sheetName val="품종별-이름"/>
      <sheetName val="인사자료총집계"/>
      <sheetName val=" 갑  지 "/>
      <sheetName val="Y_WORK"/>
      <sheetName val="토목내역"/>
      <sheetName val="노임변동률"/>
      <sheetName val="조건"/>
      <sheetName val="COMPRESSOR"/>
      <sheetName val="적용공정"/>
      <sheetName val="L_RPTB02_01"/>
      <sheetName val="48전력선로일위"/>
      <sheetName val="우배수"/>
      <sheetName val="맨홀"/>
      <sheetName val="금호"/>
      <sheetName val="부하(성남)"/>
      <sheetName val="재집"/>
      <sheetName val="직재"/>
      <sheetName val="연부97-1"/>
      <sheetName val="갑지1"/>
      <sheetName val="주사무실종합"/>
      <sheetName val="중기일위대가"/>
      <sheetName val="본부소개"/>
      <sheetName val="설비내역서"/>
      <sheetName val="건축내역서"/>
      <sheetName val="전기내역서"/>
      <sheetName val="기초자료"/>
      <sheetName val="여과지동"/>
      <sheetName val="내역표지"/>
      <sheetName val="ITB COST"/>
      <sheetName val="현관"/>
      <sheetName val="NYS"/>
      <sheetName val="개보수공사BM"/>
      <sheetName val="EQUIPMENT -2"/>
      <sheetName val="송전재료비"/>
      <sheetName val="1단계"/>
      <sheetName val="Macro(전선)"/>
      <sheetName val="시중노임(공사)"/>
      <sheetName val="1-1"/>
      <sheetName val="공통(20-91)"/>
      <sheetName val="예산M6-B"/>
      <sheetName val="노임,재료비"/>
      <sheetName val="전선"/>
      <sheetName val="CABLE"/>
      <sheetName val="설명"/>
      <sheetName val="기계경비산출"/>
      <sheetName val="basic"/>
      <sheetName val="Testing"/>
      <sheetName val="계화배수"/>
      <sheetName val="방음벽 기초 일반수량"/>
      <sheetName val="I.설계조건"/>
      <sheetName val="단면치수"/>
      <sheetName val="NEYOK"/>
      <sheetName val="수안보-MBR1"/>
      <sheetName val="입력DATA"/>
      <sheetName val="건축"/>
      <sheetName val="단가산출서 (2)"/>
      <sheetName val="BJJIN"/>
      <sheetName val="시공계획"/>
      <sheetName val="적상기초자료"/>
      <sheetName val="개봉3동하수관"/>
      <sheetName val="결과조달"/>
      <sheetName val="건축내역"/>
      <sheetName val="부안일위"/>
      <sheetName val="정공공사"/>
      <sheetName val="실행대비"/>
      <sheetName val="청천내"/>
      <sheetName val="1공구 건정토건 철콘"/>
      <sheetName val="2공구하도급내역서"/>
      <sheetName val="도급내역"/>
      <sheetName val="세부내역"/>
      <sheetName val="연결임시"/>
      <sheetName val="구조물공"/>
      <sheetName val="도급내역5+800"/>
      <sheetName val="수목표준대가"/>
      <sheetName val="부대공"/>
      <sheetName val="도급금액"/>
      <sheetName val="재노경"/>
      <sheetName val="적현로"/>
      <sheetName val="배수공"/>
      <sheetName val="변경내역서"/>
      <sheetName val="1공구 건정토건 토공"/>
      <sheetName val="식재인부"/>
      <sheetName val="경상직원"/>
      <sheetName val="일위대가(1)"/>
      <sheetName val="전체"/>
      <sheetName val="관급자재"/>
      <sheetName val="제경비"/>
      <sheetName val="초기화면"/>
      <sheetName val="총공사내역서"/>
      <sheetName val="토공사"/>
      <sheetName val="정렬"/>
      <sheetName val="계약내역서"/>
      <sheetName val="전체도급"/>
      <sheetName val="CODE"/>
      <sheetName val="전기"/>
      <sheetName val="충주"/>
      <sheetName val="본선 토공 분배표"/>
      <sheetName val="1.토공"/>
      <sheetName val="지급자재"/>
      <sheetName val="제출내역 (2)"/>
      <sheetName val="6공구(당초)"/>
      <sheetName val="산근1"/>
      <sheetName val="70%"/>
      <sheetName val="투찰"/>
      <sheetName val="관리,공감"/>
      <sheetName val="입찰"/>
      <sheetName val="1,2공구원가계산서"/>
      <sheetName val="1공구산출내역서"/>
      <sheetName val="현경"/>
      <sheetName val="전화번호DATA (2001)"/>
      <sheetName val="장비"/>
      <sheetName val="노무"/>
      <sheetName val="자압"/>
      <sheetName val="자재"/>
      <sheetName val="106C0300"/>
      <sheetName val="용산1(해보)"/>
      <sheetName val="평교-내역"/>
      <sheetName val="토목주소"/>
      <sheetName val="설계산출표지"/>
      <sheetName val="확약서"/>
      <sheetName val="부서현황"/>
      <sheetName val="탑(을지)"/>
      <sheetName val="약품공급2"/>
      <sheetName val="노임(1차)"/>
      <sheetName val="1호인버트수량"/>
      <sheetName val="석축설면"/>
      <sheetName val="법면단"/>
      <sheetName val="기준비용"/>
      <sheetName val="계약표지"/>
      <sheetName val="코드"/>
      <sheetName val="공사별 가중치 산출근거(건축)"/>
      <sheetName val="집수A"/>
      <sheetName val="현장지지물물량"/>
      <sheetName val="주차구획선수량"/>
      <sheetName val="접속슬라브"/>
      <sheetName val="KMT물량"/>
      <sheetName val="데리네이타현황"/>
      <sheetName val="가격조사서"/>
      <sheetName val="전체내역서"/>
      <sheetName val="간접"/>
      <sheetName val="G.R300경비"/>
      <sheetName val="plan&amp;section of foundation"/>
      <sheetName val="9811"/>
      <sheetName val="투찰내역"/>
      <sheetName val="COVER-P"/>
      <sheetName val="기본단가"/>
      <sheetName val="영업소실적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3BL공동구 수량"/>
      <sheetName val="수량산출"/>
      <sheetName val="전기"/>
      <sheetName val="조작대(1연)"/>
      <sheetName val="원형1호맨홀토공수량"/>
      <sheetName val="guard(mac)"/>
      <sheetName val="기둥(원형)"/>
      <sheetName val="월송Ic교1"/>
      <sheetName val="품목"/>
      <sheetName val="견적대비 견적서"/>
      <sheetName val="토사(PE)"/>
      <sheetName val="마산방향철근집계"/>
      <sheetName val="진주방향"/>
      <sheetName val="마산방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3"/>
  <sheetViews>
    <sheetView tabSelected="1" view="pageBreakPreview" zoomScaleNormal="115" zoomScaleSheetLayoutView="100" workbookViewId="0">
      <selection activeCell="P17" sqref="P17"/>
    </sheetView>
  </sheetViews>
  <sheetFormatPr defaultRowHeight="13.5"/>
  <cols>
    <col min="1" max="1" width="11.21875" style="1366" customWidth="1"/>
    <col min="2" max="2" width="3" style="1387" customWidth="1"/>
    <col min="3" max="3" width="5.77734375" style="1366" customWidth="1"/>
    <col min="4" max="13" width="8.77734375" style="1366" customWidth="1"/>
    <col min="14" max="14" width="6.88671875" style="1366" customWidth="1"/>
    <col min="15" max="16384" width="8.88671875" style="1366"/>
  </cols>
  <sheetData>
    <row r="1" spans="1:16" ht="16.5">
      <c r="A1" s="1365"/>
      <c r="B1" s="1365"/>
      <c r="C1" s="1365"/>
      <c r="D1" s="1365"/>
      <c r="E1" s="1365"/>
      <c r="F1" s="1365"/>
      <c r="G1" s="1365"/>
      <c r="H1" s="1365"/>
      <c r="I1" s="1365"/>
      <c r="J1" s="1365"/>
      <c r="K1" s="1365"/>
      <c r="L1" s="1365"/>
      <c r="M1" s="1365"/>
      <c r="N1" s="1365"/>
    </row>
    <row r="2" spans="1:16" ht="31.5">
      <c r="A2" s="1481" t="s">
        <v>1821</v>
      </c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</row>
    <row r="3" spans="1:16" s="1370" customFormat="1" ht="23.1" customHeight="1">
      <c r="A3" s="1367" t="s">
        <v>1822</v>
      </c>
      <c r="B3" s="1368"/>
      <c r="C3" s="1369"/>
      <c r="D3" s="1369"/>
      <c r="E3" s="1369"/>
      <c r="F3" s="1369"/>
      <c r="G3" s="1369"/>
      <c r="H3" s="1369"/>
      <c r="I3" s="1369"/>
      <c r="J3" s="1369"/>
      <c r="K3" s="1369"/>
      <c r="L3" s="1369"/>
      <c r="M3" s="1369"/>
      <c r="N3" s="1369"/>
    </row>
    <row r="4" spans="1:16" s="1373" customFormat="1" ht="23.1" customHeight="1">
      <c r="A4" s="1371"/>
      <c r="B4" s="1368" t="s">
        <v>14</v>
      </c>
      <c r="C4" s="1372" t="s">
        <v>1823</v>
      </c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</row>
    <row r="5" spans="1:16" s="1373" customFormat="1" ht="23.1" customHeight="1">
      <c r="A5" s="1371"/>
      <c r="B5" s="1368"/>
      <c r="C5" s="1369"/>
      <c r="D5" s="1369"/>
      <c r="E5" s="1369"/>
      <c r="F5" s="1369"/>
      <c r="G5" s="1369"/>
      <c r="H5" s="1369"/>
      <c r="I5" s="1369"/>
      <c r="J5" s="1369"/>
      <c r="K5" s="1369"/>
      <c r="L5" s="1369"/>
      <c r="M5" s="1369"/>
      <c r="N5" s="1369"/>
    </row>
    <row r="6" spans="1:16" s="1370" customFormat="1" ht="23.1" customHeight="1">
      <c r="A6" s="1367" t="s">
        <v>1824</v>
      </c>
      <c r="B6" s="1368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</row>
    <row r="7" spans="1:16" s="1373" customFormat="1" ht="23.1" customHeight="1">
      <c r="A7" s="1371" t="s">
        <v>1514</v>
      </c>
      <c r="B7" s="1368" t="s">
        <v>14</v>
      </c>
      <c r="C7" s="1482" t="s">
        <v>1825</v>
      </c>
      <c r="D7" s="1482"/>
      <c r="E7" s="1482"/>
      <c r="F7" s="1482"/>
      <c r="G7" s="1482"/>
      <c r="H7" s="1482"/>
      <c r="I7" s="1482"/>
      <c r="J7" s="1482"/>
      <c r="K7" s="1482"/>
      <c r="L7" s="1482"/>
      <c r="M7" s="1482"/>
      <c r="N7" s="1482"/>
    </row>
    <row r="8" spans="1:16" s="1373" customFormat="1" ht="23.1" customHeight="1">
      <c r="A8" s="1371"/>
      <c r="B8" s="1368" t="s">
        <v>14</v>
      </c>
      <c r="C8" s="1369" t="s">
        <v>1826</v>
      </c>
      <c r="D8" s="1369"/>
      <c r="E8" s="1369"/>
      <c r="F8" s="1369"/>
      <c r="G8" s="1369"/>
      <c r="H8" s="1369"/>
      <c r="I8" s="1369"/>
      <c r="J8" s="1369"/>
      <c r="K8" s="1369"/>
      <c r="L8" s="1369"/>
      <c r="M8" s="1369"/>
      <c r="N8" s="1369"/>
    </row>
    <row r="9" spans="1:16" s="1373" customFormat="1" ht="23.1" customHeight="1">
      <c r="A9" s="1371"/>
      <c r="B9" s="1368"/>
      <c r="C9" s="1369"/>
      <c r="D9" s="1369"/>
      <c r="E9" s="1369"/>
      <c r="F9" s="1369"/>
      <c r="G9" s="1369"/>
      <c r="H9" s="1369"/>
      <c r="I9" s="1369"/>
      <c r="J9" s="1369"/>
      <c r="K9" s="1369"/>
      <c r="L9" s="1369"/>
      <c r="M9" s="1369"/>
      <c r="N9" s="1369"/>
    </row>
    <row r="10" spans="1:16" s="1370" customFormat="1" ht="23.1" customHeight="1">
      <c r="A10" s="1367" t="s">
        <v>1827</v>
      </c>
      <c r="B10" s="1368"/>
      <c r="C10" s="1369"/>
      <c r="D10" s="1369"/>
      <c r="E10" s="1369"/>
      <c r="F10" s="1369"/>
      <c r="G10" s="1369"/>
      <c r="H10" s="1369"/>
      <c r="I10" s="1369"/>
      <c r="J10" s="1369"/>
      <c r="K10" s="1369"/>
      <c r="L10" s="1369"/>
      <c r="M10" s="1369"/>
      <c r="N10" s="1369"/>
      <c r="P10" s="1374"/>
    </row>
    <row r="11" spans="1:16" s="1373" customFormat="1" ht="23.1" customHeight="1">
      <c r="A11" s="1371" t="s">
        <v>451</v>
      </c>
      <c r="B11" s="1368" t="s">
        <v>1828</v>
      </c>
      <c r="C11" s="1369" t="s">
        <v>1829</v>
      </c>
      <c r="D11" s="1369" t="s">
        <v>1830</v>
      </c>
      <c r="E11" s="1369"/>
      <c r="F11" s="1369"/>
      <c r="G11" s="1369"/>
      <c r="H11" s="1369"/>
      <c r="I11" s="1369"/>
      <c r="J11" s="1369"/>
      <c r="K11" s="1369"/>
      <c r="L11" s="1369"/>
      <c r="M11" s="1369"/>
      <c r="N11" s="1369"/>
      <c r="P11" s="1375"/>
    </row>
    <row r="12" spans="1:16" s="1373" customFormat="1" ht="23.1" customHeight="1">
      <c r="A12" s="1371"/>
      <c r="B12" s="1368"/>
      <c r="C12" s="1369"/>
      <c r="D12" s="1369"/>
      <c r="E12" s="1369"/>
      <c r="F12" s="1369"/>
      <c r="G12" s="1369"/>
      <c r="H12" s="1369"/>
      <c r="I12" s="1369"/>
      <c r="J12" s="1369"/>
      <c r="K12" s="1369"/>
      <c r="L12" s="1369"/>
      <c r="M12" s="1369"/>
      <c r="N12" s="1369"/>
    </row>
    <row r="13" spans="1:16" s="1373" customFormat="1" ht="23.1" customHeight="1">
      <c r="A13" s="1371"/>
      <c r="B13" s="1368"/>
      <c r="C13" s="1369"/>
      <c r="D13" s="1369"/>
      <c r="E13" s="1369"/>
      <c r="F13" s="1369"/>
      <c r="G13" s="1369"/>
      <c r="H13" s="1369"/>
      <c r="I13" s="1369"/>
      <c r="J13" s="1369"/>
      <c r="K13" s="1369"/>
      <c r="L13" s="1369"/>
      <c r="M13" s="1369"/>
      <c r="N13" s="1369"/>
    </row>
    <row r="14" spans="1:16" s="1373" customFormat="1" ht="23.1" customHeight="1" thickBot="1">
      <c r="A14" s="1376" t="s">
        <v>1831</v>
      </c>
      <c r="B14" s="1368"/>
      <c r="C14" s="1369"/>
      <c r="D14" s="1369"/>
      <c r="E14" s="1369"/>
      <c r="F14" s="1369"/>
      <c r="G14" s="1369"/>
      <c r="H14" s="1369"/>
      <c r="I14" s="1369"/>
      <c r="J14" s="1369"/>
      <c r="K14" s="1369"/>
      <c r="L14" s="1369"/>
      <c r="M14" s="1369"/>
      <c r="N14" s="1369"/>
    </row>
    <row r="15" spans="1:16" s="1373" customFormat="1" ht="23.1" customHeight="1" thickBot="1">
      <c r="A15" s="1376"/>
      <c r="B15" s="1368"/>
      <c r="C15" s="1483" t="s">
        <v>1832</v>
      </c>
      <c r="D15" s="1484"/>
      <c r="E15" s="1484" t="s">
        <v>1833</v>
      </c>
      <c r="F15" s="1484"/>
      <c r="G15" s="1484"/>
      <c r="H15" s="1484"/>
      <c r="I15" s="1484"/>
      <c r="J15" s="1484"/>
      <c r="K15" s="1484"/>
      <c r="L15" s="1484"/>
      <c r="M15" s="1485"/>
      <c r="N15" s="1369"/>
    </row>
    <row r="16" spans="1:16" s="1373" customFormat="1" ht="24" customHeight="1" thickBot="1">
      <c r="A16" s="1376"/>
      <c r="B16" s="1368"/>
      <c r="C16" s="1486" t="s">
        <v>1834</v>
      </c>
      <c r="D16" s="1487"/>
      <c r="E16" s="1488" t="s">
        <v>1835</v>
      </c>
      <c r="F16" s="1489"/>
      <c r="G16" s="1489"/>
      <c r="H16" s="1489"/>
      <c r="I16" s="1489"/>
      <c r="J16" s="1489"/>
      <c r="K16" s="1489"/>
      <c r="L16" s="1489"/>
      <c r="M16" s="1490"/>
      <c r="N16" s="1369"/>
    </row>
    <row r="17" spans="1:14" s="1373" customFormat="1" ht="24" customHeight="1">
      <c r="A17" s="1376"/>
      <c r="B17" s="1368"/>
      <c r="C17" s="1377"/>
      <c r="D17" s="1377"/>
      <c r="E17" s="1378"/>
      <c r="F17" s="1379"/>
      <c r="G17" s="1379"/>
      <c r="H17" s="1379"/>
      <c r="I17" s="1379"/>
      <c r="J17" s="1379"/>
      <c r="K17" s="1379"/>
      <c r="L17" s="1379"/>
      <c r="M17" s="1379"/>
      <c r="N17" s="1369"/>
    </row>
    <row r="18" spans="1:14" s="1373" customFormat="1" ht="24" customHeight="1">
      <c r="A18" s="1376"/>
      <c r="B18" s="1368"/>
      <c r="C18" s="1377"/>
      <c r="D18" s="1377"/>
      <c r="E18" s="1378"/>
      <c r="F18" s="1379"/>
      <c r="G18" s="1379"/>
      <c r="H18" s="1379"/>
      <c r="I18" s="1379"/>
      <c r="J18" s="1379"/>
      <c r="K18" s="1379"/>
      <c r="L18" s="1379"/>
      <c r="M18" s="1379"/>
      <c r="N18" s="1369"/>
    </row>
    <row r="19" spans="1:14" s="1373" customFormat="1" ht="24" customHeight="1">
      <c r="A19" s="1376"/>
      <c r="B19" s="1368"/>
      <c r="C19" s="1377"/>
      <c r="D19" s="1377"/>
      <c r="E19" s="1378"/>
      <c r="F19" s="1379"/>
      <c r="G19" s="1379"/>
      <c r="H19" s="1379"/>
      <c r="I19" s="1379"/>
      <c r="J19" s="1379"/>
      <c r="K19" s="1379"/>
      <c r="L19" s="1379"/>
      <c r="M19" s="1379"/>
      <c r="N19" s="1369"/>
    </row>
    <row r="20" spans="1:14" s="1373" customFormat="1" ht="23.1" customHeight="1">
      <c r="A20" s="1376"/>
      <c r="B20" s="1368"/>
      <c r="C20" s="1377"/>
      <c r="D20" s="1377"/>
      <c r="E20" s="1378"/>
      <c r="F20" s="1379"/>
      <c r="G20" s="1379"/>
      <c r="H20" s="1379"/>
      <c r="I20" s="1379"/>
      <c r="J20" s="1379"/>
      <c r="K20" s="1379"/>
      <c r="L20" s="1379"/>
      <c r="M20" s="1379"/>
      <c r="N20" s="1369"/>
    </row>
    <row r="21" spans="1:14" s="1373" customFormat="1" ht="23.1" customHeight="1">
      <c r="A21" s="1376"/>
      <c r="B21" s="1368"/>
      <c r="C21" s="1377"/>
      <c r="D21" s="1377"/>
      <c r="E21" s="1378"/>
      <c r="F21" s="1379"/>
      <c r="G21" s="1379"/>
      <c r="H21" s="1379"/>
      <c r="I21" s="1379"/>
      <c r="J21" s="1379"/>
      <c r="K21" s="1379"/>
      <c r="L21" s="1379"/>
      <c r="M21" s="1379"/>
      <c r="N21" s="1369"/>
    </row>
    <row r="22" spans="1:14" s="1373" customFormat="1" ht="23.1" customHeight="1">
      <c r="A22" s="1367" t="s">
        <v>1836</v>
      </c>
      <c r="B22" s="1380" t="s">
        <v>132</v>
      </c>
      <c r="C22" s="1372" t="s">
        <v>1837</v>
      </c>
      <c r="D22" s="1381"/>
      <c r="E22" s="1381"/>
      <c r="F22" s="1381"/>
      <c r="G22" s="1381"/>
      <c r="H22" s="1381"/>
      <c r="I22" s="1381"/>
      <c r="J22" s="1381"/>
      <c r="K22" s="1381"/>
      <c r="L22" s="1381"/>
      <c r="M22" s="1381"/>
      <c r="N22" s="1381"/>
    </row>
    <row r="23" spans="1:14" s="1373" customFormat="1" ht="23.1" customHeight="1">
      <c r="A23" s="1382"/>
      <c r="B23" s="1383" t="s">
        <v>136</v>
      </c>
      <c r="C23" s="1480" t="s">
        <v>1838</v>
      </c>
      <c r="D23" s="1480"/>
      <c r="E23" s="1480"/>
      <c r="F23" s="1480"/>
      <c r="G23" s="1480"/>
      <c r="H23" s="1480"/>
      <c r="I23" s="1480"/>
      <c r="J23" s="1480"/>
      <c r="K23" s="1480"/>
      <c r="L23" s="1480"/>
      <c r="M23" s="1480"/>
      <c r="N23" s="1480"/>
    </row>
    <row r="24" spans="1:14" s="1373" customFormat="1" ht="23.1" customHeight="1">
      <c r="A24" s="1382"/>
      <c r="B24" s="1384" t="s">
        <v>137</v>
      </c>
      <c r="C24" s="1381" t="s">
        <v>1839</v>
      </c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1:14" s="1373" customFormat="1" ht="23.1" customHeight="1">
      <c r="A25" s="1382"/>
      <c r="B25" s="1384" t="s">
        <v>138</v>
      </c>
      <c r="C25" s="1381" t="s">
        <v>1840</v>
      </c>
      <c r="D25" s="1381"/>
      <c r="E25" s="1381"/>
      <c r="F25" s="1381"/>
      <c r="G25" s="1381"/>
      <c r="H25" s="1381"/>
      <c r="I25" s="1381"/>
      <c r="J25" s="1381"/>
      <c r="K25" s="1381"/>
      <c r="L25" s="1381"/>
      <c r="M25" s="1381"/>
      <c r="N25" s="1381"/>
    </row>
    <row r="26" spans="1:14" s="1373" customFormat="1" ht="23.1" customHeight="1">
      <c r="A26" s="1382"/>
      <c r="B26" s="1384" t="s">
        <v>140</v>
      </c>
      <c r="C26" s="1381" t="s">
        <v>1841</v>
      </c>
      <c r="D26" s="1381"/>
      <c r="E26" s="1381"/>
      <c r="F26" s="1381"/>
      <c r="G26" s="1381"/>
      <c r="H26" s="1381"/>
      <c r="I26" s="1381"/>
      <c r="J26" s="1381"/>
      <c r="K26" s="1381"/>
      <c r="L26" s="1381"/>
      <c r="M26" s="1381"/>
      <c r="N26" s="1381"/>
    </row>
    <row r="27" spans="1:14" s="1373" customFormat="1" ht="23.1" customHeight="1">
      <c r="A27" s="1382"/>
      <c r="B27" s="1384" t="s">
        <v>141</v>
      </c>
      <c r="C27" s="1381" t="s">
        <v>1842</v>
      </c>
      <c r="D27" s="1381"/>
      <c r="E27" s="1381"/>
      <c r="F27" s="1381"/>
      <c r="G27" s="1381"/>
      <c r="H27" s="1381"/>
      <c r="I27" s="1381"/>
      <c r="J27" s="1381"/>
      <c r="K27" s="1381"/>
      <c r="L27" s="1381"/>
      <c r="M27" s="1381"/>
      <c r="N27" s="1381"/>
    </row>
    <row r="28" spans="1:14" s="1373" customFormat="1" ht="23.1" customHeight="1">
      <c r="A28" s="1376"/>
      <c r="B28" s="1368"/>
      <c r="C28" s="1377"/>
      <c r="D28" s="1377"/>
      <c r="E28" s="1378"/>
      <c r="F28" s="1379"/>
      <c r="G28" s="1379"/>
      <c r="H28" s="1379"/>
      <c r="I28" s="1379"/>
      <c r="J28" s="1379"/>
      <c r="K28" s="1379"/>
      <c r="L28" s="1379"/>
      <c r="M28" s="1379"/>
      <c r="N28" s="1369"/>
    </row>
    <row r="29" spans="1:14" s="1370" customFormat="1" ht="23.1" customHeight="1">
      <c r="A29" s="1376" t="s">
        <v>1843</v>
      </c>
      <c r="B29" s="1368"/>
      <c r="C29" s="1369"/>
      <c r="D29" s="1369"/>
      <c r="E29" s="1369"/>
      <c r="F29" s="1369"/>
      <c r="G29" s="1369"/>
      <c r="H29" s="1369"/>
      <c r="I29" s="1369"/>
      <c r="J29" s="1369"/>
      <c r="K29" s="1369"/>
      <c r="L29" s="1369"/>
      <c r="M29" s="1369"/>
      <c r="N29" s="1369"/>
    </row>
    <row r="30" spans="1:14" s="1370" customFormat="1" ht="23.1" customHeight="1">
      <c r="A30" s="1376"/>
      <c r="B30" s="1384" t="s">
        <v>136</v>
      </c>
      <c r="C30" s="1381" t="s">
        <v>1844</v>
      </c>
      <c r="D30" s="1381"/>
      <c r="E30" s="1381"/>
      <c r="F30" s="1381"/>
      <c r="G30" s="1381"/>
      <c r="H30" s="1381"/>
      <c r="I30" s="1381"/>
      <c r="J30" s="1369"/>
      <c r="K30" s="1369"/>
      <c r="L30" s="1369"/>
      <c r="M30" s="1369"/>
      <c r="N30" s="1369"/>
    </row>
    <row r="31" spans="1:14" s="1370" customFormat="1" ht="21.95" customHeight="1">
      <c r="A31" s="1376"/>
      <c r="B31" s="1384" t="s">
        <v>137</v>
      </c>
      <c r="C31" s="1381" t="s">
        <v>1845</v>
      </c>
      <c r="D31" s="1381"/>
      <c r="E31" s="1381"/>
      <c r="F31" s="1381"/>
      <c r="G31" s="1381"/>
      <c r="H31" s="1381"/>
      <c r="I31" s="1381"/>
      <c r="J31" s="1369"/>
      <c r="K31" s="1369"/>
      <c r="L31" s="1369"/>
      <c r="M31" s="1369"/>
      <c r="N31" s="1369"/>
    </row>
    <row r="32" spans="1:14" s="1373" customFormat="1" ht="21.95" customHeight="1">
      <c r="A32" s="1376"/>
      <c r="B32" s="1384" t="s">
        <v>138</v>
      </c>
      <c r="C32" s="1381" t="s">
        <v>1846</v>
      </c>
      <c r="D32" s="1381"/>
      <c r="E32" s="1381"/>
      <c r="F32" s="1381"/>
      <c r="G32" s="1381"/>
      <c r="H32" s="1381"/>
      <c r="I32" s="1381"/>
      <c r="J32" s="1369"/>
      <c r="K32" s="1369"/>
      <c r="L32" s="1369"/>
      <c r="M32" s="1369"/>
      <c r="N32" s="1369"/>
    </row>
    <row r="33" spans="1:14" s="1373" customFormat="1" ht="21.95" customHeight="1">
      <c r="A33" s="1376"/>
      <c r="B33" s="1384" t="s">
        <v>140</v>
      </c>
      <c r="C33" s="1381" t="s">
        <v>1847</v>
      </c>
      <c r="D33" s="1381"/>
      <c r="E33" s="1381"/>
      <c r="F33" s="1381"/>
      <c r="G33" s="1381"/>
      <c r="H33" s="1381"/>
      <c r="I33" s="1381"/>
      <c r="J33" s="1369"/>
      <c r="K33" s="1369"/>
      <c r="L33" s="1369"/>
      <c r="M33" s="1369"/>
      <c r="N33" s="1369"/>
    </row>
    <row r="34" spans="1:14" s="1370" customFormat="1" ht="21.95" customHeight="1">
      <c r="A34" s="1376"/>
      <c r="B34" s="1384" t="s">
        <v>141</v>
      </c>
      <c r="C34" s="1381" t="s">
        <v>1848</v>
      </c>
      <c r="D34" s="1381"/>
      <c r="E34" s="1381"/>
      <c r="F34" s="1381"/>
      <c r="G34" s="1381"/>
      <c r="H34" s="1381"/>
      <c r="I34" s="1381"/>
      <c r="J34" s="1369"/>
      <c r="K34" s="1369"/>
      <c r="L34" s="1369"/>
      <c r="M34" s="1369"/>
      <c r="N34" s="1369"/>
    </row>
    <row r="35" spans="1:14" s="1370" customFormat="1" ht="21.95" customHeight="1">
      <c r="A35" s="1385"/>
      <c r="B35" s="1384" t="s">
        <v>142</v>
      </c>
      <c r="C35" s="1381" t="s">
        <v>1849</v>
      </c>
      <c r="D35" s="1381"/>
      <c r="E35" s="1381"/>
      <c r="F35" s="1381"/>
      <c r="G35" s="1381"/>
      <c r="H35" s="1381"/>
      <c r="I35" s="1381"/>
      <c r="J35" s="1369"/>
      <c r="K35" s="1369"/>
      <c r="L35" s="1369"/>
      <c r="M35" s="1369"/>
      <c r="N35" s="1369"/>
    </row>
    <row r="36" spans="1:14" s="1370" customFormat="1" ht="21.95" customHeight="1">
      <c r="A36" s="1385"/>
      <c r="B36" s="1384" t="s">
        <v>143</v>
      </c>
      <c r="C36" s="1381" t="s">
        <v>1850</v>
      </c>
      <c r="D36" s="1381"/>
      <c r="E36" s="1381"/>
      <c r="F36" s="1381"/>
      <c r="G36" s="1381"/>
      <c r="H36" s="1381"/>
      <c r="I36" s="1381"/>
      <c r="J36" s="1369"/>
      <c r="K36" s="1369"/>
      <c r="L36" s="1369"/>
      <c r="M36" s="1369"/>
      <c r="N36" s="1369"/>
    </row>
    <row r="37" spans="1:14" s="1370" customFormat="1" ht="21.95" customHeight="1">
      <c r="B37" s="1384" t="s">
        <v>144</v>
      </c>
      <c r="C37" s="1381" t="s">
        <v>1851</v>
      </c>
      <c r="D37" s="1381"/>
      <c r="E37" s="1381"/>
      <c r="F37" s="1381"/>
      <c r="G37" s="1381"/>
      <c r="H37" s="1381"/>
      <c r="I37" s="1381"/>
      <c r="J37" s="1386"/>
      <c r="K37" s="1386"/>
      <c r="L37" s="1386"/>
      <c r="M37" s="1386"/>
      <c r="N37" s="1386"/>
    </row>
    <row r="38" spans="1:14" ht="24" customHeight="1">
      <c r="B38" s="1384" t="s">
        <v>145</v>
      </c>
      <c r="C38" s="1381" t="s">
        <v>1852</v>
      </c>
      <c r="D38" s="1381"/>
      <c r="E38" s="1381"/>
      <c r="F38" s="1381"/>
      <c r="G38" s="1381"/>
      <c r="H38" s="1381"/>
      <c r="I38" s="1381"/>
    </row>
    <row r="39" spans="1:14" ht="24" customHeight="1">
      <c r="B39" s="1384" t="s">
        <v>146</v>
      </c>
      <c r="C39" s="1381" t="s">
        <v>1853</v>
      </c>
      <c r="D39" s="1381"/>
      <c r="E39" s="1381"/>
      <c r="F39" s="1381"/>
      <c r="G39" s="1381"/>
      <c r="H39" s="1381"/>
      <c r="I39" s="1381"/>
    </row>
    <row r="40" spans="1:14" ht="24" customHeight="1">
      <c r="B40" s="1384" t="s">
        <v>1854</v>
      </c>
      <c r="C40" s="1381" t="s">
        <v>1855</v>
      </c>
      <c r="D40" s="1381"/>
      <c r="E40" s="1381"/>
      <c r="F40" s="1381"/>
      <c r="G40" s="1381"/>
      <c r="H40" s="1381"/>
      <c r="I40" s="1381"/>
    </row>
    <row r="41" spans="1:14" ht="24" customHeight="1"/>
    <row r="42" spans="1:14" ht="24" customHeight="1"/>
    <row r="43" spans="1:14" ht="24" customHeight="1"/>
    <row r="44" spans="1:14" ht="24" customHeight="1"/>
    <row r="45" spans="1:14" ht="24" customHeight="1"/>
    <row r="46" spans="1:14" ht="24" customHeight="1"/>
    <row r="47" spans="1:14" ht="24" customHeight="1"/>
    <row r="48" spans="1:14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</sheetData>
  <mergeCells count="7">
    <mergeCell ref="C23:N23"/>
    <mergeCell ref="A2:N2"/>
    <mergeCell ref="C7:N7"/>
    <mergeCell ref="C15:D15"/>
    <mergeCell ref="E15:M15"/>
    <mergeCell ref="C16:D16"/>
    <mergeCell ref="E16:M16"/>
  </mergeCells>
  <phoneticPr fontId="7" type="noConversion"/>
  <printOptions horizontalCentered="1" verticalCentered="1"/>
  <pageMargins left="0.25" right="0.25" top="0.75" bottom="0.75" header="0.3" footer="0.3"/>
  <pageSetup paperSize="9" scale="9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C000"/>
  </sheetPr>
  <dimension ref="A1:N52"/>
  <sheetViews>
    <sheetView showZeros="0" view="pageBreakPreview" zoomScaleSheetLayoutView="100" workbookViewId="0">
      <pane xSplit="1" ySplit="4" topLeftCell="B5" activePane="bottomRight" state="frozen"/>
      <selection activeCell="H20" sqref="H20"/>
      <selection pane="topRight" activeCell="H20" sqref="H20"/>
      <selection pane="bottomLeft" activeCell="H20" sqref="H20"/>
      <selection pane="bottomRight" activeCell="D24" sqref="D24"/>
    </sheetView>
  </sheetViews>
  <sheetFormatPr defaultRowHeight="13.5"/>
  <cols>
    <col min="1" max="1" width="10.33203125" customWidth="1"/>
    <col min="2" max="2" width="15.33203125" customWidth="1"/>
    <col min="3" max="3" width="15.109375" customWidth="1"/>
    <col min="4" max="7" width="25.77734375" customWidth="1"/>
    <col min="8" max="8" width="7.21875" customWidth="1"/>
    <col min="9" max="9" width="9.77734375" customWidth="1"/>
    <col min="10" max="10" width="7.21875" customWidth="1"/>
    <col min="11" max="11" width="10.6640625" customWidth="1"/>
    <col min="12" max="12" width="6.77734375" customWidth="1"/>
    <col min="15" max="16" width="10" bestFit="1" customWidth="1"/>
  </cols>
  <sheetData>
    <row r="1" spans="1:14" ht="11.25" customHeight="1">
      <c r="B1" s="5"/>
      <c r="C1" s="1"/>
      <c r="D1" s="8"/>
      <c r="E1" s="8"/>
      <c r="F1" s="8"/>
      <c r="G1" s="8"/>
      <c r="H1" s="8"/>
      <c r="I1" s="8"/>
      <c r="J1" s="8"/>
      <c r="K1" s="8"/>
      <c r="L1" s="9"/>
    </row>
    <row r="2" spans="1:14" ht="23.1" customHeight="1">
      <c r="A2" t="s">
        <v>1357</v>
      </c>
      <c r="B2" s="807" t="str">
        <f>원가계산서!A2</f>
        <v>2022년 경기창작센터 예술공원 조성사업(전기)</v>
      </c>
      <c r="C2" s="814"/>
      <c r="D2" s="815"/>
      <c r="E2" s="815"/>
      <c r="F2" s="815"/>
      <c r="G2" s="815"/>
      <c r="H2" s="815"/>
      <c r="I2" s="815"/>
      <c r="J2" s="815"/>
      <c r="K2" s="815"/>
      <c r="L2" s="817"/>
    </row>
    <row r="3" spans="1:14" ht="23.1" customHeight="1">
      <c r="B3" s="1585" t="s">
        <v>434</v>
      </c>
      <c r="C3" s="1587" t="s">
        <v>435</v>
      </c>
      <c r="D3" s="1589" t="s">
        <v>1599</v>
      </c>
      <c r="E3" s="1590"/>
      <c r="F3" s="1590"/>
      <c r="G3" s="1590"/>
      <c r="H3" s="1591" t="s">
        <v>18</v>
      </c>
      <c r="I3" s="1591" t="s">
        <v>19</v>
      </c>
      <c r="J3" s="1591" t="s">
        <v>24</v>
      </c>
      <c r="K3" s="1053"/>
      <c r="L3" s="1577" t="s">
        <v>442</v>
      </c>
      <c r="N3">
        <v>1</v>
      </c>
    </row>
    <row r="4" spans="1:14" ht="23.1" customHeight="1">
      <c r="B4" s="1586"/>
      <c r="C4" s="1588"/>
      <c r="D4" s="863" t="e">
        <f>'수량산출서(DL)'!#REF!</f>
        <v>#REF!</v>
      </c>
      <c r="E4" s="863"/>
      <c r="F4" s="863"/>
      <c r="G4" s="863"/>
      <c r="H4" s="1592"/>
      <c r="I4" s="1592"/>
      <c r="J4" s="1592"/>
      <c r="K4" s="1054"/>
      <c r="L4" s="1578"/>
    </row>
    <row r="5" spans="1:14" ht="18" customHeight="1">
      <c r="A5" t="s">
        <v>1632</v>
      </c>
      <c r="B5" s="190"/>
      <c r="C5" s="947"/>
      <c r="D5" s="646"/>
      <c r="E5" s="195"/>
      <c r="F5" s="195"/>
      <c r="G5" s="195"/>
      <c r="H5" s="195"/>
      <c r="I5" s="195"/>
      <c r="J5" s="189"/>
      <c r="K5" s="195"/>
      <c r="L5" s="192"/>
    </row>
    <row r="6" spans="1:14" ht="18" customHeight="1">
      <c r="A6" s="194" t="e">
        <f>#REF!</f>
        <v>#REF!</v>
      </c>
      <c r="B6" s="190" t="e">
        <f>VLOOKUP($A6,#REF!,2,FALSE)</f>
        <v>#REF!</v>
      </c>
      <c r="C6" s="947" t="e">
        <f>VLOOKUP($A6,#REF!,3,FALSE)</f>
        <v>#REF!</v>
      </c>
      <c r="D6" s="646">
        <f>INT(IF(ISERROR(VLOOKUP($A6,철거1,6,FALSE)),0,VLOOKUP($A6,철거1,6,FALSE)))</f>
        <v>0</v>
      </c>
      <c r="E6" s="646">
        <f t="shared" ref="E6:E10" si="0">INT(IF(ISERROR(VLOOKUP($A6,인입LP2,6,FALSE)),0,VLOOKUP($A6,인입LP2,6,FALSE)))</f>
        <v>0</v>
      </c>
      <c r="F6" s="646">
        <f t="shared" ref="F6:F10" si="1">INT(IF(ISERROR(VLOOKUP($A6,인입LP3,6,FALSE)),0,VLOOKUP($A6,인입LP3,6,FALSE)))</f>
        <v>0</v>
      </c>
      <c r="G6" s="646">
        <f t="shared" ref="G6:G10" si="2">INT(IF(ISERROR(VLOOKUP($A6,인입LP4,6,FALSE)),0,VLOOKUP($A6,인입LP4,6,FALSE)))</f>
        <v>0</v>
      </c>
      <c r="H6" s="195" t="e">
        <f>VLOOKUP(A6,#REF!,4,FALSE)</f>
        <v>#REF!</v>
      </c>
      <c r="I6" s="189">
        <f>D6+E6+F6+G6</f>
        <v>0</v>
      </c>
      <c r="J6" s="189"/>
      <c r="K6" s="195"/>
      <c r="L6" s="864"/>
    </row>
    <row r="7" spans="1:14" ht="18" customHeight="1">
      <c r="A7" s="194" t="e">
        <f>#REF!</f>
        <v>#REF!</v>
      </c>
      <c r="B7" s="190" t="e">
        <f>VLOOKUP($A7,#REF!,2,FALSE)</f>
        <v>#REF!</v>
      </c>
      <c r="C7" s="947" t="e">
        <f>VLOOKUP($A7,#REF!,3,FALSE)</f>
        <v>#REF!</v>
      </c>
      <c r="D7" s="646">
        <f>INT(IF(ISERROR(VLOOKUP($A7,철거1,6,FALSE)),0,VLOOKUP($A7,철거1,6,FALSE)))</f>
        <v>0</v>
      </c>
      <c r="E7" s="646">
        <f t="shared" si="0"/>
        <v>0</v>
      </c>
      <c r="F7" s="646">
        <f t="shared" si="1"/>
        <v>0</v>
      </c>
      <c r="G7" s="646">
        <f t="shared" si="2"/>
        <v>0</v>
      </c>
      <c r="H7" s="195" t="e">
        <f>VLOOKUP(A7,#REF!,4,FALSE)</f>
        <v>#REF!</v>
      </c>
      <c r="I7" s="189">
        <f t="shared" ref="I7:I11" si="3">D7+E7+F7+G7</f>
        <v>0</v>
      </c>
      <c r="J7" s="189"/>
      <c r="K7" s="195"/>
      <c r="L7" s="864"/>
    </row>
    <row r="8" spans="1:14" ht="18" customHeight="1">
      <c r="A8" s="194" t="e">
        <f>#REF!</f>
        <v>#REF!</v>
      </c>
      <c r="B8" s="190" t="e">
        <f>VLOOKUP($A8,#REF!,2,FALSE)</f>
        <v>#REF!</v>
      </c>
      <c r="C8" s="947" t="e">
        <f>VLOOKUP($A8,#REF!,3,FALSE)</f>
        <v>#REF!</v>
      </c>
      <c r="D8" s="646">
        <f>INT(IF(ISERROR(VLOOKUP($A8,철거1,6,FALSE)),0,VLOOKUP($A8,철거1,6,FALSE)))</f>
        <v>0</v>
      </c>
      <c r="E8" s="646">
        <f t="shared" si="0"/>
        <v>0</v>
      </c>
      <c r="F8" s="646">
        <f t="shared" si="1"/>
        <v>0</v>
      </c>
      <c r="G8" s="646">
        <f t="shared" si="2"/>
        <v>0</v>
      </c>
      <c r="H8" s="195" t="e">
        <f>VLOOKUP(A8,#REF!,4,FALSE)</f>
        <v>#REF!</v>
      </c>
      <c r="I8" s="189">
        <f t="shared" ref="I8" si="4">D8+E8+F8+G8</f>
        <v>0</v>
      </c>
      <c r="J8" s="189"/>
      <c r="K8" s="195"/>
      <c r="L8" s="864"/>
    </row>
    <row r="9" spans="1:14" ht="18" customHeight="1">
      <c r="A9" s="194" t="e">
        <f>#REF!</f>
        <v>#REF!</v>
      </c>
      <c r="B9" s="190" t="e">
        <f>VLOOKUP($A9,#REF!,2,FALSE)</f>
        <v>#REF!</v>
      </c>
      <c r="C9" s="947" t="e">
        <f>VLOOKUP($A9,#REF!,3,FALSE)</f>
        <v>#REF!</v>
      </c>
      <c r="D9" s="646">
        <f>INT(IF(ISERROR(VLOOKUP($A9,철거1,6,FALSE)),0,VLOOKUP($A9,철거1,6,FALSE)))</f>
        <v>0</v>
      </c>
      <c r="E9" s="646">
        <f t="shared" si="0"/>
        <v>0</v>
      </c>
      <c r="F9" s="646">
        <f t="shared" si="1"/>
        <v>0</v>
      </c>
      <c r="G9" s="646">
        <f t="shared" si="2"/>
        <v>0</v>
      </c>
      <c r="H9" s="195" t="e">
        <f>VLOOKUP(A9,#REF!,4,FALSE)</f>
        <v>#REF!</v>
      </c>
      <c r="I9" s="189">
        <f t="shared" ref="I9:I10" si="5">D9+E9+F9+G9</f>
        <v>0</v>
      </c>
      <c r="J9" s="189"/>
      <c r="K9" s="195"/>
      <c r="L9" s="864"/>
    </row>
    <row r="10" spans="1:14" ht="18" customHeight="1">
      <c r="A10" s="194" t="e">
        <f>#REF!</f>
        <v>#REF!</v>
      </c>
      <c r="B10" s="190" t="e">
        <f>VLOOKUP($A10,#REF!,2,FALSE)</f>
        <v>#REF!</v>
      </c>
      <c r="C10" s="947" t="e">
        <f>VLOOKUP($A10,#REF!,3,FALSE)</f>
        <v>#REF!</v>
      </c>
      <c r="D10" s="646">
        <f>INT(IF(ISERROR(VLOOKUP($A10,철거1,6,FALSE)),0,VLOOKUP($A10,철거1,6,FALSE)))</f>
        <v>0</v>
      </c>
      <c r="E10" s="646">
        <f t="shared" si="0"/>
        <v>0</v>
      </c>
      <c r="F10" s="646">
        <f t="shared" si="1"/>
        <v>0</v>
      </c>
      <c r="G10" s="646">
        <f t="shared" si="2"/>
        <v>0</v>
      </c>
      <c r="H10" s="195" t="e">
        <f>VLOOKUP(A10,#REF!,4,FALSE)</f>
        <v>#REF!</v>
      </c>
      <c r="I10" s="189">
        <f t="shared" si="5"/>
        <v>0</v>
      </c>
      <c r="J10" s="189"/>
      <c r="K10" s="195"/>
      <c r="L10" s="864"/>
    </row>
    <row r="11" spans="1:14" ht="18" customHeight="1">
      <c r="A11" s="193"/>
      <c r="B11" s="190"/>
      <c r="C11" s="947"/>
      <c r="D11" s="646"/>
      <c r="E11" s="646"/>
      <c r="F11" s="646"/>
      <c r="G11" s="646"/>
      <c r="H11" s="195"/>
      <c r="I11" s="189">
        <f t="shared" si="3"/>
        <v>0</v>
      </c>
      <c r="J11" s="189"/>
      <c r="K11" s="195"/>
      <c r="L11" s="864"/>
    </row>
    <row r="12" spans="1:14" ht="18" customHeight="1">
      <c r="A12" s="194"/>
      <c r="B12" s="190"/>
      <c r="C12" s="947"/>
      <c r="D12" s="646"/>
      <c r="E12" s="646"/>
      <c r="F12" s="646"/>
      <c r="G12" s="646"/>
      <c r="H12" s="195"/>
      <c r="I12" s="189"/>
      <c r="J12" s="189"/>
      <c r="K12" s="195"/>
      <c r="L12" s="864"/>
    </row>
    <row r="13" spans="1:14" ht="18" customHeight="1">
      <c r="A13" s="193"/>
      <c r="B13" s="190"/>
      <c r="C13" s="947"/>
      <c r="D13" s="646"/>
      <c r="E13" s="646"/>
      <c r="F13" s="646"/>
      <c r="G13" s="646"/>
      <c r="H13" s="195"/>
      <c r="I13" s="189"/>
      <c r="J13" s="189"/>
      <c r="K13" s="195"/>
      <c r="L13" s="864"/>
    </row>
    <row r="14" spans="1:14" ht="18" customHeight="1">
      <c r="A14" s="193"/>
      <c r="B14" s="190"/>
      <c r="C14" s="947"/>
      <c r="D14" s="646"/>
      <c r="E14" s="646"/>
      <c r="F14" s="646"/>
      <c r="G14" s="646"/>
      <c r="H14" s="195"/>
      <c r="I14" s="189"/>
      <c r="J14" s="189"/>
      <c r="K14" s="195"/>
      <c r="L14" s="864"/>
    </row>
    <row r="15" spans="1:14" ht="18" customHeight="1">
      <c r="A15" s="193"/>
      <c r="B15" s="190"/>
      <c r="C15" s="947"/>
      <c r="D15" s="646"/>
      <c r="E15" s="646"/>
      <c r="F15" s="646"/>
      <c r="G15" s="646"/>
      <c r="H15" s="195"/>
      <c r="I15" s="189"/>
      <c r="J15" s="189"/>
      <c r="K15" s="195"/>
      <c r="L15" s="864"/>
    </row>
    <row r="16" spans="1:14" ht="18" customHeight="1">
      <c r="A16" s="193"/>
      <c r="B16" s="190"/>
      <c r="C16" s="947"/>
      <c r="D16" s="646"/>
      <c r="E16" s="646"/>
      <c r="F16" s="646"/>
      <c r="G16" s="646"/>
      <c r="H16" s="195"/>
      <c r="I16" s="189"/>
      <c r="J16" s="189"/>
      <c r="K16" s="195"/>
      <c r="L16" s="864"/>
    </row>
    <row r="17" spans="1:12" ht="18" customHeight="1">
      <c r="A17" s="193"/>
      <c r="B17" s="190"/>
      <c r="C17" s="947"/>
      <c r="D17" s="646">
        <f t="shared" ref="D17:D26" si="6">INT(IF(ISERROR(VLOOKUP($A17,횡단보도신설_LP1,6,FALSE)),0,VLOOKUP($A17,횡단보도신설_LP1,6,FALSE)))</f>
        <v>0</v>
      </c>
      <c r="E17" s="646">
        <f t="shared" ref="E17:E26" si="7">INT(IF(ISERROR(VLOOKUP($A17,횡단보도신설_LP2,6,FALSE)),0,VLOOKUP($A17,횡단보도신설_LP2,6,FALSE)))</f>
        <v>0</v>
      </c>
      <c r="F17" s="646">
        <f t="shared" ref="F17:F26" si="8">INT(IF(ISERROR(VLOOKUP($A17,횡단보도신설_LP3,6,FALSE)),0,VLOOKUP($A17,횡단보도신설_LP3,6,FALSE)))</f>
        <v>0</v>
      </c>
      <c r="G17" s="646">
        <f t="shared" ref="G17:G26" si="9">INT(IF(ISERROR(VLOOKUP($A17,횡단보도신설_LP4,6,FALSE)),0,VLOOKUP($A17,횡단보도신설_LP4,6,FALSE)))</f>
        <v>0</v>
      </c>
      <c r="H17" s="195"/>
      <c r="I17" s="195"/>
      <c r="J17" s="189">
        <f t="shared" ref="J17:J26" si="10">D17+E17+F17+G17</f>
        <v>0</v>
      </c>
      <c r="K17" s="195"/>
      <c r="L17" s="864"/>
    </row>
    <row r="18" spans="1:12" ht="18" customHeight="1">
      <c r="A18" s="193"/>
      <c r="B18" s="190"/>
      <c r="C18" s="947"/>
      <c r="D18" s="646">
        <f t="shared" si="6"/>
        <v>0</v>
      </c>
      <c r="E18" s="646">
        <f t="shared" si="7"/>
        <v>0</v>
      </c>
      <c r="F18" s="646">
        <f t="shared" si="8"/>
        <v>0</v>
      </c>
      <c r="G18" s="646">
        <f t="shared" si="9"/>
        <v>0</v>
      </c>
      <c r="H18" s="195"/>
      <c r="I18" s="195"/>
      <c r="J18" s="189">
        <f t="shared" si="10"/>
        <v>0</v>
      </c>
      <c r="K18" s="195"/>
      <c r="L18" s="864"/>
    </row>
    <row r="19" spans="1:12" ht="18" customHeight="1">
      <c r="A19" s="193"/>
      <c r="B19" s="190"/>
      <c r="C19" s="947"/>
      <c r="D19" s="646">
        <f t="shared" si="6"/>
        <v>0</v>
      </c>
      <c r="E19" s="646">
        <f t="shared" si="7"/>
        <v>0</v>
      </c>
      <c r="F19" s="646">
        <f t="shared" si="8"/>
        <v>0</v>
      </c>
      <c r="G19" s="646">
        <f t="shared" si="9"/>
        <v>0</v>
      </c>
      <c r="H19" s="195"/>
      <c r="I19" s="195"/>
      <c r="J19" s="189">
        <f t="shared" si="10"/>
        <v>0</v>
      </c>
      <c r="K19" s="195"/>
      <c r="L19" s="864"/>
    </row>
    <row r="20" spans="1:12" ht="18" customHeight="1">
      <c r="A20" s="193"/>
      <c r="B20" s="190"/>
      <c r="C20" s="947"/>
      <c r="D20" s="646">
        <f t="shared" si="6"/>
        <v>0</v>
      </c>
      <c r="E20" s="646">
        <f t="shared" si="7"/>
        <v>0</v>
      </c>
      <c r="F20" s="646">
        <f t="shared" si="8"/>
        <v>0</v>
      </c>
      <c r="G20" s="646">
        <f t="shared" si="9"/>
        <v>0</v>
      </c>
      <c r="H20" s="195"/>
      <c r="I20" s="195"/>
      <c r="J20" s="189">
        <f t="shared" si="10"/>
        <v>0</v>
      </c>
      <c r="K20" s="195"/>
      <c r="L20" s="864"/>
    </row>
    <row r="21" spans="1:12" ht="18" customHeight="1">
      <c r="A21" s="193"/>
      <c r="B21" s="190"/>
      <c r="C21" s="947"/>
      <c r="D21" s="646">
        <f t="shared" si="6"/>
        <v>0</v>
      </c>
      <c r="E21" s="646">
        <f t="shared" si="7"/>
        <v>0</v>
      </c>
      <c r="F21" s="646">
        <f t="shared" si="8"/>
        <v>0</v>
      </c>
      <c r="G21" s="646">
        <f t="shared" si="9"/>
        <v>0</v>
      </c>
      <c r="H21" s="195"/>
      <c r="I21" s="195"/>
      <c r="J21" s="189">
        <f t="shared" si="10"/>
        <v>0</v>
      </c>
      <c r="K21" s="195"/>
      <c r="L21" s="864"/>
    </row>
    <row r="22" spans="1:12" ht="18" customHeight="1">
      <c r="A22" s="193"/>
      <c r="B22" s="190"/>
      <c r="C22" s="947"/>
      <c r="D22" s="646">
        <f t="shared" si="6"/>
        <v>0</v>
      </c>
      <c r="E22" s="646">
        <f t="shared" si="7"/>
        <v>0</v>
      </c>
      <c r="F22" s="646">
        <f t="shared" si="8"/>
        <v>0</v>
      </c>
      <c r="G22" s="646">
        <f t="shared" si="9"/>
        <v>0</v>
      </c>
      <c r="H22" s="195"/>
      <c r="I22" s="195"/>
      <c r="J22" s="189">
        <f t="shared" si="10"/>
        <v>0</v>
      </c>
      <c r="K22" s="195"/>
      <c r="L22" s="864"/>
    </row>
    <row r="23" spans="1:12" ht="18" customHeight="1">
      <c r="A23" s="193"/>
      <c r="B23" s="190"/>
      <c r="C23" s="947"/>
      <c r="D23" s="646">
        <f t="shared" si="6"/>
        <v>0</v>
      </c>
      <c r="E23" s="646">
        <f t="shared" si="7"/>
        <v>0</v>
      </c>
      <c r="F23" s="646">
        <f t="shared" si="8"/>
        <v>0</v>
      </c>
      <c r="G23" s="646">
        <f t="shared" si="9"/>
        <v>0</v>
      </c>
      <c r="H23" s="195"/>
      <c r="I23" s="195"/>
      <c r="J23" s="189">
        <f t="shared" si="10"/>
        <v>0</v>
      </c>
      <c r="K23" s="195"/>
      <c r="L23" s="864"/>
    </row>
    <row r="24" spans="1:12" ht="18" customHeight="1">
      <c r="A24" s="193"/>
      <c r="B24" s="190"/>
      <c r="C24" s="947"/>
      <c r="D24" s="646">
        <f t="shared" si="6"/>
        <v>0</v>
      </c>
      <c r="E24" s="646">
        <f t="shared" si="7"/>
        <v>0</v>
      </c>
      <c r="F24" s="646">
        <f t="shared" si="8"/>
        <v>0</v>
      </c>
      <c r="G24" s="646">
        <f t="shared" si="9"/>
        <v>0</v>
      </c>
      <c r="H24" s="195"/>
      <c r="I24" s="195"/>
      <c r="J24" s="189">
        <f t="shared" si="10"/>
        <v>0</v>
      </c>
      <c r="K24" s="195"/>
      <c r="L24" s="864"/>
    </row>
    <row r="25" spans="1:12" ht="18" customHeight="1">
      <c r="A25" s="193"/>
      <c r="B25" s="190"/>
      <c r="C25" s="947"/>
      <c r="D25" s="646">
        <f t="shared" si="6"/>
        <v>0</v>
      </c>
      <c r="E25" s="646">
        <f t="shared" si="7"/>
        <v>0</v>
      </c>
      <c r="F25" s="646">
        <f t="shared" si="8"/>
        <v>0</v>
      </c>
      <c r="G25" s="646">
        <f t="shared" si="9"/>
        <v>0</v>
      </c>
      <c r="H25" s="195"/>
      <c r="I25" s="195"/>
      <c r="J25" s="189">
        <f t="shared" si="10"/>
        <v>0</v>
      </c>
      <c r="K25" s="195"/>
      <c r="L25" s="864"/>
    </row>
    <row r="26" spans="1:12" ht="18" customHeight="1">
      <c r="A26" s="193"/>
      <c r="B26" s="190"/>
      <c r="C26" s="947"/>
      <c r="D26" s="646">
        <f t="shared" si="6"/>
        <v>0</v>
      </c>
      <c r="E26" s="646">
        <f t="shared" si="7"/>
        <v>0</v>
      </c>
      <c r="F26" s="646">
        <f t="shared" si="8"/>
        <v>0</v>
      </c>
      <c r="G26" s="646">
        <f t="shared" si="9"/>
        <v>0</v>
      </c>
      <c r="H26" s="195"/>
      <c r="I26" s="195"/>
      <c r="J26" s="189">
        <f t="shared" si="10"/>
        <v>0</v>
      </c>
      <c r="K26" s="195"/>
      <c r="L26" s="864"/>
    </row>
    <row r="27" spans="1:12" ht="18" customHeight="1">
      <c r="A27" s="193"/>
      <c r="B27" s="190"/>
      <c r="C27" s="947"/>
      <c r="D27" s="195"/>
      <c r="E27" s="195"/>
      <c r="F27" s="195"/>
      <c r="G27" s="195"/>
      <c r="H27" s="195"/>
      <c r="I27" s="195"/>
      <c r="J27" s="189"/>
      <c r="K27" s="195"/>
      <c r="L27" s="864"/>
    </row>
    <row r="28" spans="1:12" ht="18" customHeight="1">
      <c r="A28" s="193"/>
      <c r="B28" s="190"/>
      <c r="C28" s="947"/>
      <c r="D28" s="195"/>
      <c r="E28" s="195"/>
      <c r="F28" s="195"/>
      <c r="G28" s="195"/>
      <c r="H28" s="195"/>
      <c r="I28" s="195"/>
      <c r="J28" s="189"/>
      <c r="K28" s="195"/>
      <c r="L28" s="864"/>
    </row>
    <row r="29" spans="1:12" ht="18" customHeight="1">
      <c r="A29" s="193"/>
      <c r="B29" s="190"/>
      <c r="C29" s="947"/>
      <c r="D29" s="195"/>
      <c r="E29" s="195"/>
      <c r="F29" s="195"/>
      <c r="G29" s="195"/>
      <c r="H29" s="195"/>
      <c r="I29" s="195"/>
      <c r="J29" s="189"/>
      <c r="K29" s="195"/>
      <c r="L29" s="864"/>
    </row>
    <row r="30" spans="1:12" ht="18" customHeight="1">
      <c r="A30" s="193"/>
      <c r="B30" s="190"/>
      <c r="C30" s="947"/>
      <c r="D30" s="195"/>
      <c r="E30" s="195"/>
      <c r="F30" s="195"/>
      <c r="G30" s="195"/>
      <c r="H30" s="195"/>
      <c r="I30" s="195"/>
      <c r="J30" s="189"/>
      <c r="K30" s="195"/>
      <c r="L30" s="864"/>
    </row>
    <row r="31" spans="1:12" ht="18" customHeight="1">
      <c r="A31" s="193"/>
      <c r="B31" s="190"/>
      <c r="C31" s="947"/>
      <c r="D31" s="195"/>
      <c r="E31" s="195"/>
      <c r="F31" s="195"/>
      <c r="G31" s="195"/>
      <c r="H31" s="195"/>
      <c r="I31" s="195"/>
      <c r="J31" s="189"/>
      <c r="K31" s="195"/>
      <c r="L31" s="864"/>
    </row>
    <row r="32" spans="1:12" ht="18" customHeight="1">
      <c r="A32" s="193"/>
      <c r="B32" s="190"/>
      <c r="C32" s="947"/>
      <c r="D32" s="195"/>
      <c r="E32" s="195"/>
      <c r="F32" s="195"/>
      <c r="G32" s="195"/>
      <c r="H32" s="195"/>
      <c r="I32" s="195"/>
      <c r="J32" s="189"/>
      <c r="K32" s="195"/>
      <c r="L32" s="864"/>
    </row>
    <row r="33" spans="1:14" ht="18" customHeight="1">
      <c r="A33" s="193"/>
      <c r="B33" s="190"/>
      <c r="C33" s="947"/>
      <c r="D33" s="195"/>
      <c r="E33" s="195"/>
      <c r="F33" s="195"/>
      <c r="G33" s="195"/>
      <c r="H33" s="195"/>
      <c r="I33" s="195"/>
      <c r="J33" s="189"/>
      <c r="K33" s="195"/>
      <c r="L33" s="864"/>
    </row>
    <row r="34" spans="1:14" ht="18" customHeight="1">
      <c r="A34" s="193"/>
      <c r="B34" s="190"/>
      <c r="C34" s="947"/>
      <c r="D34" s="195"/>
      <c r="E34" s="195"/>
      <c r="F34" s="195"/>
      <c r="G34" s="195"/>
      <c r="H34" s="195"/>
      <c r="I34" s="195"/>
      <c r="J34" s="189"/>
      <c r="K34" s="195"/>
      <c r="L34" s="864"/>
    </row>
    <row r="35" spans="1:14" ht="18" customHeight="1">
      <c r="A35" s="193"/>
      <c r="B35" s="190"/>
      <c r="C35" s="947"/>
      <c r="D35" s="195"/>
      <c r="E35" s="195"/>
      <c r="F35" s="195"/>
      <c r="G35" s="195"/>
      <c r="H35" s="195"/>
      <c r="I35" s="195"/>
      <c r="J35" s="189"/>
      <c r="K35" s="195"/>
      <c r="L35" s="864"/>
    </row>
    <row r="36" spans="1:14" ht="18" customHeight="1">
      <c r="A36" s="193"/>
      <c r="B36" s="190"/>
      <c r="C36" s="947"/>
      <c r="D36" s="195"/>
      <c r="E36" s="195"/>
      <c r="F36" s="195"/>
      <c r="G36" s="195"/>
      <c r="H36" s="195"/>
      <c r="I36" s="195"/>
      <c r="J36" s="189"/>
      <c r="K36" s="195"/>
      <c r="L36" s="864"/>
    </row>
    <row r="37" spans="1:14" ht="18" customHeight="1">
      <c r="A37" s="193"/>
      <c r="B37" s="190"/>
      <c r="C37" s="947"/>
      <c r="D37" s="195"/>
      <c r="E37" s="195"/>
      <c r="F37" s="195"/>
      <c r="G37" s="195"/>
      <c r="H37" s="195"/>
      <c r="I37" s="195"/>
      <c r="J37" s="189"/>
      <c r="K37" s="195"/>
      <c r="L37" s="864"/>
    </row>
    <row r="38" spans="1:14" ht="18" customHeight="1">
      <c r="A38" s="193"/>
      <c r="B38" s="190"/>
      <c r="C38" s="947"/>
      <c r="D38" s="195"/>
      <c r="E38" s="195"/>
      <c r="F38" s="195"/>
      <c r="G38" s="195"/>
      <c r="H38" s="195"/>
      <c r="I38" s="195"/>
      <c r="J38" s="189"/>
      <c r="K38" s="195"/>
      <c r="L38" s="864"/>
    </row>
    <row r="39" spans="1:14" ht="18" customHeight="1">
      <c r="A39" s="193"/>
      <c r="B39" s="190"/>
      <c r="C39" s="947"/>
      <c r="D39" s="195"/>
      <c r="E39" s="195"/>
      <c r="F39" s="195"/>
      <c r="G39" s="195"/>
      <c r="H39" s="195"/>
      <c r="I39" s="195"/>
      <c r="J39" s="189"/>
      <c r="K39" s="195"/>
      <c r="L39" s="864"/>
    </row>
    <row r="40" spans="1:14" ht="18" customHeight="1">
      <c r="A40" s="193"/>
      <c r="B40" s="190"/>
      <c r="C40" s="947"/>
      <c r="D40" s="195"/>
      <c r="E40" s="195"/>
      <c r="F40" s="195"/>
      <c r="G40" s="195"/>
      <c r="H40" s="195"/>
      <c r="I40" s="195"/>
      <c r="J40" s="189"/>
      <c r="K40" s="195"/>
      <c r="L40" s="864"/>
    </row>
    <row r="41" spans="1:14" ht="18" customHeight="1">
      <c r="A41" s="193"/>
      <c r="B41" s="1579"/>
      <c r="C41" s="1580"/>
      <c r="D41" s="195"/>
      <c r="E41" s="195"/>
      <c r="F41" s="195"/>
      <c r="G41" s="195"/>
      <c r="H41" s="195"/>
      <c r="I41" s="195"/>
      <c r="J41" s="189"/>
      <c r="K41" s="195">
        <f t="shared" ref="K41:K42" si="11">INT(E41+G41+I41)</f>
        <v>0</v>
      </c>
      <c r="L41" s="192"/>
    </row>
    <row r="42" spans="1:14" ht="18" customHeight="1">
      <c r="A42" s="193"/>
      <c r="B42" s="1579"/>
      <c r="C42" s="1580"/>
      <c r="D42" s="195"/>
      <c r="E42" s="195"/>
      <c r="F42" s="195"/>
      <c r="G42" s="195"/>
      <c r="H42" s="195"/>
      <c r="I42" s="195"/>
      <c r="J42" s="189"/>
      <c r="K42" s="195">
        <f t="shared" si="11"/>
        <v>0</v>
      </c>
      <c r="L42" s="192"/>
      <c r="N42">
        <v>204</v>
      </c>
    </row>
    <row r="43" spans="1:14" ht="18" customHeight="1">
      <c r="A43" s="193"/>
      <c r="B43" s="1581"/>
      <c r="C43" s="1582"/>
      <c r="D43" s="17"/>
      <c r="E43" s="17"/>
      <c r="F43" s="17"/>
      <c r="G43" s="17"/>
      <c r="H43" s="17"/>
      <c r="I43" s="17"/>
      <c r="J43" s="865"/>
      <c r="K43" s="17">
        <f>SUM(E43,G43,I43)</f>
        <v>0</v>
      </c>
      <c r="L43" s="192"/>
    </row>
    <row r="44" spans="1:14" ht="18" customHeight="1">
      <c r="A44" s="193"/>
      <c r="B44" s="1051"/>
      <c r="C44" s="1052"/>
      <c r="D44" s="17"/>
      <c r="E44" s="17"/>
      <c r="F44" s="17"/>
      <c r="G44" s="17"/>
      <c r="H44" s="17"/>
      <c r="I44" s="17"/>
      <c r="J44" s="865"/>
      <c r="K44" s="17"/>
      <c r="L44" s="192"/>
    </row>
    <row r="45" spans="1:14" ht="18" customHeight="1">
      <c r="A45" s="193"/>
      <c r="B45" s="190"/>
      <c r="C45" s="947"/>
      <c r="D45" s="195"/>
      <c r="E45" s="195"/>
      <c r="F45" s="195"/>
      <c r="G45" s="195"/>
      <c r="H45" s="195"/>
      <c r="I45" s="195"/>
      <c r="J45" s="189"/>
      <c r="K45" s="195"/>
      <c r="L45" s="864"/>
    </row>
    <row r="46" spans="1:14" ht="18" customHeight="1">
      <c r="A46" s="193"/>
      <c r="B46" s="943"/>
      <c r="C46" s="944"/>
      <c r="D46" s="17"/>
      <c r="E46" s="17"/>
      <c r="F46" s="17"/>
      <c r="G46" s="17"/>
      <c r="H46" s="17"/>
      <c r="I46" s="17"/>
      <c r="J46" s="865"/>
      <c r="K46" s="17"/>
      <c r="L46" s="866"/>
    </row>
    <row r="47" spans="1:14" ht="18" customHeight="1">
      <c r="A47" s="193"/>
      <c r="B47" s="943"/>
      <c r="C47" s="944"/>
      <c r="D47" s="17"/>
      <c r="E47" s="17"/>
      <c r="F47" s="17"/>
      <c r="G47" s="17"/>
      <c r="H47" s="17"/>
      <c r="I47" s="17"/>
      <c r="J47" s="865"/>
      <c r="K47" s="17"/>
      <c r="L47" s="866"/>
    </row>
    <row r="48" spans="1:14" ht="18" customHeight="1">
      <c r="A48" s="193"/>
      <c r="B48" s="943"/>
      <c r="C48" s="944"/>
      <c r="D48" s="17"/>
      <c r="E48" s="17"/>
      <c r="F48" s="17"/>
      <c r="G48" s="17"/>
      <c r="H48" s="17"/>
      <c r="I48" s="17"/>
      <c r="J48" s="865"/>
      <c r="K48" s="17"/>
      <c r="L48" s="866"/>
    </row>
    <row r="49" spans="1:12" ht="18" customHeight="1">
      <c r="A49" s="193"/>
      <c r="B49" s="943"/>
      <c r="C49" s="944"/>
      <c r="D49" s="17"/>
      <c r="E49" s="17"/>
      <c r="F49" s="17"/>
      <c r="G49" s="17"/>
      <c r="H49" s="17"/>
      <c r="I49" s="17"/>
      <c r="J49" s="865"/>
      <c r="K49" s="17"/>
      <c r="L49" s="866"/>
    </row>
    <row r="50" spans="1:12" ht="18" customHeight="1">
      <c r="A50" s="193"/>
      <c r="B50" s="943"/>
      <c r="C50" s="944"/>
      <c r="D50" s="17"/>
      <c r="E50" s="17"/>
      <c r="F50" s="17"/>
      <c r="G50" s="17"/>
      <c r="H50" s="17"/>
      <c r="I50" s="17"/>
      <c r="J50" s="865"/>
      <c r="K50" s="17"/>
      <c r="L50" s="866"/>
    </row>
    <row r="51" spans="1:12" ht="18" customHeight="1">
      <c r="A51" s="193"/>
      <c r="B51" s="1583"/>
      <c r="C51" s="1584"/>
      <c r="D51" s="656"/>
      <c r="E51" s="656"/>
      <c r="F51" s="656"/>
      <c r="G51" s="656"/>
      <c r="H51" s="656"/>
      <c r="I51" s="656"/>
      <c r="J51" s="657"/>
      <c r="K51" s="656"/>
      <c r="L51" s="658"/>
    </row>
    <row r="52" spans="1:12">
      <c r="B52" s="803"/>
      <c r="C52" s="803"/>
      <c r="D52" s="803"/>
      <c r="E52" s="803"/>
      <c r="F52" s="803"/>
      <c r="G52" s="803"/>
      <c r="H52" s="803"/>
      <c r="I52" s="803"/>
      <c r="J52" s="803"/>
      <c r="K52" s="803"/>
      <c r="L52" s="803"/>
    </row>
  </sheetData>
  <mergeCells count="11">
    <mergeCell ref="L3:L4"/>
    <mergeCell ref="B41:C41"/>
    <mergeCell ref="B42:C42"/>
    <mergeCell ref="B43:C43"/>
    <mergeCell ref="B51:C51"/>
    <mergeCell ref="B3:B4"/>
    <mergeCell ref="C3:C4"/>
    <mergeCell ref="D3:G3"/>
    <mergeCell ref="H3:H4"/>
    <mergeCell ref="I3:I4"/>
    <mergeCell ref="J3:J4"/>
  </mergeCells>
  <phoneticPr fontId="7" type="noConversion"/>
  <printOptions horizontalCentered="1" verticalCentered="1"/>
  <pageMargins left="0.59055118110236227" right="0.39370078740157483" top="0.78740157480314965" bottom="0.59055118110236227" header="0.59055118110236227" footer="0.23622047244094491"/>
  <pageSetup paperSize="9" scale="75" orientation="landscape" r:id="rId1"/>
  <headerFooter alignWithMargins="0">
    <oddHeader>&amp;C&amp;"굴림체,굵게"&amp;20관 급 자 재  내 역 서</oddHeader>
  </headerFooter>
  <colBreaks count="1" manualBreakCount="1">
    <brk id="10" max="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C000"/>
  </sheetPr>
  <dimension ref="A1:N51"/>
  <sheetViews>
    <sheetView showZeros="0" view="pageBreakPreview" zoomScaleSheetLayoutView="100" workbookViewId="0">
      <pane xSplit="1" ySplit="4" topLeftCell="B5" activePane="bottomRight" state="frozen"/>
      <selection activeCell="H20" sqref="H20"/>
      <selection pane="topRight" activeCell="H20" sqref="H20"/>
      <selection pane="bottomLeft" activeCell="H20" sqref="H20"/>
      <selection pane="bottomRight" activeCell="A6" sqref="A6:A10"/>
    </sheetView>
  </sheetViews>
  <sheetFormatPr defaultRowHeight="13.5"/>
  <cols>
    <col min="1" max="1" width="10.33203125" customWidth="1"/>
    <col min="2" max="2" width="15.33203125" customWidth="1"/>
    <col min="3" max="3" width="15.109375" customWidth="1"/>
    <col min="4" max="7" width="25.77734375" customWidth="1"/>
    <col min="8" max="8" width="7.21875" customWidth="1"/>
    <col min="9" max="9" width="9.77734375" customWidth="1"/>
    <col min="10" max="10" width="7.21875" customWidth="1"/>
    <col min="11" max="11" width="10.6640625" customWidth="1"/>
    <col min="12" max="12" width="6.77734375" customWidth="1"/>
    <col min="15" max="16" width="10" bestFit="1" customWidth="1"/>
  </cols>
  <sheetData>
    <row r="1" spans="1:14" ht="11.25" customHeight="1">
      <c r="B1" s="5"/>
      <c r="C1" s="1"/>
      <c r="D1" s="8"/>
      <c r="E1" s="8"/>
      <c r="F1" s="8"/>
      <c r="G1" s="8"/>
      <c r="H1" s="8"/>
      <c r="I1" s="8"/>
      <c r="J1" s="8"/>
      <c r="K1" s="8"/>
      <c r="L1" s="9"/>
    </row>
    <row r="2" spans="1:14" ht="23.1" customHeight="1">
      <c r="A2" t="s">
        <v>1357</v>
      </c>
      <c r="B2" s="807" t="str">
        <f>원가계산서!A2</f>
        <v>2022년 경기창작센터 예술공원 조성사업(전기)</v>
      </c>
      <c r="C2" s="814"/>
      <c r="D2" s="815"/>
      <c r="E2" s="815"/>
      <c r="F2" s="815"/>
      <c r="G2" s="815"/>
      <c r="H2" s="815"/>
      <c r="I2" s="815"/>
      <c r="J2" s="815"/>
      <c r="K2" s="815"/>
      <c r="L2" s="817"/>
    </row>
    <row r="3" spans="1:14" ht="23.1" customHeight="1">
      <c r="B3" s="1585" t="s">
        <v>1346</v>
      </c>
      <c r="C3" s="1587" t="s">
        <v>1347</v>
      </c>
      <c r="D3" s="1589" t="s">
        <v>1610</v>
      </c>
      <c r="E3" s="1590"/>
      <c r="F3" s="1590"/>
      <c r="G3" s="1590"/>
      <c r="H3" s="1591" t="s">
        <v>18</v>
      </c>
      <c r="I3" s="1591" t="s">
        <v>1611</v>
      </c>
      <c r="J3" s="1591" t="s">
        <v>1612</v>
      </c>
      <c r="K3" s="1053"/>
      <c r="L3" s="1577" t="s">
        <v>1354</v>
      </c>
      <c r="N3">
        <v>1</v>
      </c>
    </row>
    <row r="4" spans="1:14" ht="23.1" customHeight="1">
      <c r="B4" s="1586"/>
      <c r="C4" s="1588"/>
      <c r="D4" s="863" t="e">
        <f>'수량산출서(DL)'!#REF!</f>
        <v>#REF!</v>
      </c>
      <c r="E4" s="863"/>
      <c r="F4" s="863"/>
      <c r="G4" s="863"/>
      <c r="H4" s="1592"/>
      <c r="I4" s="1592"/>
      <c r="J4" s="1592"/>
      <c r="K4" s="1054"/>
      <c r="L4" s="1578"/>
    </row>
    <row r="5" spans="1:14" ht="18" customHeight="1">
      <c r="A5" t="s">
        <v>1613</v>
      </c>
      <c r="B5" s="190"/>
      <c r="C5" s="947"/>
      <c r="D5" s="646"/>
      <c r="E5" s="195"/>
      <c r="F5" s="195"/>
      <c r="G5" s="195"/>
      <c r="H5" s="195"/>
      <c r="I5" s="195"/>
      <c r="J5" s="189"/>
      <c r="K5" s="195"/>
      <c r="L5" s="192"/>
    </row>
    <row r="6" spans="1:14" ht="18" customHeight="1">
      <c r="A6" s="194" t="e">
        <f>#REF!</f>
        <v>#REF!</v>
      </c>
      <c r="B6" s="190" t="e">
        <f>VLOOKUP($A6,#REF!,2,FALSE)</f>
        <v>#REF!</v>
      </c>
      <c r="C6" s="947" t="e">
        <f>VLOOKUP($A6,#REF!,3,FALSE)</f>
        <v>#REF!</v>
      </c>
      <c r="D6" s="646">
        <f t="shared" ref="D6:D10" si="0">INT(IF(ISERROR(VLOOKUP($A6,인입LP1,6,FALSE)),0,VLOOKUP($A6,인입LP1,6,FALSE)))</f>
        <v>0</v>
      </c>
      <c r="E6" s="646">
        <f t="shared" ref="E6:E10" si="1">INT(IF(ISERROR(VLOOKUP($A6,인입LP2,6,FALSE)),0,VLOOKUP($A6,인입LP2,6,FALSE)))</f>
        <v>0</v>
      </c>
      <c r="F6" s="646">
        <f t="shared" ref="F6:F10" si="2">INT(IF(ISERROR(VLOOKUP($A6,인입LP3,6,FALSE)),0,VLOOKUP($A6,인입LP3,6,FALSE)))</f>
        <v>0</v>
      </c>
      <c r="G6" s="646">
        <f t="shared" ref="G6:G10" si="3">INT(IF(ISERROR(VLOOKUP($A6,인입LP4,6,FALSE)),0,VLOOKUP($A6,인입LP4,6,FALSE)))</f>
        <v>0</v>
      </c>
      <c r="H6" s="195" t="e">
        <f>VLOOKUP(A6,#REF!,4,FALSE)</f>
        <v>#REF!</v>
      </c>
      <c r="I6" s="189">
        <f>D6+E6+F6+G6</f>
        <v>0</v>
      </c>
      <c r="J6" s="189"/>
      <c r="K6" s="195"/>
      <c r="L6" s="864"/>
    </row>
    <row r="7" spans="1:14" ht="18" customHeight="1">
      <c r="A7" s="194" t="e">
        <f>#REF!</f>
        <v>#REF!</v>
      </c>
      <c r="B7" s="190" t="e">
        <f>VLOOKUP($A7,#REF!,2,FALSE)</f>
        <v>#REF!</v>
      </c>
      <c r="C7" s="947" t="e">
        <f>VLOOKUP($A7,#REF!,3,FALSE)</f>
        <v>#REF!</v>
      </c>
      <c r="D7" s="646">
        <f t="shared" si="0"/>
        <v>0</v>
      </c>
      <c r="E7" s="646">
        <f t="shared" si="1"/>
        <v>0</v>
      </c>
      <c r="F7" s="646">
        <f t="shared" si="2"/>
        <v>0</v>
      </c>
      <c r="G7" s="646">
        <f t="shared" si="3"/>
        <v>0</v>
      </c>
      <c r="H7" s="195" t="e">
        <f>VLOOKUP(A7,#REF!,4,FALSE)</f>
        <v>#REF!</v>
      </c>
      <c r="I7" s="189">
        <f t="shared" ref="I7:I10" si="4">D7+E7+F7+G7</f>
        <v>0</v>
      </c>
      <c r="J7" s="189"/>
      <c r="K7" s="195"/>
      <c r="L7" s="864"/>
    </row>
    <row r="8" spans="1:14" ht="18" customHeight="1">
      <c r="A8" s="194" t="e">
        <f>#REF!</f>
        <v>#REF!</v>
      </c>
      <c r="B8" s="190" t="e">
        <f>VLOOKUP($A8,#REF!,2,FALSE)</f>
        <v>#REF!</v>
      </c>
      <c r="C8" s="947" t="e">
        <f>VLOOKUP($A8,#REF!,3,FALSE)</f>
        <v>#REF!</v>
      </c>
      <c r="D8" s="646">
        <f t="shared" si="0"/>
        <v>0</v>
      </c>
      <c r="E8" s="646">
        <f t="shared" si="1"/>
        <v>0</v>
      </c>
      <c r="F8" s="646">
        <f t="shared" si="2"/>
        <v>0</v>
      </c>
      <c r="G8" s="646">
        <f t="shared" si="3"/>
        <v>0</v>
      </c>
      <c r="H8" s="195" t="e">
        <f>VLOOKUP(A8,#REF!,4,FALSE)</f>
        <v>#REF!</v>
      </c>
      <c r="I8" s="189">
        <f t="shared" si="4"/>
        <v>0</v>
      </c>
      <c r="J8" s="189"/>
      <c r="K8" s="195"/>
      <c r="L8" s="864"/>
    </row>
    <row r="9" spans="1:14" ht="18" customHeight="1">
      <c r="A9" s="194" t="e">
        <f>#REF!</f>
        <v>#REF!</v>
      </c>
      <c r="B9" s="190" t="e">
        <f>VLOOKUP($A9,#REF!,2,FALSE)</f>
        <v>#REF!</v>
      </c>
      <c r="C9" s="947" t="e">
        <f>VLOOKUP($A9,#REF!,3,FALSE)</f>
        <v>#REF!</v>
      </c>
      <c r="D9" s="646">
        <f t="shared" si="0"/>
        <v>0</v>
      </c>
      <c r="E9" s="646">
        <f t="shared" si="1"/>
        <v>0</v>
      </c>
      <c r="F9" s="646">
        <f t="shared" si="2"/>
        <v>0</v>
      </c>
      <c r="G9" s="646">
        <f t="shared" si="3"/>
        <v>0</v>
      </c>
      <c r="H9" s="195" t="e">
        <f>VLOOKUP(A9,#REF!,4,FALSE)</f>
        <v>#REF!</v>
      </c>
      <c r="I9" s="189">
        <f t="shared" si="4"/>
        <v>0</v>
      </c>
      <c r="J9" s="189"/>
      <c r="K9" s="195"/>
      <c r="L9" s="864"/>
    </row>
    <row r="10" spans="1:14" ht="18" customHeight="1">
      <c r="A10" s="193" t="e">
        <f>#REF!</f>
        <v>#REF!</v>
      </c>
      <c r="B10" s="190" t="e">
        <f>VLOOKUP($A10,#REF!,2,FALSE)</f>
        <v>#REF!</v>
      </c>
      <c r="C10" s="947" t="e">
        <f>VLOOKUP($A10,#REF!,3,FALSE)</f>
        <v>#REF!</v>
      </c>
      <c r="D10" s="646">
        <f t="shared" si="0"/>
        <v>0</v>
      </c>
      <c r="E10" s="646">
        <f t="shared" si="1"/>
        <v>0</v>
      </c>
      <c r="F10" s="646">
        <f t="shared" si="2"/>
        <v>0</v>
      </c>
      <c r="G10" s="646">
        <f t="shared" si="3"/>
        <v>0</v>
      </c>
      <c r="H10" s="195" t="e">
        <f>VLOOKUP(A10,#REF!,4,FALSE)</f>
        <v>#REF!</v>
      </c>
      <c r="I10" s="189">
        <f t="shared" si="4"/>
        <v>0</v>
      </c>
      <c r="J10" s="189"/>
      <c r="K10" s="195"/>
      <c r="L10" s="864"/>
    </row>
    <row r="11" spans="1:14" ht="18" customHeight="1">
      <c r="A11" s="194"/>
      <c r="B11" s="190"/>
      <c r="C11" s="947"/>
      <c r="D11" s="646"/>
      <c r="E11" s="646"/>
      <c r="F11" s="646"/>
      <c r="G11" s="646"/>
      <c r="H11" s="195"/>
      <c r="I11" s="189"/>
      <c r="J11" s="189"/>
      <c r="K11" s="195"/>
      <c r="L11" s="864"/>
    </row>
    <row r="12" spans="1:14" ht="18" customHeight="1">
      <c r="A12" s="193"/>
      <c r="B12" s="190"/>
      <c r="C12" s="947"/>
      <c r="D12" s="646"/>
      <c r="E12" s="646"/>
      <c r="F12" s="646"/>
      <c r="G12" s="646"/>
      <c r="H12" s="195"/>
      <c r="I12" s="189"/>
      <c r="J12" s="189"/>
      <c r="K12" s="195"/>
      <c r="L12" s="864"/>
    </row>
    <row r="13" spans="1:14" ht="18" customHeight="1">
      <c r="A13" s="193"/>
      <c r="B13" s="190"/>
      <c r="C13" s="947"/>
      <c r="D13" s="646"/>
      <c r="E13" s="646"/>
      <c r="F13" s="646"/>
      <c r="G13" s="646"/>
      <c r="H13" s="195"/>
      <c r="I13" s="189"/>
      <c r="J13" s="189"/>
      <c r="K13" s="195"/>
      <c r="L13" s="864"/>
    </row>
    <row r="14" spans="1:14" ht="18" customHeight="1">
      <c r="A14" s="193"/>
      <c r="B14" s="190"/>
      <c r="C14" s="947"/>
      <c r="D14" s="646"/>
      <c r="E14" s="646"/>
      <c r="F14" s="646"/>
      <c r="G14" s="646"/>
      <c r="H14" s="195"/>
      <c r="I14" s="189"/>
      <c r="J14" s="189"/>
      <c r="K14" s="195"/>
      <c r="L14" s="864"/>
    </row>
    <row r="15" spans="1:14" ht="18" customHeight="1">
      <c r="A15" s="193"/>
      <c r="B15" s="190"/>
      <c r="C15" s="947"/>
      <c r="D15" s="646"/>
      <c r="E15" s="646"/>
      <c r="F15" s="646"/>
      <c r="G15" s="646"/>
      <c r="H15" s="195"/>
      <c r="I15" s="189"/>
      <c r="J15" s="189"/>
      <c r="K15" s="195"/>
      <c r="L15" s="864"/>
    </row>
    <row r="16" spans="1:14" ht="18" customHeight="1">
      <c r="A16" s="193"/>
      <c r="B16" s="190"/>
      <c r="C16" s="947"/>
      <c r="D16" s="646">
        <f t="shared" ref="D16:D25" si="5">INT(IF(ISERROR(VLOOKUP($A16,횡단보도신설_LP1,6,FALSE)),0,VLOOKUP($A16,횡단보도신설_LP1,6,FALSE)))</f>
        <v>0</v>
      </c>
      <c r="E16" s="646">
        <f t="shared" ref="E16:E25" si="6">INT(IF(ISERROR(VLOOKUP($A16,횡단보도신설_LP2,6,FALSE)),0,VLOOKUP($A16,횡단보도신설_LP2,6,FALSE)))</f>
        <v>0</v>
      </c>
      <c r="F16" s="646">
        <f t="shared" ref="F16:F25" si="7">INT(IF(ISERROR(VLOOKUP($A16,횡단보도신설_LP3,6,FALSE)),0,VLOOKUP($A16,횡단보도신설_LP3,6,FALSE)))</f>
        <v>0</v>
      </c>
      <c r="G16" s="646">
        <f t="shared" ref="G16:G25" si="8">INT(IF(ISERROR(VLOOKUP($A16,횡단보도신설_LP4,6,FALSE)),0,VLOOKUP($A16,횡단보도신설_LP4,6,FALSE)))</f>
        <v>0</v>
      </c>
      <c r="H16" s="195"/>
      <c r="I16" s="195"/>
      <c r="J16" s="189">
        <f t="shared" ref="J16:J25" si="9">D16+E16+F16+G16</f>
        <v>0</v>
      </c>
      <c r="K16" s="195"/>
      <c r="L16" s="864"/>
    </row>
    <row r="17" spans="1:12" ht="18" customHeight="1">
      <c r="A17" s="193"/>
      <c r="B17" s="190"/>
      <c r="C17" s="947"/>
      <c r="D17" s="646">
        <f t="shared" si="5"/>
        <v>0</v>
      </c>
      <c r="E17" s="646">
        <f t="shared" si="6"/>
        <v>0</v>
      </c>
      <c r="F17" s="646">
        <f t="shared" si="7"/>
        <v>0</v>
      </c>
      <c r="G17" s="646">
        <f t="shared" si="8"/>
        <v>0</v>
      </c>
      <c r="H17" s="195"/>
      <c r="I17" s="195"/>
      <c r="J17" s="189">
        <f t="shared" si="9"/>
        <v>0</v>
      </c>
      <c r="K17" s="195"/>
      <c r="L17" s="864"/>
    </row>
    <row r="18" spans="1:12" ht="18" customHeight="1">
      <c r="A18" s="193"/>
      <c r="B18" s="190"/>
      <c r="C18" s="947"/>
      <c r="D18" s="646">
        <f t="shared" si="5"/>
        <v>0</v>
      </c>
      <c r="E18" s="646">
        <f t="shared" si="6"/>
        <v>0</v>
      </c>
      <c r="F18" s="646">
        <f t="shared" si="7"/>
        <v>0</v>
      </c>
      <c r="G18" s="646">
        <f t="shared" si="8"/>
        <v>0</v>
      </c>
      <c r="H18" s="195"/>
      <c r="I18" s="195"/>
      <c r="J18" s="189">
        <f t="shared" si="9"/>
        <v>0</v>
      </c>
      <c r="K18" s="195"/>
      <c r="L18" s="864"/>
    </row>
    <row r="19" spans="1:12" ht="18" customHeight="1">
      <c r="A19" s="193"/>
      <c r="B19" s="190"/>
      <c r="C19" s="947"/>
      <c r="D19" s="646">
        <f t="shared" si="5"/>
        <v>0</v>
      </c>
      <c r="E19" s="646">
        <f t="shared" si="6"/>
        <v>0</v>
      </c>
      <c r="F19" s="646">
        <f t="shared" si="7"/>
        <v>0</v>
      </c>
      <c r="G19" s="646">
        <f t="shared" si="8"/>
        <v>0</v>
      </c>
      <c r="H19" s="195"/>
      <c r="I19" s="195"/>
      <c r="J19" s="189">
        <f t="shared" si="9"/>
        <v>0</v>
      </c>
      <c r="K19" s="195"/>
      <c r="L19" s="864"/>
    </row>
    <row r="20" spans="1:12" ht="18" customHeight="1">
      <c r="A20" s="193"/>
      <c r="B20" s="190"/>
      <c r="C20" s="947"/>
      <c r="D20" s="646">
        <f t="shared" si="5"/>
        <v>0</v>
      </c>
      <c r="E20" s="646">
        <f t="shared" si="6"/>
        <v>0</v>
      </c>
      <c r="F20" s="646">
        <f t="shared" si="7"/>
        <v>0</v>
      </c>
      <c r="G20" s="646">
        <f t="shared" si="8"/>
        <v>0</v>
      </c>
      <c r="H20" s="195"/>
      <c r="I20" s="195"/>
      <c r="J20" s="189">
        <f t="shared" si="9"/>
        <v>0</v>
      </c>
      <c r="K20" s="195"/>
      <c r="L20" s="864"/>
    </row>
    <row r="21" spans="1:12" ht="18" customHeight="1">
      <c r="A21" s="193"/>
      <c r="B21" s="190"/>
      <c r="C21" s="947"/>
      <c r="D21" s="646">
        <f t="shared" si="5"/>
        <v>0</v>
      </c>
      <c r="E21" s="646">
        <f t="shared" si="6"/>
        <v>0</v>
      </c>
      <c r="F21" s="646">
        <f t="shared" si="7"/>
        <v>0</v>
      </c>
      <c r="G21" s="646">
        <f t="shared" si="8"/>
        <v>0</v>
      </c>
      <c r="H21" s="195"/>
      <c r="I21" s="195"/>
      <c r="J21" s="189">
        <f t="shared" si="9"/>
        <v>0</v>
      </c>
      <c r="K21" s="195"/>
      <c r="L21" s="864"/>
    </row>
    <row r="22" spans="1:12" ht="18" customHeight="1">
      <c r="A22" s="193"/>
      <c r="B22" s="190"/>
      <c r="C22" s="947"/>
      <c r="D22" s="646">
        <f t="shared" si="5"/>
        <v>0</v>
      </c>
      <c r="E22" s="646">
        <f t="shared" si="6"/>
        <v>0</v>
      </c>
      <c r="F22" s="646">
        <f t="shared" si="7"/>
        <v>0</v>
      </c>
      <c r="G22" s="646">
        <f t="shared" si="8"/>
        <v>0</v>
      </c>
      <c r="H22" s="195"/>
      <c r="I22" s="195"/>
      <c r="J22" s="189">
        <f t="shared" si="9"/>
        <v>0</v>
      </c>
      <c r="K22" s="195"/>
      <c r="L22" s="864"/>
    </row>
    <row r="23" spans="1:12" ht="18" customHeight="1">
      <c r="A23" s="193"/>
      <c r="B23" s="190"/>
      <c r="C23" s="947"/>
      <c r="D23" s="646">
        <f t="shared" si="5"/>
        <v>0</v>
      </c>
      <c r="E23" s="646">
        <f t="shared" si="6"/>
        <v>0</v>
      </c>
      <c r="F23" s="646">
        <f t="shared" si="7"/>
        <v>0</v>
      </c>
      <c r="G23" s="646">
        <f t="shared" si="8"/>
        <v>0</v>
      </c>
      <c r="H23" s="195"/>
      <c r="I23" s="195"/>
      <c r="J23" s="189">
        <f t="shared" si="9"/>
        <v>0</v>
      </c>
      <c r="K23" s="195"/>
      <c r="L23" s="864"/>
    </row>
    <row r="24" spans="1:12" ht="18" customHeight="1">
      <c r="A24" s="193"/>
      <c r="B24" s="190"/>
      <c r="C24" s="947"/>
      <c r="D24" s="646">
        <f t="shared" si="5"/>
        <v>0</v>
      </c>
      <c r="E24" s="646">
        <f t="shared" si="6"/>
        <v>0</v>
      </c>
      <c r="F24" s="646">
        <f t="shared" si="7"/>
        <v>0</v>
      </c>
      <c r="G24" s="646">
        <f t="shared" si="8"/>
        <v>0</v>
      </c>
      <c r="H24" s="195"/>
      <c r="I24" s="195"/>
      <c r="J24" s="189">
        <f t="shared" si="9"/>
        <v>0</v>
      </c>
      <c r="K24" s="195"/>
      <c r="L24" s="864"/>
    </row>
    <row r="25" spans="1:12" ht="18" customHeight="1">
      <c r="A25" s="193"/>
      <c r="B25" s="190"/>
      <c r="C25" s="947"/>
      <c r="D25" s="646">
        <f t="shared" si="5"/>
        <v>0</v>
      </c>
      <c r="E25" s="646">
        <f t="shared" si="6"/>
        <v>0</v>
      </c>
      <c r="F25" s="646">
        <f t="shared" si="7"/>
        <v>0</v>
      </c>
      <c r="G25" s="646">
        <f t="shared" si="8"/>
        <v>0</v>
      </c>
      <c r="H25" s="195"/>
      <c r="I25" s="195"/>
      <c r="J25" s="189">
        <f t="shared" si="9"/>
        <v>0</v>
      </c>
      <c r="K25" s="195"/>
      <c r="L25" s="864"/>
    </row>
    <row r="26" spans="1:12" ht="18" customHeight="1">
      <c r="A26" s="193"/>
      <c r="B26" s="190"/>
      <c r="C26" s="947"/>
      <c r="D26" s="195"/>
      <c r="E26" s="195"/>
      <c r="F26" s="195"/>
      <c r="G26" s="195"/>
      <c r="H26" s="195"/>
      <c r="I26" s="195"/>
      <c r="J26" s="189"/>
      <c r="K26" s="195"/>
      <c r="L26" s="864"/>
    </row>
    <row r="27" spans="1:12" ht="18" customHeight="1">
      <c r="A27" s="193"/>
      <c r="B27" s="190"/>
      <c r="C27" s="947"/>
      <c r="D27" s="195"/>
      <c r="E27" s="195"/>
      <c r="F27" s="195"/>
      <c r="G27" s="195"/>
      <c r="H27" s="195"/>
      <c r="I27" s="195"/>
      <c r="J27" s="189"/>
      <c r="K27" s="195"/>
      <c r="L27" s="864"/>
    </row>
    <row r="28" spans="1:12" ht="18" customHeight="1">
      <c r="A28" s="193"/>
      <c r="B28" s="190"/>
      <c r="C28" s="947"/>
      <c r="D28" s="195"/>
      <c r="E28" s="195"/>
      <c r="F28" s="195"/>
      <c r="G28" s="195"/>
      <c r="H28" s="195"/>
      <c r="I28" s="195"/>
      <c r="J28" s="189"/>
      <c r="K28" s="195"/>
      <c r="L28" s="864"/>
    </row>
    <row r="29" spans="1:12" ht="18" customHeight="1">
      <c r="A29" s="193"/>
      <c r="B29" s="190"/>
      <c r="C29" s="947"/>
      <c r="D29" s="195"/>
      <c r="E29" s="195"/>
      <c r="F29" s="195"/>
      <c r="G29" s="195"/>
      <c r="H29" s="195"/>
      <c r="I29" s="195"/>
      <c r="J29" s="189"/>
      <c r="K29" s="195"/>
      <c r="L29" s="864"/>
    </row>
    <row r="30" spans="1:12" ht="18" customHeight="1">
      <c r="A30" s="193"/>
      <c r="B30" s="190"/>
      <c r="C30" s="947"/>
      <c r="D30" s="195"/>
      <c r="E30" s="195"/>
      <c r="F30" s="195"/>
      <c r="G30" s="195"/>
      <c r="H30" s="195"/>
      <c r="I30" s="195"/>
      <c r="J30" s="189"/>
      <c r="K30" s="195"/>
      <c r="L30" s="864"/>
    </row>
    <row r="31" spans="1:12" ht="18" customHeight="1">
      <c r="A31" s="193"/>
      <c r="B31" s="190"/>
      <c r="C31" s="947"/>
      <c r="D31" s="195"/>
      <c r="E31" s="195"/>
      <c r="F31" s="195"/>
      <c r="G31" s="195"/>
      <c r="H31" s="195"/>
      <c r="I31" s="195"/>
      <c r="J31" s="189"/>
      <c r="K31" s="195"/>
      <c r="L31" s="864"/>
    </row>
    <row r="32" spans="1:12" ht="18" customHeight="1">
      <c r="A32" s="193"/>
      <c r="B32" s="190"/>
      <c r="C32" s="947"/>
      <c r="D32" s="195"/>
      <c r="E32" s="195"/>
      <c r="F32" s="195"/>
      <c r="G32" s="195"/>
      <c r="H32" s="195"/>
      <c r="I32" s="195"/>
      <c r="J32" s="189"/>
      <c r="K32" s="195"/>
      <c r="L32" s="864"/>
    </row>
    <row r="33" spans="1:14" ht="18" customHeight="1">
      <c r="A33" s="193"/>
      <c r="B33" s="190"/>
      <c r="C33" s="947"/>
      <c r="D33" s="195"/>
      <c r="E33" s="195"/>
      <c r="F33" s="195"/>
      <c r="G33" s="195"/>
      <c r="H33" s="195"/>
      <c r="I33" s="195"/>
      <c r="J33" s="189"/>
      <c r="K33" s="195"/>
      <c r="L33" s="864"/>
    </row>
    <row r="34" spans="1:14" ht="18" customHeight="1">
      <c r="A34" s="193"/>
      <c r="B34" s="190"/>
      <c r="C34" s="947"/>
      <c r="D34" s="195"/>
      <c r="E34" s="195"/>
      <c r="F34" s="195"/>
      <c r="G34" s="195"/>
      <c r="H34" s="195"/>
      <c r="I34" s="195"/>
      <c r="J34" s="189"/>
      <c r="K34" s="195"/>
      <c r="L34" s="864"/>
    </row>
    <row r="35" spans="1:14" ht="18" customHeight="1">
      <c r="A35" s="193"/>
      <c r="B35" s="190"/>
      <c r="C35" s="947"/>
      <c r="D35" s="195"/>
      <c r="E35" s="195"/>
      <c r="F35" s="195"/>
      <c r="G35" s="195"/>
      <c r="H35" s="195"/>
      <c r="I35" s="195"/>
      <c r="J35" s="189"/>
      <c r="K35" s="195"/>
      <c r="L35" s="864"/>
    </row>
    <row r="36" spans="1:14" ht="18" customHeight="1">
      <c r="A36" s="193"/>
      <c r="B36" s="190"/>
      <c r="C36" s="947"/>
      <c r="D36" s="195"/>
      <c r="E36" s="195"/>
      <c r="F36" s="195"/>
      <c r="G36" s="195"/>
      <c r="H36" s="195"/>
      <c r="I36" s="195"/>
      <c r="J36" s="189"/>
      <c r="K36" s="195"/>
      <c r="L36" s="864"/>
    </row>
    <row r="37" spans="1:14" ht="18" customHeight="1">
      <c r="A37" s="193"/>
      <c r="B37" s="190"/>
      <c r="C37" s="947"/>
      <c r="D37" s="195"/>
      <c r="E37" s="195"/>
      <c r="F37" s="195"/>
      <c r="G37" s="195"/>
      <c r="H37" s="195"/>
      <c r="I37" s="195"/>
      <c r="J37" s="189"/>
      <c r="K37" s="195"/>
      <c r="L37" s="864"/>
    </row>
    <row r="38" spans="1:14" ht="18" customHeight="1">
      <c r="A38" s="193"/>
      <c r="B38" s="190"/>
      <c r="C38" s="947"/>
      <c r="D38" s="195"/>
      <c r="E38" s="195"/>
      <c r="F38" s="195"/>
      <c r="G38" s="195"/>
      <c r="H38" s="195"/>
      <c r="I38" s="195"/>
      <c r="J38" s="189"/>
      <c r="K38" s="195"/>
      <c r="L38" s="864"/>
    </row>
    <row r="39" spans="1:14" ht="18" customHeight="1">
      <c r="A39" s="193"/>
      <c r="B39" s="190"/>
      <c r="C39" s="947"/>
      <c r="D39" s="195"/>
      <c r="E39" s="195"/>
      <c r="F39" s="195"/>
      <c r="G39" s="195"/>
      <c r="H39" s="195"/>
      <c r="I39" s="195"/>
      <c r="J39" s="189"/>
      <c r="K39" s="195"/>
      <c r="L39" s="864"/>
    </row>
    <row r="40" spans="1:14" ht="18" customHeight="1">
      <c r="A40" s="193"/>
      <c r="B40" s="1579"/>
      <c r="C40" s="1580"/>
      <c r="D40" s="195"/>
      <c r="E40" s="195"/>
      <c r="F40" s="195"/>
      <c r="G40" s="195"/>
      <c r="H40" s="195"/>
      <c r="I40" s="195"/>
      <c r="J40" s="189"/>
      <c r="K40" s="195">
        <f t="shared" ref="K40:K41" si="10">INT(E40+G40+I40)</f>
        <v>0</v>
      </c>
      <c r="L40" s="192"/>
    </row>
    <row r="41" spans="1:14" ht="18" customHeight="1">
      <c r="A41" s="193"/>
      <c r="B41" s="1579"/>
      <c r="C41" s="1580"/>
      <c r="D41" s="195"/>
      <c r="E41" s="195"/>
      <c r="F41" s="195"/>
      <c r="G41" s="195"/>
      <c r="H41" s="195"/>
      <c r="I41" s="195"/>
      <c r="J41" s="189"/>
      <c r="K41" s="195">
        <f t="shared" si="10"/>
        <v>0</v>
      </c>
      <c r="L41" s="192"/>
      <c r="N41">
        <v>204</v>
      </c>
    </row>
    <row r="42" spans="1:14" ht="18" customHeight="1">
      <c r="A42" s="193"/>
      <c r="B42" s="1581"/>
      <c r="C42" s="1582"/>
      <c r="D42" s="17"/>
      <c r="E42" s="17"/>
      <c r="F42" s="17"/>
      <c r="G42" s="17"/>
      <c r="H42" s="17"/>
      <c r="I42" s="17"/>
      <c r="J42" s="865"/>
      <c r="K42" s="17">
        <f>SUM(E42,G42,I42)</f>
        <v>0</v>
      </c>
      <c r="L42" s="192"/>
    </row>
    <row r="43" spans="1:14" ht="18" customHeight="1">
      <c r="A43" s="193"/>
      <c r="B43" s="1051"/>
      <c r="C43" s="1052"/>
      <c r="D43" s="17"/>
      <c r="E43" s="17"/>
      <c r="F43" s="17"/>
      <c r="G43" s="17"/>
      <c r="H43" s="17"/>
      <c r="I43" s="17"/>
      <c r="J43" s="865"/>
      <c r="K43" s="17"/>
      <c r="L43" s="192"/>
    </row>
    <row r="44" spans="1:14" ht="18" customHeight="1">
      <c r="A44" s="193"/>
      <c r="B44" s="190"/>
      <c r="C44" s="947"/>
      <c r="D44" s="195"/>
      <c r="E44" s="195"/>
      <c r="F44" s="195"/>
      <c r="G44" s="195"/>
      <c r="H44" s="195"/>
      <c r="I44" s="195"/>
      <c r="J44" s="189"/>
      <c r="K44" s="195"/>
      <c r="L44" s="864"/>
    </row>
    <row r="45" spans="1:14" ht="18" customHeight="1">
      <c r="A45" s="193"/>
      <c r="B45" s="943"/>
      <c r="C45" s="944"/>
      <c r="D45" s="17"/>
      <c r="E45" s="17"/>
      <c r="F45" s="17"/>
      <c r="G45" s="17"/>
      <c r="H45" s="17"/>
      <c r="I45" s="17"/>
      <c r="J45" s="865"/>
      <c r="K45" s="17"/>
      <c r="L45" s="866"/>
    </row>
    <row r="46" spans="1:14" ht="18" customHeight="1">
      <c r="A46" s="193"/>
      <c r="B46" s="943"/>
      <c r="C46" s="944"/>
      <c r="D46" s="17"/>
      <c r="E46" s="17"/>
      <c r="F46" s="17"/>
      <c r="G46" s="17"/>
      <c r="H46" s="17"/>
      <c r="I46" s="17"/>
      <c r="J46" s="865"/>
      <c r="K46" s="17"/>
      <c r="L46" s="866"/>
    </row>
    <row r="47" spans="1:14" ht="18" customHeight="1">
      <c r="A47" s="193"/>
      <c r="B47" s="943"/>
      <c r="C47" s="944"/>
      <c r="D47" s="17"/>
      <c r="E47" s="17"/>
      <c r="F47" s="17"/>
      <c r="G47" s="17"/>
      <c r="H47" s="17"/>
      <c r="I47" s="17"/>
      <c r="J47" s="865"/>
      <c r="K47" s="17"/>
      <c r="L47" s="866"/>
    </row>
    <row r="48" spans="1:14" ht="18" customHeight="1">
      <c r="A48" s="193"/>
      <c r="B48" s="943"/>
      <c r="C48" s="944"/>
      <c r="D48" s="17"/>
      <c r="E48" s="17"/>
      <c r="F48" s="17"/>
      <c r="G48" s="17"/>
      <c r="H48" s="17"/>
      <c r="I48" s="17"/>
      <c r="J48" s="865"/>
      <c r="K48" s="17"/>
      <c r="L48" s="866"/>
    </row>
    <row r="49" spans="1:12" ht="18" customHeight="1">
      <c r="A49" s="193"/>
      <c r="B49" s="943"/>
      <c r="C49" s="944"/>
      <c r="D49" s="17"/>
      <c r="E49" s="17"/>
      <c r="F49" s="17"/>
      <c r="G49" s="17"/>
      <c r="H49" s="17"/>
      <c r="I49" s="17"/>
      <c r="J49" s="865"/>
      <c r="K49" s="17"/>
      <c r="L49" s="866"/>
    </row>
    <row r="50" spans="1:12" ht="18" customHeight="1">
      <c r="A50" s="193"/>
      <c r="B50" s="1583"/>
      <c r="C50" s="1584"/>
      <c r="D50" s="656"/>
      <c r="E50" s="656"/>
      <c r="F50" s="656"/>
      <c r="G50" s="656"/>
      <c r="H50" s="656"/>
      <c r="I50" s="656"/>
      <c r="J50" s="657"/>
      <c r="K50" s="656"/>
      <c r="L50" s="658"/>
    </row>
    <row r="51" spans="1:12">
      <c r="B51" s="803"/>
      <c r="C51" s="803"/>
      <c r="D51" s="803"/>
      <c r="E51" s="803"/>
      <c r="F51" s="803"/>
      <c r="G51" s="803"/>
      <c r="H51" s="803"/>
      <c r="I51" s="803"/>
      <c r="J51" s="803"/>
      <c r="K51" s="803"/>
      <c r="L51" s="803"/>
    </row>
  </sheetData>
  <mergeCells count="11">
    <mergeCell ref="L3:L4"/>
    <mergeCell ref="B40:C40"/>
    <mergeCell ref="B41:C41"/>
    <mergeCell ref="B42:C42"/>
    <mergeCell ref="B50:C50"/>
    <mergeCell ref="B3:B4"/>
    <mergeCell ref="C3:C4"/>
    <mergeCell ref="D3:G3"/>
    <mergeCell ref="H3:H4"/>
    <mergeCell ref="I3:I4"/>
    <mergeCell ref="J3:J4"/>
  </mergeCells>
  <phoneticPr fontId="7" type="noConversion"/>
  <printOptions horizontalCentered="1" verticalCentered="1"/>
  <pageMargins left="0.59055118110236227" right="0.39370078740157483" top="0.78740157480314965" bottom="0.59055118110236227" header="0.59055118110236227" footer="0.23622047244094491"/>
  <pageSetup paperSize="9" scale="75" orientation="landscape" r:id="rId1"/>
  <headerFooter alignWithMargins="0">
    <oddHeader>&amp;C&amp;"굴림체,굵게"&amp;20관 급 자 재  내 역 서</oddHeader>
  </headerFooter>
  <colBreaks count="1" manualBreakCount="1">
    <brk id="10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C000"/>
  </sheetPr>
  <dimension ref="A1:Q27"/>
  <sheetViews>
    <sheetView showZeros="0" view="pageBreakPreview" zoomScaleSheetLayoutView="100" workbookViewId="0">
      <pane xSplit="1" ySplit="4" topLeftCell="B5" activePane="bottomRight" state="frozen"/>
      <selection activeCell="P17" sqref="P17"/>
      <selection pane="topRight" activeCell="P17" sqref="P17"/>
      <selection pane="bottomLeft" activeCell="P17" sqref="P17"/>
      <selection pane="bottomRight" activeCell="P17" sqref="P17"/>
    </sheetView>
  </sheetViews>
  <sheetFormatPr defaultRowHeight="13.5"/>
  <cols>
    <col min="1" max="1" width="10.33203125" customWidth="1"/>
    <col min="2" max="2" width="15.33203125" customWidth="1"/>
    <col min="3" max="3" width="15.109375" customWidth="1"/>
    <col min="4" max="4" width="4.109375" customWidth="1"/>
    <col min="5" max="5" width="5.21875" customWidth="1"/>
    <col min="6" max="6" width="7.21875" customWidth="1"/>
    <col min="7" max="7" width="9.77734375" customWidth="1"/>
    <col min="8" max="8" width="7.21875" customWidth="1"/>
    <col min="9" max="9" width="9.77734375" customWidth="1"/>
    <col min="10" max="10" width="7.21875" customWidth="1"/>
    <col min="11" max="11" width="9.77734375" customWidth="1"/>
    <col min="12" max="12" width="7.21875" customWidth="1"/>
    <col min="13" max="13" width="10.6640625" customWidth="1"/>
    <col min="14" max="14" width="6.77734375" customWidth="1"/>
    <col min="17" max="18" width="10" bestFit="1" customWidth="1"/>
  </cols>
  <sheetData>
    <row r="1" spans="1:16" ht="11.25" customHeight="1">
      <c r="B1" s="5"/>
      <c r="C1" s="1"/>
      <c r="D1" s="6"/>
      <c r="E1" s="7"/>
      <c r="F1" s="8"/>
      <c r="G1" s="8"/>
      <c r="H1" s="8"/>
      <c r="I1" s="8"/>
      <c r="J1" s="8"/>
      <c r="K1" s="8"/>
      <c r="L1" s="8"/>
      <c r="M1" s="8"/>
      <c r="N1" s="9"/>
    </row>
    <row r="2" spans="1:16" ht="23.1" customHeight="1">
      <c r="A2" t="s">
        <v>1357</v>
      </c>
      <c r="B2" s="807" t="str">
        <f>원가계산서!A2</f>
        <v>2022년 경기창작센터 예술공원 조성사업(전기)</v>
      </c>
      <c r="C2" s="814"/>
      <c r="D2" s="815"/>
      <c r="E2" s="816"/>
      <c r="F2" s="815"/>
      <c r="G2" s="815"/>
      <c r="H2" s="815"/>
      <c r="I2" s="815"/>
      <c r="J2" s="815"/>
      <c r="K2" s="815"/>
      <c r="L2" s="815"/>
      <c r="M2" s="815"/>
      <c r="N2" s="817"/>
    </row>
    <row r="3" spans="1:16" ht="23.1" customHeight="1">
      <c r="B3" s="1585" t="s">
        <v>1346</v>
      </c>
      <c r="C3" s="1587" t="s">
        <v>1347</v>
      </c>
      <c r="D3" s="1594" t="s">
        <v>1348</v>
      </c>
      <c r="E3" s="1596" t="s">
        <v>1349</v>
      </c>
      <c r="F3" s="1594" t="s">
        <v>1350</v>
      </c>
      <c r="G3" s="1594"/>
      <c r="H3" s="1594" t="s">
        <v>1351</v>
      </c>
      <c r="I3" s="1594"/>
      <c r="J3" s="1594" t="s">
        <v>1352</v>
      </c>
      <c r="K3" s="1594"/>
      <c r="L3" s="1594" t="s">
        <v>1353</v>
      </c>
      <c r="M3" s="1594"/>
      <c r="N3" s="1577" t="s">
        <v>1354</v>
      </c>
      <c r="P3">
        <v>1</v>
      </c>
    </row>
    <row r="4" spans="1:16" ht="23.1" customHeight="1">
      <c r="B4" s="1586"/>
      <c r="C4" s="1588"/>
      <c r="D4" s="1595"/>
      <c r="E4" s="1597"/>
      <c r="F4" s="863" t="s">
        <v>1355</v>
      </c>
      <c r="G4" s="863" t="s">
        <v>1356</v>
      </c>
      <c r="H4" s="863" t="s">
        <v>1355</v>
      </c>
      <c r="I4" s="863" t="s">
        <v>1356</v>
      </c>
      <c r="J4" s="863" t="s">
        <v>1355</v>
      </c>
      <c r="K4" s="863" t="s">
        <v>1356</v>
      </c>
      <c r="L4" s="863" t="s">
        <v>1355</v>
      </c>
      <c r="M4" s="863" t="s">
        <v>1356</v>
      </c>
      <c r="N4" s="1578"/>
    </row>
    <row r="5" spans="1:16" ht="18" customHeight="1">
      <c r="B5" s="1574" t="s">
        <v>1813</v>
      </c>
      <c r="C5" s="1574"/>
      <c r="D5" s="1195"/>
      <c r="E5" s="1196"/>
      <c r="F5" s="1197"/>
      <c r="G5" s="1197"/>
      <c r="H5" s="1197"/>
      <c r="I5" s="1197"/>
      <c r="J5" s="1197"/>
      <c r="K5" s="1197"/>
      <c r="L5" s="1191"/>
      <c r="M5" s="1197"/>
      <c r="N5" s="1198"/>
    </row>
    <row r="6" spans="1:16" ht="18" customHeight="1">
      <c r="B6" s="1572" t="s">
        <v>1682</v>
      </c>
      <c r="C6" s="1572"/>
      <c r="D6" s="1195"/>
      <c r="E6" s="1196"/>
      <c r="F6" s="1189"/>
      <c r="G6" s="1197"/>
      <c r="H6" s="1197"/>
      <c r="I6" s="1197"/>
      <c r="J6" s="1197"/>
      <c r="K6" s="1197"/>
      <c r="L6" s="1191"/>
      <c r="M6" s="1197"/>
      <c r="N6" s="1198"/>
    </row>
    <row r="7" spans="1:16" ht="18" customHeight="1">
      <c r="A7" s="951" t="e">
        <f>#REF!</f>
        <v>#REF!</v>
      </c>
      <c r="B7" s="1187" t="e">
        <f>VLOOKUP($A7,#REF!,2,FALSE)</f>
        <v>#REF!</v>
      </c>
      <c r="C7" s="1188" t="e">
        <f>VLOOKUP($A7,#REF!,3,FALSE)</f>
        <v>#REF!</v>
      </c>
      <c r="D7" s="1195" t="e">
        <f>VLOOKUP($A7,#REF!,4,FALSE)</f>
        <v>#REF!</v>
      </c>
      <c r="E7" s="1199">
        <f>SUMIF(내역서!$A$5:$A$50,관급자재!A7,내역서!$E$5:$E$50)</f>
        <v>0</v>
      </c>
      <c r="F7" s="1197" t="e">
        <f>VLOOKUP($A7,#REF!,11,FALSE)*$P$3</f>
        <v>#REF!</v>
      </c>
      <c r="G7" s="1197" t="e">
        <f t="shared" ref="G7" si="0">INT(E7*F7)</f>
        <v>#REF!</v>
      </c>
      <c r="H7" s="1197"/>
      <c r="I7" s="1197"/>
      <c r="J7" s="1197"/>
      <c r="K7" s="1197"/>
      <c r="L7" s="1191" t="e">
        <f t="shared" ref="L7" si="1">F7+H7+J7</f>
        <v>#REF!</v>
      </c>
      <c r="M7" s="1197" t="e">
        <f t="shared" ref="M7" si="2">INT(G7+I7+K7)</f>
        <v>#REF!</v>
      </c>
      <c r="N7" s="1243" t="e">
        <f>(VLOOKUP($A7,#REF!,12,FALSE))</f>
        <v>#REF!</v>
      </c>
      <c r="P7" s="190" t="e">
        <f>VLOOKUP($A7,#REF!,5,FALSE)</f>
        <v>#REF!</v>
      </c>
    </row>
    <row r="8" spans="1:16" ht="18" customHeight="1">
      <c r="A8" s="951" t="e">
        <f>#REF!</f>
        <v>#REF!</v>
      </c>
      <c r="B8" s="1187" t="e">
        <f>VLOOKUP($A8,#REF!,2,FALSE)</f>
        <v>#REF!</v>
      </c>
      <c r="C8" s="1188" t="e">
        <f>VLOOKUP($A8,#REF!,3,FALSE)</f>
        <v>#REF!</v>
      </c>
      <c r="D8" s="1195" t="e">
        <f>VLOOKUP($A8,#REF!,4,FALSE)</f>
        <v>#REF!</v>
      </c>
      <c r="E8" s="1199">
        <f>SUMIF(내역서!$A$5:$A$50,관급자재!A8,내역서!$E$5:$E$50)</f>
        <v>0</v>
      </c>
      <c r="F8" s="1197" t="e">
        <f>VLOOKUP($A8,#REF!,11,FALSE)*$P$3</f>
        <v>#REF!</v>
      </c>
      <c r="G8" s="1197" t="e">
        <f t="shared" ref="G8:G10" si="3">INT(E8*F8)</f>
        <v>#REF!</v>
      </c>
      <c r="H8" s="1197"/>
      <c r="I8" s="1197"/>
      <c r="J8" s="1197"/>
      <c r="K8" s="1197"/>
      <c r="L8" s="1191" t="e">
        <f t="shared" ref="L8:L10" si="4">F8+H8+J8</f>
        <v>#REF!</v>
      </c>
      <c r="M8" s="1197" t="e">
        <f t="shared" ref="M8:M10" si="5">INT(G8+I8+K8)</f>
        <v>#REF!</v>
      </c>
      <c r="N8" s="1243" t="e">
        <f>(VLOOKUP($A8,#REF!,12,FALSE))</f>
        <v>#REF!</v>
      </c>
      <c r="P8" s="190" t="e">
        <f>VLOOKUP($A8,#REF!,5,FALSE)</f>
        <v>#REF!</v>
      </c>
    </row>
    <row r="9" spans="1:16" ht="18" customHeight="1">
      <c r="A9" s="951" t="e">
        <f>#REF!</f>
        <v>#REF!</v>
      </c>
      <c r="B9" s="1187" t="e">
        <f>VLOOKUP($A9,#REF!,2,FALSE)</f>
        <v>#REF!</v>
      </c>
      <c r="C9" s="1188" t="e">
        <f>VLOOKUP($A9,#REF!,3,FALSE)</f>
        <v>#REF!</v>
      </c>
      <c r="D9" s="1195" t="e">
        <f>VLOOKUP($A9,#REF!,4,FALSE)</f>
        <v>#REF!</v>
      </c>
      <c r="E9" s="1199">
        <f>SUMIF(내역서!$A$5:$A$50,관급자재!A9,내역서!$E$5:$E$50)</f>
        <v>0</v>
      </c>
      <c r="F9" s="1197" t="e">
        <f>VLOOKUP($A9,#REF!,11,FALSE)*$P$3</f>
        <v>#REF!</v>
      </c>
      <c r="G9" s="1197" t="e">
        <f t="shared" si="3"/>
        <v>#REF!</v>
      </c>
      <c r="H9" s="1197"/>
      <c r="I9" s="1197"/>
      <c r="J9" s="1197"/>
      <c r="K9" s="1197"/>
      <c r="L9" s="1191" t="e">
        <f t="shared" si="4"/>
        <v>#REF!</v>
      </c>
      <c r="M9" s="1197" t="e">
        <f t="shared" si="5"/>
        <v>#REF!</v>
      </c>
      <c r="N9" s="1243" t="e">
        <f>(VLOOKUP($A9,#REF!,12,FALSE))</f>
        <v>#REF!</v>
      </c>
      <c r="P9" s="190" t="e">
        <f>VLOOKUP($A9,#REF!,5,FALSE)</f>
        <v>#REF!</v>
      </c>
    </row>
    <row r="10" spans="1:16" ht="18" customHeight="1">
      <c r="A10" s="951" t="e">
        <f>#REF!</f>
        <v>#REF!</v>
      </c>
      <c r="B10" s="1187" t="e">
        <f>VLOOKUP($A10,#REF!,2,FALSE)</f>
        <v>#REF!</v>
      </c>
      <c r="C10" s="1188" t="e">
        <f>VLOOKUP($A10,#REF!,3,FALSE)</f>
        <v>#REF!</v>
      </c>
      <c r="D10" s="1195" t="e">
        <f>VLOOKUP($A10,#REF!,4,FALSE)</f>
        <v>#REF!</v>
      </c>
      <c r="E10" s="1199">
        <f>SUMIF(내역서!$A$5:$A$50,관급자재!A10,내역서!$E$5:$E$50)</f>
        <v>0</v>
      </c>
      <c r="F10" s="1197" t="e">
        <f>VLOOKUP($A10,#REF!,11,FALSE)*$P$3</f>
        <v>#REF!</v>
      </c>
      <c r="G10" s="1197" t="e">
        <f t="shared" si="3"/>
        <v>#REF!</v>
      </c>
      <c r="H10" s="1197"/>
      <c r="I10" s="1197"/>
      <c r="J10" s="1197"/>
      <c r="K10" s="1197"/>
      <c r="L10" s="1191" t="e">
        <f t="shared" si="4"/>
        <v>#REF!</v>
      </c>
      <c r="M10" s="1197" t="e">
        <f t="shared" si="5"/>
        <v>#REF!</v>
      </c>
      <c r="N10" s="1243" t="e">
        <f>(VLOOKUP($A10,#REF!,12,FALSE))</f>
        <v>#REF!</v>
      </c>
      <c r="P10" s="190" t="e">
        <f>VLOOKUP($A10,#REF!,5,FALSE)</f>
        <v>#REF!</v>
      </c>
    </row>
    <row r="11" spans="1:16" ht="18" customHeight="1">
      <c r="A11" s="951"/>
      <c r="B11" s="1187"/>
      <c r="C11" s="1188"/>
      <c r="D11" s="1195"/>
      <c r="E11" s="1199"/>
      <c r="F11" s="1197"/>
      <c r="G11" s="1197"/>
      <c r="H11" s="1197"/>
      <c r="I11" s="1197"/>
      <c r="J11" s="1197"/>
      <c r="K11" s="1197"/>
      <c r="L11" s="1191"/>
      <c r="M11" s="1197"/>
      <c r="N11" s="1243"/>
      <c r="P11" s="190"/>
    </row>
    <row r="12" spans="1:16" ht="18" customHeight="1">
      <c r="A12" s="951"/>
      <c r="B12" s="1187"/>
      <c r="C12" s="1188"/>
      <c r="D12" s="1195"/>
      <c r="E12" s="1199"/>
      <c r="F12" s="1197"/>
      <c r="G12" s="1197"/>
      <c r="H12" s="1197"/>
      <c r="I12" s="1197"/>
      <c r="J12" s="1197"/>
      <c r="K12" s="1197"/>
      <c r="L12" s="1191"/>
      <c r="M12" s="1197"/>
      <c r="N12" s="1243"/>
      <c r="P12" s="190"/>
    </row>
    <row r="13" spans="1:16" ht="18" customHeight="1">
      <c r="A13" s="951"/>
      <c r="B13" s="1187"/>
      <c r="C13" s="1188"/>
      <c r="D13" s="1195"/>
      <c r="E13" s="1199"/>
      <c r="F13" s="1197"/>
      <c r="G13" s="1197"/>
      <c r="H13" s="1197"/>
      <c r="I13" s="1197"/>
      <c r="J13" s="1197"/>
      <c r="K13" s="1197"/>
      <c r="L13" s="1191"/>
      <c r="M13" s="1197"/>
      <c r="N13" s="1243"/>
      <c r="P13" s="190"/>
    </row>
    <row r="14" spans="1:16" ht="18" customHeight="1">
      <c r="A14" s="951"/>
      <c r="B14" s="1187"/>
      <c r="C14" s="1188"/>
      <c r="D14" s="1195"/>
      <c r="E14" s="1199"/>
      <c r="F14" s="1197"/>
      <c r="G14" s="1197"/>
      <c r="H14" s="1197"/>
      <c r="I14" s="1197"/>
      <c r="J14" s="1197"/>
      <c r="K14" s="1197"/>
      <c r="L14" s="1191"/>
      <c r="M14" s="1197"/>
      <c r="N14" s="1243"/>
      <c r="P14" s="190"/>
    </row>
    <row r="15" spans="1:16" ht="18" customHeight="1">
      <c r="A15" s="951"/>
      <c r="B15" s="1187"/>
      <c r="C15" s="1188"/>
      <c r="D15" s="1195"/>
      <c r="E15" s="1199"/>
      <c r="F15" s="1197"/>
      <c r="G15" s="1197"/>
      <c r="H15" s="1197"/>
      <c r="I15" s="1197"/>
      <c r="J15" s="1197"/>
      <c r="K15" s="1197"/>
      <c r="L15" s="1191"/>
      <c r="M15" s="1197"/>
      <c r="N15" s="1243"/>
      <c r="P15" s="190"/>
    </row>
    <row r="16" spans="1:16" ht="18" customHeight="1">
      <c r="A16" s="951"/>
      <c r="B16" s="1187"/>
      <c r="C16" s="1188"/>
      <c r="D16" s="1195"/>
      <c r="E16" s="1199"/>
      <c r="F16" s="1197"/>
      <c r="G16" s="1197"/>
      <c r="H16" s="1197"/>
      <c r="I16" s="1197"/>
      <c r="J16" s="1197"/>
      <c r="K16" s="1197"/>
      <c r="L16" s="1191"/>
      <c r="M16" s="1197"/>
      <c r="N16" s="1243"/>
      <c r="P16" s="190"/>
    </row>
    <row r="17" spans="1:17" ht="18" customHeight="1">
      <c r="A17" s="951"/>
      <c r="B17" s="1187"/>
      <c r="C17" s="1188"/>
      <c r="D17" s="1195"/>
      <c r="E17" s="1199"/>
      <c r="F17" s="1197"/>
      <c r="G17" s="1197"/>
      <c r="H17" s="1197"/>
      <c r="I17" s="1197"/>
      <c r="J17" s="1197"/>
      <c r="K17" s="1197"/>
      <c r="L17" s="1191"/>
      <c r="M17" s="1197"/>
      <c r="N17" s="1243"/>
      <c r="P17" s="190"/>
    </row>
    <row r="18" spans="1:17" ht="18" customHeight="1">
      <c r="A18" s="951"/>
      <c r="B18" s="1187"/>
      <c r="C18" s="1188"/>
      <c r="D18" s="1195"/>
      <c r="E18" s="1199"/>
      <c r="F18" s="1197"/>
      <c r="G18" s="1197"/>
      <c r="H18" s="1197"/>
      <c r="I18" s="1197"/>
      <c r="J18" s="1197"/>
      <c r="K18" s="1197"/>
      <c r="L18" s="1191"/>
      <c r="M18" s="1197"/>
      <c r="N18" s="1243"/>
      <c r="P18" s="190"/>
    </row>
    <row r="19" spans="1:17" ht="18" customHeight="1">
      <c r="A19" s="951"/>
      <c r="B19" s="1187"/>
      <c r="C19" s="1188"/>
      <c r="D19" s="1195"/>
      <c r="E19" s="1199"/>
      <c r="F19" s="1197"/>
      <c r="G19" s="1197"/>
      <c r="H19" s="1197"/>
      <c r="I19" s="1197"/>
      <c r="J19" s="1197"/>
      <c r="K19" s="1197"/>
      <c r="L19" s="1191"/>
      <c r="M19" s="1197"/>
      <c r="N19" s="1243"/>
      <c r="P19" s="190"/>
    </row>
    <row r="20" spans="1:17" ht="18" customHeight="1">
      <c r="A20" s="951"/>
      <c r="B20" s="1187"/>
      <c r="C20" s="1188"/>
      <c r="D20" s="1195"/>
      <c r="E20" s="1199"/>
      <c r="F20" s="1197"/>
      <c r="G20" s="1197"/>
      <c r="H20" s="1197"/>
      <c r="I20" s="1197"/>
      <c r="J20" s="1197"/>
      <c r="K20" s="1197"/>
      <c r="L20" s="1191"/>
      <c r="M20" s="1197"/>
      <c r="N20" s="1243"/>
      <c r="P20" s="190"/>
    </row>
    <row r="21" spans="1:17" ht="18" customHeight="1">
      <c r="A21" s="951"/>
      <c r="B21" s="1187"/>
      <c r="C21" s="1188"/>
      <c r="D21" s="1195"/>
      <c r="E21" s="1199"/>
      <c r="F21" s="1197"/>
      <c r="G21" s="1197"/>
      <c r="H21" s="1197"/>
      <c r="I21" s="1197"/>
      <c r="J21" s="1197"/>
      <c r="K21" s="1197"/>
      <c r="L21" s="1191"/>
      <c r="M21" s="1197"/>
      <c r="N21" s="1243"/>
      <c r="P21" s="190"/>
    </row>
    <row r="22" spans="1:17" ht="18" customHeight="1">
      <c r="A22" s="951"/>
      <c r="B22" s="1187"/>
      <c r="C22" s="1188"/>
      <c r="D22" s="1195"/>
      <c r="E22" s="1199"/>
      <c r="F22" s="1197"/>
      <c r="G22" s="1197"/>
      <c r="H22" s="1197"/>
      <c r="I22" s="1197"/>
      <c r="J22" s="1197"/>
      <c r="K22" s="1197"/>
      <c r="L22" s="1191"/>
      <c r="M22" s="1197"/>
      <c r="N22" s="1243"/>
      <c r="P22" s="190"/>
    </row>
    <row r="23" spans="1:17" ht="18" customHeight="1">
      <c r="A23" s="951"/>
      <c r="B23" s="1187"/>
      <c r="C23" s="1188"/>
      <c r="D23" s="1195"/>
      <c r="E23" s="1199"/>
      <c r="F23" s="1197"/>
      <c r="G23" s="1197"/>
      <c r="H23" s="1197"/>
      <c r="I23" s="1197"/>
      <c r="J23" s="1197"/>
      <c r="K23" s="1197"/>
      <c r="L23" s="1191"/>
      <c r="M23" s="1197"/>
      <c r="N23" s="1243"/>
      <c r="P23" s="190"/>
    </row>
    <row r="24" spans="1:17" ht="18" customHeight="1">
      <c r="A24" s="951"/>
      <c r="B24" s="1187"/>
      <c r="C24" s="1188"/>
      <c r="D24" s="1195"/>
      <c r="E24" s="1199"/>
      <c r="F24" s="1197"/>
      <c r="G24" s="1197"/>
      <c r="H24" s="1197"/>
      <c r="I24" s="1197"/>
      <c r="J24" s="1197"/>
      <c r="K24" s="1197"/>
      <c r="L24" s="1191"/>
      <c r="M24" s="1197"/>
      <c r="N24" s="1243"/>
      <c r="P24" s="190"/>
    </row>
    <row r="25" spans="1:17" s="1115" customFormat="1" ht="18" customHeight="1">
      <c r="A25" s="1114"/>
      <c r="B25" s="1573" t="s">
        <v>1315</v>
      </c>
      <c r="C25" s="1573"/>
      <c r="D25" s="1201"/>
      <c r="E25" s="1244"/>
      <c r="F25" s="1203"/>
      <c r="G25" s="1203" t="e">
        <f>SUM(G7:G24)</f>
        <v>#REF!</v>
      </c>
      <c r="H25" s="1203"/>
      <c r="I25" s="1203">
        <f>SUM(I22:I24)</f>
        <v>0</v>
      </c>
      <c r="J25" s="1203"/>
      <c r="K25" s="1203">
        <f>SUM(K22:K24)</f>
        <v>0</v>
      </c>
      <c r="L25" s="1194"/>
      <c r="M25" s="1203" t="e">
        <f>SUM(G25,I25,K25)</f>
        <v>#REF!</v>
      </c>
      <c r="N25" s="1205"/>
      <c r="O25"/>
      <c r="P25"/>
      <c r="Q25"/>
    </row>
    <row r="26" spans="1:17" ht="18" customHeight="1">
      <c r="A26" s="193"/>
      <c r="B26" s="1593" t="s">
        <v>1808</v>
      </c>
      <c r="C26" s="1593"/>
      <c r="D26" s="1195" t="s">
        <v>241</v>
      </c>
      <c r="E26" s="1199">
        <v>1</v>
      </c>
      <c r="F26" s="1197"/>
      <c r="G26" s="1203" t="e">
        <f>SUM(M25)*0.54%+Q26</f>
        <v>#REF!</v>
      </c>
      <c r="H26" s="1203"/>
      <c r="I26" s="1203"/>
      <c r="J26" s="1203"/>
      <c r="K26" s="1203"/>
      <c r="L26" s="1194"/>
      <c r="M26" s="1203" t="e">
        <f>SUM(G26,I26,K26)</f>
        <v>#REF!</v>
      </c>
      <c r="N26" s="1198"/>
      <c r="Q26">
        <v>291</v>
      </c>
    </row>
    <row r="27" spans="1:17" ht="18" customHeight="1">
      <c r="A27" s="193"/>
      <c r="B27" s="1573" t="s">
        <v>1809</v>
      </c>
      <c r="C27" s="1573"/>
      <c r="D27" s="1201"/>
      <c r="E27" s="1244"/>
      <c r="F27" s="1203"/>
      <c r="G27" s="1203" t="e">
        <f>SUM(G25,G26:G26)</f>
        <v>#REF!</v>
      </c>
      <c r="H27" s="1203"/>
      <c r="I27" s="1203"/>
      <c r="J27" s="1203"/>
      <c r="K27" s="1203"/>
      <c r="L27" s="1194"/>
      <c r="M27" s="1203" t="e">
        <f>SUM(G27,I27,K27)</f>
        <v>#REF!</v>
      </c>
      <c r="N27" s="1243"/>
    </row>
  </sheetData>
  <mergeCells count="14">
    <mergeCell ref="B27:C27"/>
    <mergeCell ref="B26:C26"/>
    <mergeCell ref="B6:C6"/>
    <mergeCell ref="B25:C25"/>
    <mergeCell ref="N3:N4"/>
    <mergeCell ref="B5:C5"/>
    <mergeCell ref="F3:G3"/>
    <mergeCell ref="H3:I3"/>
    <mergeCell ref="B3:B4"/>
    <mergeCell ref="C3:C4"/>
    <mergeCell ref="D3:D4"/>
    <mergeCell ref="E3:E4"/>
    <mergeCell ref="J3:K3"/>
    <mergeCell ref="L3:M3"/>
  </mergeCells>
  <phoneticPr fontId="7" type="noConversion"/>
  <printOptions horizontalCentered="1" verticalCentered="1"/>
  <pageMargins left="0.59055118110236227" right="0.39370078740157483" top="0.78740157480314965" bottom="0.59055118110236227" header="0.59055118110236227" footer="0.23622047244094491"/>
  <pageSetup paperSize="9" orientation="landscape" r:id="rId1"/>
  <headerFooter alignWithMargins="0">
    <oddHeader>&amp;C&amp;"굴림체,굵게"&amp;20관 급 자 재  내 역 서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</sheetPr>
  <dimension ref="B1:S967"/>
  <sheetViews>
    <sheetView showZeros="0" view="pageBreakPreview" zoomScaleSheetLayoutView="100" workbookViewId="0">
      <pane ySplit="4" topLeftCell="A5" activePane="bottomLeft" state="frozen"/>
      <selection activeCell="F14" sqref="F14"/>
      <selection pane="bottomLeft" activeCell="A5" sqref="A5"/>
    </sheetView>
  </sheetViews>
  <sheetFormatPr defaultRowHeight="18" customHeight="1"/>
  <cols>
    <col min="1" max="1" width="3.109375" customWidth="1"/>
    <col min="2" max="2" width="11.109375" style="193" customWidth="1"/>
    <col min="3" max="3" width="6.109375" customWidth="1"/>
    <col min="4" max="4" width="13.6640625" customWidth="1"/>
    <col min="5" max="5" width="18.77734375" customWidth="1"/>
    <col min="6" max="6" width="4.77734375" customWidth="1"/>
    <col min="7" max="7" width="6.77734375" style="196" customWidth="1"/>
    <col min="8" max="8" width="7.33203125" style="196" customWidth="1"/>
    <col min="9" max="9" width="8.77734375" style="196" customWidth="1"/>
    <col min="10" max="10" width="7.33203125" style="196" customWidth="1"/>
    <col min="11" max="11" width="8.77734375" style="196" customWidth="1"/>
    <col min="12" max="12" width="7.33203125" style="196" customWidth="1"/>
    <col min="13" max="13" width="8.77734375" style="196" customWidth="1"/>
    <col min="14" max="14" width="4.77734375" customWidth="1"/>
    <col min="15" max="15" width="8.77734375" style="196" customWidth="1"/>
    <col min="16" max="16" width="6" style="740" customWidth="1"/>
    <col min="17" max="17" width="14.33203125" customWidth="1"/>
  </cols>
  <sheetData>
    <row r="1" spans="2:16" ht="11.25" customHeight="1"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8"/>
    </row>
    <row r="2" spans="2:16" ht="23.1" customHeight="1">
      <c r="C2" s="679" t="str">
        <f>원가계산서!A2</f>
        <v>2022년 경기창작센터 예술공원 조성사업(전기)</v>
      </c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8"/>
    </row>
    <row r="3" spans="2:16" ht="23.1" customHeight="1">
      <c r="C3" s="1601" t="s">
        <v>15</v>
      </c>
      <c r="D3" s="1598" t="s">
        <v>16</v>
      </c>
      <c r="E3" s="1598" t="s">
        <v>17</v>
      </c>
      <c r="F3" s="1598" t="s">
        <v>18</v>
      </c>
      <c r="G3" s="1604" t="s">
        <v>19</v>
      </c>
      <c r="H3" s="1598" t="s">
        <v>20</v>
      </c>
      <c r="I3" s="1598"/>
      <c r="J3" s="1598" t="s">
        <v>21</v>
      </c>
      <c r="K3" s="1598"/>
      <c r="L3" s="1598" t="s">
        <v>22</v>
      </c>
      <c r="M3" s="1598"/>
      <c r="N3" s="1598" t="s">
        <v>23</v>
      </c>
      <c r="O3" s="1598"/>
      <c r="P3" s="1599" t="s">
        <v>24</v>
      </c>
    </row>
    <row r="4" spans="2:16" ht="23.1" customHeight="1">
      <c r="C4" s="1602"/>
      <c r="D4" s="1603"/>
      <c r="E4" s="1603"/>
      <c r="F4" s="1603"/>
      <c r="G4" s="1605"/>
      <c r="H4" s="930" t="s">
        <v>25</v>
      </c>
      <c r="I4" s="930" t="s">
        <v>26</v>
      </c>
      <c r="J4" s="930" t="s">
        <v>25</v>
      </c>
      <c r="K4" s="930" t="s">
        <v>26</v>
      </c>
      <c r="L4" s="930" t="s">
        <v>25</v>
      </c>
      <c r="M4" s="930" t="s">
        <v>26</v>
      </c>
      <c r="N4" s="930" t="s">
        <v>25</v>
      </c>
      <c r="O4" s="930" t="s">
        <v>26</v>
      </c>
      <c r="P4" s="1600"/>
    </row>
    <row r="5" spans="2:16" ht="18" customHeight="1">
      <c r="B5" s="193">
        <f>C5</f>
        <v>1</v>
      </c>
      <c r="C5" s="680">
        <v>1</v>
      </c>
      <c r="D5" s="681" t="e">
        <f>D6</f>
        <v>#REF!</v>
      </c>
      <c r="E5" s="681" t="e">
        <f>E6</f>
        <v>#REF!</v>
      </c>
      <c r="F5" s="697" t="e">
        <f>F6</f>
        <v>#REF!</v>
      </c>
      <c r="G5" s="695"/>
      <c r="H5" s="681"/>
      <c r="I5" s="681"/>
      <c r="J5" s="681"/>
      <c r="K5" s="681"/>
      <c r="L5" s="681"/>
      <c r="M5" s="681"/>
      <c r="N5" s="681"/>
      <c r="O5" s="681"/>
      <c r="P5" s="698"/>
    </row>
    <row r="6" spans="2:16" ht="18" customHeight="1">
      <c r="B6" s="193" t="e">
        <f>#REF!</f>
        <v>#REF!</v>
      </c>
      <c r="C6" s="683"/>
      <c r="D6" s="928" t="e">
        <f>VLOOKUP($B6,#REF!,2,FALSE)</f>
        <v>#REF!</v>
      </c>
      <c r="E6" s="928" t="e">
        <f>VLOOKUP($B6,#REF!,3,FALSE)</f>
        <v>#REF!</v>
      </c>
      <c r="F6" s="699" t="e">
        <f>VLOOKUP($B6,#REF!,4,FALSE)</f>
        <v>#REF!</v>
      </c>
      <c r="G6" s="928">
        <v>1</v>
      </c>
      <c r="H6" s="928"/>
      <c r="I6" s="928"/>
      <c r="J6" s="928"/>
      <c r="K6" s="928"/>
      <c r="L6" s="928"/>
      <c r="M6" s="928"/>
      <c r="N6" s="928"/>
      <c r="O6" s="928"/>
      <c r="P6" s="700"/>
    </row>
    <row r="7" spans="2:16" ht="18" customHeight="1">
      <c r="B7" s="193" t="e">
        <f>#REF!</f>
        <v>#REF!</v>
      </c>
      <c r="C7" s="683"/>
      <c r="D7" s="928" t="e">
        <f>VLOOKUP($B7,#REF!,2,FALSE)</f>
        <v>#REF!</v>
      </c>
      <c r="E7" s="928" t="e">
        <f>VLOOKUP($B7,#REF!,3,FALSE)</f>
        <v>#REF!</v>
      </c>
      <c r="F7" s="699" t="s">
        <v>1365</v>
      </c>
      <c r="G7" s="684">
        <f>0.43*0.5</f>
        <v>0.215</v>
      </c>
      <c r="H7" s="928" t="e">
        <f>#REF!</f>
        <v>#REF!</v>
      </c>
      <c r="I7" s="928" t="e">
        <f>INT(G7*H7)</f>
        <v>#REF!</v>
      </c>
      <c r="J7" s="928" t="e">
        <f>#REF!</f>
        <v>#REF!</v>
      </c>
      <c r="K7" s="928" t="e">
        <f>INT(G7*J7)</f>
        <v>#REF!</v>
      </c>
      <c r="L7" s="928" t="e">
        <f>#REF!</f>
        <v>#REF!</v>
      </c>
      <c r="M7" s="928" t="e">
        <f>INT(G7*L7)</f>
        <v>#REF!</v>
      </c>
      <c r="N7" s="928"/>
      <c r="O7" s="928" t="e">
        <f t="shared" ref="O7:O11" si="0">INT(I7+K7+M7)</f>
        <v>#REF!</v>
      </c>
      <c r="P7" s="700" t="s">
        <v>1366</v>
      </c>
    </row>
    <row r="8" spans="2:16" ht="18" customHeight="1">
      <c r="B8" s="193" t="e">
        <f>#REF!</f>
        <v>#REF!</v>
      </c>
      <c r="C8" s="683"/>
      <c r="D8" s="928" t="e">
        <f>VLOOKUP($B8,#REF!,2,FALSE)</f>
        <v>#REF!</v>
      </c>
      <c r="E8" s="928" t="e">
        <f>VLOOKUP($B8,#REF!,3,FALSE)</f>
        <v>#REF!</v>
      </c>
      <c r="F8" s="699" t="s">
        <v>1365</v>
      </c>
      <c r="G8" s="684">
        <f>G7*0.24</f>
        <v>5.16E-2</v>
      </c>
      <c r="H8" s="928" t="e">
        <f>#REF!</f>
        <v>#REF!</v>
      </c>
      <c r="I8" s="928" t="e">
        <f>INT(G8*H8)</f>
        <v>#REF!</v>
      </c>
      <c r="J8" s="928" t="e">
        <f>#REF!</f>
        <v>#REF!</v>
      </c>
      <c r="K8" s="928" t="e">
        <f>INT(G8*J8)</f>
        <v>#REF!</v>
      </c>
      <c r="L8" s="928" t="e">
        <f>#REF!</f>
        <v>#REF!</v>
      </c>
      <c r="M8" s="928" t="e">
        <f>INT(G8*L8)</f>
        <v>#REF!</v>
      </c>
      <c r="N8" s="928"/>
      <c r="O8" s="928" t="e">
        <f t="shared" si="0"/>
        <v>#REF!</v>
      </c>
      <c r="P8" s="700" t="s">
        <v>1366</v>
      </c>
    </row>
    <row r="9" spans="2:16" ht="18" customHeight="1">
      <c r="C9" s="690"/>
      <c r="D9" s="928" t="s">
        <v>1367</v>
      </c>
      <c r="E9" s="684" t="s">
        <v>1368</v>
      </c>
      <c r="F9" s="928" t="s">
        <v>1369</v>
      </c>
      <c r="G9" s="701">
        <f t="shared" ref="G9:G10" si="1">ROUNDDOWN(dhTextEvaluate(E9),3)</f>
        <v>0.04</v>
      </c>
      <c r="H9" s="928"/>
      <c r="I9" s="928">
        <f>INT(G9*H9)</f>
        <v>0</v>
      </c>
      <c r="J9" s="928" t="e">
        <f>VLOOKUP($D9,#REF!,2,FALSE)</f>
        <v>#REF!</v>
      </c>
      <c r="K9" s="928" t="e">
        <f>INT(G9*J9)</f>
        <v>#REF!</v>
      </c>
      <c r="L9" s="1606" t="s">
        <v>1364</v>
      </c>
      <c r="M9" s="1606"/>
      <c r="N9" s="928"/>
      <c r="O9" s="928" t="e">
        <f t="shared" si="0"/>
        <v>#REF!</v>
      </c>
      <c r="P9" s="700" t="s">
        <v>1366</v>
      </c>
    </row>
    <row r="10" spans="2:16" ht="18" customHeight="1">
      <c r="C10" s="690"/>
      <c r="D10" s="928" t="s">
        <v>1370</v>
      </c>
      <c r="E10" s="684" t="s">
        <v>1371</v>
      </c>
      <c r="F10" s="928" t="s">
        <v>1372</v>
      </c>
      <c r="G10" s="701">
        <f t="shared" si="1"/>
        <v>9.5000000000000001E-2</v>
      </c>
      <c r="H10" s="928"/>
      <c r="I10" s="928">
        <f>INT(G10*H10)</f>
        <v>0</v>
      </c>
      <c r="J10" s="928" t="e">
        <f>VLOOKUP($D10,#REF!,2,FALSE)</f>
        <v>#REF!</v>
      </c>
      <c r="K10" s="928" t="e">
        <f>INT(G10*J10)</f>
        <v>#REF!</v>
      </c>
      <c r="L10" s="1606" t="s">
        <v>1373</v>
      </c>
      <c r="M10" s="1606"/>
      <c r="N10" s="928"/>
      <c r="O10" s="928" t="e">
        <f t="shared" si="0"/>
        <v>#REF!</v>
      </c>
      <c r="P10" s="700" t="s">
        <v>1366</v>
      </c>
    </row>
    <row r="11" spans="2:16" ht="18" customHeight="1">
      <c r="B11" s="193" t="e">
        <f>#REF!</f>
        <v>#REF!</v>
      </c>
      <c r="C11" s="683"/>
      <c r="D11" s="928" t="e">
        <f>VLOOKUP($B11,#REF!,2,FALSE)</f>
        <v>#REF!</v>
      </c>
      <c r="E11" s="928" t="e">
        <f>VLOOKUP($B11,#REF!,3,FALSE)</f>
        <v>#REF!</v>
      </c>
      <c r="F11" s="699" t="e">
        <f>VLOOKUP($B11,#REF!,4,FALSE)</f>
        <v>#REF!</v>
      </c>
      <c r="G11" s="684">
        <f>0.5*0.9*0.8*2.3</f>
        <v>0.82800000000000007</v>
      </c>
      <c r="H11" s="928" t="s">
        <v>1517</v>
      </c>
      <c r="I11" s="928"/>
      <c r="J11" s="928"/>
      <c r="K11" s="928"/>
      <c r="L11" s="928"/>
      <c r="M11" s="928"/>
      <c r="N11" s="928"/>
      <c r="O11" s="928">
        <f t="shared" si="0"/>
        <v>0</v>
      </c>
      <c r="P11" s="685"/>
    </row>
    <row r="12" spans="2:16" ht="18" customHeight="1">
      <c r="B12" s="193" t="e">
        <f>#REF!</f>
        <v>#REF!</v>
      </c>
      <c r="C12" s="683"/>
      <c r="D12" s="928" t="e">
        <f>VLOOKUP($B12,#REF!,2,FALSE)</f>
        <v>#REF!</v>
      </c>
      <c r="E12" s="928" t="e">
        <f>VLOOKUP($B12,#REF!,3,FALSE)</f>
        <v>#REF!</v>
      </c>
      <c r="F12" s="699" t="e">
        <f>VLOOKUP($B12,#REF!,4,FALSE)</f>
        <v>#REF!</v>
      </c>
      <c r="G12" s="684">
        <f>G11</f>
        <v>0.82800000000000007</v>
      </c>
      <c r="H12" s="928">
        <f>IF(ISERROR(VLOOKUP($B12,일위11,10,FALSE)),0,VLOOKUP($B12,일위11,10,FALSE))</f>
        <v>0</v>
      </c>
      <c r="I12" s="928">
        <f>INT(G12*H12)</f>
        <v>0</v>
      </c>
      <c r="J12" s="928">
        <f>IF(ISERROR(VLOOKUP($B12,일위11,12,FALSE)),0,VLOOKUP($B12,일위11,12,FALSE))</f>
        <v>0</v>
      </c>
      <c r="K12" s="928">
        <f>INT(G12*J12)</f>
        <v>0</v>
      </c>
      <c r="L12" s="928">
        <f>IF(ISERROR(VLOOKUP($B12,일위11,14,FALSE)),0,VLOOKUP($B12,일위11,14,FALSE))</f>
        <v>0</v>
      </c>
      <c r="M12" s="928">
        <f>INT(G12*L12)</f>
        <v>0</v>
      </c>
      <c r="N12" s="928"/>
      <c r="O12" s="928">
        <f>INT(I12+K12+M12)</f>
        <v>0</v>
      </c>
      <c r="P12" s="700">
        <f>IF(ISERROR(VLOOKUP($B12,일위11,4,FALSE)),0,VLOOKUP($B12,일위11,4,FALSE))</f>
        <v>0</v>
      </c>
    </row>
    <row r="13" spans="2:16" ht="18" customHeight="1">
      <c r="B13" s="193" t="str">
        <f>CONCATENATE(C5,D13)</f>
        <v>1계</v>
      </c>
      <c r="C13" s="683"/>
      <c r="D13" s="928" t="s">
        <v>99</v>
      </c>
      <c r="E13" s="928"/>
      <c r="F13" s="699"/>
      <c r="G13" s="684"/>
      <c r="H13" s="928"/>
      <c r="I13" s="928" t="e">
        <f>SUM(I6:I12)</f>
        <v>#REF!</v>
      </c>
      <c r="J13" s="928"/>
      <c r="K13" s="928" t="e">
        <f>SUM(K6:K12)</f>
        <v>#REF!</v>
      </c>
      <c r="L13" s="928"/>
      <c r="M13" s="928" t="e">
        <f>SUM(M6:M12)</f>
        <v>#REF!</v>
      </c>
      <c r="N13" s="928"/>
      <c r="O13" s="928" t="e">
        <f>INT(I13+K13+M13)</f>
        <v>#REF!</v>
      </c>
      <c r="P13" s="700"/>
    </row>
    <row r="14" spans="2:16" ht="18" customHeight="1">
      <c r="C14" s="683"/>
      <c r="D14" s="928"/>
      <c r="E14" s="928"/>
      <c r="F14" s="928"/>
      <c r="G14" s="928"/>
      <c r="H14" s="928"/>
      <c r="I14" s="928"/>
      <c r="J14" s="928"/>
      <c r="K14" s="928"/>
      <c r="L14" s="928"/>
      <c r="M14" s="928"/>
      <c r="N14" s="928"/>
      <c r="O14" s="928"/>
      <c r="P14" s="685"/>
    </row>
    <row r="15" spans="2:16" ht="18" customHeight="1">
      <c r="B15" s="193">
        <f>C15</f>
        <v>2</v>
      </c>
      <c r="C15" s="690">
        <f>C5+1</f>
        <v>2</v>
      </c>
      <c r="D15" s="928" t="e">
        <f>D16</f>
        <v>#REF!</v>
      </c>
      <c r="E15" s="928" t="e">
        <f>E16</f>
        <v>#REF!</v>
      </c>
      <c r="F15" s="699" t="e">
        <f>F16</f>
        <v>#REF!</v>
      </c>
      <c r="G15" s="684"/>
      <c r="H15" s="928"/>
      <c r="I15" s="928"/>
      <c r="J15" s="928"/>
      <c r="K15" s="928"/>
      <c r="L15" s="928"/>
      <c r="M15" s="928"/>
      <c r="N15" s="928"/>
      <c r="O15" s="928"/>
      <c r="P15" s="700"/>
    </row>
    <row r="16" spans="2:16" ht="18" customHeight="1">
      <c r="B16" s="193" t="e">
        <f>#REF!</f>
        <v>#REF!</v>
      </c>
      <c r="C16" s="683"/>
      <c r="D16" s="928" t="e">
        <f>VLOOKUP($B16,#REF!,2,FALSE)</f>
        <v>#REF!</v>
      </c>
      <c r="E16" s="928" t="e">
        <f>VLOOKUP($B16,#REF!,3,FALSE)</f>
        <v>#REF!</v>
      </c>
      <c r="F16" s="699" t="e">
        <f>VLOOKUP($B16,#REF!,4,FALSE)</f>
        <v>#REF!</v>
      </c>
      <c r="G16" s="928">
        <v>1</v>
      </c>
      <c r="H16" s="928"/>
      <c r="I16" s="928"/>
      <c r="J16" s="928"/>
      <c r="K16" s="928"/>
      <c r="L16" s="928"/>
      <c r="M16" s="928"/>
      <c r="N16" s="928"/>
      <c r="O16" s="928"/>
      <c r="P16" s="700"/>
    </row>
    <row r="17" spans="2:16" ht="18" customHeight="1">
      <c r="B17" s="193" t="e">
        <f>#REF!</f>
        <v>#REF!</v>
      </c>
      <c r="C17" s="683"/>
      <c r="D17" s="928" t="e">
        <f>VLOOKUP($B17,#REF!,2,FALSE)</f>
        <v>#REF!</v>
      </c>
      <c r="E17" s="928" t="e">
        <f>VLOOKUP($B17,#REF!,3,FALSE)</f>
        <v>#REF!</v>
      </c>
      <c r="F17" s="699" t="s">
        <v>1037</v>
      </c>
      <c r="G17" s="684">
        <f>0.43*0.5</f>
        <v>0.215</v>
      </c>
      <c r="H17" s="928" t="e">
        <f>#REF!</f>
        <v>#REF!</v>
      </c>
      <c r="I17" s="928" t="e">
        <f>INT(G17*H17)</f>
        <v>#REF!</v>
      </c>
      <c r="J17" s="928" t="e">
        <f>#REF!</f>
        <v>#REF!</v>
      </c>
      <c r="K17" s="928" t="e">
        <f>INT(G17*J17)</f>
        <v>#REF!</v>
      </c>
      <c r="L17" s="928" t="e">
        <f>#REF!</f>
        <v>#REF!</v>
      </c>
      <c r="M17" s="928" t="e">
        <f>INT(G17*L17)</f>
        <v>#REF!</v>
      </c>
      <c r="N17" s="928"/>
      <c r="O17" s="928" t="e">
        <f t="shared" ref="O17:O21" si="2">INT(I17+K17+M17)</f>
        <v>#REF!</v>
      </c>
      <c r="P17" s="700" t="s">
        <v>452</v>
      </c>
    </row>
    <row r="18" spans="2:16" ht="18" customHeight="1">
      <c r="B18" s="193" t="e">
        <f>#REF!</f>
        <v>#REF!</v>
      </c>
      <c r="C18" s="683"/>
      <c r="D18" s="928" t="e">
        <f>VLOOKUP($B18,#REF!,2,FALSE)</f>
        <v>#REF!</v>
      </c>
      <c r="E18" s="928" t="e">
        <f>VLOOKUP($B18,#REF!,3,FALSE)</f>
        <v>#REF!</v>
      </c>
      <c r="F18" s="699" t="s">
        <v>1037</v>
      </c>
      <c r="G18" s="684">
        <f>G17*0.24</f>
        <v>5.16E-2</v>
      </c>
      <c r="H18" s="928" t="e">
        <f>#REF!</f>
        <v>#REF!</v>
      </c>
      <c r="I18" s="928" t="e">
        <f>INT(G18*H18)</f>
        <v>#REF!</v>
      </c>
      <c r="J18" s="928" t="e">
        <f>#REF!</f>
        <v>#REF!</v>
      </c>
      <c r="K18" s="928" t="e">
        <f>INT(G18*J18)</f>
        <v>#REF!</v>
      </c>
      <c r="L18" s="928" t="e">
        <f>#REF!</f>
        <v>#REF!</v>
      </c>
      <c r="M18" s="928" t="e">
        <f>INT(G18*L18)</f>
        <v>#REF!</v>
      </c>
      <c r="N18" s="928"/>
      <c r="O18" s="928" t="e">
        <f t="shared" si="2"/>
        <v>#REF!</v>
      </c>
      <c r="P18" s="700" t="s">
        <v>452</v>
      </c>
    </row>
    <row r="19" spans="2:16" ht="18" customHeight="1">
      <c r="C19" s="690"/>
      <c r="D19" s="928" t="s">
        <v>40</v>
      </c>
      <c r="E19" s="684" t="s">
        <v>1092</v>
      </c>
      <c r="F19" s="928" t="s">
        <v>47</v>
      </c>
      <c r="G19" s="701">
        <f t="shared" ref="G19:G20" si="3">ROUNDDOWN(dhTextEvaluate(E19),3)</f>
        <v>0.04</v>
      </c>
      <c r="H19" s="928"/>
      <c r="I19" s="928">
        <f>INT(G19*H19)</f>
        <v>0</v>
      </c>
      <c r="J19" s="928" t="e">
        <f>VLOOKUP($D19,#REF!,2,FALSE)</f>
        <v>#REF!</v>
      </c>
      <c r="K19" s="928" t="e">
        <f>INT(G19*J19)</f>
        <v>#REF!</v>
      </c>
      <c r="L19" s="1606" t="s">
        <v>1066</v>
      </c>
      <c r="M19" s="1606"/>
      <c r="N19" s="928"/>
      <c r="O19" s="928" t="e">
        <f t="shared" si="2"/>
        <v>#REF!</v>
      </c>
      <c r="P19" s="700" t="s">
        <v>452</v>
      </c>
    </row>
    <row r="20" spans="2:16" ht="18" customHeight="1">
      <c r="C20" s="690"/>
      <c r="D20" s="928" t="s">
        <v>45</v>
      </c>
      <c r="E20" s="684" t="s">
        <v>1093</v>
      </c>
      <c r="F20" s="928" t="s">
        <v>47</v>
      </c>
      <c r="G20" s="701">
        <f t="shared" si="3"/>
        <v>9.5000000000000001E-2</v>
      </c>
      <c r="H20" s="928"/>
      <c r="I20" s="928">
        <f>INT(G20*H20)</f>
        <v>0</v>
      </c>
      <c r="J20" s="928" t="e">
        <f>VLOOKUP($D20,#REF!,2,FALSE)</f>
        <v>#REF!</v>
      </c>
      <c r="K20" s="928" t="e">
        <f>INT(G20*J20)</f>
        <v>#REF!</v>
      </c>
      <c r="L20" s="1606" t="s">
        <v>1066</v>
      </c>
      <c r="M20" s="1606"/>
      <c r="N20" s="928"/>
      <c r="O20" s="928" t="e">
        <f t="shared" si="2"/>
        <v>#REF!</v>
      </c>
      <c r="P20" s="700" t="s">
        <v>452</v>
      </c>
    </row>
    <row r="21" spans="2:16" ht="18" customHeight="1">
      <c r="B21" s="193" t="e">
        <f>#REF!</f>
        <v>#REF!</v>
      </c>
      <c r="C21" s="683"/>
      <c r="D21" s="928" t="e">
        <f>VLOOKUP($B21,#REF!,2,FALSE)</f>
        <v>#REF!</v>
      </c>
      <c r="E21" s="928" t="e">
        <f>VLOOKUP($B21,#REF!,3,FALSE)</f>
        <v>#REF!</v>
      </c>
      <c r="F21" s="699" t="e">
        <f>VLOOKUP($B21,#REF!,4,FALSE)</f>
        <v>#REF!</v>
      </c>
      <c r="G21" s="907">
        <f>'신호등 기초산출'!$X$129*2.3</f>
        <v>1.6559999999999999</v>
      </c>
      <c r="H21" s="928" t="s">
        <v>1517</v>
      </c>
      <c r="I21" s="928"/>
      <c r="J21" s="928"/>
      <c r="K21" s="928"/>
      <c r="L21" s="928"/>
      <c r="M21" s="928"/>
      <c r="N21" s="928"/>
      <c r="O21" s="928">
        <f t="shared" si="2"/>
        <v>0</v>
      </c>
      <c r="P21" s="685"/>
    </row>
    <row r="22" spans="2:16" ht="18" customHeight="1">
      <c r="B22" s="193" t="e">
        <f>#REF!</f>
        <v>#REF!</v>
      </c>
      <c r="C22" s="683"/>
      <c r="D22" s="928" t="e">
        <f>VLOOKUP($B22,#REF!,2,FALSE)</f>
        <v>#REF!</v>
      </c>
      <c r="E22" s="928" t="e">
        <f>VLOOKUP($B22,#REF!,3,FALSE)</f>
        <v>#REF!</v>
      </c>
      <c r="F22" s="699" t="e">
        <f>VLOOKUP($B22,#REF!,4,FALSE)</f>
        <v>#REF!</v>
      </c>
      <c r="G22" s="684">
        <f>G21</f>
        <v>1.6559999999999999</v>
      </c>
      <c r="H22" s="928">
        <f>IF(ISERROR(VLOOKUP($B22,일위11,10,FALSE)),0,VLOOKUP($B22,일위11,10,FALSE))</f>
        <v>0</v>
      </c>
      <c r="I22" s="928">
        <f>INT(G22*H22)</f>
        <v>0</v>
      </c>
      <c r="J22" s="928">
        <f>IF(ISERROR(VLOOKUP($B22,일위11,12,FALSE)),0,VLOOKUP($B22,일위11,12,FALSE))</f>
        <v>0</v>
      </c>
      <c r="K22" s="928">
        <f>INT(G22*J22)</f>
        <v>0</v>
      </c>
      <c r="L22" s="928">
        <f>IF(ISERROR(VLOOKUP($B22,일위11,14,FALSE)),0,VLOOKUP($B22,일위11,14,FALSE))</f>
        <v>0</v>
      </c>
      <c r="M22" s="928">
        <f>INT(G22*L22)</f>
        <v>0</v>
      </c>
      <c r="N22" s="928"/>
      <c r="O22" s="928">
        <f>INT(I22+K22+M22)</f>
        <v>0</v>
      </c>
      <c r="P22" s="700">
        <f>IF(ISERROR(VLOOKUP($B22,일위11,4,FALSE)),0,VLOOKUP($B22,일위11,4,FALSE))</f>
        <v>0</v>
      </c>
    </row>
    <row r="23" spans="2:16" ht="18" customHeight="1">
      <c r="B23" s="193" t="str">
        <f>CONCATENATE(C15,D23)</f>
        <v>2계</v>
      </c>
      <c r="C23" s="683"/>
      <c r="D23" s="928" t="s">
        <v>48</v>
      </c>
      <c r="E23" s="928"/>
      <c r="F23" s="699"/>
      <c r="G23" s="684"/>
      <c r="H23" s="928"/>
      <c r="I23" s="928" t="e">
        <f>SUM(I16:I22)</f>
        <v>#REF!</v>
      </c>
      <c r="J23" s="928"/>
      <c r="K23" s="928" t="e">
        <f>SUM(K16:K22)</f>
        <v>#REF!</v>
      </c>
      <c r="L23" s="928"/>
      <c r="M23" s="928" t="e">
        <f>SUM(M16:M22)</f>
        <v>#REF!</v>
      </c>
      <c r="N23" s="928"/>
      <c r="O23" s="928" t="e">
        <f>INT(I23+K23+M23)</f>
        <v>#REF!</v>
      </c>
      <c r="P23" s="700"/>
    </row>
    <row r="24" spans="2:16" ht="18" customHeight="1">
      <c r="C24" s="683"/>
      <c r="D24" s="928"/>
      <c r="E24" s="928"/>
      <c r="F24" s="699"/>
      <c r="G24" s="684"/>
      <c r="H24" s="928"/>
      <c r="I24" s="928"/>
      <c r="J24" s="928"/>
      <c r="K24" s="928"/>
      <c r="L24" s="928"/>
      <c r="M24" s="928"/>
      <c r="N24" s="928"/>
      <c r="O24" s="928"/>
      <c r="P24" s="700"/>
    </row>
    <row r="25" spans="2:16" ht="18" customHeight="1">
      <c r="C25" s="683"/>
      <c r="D25" s="928"/>
      <c r="E25" s="928"/>
      <c r="F25" s="699"/>
      <c r="G25" s="684"/>
      <c r="H25" s="928"/>
      <c r="I25" s="928"/>
      <c r="J25" s="928"/>
      <c r="K25" s="928"/>
      <c r="L25" s="928"/>
      <c r="M25" s="928"/>
      <c r="N25" s="928"/>
      <c r="O25" s="928"/>
      <c r="P25" s="700"/>
    </row>
    <row r="26" spans="2:16" ht="18" customHeight="1">
      <c r="C26" s="683"/>
      <c r="D26" s="928"/>
      <c r="E26" s="928"/>
      <c r="F26" s="699"/>
      <c r="G26" s="684"/>
      <c r="H26" s="928"/>
      <c r="I26" s="928"/>
      <c r="J26" s="928"/>
      <c r="K26" s="928"/>
      <c r="L26" s="928"/>
      <c r="M26" s="928"/>
      <c r="N26" s="928"/>
      <c r="O26" s="928"/>
      <c r="P26" s="700"/>
    </row>
    <row r="27" spans="2:16" s="162" customFormat="1" ht="18" customHeight="1">
      <c r="B27" s="194"/>
      <c r="C27" s="906"/>
      <c r="D27" s="927"/>
      <c r="E27" s="927"/>
      <c r="F27" s="927"/>
      <c r="G27" s="927"/>
      <c r="H27" s="927"/>
      <c r="I27" s="911"/>
      <c r="J27" s="908"/>
      <c r="K27" s="910"/>
      <c r="L27" s="927"/>
      <c r="M27" s="910"/>
      <c r="N27" s="927"/>
      <c r="O27" s="927"/>
      <c r="P27" s="905"/>
    </row>
    <row r="28" spans="2:16" ht="18" customHeight="1">
      <c r="B28" s="193">
        <f>C28</f>
        <v>3</v>
      </c>
      <c r="C28" s="690">
        <f>C15+1</f>
        <v>3</v>
      </c>
      <c r="D28" s="928" t="e">
        <f>D29</f>
        <v>#REF!</v>
      </c>
      <c r="E28" s="928" t="e">
        <f>E29</f>
        <v>#REF!</v>
      </c>
      <c r="F28" s="699" t="e">
        <f>F29</f>
        <v>#REF!</v>
      </c>
      <c r="G28" s="684"/>
      <c r="H28" s="928"/>
      <c r="I28" s="928"/>
      <c r="J28" s="928"/>
      <c r="K28" s="928"/>
      <c r="L28" s="928"/>
      <c r="M28" s="928"/>
      <c r="N28" s="928"/>
      <c r="O28" s="928"/>
      <c r="P28" s="700"/>
    </row>
    <row r="29" spans="2:16" ht="18" customHeight="1">
      <c r="B29" s="193" t="e">
        <f>#REF!</f>
        <v>#REF!</v>
      </c>
      <c r="C29" s="683"/>
      <c r="D29" s="928" t="e">
        <f>VLOOKUP($B29,#REF!,2,FALSE)</f>
        <v>#REF!</v>
      </c>
      <c r="E29" s="928" t="e">
        <f>VLOOKUP($B29,#REF!,3,FALSE)</f>
        <v>#REF!</v>
      </c>
      <c r="F29" s="699" t="e">
        <f>VLOOKUP($B29,#REF!,4,FALSE)</f>
        <v>#REF!</v>
      </c>
      <c r="G29" s="928">
        <v>1</v>
      </c>
      <c r="H29" s="928"/>
      <c r="I29" s="928"/>
      <c r="J29" s="928"/>
      <c r="K29" s="928"/>
      <c r="L29" s="928"/>
      <c r="M29" s="928"/>
      <c r="N29" s="928"/>
      <c r="O29" s="928"/>
      <c r="P29" s="700"/>
    </row>
    <row r="30" spans="2:16" ht="18" customHeight="1">
      <c r="B30" s="193" t="e">
        <f>#REF!</f>
        <v>#REF!</v>
      </c>
      <c r="C30" s="683"/>
      <c r="D30" s="928" t="e">
        <f>VLOOKUP($B30,#REF!,2,FALSE)</f>
        <v>#REF!</v>
      </c>
      <c r="E30" s="928" t="e">
        <f>VLOOKUP($B30,#REF!,3,FALSE)</f>
        <v>#REF!</v>
      </c>
      <c r="F30" s="699" t="s">
        <v>1037</v>
      </c>
      <c r="G30" s="684">
        <f>0.43*0.5</f>
        <v>0.215</v>
      </c>
      <c r="H30" s="928" t="e">
        <f>#REF!</f>
        <v>#REF!</v>
      </c>
      <c r="I30" s="928" t="e">
        <f>INT(G30*H30)</f>
        <v>#REF!</v>
      </c>
      <c r="J30" s="928" t="e">
        <f>#REF!</f>
        <v>#REF!</v>
      </c>
      <c r="K30" s="928" t="e">
        <f>INT(G30*J30)</f>
        <v>#REF!</v>
      </c>
      <c r="L30" s="928" t="e">
        <f>#REF!</f>
        <v>#REF!</v>
      </c>
      <c r="M30" s="928" t="e">
        <f>INT(G30*L30)</f>
        <v>#REF!</v>
      </c>
      <c r="N30" s="928"/>
      <c r="O30" s="928" t="e">
        <f t="shared" ref="O30:O34" si="4">INT(I30+K30+M30)</f>
        <v>#REF!</v>
      </c>
      <c r="P30" s="700" t="s">
        <v>452</v>
      </c>
    </row>
    <row r="31" spans="2:16" ht="18" customHeight="1">
      <c r="B31" s="193" t="e">
        <f>#REF!</f>
        <v>#REF!</v>
      </c>
      <c r="C31" s="683"/>
      <c r="D31" s="928" t="e">
        <f>VLOOKUP($B31,#REF!,2,FALSE)</f>
        <v>#REF!</v>
      </c>
      <c r="E31" s="928" t="e">
        <f>VLOOKUP($B31,#REF!,3,FALSE)</f>
        <v>#REF!</v>
      </c>
      <c r="F31" s="699" t="s">
        <v>1037</v>
      </c>
      <c r="G31" s="684">
        <f>G30*0.24</f>
        <v>5.16E-2</v>
      </c>
      <c r="H31" s="928" t="e">
        <f>#REF!</f>
        <v>#REF!</v>
      </c>
      <c r="I31" s="928" t="e">
        <f>INT(G31*H31)</f>
        <v>#REF!</v>
      </c>
      <c r="J31" s="928" t="e">
        <f>#REF!</f>
        <v>#REF!</v>
      </c>
      <c r="K31" s="928" t="e">
        <f>INT(G31*J31)</f>
        <v>#REF!</v>
      </c>
      <c r="L31" s="928" t="e">
        <f>#REF!</f>
        <v>#REF!</v>
      </c>
      <c r="M31" s="928" t="e">
        <f>INT(G31*L31)</f>
        <v>#REF!</v>
      </c>
      <c r="N31" s="928"/>
      <c r="O31" s="928" t="e">
        <f t="shared" si="4"/>
        <v>#REF!</v>
      </c>
      <c r="P31" s="700" t="s">
        <v>452</v>
      </c>
    </row>
    <row r="32" spans="2:16" ht="18" customHeight="1">
      <c r="C32" s="690"/>
      <c r="D32" s="928" t="s">
        <v>40</v>
      </c>
      <c r="E32" s="684" t="s">
        <v>1092</v>
      </c>
      <c r="F32" s="928" t="s">
        <v>47</v>
      </c>
      <c r="G32" s="701">
        <f t="shared" ref="G32:G33" si="5">ROUNDDOWN(dhTextEvaluate(E32),3)</f>
        <v>0.04</v>
      </c>
      <c r="H32" s="928"/>
      <c r="I32" s="928">
        <f>INT(G32*H32)</f>
        <v>0</v>
      </c>
      <c r="J32" s="928" t="e">
        <f>VLOOKUP($D32,#REF!,2,FALSE)</f>
        <v>#REF!</v>
      </c>
      <c r="K32" s="928" t="e">
        <f>INT(G32*J32)</f>
        <v>#REF!</v>
      </c>
      <c r="L32" s="1606" t="s">
        <v>1066</v>
      </c>
      <c r="M32" s="1606"/>
      <c r="N32" s="928"/>
      <c r="O32" s="928" t="e">
        <f t="shared" si="4"/>
        <v>#REF!</v>
      </c>
      <c r="P32" s="700" t="s">
        <v>452</v>
      </c>
    </row>
    <row r="33" spans="2:16" ht="18" customHeight="1">
      <c r="C33" s="690"/>
      <c r="D33" s="928" t="s">
        <v>45</v>
      </c>
      <c r="E33" s="684" t="s">
        <v>1093</v>
      </c>
      <c r="F33" s="928" t="s">
        <v>47</v>
      </c>
      <c r="G33" s="701">
        <f t="shared" si="5"/>
        <v>9.5000000000000001E-2</v>
      </c>
      <c r="H33" s="928"/>
      <c r="I33" s="928">
        <f>INT(G33*H33)</f>
        <v>0</v>
      </c>
      <c r="J33" s="928" t="e">
        <f>VLOOKUP($D33,#REF!,2,FALSE)</f>
        <v>#REF!</v>
      </c>
      <c r="K33" s="928" t="e">
        <f>INT(G33*J33)</f>
        <v>#REF!</v>
      </c>
      <c r="L33" s="1606" t="s">
        <v>1066</v>
      </c>
      <c r="M33" s="1606"/>
      <c r="N33" s="928"/>
      <c r="O33" s="928" t="e">
        <f t="shared" si="4"/>
        <v>#REF!</v>
      </c>
      <c r="P33" s="700" t="s">
        <v>452</v>
      </c>
    </row>
    <row r="34" spans="2:16" ht="18" customHeight="1">
      <c r="B34" s="193" t="e">
        <f>#REF!</f>
        <v>#REF!</v>
      </c>
      <c r="C34" s="683"/>
      <c r="D34" s="928" t="e">
        <f>VLOOKUP($B34,#REF!,2,FALSE)</f>
        <v>#REF!</v>
      </c>
      <c r="E34" s="928" t="e">
        <f>VLOOKUP($B34,#REF!,3,FALSE)</f>
        <v>#REF!</v>
      </c>
      <c r="F34" s="699" t="e">
        <f>VLOOKUP($B34,#REF!,4,FALSE)</f>
        <v>#REF!</v>
      </c>
      <c r="G34" s="907">
        <f>'신호등 기초산출'!$X$63*2.3</f>
        <v>5.1979999999999995</v>
      </c>
      <c r="H34" s="928" t="s">
        <v>1517</v>
      </c>
      <c r="I34" s="928"/>
      <c r="J34" s="928"/>
      <c r="K34" s="928"/>
      <c r="L34" s="928"/>
      <c r="M34" s="928"/>
      <c r="N34" s="928"/>
      <c r="O34" s="928">
        <f t="shared" si="4"/>
        <v>0</v>
      </c>
      <c r="P34" s="685"/>
    </row>
    <row r="35" spans="2:16" ht="18" customHeight="1">
      <c r="B35" s="193" t="e">
        <f>#REF!</f>
        <v>#REF!</v>
      </c>
      <c r="C35" s="683"/>
      <c r="D35" s="928" t="e">
        <f>VLOOKUP($B35,#REF!,2,FALSE)</f>
        <v>#REF!</v>
      </c>
      <c r="E35" s="928" t="e">
        <f>VLOOKUP($B35,#REF!,3,FALSE)</f>
        <v>#REF!</v>
      </c>
      <c r="F35" s="699" t="e">
        <f>VLOOKUP($B35,#REF!,4,FALSE)</f>
        <v>#REF!</v>
      </c>
      <c r="G35" s="684">
        <f>G34</f>
        <v>5.1979999999999995</v>
      </c>
      <c r="H35" s="928">
        <f>IF(ISERROR(VLOOKUP($B35,일위11,10,FALSE)),0,VLOOKUP($B35,일위11,10,FALSE))</f>
        <v>0</v>
      </c>
      <c r="I35" s="928">
        <f>INT(G35*H35)</f>
        <v>0</v>
      </c>
      <c r="J35" s="928">
        <f>IF(ISERROR(VLOOKUP($B35,일위11,12,FALSE)),0,VLOOKUP($B35,일위11,12,FALSE))</f>
        <v>0</v>
      </c>
      <c r="K35" s="928">
        <f>INT(G35*J35)</f>
        <v>0</v>
      </c>
      <c r="L35" s="928">
        <f>IF(ISERROR(VLOOKUP($B35,일위11,14,FALSE)),0,VLOOKUP($B35,일위11,14,FALSE))</f>
        <v>0</v>
      </c>
      <c r="M35" s="928">
        <f>INT(G35*L35)</f>
        <v>0</v>
      </c>
      <c r="N35" s="928"/>
      <c r="O35" s="928">
        <f>INT(I35+K35+M35)</f>
        <v>0</v>
      </c>
      <c r="P35" s="700">
        <f>IF(ISERROR(VLOOKUP($B35,일위11,4,FALSE)),0,VLOOKUP($B35,일위11,4,FALSE))</f>
        <v>0</v>
      </c>
    </row>
    <row r="36" spans="2:16" ht="18" customHeight="1">
      <c r="B36" s="193" t="str">
        <f>CONCATENATE(C28,D36)</f>
        <v>3계</v>
      </c>
      <c r="C36" s="683"/>
      <c r="D36" s="928" t="s">
        <v>48</v>
      </c>
      <c r="E36" s="928"/>
      <c r="F36" s="699"/>
      <c r="G36" s="684"/>
      <c r="H36" s="928"/>
      <c r="I36" s="928" t="e">
        <f>SUM(I29:I35)</f>
        <v>#REF!</v>
      </c>
      <c r="J36" s="928"/>
      <c r="K36" s="928" t="e">
        <f>SUM(K29:K35)</f>
        <v>#REF!</v>
      </c>
      <c r="L36" s="928"/>
      <c r="M36" s="928" t="e">
        <f>SUM(M29:M35)</f>
        <v>#REF!</v>
      </c>
      <c r="N36" s="928"/>
      <c r="O36" s="928" t="e">
        <f>INT(I36+K36+M36)</f>
        <v>#REF!</v>
      </c>
      <c r="P36" s="700"/>
    </row>
    <row r="37" spans="2:16" ht="18" customHeight="1">
      <c r="C37" s="683"/>
      <c r="D37" s="928"/>
      <c r="E37" s="928"/>
      <c r="F37" s="699"/>
      <c r="G37" s="684"/>
      <c r="H37" s="928"/>
      <c r="I37" s="928"/>
      <c r="J37" s="928"/>
      <c r="K37" s="928"/>
      <c r="L37" s="928"/>
      <c r="M37" s="928"/>
      <c r="N37" s="928"/>
      <c r="O37" s="928"/>
      <c r="P37" s="700"/>
    </row>
    <row r="38" spans="2:16" ht="18" customHeight="1">
      <c r="B38" s="193">
        <f>C38</f>
        <v>4</v>
      </c>
      <c r="C38" s="690">
        <f>C28+1</f>
        <v>4</v>
      </c>
      <c r="D38" s="928" t="e">
        <f>D39</f>
        <v>#REF!</v>
      </c>
      <c r="E38" s="928" t="e">
        <f>E39</f>
        <v>#REF!</v>
      </c>
      <c r="F38" s="699" t="e">
        <f>F39</f>
        <v>#REF!</v>
      </c>
      <c r="G38" s="684"/>
      <c r="H38" s="928"/>
      <c r="I38" s="928"/>
      <c r="J38" s="928"/>
      <c r="K38" s="928"/>
      <c r="L38" s="928"/>
      <c r="M38" s="928"/>
      <c r="N38" s="928"/>
      <c r="O38" s="928"/>
      <c r="P38" s="700"/>
    </row>
    <row r="39" spans="2:16" ht="18" customHeight="1">
      <c r="B39" s="193" t="e">
        <f>#REF!</f>
        <v>#REF!</v>
      </c>
      <c r="C39" s="683"/>
      <c r="D39" s="928" t="e">
        <f>VLOOKUP($B39,#REF!,2,FALSE)</f>
        <v>#REF!</v>
      </c>
      <c r="E39" s="928" t="e">
        <f>VLOOKUP($B39,#REF!,3,FALSE)</f>
        <v>#REF!</v>
      </c>
      <c r="F39" s="699" t="e">
        <f>VLOOKUP($B39,#REF!,4,FALSE)</f>
        <v>#REF!</v>
      </c>
      <c r="G39" s="928">
        <v>1</v>
      </c>
      <c r="H39" s="928"/>
      <c r="I39" s="928"/>
      <c r="J39" s="928"/>
      <c r="K39" s="928"/>
      <c r="L39" s="928"/>
      <c r="M39" s="928"/>
      <c r="N39" s="928"/>
      <c r="O39" s="928"/>
      <c r="P39" s="700"/>
    </row>
    <row r="40" spans="2:16" ht="18" customHeight="1">
      <c r="B40" s="193" t="e">
        <f>#REF!</f>
        <v>#REF!</v>
      </c>
      <c r="C40" s="683"/>
      <c r="D40" s="928" t="e">
        <f>VLOOKUP($B40,#REF!,2,FALSE)</f>
        <v>#REF!</v>
      </c>
      <c r="E40" s="928" t="e">
        <f>VLOOKUP($B40,#REF!,3,FALSE)</f>
        <v>#REF!</v>
      </c>
      <c r="F40" s="699" t="s">
        <v>1037</v>
      </c>
      <c r="G40" s="684">
        <f>0.43*0.5</f>
        <v>0.215</v>
      </c>
      <c r="H40" s="928" t="e">
        <f>#REF!</f>
        <v>#REF!</v>
      </c>
      <c r="I40" s="928" t="e">
        <f>INT(G40*H40)</f>
        <v>#REF!</v>
      </c>
      <c r="J40" s="928" t="e">
        <f>#REF!</f>
        <v>#REF!</v>
      </c>
      <c r="K40" s="928" t="e">
        <f>INT(G40*J40)</f>
        <v>#REF!</v>
      </c>
      <c r="L40" s="928" t="e">
        <f>#REF!</f>
        <v>#REF!</v>
      </c>
      <c r="M40" s="928" t="e">
        <f>INT(G40*L40)</f>
        <v>#REF!</v>
      </c>
      <c r="N40" s="928"/>
      <c r="O40" s="928" t="e">
        <f t="shared" ref="O40:O44" si="6">INT(I40+K40+M40)</f>
        <v>#REF!</v>
      </c>
      <c r="P40" s="700" t="s">
        <v>452</v>
      </c>
    </row>
    <row r="41" spans="2:16" ht="18" customHeight="1">
      <c r="B41" s="193" t="e">
        <f>#REF!</f>
        <v>#REF!</v>
      </c>
      <c r="C41" s="683"/>
      <c r="D41" s="928" t="e">
        <f>VLOOKUP($B41,#REF!,2,FALSE)</f>
        <v>#REF!</v>
      </c>
      <c r="E41" s="928" t="e">
        <f>VLOOKUP($B41,#REF!,3,FALSE)</f>
        <v>#REF!</v>
      </c>
      <c r="F41" s="699" t="s">
        <v>1037</v>
      </c>
      <c r="G41" s="684">
        <f>G40*0.24</f>
        <v>5.16E-2</v>
      </c>
      <c r="H41" s="928" t="e">
        <f>#REF!</f>
        <v>#REF!</v>
      </c>
      <c r="I41" s="928" t="e">
        <f>INT(G41*H41)</f>
        <v>#REF!</v>
      </c>
      <c r="J41" s="928" t="e">
        <f>#REF!</f>
        <v>#REF!</v>
      </c>
      <c r="K41" s="928" t="e">
        <f>INT(G41*J41)</f>
        <v>#REF!</v>
      </c>
      <c r="L41" s="928" t="e">
        <f>#REF!</f>
        <v>#REF!</v>
      </c>
      <c r="M41" s="928" t="e">
        <f>INT(G41*L41)</f>
        <v>#REF!</v>
      </c>
      <c r="N41" s="928"/>
      <c r="O41" s="928" t="e">
        <f t="shared" si="6"/>
        <v>#REF!</v>
      </c>
      <c r="P41" s="700" t="s">
        <v>452</v>
      </c>
    </row>
    <row r="42" spans="2:16" ht="18" customHeight="1">
      <c r="C42" s="690"/>
      <c r="D42" s="928" t="s">
        <v>40</v>
      </c>
      <c r="E42" s="684" t="s">
        <v>1092</v>
      </c>
      <c r="F42" s="928" t="s">
        <v>47</v>
      </c>
      <c r="G42" s="701">
        <f t="shared" ref="G42:G43" si="7">ROUNDDOWN(dhTextEvaluate(E42),3)</f>
        <v>0.04</v>
      </c>
      <c r="H42" s="928"/>
      <c r="I42" s="928">
        <f>INT(G42*H42)</f>
        <v>0</v>
      </c>
      <c r="J42" s="928" t="e">
        <f>VLOOKUP($D42,#REF!,2,FALSE)</f>
        <v>#REF!</v>
      </c>
      <c r="K42" s="928" t="e">
        <f>INT(G42*J42)</f>
        <v>#REF!</v>
      </c>
      <c r="L42" s="1606" t="s">
        <v>1066</v>
      </c>
      <c r="M42" s="1606"/>
      <c r="N42" s="928"/>
      <c r="O42" s="928" t="e">
        <f t="shared" si="6"/>
        <v>#REF!</v>
      </c>
      <c r="P42" s="700" t="s">
        <v>452</v>
      </c>
    </row>
    <row r="43" spans="2:16" ht="18" customHeight="1">
      <c r="C43" s="690"/>
      <c r="D43" s="928" t="s">
        <v>45</v>
      </c>
      <c r="E43" s="684" t="s">
        <v>1093</v>
      </c>
      <c r="F43" s="928" t="s">
        <v>47</v>
      </c>
      <c r="G43" s="701">
        <f t="shared" si="7"/>
        <v>9.5000000000000001E-2</v>
      </c>
      <c r="H43" s="928"/>
      <c r="I43" s="928">
        <f>INT(G43*H43)</f>
        <v>0</v>
      </c>
      <c r="J43" s="928" t="e">
        <f>VLOOKUP($D43,#REF!,2,FALSE)</f>
        <v>#REF!</v>
      </c>
      <c r="K43" s="928" t="e">
        <f>INT(G43*J43)</f>
        <v>#REF!</v>
      </c>
      <c r="L43" s="1606" t="s">
        <v>1066</v>
      </c>
      <c r="M43" s="1606"/>
      <c r="N43" s="928"/>
      <c r="O43" s="928" t="e">
        <f t="shared" si="6"/>
        <v>#REF!</v>
      </c>
      <c r="P43" s="700" t="s">
        <v>452</v>
      </c>
    </row>
    <row r="44" spans="2:16" ht="18" customHeight="1">
      <c r="B44" s="193" t="e">
        <f>#REF!</f>
        <v>#REF!</v>
      </c>
      <c r="C44" s="683"/>
      <c r="D44" s="928" t="e">
        <f>VLOOKUP($B44,#REF!,2,FALSE)</f>
        <v>#REF!</v>
      </c>
      <c r="E44" s="928" t="e">
        <f>VLOOKUP($B44,#REF!,3,FALSE)</f>
        <v>#REF!</v>
      </c>
      <c r="F44" s="699" t="e">
        <f>VLOOKUP($B44,#REF!,4,FALSE)</f>
        <v>#REF!</v>
      </c>
      <c r="G44" s="907">
        <f>'신호등 기초산출'!$X$107*2.3</f>
        <v>7.3599999999999994</v>
      </c>
      <c r="H44" s="928" t="s">
        <v>1517</v>
      </c>
      <c r="I44" s="928"/>
      <c r="J44" s="928"/>
      <c r="K44" s="928"/>
      <c r="L44" s="928"/>
      <c r="M44" s="928"/>
      <c r="N44" s="928"/>
      <c r="O44" s="928">
        <f t="shared" si="6"/>
        <v>0</v>
      </c>
      <c r="P44" s="685"/>
    </row>
    <row r="45" spans="2:16" ht="18" customHeight="1">
      <c r="B45" s="193" t="e">
        <f>#REF!</f>
        <v>#REF!</v>
      </c>
      <c r="C45" s="683"/>
      <c r="D45" s="928" t="e">
        <f>VLOOKUP($B45,#REF!,2,FALSE)</f>
        <v>#REF!</v>
      </c>
      <c r="E45" s="928" t="e">
        <f>VLOOKUP($B45,#REF!,3,FALSE)</f>
        <v>#REF!</v>
      </c>
      <c r="F45" s="699" t="e">
        <f>VLOOKUP($B45,#REF!,4,FALSE)</f>
        <v>#REF!</v>
      </c>
      <c r="G45" s="684">
        <f>G44</f>
        <v>7.3599999999999994</v>
      </c>
      <c r="H45" s="928">
        <f>IF(ISERROR(VLOOKUP($B45,일위11,10,FALSE)),0,VLOOKUP($B45,일위11,10,FALSE))</f>
        <v>0</v>
      </c>
      <c r="I45" s="928">
        <f>INT(G45*H45)</f>
        <v>0</v>
      </c>
      <c r="J45" s="928">
        <f>IF(ISERROR(VLOOKUP($B45,일위11,12,FALSE)),0,VLOOKUP($B45,일위11,12,FALSE))</f>
        <v>0</v>
      </c>
      <c r="K45" s="928">
        <f>INT(G45*J45)</f>
        <v>0</v>
      </c>
      <c r="L45" s="928">
        <f>IF(ISERROR(VLOOKUP($B45,일위11,14,FALSE)),0,VLOOKUP($B45,일위11,14,FALSE))</f>
        <v>0</v>
      </c>
      <c r="M45" s="928">
        <f>INT(G45*L45)</f>
        <v>0</v>
      </c>
      <c r="N45" s="928"/>
      <c r="O45" s="928">
        <f>INT(I45+K45+M45)</f>
        <v>0</v>
      </c>
      <c r="P45" s="700">
        <f>IF(ISERROR(VLOOKUP($B45,일위11,4,FALSE)),0,VLOOKUP($B45,일위11,4,FALSE))</f>
        <v>0</v>
      </c>
    </row>
    <row r="46" spans="2:16" ht="18" customHeight="1">
      <c r="B46" s="193" t="str">
        <f>CONCATENATE(C38,D46)</f>
        <v>4계</v>
      </c>
      <c r="C46" s="683"/>
      <c r="D46" s="928" t="s">
        <v>48</v>
      </c>
      <c r="E46" s="928"/>
      <c r="F46" s="699"/>
      <c r="G46" s="684"/>
      <c r="H46" s="928"/>
      <c r="I46" s="928" t="e">
        <f>SUM(I39:I45)</f>
        <v>#REF!</v>
      </c>
      <c r="J46" s="928"/>
      <c r="K46" s="928" t="e">
        <f>SUM(K39:K45)</f>
        <v>#REF!</v>
      </c>
      <c r="L46" s="928"/>
      <c r="M46" s="928" t="e">
        <f>SUM(M39:M45)</f>
        <v>#REF!</v>
      </c>
      <c r="N46" s="928"/>
      <c r="O46" s="928" t="e">
        <f>INT(I46+K46+M46)</f>
        <v>#REF!</v>
      </c>
      <c r="P46" s="700"/>
    </row>
    <row r="47" spans="2:16" ht="18" customHeight="1">
      <c r="C47" s="683"/>
      <c r="D47" s="928"/>
      <c r="E47" s="928"/>
      <c r="F47" s="699"/>
      <c r="G47" s="684"/>
      <c r="H47" s="928"/>
      <c r="I47" s="928"/>
      <c r="J47" s="928"/>
      <c r="K47" s="928"/>
      <c r="L47" s="928"/>
      <c r="M47" s="928"/>
      <c r="N47" s="928"/>
      <c r="O47" s="928"/>
      <c r="P47" s="700"/>
    </row>
    <row r="48" spans="2:16" ht="18" customHeight="1">
      <c r="C48" s="683"/>
      <c r="D48" s="928"/>
      <c r="E48" s="928"/>
      <c r="F48" s="699"/>
      <c r="G48" s="684"/>
      <c r="H48" s="928"/>
      <c r="I48" s="928"/>
      <c r="J48" s="928"/>
      <c r="K48" s="928"/>
      <c r="L48" s="928"/>
      <c r="M48" s="928"/>
      <c r="N48" s="928"/>
      <c r="O48" s="928"/>
      <c r="P48" s="700"/>
    </row>
    <row r="49" spans="2:18" ht="18" customHeight="1">
      <c r="C49" s="683"/>
      <c r="D49" s="928"/>
      <c r="E49" s="928"/>
      <c r="F49" s="699"/>
      <c r="G49" s="684"/>
      <c r="H49" s="928"/>
      <c r="I49" s="928"/>
      <c r="J49" s="928"/>
      <c r="K49" s="928"/>
      <c r="L49" s="928"/>
      <c r="M49" s="928"/>
      <c r="N49" s="928"/>
      <c r="O49" s="928"/>
      <c r="P49" s="700"/>
    </row>
    <row r="50" spans="2:18" ht="18" customHeight="1">
      <c r="C50" s="691"/>
      <c r="D50" s="692"/>
      <c r="E50" s="692"/>
      <c r="F50" s="692"/>
      <c r="G50" s="703"/>
      <c r="H50" s="692"/>
      <c r="I50" s="692"/>
      <c r="J50" s="692"/>
      <c r="K50" s="692"/>
      <c r="L50" s="692"/>
      <c r="M50" s="692"/>
      <c r="N50" s="692"/>
      <c r="O50" s="692"/>
      <c r="P50" s="693"/>
    </row>
    <row r="51" spans="2:18" ht="18" customHeight="1">
      <c r="B51" s="193">
        <f>C51</f>
        <v>5</v>
      </c>
      <c r="C51" s="680">
        <f>C38+1</f>
        <v>5</v>
      </c>
      <c r="D51" s="681" t="e">
        <f>D52</f>
        <v>#REF!</v>
      </c>
      <c r="E51" s="681" t="e">
        <f>E52</f>
        <v>#REF!</v>
      </c>
      <c r="F51" s="681" t="s">
        <v>90</v>
      </c>
      <c r="G51" s="695"/>
      <c r="H51" s="681"/>
      <c r="I51" s="681"/>
      <c r="J51" s="681"/>
      <c r="K51" s="681"/>
      <c r="L51" s="681"/>
      <c r="M51" s="681"/>
      <c r="N51" s="681"/>
      <c r="O51" s="681"/>
      <c r="P51" s="682"/>
    </row>
    <row r="52" spans="2:18" ht="18" customHeight="1">
      <c r="B52" s="193" t="e">
        <f>#REF!</f>
        <v>#REF!</v>
      </c>
      <c r="C52" s="683"/>
      <c r="D52" s="928" t="e">
        <f>VLOOKUP($B52,#REF!,2,FALSE)</f>
        <v>#REF!</v>
      </c>
      <c r="E52" s="928" t="e">
        <f>VLOOKUP($B52,#REF!,3,FALSE)</f>
        <v>#REF!</v>
      </c>
      <c r="F52" s="928" t="s">
        <v>90</v>
      </c>
      <c r="G52" s="684">
        <v>1</v>
      </c>
      <c r="H52" s="928"/>
      <c r="I52" s="928"/>
      <c r="J52" s="928"/>
      <c r="K52" s="928"/>
      <c r="L52" s="928"/>
      <c r="M52" s="928"/>
      <c r="N52" s="928"/>
      <c r="O52" s="928"/>
      <c r="P52" s="685"/>
    </row>
    <row r="53" spans="2:18" ht="18" customHeight="1">
      <c r="B53" s="193" t="e">
        <f>#REF!</f>
        <v>#REF!</v>
      </c>
      <c r="C53" s="683"/>
      <c r="D53" s="928" t="e">
        <f>VLOOKUP($B53,#REF!,2,FALSE)</f>
        <v>#REF!</v>
      </c>
      <c r="E53" s="694" t="e">
        <f>VLOOKUP($B53,#REF!,3,FALSE)</f>
        <v>#REF!</v>
      </c>
      <c r="F53" s="928" t="e">
        <f>VLOOKUP($B53,#REF!,4,FALSE)</f>
        <v>#REF!</v>
      </c>
      <c r="G53" s="688">
        <f>관로굴착도!$W$26</f>
        <v>2</v>
      </c>
      <c r="H53" s="928" t="e">
        <f>VLOOKUP($P$53,#REF!,7,FALSE)</f>
        <v>#REF!</v>
      </c>
      <c r="I53" s="928" t="e">
        <f t="shared" ref="I53:I62" si="8">INT(G53*H53)</f>
        <v>#REF!</v>
      </c>
      <c r="J53" s="928" t="e">
        <f>VLOOKUP($P$53,#REF!,6,FALSE)</f>
        <v>#REF!</v>
      </c>
      <c r="K53" s="928" t="e">
        <f>INT(G53*J53)</f>
        <v>#REF!</v>
      </c>
      <c r="L53" s="928" t="e">
        <f>VLOOKUP($P$53,#REF!,8,FALSE)</f>
        <v>#REF!</v>
      </c>
      <c r="M53" s="928" t="e">
        <f>INT(G53*L53)</f>
        <v>#REF!</v>
      </c>
      <c r="N53" s="928"/>
      <c r="O53" s="928" t="e">
        <f t="shared" ref="O53:O67" si="9">INT(I53+K53+M53)</f>
        <v>#REF!</v>
      </c>
      <c r="P53" s="700" t="e">
        <f>#REF!</f>
        <v>#REF!</v>
      </c>
    </row>
    <row r="54" spans="2:18" ht="18" customHeight="1">
      <c r="B54" s="193" t="e">
        <f>#REF!</f>
        <v>#REF!</v>
      </c>
      <c r="C54" s="683"/>
      <c r="D54" s="928" t="e">
        <f>VLOOKUP($B54,#REF!,2,FALSE)</f>
        <v>#REF!</v>
      </c>
      <c r="E54" s="694" t="e">
        <f>VLOOKUP($B54,#REF!,3,FALSE)</f>
        <v>#REF!</v>
      </c>
      <c r="F54" s="928" t="e">
        <f>VLOOKUP($B54,#REF!,4,FALSE)</f>
        <v>#REF!</v>
      </c>
      <c r="G54" s="688">
        <f>관로굴착도!$W$27</f>
        <v>7.5000000000000011E-2</v>
      </c>
      <c r="H54" s="928" t="e">
        <f>VLOOKUP($P$54,#REF!,7,FALSE)</f>
        <v>#REF!</v>
      </c>
      <c r="I54" s="928" t="e">
        <f t="shared" si="8"/>
        <v>#REF!</v>
      </c>
      <c r="J54" s="928" t="e">
        <f>VLOOKUP($P$54,#REF!,6,FALSE)</f>
        <v>#REF!</v>
      </c>
      <c r="K54" s="928" t="e">
        <f>INT(G54*J54)</f>
        <v>#REF!</v>
      </c>
      <c r="L54" s="928" t="e">
        <f>VLOOKUP($P$54,#REF!,8,FALSE)</f>
        <v>#REF!</v>
      </c>
      <c r="M54" s="928" t="e">
        <f>INT(G54*L54)</f>
        <v>#REF!</v>
      </c>
      <c r="N54" s="928"/>
      <c r="O54" s="928" t="e">
        <f t="shared" si="9"/>
        <v>#REF!</v>
      </c>
      <c r="P54" s="700" t="e">
        <f>#REF!</f>
        <v>#REF!</v>
      </c>
      <c r="R54" s="712"/>
    </row>
    <row r="55" spans="2:18" ht="18" customHeight="1">
      <c r="B55" s="193" t="e">
        <f>#REF!</f>
        <v>#REF!</v>
      </c>
      <c r="C55" s="683"/>
      <c r="D55" s="928" t="e">
        <f>VLOOKUP($B55,#REF!,2,FALSE)</f>
        <v>#REF!</v>
      </c>
      <c r="E55" s="694" t="e">
        <f>VLOOKUP($B55,#REF!,3,FALSE)</f>
        <v>#REF!</v>
      </c>
      <c r="F55" s="928" t="e">
        <f>VLOOKUP($B55,#REF!,4,FALSE)</f>
        <v>#REF!</v>
      </c>
      <c r="G55" s="688">
        <f>관로굴착도!$W$28</f>
        <v>0.54999999999999993</v>
      </c>
      <c r="H55" s="928">
        <f>IF(ISERROR(VLOOKUP($B55,일위11,10,FALSE)),0,VLOOKUP($B55,일위11,10,FALSE))</f>
        <v>0</v>
      </c>
      <c r="I55" s="928">
        <f t="shared" si="8"/>
        <v>0</v>
      </c>
      <c r="J55" s="928">
        <f>IF(ISERROR(VLOOKUP($B55,일위11,12,FALSE)),0,VLOOKUP($B55,일위11,12,FALSE))</f>
        <v>0</v>
      </c>
      <c r="K55" s="928">
        <f>INT(G55*J55)</f>
        <v>0</v>
      </c>
      <c r="L55" s="928">
        <f>IF(ISERROR(VLOOKUP($B55,일위11,14,FALSE)),0,VLOOKUP($B55,일위11,14,FALSE))</f>
        <v>0</v>
      </c>
      <c r="M55" s="928">
        <f>INT(G55*L55)</f>
        <v>0</v>
      </c>
      <c r="N55" s="928"/>
      <c r="O55" s="928">
        <f t="shared" si="9"/>
        <v>0</v>
      </c>
      <c r="P55" s="700">
        <f>IF(ISERROR(VLOOKUP($B55,일위11,4,FALSE)),0,VLOOKUP($B55,일위11,4,FALSE))</f>
        <v>0</v>
      </c>
      <c r="R55" s="712"/>
    </row>
    <row r="56" spans="2:18" ht="18" customHeight="1">
      <c r="B56" s="193" t="e">
        <f>#REF!</f>
        <v>#REF!</v>
      </c>
      <c r="C56" s="683"/>
      <c r="D56" s="928" t="e">
        <f>VLOOKUP($B56,#REF!,2,FALSE)</f>
        <v>#REF!</v>
      </c>
      <c r="E56" s="696" t="e">
        <f>VLOOKUP($B56,#REF!,3,FALSE)</f>
        <v>#REF!</v>
      </c>
      <c r="F56" s="928" t="e">
        <f>VLOOKUP($B56,#REF!,4,FALSE)</f>
        <v>#REF!</v>
      </c>
      <c r="G56" s="684">
        <f>관로굴착도!$W$29</f>
        <v>0.17499999999999999</v>
      </c>
      <c r="H56" s="928" t="e">
        <f>VLOOKUP($B56,#REF!,11,FALSE)</f>
        <v>#REF!</v>
      </c>
      <c r="I56" s="928" t="e">
        <f t="shared" si="8"/>
        <v>#REF!</v>
      </c>
      <c r="J56" s="928"/>
      <c r="K56" s="928"/>
      <c r="L56" s="1606"/>
      <c r="M56" s="1606"/>
      <c r="N56" s="928"/>
      <c r="O56" s="928" t="e">
        <f>INT(I56+K56+M56)</f>
        <v>#REF!</v>
      </c>
      <c r="P56" s="685"/>
    </row>
    <row r="57" spans="2:18" ht="18" customHeight="1">
      <c r="B57" s="193" t="e">
        <f>#REF!</f>
        <v>#REF!</v>
      </c>
      <c r="C57" s="690"/>
      <c r="D57" s="705" t="e">
        <f>VLOOKUP($B57,#REF!,2,FALSE)</f>
        <v>#REF!</v>
      </c>
      <c r="E57" s="696" t="e">
        <f>VLOOKUP($B57,#REF!,3,FALSE)</f>
        <v>#REF!</v>
      </c>
      <c r="F57" s="706" t="e">
        <f>VLOOKUP($B57,#REF!,4,FALSE)</f>
        <v>#REF!</v>
      </c>
      <c r="G57" s="710">
        <f>관로굴착도!$W$30</f>
        <v>0.22500000000000001</v>
      </c>
      <c r="H57" s="928">
        <f>IF(ISERROR(VLOOKUP($B57,일위11,10,FALSE)),0,VLOOKUP($B57,일위11,10,FALSE))</f>
        <v>0</v>
      </c>
      <c r="I57" s="928">
        <f t="shared" si="8"/>
        <v>0</v>
      </c>
      <c r="J57" s="928">
        <f>IF(ISERROR(VLOOKUP($B57,일위11,12,FALSE)),0,VLOOKUP($B57,일위11,12,FALSE))</f>
        <v>0</v>
      </c>
      <c r="K57" s="928">
        <f t="shared" ref="K57:K64" si="10">INT(G57*J57)</f>
        <v>0</v>
      </c>
      <c r="L57" s="928">
        <f>IF(ISERROR(VLOOKUP($B57,일위11,14,FALSE)),0,VLOOKUP($B57,일위11,14,FALSE))</f>
        <v>0</v>
      </c>
      <c r="M57" s="928">
        <f t="shared" ref="M57:M62" si="11">INT(G57*L57)</f>
        <v>0</v>
      </c>
      <c r="N57" s="711"/>
      <c r="O57" s="928">
        <f t="shared" si="9"/>
        <v>0</v>
      </c>
      <c r="P57" s="700">
        <f>IF(ISERROR(VLOOKUP($B57,일위11,4,FALSE)),0,VLOOKUP($B57,일위11,4,FALSE))</f>
        <v>0</v>
      </c>
    </row>
    <row r="58" spans="2:18" ht="18" customHeight="1">
      <c r="B58" s="193" t="e">
        <f>#REF!</f>
        <v>#REF!</v>
      </c>
      <c r="C58" s="683"/>
      <c r="D58" s="928" t="e">
        <f>VLOOKUP($B58,#REF!,2,FALSE)</f>
        <v>#REF!</v>
      </c>
      <c r="E58" s="694" t="e">
        <f>VLOOKUP($B58,#REF!,3,FALSE)</f>
        <v>#REF!</v>
      </c>
      <c r="F58" s="928" t="e">
        <f>VLOOKUP($B58,#REF!,4,FALSE)</f>
        <v>#REF!</v>
      </c>
      <c r="G58" s="688">
        <f>관로굴착도!$W$31</f>
        <v>0.15</v>
      </c>
      <c r="H58" s="928" t="e">
        <f>VLOOKUP($P$58,#REF!,7,FALSE)</f>
        <v>#REF!</v>
      </c>
      <c r="I58" s="928" t="e">
        <f t="shared" si="8"/>
        <v>#REF!</v>
      </c>
      <c r="J58" s="928" t="e">
        <f>VLOOKUP($P$58,#REF!,6,FALSE)</f>
        <v>#REF!</v>
      </c>
      <c r="K58" s="928" t="e">
        <f t="shared" si="10"/>
        <v>#REF!</v>
      </c>
      <c r="L58" s="928" t="e">
        <f>VLOOKUP($P$58,#REF!,8,FALSE)</f>
        <v>#REF!</v>
      </c>
      <c r="M58" s="928" t="e">
        <f t="shared" si="11"/>
        <v>#REF!</v>
      </c>
      <c r="N58" s="928"/>
      <c r="O58" s="928" t="e">
        <f t="shared" si="9"/>
        <v>#REF!</v>
      </c>
      <c r="P58" s="700" t="e">
        <f>#REF!</f>
        <v>#REF!</v>
      </c>
      <c r="R58" s="712"/>
    </row>
    <row r="59" spans="2:18" ht="18" customHeight="1">
      <c r="B59" s="193" t="e">
        <f>#REF!</f>
        <v>#REF!</v>
      </c>
      <c r="C59" s="683"/>
      <c r="D59" s="928" t="e">
        <f>VLOOKUP($B59,#REF!,2,FALSE)</f>
        <v>#REF!</v>
      </c>
      <c r="E59" s="694" t="e">
        <f>VLOOKUP($B59,#REF!,3,FALSE)</f>
        <v>#REF!</v>
      </c>
      <c r="F59" s="928" t="e">
        <f>VLOOKUP($B59,#REF!,4,FALSE)</f>
        <v>#REF!</v>
      </c>
      <c r="G59" s="688">
        <f>관로굴착도!$W$32</f>
        <v>5.0000000000000001E-3</v>
      </c>
      <c r="H59" s="928" t="e">
        <f>VLOOKUP(P59,#REF!,7,FALSE)</f>
        <v>#REF!</v>
      </c>
      <c r="I59" s="928" t="e">
        <f t="shared" si="8"/>
        <v>#REF!</v>
      </c>
      <c r="J59" s="928" t="e">
        <f>VLOOKUP(P59,#REF!,6,FALSE)</f>
        <v>#REF!</v>
      </c>
      <c r="K59" s="928" t="e">
        <f t="shared" si="10"/>
        <v>#REF!</v>
      </c>
      <c r="L59" s="928" t="e">
        <f>VLOOKUP(P59,#REF!,8,FALSE)</f>
        <v>#REF!</v>
      </c>
      <c r="M59" s="928" t="e">
        <f t="shared" si="11"/>
        <v>#REF!</v>
      </c>
      <c r="N59" s="928"/>
      <c r="O59" s="928" t="e">
        <f t="shared" si="9"/>
        <v>#REF!</v>
      </c>
      <c r="P59" s="700" t="e">
        <f>#REF!</f>
        <v>#REF!</v>
      </c>
      <c r="R59" s="712"/>
    </row>
    <row r="60" spans="2:18" ht="18" customHeight="1">
      <c r="B60" s="193" t="e">
        <f>#REF!</f>
        <v>#REF!</v>
      </c>
      <c r="C60" s="683"/>
      <c r="D60" s="928" t="e">
        <f>VLOOKUP($B60,#REF!,2,FALSE)</f>
        <v>#REF!</v>
      </c>
      <c r="E60" s="694" t="e">
        <f>VLOOKUP($B60,#REF!,3,FALSE)</f>
        <v>#REF!</v>
      </c>
      <c r="F60" s="928" t="e">
        <f>VLOOKUP($B60,#REF!,4,FALSE)</f>
        <v>#REF!</v>
      </c>
      <c r="G60" s="688">
        <f>관로굴착도!$W$33</f>
        <v>0.5</v>
      </c>
      <c r="H60" s="928" t="e">
        <f>VLOOKUP(P60,#REF!,7,FALSE)</f>
        <v>#REF!</v>
      </c>
      <c r="I60" s="928" t="e">
        <f t="shared" si="8"/>
        <v>#REF!</v>
      </c>
      <c r="J60" s="928" t="e">
        <f>VLOOKUP(P60,#REF!,6,FALSE)</f>
        <v>#REF!</v>
      </c>
      <c r="K60" s="928" t="e">
        <f t="shared" si="10"/>
        <v>#REF!</v>
      </c>
      <c r="L60" s="928" t="e">
        <f>VLOOKUP(P60,#REF!,8,FALSE)</f>
        <v>#REF!</v>
      </c>
      <c r="M60" s="928" t="e">
        <f t="shared" si="11"/>
        <v>#REF!</v>
      </c>
      <c r="N60" s="928"/>
      <c r="O60" s="928" t="e">
        <f t="shared" si="9"/>
        <v>#REF!</v>
      </c>
      <c r="P60" s="700" t="e">
        <f>#REF!</f>
        <v>#REF!</v>
      </c>
      <c r="R60" s="712"/>
    </row>
    <row r="61" spans="2:18" ht="18" customHeight="1">
      <c r="B61" s="193" t="e">
        <f>#REF!</f>
        <v>#REF!</v>
      </c>
      <c r="C61" s="683"/>
      <c r="D61" s="928" t="e">
        <f>VLOOKUP($B61,#REF!,2,FALSE)</f>
        <v>#REF!</v>
      </c>
      <c r="E61" s="694" t="e">
        <f>VLOOKUP($B61,#REF!,3,FALSE)</f>
        <v>#REF!</v>
      </c>
      <c r="F61" s="928" t="e">
        <f>VLOOKUP($B61,#REF!,4,FALSE)</f>
        <v>#REF!</v>
      </c>
      <c r="G61" s="688">
        <f>관로굴착도!$W$35</f>
        <v>0.5</v>
      </c>
      <c r="H61" s="928" t="e">
        <f>VLOOKUP(P61,#REF!,7,FALSE)</f>
        <v>#REF!</v>
      </c>
      <c r="I61" s="928" t="e">
        <f t="shared" si="8"/>
        <v>#REF!</v>
      </c>
      <c r="J61" s="928" t="e">
        <f>VLOOKUP(P61,#REF!,6,FALSE)</f>
        <v>#REF!</v>
      </c>
      <c r="K61" s="928" t="e">
        <f t="shared" si="10"/>
        <v>#REF!</v>
      </c>
      <c r="L61" s="928" t="e">
        <f>VLOOKUP(P61,#REF!,8,FALSE)</f>
        <v>#REF!</v>
      </c>
      <c r="M61" s="928" t="e">
        <f t="shared" si="11"/>
        <v>#REF!</v>
      </c>
      <c r="N61" s="928"/>
      <c r="O61" s="928" t="e">
        <f t="shared" si="9"/>
        <v>#REF!</v>
      </c>
      <c r="P61" s="700" t="e">
        <f>#REF!</f>
        <v>#REF!</v>
      </c>
      <c r="R61" s="712"/>
    </row>
    <row r="62" spans="2:18" ht="18" customHeight="1">
      <c r="B62" s="193" t="e">
        <f>#REF!</f>
        <v>#REF!</v>
      </c>
      <c r="C62" s="683"/>
      <c r="D62" s="928" t="e">
        <f>VLOOKUP($B62,#REF!,2,FALSE)</f>
        <v>#REF!</v>
      </c>
      <c r="E62" s="694" t="e">
        <f>VLOOKUP($B62,#REF!,3,FALSE)</f>
        <v>#REF!</v>
      </c>
      <c r="F62" s="928" t="e">
        <f>VLOOKUP($B62,#REF!,4,FALSE)</f>
        <v>#REF!</v>
      </c>
      <c r="G62" s="688">
        <f>관로굴착도!$W$36</f>
        <v>0.5</v>
      </c>
      <c r="H62" s="928" t="e">
        <f>VLOOKUP(P62,#REF!,7,FALSE)</f>
        <v>#REF!</v>
      </c>
      <c r="I62" s="928" t="e">
        <f t="shared" si="8"/>
        <v>#REF!</v>
      </c>
      <c r="J62" s="928" t="e">
        <f>VLOOKUP(P62,#REF!,6,FALSE)</f>
        <v>#REF!</v>
      </c>
      <c r="K62" s="928" t="e">
        <f t="shared" si="10"/>
        <v>#REF!</v>
      </c>
      <c r="L62" s="928" t="e">
        <f>VLOOKUP(P62,#REF!,8,FALSE)</f>
        <v>#REF!</v>
      </c>
      <c r="M62" s="928" t="e">
        <f t="shared" si="11"/>
        <v>#REF!</v>
      </c>
      <c r="N62" s="928"/>
      <c r="O62" s="928" t="e">
        <f t="shared" si="9"/>
        <v>#REF!</v>
      </c>
      <c r="P62" s="700" t="e">
        <f>#REF!</f>
        <v>#REF!</v>
      </c>
      <c r="R62" s="712"/>
    </row>
    <row r="63" spans="2:18" ht="18" customHeight="1">
      <c r="B63" s="193" t="e">
        <f>#REF!</f>
        <v>#REF!</v>
      </c>
      <c r="C63" s="683"/>
      <c r="D63" s="928" t="e">
        <f>VLOOKUP($B63,#REF!,2,FALSE)</f>
        <v>#REF!</v>
      </c>
      <c r="E63" s="928" t="e">
        <f>VLOOKUP($B63,#REF!,3,FALSE)</f>
        <v>#REF!</v>
      </c>
      <c r="F63" s="699" t="e">
        <f>VLOOKUP($B63,#REF!,4,FALSE)</f>
        <v>#REF!</v>
      </c>
      <c r="G63" s="684">
        <f>관로굴착도!$W$38</f>
        <v>1</v>
      </c>
      <c r="H63" s="928">
        <f>IF(ISERROR(VLOOKUP($B63,일위11,10,FALSE)),0,VLOOKUP($B63,일위11,10,FALSE))</f>
        <v>0</v>
      </c>
      <c r="I63" s="928">
        <f>G63*H63</f>
        <v>0</v>
      </c>
      <c r="J63" s="928">
        <f>IF(ISERROR(VLOOKUP($B63,일위11,12,FALSE)),0,VLOOKUP($B63,일위11,12,FALSE))</f>
        <v>0</v>
      </c>
      <c r="K63" s="928">
        <f t="shared" si="10"/>
        <v>0</v>
      </c>
      <c r="L63" s="928">
        <f>IF(ISERROR(VLOOKUP($B63,일위11,14,FALSE)),0,VLOOKUP($B63,일위11,14,FALSE))</f>
        <v>0</v>
      </c>
      <c r="M63" s="928"/>
      <c r="N63" s="928"/>
      <c r="O63" s="928">
        <f t="shared" si="9"/>
        <v>0</v>
      </c>
      <c r="P63" s="700">
        <f>IF(ISERROR(VLOOKUP($B63,일위11,4,FALSE)),0,VLOOKUP($B63,일위11,4,FALSE))</f>
        <v>0</v>
      </c>
    </row>
    <row r="64" spans="2:18" ht="18" customHeight="1">
      <c r="B64" s="193" t="e">
        <f>#REF!</f>
        <v>#REF!</v>
      </c>
      <c r="C64" s="683"/>
      <c r="D64" s="928" t="e">
        <f>VLOOKUP($B64,#REF!,2,FALSE)</f>
        <v>#REF!</v>
      </c>
      <c r="E64" s="694" t="e">
        <f>VLOOKUP($B64,#REF!,3,FALSE)</f>
        <v>#REF!</v>
      </c>
      <c r="F64" s="928" t="e">
        <f>VLOOKUP($B64,#REF!,4,FALSE)</f>
        <v>#REF!</v>
      </c>
      <c r="G64" s="688">
        <f>관로굴착도!$W$39</f>
        <v>0.32499999999999996</v>
      </c>
      <c r="H64" s="928" t="e">
        <f>VLOOKUP(P64,#REF!,7,FALSE)</f>
        <v>#REF!</v>
      </c>
      <c r="I64" s="928" t="e">
        <f>INT(G64*H64)</f>
        <v>#REF!</v>
      </c>
      <c r="J64" s="928" t="e">
        <f>VLOOKUP(P64,#REF!,6,FALSE)</f>
        <v>#REF!</v>
      </c>
      <c r="K64" s="928" t="e">
        <f t="shared" si="10"/>
        <v>#REF!</v>
      </c>
      <c r="L64" s="928" t="e">
        <f>VLOOKUP(P64,#REF!,8,FALSE)</f>
        <v>#REF!</v>
      </c>
      <c r="M64" s="928" t="e">
        <f>INT(G64*L64)</f>
        <v>#REF!</v>
      </c>
      <c r="N64" s="928"/>
      <c r="O64" s="928" t="e">
        <f t="shared" si="9"/>
        <v>#REF!</v>
      </c>
      <c r="P64" s="700" t="e">
        <f>#REF!</f>
        <v>#REF!</v>
      </c>
      <c r="R64" s="712"/>
    </row>
    <row r="65" spans="2:18" ht="18" customHeight="1">
      <c r="B65" s="193" t="e">
        <f>#REF!</f>
        <v>#REF!</v>
      </c>
      <c r="C65" s="683"/>
      <c r="D65" s="928" t="e">
        <f>VLOOKUP($B65,#REF!,2,FALSE)</f>
        <v>#REF!</v>
      </c>
      <c r="E65" s="694" t="e">
        <f>VLOOKUP($B65,#REF!,3,FALSE)</f>
        <v>#REF!</v>
      </c>
      <c r="F65" s="928" t="e">
        <f>VLOOKUP($B65,#REF!,4,FALSE)</f>
        <v>#REF!</v>
      </c>
      <c r="G65" s="688">
        <f>관로굴착도!$W$40</f>
        <v>0.17625000000000005</v>
      </c>
      <c r="H65" s="928" t="s">
        <v>1517</v>
      </c>
      <c r="I65" s="928"/>
      <c r="J65" s="928"/>
      <c r="K65" s="928"/>
      <c r="L65" s="928"/>
      <c r="M65" s="928"/>
      <c r="N65" s="928"/>
      <c r="O65" s="928">
        <f t="shared" si="9"/>
        <v>0</v>
      </c>
      <c r="P65" s="685"/>
      <c r="R65" s="712"/>
    </row>
    <row r="66" spans="2:18" ht="18" customHeight="1">
      <c r="B66" s="193" t="e">
        <f>#REF!</f>
        <v>#REF!</v>
      </c>
      <c r="C66" s="683"/>
      <c r="D66" s="928" t="e">
        <f>VLOOKUP($B66,#REF!,2,FALSE)</f>
        <v>#REF!</v>
      </c>
      <c r="E66" s="694" t="e">
        <f>VLOOKUP($B66,#REF!,3,FALSE)</f>
        <v>#REF!</v>
      </c>
      <c r="F66" s="928" t="e">
        <f>VLOOKUP($B66,#REF!,4,FALSE)</f>
        <v>#REF!</v>
      </c>
      <c r="G66" s="688">
        <f>관로굴착도!$W$40</f>
        <v>0.17625000000000005</v>
      </c>
      <c r="H66" s="928">
        <f>IF(ISERROR(VLOOKUP($B66,일위11,10,FALSE)),0,VLOOKUP($B66,일위11,10,FALSE))</f>
        <v>0</v>
      </c>
      <c r="I66" s="928">
        <f>INT(G66*H66)</f>
        <v>0</v>
      </c>
      <c r="J66" s="928">
        <f>IF(ISERROR(VLOOKUP($B66,일위11,12,FALSE)),0,VLOOKUP($B66,일위11,12,FALSE))</f>
        <v>0</v>
      </c>
      <c r="K66" s="928">
        <f>INT(G66*J66)</f>
        <v>0</v>
      </c>
      <c r="L66" s="928">
        <f>IF(ISERROR(VLOOKUP($B66,일위11,14,FALSE)),0,VLOOKUP($B66,일위11,14,FALSE))</f>
        <v>0</v>
      </c>
      <c r="M66" s="928">
        <f>INT(G66*L66)</f>
        <v>0</v>
      </c>
      <c r="N66" s="928"/>
      <c r="O66" s="928">
        <f>INT(I66+K66+M66)</f>
        <v>0</v>
      </c>
      <c r="P66" s="700">
        <f>IF(ISERROR(VLOOKUP($B66,일위11,4,FALSE)),0,VLOOKUP($B66,일위11,4,FALSE))</f>
        <v>0</v>
      </c>
      <c r="R66" s="712"/>
    </row>
    <row r="67" spans="2:18" ht="18" customHeight="1">
      <c r="B67" s="193" t="str">
        <f>CONCATENATE(C51,D67)</f>
        <v>5계</v>
      </c>
      <c r="C67" s="683"/>
      <c r="D67" s="928" t="s">
        <v>96</v>
      </c>
      <c r="E67" s="928"/>
      <c r="F67" s="928"/>
      <c r="G67" s="684"/>
      <c r="H67" s="928"/>
      <c r="I67" s="928" t="e">
        <f>SUM(I53:I66)</f>
        <v>#REF!</v>
      </c>
      <c r="J67" s="928"/>
      <c r="K67" s="928" t="e">
        <f>SUM(K53:K66)</f>
        <v>#REF!</v>
      </c>
      <c r="L67" s="928"/>
      <c r="M67" s="928" t="e">
        <f>SUM(M53:M66)</f>
        <v>#REF!</v>
      </c>
      <c r="N67" s="928"/>
      <c r="O67" s="928" t="e">
        <f t="shared" si="9"/>
        <v>#REF!</v>
      </c>
      <c r="P67" s="685"/>
    </row>
    <row r="68" spans="2:18" ht="18" customHeight="1">
      <c r="C68" s="683"/>
      <c r="D68" s="928"/>
      <c r="E68" s="928"/>
      <c r="F68" s="928"/>
      <c r="G68" s="684"/>
      <c r="H68" s="928"/>
      <c r="I68" s="928"/>
      <c r="J68" s="928"/>
      <c r="K68" s="928"/>
      <c r="L68" s="928"/>
      <c r="M68" s="928"/>
      <c r="N68" s="928"/>
      <c r="O68" s="928"/>
      <c r="P68" s="685"/>
    </row>
    <row r="69" spans="2:18" ht="18" customHeight="1">
      <c r="C69" s="683"/>
      <c r="D69" s="928"/>
      <c r="E69" s="928"/>
      <c r="F69" s="928"/>
      <c r="G69" s="684"/>
      <c r="H69" s="928"/>
      <c r="I69" s="928"/>
      <c r="J69" s="928"/>
      <c r="K69" s="928"/>
      <c r="L69" s="928"/>
      <c r="M69" s="928"/>
      <c r="N69" s="928"/>
      <c r="O69" s="928"/>
      <c r="P69" s="685"/>
    </row>
    <row r="70" spans="2:18" ht="18" customHeight="1">
      <c r="C70" s="683"/>
      <c r="D70" s="928"/>
      <c r="E70" s="928"/>
      <c r="F70" s="928"/>
      <c r="G70" s="684"/>
      <c r="H70" s="928"/>
      <c r="I70" s="928"/>
      <c r="J70" s="928"/>
      <c r="K70" s="928"/>
      <c r="L70" s="928"/>
      <c r="M70" s="928"/>
      <c r="N70" s="928"/>
      <c r="O70" s="928"/>
      <c r="P70" s="685"/>
    </row>
    <row r="71" spans="2:18" ht="18" customHeight="1">
      <c r="C71" s="683"/>
      <c r="D71" s="928"/>
      <c r="E71" s="928"/>
      <c r="F71" s="928"/>
      <c r="G71" s="684"/>
      <c r="H71" s="928"/>
      <c r="I71" s="928"/>
      <c r="J71" s="928"/>
      <c r="K71" s="928"/>
      <c r="L71" s="928"/>
      <c r="M71" s="928"/>
      <c r="N71" s="928"/>
      <c r="O71" s="928"/>
      <c r="P71" s="685"/>
    </row>
    <row r="72" spans="2:18" ht="18" customHeight="1">
      <c r="C72" s="683"/>
      <c r="D72" s="928"/>
      <c r="E72" s="928"/>
      <c r="F72" s="928"/>
      <c r="G72" s="684"/>
      <c r="H72" s="928"/>
      <c r="I72" s="928"/>
      <c r="J72" s="928"/>
      <c r="K72" s="928"/>
      <c r="L72" s="928"/>
      <c r="M72" s="928"/>
      <c r="N72" s="928"/>
      <c r="O72" s="928"/>
      <c r="P72" s="685"/>
    </row>
    <row r="73" spans="2:18" ht="18" customHeight="1">
      <c r="C73" s="691"/>
      <c r="D73" s="692"/>
      <c r="E73" s="692"/>
      <c r="F73" s="692"/>
      <c r="G73" s="692"/>
      <c r="H73" s="692"/>
      <c r="I73" s="692"/>
      <c r="J73" s="692"/>
      <c r="K73" s="692"/>
      <c r="L73" s="692"/>
      <c r="M73" s="692"/>
      <c r="N73" s="692"/>
      <c r="O73" s="692"/>
      <c r="P73" s="693"/>
    </row>
    <row r="74" spans="2:18" ht="18" customHeight="1">
      <c r="B74" s="193">
        <f>C74</f>
        <v>6</v>
      </c>
      <c r="C74" s="680">
        <f>C51+1</f>
        <v>6</v>
      </c>
      <c r="D74" s="681" t="e">
        <f>D75</f>
        <v>#REF!</v>
      </c>
      <c r="E74" s="681" t="e">
        <f>E75</f>
        <v>#REF!</v>
      </c>
      <c r="F74" s="681" t="s">
        <v>90</v>
      </c>
      <c r="G74" s="695"/>
      <c r="H74" s="681"/>
      <c r="I74" s="681"/>
      <c r="J74" s="681"/>
      <c r="K74" s="681"/>
      <c r="L74" s="681"/>
      <c r="M74" s="681"/>
      <c r="N74" s="681"/>
      <c r="O74" s="681"/>
      <c r="P74" s="682"/>
    </row>
    <row r="75" spans="2:18" ht="18" customHeight="1">
      <c r="B75" s="193" t="e">
        <f>#REF!</f>
        <v>#REF!</v>
      </c>
      <c r="C75" s="683"/>
      <c r="D75" s="928" t="e">
        <f>VLOOKUP($B75,#REF!,2,FALSE)</f>
        <v>#REF!</v>
      </c>
      <c r="E75" s="928" t="e">
        <f>VLOOKUP($B75,#REF!,3,FALSE)</f>
        <v>#REF!</v>
      </c>
      <c r="F75" s="928" t="s">
        <v>90</v>
      </c>
      <c r="G75" s="684">
        <v>1</v>
      </c>
      <c r="H75" s="928"/>
      <c r="I75" s="928"/>
      <c r="J75" s="928"/>
      <c r="K75" s="928"/>
      <c r="L75" s="928"/>
      <c r="M75" s="928"/>
      <c r="N75" s="928"/>
      <c r="O75" s="928"/>
      <c r="P75" s="685"/>
    </row>
    <row r="76" spans="2:18" ht="18" customHeight="1">
      <c r="B76" s="193" t="e">
        <f>#REF!</f>
        <v>#REF!</v>
      </c>
      <c r="C76" s="683"/>
      <c r="D76" s="928" t="e">
        <f>VLOOKUP($B76,#REF!,2,FALSE)</f>
        <v>#REF!</v>
      </c>
      <c r="E76" s="694" t="e">
        <f>VLOOKUP($B76,#REF!,3,FALSE)</f>
        <v>#REF!</v>
      </c>
      <c r="F76" s="928" t="e">
        <f>VLOOKUP($B76,#REF!,4,FALSE)</f>
        <v>#REF!</v>
      </c>
      <c r="G76" s="688">
        <f>관로굴착도!$W$232</f>
        <v>2</v>
      </c>
      <c r="H76" s="928" t="e">
        <f>VLOOKUP($P$53,#REF!,7,FALSE)</f>
        <v>#REF!</v>
      </c>
      <c r="I76" s="928" t="e">
        <f t="shared" ref="I76:I85" si="12">INT(G76*H76)</f>
        <v>#REF!</v>
      </c>
      <c r="J76" s="928" t="e">
        <f>VLOOKUP($P$53,#REF!,6,FALSE)</f>
        <v>#REF!</v>
      </c>
      <c r="K76" s="928" t="e">
        <f>INT(G76*J76)</f>
        <v>#REF!</v>
      </c>
      <c r="L76" s="928" t="e">
        <f>VLOOKUP($P$53,#REF!,8,FALSE)</f>
        <v>#REF!</v>
      </c>
      <c r="M76" s="928" t="e">
        <f>INT(G76*L76)</f>
        <v>#REF!</v>
      </c>
      <c r="N76" s="928"/>
      <c r="O76" s="928" t="e">
        <f t="shared" ref="O76:O78" si="13">INT(I76+K76+M76)</f>
        <v>#REF!</v>
      </c>
      <c r="P76" s="700" t="e">
        <f>#REF!</f>
        <v>#REF!</v>
      </c>
    </row>
    <row r="77" spans="2:18" ht="18" customHeight="1">
      <c r="B77" s="193" t="e">
        <f>#REF!</f>
        <v>#REF!</v>
      </c>
      <c r="C77" s="683"/>
      <c r="D77" s="928" t="e">
        <f>VLOOKUP($B77,#REF!,2,FALSE)</f>
        <v>#REF!</v>
      </c>
      <c r="E77" s="694" t="e">
        <f>VLOOKUP($B77,#REF!,3,FALSE)</f>
        <v>#REF!</v>
      </c>
      <c r="F77" s="928" t="e">
        <f>VLOOKUP($B77,#REF!,4,FALSE)</f>
        <v>#REF!</v>
      </c>
      <c r="G77" s="688">
        <f>관로굴착도!$W$233</f>
        <v>0.46199999999999991</v>
      </c>
      <c r="H77" s="928" t="e">
        <f>VLOOKUP($P$54,#REF!,7,FALSE)</f>
        <v>#REF!</v>
      </c>
      <c r="I77" s="928" t="e">
        <f t="shared" si="12"/>
        <v>#REF!</v>
      </c>
      <c r="J77" s="928" t="e">
        <f>VLOOKUP($P$54,#REF!,6,FALSE)</f>
        <v>#REF!</v>
      </c>
      <c r="K77" s="928" t="e">
        <f>INT(G77*J77)</f>
        <v>#REF!</v>
      </c>
      <c r="L77" s="928" t="e">
        <f>VLOOKUP($P$54,#REF!,8,FALSE)</f>
        <v>#REF!</v>
      </c>
      <c r="M77" s="928" t="e">
        <f>INT(G77*L77)</f>
        <v>#REF!</v>
      </c>
      <c r="N77" s="928"/>
      <c r="O77" s="928" t="e">
        <f t="shared" si="13"/>
        <v>#REF!</v>
      </c>
      <c r="P77" s="700" t="e">
        <f>#REF!</f>
        <v>#REF!</v>
      </c>
      <c r="R77" s="712"/>
    </row>
    <row r="78" spans="2:18" ht="18" customHeight="1">
      <c r="B78" s="193" t="e">
        <f>#REF!</f>
        <v>#REF!</v>
      </c>
      <c r="C78" s="683"/>
      <c r="D78" s="928" t="e">
        <f>VLOOKUP($B78,#REF!,2,FALSE)</f>
        <v>#REF!</v>
      </c>
      <c r="E78" s="694" t="e">
        <f>VLOOKUP($B78,#REF!,3,FALSE)</f>
        <v>#REF!</v>
      </c>
      <c r="F78" s="928" t="e">
        <f>VLOOKUP($B78,#REF!,4,FALSE)</f>
        <v>#REF!</v>
      </c>
      <c r="G78" s="688">
        <f>관로굴착도!$W$234</f>
        <v>1.5399999999999994</v>
      </c>
      <c r="H78" s="928">
        <f>IF(ISERROR(VLOOKUP($B78,일위11,10,FALSE)),0,VLOOKUP($B78,일위11,10,FALSE))</f>
        <v>0</v>
      </c>
      <c r="I78" s="928">
        <f t="shared" si="12"/>
        <v>0</v>
      </c>
      <c r="J78" s="928">
        <f>IF(ISERROR(VLOOKUP($B78,일위11,12,FALSE)),0,VLOOKUP($B78,일위11,12,FALSE))</f>
        <v>0</v>
      </c>
      <c r="K78" s="928">
        <f>INT(G78*J78)</f>
        <v>0</v>
      </c>
      <c r="L78" s="928">
        <f>IF(ISERROR(VLOOKUP($B78,일위11,14,FALSE)),0,VLOOKUP($B78,일위11,14,FALSE))</f>
        <v>0</v>
      </c>
      <c r="M78" s="928">
        <f>INT(G78*L78)</f>
        <v>0</v>
      </c>
      <c r="N78" s="928"/>
      <c r="O78" s="928">
        <f t="shared" si="13"/>
        <v>0</v>
      </c>
      <c r="P78" s="700">
        <f>IF(ISERROR(VLOOKUP($B78,일위11,4,FALSE)),0,VLOOKUP($B78,일위11,4,FALSE))</f>
        <v>0</v>
      </c>
      <c r="R78" s="712"/>
    </row>
    <row r="79" spans="2:18" ht="18" customHeight="1">
      <c r="B79" s="193" t="e">
        <f>#REF!</f>
        <v>#REF!</v>
      </c>
      <c r="C79" s="683"/>
      <c r="D79" s="928" t="e">
        <f>VLOOKUP($B79,#REF!,2,FALSE)</f>
        <v>#REF!</v>
      </c>
      <c r="E79" s="696" t="e">
        <f>VLOOKUP($B79,#REF!,3,FALSE)</f>
        <v>#REF!</v>
      </c>
      <c r="F79" s="928" t="e">
        <f>VLOOKUP($B79,#REF!,4,FALSE)</f>
        <v>#REF!</v>
      </c>
      <c r="G79" s="684">
        <f>관로굴착도!$W$235</f>
        <v>0.48999999999999994</v>
      </c>
      <c r="H79" s="928" t="e">
        <f>VLOOKUP($B79,#REF!,11,FALSE)</f>
        <v>#REF!</v>
      </c>
      <c r="I79" s="928" t="e">
        <f t="shared" si="12"/>
        <v>#REF!</v>
      </c>
      <c r="J79" s="928"/>
      <c r="K79" s="928"/>
      <c r="L79" s="1606"/>
      <c r="M79" s="1606"/>
      <c r="N79" s="928"/>
      <c r="O79" s="928" t="e">
        <f>INT(I79+K79+M79)</f>
        <v>#REF!</v>
      </c>
      <c r="P79" s="685"/>
    </row>
    <row r="80" spans="2:18" ht="18" customHeight="1">
      <c r="B80" s="193" t="e">
        <f>#REF!</f>
        <v>#REF!</v>
      </c>
      <c r="C80" s="690"/>
      <c r="D80" s="705" t="e">
        <f>VLOOKUP($B80,#REF!,2,FALSE)</f>
        <v>#REF!</v>
      </c>
      <c r="E80" s="696" t="e">
        <f>VLOOKUP($B80,#REF!,3,FALSE)</f>
        <v>#REF!</v>
      </c>
      <c r="F80" s="706" t="e">
        <f>VLOOKUP($B80,#REF!,4,FALSE)</f>
        <v>#REF!</v>
      </c>
      <c r="G80" s="710">
        <f>관로굴착도!$W$236</f>
        <v>0.63</v>
      </c>
      <c r="H80" s="928">
        <f>IF(ISERROR(VLOOKUP($B80,일위11,10,FALSE)),0,VLOOKUP($B80,일위11,10,FALSE))</f>
        <v>0</v>
      </c>
      <c r="I80" s="928">
        <f t="shared" si="12"/>
        <v>0</v>
      </c>
      <c r="J80" s="928">
        <f>IF(ISERROR(VLOOKUP($B80,일위11,12,FALSE)),0,VLOOKUP($B80,일위11,12,FALSE))</f>
        <v>0</v>
      </c>
      <c r="K80" s="928">
        <f t="shared" ref="K80:K87" si="14">INT(G80*J80)</f>
        <v>0</v>
      </c>
      <c r="L80" s="928">
        <f>IF(ISERROR(VLOOKUP($B80,일위11,14,FALSE)),0,VLOOKUP($B80,일위11,14,FALSE))</f>
        <v>0</v>
      </c>
      <c r="M80" s="928">
        <f t="shared" ref="M80:M85" si="15">INT(G80*L80)</f>
        <v>0</v>
      </c>
      <c r="N80" s="711"/>
      <c r="O80" s="928">
        <f t="shared" ref="O80:O90" si="16">INT(I80+K80+M80)</f>
        <v>0</v>
      </c>
      <c r="P80" s="700">
        <f>IF(ISERROR(VLOOKUP($B80,일위11,4,FALSE)),0,VLOOKUP($B80,일위11,4,FALSE))</f>
        <v>0</v>
      </c>
    </row>
    <row r="81" spans="2:18" ht="18" customHeight="1">
      <c r="B81" s="193" t="e">
        <f>#REF!</f>
        <v>#REF!</v>
      </c>
      <c r="C81" s="683"/>
      <c r="D81" s="928" t="e">
        <f>VLOOKUP($B81,#REF!,2,FALSE)</f>
        <v>#REF!</v>
      </c>
      <c r="E81" s="694" t="e">
        <f>VLOOKUP($B81,#REF!,3,FALSE)</f>
        <v>#REF!</v>
      </c>
      <c r="F81" s="928" t="e">
        <f>VLOOKUP($B81,#REF!,4,FALSE)</f>
        <v>#REF!</v>
      </c>
      <c r="G81" s="688">
        <f>관로굴착도!$W$237</f>
        <v>0.42</v>
      </c>
      <c r="H81" s="928" t="e">
        <f>VLOOKUP($P$58,#REF!,7,FALSE)</f>
        <v>#REF!</v>
      </c>
      <c r="I81" s="928" t="e">
        <f t="shared" si="12"/>
        <v>#REF!</v>
      </c>
      <c r="J81" s="928" t="e">
        <f>VLOOKUP($P$58,#REF!,6,FALSE)</f>
        <v>#REF!</v>
      </c>
      <c r="K81" s="928" t="e">
        <f t="shared" si="14"/>
        <v>#REF!</v>
      </c>
      <c r="L81" s="928" t="e">
        <f>VLOOKUP($P$58,#REF!,8,FALSE)</f>
        <v>#REF!</v>
      </c>
      <c r="M81" s="928" t="e">
        <f t="shared" si="15"/>
        <v>#REF!</v>
      </c>
      <c r="N81" s="928"/>
      <c r="O81" s="928" t="e">
        <f t="shared" si="16"/>
        <v>#REF!</v>
      </c>
      <c r="P81" s="700" t="e">
        <f>#REF!</f>
        <v>#REF!</v>
      </c>
      <c r="R81" s="712"/>
    </row>
    <row r="82" spans="2:18" ht="18" customHeight="1">
      <c r="B82" s="193" t="e">
        <f>#REF!</f>
        <v>#REF!</v>
      </c>
      <c r="C82" s="683"/>
      <c r="D82" s="928" t="e">
        <f>VLOOKUP($B82,#REF!,2,FALSE)</f>
        <v>#REF!</v>
      </c>
      <c r="E82" s="694" t="e">
        <f>VLOOKUP($B82,#REF!,3,FALSE)</f>
        <v>#REF!</v>
      </c>
      <c r="F82" s="928" t="e">
        <f>VLOOKUP($B82,#REF!,4,FALSE)</f>
        <v>#REF!</v>
      </c>
      <c r="G82" s="688">
        <f>관로굴착도!$W$238</f>
        <v>1.3999999999999999E-2</v>
      </c>
      <c r="H82" s="928" t="e">
        <f>VLOOKUP(P82,#REF!,7,FALSE)</f>
        <v>#REF!</v>
      </c>
      <c r="I82" s="928" t="e">
        <f t="shared" si="12"/>
        <v>#REF!</v>
      </c>
      <c r="J82" s="928" t="e">
        <f>VLOOKUP(P82,#REF!,6,FALSE)</f>
        <v>#REF!</v>
      </c>
      <c r="K82" s="928" t="e">
        <f t="shared" si="14"/>
        <v>#REF!</v>
      </c>
      <c r="L82" s="928" t="e">
        <f>VLOOKUP(P82,#REF!,8,FALSE)</f>
        <v>#REF!</v>
      </c>
      <c r="M82" s="928" t="e">
        <f t="shared" si="15"/>
        <v>#REF!</v>
      </c>
      <c r="N82" s="928"/>
      <c r="O82" s="928" t="e">
        <f t="shared" si="16"/>
        <v>#REF!</v>
      </c>
      <c r="P82" s="700" t="e">
        <f>#REF!</f>
        <v>#REF!</v>
      </c>
      <c r="R82" s="712"/>
    </row>
    <row r="83" spans="2:18" ht="18" customHeight="1">
      <c r="B83" s="193" t="e">
        <f>#REF!</f>
        <v>#REF!</v>
      </c>
      <c r="C83" s="683"/>
      <c r="D83" s="928" t="e">
        <f>VLOOKUP($B83,#REF!,2,FALSE)</f>
        <v>#REF!</v>
      </c>
      <c r="E83" s="694" t="e">
        <f>VLOOKUP($B83,#REF!,3,FALSE)</f>
        <v>#REF!</v>
      </c>
      <c r="F83" s="928" t="e">
        <f>VLOOKUP($B83,#REF!,4,FALSE)</f>
        <v>#REF!</v>
      </c>
      <c r="G83" s="688">
        <f>관로굴착도!$W$239</f>
        <v>1.4</v>
      </c>
      <c r="H83" s="928" t="e">
        <f>VLOOKUP(P83,#REF!,7,FALSE)</f>
        <v>#REF!</v>
      </c>
      <c r="I83" s="928" t="e">
        <f t="shared" si="12"/>
        <v>#REF!</v>
      </c>
      <c r="J83" s="928" t="e">
        <f>VLOOKUP(P83,#REF!,6,FALSE)</f>
        <v>#REF!</v>
      </c>
      <c r="K83" s="928" t="e">
        <f t="shared" si="14"/>
        <v>#REF!</v>
      </c>
      <c r="L83" s="928" t="e">
        <f>VLOOKUP(P83,#REF!,8,FALSE)</f>
        <v>#REF!</v>
      </c>
      <c r="M83" s="928" t="e">
        <f t="shared" si="15"/>
        <v>#REF!</v>
      </c>
      <c r="N83" s="928"/>
      <c r="O83" s="928" t="e">
        <f t="shared" si="16"/>
        <v>#REF!</v>
      </c>
      <c r="P83" s="700" t="e">
        <f>#REF!</f>
        <v>#REF!</v>
      </c>
      <c r="R83" s="712"/>
    </row>
    <row r="84" spans="2:18" ht="18" customHeight="1">
      <c r="B84" s="193" t="e">
        <f>#REF!</f>
        <v>#REF!</v>
      </c>
      <c r="C84" s="683"/>
      <c r="D84" s="928" t="e">
        <f>VLOOKUP($B84,#REF!,2,FALSE)</f>
        <v>#REF!</v>
      </c>
      <c r="E84" s="694" t="e">
        <f>VLOOKUP($B84,#REF!,3,FALSE)</f>
        <v>#REF!</v>
      </c>
      <c r="F84" s="928" t="e">
        <f>VLOOKUP($B84,#REF!,4,FALSE)</f>
        <v>#REF!</v>
      </c>
      <c r="G84" s="688">
        <f>관로굴착도!$W$241</f>
        <v>1.4</v>
      </c>
      <c r="H84" s="928" t="e">
        <f>VLOOKUP(P84,#REF!,7,FALSE)</f>
        <v>#REF!</v>
      </c>
      <c r="I84" s="928" t="e">
        <f t="shared" si="12"/>
        <v>#REF!</v>
      </c>
      <c r="J84" s="928" t="e">
        <f>VLOOKUP(P84,#REF!,6,FALSE)</f>
        <v>#REF!</v>
      </c>
      <c r="K84" s="928" t="e">
        <f t="shared" si="14"/>
        <v>#REF!</v>
      </c>
      <c r="L84" s="928" t="e">
        <f>VLOOKUP(P84,#REF!,8,FALSE)</f>
        <v>#REF!</v>
      </c>
      <c r="M84" s="928" t="e">
        <f t="shared" si="15"/>
        <v>#REF!</v>
      </c>
      <c r="N84" s="928"/>
      <c r="O84" s="928" t="e">
        <f t="shared" si="16"/>
        <v>#REF!</v>
      </c>
      <c r="P84" s="700" t="e">
        <f>#REF!</f>
        <v>#REF!</v>
      </c>
      <c r="R84" s="712"/>
    </row>
    <row r="85" spans="2:18" ht="18" customHeight="1">
      <c r="B85" s="193" t="e">
        <f>#REF!</f>
        <v>#REF!</v>
      </c>
      <c r="C85" s="683"/>
      <c r="D85" s="928" t="e">
        <f>VLOOKUP($B85,#REF!,2,FALSE)</f>
        <v>#REF!</v>
      </c>
      <c r="E85" s="694" t="e">
        <f>VLOOKUP($B85,#REF!,3,FALSE)</f>
        <v>#REF!</v>
      </c>
      <c r="F85" s="928" t="e">
        <f>VLOOKUP($B85,#REF!,4,FALSE)</f>
        <v>#REF!</v>
      </c>
      <c r="G85" s="688">
        <f>관로굴착도!$W$242</f>
        <v>1.4</v>
      </c>
      <c r="H85" s="928" t="e">
        <f>VLOOKUP(P85,#REF!,7,FALSE)</f>
        <v>#REF!</v>
      </c>
      <c r="I85" s="928" t="e">
        <f t="shared" si="12"/>
        <v>#REF!</v>
      </c>
      <c r="J85" s="928" t="e">
        <f>VLOOKUP(P85,#REF!,6,FALSE)</f>
        <v>#REF!</v>
      </c>
      <c r="K85" s="928" t="e">
        <f t="shared" si="14"/>
        <v>#REF!</v>
      </c>
      <c r="L85" s="928" t="e">
        <f>VLOOKUP(P85,#REF!,8,FALSE)</f>
        <v>#REF!</v>
      </c>
      <c r="M85" s="928" t="e">
        <f t="shared" si="15"/>
        <v>#REF!</v>
      </c>
      <c r="N85" s="928"/>
      <c r="O85" s="928" t="e">
        <f t="shared" si="16"/>
        <v>#REF!</v>
      </c>
      <c r="P85" s="700" t="e">
        <f>#REF!</f>
        <v>#REF!</v>
      </c>
      <c r="R85" s="712"/>
    </row>
    <row r="86" spans="2:18" ht="18" customHeight="1">
      <c r="B86" s="193" t="e">
        <f>#REF!</f>
        <v>#REF!</v>
      </c>
      <c r="C86" s="683"/>
      <c r="D86" s="928" t="e">
        <f>VLOOKUP($B86,#REF!,2,FALSE)</f>
        <v>#REF!</v>
      </c>
      <c r="E86" s="928" t="e">
        <f>VLOOKUP($B86,#REF!,3,FALSE)</f>
        <v>#REF!</v>
      </c>
      <c r="F86" s="699" t="e">
        <f>VLOOKUP($B86,#REF!,4,FALSE)</f>
        <v>#REF!</v>
      </c>
      <c r="G86" s="684">
        <f>관로굴착도!$W$244</f>
        <v>1</v>
      </c>
      <c r="H86" s="928">
        <f>IF(ISERROR(VLOOKUP($B86,일위11,10,FALSE)),0,VLOOKUP($B86,일위11,10,FALSE))</f>
        <v>0</v>
      </c>
      <c r="I86" s="928">
        <f>G86*H86</f>
        <v>0</v>
      </c>
      <c r="J86" s="928">
        <f>IF(ISERROR(VLOOKUP($B86,일위11,12,FALSE)),0,VLOOKUP($B86,일위11,12,FALSE))</f>
        <v>0</v>
      </c>
      <c r="K86" s="928">
        <f t="shared" si="14"/>
        <v>0</v>
      </c>
      <c r="L86" s="928">
        <f>IF(ISERROR(VLOOKUP($B86,일위11,14,FALSE)),0,VLOOKUP($B86,일위11,14,FALSE))</f>
        <v>0</v>
      </c>
      <c r="M86" s="928"/>
      <c r="N86" s="928"/>
      <c r="O86" s="928">
        <f t="shared" si="16"/>
        <v>0</v>
      </c>
      <c r="P86" s="700">
        <f>IF(ISERROR(VLOOKUP($B86,일위11,4,FALSE)),0,VLOOKUP($B86,일위11,4,FALSE))</f>
        <v>0</v>
      </c>
    </row>
    <row r="87" spans="2:18" ht="18" customHeight="1">
      <c r="B87" s="193" t="e">
        <f>#REF!</f>
        <v>#REF!</v>
      </c>
      <c r="C87" s="683"/>
      <c r="D87" s="928" t="e">
        <f>VLOOKUP($B87,#REF!,2,FALSE)</f>
        <v>#REF!</v>
      </c>
      <c r="E87" s="694" t="e">
        <f>VLOOKUP($B87,#REF!,3,FALSE)</f>
        <v>#REF!</v>
      </c>
      <c r="F87" s="928" t="e">
        <f>VLOOKUP($B87,#REF!,4,FALSE)</f>
        <v>#REF!</v>
      </c>
      <c r="G87" s="688">
        <f>관로굴착도!$W$245</f>
        <v>0.90999999999999936</v>
      </c>
      <c r="H87" s="928" t="e">
        <f>VLOOKUP(P87,#REF!,7,FALSE)</f>
        <v>#REF!</v>
      </c>
      <c r="I87" s="928" t="e">
        <f>INT(G87*H87)</f>
        <v>#REF!</v>
      </c>
      <c r="J87" s="928" t="e">
        <f>VLOOKUP(P87,#REF!,6,FALSE)</f>
        <v>#REF!</v>
      </c>
      <c r="K87" s="928" t="e">
        <f t="shared" si="14"/>
        <v>#REF!</v>
      </c>
      <c r="L87" s="928" t="e">
        <f>VLOOKUP(P87,#REF!,8,FALSE)</f>
        <v>#REF!</v>
      </c>
      <c r="M87" s="928" t="e">
        <f>INT(G87*L87)</f>
        <v>#REF!</v>
      </c>
      <c r="N87" s="928"/>
      <c r="O87" s="928" t="e">
        <f t="shared" si="16"/>
        <v>#REF!</v>
      </c>
      <c r="P87" s="700" t="e">
        <f>#REF!</f>
        <v>#REF!</v>
      </c>
      <c r="R87" s="712"/>
    </row>
    <row r="88" spans="2:18" ht="18" customHeight="1">
      <c r="B88" s="193" t="e">
        <f>#REF!</f>
        <v>#REF!</v>
      </c>
      <c r="C88" s="683"/>
      <c r="D88" s="928" t="e">
        <f>VLOOKUP($B88,#REF!,2,FALSE)</f>
        <v>#REF!</v>
      </c>
      <c r="E88" s="694" t="e">
        <f>VLOOKUP($B88,#REF!,3,FALSE)</f>
        <v>#REF!</v>
      </c>
      <c r="F88" s="928" t="e">
        <f>VLOOKUP($B88,#REF!,4,FALSE)</f>
        <v>#REF!</v>
      </c>
      <c r="G88" s="688">
        <f>관로굴착도!$W$246</f>
        <v>1.0856999999999999</v>
      </c>
      <c r="H88" s="928" t="s">
        <v>1517</v>
      </c>
      <c r="I88" s="928"/>
      <c r="J88" s="928"/>
      <c r="K88" s="928"/>
      <c r="L88" s="928"/>
      <c r="M88" s="928"/>
      <c r="N88" s="928"/>
      <c r="O88" s="928">
        <f t="shared" si="16"/>
        <v>0</v>
      </c>
      <c r="P88" s="685"/>
      <c r="R88" s="712"/>
    </row>
    <row r="89" spans="2:18" ht="18" customHeight="1">
      <c r="B89" s="193" t="e">
        <f>#REF!</f>
        <v>#REF!</v>
      </c>
      <c r="C89" s="683"/>
      <c r="D89" s="928" t="e">
        <f>VLOOKUP($B89,#REF!,2,FALSE)</f>
        <v>#REF!</v>
      </c>
      <c r="E89" s="694" t="e">
        <f>VLOOKUP($B89,#REF!,3,FALSE)</f>
        <v>#REF!</v>
      </c>
      <c r="F89" s="928" t="e">
        <f>VLOOKUP($B89,#REF!,4,FALSE)</f>
        <v>#REF!</v>
      </c>
      <c r="G89" s="688">
        <f>관로굴착도!$W$246</f>
        <v>1.0856999999999999</v>
      </c>
      <c r="H89" s="928">
        <f>IF(ISERROR(VLOOKUP($B89,일위11,10,FALSE)),0,VLOOKUP($B89,일위11,10,FALSE))</f>
        <v>0</v>
      </c>
      <c r="I89" s="928">
        <f>INT(G89*H89)</f>
        <v>0</v>
      </c>
      <c r="J89" s="928">
        <f>IF(ISERROR(VLOOKUP($B89,일위11,12,FALSE)),0,VLOOKUP($B89,일위11,12,FALSE))</f>
        <v>0</v>
      </c>
      <c r="K89" s="928">
        <f>INT(G89*J89)</f>
        <v>0</v>
      </c>
      <c r="L89" s="928">
        <f>IF(ISERROR(VLOOKUP($B89,일위11,14,FALSE)),0,VLOOKUP($B89,일위11,14,FALSE))</f>
        <v>0</v>
      </c>
      <c r="M89" s="928">
        <f>INT(G89*L89)</f>
        <v>0</v>
      </c>
      <c r="N89" s="928"/>
      <c r="O89" s="928">
        <f>INT(I89+K89+M89)</f>
        <v>0</v>
      </c>
      <c r="P89" s="700">
        <f>IF(ISERROR(VLOOKUP($B89,일위11,4,FALSE)),0,VLOOKUP($B89,일위11,4,FALSE))</f>
        <v>0</v>
      </c>
      <c r="R89" s="712"/>
    </row>
    <row r="90" spans="2:18" ht="18" customHeight="1">
      <c r="B90" s="193" t="str">
        <f>CONCATENATE(C74,D90)</f>
        <v>6계</v>
      </c>
      <c r="C90" s="683"/>
      <c r="D90" s="928" t="s">
        <v>96</v>
      </c>
      <c r="E90" s="928"/>
      <c r="F90" s="928"/>
      <c r="G90" s="684"/>
      <c r="H90" s="928"/>
      <c r="I90" s="928" t="e">
        <f>SUM(I76:I89)</f>
        <v>#REF!</v>
      </c>
      <c r="J90" s="928"/>
      <c r="K90" s="928" t="e">
        <f>SUM(K76:K89)</f>
        <v>#REF!</v>
      </c>
      <c r="L90" s="928"/>
      <c r="M90" s="928" t="e">
        <f>SUM(M76:M89)</f>
        <v>#REF!</v>
      </c>
      <c r="N90" s="928"/>
      <c r="O90" s="928" t="e">
        <f t="shared" si="16"/>
        <v>#REF!</v>
      </c>
      <c r="P90" s="685"/>
    </row>
    <row r="91" spans="2:18" ht="18" customHeight="1">
      <c r="C91" s="683"/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928"/>
      <c r="P91" s="685"/>
    </row>
    <row r="92" spans="2:18" ht="18" customHeight="1">
      <c r="C92" s="683"/>
      <c r="D92" s="928"/>
      <c r="E92" s="928"/>
      <c r="F92" s="928"/>
      <c r="G92" s="928"/>
      <c r="H92" s="928"/>
      <c r="I92" s="928"/>
      <c r="J92" s="928"/>
      <c r="K92" s="928"/>
      <c r="L92" s="928"/>
      <c r="M92" s="928"/>
      <c r="N92" s="928"/>
      <c r="O92" s="928"/>
      <c r="P92" s="685"/>
    </row>
    <row r="93" spans="2:18" ht="18" customHeight="1">
      <c r="C93" s="683"/>
      <c r="D93" s="928"/>
      <c r="E93" s="928"/>
      <c r="F93" s="928"/>
      <c r="G93" s="928"/>
      <c r="H93" s="928"/>
      <c r="I93" s="928"/>
      <c r="J93" s="928"/>
      <c r="K93" s="928"/>
      <c r="L93" s="928"/>
      <c r="M93" s="928"/>
      <c r="N93" s="928"/>
      <c r="O93" s="928"/>
      <c r="P93" s="685"/>
    </row>
    <row r="94" spans="2:18" ht="18" customHeight="1">
      <c r="C94" s="683"/>
      <c r="D94" s="928"/>
      <c r="E94" s="928"/>
      <c r="F94" s="928"/>
      <c r="G94" s="928"/>
      <c r="H94" s="928"/>
      <c r="I94" s="928"/>
      <c r="J94" s="928"/>
      <c r="K94" s="928"/>
      <c r="L94" s="928"/>
      <c r="M94" s="928"/>
      <c r="N94" s="928"/>
      <c r="O94" s="928"/>
      <c r="P94" s="685"/>
    </row>
    <row r="95" spans="2:18" ht="18" customHeight="1">
      <c r="C95" s="683"/>
      <c r="D95" s="928"/>
      <c r="E95" s="928"/>
      <c r="F95" s="928"/>
      <c r="G95" s="928"/>
      <c r="H95" s="928"/>
      <c r="I95" s="928"/>
      <c r="J95" s="928"/>
      <c r="K95" s="928"/>
      <c r="L95" s="928"/>
      <c r="M95" s="928"/>
      <c r="N95" s="928"/>
      <c r="O95" s="928"/>
      <c r="P95" s="685"/>
    </row>
    <row r="96" spans="2:18" ht="18" customHeight="1">
      <c r="C96" s="691"/>
      <c r="D96" s="692"/>
      <c r="E96" s="692"/>
      <c r="F96" s="692"/>
      <c r="G96" s="692"/>
      <c r="H96" s="692"/>
      <c r="I96" s="709"/>
      <c r="J96" s="709"/>
      <c r="K96" s="709"/>
      <c r="L96" s="692"/>
      <c r="M96" s="709"/>
      <c r="N96" s="692"/>
      <c r="O96" s="692"/>
      <c r="P96" s="693"/>
    </row>
    <row r="97" spans="3:16" ht="18" customHeight="1">
      <c r="C97" s="804"/>
      <c r="D97" s="681"/>
      <c r="E97" s="681"/>
      <c r="F97" s="681"/>
      <c r="G97" s="681"/>
      <c r="H97" s="681"/>
      <c r="I97" s="805"/>
      <c r="J97" s="805"/>
      <c r="K97" s="805"/>
      <c r="L97" s="681"/>
      <c r="M97" s="805"/>
      <c r="N97" s="681"/>
      <c r="O97" s="681"/>
      <c r="P97" s="682"/>
    </row>
    <row r="98" spans="3:16" ht="18" customHeight="1">
      <c r="C98" s="683"/>
      <c r="D98" s="928"/>
      <c r="E98" s="928"/>
      <c r="F98" s="928"/>
      <c r="G98" s="928"/>
      <c r="H98" s="928"/>
      <c r="I98" s="708"/>
      <c r="J98" s="708"/>
      <c r="K98" s="708"/>
      <c r="L98" s="928"/>
      <c r="M98" s="708"/>
      <c r="N98" s="928"/>
      <c r="O98" s="928"/>
      <c r="P98" s="685"/>
    </row>
    <row r="99" spans="3:16" ht="18" customHeight="1">
      <c r="C99" s="683"/>
      <c r="D99" s="928"/>
      <c r="E99" s="928"/>
      <c r="F99" s="928"/>
      <c r="G99" s="928"/>
      <c r="H99" s="928"/>
      <c r="I99" s="708"/>
      <c r="J99" s="708"/>
      <c r="K99" s="708"/>
      <c r="L99" s="928"/>
      <c r="M99" s="708"/>
      <c r="N99" s="928"/>
      <c r="O99" s="928"/>
      <c r="P99" s="685"/>
    </row>
    <row r="100" spans="3:16" ht="18" customHeight="1">
      <c r="C100" s="683"/>
      <c r="D100" s="928"/>
      <c r="E100" s="928"/>
      <c r="F100" s="928"/>
      <c r="G100" s="928"/>
      <c r="H100" s="928"/>
      <c r="I100" s="708"/>
      <c r="J100" s="708"/>
      <c r="K100" s="708"/>
      <c r="L100" s="928"/>
      <c r="M100" s="708"/>
      <c r="N100" s="928"/>
      <c r="O100" s="928"/>
      <c r="P100" s="685"/>
    </row>
    <row r="101" spans="3:16" ht="18" customHeight="1">
      <c r="C101" s="683"/>
      <c r="D101" s="928"/>
      <c r="E101" s="928"/>
      <c r="F101" s="928"/>
      <c r="G101" s="928"/>
      <c r="H101" s="928"/>
      <c r="I101" s="708"/>
      <c r="J101" s="708"/>
      <c r="K101" s="708"/>
      <c r="L101" s="928"/>
      <c r="M101" s="708"/>
      <c r="N101" s="928"/>
      <c r="O101" s="928"/>
      <c r="P101" s="685"/>
    </row>
    <row r="102" spans="3:16" ht="18" customHeight="1">
      <c r="C102" s="683"/>
      <c r="D102" s="928"/>
      <c r="E102" s="928"/>
      <c r="F102" s="928"/>
      <c r="G102" s="928"/>
      <c r="H102" s="928"/>
      <c r="I102" s="708"/>
      <c r="J102" s="708"/>
      <c r="K102" s="708"/>
      <c r="L102" s="928"/>
      <c r="M102" s="708"/>
      <c r="N102" s="928"/>
      <c r="O102" s="928"/>
      <c r="P102" s="685"/>
    </row>
    <row r="103" spans="3:16" ht="18" customHeight="1">
      <c r="C103" s="683"/>
      <c r="D103" s="928"/>
      <c r="E103" s="928"/>
      <c r="F103" s="928"/>
      <c r="G103" s="928"/>
      <c r="H103" s="928"/>
      <c r="I103" s="708"/>
      <c r="J103" s="708"/>
      <c r="K103" s="708"/>
      <c r="L103" s="928"/>
      <c r="M103" s="708"/>
      <c r="N103" s="928"/>
      <c r="O103" s="928"/>
      <c r="P103" s="685"/>
    </row>
    <row r="104" spans="3:16" ht="18" customHeight="1">
      <c r="C104" s="683"/>
      <c r="D104" s="928"/>
      <c r="E104" s="928"/>
      <c r="F104" s="928"/>
      <c r="G104" s="928"/>
      <c r="H104" s="928"/>
      <c r="I104" s="708"/>
      <c r="J104" s="708"/>
      <c r="K104" s="708"/>
      <c r="L104" s="928"/>
      <c r="M104" s="708"/>
      <c r="N104" s="928"/>
      <c r="O104" s="928"/>
      <c r="P104" s="685"/>
    </row>
    <row r="105" spans="3:16" ht="18" customHeight="1">
      <c r="C105" s="683"/>
      <c r="D105" s="928"/>
      <c r="E105" s="928"/>
      <c r="F105" s="928"/>
      <c r="G105" s="928"/>
      <c r="H105" s="928"/>
      <c r="I105" s="708"/>
      <c r="J105" s="708"/>
      <c r="K105" s="708"/>
      <c r="L105" s="928"/>
      <c r="M105" s="708"/>
      <c r="N105" s="928"/>
      <c r="O105" s="928"/>
      <c r="P105" s="685"/>
    </row>
    <row r="106" spans="3:16" ht="18" customHeight="1">
      <c r="C106" s="683"/>
      <c r="D106" s="928"/>
      <c r="E106" s="928"/>
      <c r="F106" s="928"/>
      <c r="G106" s="928"/>
      <c r="H106" s="928"/>
      <c r="I106" s="708"/>
      <c r="J106" s="708"/>
      <c r="K106" s="708"/>
      <c r="L106" s="928"/>
      <c r="M106" s="708"/>
      <c r="N106" s="928"/>
      <c r="O106" s="928"/>
      <c r="P106" s="685"/>
    </row>
    <row r="107" spans="3:16" ht="18" customHeight="1">
      <c r="C107" s="683"/>
      <c r="D107" s="928"/>
      <c r="E107" s="928"/>
      <c r="F107" s="928"/>
      <c r="G107" s="928"/>
      <c r="H107" s="928"/>
      <c r="I107" s="708"/>
      <c r="J107" s="708"/>
      <c r="K107" s="708"/>
      <c r="L107" s="928"/>
      <c r="M107" s="708"/>
      <c r="N107" s="928"/>
      <c r="O107" s="928"/>
      <c r="P107" s="685"/>
    </row>
    <row r="108" spans="3:16" ht="18" customHeight="1">
      <c r="C108" s="683"/>
      <c r="D108" s="928"/>
      <c r="E108" s="928"/>
      <c r="F108" s="928"/>
      <c r="G108" s="928"/>
      <c r="H108" s="928"/>
      <c r="I108" s="708"/>
      <c r="J108" s="708"/>
      <c r="K108" s="708"/>
      <c r="L108" s="928"/>
      <c r="M108" s="708"/>
      <c r="N108" s="928"/>
      <c r="O108" s="928"/>
      <c r="P108" s="685"/>
    </row>
    <row r="109" spans="3:16" ht="18" customHeight="1">
      <c r="C109" s="683"/>
      <c r="D109" s="928"/>
      <c r="E109" s="928"/>
      <c r="F109" s="928"/>
      <c r="G109" s="928"/>
      <c r="H109" s="928"/>
      <c r="I109" s="708"/>
      <c r="J109" s="708"/>
      <c r="K109" s="708"/>
      <c r="L109" s="928"/>
      <c r="M109" s="708"/>
      <c r="N109" s="928"/>
      <c r="O109" s="928"/>
      <c r="P109" s="685"/>
    </row>
    <row r="110" spans="3:16" ht="18" customHeight="1">
      <c r="C110" s="683"/>
      <c r="D110" s="928"/>
      <c r="E110" s="928"/>
      <c r="F110" s="928"/>
      <c r="G110" s="928"/>
      <c r="H110" s="928"/>
      <c r="I110" s="708"/>
      <c r="J110" s="708"/>
      <c r="K110" s="708"/>
      <c r="L110" s="928"/>
      <c r="M110" s="708"/>
      <c r="N110" s="928"/>
      <c r="O110" s="928"/>
      <c r="P110" s="685"/>
    </row>
    <row r="111" spans="3:16" ht="18" customHeight="1">
      <c r="C111" s="691"/>
      <c r="D111" s="692"/>
      <c r="E111" s="692"/>
      <c r="F111" s="692"/>
      <c r="G111" s="692"/>
      <c r="H111" s="692"/>
      <c r="I111" s="709"/>
      <c r="J111" s="709"/>
      <c r="K111" s="709"/>
      <c r="L111" s="692"/>
      <c r="M111" s="709"/>
      <c r="N111" s="692"/>
      <c r="O111" s="692"/>
      <c r="P111" s="693"/>
    </row>
    <row r="112" spans="3:16" ht="18" customHeight="1">
      <c r="C112" s="691"/>
      <c r="D112" s="692"/>
      <c r="E112" s="692"/>
      <c r="F112" s="692"/>
      <c r="G112" s="692"/>
      <c r="H112" s="692"/>
      <c r="I112" s="692"/>
      <c r="J112" s="692"/>
      <c r="K112" s="692"/>
      <c r="L112" s="692"/>
      <c r="M112" s="692"/>
      <c r="N112" s="692"/>
      <c r="O112" s="692"/>
      <c r="P112" s="693"/>
    </row>
    <row r="113" spans="2:16" ht="18" customHeight="1">
      <c r="B113" s="193" t="e">
        <f>C113</f>
        <v>#REF!</v>
      </c>
      <c r="C113" s="690" t="e">
        <f>#REF!+1</f>
        <v>#REF!</v>
      </c>
      <c r="D113" s="928" t="e">
        <f>D114</f>
        <v>#REF!</v>
      </c>
      <c r="E113" s="928" t="e">
        <f>E114</f>
        <v>#REF!</v>
      </c>
      <c r="F113" s="699" t="e">
        <f>F114</f>
        <v>#REF!</v>
      </c>
      <c r="G113" s="684"/>
      <c r="H113" s="928"/>
      <c r="I113" s="928"/>
      <c r="J113" s="928"/>
      <c r="K113" s="928"/>
      <c r="L113" s="928"/>
      <c r="M113" s="928"/>
      <c r="N113" s="928"/>
      <c r="O113" s="928"/>
      <c r="P113" s="700"/>
    </row>
    <row r="114" spans="2:16" ht="18" customHeight="1">
      <c r="B114" s="193" t="e">
        <f>#REF!</f>
        <v>#REF!</v>
      </c>
      <c r="C114" s="683"/>
      <c r="D114" s="928" t="e">
        <f>VLOOKUP($B114,#REF!,2,FALSE)</f>
        <v>#REF!</v>
      </c>
      <c r="E114" s="928" t="e">
        <f>VLOOKUP($B114,#REF!,3,FALSE)</f>
        <v>#REF!</v>
      </c>
      <c r="F114" s="699" t="e">
        <f>VLOOKUP($B114,#REF!,4,FALSE)</f>
        <v>#REF!</v>
      </c>
      <c r="G114" s="928">
        <v>1</v>
      </c>
      <c r="H114" s="928" t="e">
        <f>VLOOKUP($B114,#REF!,11,FALSE)</f>
        <v>#REF!</v>
      </c>
      <c r="I114" s="928" t="e">
        <f>INT(G114*H114)</f>
        <v>#REF!</v>
      </c>
      <c r="J114" s="928"/>
      <c r="K114" s="928"/>
      <c r="L114" s="928"/>
      <c r="M114" s="928"/>
      <c r="N114" s="928"/>
      <c r="O114" s="928" t="e">
        <f>INT(I114+K114+M114)</f>
        <v>#REF!</v>
      </c>
      <c r="P114" s="700"/>
    </row>
    <row r="115" spans="2:16" ht="18" customHeight="1">
      <c r="B115" s="193" t="e">
        <f>#REF!</f>
        <v>#REF!</v>
      </c>
      <c r="C115" s="683"/>
      <c r="D115" s="928" t="e">
        <f>VLOOKUP($B115,#REF!,2,FALSE)</f>
        <v>#REF!</v>
      </c>
      <c r="E115" s="928" t="e">
        <f>VLOOKUP($B115,#REF!,3,FALSE)</f>
        <v>#REF!</v>
      </c>
      <c r="F115" s="699" t="s">
        <v>1037</v>
      </c>
      <c r="G115" s="684">
        <v>2.2799999999999998</v>
      </c>
      <c r="H115" s="928" t="e">
        <f>#REF!</f>
        <v>#REF!</v>
      </c>
      <c r="I115" s="928" t="e">
        <f>INT(G115*H115)</f>
        <v>#REF!</v>
      </c>
      <c r="J115" s="928" t="e">
        <f>#REF!</f>
        <v>#REF!</v>
      </c>
      <c r="K115" s="928" t="e">
        <f t="shared" ref="K115:K125" si="17">INT(G115*J115)</f>
        <v>#REF!</v>
      </c>
      <c r="L115" s="928" t="e">
        <f>#REF!</f>
        <v>#REF!</v>
      </c>
      <c r="M115" s="928" t="e">
        <f>INT(G115*L115)</f>
        <v>#REF!</v>
      </c>
      <c r="N115" s="928"/>
      <c r="O115" s="928" t="e">
        <f t="shared" ref="O115:O125" si="18">INT(I115+K115+M115)</f>
        <v>#REF!</v>
      </c>
      <c r="P115" s="700" t="s">
        <v>1096</v>
      </c>
    </row>
    <row r="116" spans="2:16" ht="18" customHeight="1">
      <c r="B116" s="193" t="e">
        <f>#REF!</f>
        <v>#REF!</v>
      </c>
      <c r="C116" s="683"/>
      <c r="D116" s="928" t="e">
        <f>VLOOKUP($B116,#REF!,2,FALSE)</f>
        <v>#REF!</v>
      </c>
      <c r="E116" s="928" t="e">
        <f>VLOOKUP($B116,#REF!,3,FALSE)</f>
        <v>#REF!</v>
      </c>
      <c r="F116" s="699" t="e">
        <f>VLOOKUP($B116,#REF!,4,FALSE)</f>
        <v>#REF!</v>
      </c>
      <c r="G116" s="684">
        <f>TRUNC((0.3+0.6+0.3)*(0.3+0.6+0.3)*0.6,2)</f>
        <v>0.86</v>
      </c>
      <c r="H116" s="928">
        <f t="shared" ref="H116:H125" si="19">IF(ISERROR(VLOOKUP($B116,일위11,10,FALSE)),0,VLOOKUP($B116,일위11,10,FALSE))</f>
        <v>0</v>
      </c>
      <c r="I116" s="928">
        <f>INT(G116*H116)</f>
        <v>0</v>
      </c>
      <c r="J116" s="928">
        <f t="shared" ref="J116:J125" si="20">IF(ISERROR(VLOOKUP($B116,일위11,12,FALSE)),0,VLOOKUP($B116,일위11,12,FALSE))</f>
        <v>0</v>
      </c>
      <c r="K116" s="928">
        <f t="shared" si="17"/>
        <v>0</v>
      </c>
      <c r="L116" s="928">
        <f t="shared" ref="L116:L125" si="21">IF(ISERROR(VLOOKUP($B116,일위11,14,FALSE)),0,VLOOKUP($B116,일위11,14,FALSE))</f>
        <v>0</v>
      </c>
      <c r="M116" s="928">
        <f>INT(G116*L116)</f>
        <v>0</v>
      </c>
      <c r="N116" s="928"/>
      <c r="O116" s="928">
        <f t="shared" si="18"/>
        <v>0</v>
      </c>
      <c r="P116" s="700">
        <f t="shared" ref="P116:P125" si="22">IF(ISERROR(VLOOKUP($B116,일위11,4,FALSE)),0,VLOOKUP($B116,일위11,4,FALSE))</f>
        <v>0</v>
      </c>
    </row>
    <row r="117" spans="2:16" ht="18" customHeight="1">
      <c r="B117" s="193" t="e">
        <f>#REF!</f>
        <v>#REF!</v>
      </c>
      <c r="C117" s="683"/>
      <c r="D117" s="928" t="e">
        <f>VLOOKUP($B117,#REF!,2,FALSE)</f>
        <v>#REF!</v>
      </c>
      <c r="E117" s="928" t="e">
        <f>VLOOKUP($B117,#REF!,3,FALSE)</f>
        <v>#REF!</v>
      </c>
      <c r="F117" s="699" t="e">
        <f>VLOOKUP($B117,#REF!,4,FALSE)</f>
        <v>#REF!</v>
      </c>
      <c r="G117" s="684">
        <f>TRUNC((0.3+0.6+0.3)*(0.3+0.6+0.3)*0.6-(0.6*0.6*0.6),2)</f>
        <v>0.64</v>
      </c>
      <c r="H117" s="928">
        <f t="shared" si="19"/>
        <v>0</v>
      </c>
      <c r="I117" s="928">
        <f>INT(G117*H117)</f>
        <v>0</v>
      </c>
      <c r="J117" s="928">
        <f t="shared" si="20"/>
        <v>0</v>
      </c>
      <c r="K117" s="928">
        <f t="shared" si="17"/>
        <v>0</v>
      </c>
      <c r="L117" s="928">
        <f t="shared" si="21"/>
        <v>0</v>
      </c>
      <c r="M117" s="928">
        <f>INT(G117*L117)</f>
        <v>0</v>
      </c>
      <c r="N117" s="928"/>
      <c r="O117" s="928">
        <f t="shared" si="18"/>
        <v>0</v>
      </c>
      <c r="P117" s="700">
        <f t="shared" si="22"/>
        <v>0</v>
      </c>
    </row>
    <row r="118" spans="2:16" ht="18" customHeight="1">
      <c r="B118" s="193" t="e">
        <f>#REF!</f>
        <v>#REF!</v>
      </c>
      <c r="C118" s="683"/>
      <c r="D118" s="928" t="e">
        <f>VLOOKUP($B118,#REF!,2,FALSE)</f>
        <v>#REF!</v>
      </c>
      <c r="E118" s="928" t="e">
        <f>VLOOKUP($B118,#REF!,3,FALSE)</f>
        <v>#REF!</v>
      </c>
      <c r="F118" s="699" t="e">
        <f>VLOOKUP($B118,#REF!,4,FALSE)</f>
        <v>#REF!</v>
      </c>
      <c r="G118" s="684">
        <f>G116-G117</f>
        <v>0.21999999999999997</v>
      </c>
      <c r="H118" s="928">
        <f t="shared" si="19"/>
        <v>0</v>
      </c>
      <c r="I118" s="928">
        <f>INT(G118*H118)</f>
        <v>0</v>
      </c>
      <c r="J118" s="928">
        <f t="shared" si="20"/>
        <v>0</v>
      </c>
      <c r="K118" s="928">
        <f t="shared" si="17"/>
        <v>0</v>
      </c>
      <c r="L118" s="928">
        <f t="shared" si="21"/>
        <v>0</v>
      </c>
      <c r="M118" s="928">
        <f>INT(G118*L118)</f>
        <v>0</v>
      </c>
      <c r="N118" s="928"/>
      <c r="O118" s="928">
        <f t="shared" si="18"/>
        <v>0</v>
      </c>
      <c r="P118" s="700">
        <f t="shared" si="22"/>
        <v>0</v>
      </c>
    </row>
    <row r="119" spans="2:16" ht="18" customHeight="1">
      <c r="C119" s="683"/>
      <c r="D119" s="928" t="s">
        <v>1080</v>
      </c>
      <c r="E119" s="696">
        <v>0.53</v>
      </c>
      <c r="F119" s="928" t="s">
        <v>102</v>
      </c>
      <c r="G119" s="688">
        <f t="shared" ref="G119:G122" si="23">ROUNDDOWN(dhTextEvaluate(E119),3)</f>
        <v>0.53</v>
      </c>
      <c r="H119" s="928"/>
      <c r="I119" s="928"/>
      <c r="J119" s="928" t="e">
        <f>VLOOKUP($D119,#REF!,2,FALSE)</f>
        <v>#REF!</v>
      </c>
      <c r="K119" s="928" t="e">
        <f t="shared" si="17"/>
        <v>#REF!</v>
      </c>
      <c r="L119" s="928"/>
      <c r="M119" s="928"/>
      <c r="N119" s="928"/>
      <c r="O119" s="928" t="e">
        <f t="shared" si="18"/>
        <v>#REF!</v>
      </c>
      <c r="P119" s="700" t="s">
        <v>1096</v>
      </c>
    </row>
    <row r="120" spans="2:16" ht="18" customHeight="1">
      <c r="C120" s="683"/>
      <c r="D120" s="928" t="s">
        <v>1081</v>
      </c>
      <c r="E120" s="696">
        <v>0.8</v>
      </c>
      <c r="F120" s="928" t="s">
        <v>102</v>
      </c>
      <c r="G120" s="688">
        <f t="shared" si="23"/>
        <v>0.8</v>
      </c>
      <c r="H120" s="928"/>
      <c r="I120" s="928"/>
      <c r="J120" s="928" t="e">
        <f>VLOOKUP($D120,#REF!,2,FALSE)</f>
        <v>#REF!</v>
      </c>
      <c r="K120" s="928" t="e">
        <f t="shared" si="17"/>
        <v>#REF!</v>
      </c>
      <c r="L120" s="928"/>
      <c r="M120" s="928"/>
      <c r="N120" s="928"/>
      <c r="O120" s="928" t="e">
        <f t="shared" si="18"/>
        <v>#REF!</v>
      </c>
      <c r="P120" s="700" t="s">
        <v>1096</v>
      </c>
    </row>
    <row r="121" spans="2:16" ht="18" customHeight="1">
      <c r="C121" s="683"/>
      <c r="D121" s="928" t="s">
        <v>1082</v>
      </c>
      <c r="E121" s="696">
        <v>0.28000000000000003</v>
      </c>
      <c r="F121" s="928" t="s">
        <v>102</v>
      </c>
      <c r="G121" s="688">
        <f t="shared" si="23"/>
        <v>0.28000000000000003</v>
      </c>
      <c r="H121" s="928"/>
      <c r="I121" s="928"/>
      <c r="J121" s="928" t="e">
        <f>VLOOKUP($D121,#REF!,2,FALSE)</f>
        <v>#REF!</v>
      </c>
      <c r="K121" s="928" t="e">
        <f t="shared" si="17"/>
        <v>#REF!</v>
      </c>
      <c r="L121" s="928"/>
      <c r="M121" s="928"/>
      <c r="N121" s="928"/>
      <c r="O121" s="928" t="e">
        <f t="shared" si="18"/>
        <v>#REF!</v>
      </c>
      <c r="P121" s="700" t="s">
        <v>1096</v>
      </c>
    </row>
    <row r="122" spans="2:16" ht="18" customHeight="1">
      <c r="C122" s="683"/>
      <c r="D122" s="928" t="s">
        <v>1083</v>
      </c>
      <c r="E122" s="696">
        <v>0.03</v>
      </c>
      <c r="F122" s="928" t="s">
        <v>102</v>
      </c>
      <c r="G122" s="688">
        <f t="shared" si="23"/>
        <v>0.03</v>
      </c>
      <c r="H122" s="928"/>
      <c r="I122" s="928"/>
      <c r="J122" s="928" t="e">
        <f>VLOOKUP($D122,#REF!,2,FALSE)</f>
        <v>#REF!</v>
      </c>
      <c r="K122" s="928" t="e">
        <f t="shared" si="17"/>
        <v>#REF!</v>
      </c>
      <c r="L122" s="928"/>
      <c r="M122" s="928"/>
      <c r="N122" s="928"/>
      <c r="O122" s="928" t="e">
        <f t="shared" si="18"/>
        <v>#REF!</v>
      </c>
      <c r="P122" s="700" t="s">
        <v>1096</v>
      </c>
    </row>
    <row r="123" spans="2:16" ht="18" customHeight="1">
      <c r="B123" s="193" t="e">
        <f>#REF!</f>
        <v>#REF!</v>
      </c>
      <c r="C123" s="683"/>
      <c r="D123" s="928" t="e">
        <f>VLOOKUP($B123,#REF!,2,FALSE)</f>
        <v>#REF!</v>
      </c>
      <c r="E123" s="928" t="e">
        <f>VLOOKUP($B123,#REF!,3,FALSE)</f>
        <v>#REF!</v>
      </c>
      <c r="F123" s="699" t="e">
        <f>VLOOKUP($B123,#REF!,4,FALSE)</f>
        <v>#REF!</v>
      </c>
      <c r="G123" s="684">
        <v>1</v>
      </c>
      <c r="H123" s="928">
        <f t="shared" si="19"/>
        <v>0</v>
      </c>
      <c r="I123" s="928">
        <f>INT(G123*H123)</f>
        <v>0</v>
      </c>
      <c r="J123" s="928">
        <f t="shared" si="20"/>
        <v>0</v>
      </c>
      <c r="K123" s="928">
        <f t="shared" si="17"/>
        <v>0</v>
      </c>
      <c r="L123" s="928">
        <f t="shared" si="21"/>
        <v>0</v>
      </c>
      <c r="M123" s="928">
        <f>INT(G123*L123)</f>
        <v>0</v>
      </c>
      <c r="N123" s="928"/>
      <c r="O123" s="928">
        <f t="shared" si="18"/>
        <v>0</v>
      </c>
      <c r="P123" s="700">
        <f t="shared" si="22"/>
        <v>0</v>
      </c>
    </row>
    <row r="124" spans="2:16" ht="18" customHeight="1">
      <c r="B124" s="193" t="e">
        <f>#REF!</f>
        <v>#REF!</v>
      </c>
      <c r="C124" s="683"/>
      <c r="D124" s="928" t="e">
        <f>VLOOKUP($B124,#REF!,2,FALSE)</f>
        <v>#REF!</v>
      </c>
      <c r="E124" s="928" t="e">
        <f>VLOOKUP($B124,#REF!,3,FALSE)</f>
        <v>#REF!</v>
      </c>
      <c r="F124" s="699" t="e">
        <f>VLOOKUP($B124,#REF!,4,FALSE)</f>
        <v>#REF!</v>
      </c>
      <c r="G124" s="684">
        <v>3</v>
      </c>
      <c r="H124" s="928">
        <f t="shared" si="19"/>
        <v>0</v>
      </c>
      <c r="I124" s="928">
        <f>INT(G124*H124)</f>
        <v>0</v>
      </c>
      <c r="J124" s="928">
        <f t="shared" si="20"/>
        <v>0</v>
      </c>
      <c r="K124" s="928">
        <f t="shared" si="17"/>
        <v>0</v>
      </c>
      <c r="L124" s="928">
        <f t="shared" si="21"/>
        <v>0</v>
      </c>
      <c r="M124" s="928">
        <f>INT(G124*L124)</f>
        <v>0</v>
      </c>
      <c r="N124" s="928"/>
      <c r="O124" s="928">
        <f t="shared" si="18"/>
        <v>0</v>
      </c>
      <c r="P124" s="700">
        <f t="shared" si="22"/>
        <v>0</v>
      </c>
    </row>
    <row r="125" spans="2:16" ht="18" customHeight="1">
      <c r="B125" s="193" t="e">
        <f>#REF!</f>
        <v>#REF!</v>
      </c>
      <c r="C125" s="683"/>
      <c r="D125" s="928" t="e">
        <f>VLOOKUP($B125,#REF!,2,FALSE)</f>
        <v>#REF!</v>
      </c>
      <c r="E125" s="928" t="e">
        <f>VLOOKUP($B125,#REF!,3,FALSE)</f>
        <v>#REF!</v>
      </c>
      <c r="F125" s="699" t="e">
        <f>VLOOKUP($B125,#REF!,4,FALSE)</f>
        <v>#REF!</v>
      </c>
      <c r="G125" s="684">
        <v>1</v>
      </c>
      <c r="H125" s="928">
        <f t="shared" si="19"/>
        <v>0</v>
      </c>
      <c r="I125" s="928">
        <f>INT(G125*H125)</f>
        <v>0</v>
      </c>
      <c r="J125" s="928">
        <f t="shared" si="20"/>
        <v>0</v>
      </c>
      <c r="K125" s="928">
        <f t="shared" si="17"/>
        <v>0</v>
      </c>
      <c r="L125" s="928">
        <f t="shared" si="21"/>
        <v>0</v>
      </c>
      <c r="M125" s="928">
        <f>INT(G125*L125)</f>
        <v>0</v>
      </c>
      <c r="N125" s="928"/>
      <c r="O125" s="928">
        <f t="shared" si="18"/>
        <v>0</v>
      </c>
      <c r="P125" s="700">
        <f t="shared" si="22"/>
        <v>0</v>
      </c>
    </row>
    <row r="126" spans="2:16" ht="18" customHeight="1">
      <c r="B126" s="193" t="e">
        <f>CONCATENATE(C113,D126)</f>
        <v>#REF!</v>
      </c>
      <c r="C126" s="683"/>
      <c r="D126" s="928" t="s">
        <v>48</v>
      </c>
      <c r="E126" s="928"/>
      <c r="F126" s="699"/>
      <c r="G126" s="684"/>
      <c r="H126" s="928"/>
      <c r="I126" s="928" t="e">
        <f>SUM(I114:I125)</f>
        <v>#REF!</v>
      </c>
      <c r="J126" s="928"/>
      <c r="K126" s="928" t="e">
        <f>SUM(K114:K125)</f>
        <v>#REF!</v>
      </c>
      <c r="L126" s="928"/>
      <c r="M126" s="928" t="e">
        <f>SUM(M114:M125)</f>
        <v>#REF!</v>
      </c>
      <c r="N126" s="928"/>
      <c r="O126" s="928" t="e">
        <f>INT(I126+K126+M126)</f>
        <v>#REF!</v>
      </c>
      <c r="P126" s="700"/>
    </row>
    <row r="127" spans="2:16" ht="18" customHeight="1">
      <c r="C127" s="683"/>
      <c r="D127" s="928"/>
      <c r="E127" s="928"/>
      <c r="F127" s="699"/>
      <c r="G127" s="684"/>
      <c r="H127" s="928"/>
      <c r="I127" s="928"/>
      <c r="J127" s="928"/>
      <c r="K127" s="928"/>
      <c r="L127" s="928"/>
      <c r="M127" s="928"/>
      <c r="N127" s="928"/>
      <c r="O127" s="928"/>
      <c r="P127" s="700"/>
    </row>
    <row r="128" spans="2:16" ht="18" customHeight="1">
      <c r="C128" s="683"/>
      <c r="D128" s="928"/>
      <c r="E128" s="928"/>
      <c r="F128" s="699"/>
      <c r="G128" s="684"/>
      <c r="H128" s="928"/>
      <c r="I128" s="928"/>
      <c r="J128" s="928"/>
      <c r="K128" s="928"/>
      <c r="L128" s="928"/>
      <c r="M128" s="928"/>
      <c r="N128" s="928"/>
      <c r="O128" s="928"/>
      <c r="P128" s="700"/>
    </row>
    <row r="129" spans="2:16" ht="18" customHeight="1">
      <c r="C129" s="691"/>
      <c r="D129" s="692"/>
      <c r="E129" s="692"/>
      <c r="F129" s="702"/>
      <c r="G129" s="703"/>
      <c r="H129" s="692"/>
      <c r="I129" s="692"/>
      <c r="J129" s="692"/>
      <c r="K129" s="692"/>
      <c r="L129" s="692"/>
      <c r="M129" s="692"/>
      <c r="N129" s="692"/>
      <c r="O129" s="692"/>
      <c r="P129" s="704"/>
    </row>
    <row r="130" spans="2:16" ht="18" customHeight="1">
      <c r="B130" s="193">
        <f>C130</f>
        <v>0</v>
      </c>
      <c r="C130" s="728"/>
      <c r="D130" s="681" t="e">
        <f>D131</f>
        <v>#REF!</v>
      </c>
      <c r="E130" s="681" t="e">
        <f>E131</f>
        <v>#REF!</v>
      </c>
      <c r="F130" s="681" t="e">
        <f>F131</f>
        <v>#REF!</v>
      </c>
      <c r="G130" s="681"/>
      <c r="H130" s="681"/>
      <c r="I130" s="681"/>
      <c r="J130" s="681"/>
      <c r="K130" s="681"/>
      <c r="L130" s="681"/>
      <c r="M130" s="681"/>
      <c r="N130" s="681"/>
      <c r="O130" s="681"/>
      <c r="P130" s="730"/>
    </row>
    <row r="131" spans="2:16" ht="18" customHeight="1">
      <c r="B131" s="193" t="e">
        <f>#REF!</f>
        <v>#REF!</v>
      </c>
      <c r="C131" s="683"/>
      <c r="D131" s="928" t="e">
        <f>VLOOKUP($B131,#REF!,2,FALSE)</f>
        <v>#REF!</v>
      </c>
      <c r="E131" s="928" t="e">
        <f>VLOOKUP($B131,#REF!,3,FALSE)</f>
        <v>#REF!</v>
      </c>
      <c r="F131" s="928" t="e">
        <f>VLOOKUP($B131,#REF!,4,FALSE)</f>
        <v>#REF!</v>
      </c>
      <c r="G131" s="684">
        <v>1</v>
      </c>
      <c r="H131" s="928" t="e">
        <f>VLOOKUP($B131,#REF!,11,FALSE)</f>
        <v>#REF!</v>
      </c>
      <c r="I131" s="928" t="e">
        <f>INT(G131*H131)</f>
        <v>#REF!</v>
      </c>
      <c r="J131" s="928"/>
      <c r="K131" s="928"/>
      <c r="L131" s="928"/>
      <c r="M131" s="928"/>
      <c r="N131" s="928"/>
      <c r="O131" s="928" t="e">
        <f t="shared" ref="O131:O138" si="24">INT(I131+K131+M131)</f>
        <v>#REF!</v>
      </c>
      <c r="P131" s="685"/>
    </row>
    <row r="132" spans="2:16" ht="18" customHeight="1">
      <c r="B132" s="193" t="e">
        <f>#REF!</f>
        <v>#REF!</v>
      </c>
      <c r="C132" s="683"/>
      <c r="D132" s="928" t="e">
        <f>VLOOKUP($B132,#REF!,2,FALSE)</f>
        <v>#REF!</v>
      </c>
      <c r="E132" s="928" t="e">
        <f>VLOOKUP($B132,#REF!,3,FALSE)</f>
        <v>#REF!</v>
      </c>
      <c r="F132" s="928" t="e">
        <f>VLOOKUP($B132,#REF!,4,FALSE)</f>
        <v>#REF!</v>
      </c>
      <c r="G132" s="928">
        <v>2</v>
      </c>
      <c r="H132" s="928" t="e">
        <f>VLOOKUP($B132,#REF!,11,FALSE)</f>
        <v>#REF!</v>
      </c>
      <c r="I132" s="928" t="e">
        <f>INT(G132*H132)</f>
        <v>#REF!</v>
      </c>
      <c r="J132" s="928"/>
      <c r="K132" s="928"/>
      <c r="L132" s="928"/>
      <c r="M132" s="928"/>
      <c r="N132" s="928"/>
      <c r="O132" s="928" t="e">
        <f t="shared" si="24"/>
        <v>#REF!</v>
      </c>
      <c r="P132" s="685"/>
    </row>
    <row r="133" spans="2:16" ht="18" customHeight="1">
      <c r="B133" s="193" t="e">
        <f>#REF!</f>
        <v>#REF!</v>
      </c>
      <c r="C133" s="683"/>
      <c r="D133" s="928" t="e">
        <f>VLOOKUP($B133,#REF!,2,FALSE)</f>
        <v>#REF!</v>
      </c>
      <c r="E133" s="928" t="e">
        <f>VLOOKUP($B133,#REF!,3,FALSE)</f>
        <v>#REF!</v>
      </c>
      <c r="F133" s="928" t="e">
        <f>VLOOKUP($B133,#REF!,4,FALSE)</f>
        <v>#REF!</v>
      </c>
      <c r="G133" s="928">
        <v>4</v>
      </c>
      <c r="H133" s="928" t="e">
        <f>VLOOKUP($B133,#REF!,11,FALSE)</f>
        <v>#REF!</v>
      </c>
      <c r="I133" s="928" t="e">
        <f>INT(G133*H133)</f>
        <v>#REF!</v>
      </c>
      <c r="J133" s="928"/>
      <c r="K133" s="928"/>
      <c r="L133" s="928"/>
      <c r="M133" s="928"/>
      <c r="N133" s="928"/>
      <c r="O133" s="928" t="e">
        <f t="shared" si="24"/>
        <v>#REF!</v>
      </c>
      <c r="P133" s="685"/>
    </row>
    <row r="134" spans="2:16" ht="18" customHeight="1">
      <c r="B134" s="193" t="e">
        <f>#REF!</f>
        <v>#REF!</v>
      </c>
      <c r="C134" s="683"/>
      <c r="D134" s="928" t="e">
        <f>VLOOKUP($B134,#REF!,2,FALSE)</f>
        <v>#REF!</v>
      </c>
      <c r="E134" s="928" t="e">
        <f>VLOOKUP($B134,#REF!,3,FALSE)</f>
        <v>#REF!</v>
      </c>
      <c r="F134" s="928" t="e">
        <f>VLOOKUP($B134,#REF!,4,FALSE)</f>
        <v>#REF!</v>
      </c>
      <c r="G134" s="928">
        <v>1</v>
      </c>
      <c r="H134" s="928" t="e">
        <f>VLOOKUP($B134,#REF!,11,FALSE)</f>
        <v>#REF!</v>
      </c>
      <c r="I134" s="928" t="e">
        <f>INT(G134*H134)</f>
        <v>#REF!</v>
      </c>
      <c r="J134" s="928"/>
      <c r="K134" s="928"/>
      <c r="L134" s="928"/>
      <c r="M134" s="928"/>
      <c r="N134" s="928"/>
      <c r="O134" s="928" t="e">
        <f t="shared" si="24"/>
        <v>#REF!</v>
      </c>
      <c r="P134" s="685"/>
    </row>
    <row r="135" spans="2:16" ht="18" customHeight="1">
      <c r="C135" s="683"/>
      <c r="D135" s="928" t="s">
        <v>1041</v>
      </c>
      <c r="E135" s="684">
        <v>0.22</v>
      </c>
      <c r="F135" s="928" t="s">
        <v>102</v>
      </c>
      <c r="G135" s="684">
        <f>ROUNDDOWN(dhTextEvaluate(E135),3)</f>
        <v>0.22</v>
      </c>
      <c r="H135" s="928"/>
      <c r="I135" s="928"/>
      <c r="J135" s="928" t="e">
        <f>VLOOKUP($D135,#REF!,2,FALSE)</f>
        <v>#REF!</v>
      </c>
      <c r="K135" s="928" t="e">
        <f>INT(G135*J135)</f>
        <v>#REF!</v>
      </c>
      <c r="L135" s="928"/>
      <c r="M135" s="928"/>
      <c r="N135" s="928"/>
      <c r="O135" s="928" t="e">
        <f t="shared" si="24"/>
        <v>#REF!</v>
      </c>
      <c r="P135" s="685" t="s">
        <v>1031</v>
      </c>
    </row>
    <row r="136" spans="2:16" ht="18" customHeight="1">
      <c r="C136" s="683"/>
      <c r="D136" s="928" t="s">
        <v>1042</v>
      </c>
      <c r="E136" s="684">
        <v>0.11</v>
      </c>
      <c r="F136" s="928" t="s">
        <v>102</v>
      </c>
      <c r="G136" s="684">
        <f>ROUNDDOWN(dhTextEvaluate(E136),3)</f>
        <v>0.11</v>
      </c>
      <c r="H136" s="928"/>
      <c r="I136" s="928"/>
      <c r="J136" s="928" t="e">
        <f>VLOOKUP($D136,#REF!,2,FALSE)</f>
        <v>#REF!</v>
      </c>
      <c r="K136" s="928" t="e">
        <f>INT(G136*J136)</f>
        <v>#REF!</v>
      </c>
      <c r="L136" s="928"/>
      <c r="M136" s="928"/>
      <c r="N136" s="928"/>
      <c r="O136" s="928" t="e">
        <f t="shared" si="24"/>
        <v>#REF!</v>
      </c>
      <c r="P136" s="685" t="s">
        <v>1031</v>
      </c>
    </row>
    <row r="137" spans="2:16" ht="18" customHeight="1">
      <c r="C137" s="683"/>
      <c r="D137" s="928" t="s">
        <v>104</v>
      </c>
      <c r="E137" s="689" t="s">
        <v>1032</v>
      </c>
      <c r="F137" s="928" t="s">
        <v>100</v>
      </c>
      <c r="G137" s="928">
        <v>1</v>
      </c>
      <c r="H137" s="928" t="e">
        <f>INT(SUM(K138)*0.03)</f>
        <v>#REF!</v>
      </c>
      <c r="I137" s="929" t="e">
        <f>INT(G137*H137)</f>
        <v>#REF!</v>
      </c>
      <c r="J137" s="928"/>
      <c r="K137" s="928"/>
      <c r="L137" s="928"/>
      <c r="M137" s="928"/>
      <c r="N137" s="928"/>
      <c r="O137" s="928" t="e">
        <f t="shared" si="24"/>
        <v>#REF!</v>
      </c>
      <c r="P137" s="685" t="s">
        <v>449</v>
      </c>
    </row>
    <row r="138" spans="2:16" ht="18" customHeight="1">
      <c r="B138" s="193" t="str">
        <f>CONCATENATE(C130,D138)</f>
        <v>계</v>
      </c>
      <c r="C138" s="683"/>
      <c r="D138" s="928" t="s">
        <v>96</v>
      </c>
      <c r="E138" s="928"/>
      <c r="F138" s="928"/>
      <c r="G138" s="928"/>
      <c r="H138" s="928"/>
      <c r="I138" s="928" t="e">
        <f>SUM(I131:I137)</f>
        <v>#REF!</v>
      </c>
      <c r="J138" s="928"/>
      <c r="K138" s="928" t="e">
        <f>SUM(K131:K137)</f>
        <v>#REF!</v>
      </c>
      <c r="L138" s="928"/>
      <c r="M138" s="928">
        <f>SUM(M131:M137)</f>
        <v>0</v>
      </c>
      <c r="N138" s="928"/>
      <c r="O138" s="928" t="e">
        <f t="shared" si="24"/>
        <v>#REF!</v>
      </c>
      <c r="P138" s="685"/>
    </row>
    <row r="139" spans="2:16" ht="18" customHeight="1">
      <c r="C139" s="683"/>
      <c r="D139" s="928"/>
      <c r="E139" s="928"/>
      <c r="F139" s="928"/>
      <c r="G139" s="928"/>
      <c r="H139" s="928"/>
      <c r="I139" s="928"/>
      <c r="J139" s="928"/>
      <c r="K139" s="928"/>
      <c r="L139" s="928"/>
      <c r="M139" s="928"/>
      <c r="N139" s="928"/>
      <c r="O139" s="928"/>
      <c r="P139" s="685"/>
    </row>
    <row r="140" spans="2:16" ht="18" customHeight="1">
      <c r="C140" s="683"/>
      <c r="D140" s="928"/>
      <c r="E140" s="928"/>
      <c r="F140" s="928"/>
      <c r="G140" s="928"/>
      <c r="H140" s="928"/>
      <c r="I140" s="928"/>
      <c r="J140" s="928"/>
      <c r="K140" s="928"/>
      <c r="L140" s="928"/>
      <c r="M140" s="928"/>
      <c r="N140" s="928"/>
      <c r="O140" s="928"/>
      <c r="P140" s="685"/>
    </row>
    <row r="141" spans="2:16" ht="18" customHeight="1">
      <c r="C141" s="683"/>
      <c r="D141" s="928"/>
      <c r="E141" s="928"/>
      <c r="F141" s="928"/>
      <c r="G141" s="928"/>
      <c r="H141" s="928"/>
      <c r="I141" s="928"/>
      <c r="J141" s="928"/>
      <c r="K141" s="928"/>
      <c r="L141" s="928"/>
      <c r="M141" s="928"/>
      <c r="N141" s="928"/>
      <c r="O141" s="928"/>
      <c r="P141" s="685"/>
    </row>
    <row r="142" spans="2:16" ht="18" customHeight="1">
      <c r="C142" s="683"/>
      <c r="D142" s="928"/>
      <c r="E142" s="928"/>
      <c r="F142" s="928"/>
      <c r="G142" s="928"/>
      <c r="H142" s="928"/>
      <c r="I142" s="928"/>
      <c r="J142" s="928"/>
      <c r="K142" s="928"/>
      <c r="L142" s="928"/>
      <c r="M142" s="928"/>
      <c r="N142" s="928"/>
      <c r="O142" s="928"/>
      <c r="P142" s="685"/>
    </row>
    <row r="143" spans="2:16" ht="18" customHeight="1">
      <c r="C143" s="683"/>
      <c r="D143" s="928"/>
      <c r="E143" s="928"/>
      <c r="F143" s="928"/>
      <c r="G143" s="928"/>
      <c r="H143" s="928"/>
      <c r="I143" s="928"/>
      <c r="J143" s="928"/>
      <c r="K143" s="928"/>
      <c r="L143" s="928"/>
      <c r="M143" s="928"/>
      <c r="N143" s="928"/>
      <c r="O143" s="928"/>
      <c r="P143" s="685"/>
    </row>
    <row r="144" spans="2:16" ht="18" customHeight="1">
      <c r="C144" s="683"/>
      <c r="D144" s="928"/>
      <c r="E144" s="928"/>
      <c r="F144" s="928"/>
      <c r="G144" s="928"/>
      <c r="H144" s="928"/>
      <c r="I144" s="928"/>
      <c r="J144" s="928"/>
      <c r="K144" s="928"/>
      <c r="L144" s="928"/>
      <c r="M144" s="928"/>
      <c r="N144" s="928"/>
      <c r="O144" s="928"/>
      <c r="P144" s="685"/>
    </row>
    <row r="145" spans="3:16" ht="18" customHeight="1">
      <c r="C145" s="683"/>
      <c r="D145" s="928"/>
      <c r="E145" s="928"/>
      <c r="F145" s="928"/>
      <c r="G145" s="928"/>
      <c r="H145" s="928"/>
      <c r="I145" s="928"/>
      <c r="J145" s="928"/>
      <c r="K145" s="928"/>
      <c r="L145" s="928"/>
      <c r="M145" s="928"/>
      <c r="N145" s="928"/>
      <c r="O145" s="928"/>
      <c r="P145" s="685"/>
    </row>
    <row r="146" spans="3:16" ht="18" customHeight="1">
      <c r="C146" s="683"/>
      <c r="D146" s="928"/>
      <c r="E146" s="928"/>
      <c r="F146" s="928"/>
      <c r="G146" s="928"/>
      <c r="H146" s="928"/>
      <c r="I146" s="928"/>
      <c r="J146" s="928"/>
      <c r="K146" s="928"/>
      <c r="L146" s="928"/>
      <c r="M146" s="928"/>
      <c r="N146" s="928"/>
      <c r="O146" s="928"/>
      <c r="P146" s="685"/>
    </row>
    <row r="147" spans="3:16" ht="18" customHeight="1">
      <c r="C147" s="683"/>
      <c r="D147" s="928"/>
      <c r="E147" s="928"/>
      <c r="F147" s="928"/>
      <c r="G147" s="928"/>
      <c r="H147" s="928"/>
      <c r="I147" s="928"/>
      <c r="J147" s="928"/>
      <c r="K147" s="928"/>
      <c r="L147" s="928"/>
      <c r="M147" s="928"/>
      <c r="N147" s="928"/>
      <c r="O147" s="928"/>
      <c r="P147" s="685"/>
    </row>
    <row r="148" spans="3:16" ht="18" customHeight="1">
      <c r="C148" s="683"/>
      <c r="D148" s="928"/>
      <c r="E148" s="928"/>
      <c r="F148" s="928"/>
      <c r="G148" s="928"/>
      <c r="H148" s="928"/>
      <c r="I148" s="928"/>
      <c r="J148" s="928"/>
      <c r="K148" s="928"/>
      <c r="L148" s="928"/>
      <c r="M148" s="928"/>
      <c r="N148" s="928"/>
      <c r="O148" s="928"/>
      <c r="P148" s="685"/>
    </row>
    <row r="149" spans="3:16" ht="18" customHeight="1">
      <c r="C149" s="683"/>
      <c r="D149" s="928"/>
      <c r="E149" s="928"/>
      <c r="F149" s="928"/>
      <c r="G149" s="928"/>
      <c r="H149" s="928"/>
      <c r="I149" s="928"/>
      <c r="J149" s="928"/>
      <c r="K149" s="928"/>
      <c r="L149" s="928"/>
      <c r="M149" s="928"/>
      <c r="N149" s="928"/>
      <c r="O149" s="928"/>
      <c r="P149" s="685"/>
    </row>
    <row r="150" spans="3:16" ht="18" customHeight="1">
      <c r="C150" s="683"/>
      <c r="D150" s="928"/>
      <c r="E150" s="928"/>
      <c r="F150" s="928"/>
      <c r="G150" s="928"/>
      <c r="H150" s="928"/>
      <c r="I150" s="928"/>
      <c r="J150" s="928"/>
      <c r="K150" s="928"/>
      <c r="L150" s="928"/>
      <c r="M150" s="928"/>
      <c r="N150" s="928"/>
      <c r="O150" s="928"/>
      <c r="P150" s="685"/>
    </row>
    <row r="151" spans="3:16" ht="18" customHeight="1">
      <c r="C151" s="683"/>
      <c r="D151" s="928"/>
      <c r="E151" s="928"/>
      <c r="F151" s="928"/>
      <c r="G151" s="928"/>
      <c r="H151" s="928"/>
      <c r="I151" s="928"/>
      <c r="J151" s="928"/>
      <c r="K151" s="928"/>
      <c r="L151" s="928"/>
      <c r="M151" s="928"/>
      <c r="N151" s="928"/>
      <c r="O151" s="928"/>
      <c r="P151" s="685"/>
    </row>
    <row r="152" spans="3:16" ht="18" customHeight="1">
      <c r="C152" s="683"/>
      <c r="D152" s="928"/>
      <c r="E152" s="928"/>
      <c r="F152" s="928"/>
      <c r="G152" s="928"/>
      <c r="H152" s="928"/>
      <c r="I152" s="928"/>
      <c r="J152" s="928"/>
      <c r="K152" s="928"/>
      <c r="L152" s="928"/>
      <c r="M152" s="928"/>
      <c r="N152" s="928"/>
      <c r="O152" s="928"/>
      <c r="P152" s="685"/>
    </row>
    <row r="153" spans="3:16" ht="18" customHeight="1">
      <c r="C153" s="683"/>
      <c r="D153" s="928"/>
      <c r="E153" s="928"/>
      <c r="F153" s="928"/>
      <c r="G153" s="928"/>
      <c r="H153" s="928"/>
      <c r="I153" s="928"/>
      <c r="J153" s="928"/>
      <c r="K153" s="928"/>
      <c r="L153" s="928"/>
      <c r="M153" s="928"/>
      <c r="N153" s="928"/>
      <c r="O153" s="928"/>
      <c r="P153" s="685"/>
    </row>
    <row r="154" spans="3:16" ht="18" customHeight="1">
      <c r="C154" s="683"/>
      <c r="D154" s="928"/>
      <c r="E154" s="928"/>
      <c r="F154" s="928"/>
      <c r="G154" s="928"/>
      <c r="H154" s="928"/>
      <c r="I154" s="928"/>
      <c r="J154" s="928"/>
      <c r="K154" s="928"/>
      <c r="L154" s="928"/>
      <c r="M154" s="928"/>
      <c r="N154" s="928"/>
      <c r="O154" s="928"/>
      <c r="P154" s="685"/>
    </row>
    <row r="155" spans="3:16" ht="18" customHeight="1">
      <c r="C155" s="691"/>
      <c r="D155" s="692"/>
      <c r="E155" s="726"/>
      <c r="F155" s="692"/>
      <c r="G155" s="692"/>
      <c r="H155" s="692"/>
      <c r="I155" s="727"/>
      <c r="J155" s="692"/>
      <c r="K155" s="692"/>
      <c r="L155" s="692"/>
      <c r="M155" s="692"/>
      <c r="N155" s="692"/>
      <c r="O155" s="692"/>
      <c r="P155" s="693"/>
    </row>
    <row r="156" spans="3:16" ht="18" customHeight="1">
      <c r="C156" s="683"/>
      <c r="D156" s="928"/>
      <c r="E156" s="928"/>
      <c r="F156" s="928"/>
      <c r="G156" s="928"/>
      <c r="H156" s="928"/>
      <c r="I156" s="928"/>
      <c r="J156" s="928"/>
      <c r="K156" s="928"/>
      <c r="L156" s="928"/>
      <c r="M156" s="928"/>
      <c r="N156" s="928"/>
      <c r="O156" s="928"/>
      <c r="P156" s="685"/>
    </row>
    <row r="157" spans="3:16" ht="18" customHeight="1">
      <c r="C157" s="683"/>
      <c r="D157" s="928"/>
      <c r="E157" s="928"/>
      <c r="F157" s="928"/>
      <c r="G157" s="928"/>
      <c r="H157" s="928"/>
      <c r="I157" s="928"/>
      <c r="J157" s="928"/>
      <c r="K157" s="928"/>
      <c r="L157" s="928"/>
      <c r="M157" s="928"/>
      <c r="N157" s="928"/>
      <c r="O157" s="928"/>
      <c r="P157" s="685"/>
    </row>
    <row r="158" spans="3:16" ht="18" customHeight="1">
      <c r="C158" s="683"/>
      <c r="D158" s="928"/>
      <c r="E158" s="928"/>
      <c r="F158" s="928"/>
      <c r="G158" s="928"/>
      <c r="H158" s="928"/>
      <c r="I158" s="928"/>
      <c r="J158" s="928"/>
      <c r="K158" s="928"/>
      <c r="L158" s="928"/>
      <c r="M158" s="928"/>
      <c r="N158" s="928"/>
      <c r="O158" s="928"/>
      <c r="P158" s="685"/>
    </row>
    <row r="159" spans="3:16" ht="18" customHeight="1">
      <c r="C159" s="683"/>
      <c r="D159" s="928"/>
      <c r="E159" s="928"/>
      <c r="F159" s="928"/>
      <c r="G159" s="928"/>
      <c r="H159" s="928"/>
      <c r="I159" s="928"/>
      <c r="J159" s="928"/>
      <c r="K159" s="928"/>
      <c r="L159" s="928"/>
      <c r="M159" s="928"/>
      <c r="N159" s="928"/>
      <c r="O159" s="928"/>
      <c r="P159" s="685"/>
    </row>
    <row r="160" spans="3:16" ht="18" customHeight="1">
      <c r="C160" s="683"/>
      <c r="D160" s="928"/>
      <c r="E160" s="928"/>
      <c r="F160" s="928"/>
      <c r="G160" s="928"/>
      <c r="H160" s="928"/>
      <c r="I160" s="928"/>
      <c r="J160" s="928"/>
      <c r="K160" s="928"/>
      <c r="L160" s="928"/>
      <c r="M160" s="928"/>
      <c r="N160" s="928"/>
      <c r="O160" s="928"/>
      <c r="P160" s="685"/>
    </row>
    <row r="161" spans="2:16" ht="18" customHeight="1">
      <c r="C161" s="683"/>
      <c r="D161" s="928"/>
      <c r="E161" s="928"/>
      <c r="F161" s="928"/>
      <c r="G161" s="928"/>
      <c r="H161" s="928"/>
      <c r="I161" s="928"/>
      <c r="J161" s="928"/>
      <c r="K161" s="928"/>
      <c r="L161" s="928"/>
      <c r="M161" s="928"/>
      <c r="N161" s="928"/>
      <c r="O161" s="928"/>
      <c r="P161" s="685"/>
    </row>
    <row r="162" spans="2:16" ht="18" customHeight="1">
      <c r="C162" s="683"/>
      <c r="D162" s="928"/>
      <c r="E162" s="928"/>
      <c r="F162" s="928"/>
      <c r="G162" s="928"/>
      <c r="H162" s="928"/>
      <c r="I162" s="928"/>
      <c r="J162" s="928"/>
      <c r="K162" s="928"/>
      <c r="L162" s="928"/>
      <c r="M162" s="928"/>
      <c r="N162" s="928"/>
      <c r="O162" s="928"/>
      <c r="P162" s="685"/>
    </row>
    <row r="163" spans="2:16" ht="18" customHeight="1">
      <c r="C163" s="683"/>
      <c r="D163" s="928"/>
      <c r="E163" s="928"/>
      <c r="F163" s="928"/>
      <c r="G163" s="928"/>
      <c r="H163" s="928"/>
      <c r="I163" s="928"/>
      <c r="J163" s="928"/>
      <c r="K163" s="928"/>
      <c r="L163" s="928"/>
      <c r="M163" s="928"/>
      <c r="N163" s="928"/>
      <c r="O163" s="928"/>
      <c r="P163" s="685"/>
    </row>
    <row r="164" spans="2:16" ht="18" customHeight="1">
      <c r="C164" s="683"/>
      <c r="D164" s="928"/>
      <c r="E164" s="928"/>
      <c r="F164" s="928"/>
      <c r="G164" s="928"/>
      <c r="H164" s="928"/>
      <c r="I164" s="928"/>
      <c r="J164" s="928"/>
      <c r="K164" s="928"/>
      <c r="L164" s="928"/>
      <c r="M164" s="928"/>
      <c r="N164" s="928"/>
      <c r="O164" s="928"/>
      <c r="P164" s="685"/>
    </row>
    <row r="165" spans="2:16" ht="18" customHeight="1">
      <c r="C165" s="683"/>
      <c r="D165" s="928"/>
      <c r="E165" s="928"/>
      <c r="F165" s="928"/>
      <c r="G165" s="928"/>
      <c r="H165" s="928"/>
      <c r="I165" s="928"/>
      <c r="J165" s="928"/>
      <c r="K165" s="928"/>
      <c r="L165" s="928"/>
      <c r="M165" s="928"/>
      <c r="N165" s="928"/>
      <c r="O165" s="928"/>
      <c r="P165" s="685"/>
    </row>
    <row r="166" spans="2:16" ht="18" customHeight="1">
      <c r="C166" s="683"/>
      <c r="D166" s="928"/>
      <c r="E166" s="928"/>
      <c r="F166" s="928"/>
      <c r="G166" s="928"/>
      <c r="H166" s="928"/>
      <c r="I166" s="928"/>
      <c r="J166" s="928"/>
      <c r="K166" s="928"/>
      <c r="L166" s="928"/>
      <c r="M166" s="928"/>
      <c r="N166" s="928"/>
      <c r="O166" s="928"/>
      <c r="P166" s="685"/>
    </row>
    <row r="167" spans="2:16" ht="18" customHeight="1">
      <c r="C167" s="683"/>
      <c r="D167" s="928"/>
      <c r="E167" s="928"/>
      <c r="F167" s="928"/>
      <c r="G167" s="928"/>
      <c r="H167" s="928"/>
      <c r="I167" s="928"/>
      <c r="J167" s="928"/>
      <c r="K167" s="928"/>
      <c r="L167" s="928"/>
      <c r="M167" s="928"/>
      <c r="N167" s="928"/>
      <c r="O167" s="928"/>
      <c r="P167" s="685"/>
    </row>
    <row r="168" spans="2:16" ht="18" customHeight="1">
      <c r="C168" s="683"/>
      <c r="D168" s="928"/>
      <c r="E168" s="928"/>
      <c r="F168" s="928"/>
      <c r="G168" s="928"/>
      <c r="H168" s="928"/>
      <c r="I168" s="928"/>
      <c r="J168" s="928"/>
      <c r="K168" s="928"/>
      <c r="L168" s="928"/>
      <c r="M168" s="928"/>
      <c r="N168" s="928"/>
      <c r="O168" s="928"/>
      <c r="P168" s="685"/>
    </row>
    <row r="169" spans="2:16" ht="18" customHeight="1">
      <c r="C169" s="683"/>
      <c r="D169" s="928"/>
      <c r="E169" s="928"/>
      <c r="F169" s="928"/>
      <c r="G169" s="928"/>
      <c r="H169" s="928"/>
      <c r="I169" s="928"/>
      <c r="J169" s="928"/>
      <c r="K169" s="928"/>
      <c r="L169" s="928"/>
      <c r="M169" s="928"/>
      <c r="N169" s="928"/>
      <c r="O169" s="928"/>
      <c r="P169" s="685"/>
    </row>
    <row r="170" spans="2:16" ht="18" customHeight="1">
      <c r="B170" s="193" t="e">
        <f>C170</f>
        <v>#REF!</v>
      </c>
      <c r="C170" s="690" t="e">
        <f>#REF!+1</f>
        <v>#REF!</v>
      </c>
      <c r="D170" s="928" t="e">
        <f>D171</f>
        <v>#REF!</v>
      </c>
      <c r="E170" s="928" t="e">
        <f>E171</f>
        <v>#REF!</v>
      </c>
      <c r="F170" s="928" t="e">
        <f>F171</f>
        <v>#REF!</v>
      </c>
      <c r="G170" s="684"/>
      <c r="H170" s="928"/>
      <c r="I170" s="928"/>
      <c r="J170" s="928"/>
      <c r="K170" s="928"/>
      <c r="L170" s="928"/>
      <c r="M170" s="928"/>
      <c r="N170" s="928"/>
      <c r="O170" s="928"/>
      <c r="P170" s="685"/>
    </row>
    <row r="171" spans="2:16" ht="18" customHeight="1">
      <c r="B171" s="193" t="e">
        <f>#REF!</f>
        <v>#REF!</v>
      </c>
      <c r="C171" s="683"/>
      <c r="D171" s="928" t="e">
        <f>VLOOKUP($B171,#REF!,2,FALSE)</f>
        <v>#REF!</v>
      </c>
      <c r="E171" s="696" t="e">
        <f>VLOOKUP($B171,#REF!,3,FALSE)</f>
        <v>#REF!</v>
      </c>
      <c r="F171" s="928" t="e">
        <f>VLOOKUP($B171,#REF!,4,FALSE)</f>
        <v>#REF!</v>
      </c>
      <c r="G171" s="684">
        <v>1.03</v>
      </c>
      <c r="H171" s="928" t="e">
        <f>VLOOKUP($B171,#REF!,11,FALSE)</f>
        <v>#REF!</v>
      </c>
      <c r="I171" s="928" t="e">
        <f>INT(G171*H171)</f>
        <v>#REF!</v>
      </c>
      <c r="J171" s="928"/>
      <c r="K171" s="928"/>
      <c r="L171" s="1606"/>
      <c r="M171" s="1606"/>
      <c r="N171" s="928"/>
      <c r="O171" s="928" t="e">
        <f>INT(I171+K171+M171)</f>
        <v>#REF!</v>
      </c>
      <c r="P171" s="685" t="s">
        <v>155</v>
      </c>
    </row>
    <row r="172" spans="2:16" ht="18" customHeight="1">
      <c r="C172" s="683"/>
      <c r="D172" s="928" t="s">
        <v>31</v>
      </c>
      <c r="E172" s="696" t="s">
        <v>1288</v>
      </c>
      <c r="F172" s="928" t="s">
        <v>29</v>
      </c>
      <c r="G172" s="688">
        <v>1</v>
      </c>
      <c r="H172" s="928" t="e">
        <f>INT(H171*0.02)</f>
        <v>#REF!</v>
      </c>
      <c r="I172" s="928" t="e">
        <f>INT(G172*H172)</f>
        <v>#REF!</v>
      </c>
      <c r="J172" s="928"/>
      <c r="K172" s="928"/>
      <c r="L172" s="1606"/>
      <c r="M172" s="1606"/>
      <c r="N172" s="928"/>
      <c r="O172" s="928" t="e">
        <f>INT(I172+K172+M172)</f>
        <v>#REF!</v>
      </c>
      <c r="P172" s="685" t="s">
        <v>32</v>
      </c>
    </row>
    <row r="173" spans="2:16" ht="18" customHeight="1">
      <c r="C173" s="683"/>
      <c r="D173" s="928" t="s">
        <v>40</v>
      </c>
      <c r="E173" s="689">
        <v>3.2000000000000001E-2</v>
      </c>
      <c r="F173" s="928" t="s">
        <v>102</v>
      </c>
      <c r="G173" s="688">
        <f>ROUNDDOWN(dhTextEvaluate(E173),3)</f>
        <v>3.2000000000000001E-2</v>
      </c>
      <c r="H173" s="928"/>
      <c r="I173" s="929"/>
      <c r="J173" s="928" t="e">
        <f>VLOOKUP($D173,#REF!,2,FALSE)</f>
        <v>#REF!</v>
      </c>
      <c r="K173" s="928" t="e">
        <f>INT(G173*J173)</f>
        <v>#REF!</v>
      </c>
      <c r="L173" s="1606"/>
      <c r="M173" s="1606"/>
      <c r="N173" s="928"/>
      <c r="O173" s="928" t="e">
        <f>INT(I173+K173+M173)</f>
        <v>#REF!</v>
      </c>
      <c r="P173" s="685" t="s">
        <v>1062</v>
      </c>
    </row>
    <row r="174" spans="2:16" ht="18" customHeight="1">
      <c r="C174" s="683"/>
      <c r="D174" s="928" t="s">
        <v>104</v>
      </c>
      <c r="E174" s="928" t="s">
        <v>41</v>
      </c>
      <c r="F174" s="928" t="s">
        <v>100</v>
      </c>
      <c r="G174" s="928">
        <v>1</v>
      </c>
      <c r="H174" s="928" t="e">
        <f>INT(SUM(K175)*0.03)</f>
        <v>#REF!</v>
      </c>
      <c r="I174" s="928" t="e">
        <f>INT(G174*H174)</f>
        <v>#REF!</v>
      </c>
      <c r="J174" s="928"/>
      <c r="K174" s="928"/>
      <c r="L174" s="928"/>
      <c r="M174" s="928"/>
      <c r="N174" s="928"/>
      <c r="O174" s="928" t="e">
        <f>INT(I174+K174+M174)</f>
        <v>#REF!</v>
      </c>
      <c r="P174" s="685" t="s">
        <v>42</v>
      </c>
    </row>
    <row r="175" spans="2:16" ht="18" customHeight="1">
      <c r="B175" s="193" t="e">
        <f>CONCATENATE(C170,D175)</f>
        <v>#REF!</v>
      </c>
      <c r="C175" s="683"/>
      <c r="D175" s="928" t="s">
        <v>96</v>
      </c>
      <c r="E175" s="928"/>
      <c r="F175" s="928"/>
      <c r="G175" s="928"/>
      <c r="H175" s="928"/>
      <c r="I175" s="928" t="e">
        <f>SUM(I171:I174)</f>
        <v>#REF!</v>
      </c>
      <c r="J175" s="928"/>
      <c r="K175" s="928" t="e">
        <f>SUM(K171:K174)</f>
        <v>#REF!</v>
      </c>
      <c r="L175" s="928"/>
      <c r="M175" s="928">
        <f>SUM(M171:M174)</f>
        <v>0</v>
      </c>
      <c r="N175" s="928"/>
      <c r="O175" s="928" t="e">
        <f>INT(I175+K175+M175)</f>
        <v>#REF!</v>
      </c>
      <c r="P175" s="685"/>
    </row>
    <row r="176" spans="2:16" ht="18" customHeight="1">
      <c r="C176" s="683"/>
      <c r="D176" s="928"/>
      <c r="E176" s="928"/>
      <c r="F176" s="928"/>
      <c r="G176" s="928"/>
      <c r="H176" s="928"/>
      <c r="I176" s="928"/>
      <c r="J176" s="928"/>
      <c r="K176" s="928"/>
      <c r="L176" s="928"/>
      <c r="M176" s="928"/>
      <c r="N176" s="928"/>
      <c r="O176" s="928"/>
      <c r="P176" s="685"/>
    </row>
    <row r="177" spans="2:16" ht="18" customHeight="1">
      <c r="C177" s="683"/>
      <c r="D177" s="928"/>
      <c r="E177" s="928"/>
      <c r="F177" s="928"/>
      <c r="G177" s="928"/>
      <c r="H177" s="928"/>
      <c r="I177" s="928"/>
      <c r="J177" s="928"/>
      <c r="K177" s="928"/>
      <c r="L177" s="928"/>
      <c r="M177" s="928"/>
      <c r="N177" s="928"/>
      <c r="O177" s="928"/>
      <c r="P177" s="685"/>
    </row>
    <row r="178" spans="2:16" ht="18" customHeight="1">
      <c r="C178" s="691"/>
      <c r="D178" s="692"/>
      <c r="E178" s="692"/>
      <c r="F178" s="692"/>
      <c r="G178" s="692"/>
      <c r="H178" s="692"/>
      <c r="I178" s="692"/>
      <c r="J178" s="692"/>
      <c r="K178" s="692"/>
      <c r="L178" s="692"/>
      <c r="M178" s="692"/>
      <c r="N178" s="692"/>
      <c r="O178" s="692"/>
      <c r="P178" s="693"/>
    </row>
    <row r="179" spans="2:16" ht="18" customHeight="1">
      <c r="C179" s="683"/>
      <c r="D179" s="928"/>
      <c r="E179" s="928"/>
      <c r="F179" s="928"/>
      <c r="G179" s="928"/>
      <c r="H179" s="928"/>
      <c r="I179" s="928"/>
      <c r="J179" s="928"/>
      <c r="K179" s="928"/>
      <c r="L179" s="928"/>
      <c r="M179" s="928"/>
      <c r="N179" s="928"/>
      <c r="O179" s="928"/>
      <c r="P179" s="685"/>
    </row>
    <row r="180" spans="2:16" ht="18" customHeight="1">
      <c r="C180" s="683"/>
      <c r="D180" s="928"/>
      <c r="E180" s="928"/>
      <c r="F180" s="928"/>
      <c r="G180" s="928"/>
      <c r="H180" s="928"/>
      <c r="I180" s="928"/>
      <c r="J180" s="928"/>
      <c r="K180" s="928"/>
      <c r="L180" s="928"/>
      <c r="M180" s="928"/>
      <c r="N180" s="928"/>
      <c r="O180" s="928"/>
      <c r="P180" s="685"/>
    </row>
    <row r="181" spans="2:16" ht="18" customHeight="1">
      <c r="C181" s="683"/>
      <c r="D181" s="928"/>
      <c r="E181" s="928"/>
      <c r="F181" s="928"/>
      <c r="G181" s="928"/>
      <c r="H181" s="928"/>
      <c r="I181" s="928"/>
      <c r="J181" s="928"/>
      <c r="K181" s="928"/>
      <c r="L181" s="928"/>
      <c r="M181" s="928"/>
      <c r="N181" s="928"/>
      <c r="O181" s="928"/>
      <c r="P181" s="685"/>
    </row>
    <row r="182" spans="2:16" ht="18" customHeight="1">
      <c r="C182" s="683"/>
      <c r="D182" s="928"/>
      <c r="E182" s="928"/>
      <c r="F182" s="928"/>
      <c r="G182" s="928"/>
      <c r="H182" s="928"/>
      <c r="I182" s="928"/>
      <c r="J182" s="928"/>
      <c r="K182" s="928"/>
      <c r="L182" s="928"/>
      <c r="M182" s="928"/>
      <c r="N182" s="928"/>
      <c r="O182" s="928"/>
      <c r="P182" s="685"/>
    </row>
    <row r="183" spans="2:16" ht="18" customHeight="1">
      <c r="C183" s="683"/>
      <c r="D183" s="928"/>
      <c r="E183" s="928"/>
      <c r="F183" s="928"/>
      <c r="G183" s="928"/>
      <c r="H183" s="928"/>
      <c r="I183" s="928"/>
      <c r="J183" s="928"/>
      <c r="K183" s="928"/>
      <c r="L183" s="928"/>
      <c r="M183" s="928"/>
      <c r="N183" s="928"/>
      <c r="O183" s="928"/>
      <c r="P183" s="685"/>
    </row>
    <row r="184" spans="2:16" ht="18" customHeight="1">
      <c r="C184" s="683"/>
      <c r="D184" s="928"/>
      <c r="E184" s="928"/>
      <c r="F184" s="928"/>
      <c r="G184" s="928"/>
      <c r="H184" s="928"/>
      <c r="I184" s="928"/>
      <c r="J184" s="928"/>
      <c r="K184" s="928"/>
      <c r="L184" s="928"/>
      <c r="M184" s="928"/>
      <c r="N184" s="928"/>
      <c r="O184" s="928"/>
      <c r="P184" s="685"/>
    </row>
    <row r="185" spans="2:16" ht="18" customHeight="1">
      <c r="B185" s="193">
        <f>C185</f>
        <v>0</v>
      </c>
      <c r="C185" s="728"/>
      <c r="D185" s="681" t="e">
        <f>D186</f>
        <v>#REF!</v>
      </c>
      <c r="E185" s="681" t="e">
        <f>E186</f>
        <v>#REF!</v>
      </c>
      <c r="F185" s="697" t="e">
        <f>F186</f>
        <v>#REF!</v>
      </c>
      <c r="G185" s="695"/>
      <c r="H185" s="681"/>
      <c r="I185" s="681"/>
      <c r="J185" s="681"/>
      <c r="K185" s="681"/>
      <c r="L185" s="681"/>
      <c r="M185" s="681"/>
      <c r="N185" s="681"/>
      <c r="O185" s="681"/>
      <c r="P185" s="729"/>
    </row>
    <row r="186" spans="2:16" ht="18" customHeight="1">
      <c r="B186" s="193" t="e">
        <f>#REF!</f>
        <v>#REF!</v>
      </c>
      <c r="C186" s="683"/>
      <c r="D186" s="928" t="e">
        <f>VLOOKUP($B186,#REF!,2,FALSE)</f>
        <v>#REF!</v>
      </c>
      <c r="E186" s="928" t="e">
        <f>VLOOKUP($B186,#REF!,3,FALSE)</f>
        <v>#REF!</v>
      </c>
      <c r="F186" s="699" t="e">
        <f>VLOOKUP($B186,#REF!,4,FALSE)</f>
        <v>#REF!</v>
      </c>
      <c r="G186" s="928">
        <v>1</v>
      </c>
      <c r="H186" s="928"/>
      <c r="I186" s="928"/>
      <c r="J186" s="928"/>
      <c r="K186" s="928"/>
      <c r="L186" s="928"/>
      <c r="M186" s="928"/>
      <c r="N186" s="928"/>
      <c r="O186" s="928"/>
      <c r="P186" s="700" t="s">
        <v>1107</v>
      </c>
    </row>
    <row r="187" spans="2:16" ht="18" customHeight="1">
      <c r="B187" s="193" t="e">
        <f>#REF!</f>
        <v>#REF!</v>
      </c>
      <c r="C187" s="683"/>
      <c r="D187" s="928" t="e">
        <f>VLOOKUP($B187,#REF!,2,FALSE)</f>
        <v>#REF!</v>
      </c>
      <c r="E187" s="928" t="e">
        <f>VLOOKUP($B187,#REF!,3,FALSE)</f>
        <v>#REF!</v>
      </c>
      <c r="F187" s="699" t="e">
        <f>VLOOKUP($B187,#REF!,4,FALSE)</f>
        <v>#REF!</v>
      </c>
      <c r="G187" s="684">
        <f>'신호등 기초산출'!$X$59</f>
        <v>11.06</v>
      </c>
      <c r="H187" s="928">
        <f t="shared" ref="H187:H195" si="25">IF(ISERROR(VLOOKUP($B187,일위11,10,FALSE)),0,VLOOKUP($B187,일위11,10,FALSE))</f>
        <v>0</v>
      </c>
      <c r="I187" s="928">
        <f t="shared" ref="I187:I195" si="26">INT(G187*H187)</f>
        <v>0</v>
      </c>
      <c r="J187" s="928">
        <f t="shared" ref="J187:J195" si="27">IF(ISERROR(VLOOKUP($B187,일위11,12,FALSE)),0,VLOOKUP($B187,일위11,12,FALSE))</f>
        <v>0</v>
      </c>
      <c r="K187" s="928">
        <f t="shared" ref="K187:K195" si="28">INT(G187*J187)</f>
        <v>0</v>
      </c>
      <c r="L187" s="928">
        <f t="shared" ref="L187:L195" si="29">IF(ISERROR(VLOOKUP($B187,일위11,14,FALSE)),0,VLOOKUP($B187,일위11,14,FALSE))</f>
        <v>0</v>
      </c>
      <c r="M187" s="928">
        <f t="shared" ref="M187:M195" si="30">INT(G187*L187)</f>
        <v>0</v>
      </c>
      <c r="N187" s="928"/>
      <c r="O187" s="928">
        <f t="shared" ref="O187:O195" si="31">INT(I187+K187+M187)</f>
        <v>0</v>
      </c>
      <c r="P187" s="700">
        <f t="shared" ref="P187:P195" si="32">IF(ISERROR(VLOOKUP($B187,일위11,4,FALSE)),0,VLOOKUP($B187,일위11,4,FALSE))</f>
        <v>0</v>
      </c>
    </row>
    <row r="188" spans="2:16" ht="18" customHeight="1">
      <c r="B188" s="193" t="e">
        <f>#REF!</f>
        <v>#REF!</v>
      </c>
      <c r="C188" s="683"/>
      <c r="D188" s="928" t="e">
        <f>VLOOKUP($B188,#REF!,2,FALSE)</f>
        <v>#REF!</v>
      </c>
      <c r="E188" s="928" t="e">
        <f>VLOOKUP($B188,#REF!,3,FALSE)</f>
        <v>#REF!</v>
      </c>
      <c r="F188" s="699" t="e">
        <f>VLOOKUP($B188,#REF!,4,FALSE)</f>
        <v>#REF!</v>
      </c>
      <c r="G188" s="684">
        <f>'신호등 기초산출'!$X$61</f>
        <v>8.8000000000000007</v>
      </c>
      <c r="H188" s="928">
        <f t="shared" si="25"/>
        <v>0</v>
      </c>
      <c r="I188" s="928">
        <f t="shared" si="26"/>
        <v>0</v>
      </c>
      <c r="J188" s="928">
        <f t="shared" si="27"/>
        <v>0</v>
      </c>
      <c r="K188" s="928">
        <f t="shared" si="28"/>
        <v>0</v>
      </c>
      <c r="L188" s="928">
        <f t="shared" si="29"/>
        <v>0</v>
      </c>
      <c r="M188" s="928">
        <f t="shared" si="30"/>
        <v>0</v>
      </c>
      <c r="N188" s="928"/>
      <c r="O188" s="928">
        <f t="shared" si="31"/>
        <v>0</v>
      </c>
      <c r="P188" s="700">
        <f t="shared" si="32"/>
        <v>0</v>
      </c>
    </row>
    <row r="189" spans="2:16" ht="18" customHeight="1">
      <c r="B189" s="193" t="e">
        <f>#REF!</f>
        <v>#REF!</v>
      </c>
      <c r="C189" s="683"/>
      <c r="D189" s="928" t="e">
        <f>VLOOKUP($B189,#REF!,2,FALSE)</f>
        <v>#REF!</v>
      </c>
      <c r="E189" s="928" t="e">
        <f>VLOOKUP($B189,#REF!,3,FALSE)</f>
        <v>#REF!</v>
      </c>
      <c r="F189" s="699" t="e">
        <f>VLOOKUP($B189,#REF!,4,FALSE)</f>
        <v>#REF!</v>
      </c>
      <c r="G189" s="684">
        <f>'신호등 기초산출'!$X$63</f>
        <v>2.2599999999999998</v>
      </c>
      <c r="H189" s="928">
        <f t="shared" si="25"/>
        <v>0</v>
      </c>
      <c r="I189" s="928">
        <f t="shared" si="26"/>
        <v>0</v>
      </c>
      <c r="J189" s="928">
        <f t="shared" si="27"/>
        <v>0</v>
      </c>
      <c r="K189" s="928">
        <f t="shared" si="28"/>
        <v>0</v>
      </c>
      <c r="L189" s="928">
        <f t="shared" si="29"/>
        <v>0</v>
      </c>
      <c r="M189" s="928">
        <f t="shared" si="30"/>
        <v>0</v>
      </c>
      <c r="N189" s="928"/>
      <c r="O189" s="928">
        <f>INT(I189+K189+M189)</f>
        <v>0</v>
      </c>
      <c r="P189" s="700">
        <f t="shared" si="32"/>
        <v>0</v>
      </c>
    </row>
    <row r="190" spans="2:16" ht="18" customHeight="1">
      <c r="B190" s="193" t="e">
        <f>#REF!</f>
        <v>#REF!</v>
      </c>
      <c r="C190" s="683"/>
      <c r="D190" s="928" t="e">
        <f>VLOOKUP($B190,#REF!,2,FALSE)</f>
        <v>#REF!</v>
      </c>
      <c r="E190" s="928" t="e">
        <f>VLOOKUP($B190,#REF!,3,FALSE)</f>
        <v>#REF!</v>
      </c>
      <c r="F190" s="699" t="e">
        <f>VLOOKUP($B190,#REF!,4,FALSE)</f>
        <v>#REF!</v>
      </c>
      <c r="G190" s="684">
        <f>'신호등 기초산출'!$X$67</f>
        <v>2.2599999999999998</v>
      </c>
      <c r="H190" s="928">
        <f t="shared" si="25"/>
        <v>0</v>
      </c>
      <c r="I190" s="928">
        <f t="shared" si="26"/>
        <v>0</v>
      </c>
      <c r="J190" s="928">
        <f t="shared" si="27"/>
        <v>0</v>
      </c>
      <c r="K190" s="928">
        <f t="shared" si="28"/>
        <v>0</v>
      </c>
      <c r="L190" s="928">
        <f t="shared" si="29"/>
        <v>0</v>
      </c>
      <c r="M190" s="928">
        <f t="shared" si="30"/>
        <v>0</v>
      </c>
      <c r="N190" s="928"/>
      <c r="O190" s="928">
        <f t="shared" si="31"/>
        <v>0</v>
      </c>
      <c r="P190" s="700">
        <f t="shared" si="32"/>
        <v>0</v>
      </c>
    </row>
    <row r="191" spans="2:16" ht="18" customHeight="1">
      <c r="B191" s="193" t="str">
        <f>부록단가비교표!$A$5</f>
        <v>합판 거푸집6회</v>
      </c>
      <c r="C191" s="683"/>
      <c r="D191" s="928" t="str">
        <f>VLOOKUP($B191,부록단가비교표!$A:$K,2,FALSE)</f>
        <v>합판 거푸집</v>
      </c>
      <c r="E191" s="928" t="str">
        <f>VLOOKUP($B191,부록단가비교표!$A:$K,3,FALSE)</f>
        <v>6회</v>
      </c>
      <c r="F191" s="699" t="str">
        <f>VLOOKUP($B191,부록단가비교표!$A:$K,4,FALSE)</f>
        <v>㎡</v>
      </c>
      <c r="G191" s="684">
        <f>'신호등 기초산출'!$X$65</f>
        <v>8.1199999999999992</v>
      </c>
      <c r="H191" s="928">
        <f t="shared" si="25"/>
        <v>0</v>
      </c>
      <c r="I191" s="928">
        <f t="shared" si="26"/>
        <v>0</v>
      </c>
      <c r="J191" s="928">
        <f t="shared" si="27"/>
        <v>0</v>
      </c>
      <c r="K191" s="928">
        <f t="shared" si="28"/>
        <v>0</v>
      </c>
      <c r="L191" s="928">
        <f t="shared" si="29"/>
        <v>0</v>
      </c>
      <c r="M191" s="928">
        <f t="shared" si="30"/>
        <v>0</v>
      </c>
      <c r="N191" s="928"/>
      <c r="O191" s="928">
        <f t="shared" si="31"/>
        <v>0</v>
      </c>
      <c r="P191" s="700">
        <f t="shared" si="32"/>
        <v>0</v>
      </c>
    </row>
    <row r="192" spans="2:16" ht="18" customHeight="1">
      <c r="B192" s="193" t="e">
        <f>#REF!</f>
        <v>#REF!</v>
      </c>
      <c r="C192" s="683"/>
      <c r="D192" s="928" t="e">
        <f>VLOOKUP($B192,#REF!,2,FALSE)</f>
        <v>#REF!</v>
      </c>
      <c r="E192" s="928" t="e">
        <f>VLOOKUP($B192,#REF!,3,FALSE)</f>
        <v>#REF!</v>
      </c>
      <c r="F192" s="699" t="e">
        <f>VLOOKUP($B192,#REF!,4,FALSE)</f>
        <v>#REF!</v>
      </c>
      <c r="G192" s="684">
        <v>1</v>
      </c>
      <c r="H192" s="928">
        <f t="shared" si="25"/>
        <v>0</v>
      </c>
      <c r="I192" s="928">
        <f t="shared" si="26"/>
        <v>0</v>
      </c>
      <c r="J192" s="928">
        <f t="shared" si="27"/>
        <v>0</v>
      </c>
      <c r="K192" s="928">
        <f t="shared" si="28"/>
        <v>0</v>
      </c>
      <c r="L192" s="928">
        <f t="shared" si="29"/>
        <v>0</v>
      </c>
      <c r="M192" s="928">
        <f t="shared" si="30"/>
        <v>0</v>
      </c>
      <c r="N192" s="928"/>
      <c r="O192" s="928">
        <f t="shared" si="31"/>
        <v>0</v>
      </c>
      <c r="P192" s="700">
        <f t="shared" si="32"/>
        <v>0</v>
      </c>
    </row>
    <row r="193" spans="2:16" ht="18" customHeight="1">
      <c r="B193" s="193" t="e">
        <f>#REF!</f>
        <v>#REF!</v>
      </c>
      <c r="C193" s="683"/>
      <c r="D193" s="928" t="e">
        <f>VLOOKUP($B193,#REF!,2,FALSE)</f>
        <v>#REF!</v>
      </c>
      <c r="E193" s="928" t="e">
        <f>VLOOKUP($B193,#REF!,3,FALSE)</f>
        <v>#REF!</v>
      </c>
      <c r="F193" s="699" t="e">
        <f>VLOOKUP($B193,#REF!,4,FALSE)</f>
        <v>#REF!</v>
      </c>
      <c r="G193" s="684">
        <v>1</v>
      </c>
      <c r="H193" s="928">
        <f t="shared" si="25"/>
        <v>0</v>
      </c>
      <c r="I193" s="928">
        <f t="shared" si="26"/>
        <v>0</v>
      </c>
      <c r="J193" s="928">
        <f t="shared" si="27"/>
        <v>0</v>
      </c>
      <c r="K193" s="928">
        <f t="shared" si="28"/>
        <v>0</v>
      </c>
      <c r="L193" s="928">
        <f t="shared" si="29"/>
        <v>0</v>
      </c>
      <c r="M193" s="928">
        <f t="shared" si="30"/>
        <v>0</v>
      </c>
      <c r="N193" s="928"/>
      <c r="O193" s="928">
        <f t="shared" si="31"/>
        <v>0</v>
      </c>
      <c r="P193" s="700">
        <f t="shared" si="32"/>
        <v>0</v>
      </c>
    </row>
    <row r="194" spans="2:16" ht="18" customHeight="1">
      <c r="B194" s="193" t="e">
        <f>#REF!</f>
        <v>#REF!</v>
      </c>
      <c r="C194" s="683"/>
      <c r="D194" s="928" t="e">
        <f>VLOOKUP($B194,#REF!,2,FALSE)</f>
        <v>#REF!</v>
      </c>
      <c r="E194" s="928" t="e">
        <f>VLOOKUP($B194,#REF!,3,FALSE)</f>
        <v>#REF!</v>
      </c>
      <c r="F194" s="699" t="e">
        <f>VLOOKUP($B194,#REF!,4,FALSE)</f>
        <v>#REF!</v>
      </c>
      <c r="G194" s="684">
        <v>3</v>
      </c>
      <c r="H194" s="928">
        <f t="shared" si="25"/>
        <v>0</v>
      </c>
      <c r="I194" s="928">
        <f t="shared" si="26"/>
        <v>0</v>
      </c>
      <c r="J194" s="928">
        <f t="shared" si="27"/>
        <v>0</v>
      </c>
      <c r="K194" s="928">
        <f t="shared" si="28"/>
        <v>0</v>
      </c>
      <c r="L194" s="928">
        <f t="shared" si="29"/>
        <v>0</v>
      </c>
      <c r="M194" s="928">
        <f t="shared" si="30"/>
        <v>0</v>
      </c>
      <c r="N194" s="928"/>
      <c r="O194" s="928">
        <f t="shared" si="31"/>
        <v>0</v>
      </c>
      <c r="P194" s="700">
        <f t="shared" si="32"/>
        <v>0</v>
      </c>
    </row>
    <row r="195" spans="2:16" ht="18" customHeight="1">
      <c r="B195" s="193" t="e">
        <f>#REF!</f>
        <v>#REF!</v>
      </c>
      <c r="C195" s="683"/>
      <c r="D195" s="928" t="e">
        <f>VLOOKUP($B195,#REF!,2,FALSE)</f>
        <v>#REF!</v>
      </c>
      <c r="E195" s="928" t="e">
        <f>VLOOKUP($B195,#REF!,3,FALSE)</f>
        <v>#REF!</v>
      </c>
      <c r="F195" s="699" t="e">
        <f>VLOOKUP($B195,#REF!,4,FALSE)</f>
        <v>#REF!</v>
      </c>
      <c r="G195" s="684">
        <v>1</v>
      </c>
      <c r="H195" s="928">
        <f t="shared" si="25"/>
        <v>0</v>
      </c>
      <c r="I195" s="928">
        <f t="shared" si="26"/>
        <v>0</v>
      </c>
      <c r="J195" s="928">
        <f t="shared" si="27"/>
        <v>0</v>
      </c>
      <c r="K195" s="928">
        <f t="shared" si="28"/>
        <v>0</v>
      </c>
      <c r="L195" s="928">
        <f t="shared" si="29"/>
        <v>0</v>
      </c>
      <c r="M195" s="928">
        <f t="shared" si="30"/>
        <v>0</v>
      </c>
      <c r="N195" s="928"/>
      <c r="O195" s="928">
        <f t="shared" si="31"/>
        <v>0</v>
      </c>
      <c r="P195" s="700">
        <f t="shared" si="32"/>
        <v>0</v>
      </c>
    </row>
    <row r="196" spans="2:16" ht="18" customHeight="1">
      <c r="B196" s="193" t="str">
        <f>CONCATENATE(C185,D196)</f>
        <v>계</v>
      </c>
      <c r="C196" s="683"/>
      <c r="D196" s="928" t="s">
        <v>48</v>
      </c>
      <c r="E196" s="928"/>
      <c r="F196" s="699"/>
      <c r="G196" s="684"/>
      <c r="H196" s="928"/>
      <c r="I196" s="928">
        <f>SUM(I186:I195)</f>
        <v>0</v>
      </c>
      <c r="J196" s="928"/>
      <c r="K196" s="928">
        <f>SUM(K186:K195)</f>
        <v>0</v>
      </c>
      <c r="L196" s="928"/>
      <c r="M196" s="928">
        <f>SUM(M186:M195)</f>
        <v>0</v>
      </c>
      <c r="N196" s="928"/>
      <c r="O196" s="928">
        <f>INT(I196+K196+M196)</f>
        <v>0</v>
      </c>
      <c r="P196" s="700"/>
    </row>
    <row r="197" spans="2:16" ht="18" customHeight="1">
      <c r="C197" s="683"/>
      <c r="D197" s="928"/>
      <c r="E197" s="928"/>
      <c r="F197" s="699"/>
      <c r="G197" s="684"/>
      <c r="H197" s="928"/>
      <c r="I197" s="928"/>
      <c r="J197" s="928"/>
      <c r="K197" s="928"/>
      <c r="L197" s="928"/>
      <c r="M197" s="928"/>
      <c r="N197" s="928"/>
      <c r="O197" s="928"/>
      <c r="P197" s="700"/>
    </row>
    <row r="198" spans="2:16" ht="18" customHeight="1">
      <c r="C198" s="683"/>
      <c r="D198" s="928"/>
      <c r="E198" s="928"/>
      <c r="F198" s="928"/>
      <c r="G198" s="928"/>
      <c r="H198" s="928"/>
      <c r="I198" s="928"/>
      <c r="J198" s="928"/>
      <c r="K198" s="928"/>
      <c r="L198" s="928"/>
      <c r="M198" s="928"/>
      <c r="N198" s="928"/>
      <c r="O198" s="928"/>
      <c r="P198" s="685"/>
    </row>
    <row r="199" spans="2:16" ht="18" customHeight="1">
      <c r="B199" s="193">
        <f>C199</f>
        <v>0</v>
      </c>
      <c r="C199" s="728"/>
      <c r="D199" s="681" t="e">
        <f>D200</f>
        <v>#REF!</v>
      </c>
      <c r="E199" s="681" t="e">
        <f>E200</f>
        <v>#REF!</v>
      </c>
      <c r="F199" s="681" t="e">
        <f>F200</f>
        <v>#REF!</v>
      </c>
      <c r="G199" s="681"/>
      <c r="H199" s="681"/>
      <c r="I199" s="681"/>
      <c r="J199" s="681"/>
      <c r="K199" s="681"/>
      <c r="L199" s="681"/>
      <c r="M199" s="681"/>
      <c r="N199" s="681"/>
      <c r="O199" s="681"/>
      <c r="P199" s="730"/>
    </row>
    <row r="200" spans="2:16" ht="18" customHeight="1">
      <c r="B200" s="193" t="e">
        <f>#REF!</f>
        <v>#REF!</v>
      </c>
      <c r="C200" s="683"/>
      <c r="D200" s="928" t="e">
        <f>VLOOKUP($B200,#REF!,2,FALSE)</f>
        <v>#REF!</v>
      </c>
      <c r="E200" s="928" t="e">
        <f>VLOOKUP($B200,#REF!,3,FALSE)</f>
        <v>#REF!</v>
      </c>
      <c r="F200" s="699" t="e">
        <f>VLOOKUP($B200,#REF!,4,FALSE)</f>
        <v>#REF!</v>
      </c>
      <c r="G200" s="928">
        <v>1</v>
      </c>
      <c r="H200" s="928"/>
      <c r="I200" s="928"/>
      <c r="J200" s="928"/>
      <c r="K200" s="928"/>
      <c r="L200" s="928"/>
      <c r="M200" s="928"/>
      <c r="N200" s="928"/>
      <c r="O200" s="928"/>
      <c r="P200" s="700"/>
    </row>
    <row r="201" spans="2:16" ht="18" customHeight="1">
      <c r="B201" s="193" t="e">
        <f>#REF!</f>
        <v>#REF!</v>
      </c>
      <c r="C201" s="683"/>
      <c r="D201" s="928" t="e">
        <f>VLOOKUP($B201,#REF!,2,FALSE)</f>
        <v>#REF!</v>
      </c>
      <c r="E201" s="928" t="e">
        <f>VLOOKUP($B201,#REF!,3,FALSE)</f>
        <v>#REF!</v>
      </c>
      <c r="F201" s="699" t="s">
        <v>1037</v>
      </c>
      <c r="G201" s="684">
        <f>1.96*1.4*1.4</f>
        <v>3.8415999999999992</v>
      </c>
      <c r="H201" s="928" t="e">
        <f>#REF!</f>
        <v>#REF!</v>
      </c>
      <c r="I201" s="928" t="e">
        <f>INT(G201*H201)</f>
        <v>#REF!</v>
      </c>
      <c r="J201" s="928" t="e">
        <f>#REF!</f>
        <v>#REF!</v>
      </c>
      <c r="K201" s="928" t="e">
        <f>INT(G201*J201)</f>
        <v>#REF!</v>
      </c>
      <c r="L201" s="928" t="e">
        <f>#REF!</f>
        <v>#REF!</v>
      </c>
      <c r="M201" s="928" t="e">
        <f>INT(G201*L201)</f>
        <v>#REF!</v>
      </c>
      <c r="N201" s="928"/>
      <c r="O201" s="928" t="e">
        <f t="shared" ref="O201:O206" si="33">INT(I201+K201+M201)</f>
        <v>#REF!</v>
      </c>
      <c r="P201" s="700" t="s">
        <v>1067</v>
      </c>
    </row>
    <row r="202" spans="2:16" ht="18" customHeight="1">
      <c r="B202" s="193" t="e">
        <f>#REF!</f>
        <v>#REF!</v>
      </c>
      <c r="C202" s="683"/>
      <c r="D202" s="928" t="e">
        <f>VLOOKUP($B202,#REF!,2,FALSE)</f>
        <v>#REF!</v>
      </c>
      <c r="E202" s="928" t="e">
        <f>VLOOKUP($B202,#REF!,3,FALSE)</f>
        <v>#REF!</v>
      </c>
      <c r="F202" s="699" t="s">
        <v>1037</v>
      </c>
      <c r="G202" s="684">
        <f>G201</f>
        <v>3.8415999999999992</v>
      </c>
      <c r="H202" s="928" t="e">
        <f>#REF!</f>
        <v>#REF!</v>
      </c>
      <c r="I202" s="928" t="e">
        <f>INT(G202*H202)</f>
        <v>#REF!</v>
      </c>
      <c r="J202" s="928" t="e">
        <f>#REF!</f>
        <v>#REF!</v>
      </c>
      <c r="K202" s="928" t="e">
        <f>INT(G202*J202)</f>
        <v>#REF!</v>
      </c>
      <c r="L202" s="928" t="e">
        <f>#REF!</f>
        <v>#REF!</v>
      </c>
      <c r="M202" s="928" t="e">
        <f>INT(G202*L202)</f>
        <v>#REF!</v>
      </c>
      <c r="N202" s="928"/>
      <c r="O202" s="928" t="e">
        <f t="shared" si="33"/>
        <v>#REF!</v>
      </c>
      <c r="P202" s="700" t="s">
        <v>1067</v>
      </c>
    </row>
    <row r="203" spans="2:16" ht="18" customHeight="1">
      <c r="C203" s="690"/>
      <c r="D203" s="928" t="s">
        <v>1059</v>
      </c>
      <c r="E203" s="684" t="s">
        <v>1166</v>
      </c>
      <c r="F203" s="928" t="s">
        <v>1038</v>
      </c>
      <c r="G203" s="701">
        <f t="shared" ref="G203:G204" si="34">ROUNDDOWN(dhTextEvaluate(E203),3)</f>
        <v>1.92</v>
      </c>
      <c r="H203" s="928"/>
      <c r="I203" s="928">
        <f>INT(G203*H203)</f>
        <v>0</v>
      </c>
      <c r="J203" s="928" t="e">
        <f>VLOOKUP($D203,#REF!,2,FALSE)</f>
        <v>#REF!</v>
      </c>
      <c r="K203" s="928" t="e">
        <f>INT(G203*J203)</f>
        <v>#REF!</v>
      </c>
      <c r="L203" s="1606" t="s">
        <v>1290</v>
      </c>
      <c r="M203" s="1606"/>
      <c r="N203" s="928"/>
      <c r="O203" s="928" t="e">
        <f t="shared" si="33"/>
        <v>#REF!</v>
      </c>
      <c r="P203" s="700" t="s">
        <v>1067</v>
      </c>
    </row>
    <row r="204" spans="2:16" ht="18" customHeight="1">
      <c r="C204" s="690"/>
      <c r="D204" s="928" t="s">
        <v>1060</v>
      </c>
      <c r="E204" s="684" t="s">
        <v>1167</v>
      </c>
      <c r="F204" s="928" t="s">
        <v>1038</v>
      </c>
      <c r="G204" s="701">
        <f t="shared" si="34"/>
        <v>1.47</v>
      </c>
      <c r="H204" s="928"/>
      <c r="I204" s="928">
        <f>INT(G204*H204)</f>
        <v>0</v>
      </c>
      <c r="J204" s="928" t="e">
        <f>VLOOKUP($D204,#REF!,2,FALSE)</f>
        <v>#REF!</v>
      </c>
      <c r="K204" s="928" t="e">
        <f>INT(G204*J204)</f>
        <v>#REF!</v>
      </c>
      <c r="L204" s="1606" t="str">
        <f>L203</f>
        <v>Φ250초과:140%,11m이상:140%</v>
      </c>
      <c r="M204" s="1606"/>
      <c r="N204" s="928"/>
      <c r="O204" s="928" t="e">
        <f t="shared" si="33"/>
        <v>#REF!</v>
      </c>
      <c r="P204" s="700" t="s">
        <v>1067</v>
      </c>
    </row>
    <row r="205" spans="2:16" ht="18" customHeight="1">
      <c r="C205" s="683"/>
      <c r="D205" s="928" t="s">
        <v>104</v>
      </c>
      <c r="E205" s="928" t="s">
        <v>41</v>
      </c>
      <c r="F205" s="699" t="s">
        <v>100</v>
      </c>
      <c r="G205" s="684">
        <v>1</v>
      </c>
      <c r="H205" s="928" t="e">
        <f>INT(SUM(K203:K204)*0.03)</f>
        <v>#REF!</v>
      </c>
      <c r="I205" s="928" t="e">
        <f>INT(G205*H205)</f>
        <v>#REF!</v>
      </c>
      <c r="J205" s="928"/>
      <c r="K205" s="928"/>
      <c r="L205" s="928"/>
      <c r="M205" s="928"/>
      <c r="N205" s="928"/>
      <c r="O205" s="928" t="e">
        <f t="shared" si="33"/>
        <v>#REF!</v>
      </c>
      <c r="P205" s="700" t="s">
        <v>42</v>
      </c>
    </row>
    <row r="206" spans="2:16" ht="18" customHeight="1">
      <c r="B206" s="193" t="str">
        <f>C199&amp;"계"</f>
        <v>계</v>
      </c>
      <c r="C206" s="683"/>
      <c r="D206" s="928" t="s">
        <v>96</v>
      </c>
      <c r="E206" s="928"/>
      <c r="F206" s="928"/>
      <c r="G206" s="928"/>
      <c r="H206" s="928"/>
      <c r="I206" s="708" t="e">
        <f>SUM(I201:I205)</f>
        <v>#REF!</v>
      </c>
      <c r="J206" s="708"/>
      <c r="K206" s="708" t="e">
        <f>SUM(K201:K205)</f>
        <v>#REF!</v>
      </c>
      <c r="L206" s="928"/>
      <c r="M206" s="708" t="e">
        <f>SUM(M201:M205)</f>
        <v>#REF!</v>
      </c>
      <c r="N206" s="928"/>
      <c r="O206" s="928" t="e">
        <f t="shared" si="33"/>
        <v>#REF!</v>
      </c>
      <c r="P206" s="685"/>
    </row>
    <row r="207" spans="2:16" ht="18" customHeight="1">
      <c r="C207" s="683"/>
      <c r="D207" s="928"/>
      <c r="E207" s="928"/>
      <c r="F207" s="928"/>
      <c r="G207" s="928"/>
      <c r="H207" s="928"/>
      <c r="I207" s="708"/>
      <c r="J207" s="708"/>
      <c r="K207" s="708"/>
      <c r="L207" s="928"/>
      <c r="M207" s="708"/>
      <c r="N207" s="928"/>
      <c r="O207" s="928"/>
      <c r="P207" s="685"/>
    </row>
    <row r="208" spans="2:16" ht="18" customHeight="1">
      <c r="C208" s="683"/>
      <c r="D208" s="928"/>
      <c r="E208" s="928"/>
      <c r="F208" s="928"/>
      <c r="G208" s="928"/>
      <c r="H208" s="928"/>
      <c r="I208" s="708"/>
      <c r="J208" s="708"/>
      <c r="K208" s="708"/>
      <c r="L208" s="928"/>
      <c r="M208" s="708"/>
      <c r="N208" s="928"/>
      <c r="O208" s="928"/>
      <c r="P208" s="685"/>
    </row>
    <row r="209" spans="2:19" ht="18" customHeight="1">
      <c r="B209" s="193">
        <f>C209</f>
        <v>0</v>
      </c>
      <c r="C209" s="690"/>
      <c r="D209" s="928" t="e">
        <f>D210</f>
        <v>#REF!</v>
      </c>
      <c r="E209" s="928" t="e">
        <f>E210</f>
        <v>#REF!</v>
      </c>
      <c r="F209" s="928" t="e">
        <f>F210</f>
        <v>#REF!</v>
      </c>
      <c r="G209" s="928"/>
      <c r="H209" s="928"/>
      <c r="I209" s="928"/>
      <c r="J209" s="928"/>
      <c r="K209" s="928"/>
      <c r="L209" s="928"/>
      <c r="M209" s="928"/>
      <c r="N209" s="928"/>
      <c r="O209" s="928"/>
      <c r="P209" s="685"/>
    </row>
    <row r="210" spans="2:19" ht="18" customHeight="1">
      <c r="B210" s="193" t="e">
        <f>#REF!</f>
        <v>#REF!</v>
      </c>
      <c r="C210" s="683"/>
      <c r="D210" s="928" t="e">
        <f>VLOOKUP($B210,#REF!,2,FALSE)</f>
        <v>#REF!</v>
      </c>
      <c r="E210" s="928" t="e">
        <f>VLOOKUP($B210,#REF!,3,FALSE)</f>
        <v>#REF!</v>
      </c>
      <c r="F210" s="699" t="e">
        <f>VLOOKUP($B210,#REF!,4,FALSE)</f>
        <v>#REF!</v>
      </c>
      <c r="G210" s="684">
        <v>1</v>
      </c>
      <c r="H210" s="928"/>
      <c r="I210" s="928"/>
      <c r="J210" s="928"/>
      <c r="K210" s="928"/>
      <c r="L210" s="928"/>
      <c r="M210" s="928"/>
      <c r="N210" s="928"/>
      <c r="O210" s="928"/>
      <c r="P210" s="700"/>
    </row>
    <row r="211" spans="2:19" ht="18" customHeight="1">
      <c r="B211" s="193" t="e">
        <f>#REF!</f>
        <v>#REF!</v>
      </c>
      <c r="C211" s="683"/>
      <c r="D211" s="928" t="e">
        <f>VLOOKUP($B211,#REF!,2,FALSE)</f>
        <v>#REF!</v>
      </c>
      <c r="E211" s="928" t="e">
        <f>VLOOKUP($B211,#REF!,3,FALSE)</f>
        <v>#REF!</v>
      </c>
      <c r="F211" s="699" t="s">
        <v>1037</v>
      </c>
      <c r="G211" s="684">
        <f>1.96*(1+0.4)*1.4*1.4</f>
        <v>5.378239999999999</v>
      </c>
      <c r="H211" s="928" t="e">
        <f>#REF!</f>
        <v>#REF!</v>
      </c>
      <c r="I211" s="928" t="e">
        <f>INT(G211*H211)</f>
        <v>#REF!</v>
      </c>
      <c r="J211" s="928" t="e">
        <f>#REF!</f>
        <v>#REF!</v>
      </c>
      <c r="K211" s="928" t="e">
        <f>INT(G211*J211)</f>
        <v>#REF!</v>
      </c>
      <c r="L211" s="928" t="e">
        <f>#REF!</f>
        <v>#REF!</v>
      </c>
      <c r="M211" s="928" t="e">
        <f>INT(G211*L211)</f>
        <v>#REF!</v>
      </c>
      <c r="N211" s="928"/>
      <c r="O211" s="928" t="e">
        <f t="shared" ref="O211:O216" si="35">INT(I211+K211+M211)</f>
        <v>#REF!</v>
      </c>
      <c r="P211" s="700" t="s">
        <v>1067</v>
      </c>
    </row>
    <row r="212" spans="2:19" ht="18" customHeight="1">
      <c r="B212" s="193" t="e">
        <f>#REF!</f>
        <v>#REF!</v>
      </c>
      <c r="C212" s="683"/>
      <c r="D212" s="928" t="e">
        <f>VLOOKUP($B212,#REF!,2,FALSE)</f>
        <v>#REF!</v>
      </c>
      <c r="E212" s="928" t="e">
        <f>VLOOKUP($B212,#REF!,3,FALSE)</f>
        <v>#REF!</v>
      </c>
      <c r="F212" s="699" t="s">
        <v>1037</v>
      </c>
      <c r="G212" s="684">
        <f>G211</f>
        <v>5.378239999999999</v>
      </c>
      <c r="H212" s="928" t="e">
        <f>#REF!</f>
        <v>#REF!</v>
      </c>
      <c r="I212" s="928" t="e">
        <f>INT(G212*H212)</f>
        <v>#REF!</v>
      </c>
      <c r="J212" s="928" t="e">
        <f>#REF!</f>
        <v>#REF!</v>
      </c>
      <c r="K212" s="928" t="e">
        <f>INT(G212*J212)</f>
        <v>#REF!</v>
      </c>
      <c r="L212" s="928" t="e">
        <f>#REF!</f>
        <v>#REF!</v>
      </c>
      <c r="M212" s="928" t="e">
        <f>INT(G212*L212)</f>
        <v>#REF!</v>
      </c>
      <c r="N212" s="928"/>
      <c r="O212" s="928" t="e">
        <f t="shared" si="35"/>
        <v>#REF!</v>
      </c>
      <c r="P212" s="700" t="s">
        <v>1067</v>
      </c>
    </row>
    <row r="213" spans="2:19" ht="18" customHeight="1">
      <c r="C213" s="690"/>
      <c r="D213" s="928" t="s">
        <v>40</v>
      </c>
      <c r="E213" s="684" t="s">
        <v>1168</v>
      </c>
      <c r="F213" s="928" t="s">
        <v>47</v>
      </c>
      <c r="G213" s="701">
        <f t="shared" ref="G213:G214" si="36">ROUNDDOWN(dhTextEvaluate(E213),3)</f>
        <v>2.6890000000000001</v>
      </c>
      <c r="H213" s="928"/>
      <c r="I213" s="928">
        <f>INT(G213*H213)</f>
        <v>0</v>
      </c>
      <c r="J213" s="928" t="e">
        <f>VLOOKUP($D213,#REF!,2,FALSE)</f>
        <v>#REF!</v>
      </c>
      <c r="K213" s="928" t="e">
        <f>INT(G213*J213)</f>
        <v>#REF!</v>
      </c>
      <c r="L213" s="1606" t="s">
        <v>1519</v>
      </c>
      <c r="M213" s="1606"/>
      <c r="N213" s="928"/>
      <c r="O213" s="928" t="e">
        <f t="shared" si="35"/>
        <v>#REF!</v>
      </c>
      <c r="P213" s="700" t="s">
        <v>1067</v>
      </c>
      <c r="S213">
        <f>0.98*(1+40%+40%)</f>
        <v>1.7639999999999998</v>
      </c>
    </row>
    <row r="214" spans="2:19" ht="18" customHeight="1">
      <c r="C214" s="690"/>
      <c r="D214" s="928" t="s">
        <v>45</v>
      </c>
      <c r="E214" s="684" t="s">
        <v>1169</v>
      </c>
      <c r="F214" s="928" t="s">
        <v>47</v>
      </c>
      <c r="G214" s="701">
        <f t="shared" si="36"/>
        <v>2.0579999999999998</v>
      </c>
      <c r="H214" s="928"/>
      <c r="I214" s="928">
        <f>INT(G214*H214)</f>
        <v>0</v>
      </c>
      <c r="J214" s="928" t="e">
        <f>VLOOKUP($D214,#REF!,2,FALSE)</f>
        <v>#REF!</v>
      </c>
      <c r="K214" s="928" t="e">
        <f>INT(G214*J214)</f>
        <v>#REF!</v>
      </c>
      <c r="L214" s="1606" t="str">
        <f>L213</f>
        <v>부착대추가:40%가산,Φ250초과:140%,11m이상:140%</v>
      </c>
      <c r="M214" s="1606"/>
      <c r="N214" s="928"/>
      <c r="O214" s="928" t="e">
        <f t="shared" si="35"/>
        <v>#REF!</v>
      </c>
      <c r="P214" s="700" t="s">
        <v>1067</v>
      </c>
    </row>
    <row r="215" spans="2:19" ht="18" customHeight="1">
      <c r="C215" s="683"/>
      <c r="D215" s="928" t="s">
        <v>104</v>
      </c>
      <c r="E215" s="928" t="s">
        <v>41</v>
      </c>
      <c r="F215" s="699" t="s">
        <v>100</v>
      </c>
      <c r="G215" s="684">
        <v>1</v>
      </c>
      <c r="H215" s="928" t="e">
        <f>INT(SUM(K213:K214)*0.03)</f>
        <v>#REF!</v>
      </c>
      <c r="I215" s="928" t="e">
        <f>INT(G215*H215)</f>
        <v>#REF!</v>
      </c>
      <c r="J215" s="928"/>
      <c r="K215" s="928"/>
      <c r="L215" s="928"/>
      <c r="M215" s="928"/>
      <c r="N215" s="928"/>
      <c r="O215" s="928" t="e">
        <f t="shared" si="35"/>
        <v>#REF!</v>
      </c>
      <c r="P215" s="700" t="s">
        <v>42</v>
      </c>
    </row>
    <row r="216" spans="2:19" ht="18" customHeight="1">
      <c r="B216" s="193" t="str">
        <f>C209&amp;"계"</f>
        <v>계</v>
      </c>
      <c r="C216" s="683"/>
      <c r="D216" s="928" t="s">
        <v>96</v>
      </c>
      <c r="E216" s="928"/>
      <c r="F216" s="928"/>
      <c r="G216" s="928"/>
      <c r="H216" s="928"/>
      <c r="I216" s="708" t="e">
        <f>SUM(I211:I215)</f>
        <v>#REF!</v>
      </c>
      <c r="J216" s="708"/>
      <c r="K216" s="708" t="e">
        <f>SUM(K211:K215)</f>
        <v>#REF!</v>
      </c>
      <c r="L216" s="928"/>
      <c r="M216" s="708" t="e">
        <f>SUM(M211:M215)</f>
        <v>#REF!</v>
      </c>
      <c r="N216" s="928"/>
      <c r="O216" s="928" t="e">
        <f t="shared" si="35"/>
        <v>#REF!</v>
      </c>
      <c r="P216" s="685"/>
    </row>
    <row r="217" spans="2:19" ht="18" customHeight="1">
      <c r="C217" s="683"/>
      <c r="D217" s="928"/>
      <c r="E217" s="928"/>
      <c r="F217" s="928"/>
      <c r="G217" s="928"/>
      <c r="H217" s="928"/>
      <c r="I217" s="708"/>
      <c r="J217" s="708"/>
      <c r="K217" s="708"/>
      <c r="L217" s="928"/>
      <c r="M217" s="708"/>
      <c r="N217" s="928"/>
      <c r="O217" s="928"/>
      <c r="P217" s="685"/>
    </row>
    <row r="218" spans="2:19" ht="18" customHeight="1">
      <c r="C218" s="683"/>
      <c r="D218" s="928"/>
      <c r="E218" s="928"/>
      <c r="F218" s="928"/>
      <c r="G218" s="928"/>
      <c r="H218" s="928"/>
      <c r="I218" s="928"/>
      <c r="J218" s="928"/>
      <c r="K218" s="928"/>
      <c r="L218" s="928"/>
      <c r="M218" s="928"/>
      <c r="N218" s="928"/>
      <c r="O218" s="928"/>
      <c r="P218" s="685"/>
    </row>
    <row r="219" spans="2:19" ht="18" customHeight="1">
      <c r="B219" s="193">
        <f>C219</f>
        <v>0</v>
      </c>
      <c r="C219" s="728"/>
      <c r="D219" s="681" t="e">
        <f>D220</f>
        <v>#REF!</v>
      </c>
      <c r="E219" s="681" t="e">
        <f>E220</f>
        <v>#REF!</v>
      </c>
      <c r="F219" s="681" t="e">
        <f>F220</f>
        <v>#REF!</v>
      </c>
      <c r="G219" s="681"/>
      <c r="H219" s="681"/>
      <c r="I219" s="681"/>
      <c r="J219" s="681"/>
      <c r="K219" s="681"/>
      <c r="L219" s="681"/>
      <c r="M219" s="681"/>
      <c r="N219" s="681"/>
      <c r="O219" s="681"/>
      <c r="P219" s="730"/>
    </row>
    <row r="220" spans="2:19" ht="18" customHeight="1">
      <c r="B220" s="193" t="e">
        <f>#REF!</f>
        <v>#REF!</v>
      </c>
      <c r="C220" s="683"/>
      <c r="D220" s="928" t="e">
        <f>VLOOKUP($B220,#REF!,2,FALSE)</f>
        <v>#REF!</v>
      </c>
      <c r="E220" s="928" t="e">
        <f>VLOOKUP($B220,#REF!,3,FALSE)</f>
        <v>#REF!</v>
      </c>
      <c r="F220" s="699" t="e">
        <f>VLOOKUP($B220,#REF!,4,FALSE)</f>
        <v>#REF!</v>
      </c>
      <c r="G220" s="684">
        <v>1</v>
      </c>
      <c r="H220" s="928"/>
      <c r="I220" s="928"/>
      <c r="J220" s="928"/>
      <c r="K220" s="928"/>
      <c r="L220" s="928"/>
      <c r="M220" s="928"/>
      <c r="N220" s="928"/>
      <c r="O220" s="928"/>
      <c r="P220" s="700"/>
    </row>
    <row r="221" spans="2:19" ht="18" customHeight="1">
      <c r="B221" s="193" t="e">
        <f>#REF!</f>
        <v>#REF!</v>
      </c>
      <c r="C221" s="683"/>
      <c r="D221" s="928" t="e">
        <f>VLOOKUP($B221,#REF!,2,FALSE)</f>
        <v>#REF!</v>
      </c>
      <c r="E221" s="928" t="e">
        <f>VLOOKUP($B221,#REF!,3,FALSE)</f>
        <v>#REF!</v>
      </c>
      <c r="F221" s="699" t="s">
        <v>1037</v>
      </c>
      <c r="G221" s="684">
        <f>1.96*1.4*1.4*0.8</f>
        <v>3.0732799999999996</v>
      </c>
      <c r="H221" s="928" t="e">
        <f>#REF!</f>
        <v>#REF!</v>
      </c>
      <c r="I221" s="928" t="e">
        <f>INT(G221*H221)</f>
        <v>#REF!</v>
      </c>
      <c r="J221" s="928" t="e">
        <f>#REF!</f>
        <v>#REF!</v>
      </c>
      <c r="K221" s="928" t="e">
        <f>INT(G221*J221)</f>
        <v>#REF!</v>
      </c>
      <c r="L221" s="928" t="e">
        <f>#REF!</f>
        <v>#REF!</v>
      </c>
      <c r="M221" s="928" t="e">
        <f>INT(G221*L221)</f>
        <v>#REF!</v>
      </c>
      <c r="N221" s="928"/>
      <c r="O221" s="928" t="e">
        <f t="shared" ref="O221:O226" si="37">INT(I221+K221+M221)</f>
        <v>#REF!</v>
      </c>
      <c r="P221" s="700" t="s">
        <v>1067</v>
      </c>
    </row>
    <row r="222" spans="2:19" ht="18" customHeight="1">
      <c r="B222" s="193" t="e">
        <f>#REF!</f>
        <v>#REF!</v>
      </c>
      <c r="C222" s="683"/>
      <c r="D222" s="928" t="e">
        <f>VLOOKUP($B222,#REF!,2,FALSE)</f>
        <v>#REF!</v>
      </c>
      <c r="E222" s="928" t="e">
        <f>VLOOKUP($B222,#REF!,3,FALSE)</f>
        <v>#REF!</v>
      </c>
      <c r="F222" s="699" t="s">
        <v>1037</v>
      </c>
      <c r="G222" s="684">
        <f>G221</f>
        <v>3.0732799999999996</v>
      </c>
      <c r="H222" s="928" t="e">
        <f>#REF!</f>
        <v>#REF!</v>
      </c>
      <c r="I222" s="928" t="e">
        <f>INT(G222*H222)</f>
        <v>#REF!</v>
      </c>
      <c r="J222" s="928" t="e">
        <f>#REF!</f>
        <v>#REF!</v>
      </c>
      <c r="K222" s="928" t="e">
        <f>INT(G222*J222)</f>
        <v>#REF!</v>
      </c>
      <c r="L222" s="928" t="e">
        <f>#REF!</f>
        <v>#REF!</v>
      </c>
      <c r="M222" s="928" t="e">
        <f>INT(G222*L222)</f>
        <v>#REF!</v>
      </c>
      <c r="N222" s="928"/>
      <c r="O222" s="928" t="e">
        <f t="shared" si="37"/>
        <v>#REF!</v>
      </c>
      <c r="P222" s="700" t="s">
        <v>1067</v>
      </c>
    </row>
    <row r="223" spans="2:19" ht="18" customHeight="1">
      <c r="C223" s="690"/>
      <c r="D223" s="928" t="s">
        <v>1156</v>
      </c>
      <c r="E223" s="684" t="s">
        <v>1157</v>
      </c>
      <c r="F223" s="928" t="s">
        <v>47</v>
      </c>
      <c r="G223" s="701">
        <f t="shared" ref="G223:G224" si="38">ROUNDDOWN(dhTextEvaluate(E223),3)</f>
        <v>1.536</v>
      </c>
      <c r="H223" s="928"/>
      <c r="I223" s="928">
        <f>INT(G223*H223)</f>
        <v>0</v>
      </c>
      <c r="J223" s="928" t="e">
        <f>VLOOKUP($D223,#REF!,2,FALSE)</f>
        <v>#REF!</v>
      </c>
      <c r="K223" s="928" t="e">
        <f>INT(G223*J223)</f>
        <v>#REF!</v>
      </c>
      <c r="L223" s="1606" t="s">
        <v>1291</v>
      </c>
      <c r="M223" s="1606"/>
      <c r="N223" s="928"/>
      <c r="O223" s="928" t="e">
        <f t="shared" si="37"/>
        <v>#REF!</v>
      </c>
      <c r="P223" s="700" t="s">
        <v>1067</v>
      </c>
      <c r="S223">
        <f>0.98*(1+40%+40%)</f>
        <v>1.7639999999999998</v>
      </c>
    </row>
    <row r="224" spans="2:19" ht="18" customHeight="1">
      <c r="C224" s="690"/>
      <c r="D224" s="928" t="s">
        <v>1158</v>
      </c>
      <c r="E224" s="684" t="s">
        <v>1159</v>
      </c>
      <c r="F224" s="928" t="s">
        <v>47</v>
      </c>
      <c r="G224" s="701">
        <f t="shared" si="38"/>
        <v>1.1759999999999999</v>
      </c>
      <c r="H224" s="928"/>
      <c r="I224" s="928">
        <f>INT(G224*H224)</f>
        <v>0</v>
      </c>
      <c r="J224" s="928" t="e">
        <f>VLOOKUP($D224,#REF!,2,FALSE)</f>
        <v>#REF!</v>
      </c>
      <c r="K224" s="928" t="e">
        <f>INT(G224*J224)</f>
        <v>#REF!</v>
      </c>
      <c r="L224" s="1606" t="str">
        <f>L223</f>
        <v>Φ250초과:140%,11m이상:140%,재사용철거:80%</v>
      </c>
      <c r="M224" s="1606"/>
      <c r="N224" s="928"/>
      <c r="O224" s="928" t="e">
        <f t="shared" si="37"/>
        <v>#REF!</v>
      </c>
      <c r="P224" s="700" t="s">
        <v>1067</v>
      </c>
    </row>
    <row r="225" spans="2:19" ht="18" customHeight="1">
      <c r="C225" s="683"/>
      <c r="D225" s="928" t="s">
        <v>104</v>
      </c>
      <c r="E225" s="928" t="s">
        <v>41</v>
      </c>
      <c r="F225" s="699" t="s">
        <v>100</v>
      </c>
      <c r="G225" s="684">
        <v>1</v>
      </c>
      <c r="H225" s="928" t="e">
        <f>INT(SUM(K223:K224)*0.03)</f>
        <v>#REF!</v>
      </c>
      <c r="I225" s="928" t="e">
        <f>INT(G225*H225)</f>
        <v>#REF!</v>
      </c>
      <c r="J225" s="928"/>
      <c r="K225" s="928"/>
      <c r="L225" s="928"/>
      <c r="M225" s="928"/>
      <c r="N225" s="928"/>
      <c r="O225" s="928" t="e">
        <f t="shared" si="37"/>
        <v>#REF!</v>
      </c>
      <c r="P225" s="700" t="s">
        <v>42</v>
      </c>
    </row>
    <row r="226" spans="2:19" ht="18" customHeight="1">
      <c r="B226" s="193" t="str">
        <f>C219&amp;"계"</f>
        <v>계</v>
      </c>
      <c r="C226" s="683"/>
      <c r="D226" s="928" t="s">
        <v>96</v>
      </c>
      <c r="E226" s="928"/>
      <c r="F226" s="928"/>
      <c r="G226" s="928"/>
      <c r="H226" s="928"/>
      <c r="I226" s="708" t="e">
        <f>SUM(I221:I225)</f>
        <v>#REF!</v>
      </c>
      <c r="J226" s="708"/>
      <c r="K226" s="708" t="e">
        <f>SUM(K221:K225)</f>
        <v>#REF!</v>
      </c>
      <c r="L226" s="928"/>
      <c r="M226" s="708" t="e">
        <f>SUM(M221:M225)</f>
        <v>#REF!</v>
      </c>
      <c r="N226" s="928"/>
      <c r="O226" s="928" t="e">
        <f t="shared" si="37"/>
        <v>#REF!</v>
      </c>
      <c r="P226" s="685"/>
    </row>
    <row r="227" spans="2:19" ht="18" customHeight="1">
      <c r="C227" s="683"/>
      <c r="D227" s="928"/>
      <c r="E227" s="928"/>
      <c r="F227" s="928"/>
      <c r="G227" s="928"/>
      <c r="H227" s="928"/>
      <c r="I227" s="708"/>
      <c r="J227" s="708"/>
      <c r="K227" s="708"/>
      <c r="L227" s="928"/>
      <c r="M227" s="708"/>
      <c r="N227" s="928"/>
      <c r="O227" s="928"/>
      <c r="P227" s="685"/>
    </row>
    <row r="228" spans="2:19" ht="18" customHeight="1">
      <c r="C228" s="683"/>
      <c r="D228" s="928"/>
      <c r="E228" s="928"/>
      <c r="F228" s="928"/>
      <c r="G228" s="928"/>
      <c r="H228" s="928"/>
      <c r="I228" s="708"/>
      <c r="J228" s="708"/>
      <c r="K228" s="708"/>
      <c r="L228" s="928"/>
      <c r="M228" s="708"/>
      <c r="N228" s="928"/>
      <c r="O228" s="928"/>
      <c r="P228" s="685"/>
    </row>
    <row r="229" spans="2:19" ht="18" customHeight="1">
      <c r="C229" s="683"/>
      <c r="D229" s="928"/>
      <c r="E229" s="928"/>
      <c r="F229" s="928"/>
      <c r="G229" s="928"/>
      <c r="H229" s="928"/>
      <c r="I229" s="708"/>
      <c r="J229" s="708"/>
      <c r="K229" s="708"/>
      <c r="L229" s="928"/>
      <c r="M229" s="708"/>
      <c r="N229" s="928"/>
      <c r="O229" s="928"/>
      <c r="P229" s="685"/>
    </row>
    <row r="230" spans="2:19" ht="18" customHeight="1">
      <c r="B230" s="193">
        <f>C230</f>
        <v>0</v>
      </c>
      <c r="C230" s="690"/>
      <c r="D230" s="928" t="e">
        <f>D231</f>
        <v>#REF!</v>
      </c>
      <c r="E230" s="928" t="e">
        <f>E231</f>
        <v>#REF!</v>
      </c>
      <c r="F230" s="928" t="e">
        <f>F231</f>
        <v>#REF!</v>
      </c>
      <c r="G230" s="928"/>
      <c r="H230" s="928"/>
      <c r="I230" s="928"/>
      <c r="J230" s="928"/>
      <c r="K230" s="928"/>
      <c r="L230" s="928"/>
      <c r="M230" s="928"/>
      <c r="N230" s="928"/>
      <c r="O230" s="928"/>
      <c r="P230" s="685"/>
    </row>
    <row r="231" spans="2:19" ht="18" customHeight="1">
      <c r="B231" s="193" t="e">
        <f>#REF!</f>
        <v>#REF!</v>
      </c>
      <c r="C231" s="683"/>
      <c r="D231" s="928" t="e">
        <f>VLOOKUP($B231,#REF!,2,FALSE)</f>
        <v>#REF!</v>
      </c>
      <c r="E231" s="928" t="e">
        <f>VLOOKUP($B231,#REF!,3,FALSE)</f>
        <v>#REF!</v>
      </c>
      <c r="F231" s="699" t="e">
        <f>VLOOKUP($B231,#REF!,4,FALSE)</f>
        <v>#REF!</v>
      </c>
      <c r="G231" s="684">
        <v>1</v>
      </c>
      <c r="H231" s="928"/>
      <c r="I231" s="928"/>
      <c r="J231" s="928"/>
      <c r="K231" s="928"/>
      <c r="L231" s="928"/>
      <c r="M231" s="928"/>
      <c r="N231" s="928"/>
      <c r="O231" s="928"/>
      <c r="P231" s="700"/>
    </row>
    <row r="232" spans="2:19" ht="18" customHeight="1">
      <c r="B232" s="193" t="e">
        <f>#REF!</f>
        <v>#REF!</v>
      </c>
      <c r="C232" s="683"/>
      <c r="D232" s="928" t="e">
        <f>VLOOKUP($B232,#REF!,2,FALSE)</f>
        <v>#REF!</v>
      </c>
      <c r="E232" s="928" t="e">
        <f>VLOOKUP($B232,#REF!,3,FALSE)</f>
        <v>#REF!</v>
      </c>
      <c r="F232" s="699" t="s">
        <v>1037</v>
      </c>
      <c r="G232" s="684">
        <f>1.96*(1+0.4)*1.4*1.4*0.8</f>
        <v>4.3025919999999998</v>
      </c>
      <c r="H232" s="928" t="e">
        <f>#REF!</f>
        <v>#REF!</v>
      </c>
      <c r="I232" s="928" t="e">
        <f>INT(G232*H232)</f>
        <v>#REF!</v>
      </c>
      <c r="J232" s="928" t="e">
        <f>#REF!</f>
        <v>#REF!</v>
      </c>
      <c r="K232" s="928" t="e">
        <f>INT(G232*J232)</f>
        <v>#REF!</v>
      </c>
      <c r="L232" s="928" t="e">
        <f>#REF!</f>
        <v>#REF!</v>
      </c>
      <c r="M232" s="928" t="e">
        <f>INT(G232*L232)</f>
        <v>#REF!</v>
      </c>
      <c r="N232" s="928"/>
      <c r="O232" s="928" t="e">
        <f t="shared" ref="O232:O237" si="39">INT(I232+K232+M232)</f>
        <v>#REF!</v>
      </c>
      <c r="P232" s="700" t="s">
        <v>1067</v>
      </c>
    </row>
    <row r="233" spans="2:19" ht="18" customHeight="1">
      <c r="B233" s="193" t="e">
        <f>#REF!</f>
        <v>#REF!</v>
      </c>
      <c r="C233" s="683"/>
      <c r="D233" s="928" t="e">
        <f>VLOOKUP($B233,#REF!,2,FALSE)</f>
        <v>#REF!</v>
      </c>
      <c r="E233" s="928" t="e">
        <f>VLOOKUP($B233,#REF!,3,FALSE)</f>
        <v>#REF!</v>
      </c>
      <c r="F233" s="699" t="s">
        <v>1037</v>
      </c>
      <c r="G233" s="684">
        <f>G232</f>
        <v>4.3025919999999998</v>
      </c>
      <c r="H233" s="928" t="e">
        <f>#REF!</f>
        <v>#REF!</v>
      </c>
      <c r="I233" s="928" t="e">
        <f>INT(G233*H233)</f>
        <v>#REF!</v>
      </c>
      <c r="J233" s="928" t="e">
        <f>#REF!</f>
        <v>#REF!</v>
      </c>
      <c r="K233" s="928" t="e">
        <f>INT(G233*J233)</f>
        <v>#REF!</v>
      </c>
      <c r="L233" s="928" t="e">
        <f>#REF!</f>
        <v>#REF!</v>
      </c>
      <c r="M233" s="928" t="e">
        <f>INT(G233*L233)</f>
        <v>#REF!</v>
      </c>
      <c r="N233" s="928"/>
      <c r="O233" s="928" t="e">
        <f t="shared" si="39"/>
        <v>#REF!</v>
      </c>
      <c r="P233" s="700" t="s">
        <v>1067</v>
      </c>
    </row>
    <row r="234" spans="2:19" ht="18" customHeight="1">
      <c r="C234" s="690"/>
      <c r="D234" s="928" t="s">
        <v>1156</v>
      </c>
      <c r="E234" s="684" t="s">
        <v>1160</v>
      </c>
      <c r="F234" s="928" t="s">
        <v>47</v>
      </c>
      <c r="G234" s="701">
        <f t="shared" ref="G234:G235" si="40">ROUNDDOWN(dhTextEvaluate(E234),3)</f>
        <v>2.1509999999999998</v>
      </c>
      <c r="H234" s="928"/>
      <c r="I234" s="928">
        <f>INT(G234*H234)</f>
        <v>0</v>
      </c>
      <c r="J234" s="928" t="e">
        <f>VLOOKUP($D234,#REF!,2,FALSE)</f>
        <v>#REF!</v>
      </c>
      <c r="K234" s="928" t="e">
        <f>INT(G234*J234)</f>
        <v>#REF!</v>
      </c>
      <c r="L234" s="1606" t="s">
        <v>1520</v>
      </c>
      <c r="M234" s="1606"/>
      <c r="N234" s="928"/>
      <c r="O234" s="928" t="e">
        <f t="shared" si="39"/>
        <v>#REF!</v>
      </c>
      <c r="P234" s="700" t="s">
        <v>1067</v>
      </c>
      <c r="S234">
        <f>0.98*(1+40%+40%)</f>
        <v>1.7639999999999998</v>
      </c>
    </row>
    <row r="235" spans="2:19" ht="18" customHeight="1">
      <c r="C235" s="690"/>
      <c r="D235" s="928" t="s">
        <v>1158</v>
      </c>
      <c r="E235" s="684" t="s">
        <v>1161</v>
      </c>
      <c r="F235" s="928" t="s">
        <v>47</v>
      </c>
      <c r="G235" s="701">
        <f t="shared" si="40"/>
        <v>1.6459999999999999</v>
      </c>
      <c r="H235" s="928"/>
      <c r="I235" s="928">
        <f>INT(G235*H235)</f>
        <v>0</v>
      </c>
      <c r="J235" s="928" t="e">
        <f>VLOOKUP($D235,#REF!,2,FALSE)</f>
        <v>#REF!</v>
      </c>
      <c r="K235" s="928" t="e">
        <f>INT(G235*J235)</f>
        <v>#REF!</v>
      </c>
      <c r="L235" s="1606" t="str">
        <f>L234</f>
        <v>부착대추가:40%가산,Φ250초과:140%,11m이상:140%,재사용철거:80%</v>
      </c>
      <c r="M235" s="1606"/>
      <c r="N235" s="928"/>
      <c r="O235" s="928" t="e">
        <f t="shared" si="39"/>
        <v>#REF!</v>
      </c>
      <c r="P235" s="700" t="s">
        <v>1067</v>
      </c>
    </row>
    <row r="236" spans="2:19" ht="18" customHeight="1">
      <c r="C236" s="683"/>
      <c r="D236" s="928" t="s">
        <v>104</v>
      </c>
      <c r="E236" s="928" t="s">
        <v>41</v>
      </c>
      <c r="F236" s="699" t="s">
        <v>100</v>
      </c>
      <c r="G236" s="684">
        <v>1</v>
      </c>
      <c r="H236" s="928" t="e">
        <f>INT(SUM(K234:K235)*0.03)</f>
        <v>#REF!</v>
      </c>
      <c r="I236" s="928" t="e">
        <f>INT(G236*H236)</f>
        <v>#REF!</v>
      </c>
      <c r="J236" s="928"/>
      <c r="K236" s="928"/>
      <c r="L236" s="928"/>
      <c r="M236" s="928"/>
      <c r="N236" s="928"/>
      <c r="O236" s="928" t="e">
        <f t="shared" si="39"/>
        <v>#REF!</v>
      </c>
      <c r="P236" s="700" t="s">
        <v>42</v>
      </c>
    </row>
    <row r="237" spans="2:19" ht="18" customHeight="1">
      <c r="B237" s="193" t="str">
        <f>C230&amp;"계"</f>
        <v>계</v>
      </c>
      <c r="C237" s="683"/>
      <c r="D237" s="928" t="s">
        <v>96</v>
      </c>
      <c r="E237" s="928"/>
      <c r="F237" s="928"/>
      <c r="G237" s="928"/>
      <c r="H237" s="928"/>
      <c r="I237" s="708" t="e">
        <f>SUM(I232:I236)</f>
        <v>#REF!</v>
      </c>
      <c r="J237" s="708"/>
      <c r="K237" s="708" t="e">
        <f>SUM(K232:K236)</f>
        <v>#REF!</v>
      </c>
      <c r="L237" s="928"/>
      <c r="M237" s="708" t="e">
        <f>SUM(M232:M236)</f>
        <v>#REF!</v>
      </c>
      <c r="N237" s="928"/>
      <c r="O237" s="928" t="e">
        <f t="shared" si="39"/>
        <v>#REF!</v>
      </c>
      <c r="P237" s="685"/>
    </row>
    <row r="238" spans="2:19" ht="18" customHeight="1">
      <c r="C238" s="683"/>
      <c r="D238" s="928"/>
      <c r="E238" s="928"/>
      <c r="F238" s="928"/>
      <c r="G238" s="928"/>
      <c r="H238" s="928"/>
      <c r="I238" s="708"/>
      <c r="J238" s="708"/>
      <c r="K238" s="708"/>
      <c r="L238" s="928"/>
      <c r="M238" s="708"/>
      <c r="N238" s="928"/>
      <c r="O238" s="928"/>
      <c r="P238" s="685"/>
    </row>
    <row r="239" spans="2:19" ht="18" customHeight="1">
      <c r="C239" s="683"/>
      <c r="D239" s="928"/>
      <c r="E239" s="928"/>
      <c r="F239" s="928"/>
      <c r="G239" s="928"/>
      <c r="H239" s="928"/>
      <c r="I239" s="928"/>
      <c r="J239" s="928"/>
      <c r="K239" s="928"/>
      <c r="L239" s="928"/>
      <c r="M239" s="928"/>
      <c r="N239" s="928"/>
      <c r="O239" s="928"/>
      <c r="P239" s="685"/>
    </row>
    <row r="240" spans="2:19" ht="18" customHeight="1">
      <c r="B240" s="193">
        <f>C240</f>
        <v>0</v>
      </c>
      <c r="C240" s="690"/>
      <c r="D240" s="928" t="e">
        <f>D241</f>
        <v>#REF!</v>
      </c>
      <c r="E240" s="928" t="e">
        <f>E241</f>
        <v>#REF!</v>
      </c>
      <c r="F240" s="928" t="e">
        <f>F241</f>
        <v>#REF!</v>
      </c>
      <c r="G240" s="928"/>
      <c r="H240" s="928"/>
      <c r="I240" s="928"/>
      <c r="J240" s="928"/>
      <c r="K240" s="928"/>
      <c r="L240" s="928"/>
      <c r="M240" s="928"/>
      <c r="N240" s="928"/>
      <c r="O240" s="928"/>
      <c r="P240" s="685"/>
    </row>
    <row r="241" spans="2:16" ht="18" customHeight="1">
      <c r="B241" s="193" t="e">
        <f>#REF!</f>
        <v>#REF!</v>
      </c>
      <c r="C241" s="683"/>
      <c r="D241" s="928" t="e">
        <f>VLOOKUP($B241,#REF!,2,FALSE)</f>
        <v>#REF!</v>
      </c>
      <c r="E241" s="928" t="e">
        <f>VLOOKUP($B241,#REF!,3,FALSE)</f>
        <v>#REF!</v>
      </c>
      <c r="F241" s="928" t="e">
        <f>VLOOKUP($B241,#REF!,4,FALSE)</f>
        <v>#REF!</v>
      </c>
      <c r="G241" s="684">
        <v>1.03</v>
      </c>
      <c r="H241" s="928" t="e">
        <f>VLOOKUP($B241,#REF!,11,FALSE)</f>
        <v>#REF!</v>
      </c>
      <c r="I241" s="928" t="e">
        <f>INT(G241*H241)</f>
        <v>#REF!</v>
      </c>
      <c r="J241" s="928"/>
      <c r="K241" s="928"/>
      <c r="L241" s="928"/>
      <c r="M241" s="928"/>
      <c r="N241" s="928"/>
      <c r="O241" s="928" t="e">
        <f t="shared" ref="O241:O246" si="41">INT(I241+K241+M241)</f>
        <v>#REF!</v>
      </c>
      <c r="P241" s="685" t="s">
        <v>155</v>
      </c>
    </row>
    <row r="242" spans="2:16" ht="18" customHeight="1">
      <c r="C242" s="686"/>
      <c r="D242" s="929" t="s">
        <v>31</v>
      </c>
      <c r="E242" s="3" t="s">
        <v>1288</v>
      </c>
      <c r="F242" s="929" t="s">
        <v>29</v>
      </c>
      <c r="G242" s="929">
        <v>1</v>
      </c>
      <c r="H242" s="929" t="e">
        <f>INT(H241*0.02)</f>
        <v>#REF!</v>
      </c>
      <c r="I242" s="929" t="e">
        <f>INT(G242*H242)</f>
        <v>#REF!</v>
      </c>
      <c r="J242" s="929"/>
      <c r="K242" s="929"/>
      <c r="L242" s="929"/>
      <c r="M242" s="687"/>
      <c r="N242" s="929"/>
      <c r="O242" s="928" t="e">
        <f t="shared" si="41"/>
        <v>#REF!</v>
      </c>
      <c r="P242" s="685" t="s">
        <v>32</v>
      </c>
    </row>
    <row r="243" spans="2:16" ht="18" customHeight="1">
      <c r="C243" s="683"/>
      <c r="D243" s="928" t="s">
        <v>43</v>
      </c>
      <c r="E243" s="688" t="s">
        <v>1061</v>
      </c>
      <c r="F243" s="928" t="s">
        <v>102</v>
      </c>
      <c r="G243" s="688">
        <f>ROUNDDOWN(dhTextEvaluate(E243),3)</f>
        <v>8.0000000000000002E-3</v>
      </c>
      <c r="H243" s="928"/>
      <c r="I243" s="928"/>
      <c r="J243" s="928" t="e">
        <f>VLOOKUP($D243,#REF!,2,FALSE)</f>
        <v>#REF!</v>
      </c>
      <c r="K243" s="928" t="e">
        <f>INT(G243*J243)</f>
        <v>#REF!</v>
      </c>
      <c r="L243" s="1606" t="s">
        <v>1513</v>
      </c>
      <c r="M243" s="1606"/>
      <c r="N243" s="928"/>
      <c r="O243" s="928" t="e">
        <f t="shared" si="41"/>
        <v>#REF!</v>
      </c>
      <c r="P243" s="685" t="s">
        <v>44</v>
      </c>
    </row>
    <row r="244" spans="2:16" ht="18" customHeight="1">
      <c r="C244" s="683"/>
      <c r="D244" s="928" t="s">
        <v>45</v>
      </c>
      <c r="E244" s="694" t="str">
        <f>E243</f>
        <v>(4.62/1000)*1.4*1.3</v>
      </c>
      <c r="F244" s="928" t="s">
        <v>102</v>
      </c>
      <c r="G244" s="688">
        <f>ROUNDDOWN(dhTextEvaluate(E244),3)</f>
        <v>8.0000000000000002E-3</v>
      </c>
      <c r="H244" s="928"/>
      <c r="I244" s="928"/>
      <c r="J244" s="928" t="e">
        <f>VLOOKUP($D244,#REF!,2,FALSE)</f>
        <v>#REF!</v>
      </c>
      <c r="K244" s="928" t="e">
        <f>INT(G244*J244)</f>
        <v>#REF!</v>
      </c>
      <c r="L244" s="1606" t="str">
        <f>L243</f>
        <v>2심:140%,가공:130%</v>
      </c>
      <c r="M244" s="1606"/>
      <c r="N244" s="928"/>
      <c r="O244" s="928" t="e">
        <f t="shared" si="41"/>
        <v>#REF!</v>
      </c>
      <c r="P244" s="685" t="s">
        <v>44</v>
      </c>
    </row>
    <row r="245" spans="2:16" ht="18" customHeight="1">
      <c r="C245" s="683"/>
      <c r="D245" s="928" t="s">
        <v>104</v>
      </c>
      <c r="E245" s="689" t="s">
        <v>41</v>
      </c>
      <c r="F245" s="928" t="s">
        <v>100</v>
      </c>
      <c r="G245" s="928">
        <v>1</v>
      </c>
      <c r="H245" s="928" t="e">
        <f>INT(SUM(K246)*0.03)</f>
        <v>#REF!</v>
      </c>
      <c r="I245" s="929" t="e">
        <f>INT(G245*H245)</f>
        <v>#REF!</v>
      </c>
      <c r="J245" s="928"/>
      <c r="K245" s="928"/>
      <c r="L245" s="928"/>
      <c r="M245" s="928"/>
      <c r="N245" s="928"/>
      <c r="O245" s="928" t="e">
        <f t="shared" si="41"/>
        <v>#REF!</v>
      </c>
      <c r="P245" s="685" t="s">
        <v>42</v>
      </c>
    </row>
    <row r="246" spans="2:16" ht="18" customHeight="1">
      <c r="B246" s="193" t="str">
        <f>CONCATENATE(C240,D246)</f>
        <v>계</v>
      </c>
      <c r="C246" s="683"/>
      <c r="D246" s="928" t="s">
        <v>96</v>
      </c>
      <c r="E246" s="928"/>
      <c r="F246" s="928"/>
      <c r="G246" s="928"/>
      <c r="H246" s="928"/>
      <c r="I246" s="928" t="e">
        <f>SUM(I241:I245)</f>
        <v>#REF!</v>
      </c>
      <c r="J246" s="928"/>
      <c r="K246" s="928" t="e">
        <f>SUM(K241:K245)</f>
        <v>#REF!</v>
      </c>
      <c r="L246" s="928"/>
      <c r="M246" s="928">
        <f>SUM(M241:M245)</f>
        <v>0</v>
      </c>
      <c r="N246" s="928"/>
      <c r="O246" s="928" t="e">
        <f t="shared" si="41"/>
        <v>#REF!</v>
      </c>
      <c r="P246" s="685"/>
    </row>
    <row r="247" spans="2:16" ht="18" customHeight="1">
      <c r="C247" s="683"/>
      <c r="D247" s="928"/>
      <c r="E247" s="928"/>
      <c r="F247" s="928"/>
      <c r="G247" s="928"/>
      <c r="H247" s="928"/>
      <c r="I247" s="928"/>
      <c r="J247" s="928"/>
      <c r="K247" s="928"/>
      <c r="L247" s="928"/>
      <c r="M247" s="928"/>
      <c r="N247" s="928"/>
      <c r="O247" s="928"/>
      <c r="P247" s="685"/>
    </row>
    <row r="248" spans="2:16" ht="18" customHeight="1">
      <c r="C248" s="683"/>
      <c r="D248" s="928"/>
      <c r="E248" s="928"/>
      <c r="F248" s="928"/>
      <c r="G248" s="928"/>
      <c r="H248" s="928"/>
      <c r="I248" s="928"/>
      <c r="J248" s="928"/>
      <c r="K248" s="928"/>
      <c r="L248" s="928"/>
      <c r="M248" s="928"/>
      <c r="N248" s="928"/>
      <c r="O248" s="928"/>
      <c r="P248" s="685"/>
    </row>
    <row r="249" spans="2:16" ht="18" customHeight="1">
      <c r="B249" s="193">
        <f>C249</f>
        <v>0</v>
      </c>
      <c r="C249" s="728"/>
      <c r="D249" s="681" t="e">
        <f>D250</f>
        <v>#REF!</v>
      </c>
      <c r="E249" s="681" t="e">
        <f>E250</f>
        <v>#REF!</v>
      </c>
      <c r="F249" s="681" t="e">
        <f>F250</f>
        <v>#REF!</v>
      </c>
      <c r="G249" s="695"/>
      <c r="H249" s="681"/>
      <c r="I249" s="681"/>
      <c r="J249" s="681"/>
      <c r="K249" s="681"/>
      <c r="L249" s="681"/>
      <c r="M249" s="681"/>
      <c r="N249" s="681"/>
      <c r="O249" s="681"/>
      <c r="P249" s="730"/>
    </row>
    <row r="250" spans="2:16" ht="18" customHeight="1">
      <c r="B250" s="193" t="e">
        <f>#REF!</f>
        <v>#REF!</v>
      </c>
      <c r="C250" s="683"/>
      <c r="D250" s="928" t="e">
        <f>VLOOKUP($B250,#REF!,2,FALSE)</f>
        <v>#REF!</v>
      </c>
      <c r="E250" s="696" t="e">
        <f>VLOOKUP($B250,#REF!,3,FALSE)</f>
        <v>#REF!</v>
      </c>
      <c r="F250" s="928" t="e">
        <f>VLOOKUP($B250,#REF!,4,FALSE)</f>
        <v>#REF!</v>
      </c>
      <c r="G250" s="684">
        <v>1.05</v>
      </c>
      <c r="H250" s="928" t="e">
        <f>VLOOKUP($B250,#REF!,11,FALSE)</f>
        <v>#REF!</v>
      </c>
      <c r="I250" s="928" t="e">
        <f>INT(G250*H250)</f>
        <v>#REF!</v>
      </c>
      <c r="J250" s="928"/>
      <c r="K250" s="928"/>
      <c r="L250" s="1606"/>
      <c r="M250" s="1606"/>
      <c r="N250" s="928"/>
      <c r="O250" s="928" t="e">
        <f>INT(I250+K250+M250)</f>
        <v>#REF!</v>
      </c>
      <c r="P250" s="685" t="s">
        <v>155</v>
      </c>
    </row>
    <row r="251" spans="2:16" ht="18" customHeight="1">
      <c r="C251" s="683"/>
      <c r="D251" s="928" t="s">
        <v>31</v>
      </c>
      <c r="E251" s="696" t="s">
        <v>1288</v>
      </c>
      <c r="F251" s="928" t="s">
        <v>29</v>
      </c>
      <c r="G251" s="688">
        <v>1</v>
      </c>
      <c r="H251" s="928" t="e">
        <f>INT(H250*0.02)</f>
        <v>#REF!</v>
      </c>
      <c r="I251" s="928" t="e">
        <f>INT(G251*H251)</f>
        <v>#REF!</v>
      </c>
      <c r="J251" s="928"/>
      <c r="K251" s="928"/>
      <c r="L251" s="1606"/>
      <c r="M251" s="1606"/>
      <c r="N251" s="928"/>
      <c r="O251" s="928" t="e">
        <f>INT(I251+K251+M251)</f>
        <v>#REF!</v>
      </c>
      <c r="P251" s="685" t="s">
        <v>32</v>
      </c>
    </row>
    <row r="252" spans="2:16" ht="18" customHeight="1">
      <c r="C252" s="683"/>
      <c r="D252" s="928" t="s">
        <v>40</v>
      </c>
      <c r="E252" s="689" t="s">
        <v>1064</v>
      </c>
      <c r="F252" s="928" t="s">
        <v>102</v>
      </c>
      <c r="G252" s="688">
        <f>ROUNDDOWN(dhTextEvaluate(E252),3)</f>
        <v>4.1000000000000002E-2</v>
      </c>
      <c r="H252" s="928"/>
      <c r="I252" s="929"/>
      <c r="J252" s="928" t="e">
        <f>VLOOKUP($D252,#REF!,2,FALSE)</f>
        <v>#REF!</v>
      </c>
      <c r="K252" s="928" t="e">
        <f>INT(G252*J252)</f>
        <v>#REF!</v>
      </c>
      <c r="L252" s="1606" t="s">
        <v>1063</v>
      </c>
      <c r="M252" s="1606"/>
      <c r="N252" s="928"/>
      <c r="O252" s="928" t="e">
        <f>INT(I252+K252+M252)</f>
        <v>#REF!</v>
      </c>
      <c r="P252" s="685" t="s">
        <v>1062</v>
      </c>
    </row>
    <row r="253" spans="2:16" ht="18" customHeight="1">
      <c r="C253" s="683"/>
      <c r="D253" s="928" t="s">
        <v>104</v>
      </c>
      <c r="E253" s="928" t="s">
        <v>41</v>
      </c>
      <c r="F253" s="928" t="s">
        <v>100</v>
      </c>
      <c r="G253" s="928">
        <v>1</v>
      </c>
      <c r="H253" s="928" t="e">
        <f>INT(SUM(K254)*0.03)</f>
        <v>#REF!</v>
      </c>
      <c r="I253" s="928" t="e">
        <f>INT(G253*H253)</f>
        <v>#REF!</v>
      </c>
      <c r="J253" s="928"/>
      <c r="K253" s="928"/>
      <c r="L253" s="928"/>
      <c r="M253" s="928"/>
      <c r="N253" s="928"/>
      <c r="O253" s="928" t="e">
        <f>INT(I253+K253+M253)</f>
        <v>#REF!</v>
      </c>
      <c r="P253" s="685" t="s">
        <v>42</v>
      </c>
    </row>
    <row r="254" spans="2:16" ht="18" customHeight="1">
      <c r="B254" s="193" t="str">
        <f>CONCATENATE(C249,D254)</f>
        <v>계</v>
      </c>
      <c r="C254" s="683"/>
      <c r="D254" s="928" t="s">
        <v>96</v>
      </c>
      <c r="E254" s="928"/>
      <c r="F254" s="928"/>
      <c r="G254" s="928"/>
      <c r="H254" s="928"/>
      <c r="I254" s="928" t="e">
        <f>SUM(I250:I253)</f>
        <v>#REF!</v>
      </c>
      <c r="J254" s="928"/>
      <c r="K254" s="928" t="e">
        <f>SUM(K250:K253)</f>
        <v>#REF!</v>
      </c>
      <c r="L254" s="928"/>
      <c r="M254" s="928">
        <f>SUM(M250:M253)</f>
        <v>0</v>
      </c>
      <c r="N254" s="928"/>
      <c r="O254" s="928" t="e">
        <f>INT(I254+K254+M254)</f>
        <v>#REF!</v>
      </c>
      <c r="P254" s="685"/>
    </row>
    <row r="255" spans="2:16" ht="18" customHeight="1">
      <c r="C255" s="683"/>
      <c r="D255" s="928"/>
      <c r="E255" s="928"/>
      <c r="F255" s="928"/>
      <c r="G255" s="928"/>
      <c r="H255" s="928"/>
      <c r="I255" s="928"/>
      <c r="J255" s="928"/>
      <c r="K255" s="928"/>
      <c r="L255" s="928"/>
      <c r="M255" s="928"/>
      <c r="N255" s="928"/>
      <c r="O255" s="928"/>
      <c r="P255" s="685"/>
    </row>
    <row r="256" spans="2:16" ht="18" customHeight="1">
      <c r="B256" s="193">
        <f>C256</f>
        <v>0</v>
      </c>
      <c r="C256" s="690"/>
      <c r="D256" s="928" t="e">
        <f>D257</f>
        <v>#REF!</v>
      </c>
      <c r="E256" s="928" t="e">
        <f>E257</f>
        <v>#REF!</v>
      </c>
      <c r="F256" s="928" t="e">
        <f>F257</f>
        <v>#REF!</v>
      </c>
      <c r="G256" s="928"/>
      <c r="H256" s="928"/>
      <c r="I256" s="928"/>
      <c r="J256" s="928"/>
      <c r="K256" s="928"/>
      <c r="L256" s="928"/>
      <c r="M256" s="928"/>
      <c r="N256" s="928"/>
      <c r="O256" s="928"/>
      <c r="P256" s="685"/>
    </row>
    <row r="257" spans="2:16" ht="18" customHeight="1">
      <c r="B257" s="193" t="e">
        <f>#REF!</f>
        <v>#REF!</v>
      </c>
      <c r="C257" s="683"/>
      <c r="D257" s="928" t="e">
        <f>VLOOKUP($B257,#REF!,2,FALSE)</f>
        <v>#REF!</v>
      </c>
      <c r="E257" s="928" t="e">
        <f>VLOOKUP($B257,#REF!,3,FALSE)</f>
        <v>#REF!</v>
      </c>
      <c r="F257" s="928" t="e">
        <f>VLOOKUP($B257,#REF!,4,FALSE)</f>
        <v>#REF!</v>
      </c>
      <c r="G257" s="684">
        <v>1</v>
      </c>
      <c r="H257" s="724" t="s">
        <v>453</v>
      </c>
      <c r="I257" s="928"/>
      <c r="J257" s="928"/>
      <c r="K257" s="928"/>
      <c r="L257" s="928"/>
      <c r="M257" s="928"/>
      <c r="N257" s="928"/>
      <c r="O257" s="928">
        <f>INT(I257+K257+M257)</f>
        <v>0</v>
      </c>
      <c r="P257" s="685"/>
    </row>
    <row r="258" spans="2:16" ht="18" customHeight="1">
      <c r="C258" s="683"/>
      <c r="D258" s="928" t="s">
        <v>40</v>
      </c>
      <c r="E258" s="688">
        <v>0.20399999999999999</v>
      </c>
      <c r="F258" s="928" t="s">
        <v>102</v>
      </c>
      <c r="G258" s="688">
        <f>ROUNDDOWN(dhTextEvaluate(E258),3)</f>
        <v>0.20399999999999999</v>
      </c>
      <c r="H258" s="724"/>
      <c r="I258" s="724"/>
      <c r="J258" s="928" t="e">
        <f>VLOOKUP($D258,#REF!,2,FALSE)</f>
        <v>#REF!</v>
      </c>
      <c r="K258" s="928" t="e">
        <f>INT(G258*J258)</f>
        <v>#REF!</v>
      </c>
      <c r="L258" s="928"/>
      <c r="M258" s="928"/>
      <c r="N258" s="928"/>
      <c r="O258" s="928" t="e">
        <f>INT(I258+K258+M258)</f>
        <v>#REF!</v>
      </c>
      <c r="P258" s="685" t="s">
        <v>1065</v>
      </c>
    </row>
    <row r="259" spans="2:16" ht="18" customHeight="1">
      <c r="C259" s="683"/>
      <c r="D259" s="928" t="s">
        <v>104</v>
      </c>
      <c r="E259" s="928" t="s">
        <v>41</v>
      </c>
      <c r="F259" s="928" t="s">
        <v>100</v>
      </c>
      <c r="G259" s="684">
        <v>1</v>
      </c>
      <c r="H259" s="928" t="e">
        <f>INT(SUM(K260)*0.03)</f>
        <v>#REF!</v>
      </c>
      <c r="I259" s="928" t="e">
        <f>INT(G259*H259)</f>
        <v>#REF!</v>
      </c>
      <c r="J259" s="928"/>
      <c r="K259" s="928"/>
      <c r="L259" s="928"/>
      <c r="M259" s="928"/>
      <c r="N259" s="928"/>
      <c r="O259" s="928" t="e">
        <f>INT(I259+K259+M259)</f>
        <v>#REF!</v>
      </c>
      <c r="P259" s="685" t="s">
        <v>42</v>
      </c>
    </row>
    <row r="260" spans="2:16" ht="18" customHeight="1">
      <c r="B260" s="193" t="str">
        <f>CONCATENATE(C256,D260)</f>
        <v>계</v>
      </c>
      <c r="C260" s="690"/>
      <c r="D260" s="928" t="s">
        <v>96</v>
      </c>
      <c r="E260" s="928"/>
      <c r="F260" s="928"/>
      <c r="G260" s="928"/>
      <c r="H260" s="928"/>
      <c r="I260" s="928" t="e">
        <f>SUM(I257:I259)</f>
        <v>#REF!</v>
      </c>
      <c r="J260" s="928"/>
      <c r="K260" s="928" t="e">
        <f>SUM(K257:K259)</f>
        <v>#REF!</v>
      </c>
      <c r="L260" s="928"/>
      <c r="M260" s="928">
        <f>SUM(M257:M259)</f>
        <v>0</v>
      </c>
      <c r="N260" s="928"/>
      <c r="O260" s="928" t="e">
        <f>INT(I260+K260+M260)</f>
        <v>#REF!</v>
      </c>
      <c r="P260" s="685"/>
    </row>
    <row r="261" spans="2:16" ht="18" customHeight="1">
      <c r="C261" s="690"/>
      <c r="D261" s="928"/>
      <c r="E261" s="928"/>
      <c r="F261" s="928"/>
      <c r="G261" s="928"/>
      <c r="H261" s="928"/>
      <c r="I261" s="928"/>
      <c r="J261" s="928"/>
      <c r="K261" s="928"/>
      <c r="L261" s="928"/>
      <c r="M261" s="928"/>
      <c r="N261" s="928"/>
      <c r="O261" s="928"/>
      <c r="P261" s="685"/>
    </row>
    <row r="262" spans="2:16" ht="18" customHeight="1">
      <c r="B262" s="193">
        <f>C262</f>
        <v>0</v>
      </c>
      <c r="C262" s="690"/>
      <c r="D262" s="928" t="e">
        <f>D263</f>
        <v>#REF!</v>
      </c>
      <c r="E262" s="928" t="e">
        <f>E263</f>
        <v>#REF!</v>
      </c>
      <c r="F262" s="928" t="e">
        <f>F263</f>
        <v>#REF!</v>
      </c>
      <c r="G262" s="928"/>
      <c r="H262" s="928"/>
      <c r="I262" s="928"/>
      <c r="J262" s="928"/>
      <c r="K262" s="928"/>
      <c r="L262" s="928"/>
      <c r="M262" s="928"/>
      <c r="N262" s="928"/>
      <c r="O262" s="928"/>
      <c r="P262" s="685"/>
    </row>
    <row r="263" spans="2:16" ht="18" customHeight="1">
      <c r="B263" s="193" t="e">
        <f>#REF!</f>
        <v>#REF!</v>
      </c>
      <c r="C263" s="683"/>
      <c r="D263" s="928" t="e">
        <f>VLOOKUP($B263,#REF!,2,FALSE)</f>
        <v>#REF!</v>
      </c>
      <c r="E263" s="928" t="e">
        <f>VLOOKUP($B263,#REF!,3,FALSE)</f>
        <v>#REF!</v>
      </c>
      <c r="F263" s="928" t="e">
        <f>VLOOKUP($B263,#REF!,4,FALSE)</f>
        <v>#REF!</v>
      </c>
      <c r="G263" s="684">
        <v>1</v>
      </c>
      <c r="H263" s="724" t="s">
        <v>453</v>
      </c>
      <c r="I263" s="928"/>
      <c r="J263" s="928"/>
      <c r="K263" s="928"/>
      <c r="L263" s="928"/>
      <c r="M263" s="928"/>
      <c r="N263" s="928"/>
      <c r="O263" s="928">
        <f>INT(I263+K263+M263)</f>
        <v>0</v>
      </c>
      <c r="P263" s="685"/>
    </row>
    <row r="264" spans="2:16" ht="18" customHeight="1">
      <c r="C264" s="683"/>
      <c r="D264" s="928" t="s">
        <v>40</v>
      </c>
      <c r="E264" s="688">
        <v>0.20399999999999999</v>
      </c>
      <c r="F264" s="928" t="s">
        <v>102</v>
      </c>
      <c r="G264" s="688">
        <f>ROUNDDOWN(dhTextEvaluate(E264),3)</f>
        <v>0.20399999999999999</v>
      </c>
      <c r="H264" s="724"/>
      <c r="I264" s="724"/>
      <c r="J264" s="928" t="e">
        <f>VLOOKUP($D264,#REF!,2,FALSE)</f>
        <v>#REF!</v>
      </c>
      <c r="K264" s="928" t="e">
        <f>INT(G264*J264)</f>
        <v>#REF!</v>
      </c>
      <c r="L264" s="928"/>
      <c r="M264" s="928"/>
      <c r="N264" s="928"/>
      <c r="O264" s="928" t="e">
        <f>INT(I264+K264+M264)</f>
        <v>#REF!</v>
      </c>
      <c r="P264" s="685" t="s">
        <v>1109</v>
      </c>
    </row>
    <row r="265" spans="2:16" ht="18" customHeight="1">
      <c r="C265" s="683"/>
      <c r="D265" s="928" t="s">
        <v>104</v>
      </c>
      <c r="E265" s="928" t="s">
        <v>41</v>
      </c>
      <c r="F265" s="928" t="s">
        <v>100</v>
      </c>
      <c r="G265" s="684">
        <v>1</v>
      </c>
      <c r="H265" s="928" t="e">
        <f>INT(SUM(K266)*0.03)</f>
        <v>#REF!</v>
      </c>
      <c r="I265" s="928" t="e">
        <f>INT(G265*H265)</f>
        <v>#REF!</v>
      </c>
      <c r="J265" s="928"/>
      <c r="K265" s="928"/>
      <c r="L265" s="928"/>
      <c r="M265" s="928"/>
      <c r="N265" s="928"/>
      <c r="O265" s="928" t="e">
        <f>INT(I265+K265+M265)</f>
        <v>#REF!</v>
      </c>
      <c r="P265" s="685" t="s">
        <v>42</v>
      </c>
    </row>
    <row r="266" spans="2:16" ht="18" customHeight="1">
      <c r="B266" s="193" t="str">
        <f>CONCATENATE(C262,D266)</f>
        <v>계</v>
      </c>
      <c r="C266" s="690"/>
      <c r="D266" s="928" t="s">
        <v>96</v>
      </c>
      <c r="E266" s="928"/>
      <c r="F266" s="928"/>
      <c r="G266" s="928"/>
      <c r="H266" s="928"/>
      <c r="I266" s="928" t="e">
        <f>SUM(I263:I265)</f>
        <v>#REF!</v>
      </c>
      <c r="J266" s="928"/>
      <c r="K266" s="928" t="e">
        <f>SUM(K263:K265)</f>
        <v>#REF!</v>
      </c>
      <c r="L266" s="928"/>
      <c r="M266" s="928">
        <f>SUM(M263:M265)</f>
        <v>0</v>
      </c>
      <c r="N266" s="928"/>
      <c r="O266" s="928" t="e">
        <f>INT(I266+K266+M266)</f>
        <v>#REF!</v>
      </c>
      <c r="P266" s="685"/>
    </row>
    <row r="267" spans="2:16" ht="18" customHeight="1">
      <c r="C267" s="690"/>
      <c r="D267" s="928"/>
      <c r="E267" s="928"/>
      <c r="F267" s="928"/>
      <c r="G267" s="928"/>
      <c r="H267" s="928"/>
      <c r="I267" s="928"/>
      <c r="J267" s="928"/>
      <c r="K267" s="928"/>
      <c r="L267" s="928"/>
      <c r="M267" s="928"/>
      <c r="N267" s="928"/>
      <c r="O267" s="928"/>
      <c r="P267" s="685"/>
    </row>
    <row r="268" spans="2:16" ht="18" customHeight="1">
      <c r="C268" s="690"/>
      <c r="D268" s="928"/>
      <c r="E268" s="928"/>
      <c r="F268" s="928"/>
      <c r="G268" s="928"/>
      <c r="H268" s="928"/>
      <c r="I268" s="928"/>
      <c r="J268" s="928"/>
      <c r="K268" s="928"/>
      <c r="L268" s="928"/>
      <c r="M268" s="928"/>
      <c r="N268" s="928"/>
      <c r="O268" s="928"/>
      <c r="P268" s="685"/>
    </row>
    <row r="269" spans="2:16" ht="18" customHeight="1">
      <c r="C269" s="690"/>
      <c r="D269" s="928"/>
      <c r="E269" s="928"/>
      <c r="F269" s="928"/>
      <c r="G269" s="928"/>
      <c r="H269" s="928"/>
      <c r="I269" s="928"/>
      <c r="J269" s="928"/>
      <c r="K269" s="928"/>
      <c r="L269" s="928"/>
      <c r="M269" s="928"/>
      <c r="N269" s="928"/>
      <c r="O269" s="928"/>
      <c r="P269" s="685"/>
    </row>
    <row r="270" spans="2:16" ht="18" customHeight="1">
      <c r="C270" s="690"/>
      <c r="D270" s="928"/>
      <c r="E270" s="928"/>
      <c r="F270" s="928"/>
      <c r="G270" s="928"/>
      <c r="H270" s="928"/>
      <c r="I270" s="928"/>
      <c r="J270" s="928"/>
      <c r="K270" s="928"/>
      <c r="L270" s="928"/>
      <c r="M270" s="928"/>
      <c r="N270" s="928"/>
      <c r="O270" s="928"/>
      <c r="P270" s="685"/>
    </row>
    <row r="271" spans="2:16" ht="18" customHeight="1">
      <c r="C271" s="725"/>
      <c r="D271" s="692"/>
      <c r="E271" s="692"/>
      <c r="F271" s="692"/>
      <c r="G271" s="692"/>
      <c r="H271" s="692"/>
      <c r="I271" s="692"/>
      <c r="J271" s="692"/>
      <c r="K271" s="692"/>
      <c r="L271" s="692"/>
      <c r="M271" s="692"/>
      <c r="N271" s="692"/>
      <c r="O271" s="692"/>
      <c r="P271" s="693"/>
    </row>
    <row r="272" spans="2:16" ht="18" customHeight="1">
      <c r="C272" s="683"/>
      <c r="D272" s="928"/>
      <c r="E272" s="928"/>
      <c r="F272" s="928"/>
      <c r="G272" s="928"/>
      <c r="H272" s="928"/>
      <c r="I272" s="928"/>
      <c r="J272" s="928"/>
      <c r="K272" s="928"/>
      <c r="L272" s="928"/>
      <c r="M272" s="928"/>
      <c r="N272" s="928"/>
      <c r="O272" s="928"/>
      <c r="P272" s="685"/>
    </row>
    <row r="273" spans="2:16" ht="18" customHeight="1">
      <c r="B273" s="193">
        <f>C273</f>
        <v>0</v>
      </c>
      <c r="C273" s="690"/>
      <c r="D273" s="928" t="e">
        <f>D274</f>
        <v>#REF!</v>
      </c>
      <c r="E273" s="928" t="e">
        <f>E274</f>
        <v>#REF!</v>
      </c>
      <c r="F273" s="699" t="e">
        <f>F274</f>
        <v>#REF!</v>
      </c>
      <c r="G273" s="684"/>
      <c r="H273" s="928"/>
      <c r="I273" s="928"/>
      <c r="J273" s="928"/>
      <c r="K273" s="928"/>
      <c r="L273" s="928"/>
      <c r="M273" s="928"/>
      <c r="N273" s="928"/>
      <c r="O273" s="928"/>
      <c r="P273" s="700"/>
    </row>
    <row r="274" spans="2:16" ht="18" customHeight="1">
      <c r="B274" s="193" t="e">
        <f>#REF!</f>
        <v>#REF!</v>
      </c>
      <c r="C274" s="683"/>
      <c r="D274" s="928" t="e">
        <f>VLOOKUP($B274,#REF!,2,FALSE)</f>
        <v>#REF!</v>
      </c>
      <c r="E274" s="928" t="e">
        <f>VLOOKUP($B274,#REF!,3,FALSE)</f>
        <v>#REF!</v>
      </c>
      <c r="F274" s="699" t="e">
        <f>VLOOKUP($B274,#REF!,4,FALSE)</f>
        <v>#REF!</v>
      </c>
      <c r="G274" s="684">
        <v>1</v>
      </c>
      <c r="H274" s="928" t="s">
        <v>1035</v>
      </c>
      <c r="I274" s="928"/>
      <c r="J274" s="928"/>
      <c r="K274" s="928"/>
      <c r="L274" s="928"/>
      <c r="M274" s="928"/>
      <c r="N274" s="928"/>
      <c r="O274" s="928"/>
      <c r="P274" s="700"/>
    </row>
    <row r="275" spans="2:16" ht="18" customHeight="1">
      <c r="C275" s="683"/>
      <c r="D275" s="928" t="s">
        <v>40</v>
      </c>
      <c r="E275" s="684">
        <v>0.86</v>
      </c>
      <c r="F275" s="699" t="s">
        <v>102</v>
      </c>
      <c r="G275" s="701">
        <f>ROUNDDOWN(dhTextEvaluate(E275),3)</f>
        <v>0.86</v>
      </c>
      <c r="H275" s="928"/>
      <c r="I275" s="928"/>
      <c r="J275" s="928" t="e">
        <f>VLOOKUP($D275,#REF!,2,FALSE)</f>
        <v>#REF!</v>
      </c>
      <c r="K275" s="928" t="e">
        <f>INT(G275*J275)</f>
        <v>#REF!</v>
      </c>
      <c r="L275" s="1606"/>
      <c r="M275" s="1606"/>
      <c r="N275" s="928"/>
      <c r="O275" s="928" t="e">
        <f>INT(I275+K275+M275)</f>
        <v>#REF!</v>
      </c>
      <c r="P275" s="700" t="s">
        <v>1040</v>
      </c>
    </row>
    <row r="276" spans="2:16" ht="18" customHeight="1">
      <c r="C276" s="683"/>
      <c r="D276" s="928" t="s">
        <v>403</v>
      </c>
      <c r="E276" s="928" t="s">
        <v>41</v>
      </c>
      <c r="F276" s="699" t="s">
        <v>29</v>
      </c>
      <c r="G276" s="684">
        <v>1</v>
      </c>
      <c r="H276" s="928" t="e">
        <f>INT(SUM(K277)*0.03)</f>
        <v>#REF!</v>
      </c>
      <c r="I276" s="928" t="e">
        <f>INT(G276*H276)</f>
        <v>#REF!</v>
      </c>
      <c r="J276" s="928"/>
      <c r="K276" s="928"/>
      <c r="L276" s="928"/>
      <c r="M276" s="928"/>
      <c r="N276" s="928"/>
      <c r="O276" s="928" t="e">
        <f>INT(I276+K276+M276)</f>
        <v>#REF!</v>
      </c>
      <c r="P276" s="700" t="s">
        <v>42</v>
      </c>
    </row>
    <row r="277" spans="2:16" ht="18" customHeight="1">
      <c r="B277" s="193" t="str">
        <f>CONCATENATE(C273,D277)</f>
        <v>계</v>
      </c>
      <c r="C277" s="691"/>
      <c r="D277" s="692" t="s">
        <v>48</v>
      </c>
      <c r="E277" s="692"/>
      <c r="F277" s="702"/>
      <c r="G277" s="703"/>
      <c r="H277" s="692"/>
      <c r="I277" s="692" t="e">
        <f>SUM(I274:I276)</f>
        <v>#REF!</v>
      </c>
      <c r="J277" s="692"/>
      <c r="K277" s="692" t="e">
        <f>SUM(K274:K276)</f>
        <v>#REF!</v>
      </c>
      <c r="L277" s="692"/>
      <c r="M277" s="692">
        <f>SUM(M274:M276)</f>
        <v>0</v>
      </c>
      <c r="N277" s="692"/>
      <c r="O277" s="692" t="e">
        <f>INT(I277+K277+M277)</f>
        <v>#REF!</v>
      </c>
      <c r="P277" s="704"/>
    </row>
    <row r="278" spans="2:16" ht="18" customHeight="1">
      <c r="B278" s="193">
        <f>C278</f>
        <v>0</v>
      </c>
      <c r="C278" s="728"/>
      <c r="D278" s="681" t="e">
        <f>D279</f>
        <v>#REF!</v>
      </c>
      <c r="E278" s="681" t="e">
        <f>E279</f>
        <v>#REF!</v>
      </c>
      <c r="F278" s="697" t="e">
        <f>F279</f>
        <v>#REF!</v>
      </c>
      <c r="G278" s="695"/>
      <c r="H278" s="681"/>
      <c r="I278" s="681"/>
      <c r="J278" s="681"/>
      <c r="K278" s="681"/>
      <c r="L278" s="681"/>
      <c r="M278" s="681"/>
      <c r="N278" s="681"/>
      <c r="O278" s="681"/>
      <c r="P278" s="729"/>
    </row>
    <row r="279" spans="2:16" ht="18" customHeight="1">
      <c r="B279" s="193" t="e">
        <f>#REF!</f>
        <v>#REF!</v>
      </c>
      <c r="C279" s="683"/>
      <c r="D279" s="928" t="e">
        <f>VLOOKUP($B279,#REF!,2,FALSE)</f>
        <v>#REF!</v>
      </c>
      <c r="E279" s="928" t="e">
        <f>VLOOKUP($B279,#REF!,3,FALSE)</f>
        <v>#REF!</v>
      </c>
      <c r="F279" s="699" t="e">
        <f>VLOOKUP($B279,#REF!,4,FALSE)</f>
        <v>#REF!</v>
      </c>
      <c r="G279" s="684">
        <v>1</v>
      </c>
      <c r="H279" s="928" t="s">
        <v>453</v>
      </c>
      <c r="I279" s="928"/>
      <c r="J279" s="928"/>
      <c r="K279" s="928"/>
      <c r="L279" s="928"/>
      <c r="M279" s="928"/>
      <c r="N279" s="928"/>
      <c r="O279" s="928"/>
      <c r="P279" s="700"/>
    </row>
    <row r="280" spans="2:16" ht="18" customHeight="1">
      <c r="B280" s="193" t="e">
        <f>#REF!</f>
        <v>#REF!</v>
      </c>
      <c r="C280" s="683"/>
      <c r="D280" s="928" t="e">
        <f>VLOOKUP($B280,#REF!,2,FALSE)</f>
        <v>#REF!</v>
      </c>
      <c r="E280" s="928" t="e">
        <f>VLOOKUP($B280,#REF!,3,FALSE)</f>
        <v>#REF!</v>
      </c>
      <c r="F280" s="699" t="s">
        <v>1037</v>
      </c>
      <c r="G280" s="684">
        <v>0.43</v>
      </c>
      <c r="H280" s="928" t="e">
        <f>#REF!</f>
        <v>#REF!</v>
      </c>
      <c r="I280" s="928" t="e">
        <f t="shared" ref="I280:I285" si="42">INT(G280*H280)</f>
        <v>#REF!</v>
      </c>
      <c r="J280" s="928" t="e">
        <f>#REF!</f>
        <v>#REF!</v>
      </c>
      <c r="K280" s="928" t="e">
        <f>INT(G280*J280)</f>
        <v>#REF!</v>
      </c>
      <c r="L280" s="928" t="e">
        <f>#REF!</f>
        <v>#REF!</v>
      </c>
      <c r="M280" s="928" t="e">
        <f>INT(G280*L280)</f>
        <v>#REF!</v>
      </c>
      <c r="N280" s="928"/>
      <c r="O280" s="928" t="e">
        <f t="shared" ref="O280:O285" si="43">INT(I280+K280+M280)</f>
        <v>#REF!</v>
      </c>
      <c r="P280" s="700" t="s">
        <v>452</v>
      </c>
    </row>
    <row r="281" spans="2:16" ht="18" customHeight="1">
      <c r="B281" s="193" t="e">
        <f>#REF!</f>
        <v>#REF!</v>
      </c>
      <c r="C281" s="683"/>
      <c r="D281" s="928" t="e">
        <f>VLOOKUP($B281,#REF!,2,FALSE)</f>
        <v>#REF!</v>
      </c>
      <c r="E281" s="928" t="e">
        <f>VLOOKUP($B281,#REF!,3,FALSE)</f>
        <v>#REF!</v>
      </c>
      <c r="F281" s="699" t="s">
        <v>1037</v>
      </c>
      <c r="G281" s="684">
        <f>G280*0.24</f>
        <v>0.1032</v>
      </c>
      <c r="H281" s="928" t="e">
        <f>#REF!</f>
        <v>#REF!</v>
      </c>
      <c r="I281" s="928" t="e">
        <f t="shared" si="42"/>
        <v>#REF!</v>
      </c>
      <c r="J281" s="928" t="e">
        <f>#REF!</f>
        <v>#REF!</v>
      </c>
      <c r="K281" s="928" t="e">
        <f>INT(G281*J281)</f>
        <v>#REF!</v>
      </c>
      <c r="L281" s="928" t="e">
        <f>#REF!</f>
        <v>#REF!</v>
      </c>
      <c r="M281" s="928" t="e">
        <f>INT(G281*L281)</f>
        <v>#REF!</v>
      </c>
      <c r="N281" s="928"/>
      <c r="O281" s="928" t="e">
        <f t="shared" si="43"/>
        <v>#REF!</v>
      </c>
      <c r="P281" s="700" t="s">
        <v>452</v>
      </c>
    </row>
    <row r="282" spans="2:16" ht="18" customHeight="1">
      <c r="C282" s="690"/>
      <c r="D282" s="928" t="s">
        <v>40</v>
      </c>
      <c r="E282" s="684">
        <v>0.08</v>
      </c>
      <c r="F282" s="928" t="s">
        <v>47</v>
      </c>
      <c r="G282" s="701">
        <f t="shared" ref="G282:G283" si="44">ROUNDDOWN(dhTextEvaluate(E282),3)</f>
        <v>0.08</v>
      </c>
      <c r="H282" s="928"/>
      <c r="I282" s="928">
        <f t="shared" si="42"/>
        <v>0</v>
      </c>
      <c r="J282" s="928" t="e">
        <f>VLOOKUP($D282,#REF!,2,FALSE)</f>
        <v>#REF!</v>
      </c>
      <c r="K282" s="928" t="e">
        <f>INT(G282*J282)</f>
        <v>#REF!</v>
      </c>
      <c r="L282" s="928"/>
      <c r="M282" s="928"/>
      <c r="N282" s="928"/>
      <c r="O282" s="928" t="e">
        <f t="shared" si="43"/>
        <v>#REF!</v>
      </c>
      <c r="P282" s="700" t="s">
        <v>452</v>
      </c>
    </row>
    <row r="283" spans="2:16" ht="18" customHeight="1">
      <c r="C283" s="690"/>
      <c r="D283" s="928" t="s">
        <v>45</v>
      </c>
      <c r="E283" s="684">
        <v>0.19</v>
      </c>
      <c r="F283" s="928" t="s">
        <v>47</v>
      </c>
      <c r="G283" s="701">
        <f t="shared" si="44"/>
        <v>0.19</v>
      </c>
      <c r="H283" s="928"/>
      <c r="I283" s="928">
        <f t="shared" si="42"/>
        <v>0</v>
      </c>
      <c r="J283" s="928" t="e">
        <f>VLOOKUP($D283,#REF!,2,FALSE)</f>
        <v>#REF!</v>
      </c>
      <c r="K283" s="928" t="e">
        <f>INT(G283*J283)</f>
        <v>#REF!</v>
      </c>
      <c r="L283" s="928"/>
      <c r="M283" s="928"/>
      <c r="N283" s="928"/>
      <c r="O283" s="928" t="e">
        <f t="shared" si="43"/>
        <v>#REF!</v>
      </c>
      <c r="P283" s="700" t="s">
        <v>452</v>
      </c>
    </row>
    <row r="284" spans="2:16" ht="18" customHeight="1">
      <c r="B284" s="193" t="e">
        <f>#REF!</f>
        <v>#REF!</v>
      </c>
      <c r="C284" s="683"/>
      <c r="D284" s="928" t="e">
        <f>VLOOKUP($B284,#REF!,2,FALSE)</f>
        <v>#REF!</v>
      </c>
      <c r="E284" s="694" t="e">
        <f>VLOOKUP($B284,#REF!,3,FALSE)</f>
        <v>#REF!</v>
      </c>
      <c r="F284" s="928" t="e">
        <f>VLOOKUP($B284,#REF!,4,FALSE)</f>
        <v>#REF!</v>
      </c>
      <c r="G284" s="928">
        <v>3</v>
      </c>
      <c r="H284" s="928">
        <f>IF(ISERROR(VLOOKUP($B284,일위11,10,FALSE)),0,VLOOKUP($B284,일위11,10,FALSE))</f>
        <v>0</v>
      </c>
      <c r="I284" s="928">
        <f t="shared" si="42"/>
        <v>0</v>
      </c>
      <c r="J284" s="928">
        <f>IF(ISERROR(VLOOKUP($B284,일위11,12,FALSE)),0,VLOOKUP($B284,일위11,12,FALSE))</f>
        <v>0</v>
      </c>
      <c r="K284" s="928">
        <f>INT(G284*J284)</f>
        <v>0</v>
      </c>
      <c r="L284" s="928">
        <f>IF(ISERROR(VLOOKUP($B284,일위11,14,FALSE)),0,VLOOKUP($B284,일위11,14,FALSE))</f>
        <v>0</v>
      </c>
      <c r="M284" s="928">
        <f>INT(G284*L284)</f>
        <v>0</v>
      </c>
      <c r="N284" s="928"/>
      <c r="O284" s="928">
        <f>INT(I284+K284+M284)</f>
        <v>0</v>
      </c>
      <c r="P284" s="700">
        <f>IF(ISERROR(VLOOKUP($B284,일위11,4,FALSE)),0,VLOOKUP($B284,일위11,4,FALSE))</f>
        <v>0</v>
      </c>
    </row>
    <row r="285" spans="2:16" ht="18" customHeight="1">
      <c r="C285" s="683"/>
      <c r="D285" s="928" t="s">
        <v>104</v>
      </c>
      <c r="E285" s="928" t="s">
        <v>41</v>
      </c>
      <c r="F285" s="699" t="s">
        <v>100</v>
      </c>
      <c r="G285" s="928">
        <v>1</v>
      </c>
      <c r="H285" s="928" t="e">
        <f>INT(SUM(K286)*0.03)</f>
        <v>#REF!</v>
      </c>
      <c r="I285" s="928" t="e">
        <f t="shared" si="42"/>
        <v>#REF!</v>
      </c>
      <c r="J285" s="928"/>
      <c r="K285" s="928"/>
      <c r="L285" s="928"/>
      <c r="M285" s="928"/>
      <c r="N285" s="928"/>
      <c r="O285" s="928" t="e">
        <f t="shared" si="43"/>
        <v>#REF!</v>
      </c>
      <c r="P285" s="700" t="s">
        <v>42</v>
      </c>
    </row>
    <row r="286" spans="2:16" ht="18" customHeight="1">
      <c r="B286" s="193" t="str">
        <f>CONCATENATE(C278,D286)</f>
        <v>계</v>
      </c>
      <c r="C286" s="683"/>
      <c r="D286" s="928" t="s">
        <v>48</v>
      </c>
      <c r="E286" s="928"/>
      <c r="F286" s="699"/>
      <c r="G286" s="684"/>
      <c r="H286" s="928"/>
      <c r="I286" s="928" t="e">
        <f>SUM(I279:I285)</f>
        <v>#REF!</v>
      </c>
      <c r="J286" s="928"/>
      <c r="K286" s="928" t="e">
        <f>SUM(K279:K285)</f>
        <v>#REF!</v>
      </c>
      <c r="L286" s="928"/>
      <c r="M286" s="928" t="e">
        <f>SUM(M279:M285)</f>
        <v>#REF!</v>
      </c>
      <c r="N286" s="928"/>
      <c r="O286" s="928" t="e">
        <f>INT(I286+K286+M286)</f>
        <v>#REF!</v>
      </c>
      <c r="P286" s="700"/>
    </row>
    <row r="287" spans="2:16" ht="18" customHeight="1">
      <c r="C287" s="683"/>
      <c r="D287" s="928"/>
      <c r="E287" s="928"/>
      <c r="F287" s="699"/>
      <c r="G287" s="684"/>
      <c r="H287" s="928"/>
      <c r="I287" s="928"/>
      <c r="J287" s="928"/>
      <c r="K287" s="928"/>
      <c r="L287" s="928"/>
      <c r="M287" s="928"/>
      <c r="N287" s="928"/>
      <c r="O287" s="928"/>
      <c r="P287" s="700"/>
    </row>
    <row r="288" spans="2:16" ht="18" customHeight="1">
      <c r="B288" s="193">
        <f>C288</f>
        <v>0</v>
      </c>
      <c r="C288" s="690"/>
      <c r="D288" s="928" t="e">
        <f>D289</f>
        <v>#REF!</v>
      </c>
      <c r="E288" s="928" t="e">
        <f>E289</f>
        <v>#REF!</v>
      </c>
      <c r="F288" s="928" t="e">
        <f>F289</f>
        <v>#REF!</v>
      </c>
      <c r="G288" s="684"/>
      <c r="H288" s="928"/>
      <c r="I288" s="928"/>
      <c r="J288" s="928"/>
      <c r="K288" s="928"/>
      <c r="L288" s="928"/>
      <c r="M288" s="928"/>
      <c r="N288" s="928"/>
      <c r="O288" s="928"/>
      <c r="P288" s="685"/>
    </row>
    <row r="289" spans="2:16" ht="18" customHeight="1">
      <c r="B289" s="193" t="e">
        <f>#REF!</f>
        <v>#REF!</v>
      </c>
      <c r="C289" s="683"/>
      <c r="D289" s="928" t="e">
        <f>VLOOKUP($B289,#REF!,2,FALSE)</f>
        <v>#REF!</v>
      </c>
      <c r="E289" s="928" t="e">
        <f>VLOOKUP($B289,#REF!,3,FALSE)</f>
        <v>#REF!</v>
      </c>
      <c r="F289" s="928" t="e">
        <f>VLOOKUP($B289,#REF!,4,FALSE)</f>
        <v>#REF!</v>
      </c>
      <c r="G289" s="928">
        <v>1</v>
      </c>
      <c r="H289" s="928" t="e">
        <f>#REF!</f>
        <v>#REF!</v>
      </c>
      <c r="I289" s="928" t="e">
        <f>INT(G289*H289)</f>
        <v>#REF!</v>
      </c>
      <c r="J289" s="928" t="e">
        <f>#REF!</f>
        <v>#REF!</v>
      </c>
      <c r="K289" s="928" t="e">
        <f>INT(G289*J289)</f>
        <v>#REF!</v>
      </c>
      <c r="L289" s="928" t="e">
        <f>#REF!</f>
        <v>#REF!</v>
      </c>
      <c r="M289" s="708" t="e">
        <f>INT(G289*L289)</f>
        <v>#REF!</v>
      </c>
      <c r="N289" s="928"/>
      <c r="O289" s="928" t="e">
        <f>INT(I289+K289+M289)</f>
        <v>#REF!</v>
      </c>
      <c r="P289" s="700" t="e">
        <f>#REF!</f>
        <v>#REF!</v>
      </c>
    </row>
    <row r="290" spans="2:16" ht="18" customHeight="1">
      <c r="C290" s="690"/>
      <c r="D290" s="928" t="s">
        <v>40</v>
      </c>
      <c r="E290" s="684">
        <v>0.08</v>
      </c>
      <c r="F290" s="928" t="s">
        <v>47</v>
      </c>
      <c r="G290" s="701">
        <f t="shared" ref="G290" si="45">ROUNDDOWN(dhTextEvaluate(E290),3)</f>
        <v>0.08</v>
      </c>
      <c r="H290" s="928"/>
      <c r="I290" s="928">
        <f>INT(G290*H290)</f>
        <v>0</v>
      </c>
      <c r="J290" s="928" t="e">
        <f>VLOOKUP($D290,#REF!,2,FALSE)</f>
        <v>#REF!</v>
      </c>
      <c r="K290" s="928" t="e">
        <f>INT(G290*J290)</f>
        <v>#REF!</v>
      </c>
      <c r="L290" s="928"/>
      <c r="M290" s="928"/>
      <c r="N290" s="928"/>
      <c r="O290" s="928" t="e">
        <f t="shared" ref="O290" si="46">INT(I290+K290+M290)</f>
        <v>#REF!</v>
      </c>
      <c r="P290" s="700" t="s">
        <v>1108</v>
      </c>
    </row>
    <row r="291" spans="2:16" ht="18" customHeight="1">
      <c r="B291" s="193" t="str">
        <f>CONCATENATE(C288,D291)</f>
        <v>계</v>
      </c>
      <c r="C291" s="683"/>
      <c r="D291" s="928" t="s">
        <v>96</v>
      </c>
      <c r="E291" s="928"/>
      <c r="F291" s="928"/>
      <c r="G291" s="684"/>
      <c r="H291" s="928"/>
      <c r="I291" s="928" t="e">
        <f>SUM(I289:I290)</f>
        <v>#REF!</v>
      </c>
      <c r="J291" s="3"/>
      <c r="K291" s="928" t="e">
        <f>SUM(K289:K290)</f>
        <v>#REF!</v>
      </c>
      <c r="L291" s="928"/>
      <c r="M291" s="928" t="e">
        <f>SUM(M289:M290)</f>
        <v>#REF!</v>
      </c>
      <c r="N291" s="928"/>
      <c r="O291" s="928" t="e">
        <f>INT(I291+K291+M291)</f>
        <v>#REF!</v>
      </c>
      <c r="P291" s="685"/>
    </row>
    <row r="292" spans="2:16" ht="18" customHeight="1">
      <c r="C292" s="683"/>
      <c r="D292" s="928"/>
      <c r="E292" s="928"/>
      <c r="F292" s="928"/>
      <c r="G292" s="928"/>
      <c r="H292" s="928"/>
      <c r="I292" s="708"/>
      <c r="J292" s="708"/>
      <c r="K292" s="708"/>
      <c r="L292" s="928"/>
      <c r="M292" s="708"/>
      <c r="N292" s="928"/>
      <c r="O292" s="928"/>
      <c r="P292" s="685"/>
    </row>
    <row r="293" spans="2:16" ht="18" customHeight="1">
      <c r="B293" s="193">
        <f>C293</f>
        <v>0</v>
      </c>
      <c r="C293" s="690"/>
      <c r="D293" s="928" t="e">
        <f>D294</f>
        <v>#REF!</v>
      </c>
      <c r="E293" s="928" t="e">
        <f>E294</f>
        <v>#REF!</v>
      </c>
      <c r="F293" s="928" t="e">
        <f>F294</f>
        <v>#REF!</v>
      </c>
      <c r="G293" s="928"/>
      <c r="H293" s="928"/>
      <c r="I293" s="928"/>
      <c r="J293" s="928"/>
      <c r="K293" s="928"/>
      <c r="L293" s="928"/>
      <c r="M293" s="928"/>
      <c r="N293" s="928"/>
      <c r="O293" s="928"/>
      <c r="P293" s="685"/>
    </row>
    <row r="294" spans="2:16" ht="18" customHeight="1">
      <c r="B294" s="193" t="e">
        <f>#REF!</f>
        <v>#REF!</v>
      </c>
      <c r="C294" s="683"/>
      <c r="D294" s="928" t="e">
        <f>VLOOKUP($B294,#REF!,2,FALSE)</f>
        <v>#REF!</v>
      </c>
      <c r="E294" s="928" t="e">
        <f>VLOOKUP($B294,#REF!,3,FALSE)</f>
        <v>#REF!</v>
      </c>
      <c r="F294" s="928" t="e">
        <f>VLOOKUP($B294,#REF!,4,FALSE)</f>
        <v>#REF!</v>
      </c>
      <c r="G294" s="684">
        <v>1</v>
      </c>
      <c r="H294" s="928" t="e">
        <f>VLOOKUP($B294,#REF!,11,FALSE)</f>
        <v>#REF!</v>
      </c>
      <c r="I294" s="928" t="e">
        <f>INT(G294*H294)</f>
        <v>#REF!</v>
      </c>
      <c r="J294" s="928"/>
      <c r="K294" s="928"/>
      <c r="L294" s="928"/>
      <c r="M294" s="928"/>
      <c r="N294" s="928"/>
      <c r="O294" s="928" t="e">
        <f t="shared" ref="O294:O301" si="47">INT(I294+K294+M294)</f>
        <v>#REF!</v>
      </c>
      <c r="P294" s="685"/>
    </row>
    <row r="295" spans="2:16" ht="18" customHeight="1">
      <c r="B295" s="193" t="e">
        <f>#REF!</f>
        <v>#REF!</v>
      </c>
      <c r="C295" s="683"/>
      <c r="D295" s="928" t="e">
        <f>VLOOKUP($B295,#REF!,2,FALSE)</f>
        <v>#REF!</v>
      </c>
      <c r="E295" s="928" t="e">
        <f>VLOOKUP($B295,#REF!,3,FALSE)</f>
        <v>#REF!</v>
      </c>
      <c r="F295" s="928" t="e">
        <f>VLOOKUP($B295,#REF!,4,FALSE)</f>
        <v>#REF!</v>
      </c>
      <c r="G295" s="928">
        <v>2</v>
      </c>
      <c r="H295" s="928" t="e">
        <f>VLOOKUP($B295,#REF!,11,FALSE)</f>
        <v>#REF!</v>
      </c>
      <c r="I295" s="928" t="e">
        <f>INT(G295*H295)</f>
        <v>#REF!</v>
      </c>
      <c r="J295" s="928"/>
      <c r="K295" s="928"/>
      <c r="L295" s="928"/>
      <c r="M295" s="928"/>
      <c r="N295" s="928"/>
      <c r="O295" s="928" t="e">
        <f t="shared" si="47"/>
        <v>#REF!</v>
      </c>
      <c r="P295" s="685"/>
    </row>
    <row r="296" spans="2:16" ht="18" customHeight="1">
      <c r="B296" s="193" t="e">
        <f>#REF!</f>
        <v>#REF!</v>
      </c>
      <c r="C296" s="683"/>
      <c r="D296" s="928" t="e">
        <f>VLOOKUP($B296,#REF!,2,FALSE)</f>
        <v>#REF!</v>
      </c>
      <c r="E296" s="928" t="e">
        <f>VLOOKUP($B296,#REF!,3,FALSE)</f>
        <v>#REF!</v>
      </c>
      <c r="F296" s="928" t="e">
        <f>VLOOKUP($B296,#REF!,4,FALSE)</f>
        <v>#REF!</v>
      </c>
      <c r="G296" s="928">
        <v>4</v>
      </c>
      <c r="H296" s="928" t="e">
        <f>VLOOKUP($B296,#REF!,11,FALSE)</f>
        <v>#REF!</v>
      </c>
      <c r="I296" s="928" t="e">
        <f>INT(G296*H296)</f>
        <v>#REF!</v>
      </c>
      <c r="J296" s="928"/>
      <c r="K296" s="928"/>
      <c r="L296" s="928"/>
      <c r="M296" s="928"/>
      <c r="N296" s="928"/>
      <c r="O296" s="928" t="e">
        <f t="shared" si="47"/>
        <v>#REF!</v>
      </c>
      <c r="P296" s="685"/>
    </row>
    <row r="297" spans="2:16" ht="18" customHeight="1">
      <c r="B297" s="193" t="e">
        <f>#REF!</f>
        <v>#REF!</v>
      </c>
      <c r="C297" s="683"/>
      <c r="D297" s="928" t="e">
        <f>VLOOKUP($B297,#REF!,2,FALSE)</f>
        <v>#REF!</v>
      </c>
      <c r="E297" s="928" t="e">
        <f>VLOOKUP($B297,#REF!,3,FALSE)</f>
        <v>#REF!</v>
      </c>
      <c r="F297" s="928" t="e">
        <f>VLOOKUP($B297,#REF!,4,FALSE)</f>
        <v>#REF!</v>
      </c>
      <c r="G297" s="928">
        <v>1</v>
      </c>
      <c r="H297" s="928" t="e">
        <f>VLOOKUP($B297,#REF!,11,FALSE)</f>
        <v>#REF!</v>
      </c>
      <c r="I297" s="928" t="e">
        <f>INT(G297*H297)</f>
        <v>#REF!</v>
      </c>
      <c r="J297" s="928"/>
      <c r="K297" s="928"/>
      <c r="L297" s="928"/>
      <c r="M297" s="928"/>
      <c r="N297" s="928"/>
      <c r="O297" s="928" t="e">
        <f t="shared" si="47"/>
        <v>#REF!</v>
      </c>
      <c r="P297" s="685"/>
    </row>
    <row r="298" spans="2:16" ht="18" customHeight="1">
      <c r="C298" s="683"/>
      <c r="D298" s="928" t="s">
        <v>1041</v>
      </c>
      <c r="E298" s="684">
        <v>0.22</v>
      </c>
      <c r="F298" s="928" t="s">
        <v>102</v>
      </c>
      <c r="G298" s="684">
        <f>ROUNDDOWN(dhTextEvaluate(E298),3)</f>
        <v>0.22</v>
      </c>
      <c r="H298" s="928"/>
      <c r="I298" s="928"/>
      <c r="J298" s="928" t="e">
        <f>VLOOKUP($D298,#REF!,2,FALSE)</f>
        <v>#REF!</v>
      </c>
      <c r="K298" s="928" t="e">
        <f>INT(G298*J298)</f>
        <v>#REF!</v>
      </c>
      <c r="L298" s="928"/>
      <c r="M298" s="928"/>
      <c r="N298" s="928"/>
      <c r="O298" s="928" t="e">
        <f t="shared" si="47"/>
        <v>#REF!</v>
      </c>
      <c r="P298" s="685" t="s">
        <v>1031</v>
      </c>
    </row>
    <row r="299" spans="2:16" ht="18" customHeight="1">
      <c r="C299" s="683"/>
      <c r="D299" s="928" t="s">
        <v>1042</v>
      </c>
      <c r="E299" s="684">
        <v>0.11</v>
      </c>
      <c r="F299" s="928" t="s">
        <v>102</v>
      </c>
      <c r="G299" s="684">
        <f>ROUNDDOWN(dhTextEvaluate(E299),3)</f>
        <v>0.11</v>
      </c>
      <c r="H299" s="928"/>
      <c r="I299" s="928"/>
      <c r="J299" s="928" t="e">
        <f>VLOOKUP($D299,#REF!,2,FALSE)</f>
        <v>#REF!</v>
      </c>
      <c r="K299" s="928" t="e">
        <f>INT(G299*J299)</f>
        <v>#REF!</v>
      </c>
      <c r="L299" s="928"/>
      <c r="M299" s="928"/>
      <c r="N299" s="928"/>
      <c r="O299" s="928" t="e">
        <f t="shared" si="47"/>
        <v>#REF!</v>
      </c>
      <c r="P299" s="685" t="s">
        <v>1031</v>
      </c>
    </row>
    <row r="300" spans="2:16" ht="18" customHeight="1">
      <c r="C300" s="683"/>
      <c r="D300" s="928" t="s">
        <v>104</v>
      </c>
      <c r="E300" s="689" t="s">
        <v>1032</v>
      </c>
      <c r="F300" s="928" t="s">
        <v>100</v>
      </c>
      <c r="G300" s="928">
        <v>1</v>
      </c>
      <c r="H300" s="928" t="e">
        <f>INT(SUM(K301)*0.03)</f>
        <v>#REF!</v>
      </c>
      <c r="I300" s="929" t="e">
        <f>INT(G300*H300)</f>
        <v>#REF!</v>
      </c>
      <c r="J300" s="928"/>
      <c r="K300" s="928"/>
      <c r="L300" s="928"/>
      <c r="M300" s="928"/>
      <c r="N300" s="928"/>
      <c r="O300" s="928" t="e">
        <f t="shared" si="47"/>
        <v>#REF!</v>
      </c>
      <c r="P300" s="685" t="s">
        <v>42</v>
      </c>
    </row>
    <row r="301" spans="2:16" ht="18" customHeight="1">
      <c r="B301" s="193" t="str">
        <f>CONCATENATE(C293,D301)</f>
        <v>계</v>
      </c>
      <c r="C301" s="683"/>
      <c r="D301" s="928" t="s">
        <v>96</v>
      </c>
      <c r="E301" s="928"/>
      <c r="F301" s="928"/>
      <c r="G301" s="928"/>
      <c r="H301" s="928"/>
      <c r="I301" s="928" t="e">
        <f>SUM(I294:I300)</f>
        <v>#REF!</v>
      </c>
      <c r="J301" s="928"/>
      <c r="K301" s="928" t="e">
        <f>SUM(K294:K300)</f>
        <v>#REF!</v>
      </c>
      <c r="L301" s="928"/>
      <c r="M301" s="928">
        <f>SUM(M294:M300)</f>
        <v>0</v>
      </c>
      <c r="N301" s="928"/>
      <c r="O301" s="928" t="e">
        <f t="shared" si="47"/>
        <v>#REF!</v>
      </c>
      <c r="P301" s="685"/>
    </row>
    <row r="302" spans="2:16" ht="18" customHeight="1">
      <c r="C302" s="683"/>
      <c r="D302" s="928"/>
      <c r="E302" s="928"/>
      <c r="F302" s="928"/>
      <c r="G302" s="928"/>
      <c r="H302" s="928"/>
      <c r="I302" s="708"/>
      <c r="J302" s="708"/>
      <c r="K302" s="708"/>
      <c r="L302" s="928"/>
      <c r="M302" s="708"/>
      <c r="N302" s="928"/>
      <c r="O302" s="928"/>
      <c r="P302" s="685"/>
    </row>
    <row r="303" spans="2:16" ht="18" customHeight="1">
      <c r="C303" s="683"/>
      <c r="D303" s="928"/>
      <c r="E303" s="928"/>
      <c r="F303" s="928"/>
      <c r="G303" s="928"/>
      <c r="H303" s="928"/>
      <c r="I303" s="928"/>
      <c r="J303" s="928"/>
      <c r="K303" s="928"/>
      <c r="L303" s="928"/>
      <c r="M303" s="928"/>
      <c r="N303" s="928"/>
      <c r="O303" s="928"/>
      <c r="P303" s="685"/>
    </row>
    <row r="304" spans="2:16" ht="18" customHeight="1">
      <c r="B304" s="193">
        <f>C304</f>
        <v>0</v>
      </c>
      <c r="C304" s="728"/>
      <c r="D304" s="681" t="e">
        <f>D305</f>
        <v>#REF!</v>
      </c>
      <c r="E304" s="681" t="e">
        <f>E305</f>
        <v>#REF!</v>
      </c>
      <c r="F304" s="681" t="s">
        <v>90</v>
      </c>
      <c r="G304" s="695"/>
      <c r="H304" s="681"/>
      <c r="I304" s="681"/>
      <c r="J304" s="681"/>
      <c r="K304" s="681"/>
      <c r="L304" s="681"/>
      <c r="M304" s="681"/>
      <c r="N304" s="681"/>
      <c r="O304" s="681"/>
      <c r="P304" s="730"/>
    </row>
    <row r="305" spans="2:16" ht="18" customHeight="1">
      <c r="B305" s="193" t="e">
        <f>#REF!</f>
        <v>#REF!</v>
      </c>
      <c r="C305" s="683"/>
      <c r="D305" s="928" t="e">
        <f>VLOOKUP($B305,#REF!,2,FALSE)</f>
        <v>#REF!</v>
      </c>
      <c r="E305" s="928" t="e">
        <f>VLOOKUP($B305,#REF!,3,FALSE)</f>
        <v>#REF!</v>
      </c>
      <c r="F305" s="928" t="s">
        <v>90</v>
      </c>
      <c r="G305" s="684">
        <v>1</v>
      </c>
      <c r="H305" s="928"/>
      <c r="I305" s="928"/>
      <c r="J305" s="928"/>
      <c r="K305" s="928"/>
      <c r="L305" s="928"/>
      <c r="M305" s="928"/>
      <c r="N305" s="928"/>
      <c r="O305" s="928"/>
      <c r="P305" s="685" t="e">
        <f>#REF!</f>
        <v>#REF!</v>
      </c>
    </row>
    <row r="306" spans="2:16" ht="18" customHeight="1">
      <c r="B306" s="193" t="e">
        <f>#REF!</f>
        <v>#REF!</v>
      </c>
      <c r="C306" s="683"/>
      <c r="D306" s="928" t="e">
        <f>VLOOKUP($B306,#REF!,2,FALSE)</f>
        <v>#REF!</v>
      </c>
      <c r="E306" s="694" t="e">
        <f>VLOOKUP($B306,#REF!,3,FALSE)</f>
        <v>#REF!</v>
      </c>
      <c r="F306" s="928" t="e">
        <f>VLOOKUP($B306,#REF!,4,FALSE)</f>
        <v>#REF!</v>
      </c>
      <c r="G306" s="688" t="e">
        <f>#REF!</f>
        <v>#REF!</v>
      </c>
      <c r="H306" s="928">
        <f>IF(ISERROR(VLOOKUP($B306,일위11,10,FALSE)),0,VLOOKUP($B306,일위11,10,FALSE))</f>
        <v>0</v>
      </c>
      <c r="I306" s="928" t="e">
        <f>INT(G306*H306)</f>
        <v>#REF!</v>
      </c>
      <c r="J306" s="928">
        <f t="shared" ref="J306:J311" si="48">IF(ISERROR(VLOOKUP($B306,일위11,12,FALSE)),0,VLOOKUP($B306,일위11,12,FALSE))</f>
        <v>0</v>
      </c>
      <c r="K306" s="928" t="e">
        <f t="shared" ref="K306:K311" si="49">INT(G306*J306)</f>
        <v>#REF!</v>
      </c>
      <c r="L306" s="928">
        <f t="shared" ref="L306:L311" si="50">IF(ISERROR(VLOOKUP($B306,일위11,14,FALSE)),0,VLOOKUP($B306,일위11,14,FALSE))</f>
        <v>0</v>
      </c>
      <c r="M306" s="928" t="e">
        <f>INT(G306*L306)</f>
        <v>#REF!</v>
      </c>
      <c r="N306" s="928"/>
      <c r="O306" s="928" t="e">
        <f t="shared" ref="O306:O313" si="51">INT(I306+K306+M306)</f>
        <v>#REF!</v>
      </c>
      <c r="P306" s="700">
        <f t="shared" ref="P306:P311" si="52">IF(ISERROR(VLOOKUP($B306,일위11,4,FALSE)),0,VLOOKUP($B306,일위11,4,FALSE))</f>
        <v>0</v>
      </c>
    </row>
    <row r="307" spans="2:16" ht="18" customHeight="1">
      <c r="B307" s="193" t="e">
        <f>#REF!</f>
        <v>#REF!</v>
      </c>
      <c r="C307" s="683"/>
      <c r="D307" s="928" t="e">
        <f>VLOOKUP($B307,#REF!,2,FALSE)</f>
        <v>#REF!</v>
      </c>
      <c r="E307" s="694" t="e">
        <f>VLOOKUP($B307,#REF!,3,FALSE)</f>
        <v>#REF!</v>
      </c>
      <c r="F307" s="928" t="e">
        <f>VLOOKUP($B307,#REF!,4,FALSE)</f>
        <v>#REF!</v>
      </c>
      <c r="G307" s="688" t="e">
        <f>#REF!</f>
        <v>#REF!</v>
      </c>
      <c r="H307" s="928">
        <f>IF(ISERROR(VLOOKUP($B307,일위11,10,FALSE)),0,VLOOKUP($B307,일위11,10,FALSE))</f>
        <v>0</v>
      </c>
      <c r="I307" s="928" t="e">
        <f>INT(G307*H307)</f>
        <v>#REF!</v>
      </c>
      <c r="J307" s="928">
        <f t="shared" si="48"/>
        <v>0</v>
      </c>
      <c r="K307" s="928" t="e">
        <f t="shared" si="49"/>
        <v>#REF!</v>
      </c>
      <c r="L307" s="928">
        <f t="shared" si="50"/>
        <v>0</v>
      </c>
      <c r="M307" s="928" t="e">
        <f>INT(G307*L307)</f>
        <v>#REF!</v>
      </c>
      <c r="N307" s="928"/>
      <c r="O307" s="928" t="e">
        <f t="shared" si="51"/>
        <v>#REF!</v>
      </c>
      <c r="P307" s="700">
        <f t="shared" si="52"/>
        <v>0</v>
      </c>
    </row>
    <row r="308" spans="2:16" ht="18" customHeight="1">
      <c r="B308" s="193" t="e">
        <f>#REF!</f>
        <v>#REF!</v>
      </c>
      <c r="C308" s="683"/>
      <c r="D308" s="928" t="e">
        <f>VLOOKUP($B308,#REF!,2,FALSE)</f>
        <v>#REF!</v>
      </c>
      <c r="E308" s="694" t="e">
        <f>VLOOKUP($B308,#REF!,3,FALSE)</f>
        <v>#REF!</v>
      </c>
      <c r="F308" s="928" t="e">
        <f>VLOOKUP($B308,#REF!,4,FALSE)</f>
        <v>#REF!</v>
      </c>
      <c r="G308" s="688" t="e">
        <f>#REF!</f>
        <v>#REF!</v>
      </c>
      <c r="H308" s="928">
        <f>IF(ISERROR(VLOOKUP($B308,일위11,10,FALSE)),0,VLOOKUP($B308,일위11,10,FALSE))</f>
        <v>0</v>
      </c>
      <c r="I308" s="928" t="e">
        <f>INT(G308*H308)</f>
        <v>#REF!</v>
      </c>
      <c r="J308" s="928">
        <f t="shared" si="48"/>
        <v>0</v>
      </c>
      <c r="K308" s="928" t="e">
        <f t="shared" si="49"/>
        <v>#REF!</v>
      </c>
      <c r="L308" s="928">
        <f t="shared" si="50"/>
        <v>0</v>
      </c>
      <c r="M308" s="928" t="e">
        <f>INT(G308*L308)</f>
        <v>#REF!</v>
      </c>
      <c r="N308" s="928"/>
      <c r="O308" s="928" t="e">
        <f t="shared" si="51"/>
        <v>#REF!</v>
      </c>
      <c r="P308" s="700">
        <f t="shared" si="52"/>
        <v>0</v>
      </c>
    </row>
    <row r="309" spans="2:16" ht="18" customHeight="1">
      <c r="B309" s="193" t="e">
        <f>#REF!</f>
        <v>#REF!</v>
      </c>
      <c r="C309" s="690"/>
      <c r="D309" s="705" t="e">
        <f>VLOOKUP($B309,#REF!,2,FALSE)</f>
        <v>#REF!</v>
      </c>
      <c r="E309" s="696" t="e">
        <f>VLOOKUP($B309,#REF!,3,FALSE)</f>
        <v>#REF!</v>
      </c>
      <c r="F309" s="706" t="e">
        <f>VLOOKUP($B309,#REF!,4,FALSE)</f>
        <v>#REF!</v>
      </c>
      <c r="G309" s="710" t="e">
        <f>#REF!</f>
        <v>#REF!</v>
      </c>
      <c r="H309" s="928">
        <f>IF(ISERROR(VLOOKUP($B309,일위11,10,FALSE)),0,VLOOKUP($B309,일위11,10,FALSE))</f>
        <v>0</v>
      </c>
      <c r="I309" s="928" t="e">
        <f>INT(G309*H309)</f>
        <v>#REF!</v>
      </c>
      <c r="J309" s="928">
        <f t="shared" si="48"/>
        <v>0</v>
      </c>
      <c r="K309" s="928" t="e">
        <f t="shared" si="49"/>
        <v>#REF!</v>
      </c>
      <c r="L309" s="928">
        <f t="shared" si="50"/>
        <v>0</v>
      </c>
      <c r="M309" s="928" t="e">
        <f>INT(G309*L309)</f>
        <v>#REF!</v>
      </c>
      <c r="N309" s="711"/>
      <c r="O309" s="928" t="e">
        <f t="shared" si="51"/>
        <v>#REF!</v>
      </c>
      <c r="P309" s="700">
        <f t="shared" si="52"/>
        <v>0</v>
      </c>
    </row>
    <row r="310" spans="2:16" ht="18" customHeight="1">
      <c r="B310" s="193" t="e">
        <f>#REF!</f>
        <v>#REF!</v>
      </c>
      <c r="C310" s="683"/>
      <c r="D310" s="928" t="e">
        <f>VLOOKUP($B310,#REF!,2,FALSE)</f>
        <v>#REF!</v>
      </c>
      <c r="E310" s="928" t="e">
        <f>VLOOKUP($B310,#REF!,3,FALSE)</f>
        <v>#REF!</v>
      </c>
      <c r="F310" s="699" t="e">
        <f>VLOOKUP($B310,#REF!,4,FALSE)</f>
        <v>#REF!</v>
      </c>
      <c r="G310" s="684" t="e">
        <f>#REF!</f>
        <v>#REF!</v>
      </c>
      <c r="H310" s="928">
        <f>IF(ISERROR(VLOOKUP($B310,일위11,10,FALSE)),0,VLOOKUP($B310,일위11,10,FALSE))</f>
        <v>0</v>
      </c>
      <c r="I310" s="928" t="e">
        <f>G310*H310</f>
        <v>#REF!</v>
      </c>
      <c r="J310" s="928">
        <f t="shared" si="48"/>
        <v>0</v>
      </c>
      <c r="K310" s="928" t="e">
        <f t="shared" si="49"/>
        <v>#REF!</v>
      </c>
      <c r="L310" s="928">
        <f t="shared" si="50"/>
        <v>0</v>
      </c>
      <c r="M310" s="928"/>
      <c r="N310" s="928"/>
      <c r="O310" s="928" t="e">
        <f t="shared" si="51"/>
        <v>#REF!</v>
      </c>
      <c r="P310" s="700">
        <f t="shared" si="52"/>
        <v>0</v>
      </c>
    </row>
    <row r="311" spans="2:16" ht="18" customHeight="1">
      <c r="B311" s="193" t="e">
        <f>#REF!</f>
        <v>#REF!</v>
      </c>
      <c r="C311" s="683"/>
      <c r="D311" s="928" t="e">
        <f>VLOOKUP($B311,#REF!,2,FALSE)</f>
        <v>#REF!</v>
      </c>
      <c r="E311" s="928" t="e">
        <f>VLOOKUP($B311,#REF!,3,FALSE)</f>
        <v>#REF!</v>
      </c>
      <c r="F311" s="699" t="e">
        <f>VLOOKUP($B311,#REF!,4,FALSE)</f>
        <v>#REF!</v>
      </c>
      <c r="G311" s="684" t="e">
        <f>#REF!</f>
        <v>#REF!</v>
      </c>
      <c r="H311" s="928" t="e">
        <f>VLOOKUP($B311,#REF!,11,FALSE)</f>
        <v>#REF!</v>
      </c>
      <c r="I311" s="928" t="e">
        <f>G311*H311</f>
        <v>#REF!</v>
      </c>
      <c r="J311" s="928">
        <f t="shared" si="48"/>
        <v>0</v>
      </c>
      <c r="K311" s="928" t="e">
        <f t="shared" si="49"/>
        <v>#REF!</v>
      </c>
      <c r="L311" s="928">
        <f t="shared" si="50"/>
        <v>0</v>
      </c>
      <c r="M311" s="928"/>
      <c r="N311" s="928"/>
      <c r="O311" s="928" t="e">
        <f t="shared" si="51"/>
        <v>#REF!</v>
      </c>
      <c r="P311" s="700">
        <f t="shared" si="52"/>
        <v>0</v>
      </c>
    </row>
    <row r="312" spans="2:16" ht="18" customHeight="1">
      <c r="C312" s="683"/>
      <c r="D312" s="928" t="s">
        <v>104</v>
      </c>
      <c r="E312" s="928" t="s">
        <v>41</v>
      </c>
      <c r="F312" s="699" t="s">
        <v>100</v>
      </c>
      <c r="G312" s="684">
        <v>1</v>
      </c>
      <c r="H312" s="928" t="e">
        <f>INT(SUM(K313)*0.03)</f>
        <v>#REF!</v>
      </c>
      <c r="I312" s="928" t="e">
        <f>INT(G312*H312)</f>
        <v>#REF!</v>
      </c>
      <c r="J312" s="928"/>
      <c r="K312" s="928"/>
      <c r="L312" s="928"/>
      <c r="M312" s="928"/>
      <c r="N312" s="928"/>
      <c r="O312" s="928" t="e">
        <f t="shared" si="51"/>
        <v>#REF!</v>
      </c>
      <c r="P312" s="700" t="s">
        <v>42</v>
      </c>
    </row>
    <row r="313" spans="2:16" ht="18" customHeight="1">
      <c r="B313" s="193" t="str">
        <f>CONCATENATE(C304,D313)</f>
        <v>계</v>
      </c>
      <c r="C313" s="683"/>
      <c r="D313" s="928" t="s">
        <v>96</v>
      </c>
      <c r="E313" s="928"/>
      <c r="F313" s="928"/>
      <c r="G313" s="684"/>
      <c r="H313" s="928"/>
      <c r="I313" s="928" t="e">
        <f>SUM(I304:I312)</f>
        <v>#REF!</v>
      </c>
      <c r="J313" s="928"/>
      <c r="K313" s="928" t="e">
        <f>SUM(K306:K312)</f>
        <v>#REF!</v>
      </c>
      <c r="L313" s="928"/>
      <c r="M313" s="928" t="e">
        <f>SUM(M304:M312)</f>
        <v>#REF!</v>
      </c>
      <c r="N313" s="928"/>
      <c r="O313" s="928" t="e">
        <f t="shared" si="51"/>
        <v>#REF!</v>
      </c>
      <c r="P313" s="685"/>
    </row>
    <row r="314" spans="2:16" ht="18" customHeight="1">
      <c r="C314" s="683"/>
      <c r="D314" s="928"/>
      <c r="E314" s="928"/>
      <c r="F314" s="928"/>
      <c r="G314" s="928"/>
      <c r="H314" s="928"/>
      <c r="I314" s="928"/>
      <c r="J314" s="928"/>
      <c r="K314" s="928"/>
      <c r="L314" s="928"/>
      <c r="M314" s="928"/>
      <c r="N314" s="928"/>
      <c r="O314" s="928"/>
      <c r="P314" s="685"/>
    </row>
    <row r="315" spans="2:16" ht="18" customHeight="1">
      <c r="C315" s="683"/>
      <c r="D315" s="928"/>
      <c r="E315" s="928"/>
      <c r="F315" s="928"/>
      <c r="G315" s="928"/>
      <c r="H315" s="928"/>
      <c r="I315" s="928"/>
      <c r="J315" s="928"/>
      <c r="K315" s="928"/>
      <c r="L315" s="928"/>
      <c r="M315" s="928"/>
      <c r="N315" s="928"/>
      <c r="O315" s="928"/>
      <c r="P315" s="685"/>
    </row>
    <row r="316" spans="2:16" ht="18" customHeight="1">
      <c r="C316" s="683"/>
      <c r="D316" s="928"/>
      <c r="E316" s="928"/>
      <c r="F316" s="928"/>
      <c r="G316" s="928"/>
      <c r="H316" s="928"/>
      <c r="I316" s="928"/>
      <c r="J316" s="928"/>
      <c r="K316" s="928"/>
      <c r="L316" s="928"/>
      <c r="M316" s="928"/>
      <c r="N316" s="928"/>
      <c r="O316" s="928"/>
      <c r="P316" s="685"/>
    </row>
    <row r="317" spans="2:16" ht="18" customHeight="1">
      <c r="C317" s="683"/>
      <c r="D317" s="928"/>
      <c r="E317" s="928"/>
      <c r="F317" s="928"/>
      <c r="G317" s="928"/>
      <c r="H317" s="928"/>
      <c r="I317" s="928"/>
      <c r="J317" s="928"/>
      <c r="K317" s="928"/>
      <c r="L317" s="928"/>
      <c r="M317" s="928"/>
      <c r="N317" s="928"/>
      <c r="O317" s="928"/>
      <c r="P317" s="685"/>
    </row>
    <row r="318" spans="2:16" ht="18" customHeight="1">
      <c r="C318" s="683"/>
      <c r="D318" s="928"/>
      <c r="E318" s="928"/>
      <c r="F318" s="928"/>
      <c r="G318" s="928"/>
      <c r="H318" s="928"/>
      <c r="I318" s="928"/>
      <c r="J318" s="928"/>
      <c r="K318" s="928"/>
      <c r="L318" s="928"/>
      <c r="M318" s="928"/>
      <c r="N318" s="928"/>
      <c r="O318" s="928"/>
      <c r="P318" s="685"/>
    </row>
    <row r="319" spans="2:16" ht="18" customHeight="1">
      <c r="B319" s="193">
        <f>C319</f>
        <v>0</v>
      </c>
      <c r="C319" s="690"/>
      <c r="D319" s="928" t="e">
        <f>D320</f>
        <v>#REF!</v>
      </c>
      <c r="E319" s="928" t="e">
        <f>E320</f>
        <v>#REF!</v>
      </c>
      <c r="F319" s="928" t="e">
        <f>F320</f>
        <v>#REF!</v>
      </c>
      <c r="G319" s="928"/>
      <c r="H319" s="928"/>
      <c r="I319" s="928"/>
      <c r="J319" s="928"/>
      <c r="K319" s="928"/>
      <c r="L319" s="928"/>
      <c r="M319" s="928"/>
      <c r="N319" s="928"/>
      <c r="O319" s="928"/>
      <c r="P319" s="685"/>
    </row>
    <row r="320" spans="2:16" ht="18" customHeight="1">
      <c r="B320" s="193" t="e">
        <f>#REF!</f>
        <v>#REF!</v>
      </c>
      <c r="C320" s="690"/>
      <c r="D320" s="705" t="e">
        <f>VLOOKUP($B320,#REF!,2,FALSE)</f>
        <v>#REF!</v>
      </c>
      <c r="E320" s="696" t="e">
        <f>VLOOKUP($B320,#REF!,3,FALSE)</f>
        <v>#REF!</v>
      </c>
      <c r="F320" s="706" t="e">
        <f>VLOOKUP($B320,#REF!,4,FALSE)</f>
        <v>#REF!</v>
      </c>
      <c r="G320" s="710">
        <v>1</v>
      </c>
      <c r="H320" s="717" t="e">
        <f>#REF!</f>
        <v>#REF!</v>
      </c>
      <c r="I320" s="717" t="e">
        <f>INT(G320*H320)</f>
        <v>#REF!</v>
      </c>
      <c r="J320" s="717" t="e">
        <f>#REF!</f>
        <v>#REF!</v>
      </c>
      <c r="K320" s="717" t="e">
        <f>INT(G320*J320)</f>
        <v>#REF!</v>
      </c>
      <c r="L320" s="717"/>
      <c r="M320" s="717">
        <f>INT(G320*L320)</f>
        <v>0</v>
      </c>
      <c r="N320" s="711"/>
      <c r="O320" s="928" t="e">
        <f>INT(I320+K320+M320)</f>
        <v>#REF!</v>
      </c>
      <c r="P320" s="685">
        <f>토목단가산출!$ES$495</f>
        <v>14</v>
      </c>
    </row>
    <row r="321" spans="2:16" ht="18" customHeight="1">
      <c r="B321" s="193" t="str">
        <f>CONCATENATE(C319,D321)</f>
        <v>계</v>
      </c>
      <c r="C321" s="718"/>
      <c r="D321" s="705" t="s">
        <v>48</v>
      </c>
      <c r="E321" s="696"/>
      <c r="F321" s="719"/>
      <c r="G321" s="710"/>
      <c r="H321" s="720"/>
      <c r="I321" s="721" t="e">
        <f>SUM(I320:I320)</f>
        <v>#REF!</v>
      </c>
      <c r="J321" s="720"/>
      <c r="K321" s="720" t="e">
        <f>SUM(K320:K320)</f>
        <v>#REF!</v>
      </c>
      <c r="L321" s="720"/>
      <c r="M321" s="721">
        <f>SUM(M320:M320)</f>
        <v>0</v>
      </c>
      <c r="N321" s="722"/>
      <c r="O321" s="928" t="e">
        <f>INT(I321+K321+M321)</f>
        <v>#REF!</v>
      </c>
      <c r="P321" s="723"/>
    </row>
    <row r="322" spans="2:16" ht="18" customHeight="1">
      <c r="C322" s="731"/>
      <c r="D322" s="732"/>
      <c r="E322" s="733"/>
      <c r="F322" s="734"/>
      <c r="G322" s="735"/>
      <c r="H322" s="736"/>
      <c r="I322" s="737"/>
      <c r="J322" s="736"/>
      <c r="K322" s="736"/>
      <c r="L322" s="736"/>
      <c r="M322" s="737"/>
      <c r="N322" s="738"/>
      <c r="O322" s="692"/>
      <c r="P322" s="739"/>
    </row>
    <row r="323" spans="2:16" ht="18" customHeight="1">
      <c r="B323" s="193">
        <f>C323</f>
        <v>0</v>
      </c>
      <c r="C323" s="728"/>
      <c r="D323" s="681" t="e">
        <f>D324</f>
        <v>#REF!</v>
      </c>
      <c r="E323" s="681" t="e">
        <f>E324</f>
        <v>#REF!</v>
      </c>
      <c r="F323" s="681" t="e">
        <f>F324</f>
        <v>#REF!</v>
      </c>
      <c r="G323" s="681"/>
      <c r="H323" s="681"/>
      <c r="I323" s="681"/>
      <c r="J323" s="681"/>
      <c r="K323" s="681"/>
      <c r="L323" s="681"/>
      <c r="M323" s="681"/>
      <c r="N323" s="681"/>
      <c r="O323" s="681"/>
      <c r="P323" s="730"/>
    </row>
    <row r="324" spans="2:16" ht="18" customHeight="1">
      <c r="B324" s="193" t="e">
        <f>#REF!</f>
        <v>#REF!</v>
      </c>
      <c r="C324" s="690"/>
      <c r="D324" s="705" t="e">
        <f>VLOOKUP($B324,#REF!,2,FALSE)</f>
        <v>#REF!</v>
      </c>
      <c r="E324" s="696" t="e">
        <f>VLOOKUP($B324,#REF!,3,FALSE)</f>
        <v>#REF!</v>
      </c>
      <c r="F324" s="706" t="e">
        <f>VLOOKUP($B324,#REF!,4,FALSE)</f>
        <v>#REF!</v>
      </c>
      <c r="G324" s="710">
        <v>1</v>
      </c>
      <c r="H324" s="717" t="e">
        <f>#REF!</f>
        <v>#REF!</v>
      </c>
      <c r="I324" s="717" t="e">
        <f>INT(G324*H324)</f>
        <v>#REF!</v>
      </c>
      <c r="J324" s="717" t="e">
        <f>#REF!</f>
        <v>#REF!</v>
      </c>
      <c r="K324" s="717" t="e">
        <f>INT(G324*J324)</f>
        <v>#REF!</v>
      </c>
      <c r="L324" s="717" t="e">
        <f>#REF!</f>
        <v>#REF!</v>
      </c>
      <c r="M324" s="717" t="e">
        <f>INT(G324*L324)</f>
        <v>#REF!</v>
      </c>
      <c r="N324" s="711"/>
      <c r="O324" s="928" t="e">
        <f>INT(I324+K324+M324)</f>
        <v>#REF!</v>
      </c>
      <c r="P324" s="685">
        <f>토목단가산출!$ES$548</f>
        <v>15</v>
      </c>
    </row>
    <row r="325" spans="2:16" ht="18" customHeight="1">
      <c r="B325" s="193" t="str">
        <f>CONCATENATE(C323,D325)</f>
        <v>계</v>
      </c>
      <c r="C325" s="718"/>
      <c r="D325" s="705" t="s">
        <v>48</v>
      </c>
      <c r="E325" s="696"/>
      <c r="F325" s="719"/>
      <c r="G325" s="710"/>
      <c r="H325" s="720"/>
      <c r="I325" s="721" t="e">
        <f>SUM(I324:I324)</f>
        <v>#REF!</v>
      </c>
      <c r="J325" s="720"/>
      <c r="K325" s="720" t="e">
        <f>SUM(K324:K324)</f>
        <v>#REF!</v>
      </c>
      <c r="L325" s="720"/>
      <c r="M325" s="721" t="e">
        <f>SUM(M324:M324)</f>
        <v>#REF!</v>
      </c>
      <c r="N325" s="722"/>
      <c r="O325" s="928" t="e">
        <f>INT(I325+K325+M325)</f>
        <v>#REF!</v>
      </c>
      <c r="P325" s="723"/>
    </row>
    <row r="326" spans="2:16" ht="18" customHeight="1">
      <c r="C326" s="718"/>
      <c r="D326" s="705"/>
      <c r="E326" s="696"/>
      <c r="F326" s="719"/>
      <c r="G326" s="710"/>
      <c r="H326" s="720"/>
      <c r="I326" s="721"/>
      <c r="J326" s="720"/>
      <c r="K326" s="720"/>
      <c r="L326" s="720"/>
      <c r="M326" s="721"/>
      <c r="N326" s="722"/>
      <c r="O326" s="928"/>
      <c r="P326" s="723"/>
    </row>
    <row r="327" spans="2:16" ht="18" customHeight="1">
      <c r="C327" s="683"/>
      <c r="D327" s="928"/>
      <c r="E327" s="928"/>
      <c r="F327" s="928"/>
      <c r="G327" s="928"/>
      <c r="H327" s="928"/>
      <c r="I327" s="928"/>
      <c r="J327" s="928"/>
      <c r="K327" s="928"/>
      <c r="L327" s="928"/>
      <c r="M327" s="928"/>
      <c r="N327" s="928"/>
      <c r="O327" s="928"/>
      <c r="P327" s="685"/>
    </row>
    <row r="328" spans="2:16" ht="18" customHeight="1">
      <c r="B328" s="193">
        <f>C328</f>
        <v>0</v>
      </c>
      <c r="C328" s="728"/>
      <c r="D328" s="681" t="e">
        <f>D329</f>
        <v>#REF!</v>
      </c>
      <c r="E328" s="681" t="e">
        <f>E329</f>
        <v>#REF!</v>
      </c>
      <c r="F328" s="681" t="e">
        <f>F329</f>
        <v>#REF!</v>
      </c>
      <c r="G328" s="695"/>
      <c r="H328" s="681"/>
      <c r="I328" s="681"/>
      <c r="J328" s="681"/>
      <c r="K328" s="681"/>
      <c r="L328" s="681"/>
      <c r="M328" s="681"/>
      <c r="N328" s="681"/>
      <c r="O328" s="681"/>
      <c r="P328" s="730"/>
    </row>
    <row r="329" spans="2:16" ht="18" customHeight="1">
      <c r="B329" s="193" t="e">
        <f>#REF!</f>
        <v>#REF!</v>
      </c>
      <c r="C329" s="683"/>
      <c r="D329" s="928" t="e">
        <f>VLOOKUP($B329,#REF!,2,FALSE)</f>
        <v>#REF!</v>
      </c>
      <c r="E329" s="928" t="e">
        <f>VLOOKUP($B329,#REF!,3,FALSE)</f>
        <v>#REF!</v>
      </c>
      <c r="F329" s="928" t="e">
        <f>VLOOKUP($B329,#REF!,4,FALSE)</f>
        <v>#REF!</v>
      </c>
      <c r="G329" s="928">
        <v>1</v>
      </c>
      <c r="H329" s="928" t="e">
        <f>#REF!</f>
        <v>#REF!</v>
      </c>
      <c r="I329" s="928" t="e">
        <f>INT(G329*H329)</f>
        <v>#REF!</v>
      </c>
      <c r="J329" s="928" t="e">
        <f>#REF!</f>
        <v>#REF!</v>
      </c>
      <c r="K329" s="928" t="e">
        <f>INT(G329*J329)</f>
        <v>#REF!</v>
      </c>
      <c r="L329" s="928" t="e">
        <f>#REF!</f>
        <v>#REF!</v>
      </c>
      <c r="M329" s="708" t="e">
        <f>INT(G329*L329)</f>
        <v>#REF!</v>
      </c>
      <c r="N329" s="928"/>
      <c r="O329" s="928" t="e">
        <f>INT(I329+K329+M329)</f>
        <v>#REF!</v>
      </c>
      <c r="P329" s="700" t="e">
        <f>#REF!</f>
        <v>#REF!</v>
      </c>
    </row>
    <row r="330" spans="2:16" ht="18" customHeight="1">
      <c r="B330" s="193" t="str">
        <f>CONCATENATE(C328,D330)</f>
        <v>계</v>
      </c>
      <c r="C330" s="683"/>
      <c r="D330" s="928" t="s">
        <v>96</v>
      </c>
      <c r="E330" s="928"/>
      <c r="F330" s="928"/>
      <c r="G330" s="684"/>
      <c r="H330" s="928"/>
      <c r="I330" s="928" t="e">
        <f>SUM(I329:I329)</f>
        <v>#REF!</v>
      </c>
      <c r="J330" s="3"/>
      <c r="K330" s="928" t="e">
        <f>SUM(K329:K329)</f>
        <v>#REF!</v>
      </c>
      <c r="L330" s="928"/>
      <c r="M330" s="928" t="e">
        <f>SUM(M329:M329)</f>
        <v>#REF!</v>
      </c>
      <c r="N330" s="928"/>
      <c r="O330" s="928" t="e">
        <f>INT(I330+K330+M330)</f>
        <v>#REF!</v>
      </c>
      <c r="P330" s="685"/>
    </row>
    <row r="331" spans="2:16" ht="18" customHeight="1">
      <c r="C331" s="683"/>
      <c r="D331" s="928"/>
      <c r="E331" s="928"/>
      <c r="F331" s="699"/>
      <c r="G331" s="684"/>
      <c r="H331" s="928"/>
      <c r="I331" s="928"/>
      <c r="J331" s="928"/>
      <c r="K331" s="928"/>
      <c r="L331" s="928"/>
      <c r="M331" s="928"/>
      <c r="N331" s="928"/>
      <c r="O331" s="928"/>
      <c r="P331" s="700"/>
    </row>
    <row r="332" spans="2:16" ht="18" customHeight="1">
      <c r="C332" s="683"/>
      <c r="D332" s="928"/>
      <c r="E332" s="928"/>
      <c r="F332" s="928"/>
      <c r="G332" s="928"/>
      <c r="H332" s="928"/>
      <c r="I332" s="928"/>
      <c r="J332" s="928"/>
      <c r="K332" s="928"/>
      <c r="L332" s="928"/>
      <c r="M332" s="928"/>
      <c r="N332" s="928"/>
      <c r="O332" s="928"/>
      <c r="P332" s="685"/>
    </row>
    <row r="333" spans="2:16" ht="18" customHeight="1">
      <c r="C333" s="683"/>
      <c r="D333" s="928"/>
      <c r="E333" s="928"/>
      <c r="F333" s="928"/>
      <c r="G333" s="928"/>
      <c r="H333" s="928"/>
      <c r="I333" s="928"/>
      <c r="J333" s="928"/>
      <c r="K333" s="928"/>
      <c r="L333" s="928"/>
      <c r="M333" s="928"/>
      <c r="N333" s="928"/>
      <c r="O333" s="928"/>
      <c r="P333" s="685"/>
    </row>
    <row r="334" spans="2:16" ht="18" customHeight="1">
      <c r="C334" s="683"/>
      <c r="D334" s="928"/>
      <c r="E334" s="928"/>
      <c r="F334" s="928"/>
      <c r="G334" s="928"/>
      <c r="H334" s="928"/>
      <c r="I334" s="928"/>
      <c r="J334" s="928"/>
      <c r="K334" s="928"/>
      <c r="L334" s="928"/>
      <c r="M334" s="928"/>
      <c r="N334" s="928"/>
      <c r="O334" s="928"/>
      <c r="P334" s="685"/>
    </row>
    <row r="335" spans="2:16" ht="18" customHeight="1">
      <c r="B335" s="193">
        <f>C335</f>
        <v>0</v>
      </c>
      <c r="C335" s="690"/>
      <c r="D335" s="928" t="e">
        <f>D336</f>
        <v>#REF!</v>
      </c>
      <c r="E335" s="928" t="e">
        <f>E336</f>
        <v>#REF!</v>
      </c>
      <c r="F335" s="928" t="e">
        <f>F336</f>
        <v>#REF!</v>
      </c>
      <c r="G335" s="928"/>
      <c r="H335" s="928"/>
      <c r="I335" s="928"/>
      <c r="J335" s="928"/>
      <c r="K335" s="928"/>
      <c r="L335" s="928"/>
      <c r="M335" s="928"/>
      <c r="N335" s="928"/>
      <c r="O335" s="928"/>
      <c r="P335" s="685"/>
    </row>
    <row r="336" spans="2:16" ht="18" customHeight="1">
      <c r="B336" s="193" t="e">
        <f>#REF!</f>
        <v>#REF!</v>
      </c>
      <c r="C336" s="683"/>
      <c r="D336" s="928" t="e">
        <f>VLOOKUP($B336,#REF!,2,FALSE)</f>
        <v>#REF!</v>
      </c>
      <c r="E336" s="928" t="e">
        <f>VLOOKUP($B336,#REF!,3,FALSE)</f>
        <v>#REF!</v>
      </c>
      <c r="F336" s="699" t="e">
        <f>VLOOKUP($B336,#REF!,4,FALSE)</f>
        <v>#REF!</v>
      </c>
      <c r="G336" s="684">
        <v>1</v>
      </c>
      <c r="H336" s="928" t="s">
        <v>1106</v>
      </c>
      <c r="I336" s="928"/>
      <c r="J336" s="928"/>
      <c r="K336" s="928"/>
      <c r="L336" s="928"/>
      <c r="M336" s="928"/>
      <c r="N336" s="928"/>
      <c r="O336" s="928"/>
      <c r="P336" s="700"/>
    </row>
    <row r="337" spans="2:16" ht="18" customHeight="1">
      <c r="B337" s="193" t="e">
        <f>#REF!</f>
        <v>#REF!</v>
      </c>
      <c r="C337" s="683"/>
      <c r="D337" s="928" t="e">
        <f>VLOOKUP($B337,#REF!,2,FALSE)</f>
        <v>#REF!</v>
      </c>
      <c r="E337" s="928" t="e">
        <f>VLOOKUP($B337,#REF!,3,FALSE)</f>
        <v>#REF!</v>
      </c>
      <c r="F337" s="699" t="s">
        <v>1037</v>
      </c>
      <c r="G337" s="684">
        <v>1.96</v>
      </c>
      <c r="H337" s="928" t="e">
        <f>#REF!</f>
        <v>#REF!</v>
      </c>
      <c r="I337" s="928" t="e">
        <f>INT(G337*H337)</f>
        <v>#REF!</v>
      </c>
      <c r="J337" s="928" t="e">
        <f>#REF!</f>
        <v>#REF!</v>
      </c>
      <c r="K337" s="928" t="e">
        <f>INT(G337*J337)</f>
        <v>#REF!</v>
      </c>
      <c r="L337" s="928" t="e">
        <f>#REF!</f>
        <v>#REF!</v>
      </c>
      <c r="M337" s="928" t="e">
        <f>INT(G337*L337)</f>
        <v>#REF!</v>
      </c>
      <c r="N337" s="928"/>
      <c r="O337" s="928" t="e">
        <f t="shared" ref="O337:O342" si="53">INT(I337+K337+M337)</f>
        <v>#REF!</v>
      </c>
      <c r="P337" s="700" t="s">
        <v>1067</v>
      </c>
    </row>
    <row r="338" spans="2:16" ht="18" customHeight="1">
      <c r="B338" s="193" t="e">
        <f>#REF!</f>
        <v>#REF!</v>
      </c>
      <c r="C338" s="683"/>
      <c r="D338" s="928" t="e">
        <f>VLOOKUP($B338,#REF!,2,FALSE)</f>
        <v>#REF!</v>
      </c>
      <c r="E338" s="928" t="e">
        <f>VLOOKUP($B338,#REF!,3,FALSE)</f>
        <v>#REF!</v>
      </c>
      <c r="F338" s="699" t="s">
        <v>1037</v>
      </c>
      <c r="G338" s="684">
        <v>1.96</v>
      </c>
      <c r="H338" s="928" t="e">
        <f>#REF!</f>
        <v>#REF!</v>
      </c>
      <c r="I338" s="928" t="e">
        <f>INT(G338*H338)</f>
        <v>#REF!</v>
      </c>
      <c r="J338" s="928" t="e">
        <f>#REF!</f>
        <v>#REF!</v>
      </c>
      <c r="K338" s="928" t="e">
        <f>INT(G338*J338)</f>
        <v>#REF!</v>
      </c>
      <c r="L338" s="928" t="e">
        <f>#REF!</f>
        <v>#REF!</v>
      </c>
      <c r="M338" s="928" t="e">
        <f>INT(G338*L338)</f>
        <v>#REF!</v>
      </c>
      <c r="N338" s="928"/>
      <c r="O338" s="928" t="e">
        <f t="shared" si="53"/>
        <v>#REF!</v>
      </c>
      <c r="P338" s="700" t="s">
        <v>1067</v>
      </c>
    </row>
    <row r="339" spans="2:16" ht="18" customHeight="1">
      <c r="C339" s="690"/>
      <c r="D339" s="928" t="s">
        <v>1059</v>
      </c>
      <c r="E339" s="684" t="s">
        <v>1068</v>
      </c>
      <c r="F339" s="928" t="s">
        <v>1038</v>
      </c>
      <c r="G339" s="701">
        <f t="shared" ref="G339:G340" si="54">ROUNDDOWN(dhTextEvaluate(E339),3)</f>
        <v>1.1759999999999999</v>
      </c>
      <c r="H339" s="928"/>
      <c r="I339" s="928">
        <f>INT(G339*H339)</f>
        <v>0</v>
      </c>
      <c r="J339" s="928" t="e">
        <f>VLOOKUP($D339,#REF!,2,FALSE)</f>
        <v>#REF!</v>
      </c>
      <c r="K339" s="928" t="e">
        <f>INT(G339*J339)</f>
        <v>#REF!</v>
      </c>
      <c r="L339" s="1606" t="s">
        <v>1518</v>
      </c>
      <c r="M339" s="1606"/>
      <c r="N339" s="928"/>
      <c r="O339" s="928" t="e">
        <f t="shared" si="53"/>
        <v>#REF!</v>
      </c>
      <c r="P339" s="700" t="s">
        <v>1067</v>
      </c>
    </row>
    <row r="340" spans="2:16" ht="18" customHeight="1">
      <c r="C340" s="690"/>
      <c r="D340" s="928" t="s">
        <v>1060</v>
      </c>
      <c r="E340" s="684" t="s">
        <v>1069</v>
      </c>
      <c r="F340" s="928" t="s">
        <v>1038</v>
      </c>
      <c r="G340" s="701">
        <f t="shared" si="54"/>
        <v>0.9</v>
      </c>
      <c r="H340" s="928"/>
      <c r="I340" s="928">
        <f>INT(G340*H340)</f>
        <v>0</v>
      </c>
      <c r="J340" s="928" t="e">
        <f>VLOOKUP($D340,#REF!,2,FALSE)</f>
        <v>#REF!</v>
      </c>
      <c r="K340" s="928" t="e">
        <f>INT(G340*J340)</f>
        <v>#REF!</v>
      </c>
      <c r="L340" s="1606" t="s">
        <v>1518</v>
      </c>
      <c r="M340" s="1606"/>
      <c r="N340" s="928"/>
      <c r="O340" s="928" t="e">
        <f t="shared" si="53"/>
        <v>#REF!</v>
      </c>
      <c r="P340" s="700" t="s">
        <v>1067</v>
      </c>
    </row>
    <row r="341" spans="2:16" ht="18" customHeight="1">
      <c r="C341" s="683"/>
      <c r="D341" s="928" t="s">
        <v>104</v>
      </c>
      <c r="E341" s="928" t="s">
        <v>41</v>
      </c>
      <c r="F341" s="699" t="s">
        <v>100</v>
      </c>
      <c r="G341" s="684">
        <v>1</v>
      </c>
      <c r="H341" s="928" t="e">
        <f>INT(SUM(K339:K340)*0.03)</f>
        <v>#REF!</v>
      </c>
      <c r="I341" s="928" t="e">
        <f>INT(G341*H341)</f>
        <v>#REF!</v>
      </c>
      <c r="J341" s="928"/>
      <c r="K341" s="928"/>
      <c r="L341" s="928"/>
      <c r="M341" s="928"/>
      <c r="N341" s="928"/>
      <c r="O341" s="928" t="e">
        <f t="shared" si="53"/>
        <v>#REF!</v>
      </c>
      <c r="P341" s="700" t="s">
        <v>42</v>
      </c>
    </row>
    <row r="342" spans="2:16" ht="18" customHeight="1">
      <c r="B342" s="193" t="str">
        <f>C335&amp;"계"</f>
        <v>계</v>
      </c>
      <c r="C342" s="683"/>
      <c r="D342" s="928" t="s">
        <v>96</v>
      </c>
      <c r="E342" s="928"/>
      <c r="F342" s="928"/>
      <c r="G342" s="928"/>
      <c r="H342" s="928"/>
      <c r="I342" s="708" t="e">
        <f>SUM(I337:I341)</f>
        <v>#REF!</v>
      </c>
      <c r="J342" s="708"/>
      <c r="K342" s="708" t="e">
        <f>SUM(K337:K341)</f>
        <v>#REF!</v>
      </c>
      <c r="L342" s="928"/>
      <c r="M342" s="708" t="e">
        <f>SUM(M337:M341)</f>
        <v>#REF!</v>
      </c>
      <c r="N342" s="928"/>
      <c r="O342" s="928" t="e">
        <f t="shared" si="53"/>
        <v>#REF!</v>
      </c>
      <c r="P342" s="685"/>
    </row>
    <row r="343" spans="2:16" ht="18" customHeight="1">
      <c r="C343" s="683"/>
      <c r="D343" s="928"/>
      <c r="E343" s="928"/>
      <c r="F343" s="928"/>
      <c r="G343" s="928"/>
      <c r="H343" s="928"/>
      <c r="I343" s="708"/>
      <c r="J343" s="708"/>
      <c r="K343" s="708"/>
      <c r="L343" s="928"/>
      <c r="M343" s="708"/>
      <c r="N343" s="928"/>
      <c r="O343" s="928"/>
      <c r="P343" s="685"/>
    </row>
    <row r="344" spans="2:16" ht="18" customHeight="1">
      <c r="C344" s="691"/>
      <c r="D344" s="692"/>
      <c r="E344" s="692"/>
      <c r="F344" s="692"/>
      <c r="G344" s="692"/>
      <c r="H344" s="692"/>
      <c r="I344" s="709"/>
      <c r="J344" s="709"/>
      <c r="K344" s="709"/>
      <c r="L344" s="692"/>
      <c r="M344" s="709"/>
      <c r="N344" s="692"/>
      <c r="O344" s="692"/>
      <c r="P344" s="693"/>
    </row>
    <row r="345" spans="2:16" ht="18" customHeight="1">
      <c r="B345" s="193">
        <f>C345</f>
        <v>0</v>
      </c>
      <c r="C345" s="690"/>
      <c r="D345" s="928" t="e">
        <f>D346</f>
        <v>#REF!</v>
      </c>
      <c r="E345" s="928" t="e">
        <f>E346</f>
        <v>#REF!</v>
      </c>
      <c r="F345" s="928" t="e">
        <f>F346</f>
        <v>#REF!</v>
      </c>
      <c r="G345" s="928"/>
      <c r="H345" s="928"/>
      <c r="I345" s="928"/>
      <c r="J345" s="928"/>
      <c r="K345" s="928"/>
      <c r="L345" s="928"/>
      <c r="M345" s="928"/>
      <c r="N345" s="928"/>
      <c r="O345" s="928"/>
      <c r="P345" s="685"/>
    </row>
    <row r="346" spans="2:16" ht="18" customHeight="1">
      <c r="B346" s="193" t="e">
        <f>#REF!</f>
        <v>#REF!</v>
      </c>
      <c r="C346" s="683"/>
      <c r="D346" s="928" t="e">
        <f>VLOOKUP($B346,#REF!,2,FALSE)</f>
        <v>#REF!</v>
      </c>
      <c r="E346" s="928" t="e">
        <f>VLOOKUP($B346,#REF!,3,FALSE)</f>
        <v>#REF!</v>
      </c>
      <c r="F346" s="699" t="e">
        <f>VLOOKUP($B346,#REF!,4,FALSE)</f>
        <v>#REF!</v>
      </c>
      <c r="G346" s="928">
        <v>1</v>
      </c>
      <c r="H346" s="928" t="s">
        <v>1106</v>
      </c>
      <c r="I346" s="928"/>
      <c r="J346" s="928"/>
      <c r="K346" s="928"/>
      <c r="L346" s="928"/>
      <c r="M346" s="928"/>
      <c r="N346" s="928"/>
      <c r="O346" s="928"/>
      <c r="P346" s="700"/>
    </row>
    <row r="347" spans="2:16" ht="18" customHeight="1">
      <c r="B347" s="193" t="e">
        <f>#REF!</f>
        <v>#REF!</v>
      </c>
      <c r="C347" s="683"/>
      <c r="D347" s="928" t="e">
        <f>VLOOKUP($B347,#REF!,2,FALSE)</f>
        <v>#REF!</v>
      </c>
      <c r="E347" s="928" t="e">
        <f>VLOOKUP($B347,#REF!,3,FALSE)</f>
        <v>#REF!</v>
      </c>
      <c r="F347" s="699" t="s">
        <v>1037</v>
      </c>
      <c r="G347" s="684">
        <v>1.96</v>
      </c>
      <c r="H347" s="928" t="e">
        <f>#REF!</f>
        <v>#REF!</v>
      </c>
      <c r="I347" s="928" t="e">
        <f>INT(G347*H347)</f>
        <v>#REF!</v>
      </c>
      <c r="J347" s="928" t="e">
        <f>#REF!</f>
        <v>#REF!</v>
      </c>
      <c r="K347" s="928" t="e">
        <f>INT(G347*J347)</f>
        <v>#REF!</v>
      </c>
      <c r="L347" s="928" t="e">
        <f>#REF!</f>
        <v>#REF!</v>
      </c>
      <c r="M347" s="928" t="e">
        <f>INT(G347*L347)</f>
        <v>#REF!</v>
      </c>
      <c r="N347" s="928"/>
      <c r="O347" s="928" t="e">
        <f t="shared" ref="O347:O352" si="55">INT(I347+K347+M347)</f>
        <v>#REF!</v>
      </c>
      <c r="P347" s="700" t="s">
        <v>1067</v>
      </c>
    </row>
    <row r="348" spans="2:16" ht="18" customHeight="1">
      <c r="B348" s="193" t="e">
        <f>#REF!</f>
        <v>#REF!</v>
      </c>
      <c r="C348" s="683"/>
      <c r="D348" s="928" t="e">
        <f>VLOOKUP($B348,#REF!,2,FALSE)</f>
        <v>#REF!</v>
      </c>
      <c r="E348" s="928" t="e">
        <f>VLOOKUP($B348,#REF!,3,FALSE)</f>
        <v>#REF!</v>
      </c>
      <c r="F348" s="699" t="s">
        <v>1037</v>
      </c>
      <c r="G348" s="684">
        <v>1.96</v>
      </c>
      <c r="H348" s="928" t="e">
        <f>#REF!</f>
        <v>#REF!</v>
      </c>
      <c r="I348" s="928" t="e">
        <f>INT(G348*H348)</f>
        <v>#REF!</v>
      </c>
      <c r="J348" s="928" t="e">
        <f>#REF!</f>
        <v>#REF!</v>
      </c>
      <c r="K348" s="928" t="e">
        <f>INT(G348*J348)</f>
        <v>#REF!</v>
      </c>
      <c r="L348" s="928" t="e">
        <f>#REF!</f>
        <v>#REF!</v>
      </c>
      <c r="M348" s="928" t="e">
        <f>INT(G348*L348)</f>
        <v>#REF!</v>
      </c>
      <c r="N348" s="928"/>
      <c r="O348" s="928" t="e">
        <f t="shared" si="55"/>
        <v>#REF!</v>
      </c>
      <c r="P348" s="700" t="s">
        <v>1067</v>
      </c>
    </row>
    <row r="349" spans="2:16" ht="18" customHeight="1">
      <c r="C349" s="690"/>
      <c r="D349" s="928" t="s">
        <v>1059</v>
      </c>
      <c r="E349" s="684" t="s">
        <v>1070</v>
      </c>
      <c r="F349" s="928" t="s">
        <v>1038</v>
      </c>
      <c r="G349" s="701">
        <f t="shared" ref="G349:G350" si="56">ROUNDDOWN(dhTextEvaluate(E349),3)</f>
        <v>1.92</v>
      </c>
      <c r="H349" s="928"/>
      <c r="I349" s="928">
        <f>INT(G349*H349)</f>
        <v>0</v>
      </c>
      <c r="J349" s="928" t="e">
        <f>VLOOKUP($D349,#REF!,2,FALSE)</f>
        <v>#REF!</v>
      </c>
      <c r="K349" s="928" t="e">
        <f>INT(G349*J349)</f>
        <v>#REF!</v>
      </c>
      <c r="L349" s="1606" t="s">
        <v>1292</v>
      </c>
      <c r="M349" s="1606"/>
      <c r="N349" s="928"/>
      <c r="O349" s="928" t="e">
        <f t="shared" si="55"/>
        <v>#REF!</v>
      </c>
      <c r="P349" s="700" t="s">
        <v>1067</v>
      </c>
    </row>
    <row r="350" spans="2:16" ht="18" customHeight="1">
      <c r="C350" s="690"/>
      <c r="D350" s="928" t="s">
        <v>1060</v>
      </c>
      <c r="E350" s="684" t="s">
        <v>1071</v>
      </c>
      <c r="F350" s="928" t="s">
        <v>1038</v>
      </c>
      <c r="G350" s="701">
        <f t="shared" si="56"/>
        <v>1.47</v>
      </c>
      <c r="H350" s="928"/>
      <c r="I350" s="928">
        <f>INT(G350*H350)</f>
        <v>0</v>
      </c>
      <c r="J350" s="928" t="e">
        <f>VLOOKUP($D350,#REF!,2,FALSE)</f>
        <v>#REF!</v>
      </c>
      <c r="K350" s="928" t="e">
        <f>INT(G350*J350)</f>
        <v>#REF!</v>
      </c>
      <c r="L350" s="1606" t="str">
        <f>L349</f>
        <v>11m 이상:140%,부착대추가:140%</v>
      </c>
      <c r="M350" s="1606"/>
      <c r="N350" s="928"/>
      <c r="O350" s="928" t="e">
        <f t="shared" si="55"/>
        <v>#REF!</v>
      </c>
      <c r="P350" s="700" t="s">
        <v>1067</v>
      </c>
    </row>
    <row r="351" spans="2:16" ht="18" customHeight="1">
      <c r="C351" s="683"/>
      <c r="D351" s="928" t="s">
        <v>104</v>
      </c>
      <c r="E351" s="928" t="s">
        <v>41</v>
      </c>
      <c r="F351" s="699" t="s">
        <v>100</v>
      </c>
      <c r="G351" s="684">
        <v>1</v>
      </c>
      <c r="H351" s="928" t="e">
        <f>INT(SUM(K349:K350)*0.03)</f>
        <v>#REF!</v>
      </c>
      <c r="I351" s="928" t="e">
        <f>INT(G351*H351)</f>
        <v>#REF!</v>
      </c>
      <c r="J351" s="928"/>
      <c r="K351" s="928"/>
      <c r="L351" s="928"/>
      <c r="M351" s="928"/>
      <c r="N351" s="928"/>
      <c r="O351" s="928" t="e">
        <f t="shared" si="55"/>
        <v>#REF!</v>
      </c>
      <c r="P351" s="700" t="s">
        <v>42</v>
      </c>
    </row>
    <row r="352" spans="2:16" ht="18" customHeight="1">
      <c r="B352" s="193" t="str">
        <f>C345&amp;"계"</f>
        <v>계</v>
      </c>
      <c r="C352" s="683"/>
      <c r="D352" s="928" t="s">
        <v>96</v>
      </c>
      <c r="E352" s="928"/>
      <c r="F352" s="928"/>
      <c r="G352" s="928"/>
      <c r="H352" s="928"/>
      <c r="I352" s="708" t="e">
        <f>SUM(I347:I351)</f>
        <v>#REF!</v>
      </c>
      <c r="J352" s="708"/>
      <c r="K352" s="708" t="e">
        <f>SUM(K347:K351)</f>
        <v>#REF!</v>
      </c>
      <c r="L352" s="928"/>
      <c r="M352" s="708" t="e">
        <f>SUM(M347:M351)</f>
        <v>#REF!</v>
      </c>
      <c r="N352" s="928"/>
      <c r="O352" s="928" t="e">
        <f t="shared" si="55"/>
        <v>#REF!</v>
      </c>
      <c r="P352" s="685"/>
    </row>
    <row r="353" spans="2:16" ht="18" customHeight="1">
      <c r="C353" s="683"/>
      <c r="D353" s="928"/>
      <c r="E353" s="928"/>
      <c r="F353" s="928"/>
      <c r="G353" s="928"/>
      <c r="H353" s="928"/>
      <c r="I353" s="708"/>
      <c r="J353" s="708"/>
      <c r="K353" s="708"/>
      <c r="L353" s="928"/>
      <c r="M353" s="708"/>
      <c r="N353" s="928"/>
      <c r="O353" s="928"/>
      <c r="P353" s="685"/>
    </row>
    <row r="354" spans="2:16" ht="18" customHeight="1">
      <c r="B354" s="193">
        <f>C354</f>
        <v>0</v>
      </c>
      <c r="C354" s="728"/>
      <c r="D354" s="681" t="e">
        <f>D355</f>
        <v>#REF!</v>
      </c>
      <c r="E354" s="681" t="e">
        <f>E355</f>
        <v>#REF!</v>
      </c>
      <c r="F354" s="681" t="e">
        <f>F355</f>
        <v>#REF!</v>
      </c>
      <c r="G354" s="681"/>
      <c r="H354" s="681"/>
      <c r="I354" s="681"/>
      <c r="J354" s="681"/>
      <c r="K354" s="681"/>
      <c r="L354" s="681"/>
      <c r="M354" s="681"/>
      <c r="N354" s="681"/>
      <c r="O354" s="681"/>
      <c r="P354" s="730"/>
    </row>
    <row r="355" spans="2:16" ht="18" customHeight="1">
      <c r="B355" s="193" t="e">
        <f>#REF!</f>
        <v>#REF!</v>
      </c>
      <c r="C355" s="683"/>
      <c r="D355" s="928" t="e">
        <f>VLOOKUP($B355,#REF!,2,FALSE)</f>
        <v>#REF!</v>
      </c>
      <c r="E355" s="928" t="e">
        <f>VLOOKUP($B355,#REF!,3,FALSE)</f>
        <v>#REF!</v>
      </c>
      <c r="F355" s="928" t="e">
        <f>VLOOKUP($B355,#REF!,4,FALSE)</f>
        <v>#REF!</v>
      </c>
      <c r="G355" s="928">
        <v>1</v>
      </c>
      <c r="H355" s="928" t="s">
        <v>453</v>
      </c>
      <c r="I355" s="928"/>
      <c r="J355" s="928"/>
      <c r="K355" s="928"/>
      <c r="L355" s="928"/>
      <c r="M355" s="928"/>
      <c r="N355" s="928"/>
      <c r="O355" s="928">
        <f>INT(I355+K355+M355)</f>
        <v>0</v>
      </c>
      <c r="P355" s="685"/>
    </row>
    <row r="356" spans="2:16" ht="18" customHeight="1">
      <c r="C356" s="683"/>
      <c r="D356" s="928" t="s">
        <v>40</v>
      </c>
      <c r="E356" s="696">
        <v>0.3</v>
      </c>
      <c r="F356" s="928" t="s">
        <v>102</v>
      </c>
      <c r="G356" s="688">
        <f>ROUNDDOWN(dhTextEvaluate(E356),3)</f>
        <v>0.3</v>
      </c>
      <c r="H356" s="928"/>
      <c r="I356" s="928"/>
      <c r="J356" s="928" t="e">
        <f>VLOOKUP($D356,#REF!,2,FALSE)</f>
        <v>#REF!</v>
      </c>
      <c r="K356" s="928" t="e">
        <f>INT(G356*J356)</f>
        <v>#REF!</v>
      </c>
      <c r="L356" s="928"/>
      <c r="M356" s="928"/>
      <c r="N356" s="928"/>
      <c r="O356" s="928" t="e">
        <f>INT(I356+K356+M356)</f>
        <v>#REF!</v>
      </c>
      <c r="P356" s="685" t="s">
        <v>1078</v>
      </c>
    </row>
    <row r="357" spans="2:16" ht="18" customHeight="1">
      <c r="C357" s="683"/>
      <c r="D357" s="928" t="s">
        <v>1073</v>
      </c>
      <c r="E357" s="696">
        <v>0.2</v>
      </c>
      <c r="F357" s="928" t="s">
        <v>102</v>
      </c>
      <c r="G357" s="688">
        <f>ROUNDDOWN(dhTextEvaluate(E357),3)</f>
        <v>0.2</v>
      </c>
      <c r="H357" s="928"/>
      <c r="I357" s="928"/>
      <c r="J357" s="928" t="e">
        <f>VLOOKUP($D357,#REF!,2,FALSE)</f>
        <v>#REF!</v>
      </c>
      <c r="K357" s="928" t="e">
        <f>INT(G357*J357)</f>
        <v>#REF!</v>
      </c>
      <c r="L357" s="928"/>
      <c r="M357" s="928"/>
      <c r="N357" s="928"/>
      <c r="O357" s="928" t="e">
        <f>INT(I357+K357+M357)</f>
        <v>#REF!</v>
      </c>
      <c r="P357" s="685" t="s">
        <v>1078</v>
      </c>
    </row>
    <row r="358" spans="2:16" ht="18" customHeight="1">
      <c r="C358" s="683"/>
      <c r="D358" s="928" t="s">
        <v>403</v>
      </c>
      <c r="E358" s="696" t="s">
        <v>41</v>
      </c>
      <c r="F358" s="928" t="s">
        <v>100</v>
      </c>
      <c r="G358" s="688">
        <v>1</v>
      </c>
      <c r="H358" s="928" t="e">
        <f>INT(SUM(K359)*0.03)</f>
        <v>#REF!</v>
      </c>
      <c r="I358" s="928" t="e">
        <f>INT(G358*H358)</f>
        <v>#REF!</v>
      </c>
      <c r="J358" s="928"/>
      <c r="K358" s="928"/>
      <c r="L358" s="928"/>
      <c r="M358" s="928"/>
      <c r="N358" s="928"/>
      <c r="O358" s="928" t="e">
        <f>INT(I358+K358+M358)</f>
        <v>#REF!</v>
      </c>
      <c r="P358" s="685" t="s">
        <v>42</v>
      </c>
    </row>
    <row r="359" spans="2:16" ht="18" customHeight="1">
      <c r="B359" s="193" t="str">
        <f>CONCATENATE(C354,D359)</f>
        <v>계</v>
      </c>
      <c r="C359" s="683"/>
      <c r="D359" s="928" t="s">
        <v>96</v>
      </c>
      <c r="E359" s="689"/>
      <c r="F359" s="928"/>
      <c r="G359" s="928"/>
      <c r="H359" s="928"/>
      <c r="I359" s="929" t="e">
        <f>SUM(I355:I358)</f>
        <v>#REF!</v>
      </c>
      <c r="J359" s="928"/>
      <c r="K359" s="928" t="e">
        <f>SUM(K355:K358)</f>
        <v>#REF!</v>
      </c>
      <c r="L359" s="928"/>
      <c r="M359" s="928">
        <f>SUM(M355:M358)</f>
        <v>0</v>
      </c>
      <c r="N359" s="928"/>
      <c r="O359" s="928" t="e">
        <f>INT(I359+K359+M359)</f>
        <v>#REF!</v>
      </c>
      <c r="P359" s="685"/>
    </row>
    <row r="360" spans="2:16" ht="18" customHeight="1">
      <c r="C360" s="683"/>
      <c r="D360" s="928"/>
      <c r="E360" s="928"/>
      <c r="F360" s="928"/>
      <c r="G360" s="928"/>
      <c r="H360" s="928"/>
      <c r="I360" s="928"/>
      <c r="J360" s="928"/>
      <c r="K360" s="928"/>
      <c r="L360" s="928"/>
      <c r="M360" s="928"/>
      <c r="N360" s="928"/>
      <c r="O360" s="928"/>
      <c r="P360" s="685"/>
    </row>
    <row r="361" spans="2:16" ht="18" customHeight="1">
      <c r="B361" s="193">
        <f>C361</f>
        <v>0</v>
      </c>
      <c r="C361" s="690"/>
      <c r="D361" s="928" t="e">
        <f>D362</f>
        <v>#REF!</v>
      </c>
      <c r="E361" s="928" t="e">
        <f>E362</f>
        <v>#REF!</v>
      </c>
      <c r="F361" s="928" t="e">
        <f>F362</f>
        <v>#REF!</v>
      </c>
      <c r="G361" s="928"/>
      <c r="H361" s="928"/>
      <c r="I361" s="928"/>
      <c r="J361" s="928"/>
      <c r="K361" s="928"/>
      <c r="L361" s="928"/>
      <c r="M361" s="928"/>
      <c r="N361" s="928"/>
      <c r="O361" s="928"/>
      <c r="P361" s="685"/>
    </row>
    <row r="362" spans="2:16" ht="18" customHeight="1">
      <c r="B362" s="193" t="e">
        <f>#REF!</f>
        <v>#REF!</v>
      </c>
      <c r="C362" s="683"/>
      <c r="D362" s="928" t="e">
        <f>VLOOKUP($B362,#REF!,2,FALSE)</f>
        <v>#REF!</v>
      </c>
      <c r="E362" s="928" t="e">
        <f>VLOOKUP($B362,#REF!,3,FALSE)</f>
        <v>#REF!</v>
      </c>
      <c r="F362" s="928" t="e">
        <f>VLOOKUP($B362,#REF!,4,FALSE)</f>
        <v>#REF!</v>
      </c>
      <c r="G362" s="928">
        <v>1</v>
      </c>
      <c r="H362" s="928" t="e">
        <f>VLOOKUP($B362,#REF!,11,FALSE)</f>
        <v>#REF!</v>
      </c>
      <c r="I362" s="928" t="e">
        <f>INT(G362*H362)</f>
        <v>#REF!</v>
      </c>
      <c r="J362" s="928"/>
      <c r="K362" s="928"/>
      <c r="L362" s="928"/>
      <c r="M362" s="928"/>
      <c r="N362" s="928"/>
      <c r="O362" s="928" t="e">
        <f>INT(I362+K362+M362)</f>
        <v>#REF!</v>
      </c>
      <c r="P362" s="685"/>
    </row>
    <row r="363" spans="2:16" ht="18" customHeight="1">
      <c r="C363" s="683"/>
      <c r="D363" s="928" t="s">
        <v>40</v>
      </c>
      <c r="E363" s="696">
        <v>0.3</v>
      </c>
      <c r="F363" s="928" t="s">
        <v>102</v>
      </c>
      <c r="G363" s="688">
        <f>ROUNDDOWN(dhTextEvaluate(E363),3)</f>
        <v>0.3</v>
      </c>
      <c r="H363" s="928"/>
      <c r="I363" s="928"/>
      <c r="J363" s="928" t="e">
        <f>VLOOKUP($D363,#REF!,2,FALSE)</f>
        <v>#REF!</v>
      </c>
      <c r="K363" s="928" t="e">
        <f>INT(G363*J363)</f>
        <v>#REF!</v>
      </c>
      <c r="L363" s="928"/>
      <c r="M363" s="928"/>
      <c r="N363" s="928"/>
      <c r="O363" s="928" t="e">
        <f>INT(I363+K363+M363)</f>
        <v>#REF!</v>
      </c>
      <c r="P363" s="685" t="s">
        <v>1078</v>
      </c>
    </row>
    <row r="364" spans="2:16" ht="18" customHeight="1">
      <c r="C364" s="683"/>
      <c r="D364" s="928" t="s">
        <v>1073</v>
      </c>
      <c r="E364" s="696">
        <v>0.2</v>
      </c>
      <c r="F364" s="928" t="s">
        <v>102</v>
      </c>
      <c r="G364" s="688">
        <f>ROUNDDOWN(dhTextEvaluate(E364),3)</f>
        <v>0.2</v>
      </c>
      <c r="H364" s="928"/>
      <c r="I364" s="928"/>
      <c r="J364" s="928" t="e">
        <f>VLOOKUP($D364,#REF!,2,FALSE)</f>
        <v>#REF!</v>
      </c>
      <c r="K364" s="928" t="e">
        <f>INT(G364*J364)</f>
        <v>#REF!</v>
      </c>
      <c r="L364" s="928"/>
      <c r="M364" s="928"/>
      <c r="N364" s="928"/>
      <c r="O364" s="928" t="e">
        <f>INT(I364+K364+M364)</f>
        <v>#REF!</v>
      </c>
      <c r="P364" s="685" t="s">
        <v>1078</v>
      </c>
    </row>
    <row r="365" spans="2:16" ht="18" customHeight="1">
      <c r="C365" s="683"/>
      <c r="D365" s="928" t="s">
        <v>403</v>
      </c>
      <c r="E365" s="696" t="s">
        <v>41</v>
      </c>
      <c r="F365" s="928" t="s">
        <v>100</v>
      </c>
      <c r="G365" s="688">
        <v>1</v>
      </c>
      <c r="H365" s="928" t="e">
        <f>INT(SUM(K366)*0.03)</f>
        <v>#REF!</v>
      </c>
      <c r="I365" s="928" t="e">
        <f>INT(G365*H365)</f>
        <v>#REF!</v>
      </c>
      <c r="J365" s="928"/>
      <c r="K365" s="928"/>
      <c r="L365" s="928"/>
      <c r="M365" s="928"/>
      <c r="N365" s="928"/>
      <c r="O365" s="928" t="e">
        <f>INT(I365+K365+M365)</f>
        <v>#REF!</v>
      </c>
      <c r="P365" s="685" t="s">
        <v>42</v>
      </c>
    </row>
    <row r="366" spans="2:16" ht="18" customHeight="1">
      <c r="B366" s="193" t="str">
        <f>CONCATENATE(C361,D366)</f>
        <v>계</v>
      </c>
      <c r="C366" s="683"/>
      <c r="D366" s="928" t="s">
        <v>96</v>
      </c>
      <c r="E366" s="689"/>
      <c r="F366" s="928"/>
      <c r="G366" s="928"/>
      <c r="H366" s="928"/>
      <c r="I366" s="929" t="e">
        <f>SUM(I362:I365)</f>
        <v>#REF!</v>
      </c>
      <c r="J366" s="928"/>
      <c r="K366" s="928" t="e">
        <f>SUM(K362:K365)</f>
        <v>#REF!</v>
      </c>
      <c r="L366" s="928"/>
      <c r="M366" s="928">
        <f>SUM(M362:M365)</f>
        <v>0</v>
      </c>
      <c r="N366" s="928"/>
      <c r="O366" s="928" t="e">
        <f>INT(I366+K366+M366)</f>
        <v>#REF!</v>
      </c>
      <c r="P366" s="685"/>
    </row>
    <row r="367" spans="2:16" ht="18" customHeight="1">
      <c r="C367" s="683"/>
      <c r="D367" s="928"/>
      <c r="E367" s="928"/>
      <c r="F367" s="928"/>
      <c r="G367" s="928"/>
      <c r="H367" s="928"/>
      <c r="I367" s="928"/>
      <c r="J367" s="928"/>
      <c r="K367" s="928"/>
      <c r="L367" s="928"/>
      <c r="M367" s="928"/>
      <c r="N367" s="928"/>
      <c r="O367" s="928"/>
      <c r="P367" s="685"/>
    </row>
    <row r="368" spans="2:16" ht="18" customHeight="1">
      <c r="B368" s="193">
        <f>C368</f>
        <v>0</v>
      </c>
      <c r="C368" s="690"/>
      <c r="D368" s="928" t="e">
        <f>D369</f>
        <v>#REF!</v>
      </c>
      <c r="E368" s="928" t="e">
        <f>E369</f>
        <v>#REF!</v>
      </c>
      <c r="F368" s="928" t="e">
        <f>F369</f>
        <v>#REF!</v>
      </c>
      <c r="G368" s="928"/>
      <c r="H368" s="928"/>
      <c r="I368" s="928"/>
      <c r="J368" s="928"/>
      <c r="K368" s="928"/>
      <c r="L368" s="928"/>
      <c r="M368" s="928"/>
      <c r="N368" s="928"/>
      <c r="O368" s="928"/>
      <c r="P368" s="685"/>
    </row>
    <row r="369" spans="2:16" ht="18" customHeight="1">
      <c r="B369" s="193" t="e">
        <f>#REF!</f>
        <v>#REF!</v>
      </c>
      <c r="C369" s="683"/>
      <c r="D369" s="928" t="e">
        <f>VLOOKUP($B369,#REF!,2,FALSE)</f>
        <v>#REF!</v>
      </c>
      <c r="E369" s="928" t="e">
        <f>VLOOKUP($B369,#REF!,3,FALSE)</f>
        <v>#REF!</v>
      </c>
      <c r="F369" s="928" t="e">
        <f>VLOOKUP($B369,#REF!,4,FALSE)</f>
        <v>#REF!</v>
      </c>
      <c r="G369" s="928">
        <v>1</v>
      </c>
      <c r="H369" s="928" t="e">
        <f>VLOOKUP($B369,#REF!,11,FALSE)</f>
        <v>#REF!</v>
      </c>
      <c r="I369" s="928" t="e">
        <f>INT(G369*H369)</f>
        <v>#REF!</v>
      </c>
      <c r="J369" s="928"/>
      <c r="K369" s="928"/>
      <c r="L369" s="928"/>
      <c r="M369" s="928"/>
      <c r="N369" s="928"/>
      <c r="O369" s="928" t="e">
        <f>INT(I369+K369+M369)</f>
        <v>#REF!</v>
      </c>
      <c r="P369" s="685"/>
    </row>
    <row r="370" spans="2:16" ht="18" customHeight="1">
      <c r="C370" s="683"/>
      <c r="D370" s="928" t="s">
        <v>40</v>
      </c>
      <c r="E370" s="696">
        <v>0.21</v>
      </c>
      <c r="F370" s="928" t="s">
        <v>102</v>
      </c>
      <c r="G370" s="688">
        <f>ROUNDDOWN(dhTextEvaluate(E370),3)</f>
        <v>0.21</v>
      </c>
      <c r="H370" s="928"/>
      <c r="I370" s="928"/>
      <c r="J370" s="928" t="e">
        <f>VLOOKUP($D370,#REF!,2,FALSE)</f>
        <v>#REF!</v>
      </c>
      <c r="K370" s="928" t="e">
        <f>INT(G370*J370)</f>
        <v>#REF!</v>
      </c>
      <c r="L370" s="928"/>
      <c r="M370" s="928"/>
      <c r="N370" s="928"/>
      <c r="O370" s="928" t="e">
        <f>INT(I370+K370+M370)</f>
        <v>#REF!</v>
      </c>
      <c r="P370" s="685" t="s">
        <v>1087</v>
      </c>
    </row>
    <row r="371" spans="2:16" ht="18" customHeight="1">
      <c r="C371" s="683"/>
      <c r="D371" s="928" t="s">
        <v>403</v>
      </c>
      <c r="E371" s="696" t="s">
        <v>41</v>
      </c>
      <c r="F371" s="928" t="s">
        <v>100</v>
      </c>
      <c r="G371" s="688">
        <v>1</v>
      </c>
      <c r="H371" s="928" t="e">
        <f>INT(SUM(K372)*0.03)</f>
        <v>#REF!</v>
      </c>
      <c r="I371" s="928" t="e">
        <f>INT(G371*H371)</f>
        <v>#REF!</v>
      </c>
      <c r="J371" s="928"/>
      <c r="K371" s="928"/>
      <c r="L371" s="928"/>
      <c r="M371" s="928"/>
      <c r="N371" s="928"/>
      <c r="O371" s="928" t="e">
        <f>INT(I371+K371+M371)</f>
        <v>#REF!</v>
      </c>
      <c r="P371" s="685" t="s">
        <v>42</v>
      </c>
    </row>
    <row r="372" spans="2:16" ht="18" customHeight="1">
      <c r="B372" s="193" t="str">
        <f>CONCATENATE(C368,D372)</f>
        <v>계</v>
      </c>
      <c r="C372" s="683"/>
      <c r="D372" s="928" t="s">
        <v>96</v>
      </c>
      <c r="E372" s="689"/>
      <c r="F372" s="928"/>
      <c r="G372" s="928"/>
      <c r="H372" s="928"/>
      <c r="I372" s="929" t="e">
        <f>SUM(I369:I371)</f>
        <v>#REF!</v>
      </c>
      <c r="J372" s="928"/>
      <c r="K372" s="928" t="e">
        <f>SUM(K369:K371)</f>
        <v>#REF!</v>
      </c>
      <c r="L372" s="928"/>
      <c r="M372" s="928">
        <f>SUM(M369:M371)</f>
        <v>0</v>
      </c>
      <c r="N372" s="928"/>
      <c r="O372" s="928" t="e">
        <f>INT(I372+K372+M372)</f>
        <v>#REF!</v>
      </c>
      <c r="P372" s="685"/>
    </row>
    <row r="373" spans="2:16" ht="18" customHeight="1">
      <c r="C373" s="683"/>
      <c r="D373" s="928"/>
      <c r="E373" s="928"/>
      <c r="F373" s="928"/>
      <c r="G373" s="928"/>
      <c r="H373" s="928"/>
      <c r="I373" s="928"/>
      <c r="J373" s="928"/>
      <c r="K373" s="928"/>
      <c r="L373" s="928"/>
      <c r="M373" s="928"/>
      <c r="N373" s="928"/>
      <c r="O373" s="928"/>
      <c r="P373" s="685"/>
    </row>
    <row r="374" spans="2:16" ht="18" customHeight="1">
      <c r="B374" s="193">
        <f>C374</f>
        <v>0</v>
      </c>
      <c r="C374" s="728"/>
      <c r="D374" s="681" t="e">
        <f>D375</f>
        <v>#REF!</v>
      </c>
      <c r="E374" s="681" t="e">
        <f>E375</f>
        <v>#REF!</v>
      </c>
      <c r="F374" s="681" t="e">
        <f>F375</f>
        <v>#REF!</v>
      </c>
      <c r="G374" s="681"/>
      <c r="H374" s="681"/>
      <c r="I374" s="681"/>
      <c r="J374" s="681"/>
      <c r="K374" s="681"/>
      <c r="L374" s="681"/>
      <c r="M374" s="681"/>
      <c r="N374" s="681"/>
      <c r="O374" s="681"/>
      <c r="P374" s="730"/>
    </row>
    <row r="375" spans="2:16" ht="18" customHeight="1">
      <c r="B375" s="193" t="e">
        <f>#REF!</f>
        <v>#REF!</v>
      </c>
      <c r="C375" s="683"/>
      <c r="D375" s="928" t="e">
        <f>VLOOKUP($B375,#REF!,2,FALSE)</f>
        <v>#REF!</v>
      </c>
      <c r="E375" s="928" t="e">
        <f>VLOOKUP($B375,#REF!,3,FALSE)</f>
        <v>#REF!</v>
      </c>
      <c r="F375" s="928" t="e">
        <f>VLOOKUP($B375,#REF!,4,FALSE)</f>
        <v>#REF!</v>
      </c>
      <c r="G375" s="928">
        <v>1</v>
      </c>
      <c r="H375" s="928" t="s">
        <v>453</v>
      </c>
      <c r="I375" s="928"/>
      <c r="J375" s="928"/>
      <c r="K375" s="928"/>
      <c r="L375" s="928"/>
      <c r="M375" s="928"/>
      <c r="N375" s="928"/>
      <c r="O375" s="928">
        <f>INT(I375+K375+M375)</f>
        <v>0</v>
      </c>
      <c r="P375" s="685"/>
    </row>
    <row r="376" spans="2:16" ht="18" customHeight="1">
      <c r="B376" s="193" t="e">
        <f>#REF!</f>
        <v>#REF!</v>
      </c>
      <c r="C376" s="683"/>
      <c r="D376" s="928" t="e">
        <f>VLOOKUP($B376,#REF!,2,FALSE)</f>
        <v>#REF!</v>
      </c>
      <c r="E376" s="928" t="e">
        <f>VLOOKUP($B376,#REF!,3,FALSE)</f>
        <v>#REF!</v>
      </c>
      <c r="F376" s="928" t="e">
        <f>VLOOKUP($B376,#REF!,4,FALSE)</f>
        <v>#REF!</v>
      </c>
      <c r="G376" s="928">
        <v>30</v>
      </c>
      <c r="H376" s="928" t="e">
        <f>VLOOKUP($B376,#REF!,11,FALSE)</f>
        <v>#REF!</v>
      </c>
      <c r="I376" s="928" t="e">
        <f>INT(G376*H376)</f>
        <v>#REF!</v>
      </c>
      <c r="J376" s="928"/>
      <c r="K376" s="928"/>
      <c r="L376" s="928"/>
      <c r="M376" s="928"/>
      <c r="N376" s="928"/>
      <c r="O376" s="928" t="e">
        <f>INT(I376+K376+M376)</f>
        <v>#REF!</v>
      </c>
      <c r="P376" s="685"/>
    </row>
    <row r="377" spans="2:16" ht="18" customHeight="1">
      <c r="B377" s="193" t="e">
        <f>#REF!</f>
        <v>#REF!</v>
      </c>
      <c r="C377" s="683"/>
      <c r="D377" s="928" t="e">
        <f>VLOOKUP($B377,#REF!,2,FALSE)</f>
        <v>#REF!</v>
      </c>
      <c r="E377" s="928" t="e">
        <f>VLOOKUP($B377,#REF!,3,FALSE)</f>
        <v>#REF!</v>
      </c>
      <c r="F377" s="928" t="e">
        <f>VLOOKUP($B377,#REF!,4,FALSE)</f>
        <v>#REF!</v>
      </c>
      <c r="G377" s="928">
        <v>3</v>
      </c>
      <c r="H377" s="928" t="e">
        <f>VLOOKUP($B377,#REF!,11,FALSE)</f>
        <v>#REF!</v>
      </c>
      <c r="I377" s="928" t="e">
        <f>INT(G377*H377)</f>
        <v>#REF!</v>
      </c>
      <c r="J377" s="928"/>
      <c r="K377" s="928"/>
      <c r="L377" s="928"/>
      <c r="M377" s="928"/>
      <c r="N377" s="928"/>
      <c r="O377" s="928" t="e">
        <f>INT(I377+K377+M377)</f>
        <v>#REF!</v>
      </c>
      <c r="P377" s="685"/>
    </row>
    <row r="378" spans="2:16" ht="18" customHeight="1">
      <c r="B378" s="193" t="str">
        <f>CONCATENATE(C374,D378)</f>
        <v>계</v>
      </c>
      <c r="C378" s="683"/>
      <c r="D378" s="928" t="s">
        <v>96</v>
      </c>
      <c r="E378" s="689"/>
      <c r="F378" s="928"/>
      <c r="G378" s="928"/>
      <c r="H378" s="928"/>
      <c r="I378" s="929" t="e">
        <f>SUM(I375:I377)</f>
        <v>#REF!</v>
      </c>
      <c r="J378" s="928"/>
      <c r="K378" s="928">
        <f>SUM(K375:K377)</f>
        <v>0</v>
      </c>
      <c r="L378" s="928"/>
      <c r="M378" s="928">
        <f>SUM(M375:M377)</f>
        <v>0</v>
      </c>
      <c r="N378" s="928"/>
      <c r="O378" s="928" t="e">
        <f>INT(I378+K378+M378)</f>
        <v>#REF!</v>
      </c>
      <c r="P378" s="685"/>
    </row>
    <row r="379" spans="2:16" ht="18" customHeight="1">
      <c r="C379" s="683"/>
      <c r="D379" s="928"/>
      <c r="E379" s="928"/>
      <c r="F379" s="928"/>
      <c r="G379" s="928"/>
      <c r="H379" s="928"/>
      <c r="I379" s="928"/>
      <c r="J379" s="928"/>
      <c r="K379" s="928"/>
      <c r="L379" s="928"/>
      <c r="M379" s="928"/>
      <c r="N379" s="928"/>
      <c r="O379" s="928"/>
      <c r="P379" s="685"/>
    </row>
    <row r="380" spans="2:16" ht="18" customHeight="1">
      <c r="B380" s="193">
        <f>C380</f>
        <v>0</v>
      </c>
      <c r="C380" s="690"/>
      <c r="D380" s="928" t="e">
        <f>D381</f>
        <v>#REF!</v>
      </c>
      <c r="E380" s="928" t="e">
        <f>E381</f>
        <v>#REF!</v>
      </c>
      <c r="F380" s="928" t="e">
        <f>F381</f>
        <v>#REF!</v>
      </c>
      <c r="G380" s="928"/>
      <c r="H380" s="928"/>
      <c r="I380" s="928"/>
      <c r="J380" s="928"/>
      <c r="K380" s="928"/>
      <c r="L380" s="928"/>
      <c r="M380" s="928"/>
      <c r="N380" s="928"/>
      <c r="O380" s="928"/>
      <c r="P380" s="685"/>
    </row>
    <row r="381" spans="2:16" ht="18" customHeight="1">
      <c r="B381" s="193" t="e">
        <f>#REF!</f>
        <v>#REF!</v>
      </c>
      <c r="C381" s="683"/>
      <c r="D381" s="928" t="e">
        <f>VLOOKUP($B381,#REF!,2,FALSE)</f>
        <v>#REF!</v>
      </c>
      <c r="E381" s="928" t="e">
        <f>VLOOKUP($B381,#REF!,3,FALSE)</f>
        <v>#REF!</v>
      </c>
      <c r="F381" s="928" t="e">
        <f>VLOOKUP($B381,#REF!,4,FALSE)</f>
        <v>#REF!</v>
      </c>
      <c r="G381" s="928">
        <v>1</v>
      </c>
      <c r="H381" s="928" t="s">
        <v>453</v>
      </c>
      <c r="I381" s="928"/>
      <c r="J381" s="928"/>
      <c r="K381" s="928"/>
      <c r="L381" s="928"/>
      <c r="M381" s="928"/>
      <c r="N381" s="928"/>
      <c r="O381" s="928">
        <f>INT(I381+K381+M381)</f>
        <v>0</v>
      </c>
      <c r="P381" s="685"/>
    </row>
    <row r="382" spans="2:16" ht="18" customHeight="1">
      <c r="B382" s="193" t="e">
        <f>#REF!</f>
        <v>#REF!</v>
      </c>
      <c r="C382" s="683"/>
      <c r="D382" s="928" t="e">
        <f>VLOOKUP($B382,#REF!,2,FALSE)</f>
        <v>#REF!</v>
      </c>
      <c r="E382" s="928" t="e">
        <f>VLOOKUP($B382,#REF!,3,FALSE)</f>
        <v>#REF!</v>
      </c>
      <c r="F382" s="928" t="e">
        <f>VLOOKUP($B382,#REF!,4,FALSE)</f>
        <v>#REF!</v>
      </c>
      <c r="G382" s="928">
        <v>24</v>
      </c>
      <c r="H382" s="928" t="e">
        <f>VLOOKUP($B382,#REF!,11,FALSE)</f>
        <v>#REF!</v>
      </c>
      <c r="I382" s="928" t="e">
        <f>INT(G382*H382)</f>
        <v>#REF!</v>
      </c>
      <c r="J382" s="928"/>
      <c r="K382" s="928"/>
      <c r="L382" s="928"/>
      <c r="M382" s="928"/>
      <c r="N382" s="928"/>
      <c r="O382" s="928" t="e">
        <f>INT(I382+K382+M382)</f>
        <v>#REF!</v>
      </c>
      <c r="P382" s="685"/>
    </row>
    <row r="383" spans="2:16" ht="18" customHeight="1">
      <c r="B383" s="193" t="e">
        <f>#REF!</f>
        <v>#REF!</v>
      </c>
      <c r="C383" s="683"/>
      <c r="D383" s="928" t="e">
        <f>VLOOKUP($B383,#REF!,2,FALSE)</f>
        <v>#REF!</v>
      </c>
      <c r="E383" s="928" t="e">
        <f>VLOOKUP($B383,#REF!,3,FALSE)</f>
        <v>#REF!</v>
      </c>
      <c r="F383" s="928" t="e">
        <f>VLOOKUP($B383,#REF!,4,FALSE)</f>
        <v>#REF!</v>
      </c>
      <c r="G383" s="928">
        <v>3</v>
      </c>
      <c r="H383" s="928" t="e">
        <f>VLOOKUP($B383,#REF!,11,FALSE)</f>
        <v>#REF!</v>
      </c>
      <c r="I383" s="928" t="e">
        <f>INT(G383*H383)</f>
        <v>#REF!</v>
      </c>
      <c r="J383" s="928"/>
      <c r="K383" s="928"/>
      <c r="L383" s="928"/>
      <c r="M383" s="928"/>
      <c r="N383" s="928"/>
      <c r="O383" s="928" t="e">
        <f>INT(I383+K383+M383)</f>
        <v>#REF!</v>
      </c>
      <c r="P383" s="685"/>
    </row>
    <row r="384" spans="2:16" ht="18" customHeight="1">
      <c r="B384" s="193" t="str">
        <f>CONCATENATE(C380,D384)</f>
        <v>계</v>
      </c>
      <c r="C384" s="683"/>
      <c r="D384" s="928" t="s">
        <v>96</v>
      </c>
      <c r="E384" s="689"/>
      <c r="F384" s="928"/>
      <c r="G384" s="928"/>
      <c r="H384" s="928"/>
      <c r="I384" s="929" t="e">
        <f>SUM(I381:I383)</f>
        <v>#REF!</v>
      </c>
      <c r="J384" s="928"/>
      <c r="K384" s="928">
        <f>SUM(K381:K383)</f>
        <v>0</v>
      </c>
      <c r="L384" s="928"/>
      <c r="M384" s="928">
        <f>SUM(M381:M383)</f>
        <v>0</v>
      </c>
      <c r="N384" s="928"/>
      <c r="O384" s="928" t="e">
        <f>INT(I384+K384+M384)</f>
        <v>#REF!</v>
      </c>
      <c r="P384" s="685"/>
    </row>
    <row r="385" spans="2:16" ht="18" customHeight="1">
      <c r="C385" s="683"/>
      <c r="D385" s="928"/>
      <c r="E385" s="928"/>
      <c r="F385" s="928"/>
      <c r="G385" s="928"/>
      <c r="H385" s="928"/>
      <c r="I385" s="928"/>
      <c r="J385" s="928"/>
      <c r="K385" s="928"/>
      <c r="L385" s="928"/>
      <c r="M385" s="928"/>
      <c r="N385" s="928"/>
      <c r="O385" s="928"/>
      <c r="P385" s="685"/>
    </row>
    <row r="386" spans="2:16" ht="18" customHeight="1">
      <c r="B386" s="193">
        <f>C386</f>
        <v>0</v>
      </c>
      <c r="C386" s="690"/>
      <c r="D386" s="928" t="e">
        <f>D387</f>
        <v>#REF!</v>
      </c>
      <c r="E386" s="928" t="e">
        <f>E387</f>
        <v>#REF!</v>
      </c>
      <c r="F386" s="928" t="e">
        <f>F387</f>
        <v>#REF!</v>
      </c>
      <c r="G386" s="928"/>
      <c r="H386" s="928"/>
      <c r="I386" s="928"/>
      <c r="J386" s="928"/>
      <c r="K386" s="928"/>
      <c r="L386" s="928"/>
      <c r="M386" s="928"/>
      <c r="N386" s="928"/>
      <c r="O386" s="928"/>
      <c r="P386" s="685"/>
    </row>
    <row r="387" spans="2:16" ht="18" customHeight="1">
      <c r="B387" s="193" t="e">
        <f>#REF!</f>
        <v>#REF!</v>
      </c>
      <c r="C387" s="683"/>
      <c r="D387" s="928" t="e">
        <f>VLOOKUP($B387,#REF!,2,FALSE)</f>
        <v>#REF!</v>
      </c>
      <c r="E387" s="928" t="e">
        <f>VLOOKUP($B387,#REF!,3,FALSE)</f>
        <v>#REF!</v>
      </c>
      <c r="F387" s="928" t="e">
        <f>VLOOKUP($B387,#REF!,4,FALSE)</f>
        <v>#REF!</v>
      </c>
      <c r="G387" s="928">
        <v>1</v>
      </c>
      <c r="H387" s="928" t="s">
        <v>453</v>
      </c>
      <c r="I387" s="928"/>
      <c r="J387" s="928"/>
      <c r="K387" s="928"/>
      <c r="L387" s="928"/>
      <c r="M387" s="928"/>
      <c r="N387" s="928"/>
      <c r="O387" s="928">
        <f>INT(I387+K387+M387)</f>
        <v>0</v>
      </c>
      <c r="P387" s="685"/>
    </row>
    <row r="388" spans="2:16" ht="18" customHeight="1">
      <c r="B388" s="193" t="e">
        <f>#REF!</f>
        <v>#REF!</v>
      </c>
      <c r="C388" s="683"/>
      <c r="D388" s="928" t="e">
        <f>VLOOKUP($B388,#REF!,2,FALSE)</f>
        <v>#REF!</v>
      </c>
      <c r="E388" s="928" t="e">
        <f>VLOOKUP($B388,#REF!,3,FALSE)</f>
        <v>#REF!</v>
      </c>
      <c r="F388" s="928" t="e">
        <f>VLOOKUP($B388,#REF!,4,FALSE)</f>
        <v>#REF!</v>
      </c>
      <c r="G388" s="928">
        <v>14</v>
      </c>
      <c r="H388" s="928" t="e">
        <f>VLOOKUP($B388,#REF!,11,FALSE)</f>
        <v>#REF!</v>
      </c>
      <c r="I388" s="928" t="e">
        <f>INT(G388*H388)</f>
        <v>#REF!</v>
      </c>
      <c r="J388" s="928"/>
      <c r="K388" s="928"/>
      <c r="L388" s="928"/>
      <c r="M388" s="928"/>
      <c r="N388" s="928"/>
      <c r="O388" s="928" t="e">
        <f>INT(I388+K388+M388)</f>
        <v>#REF!</v>
      </c>
      <c r="P388" s="685"/>
    </row>
    <row r="389" spans="2:16" ht="18" customHeight="1">
      <c r="B389" s="193" t="e">
        <f>#REF!</f>
        <v>#REF!</v>
      </c>
      <c r="C389" s="683"/>
      <c r="D389" s="928" t="e">
        <f>VLOOKUP($B389,#REF!,2,FALSE)</f>
        <v>#REF!</v>
      </c>
      <c r="E389" s="928" t="e">
        <f>VLOOKUP($B389,#REF!,3,FALSE)</f>
        <v>#REF!</v>
      </c>
      <c r="F389" s="928" t="e">
        <f>VLOOKUP($B389,#REF!,4,FALSE)</f>
        <v>#REF!</v>
      </c>
      <c r="G389" s="928">
        <v>2</v>
      </c>
      <c r="H389" s="928" t="e">
        <f>VLOOKUP($B389,#REF!,11,FALSE)</f>
        <v>#REF!</v>
      </c>
      <c r="I389" s="928" t="e">
        <f>INT(G389*H389)</f>
        <v>#REF!</v>
      </c>
      <c r="J389" s="928"/>
      <c r="K389" s="928"/>
      <c r="L389" s="928"/>
      <c r="M389" s="928"/>
      <c r="N389" s="928"/>
      <c r="O389" s="928" t="e">
        <f>INT(I389+K389+M389)</f>
        <v>#REF!</v>
      </c>
      <c r="P389" s="685"/>
    </row>
    <row r="390" spans="2:16" ht="18" customHeight="1">
      <c r="B390" s="193" t="str">
        <f>CONCATENATE(C386,D390)</f>
        <v>계</v>
      </c>
      <c r="C390" s="683"/>
      <c r="D390" s="928" t="s">
        <v>96</v>
      </c>
      <c r="E390" s="689"/>
      <c r="F390" s="928"/>
      <c r="G390" s="928"/>
      <c r="H390" s="928"/>
      <c r="I390" s="929" t="e">
        <f>SUM(I387:I389)</f>
        <v>#REF!</v>
      </c>
      <c r="J390" s="928"/>
      <c r="K390" s="928">
        <f>SUM(K387:K389)</f>
        <v>0</v>
      </c>
      <c r="L390" s="928"/>
      <c r="M390" s="928">
        <f>SUM(M387:M389)</f>
        <v>0</v>
      </c>
      <c r="N390" s="928"/>
      <c r="O390" s="928" t="e">
        <f>INT(I390+K390+M390)</f>
        <v>#REF!</v>
      </c>
      <c r="P390" s="685"/>
    </row>
    <row r="391" spans="2:16" ht="18" customHeight="1">
      <c r="C391" s="683"/>
      <c r="D391" s="928"/>
      <c r="E391" s="928"/>
      <c r="F391" s="928"/>
      <c r="G391" s="928"/>
      <c r="H391" s="928"/>
      <c r="I391" s="928"/>
      <c r="J391" s="928"/>
      <c r="K391" s="928"/>
      <c r="L391" s="928"/>
      <c r="M391" s="928"/>
      <c r="N391" s="928"/>
      <c r="O391" s="928"/>
      <c r="P391" s="685"/>
    </row>
    <row r="392" spans="2:16" ht="18" customHeight="1">
      <c r="B392" s="193">
        <f>C392</f>
        <v>0</v>
      </c>
      <c r="C392" s="728"/>
      <c r="D392" s="681" t="e">
        <f>D393</f>
        <v>#REF!</v>
      </c>
      <c r="E392" s="681" t="e">
        <f>E393</f>
        <v>#REF!</v>
      </c>
      <c r="F392" s="681" t="e">
        <f>F393</f>
        <v>#REF!</v>
      </c>
      <c r="G392" s="681"/>
      <c r="H392" s="681"/>
      <c r="I392" s="681"/>
      <c r="J392" s="681"/>
      <c r="K392" s="681"/>
      <c r="L392" s="681"/>
      <c r="M392" s="681"/>
      <c r="N392" s="681"/>
      <c r="O392" s="681"/>
      <c r="P392" s="730"/>
    </row>
    <row r="393" spans="2:16" ht="18" customHeight="1">
      <c r="B393" s="193" t="e">
        <f>#REF!</f>
        <v>#REF!</v>
      </c>
      <c r="C393" s="683"/>
      <c r="D393" s="928" t="e">
        <f>VLOOKUP($B393,#REF!,2,FALSE)</f>
        <v>#REF!</v>
      </c>
      <c r="E393" s="928" t="e">
        <f>VLOOKUP($B393,#REF!,3,FALSE)</f>
        <v>#REF!</v>
      </c>
      <c r="F393" s="928" t="e">
        <f>VLOOKUP($B393,#REF!,4,FALSE)</f>
        <v>#REF!</v>
      </c>
      <c r="G393" s="928">
        <v>1</v>
      </c>
      <c r="H393" s="928" t="e">
        <f>VLOOKUP($B393,#REF!,11,FALSE)</f>
        <v>#REF!</v>
      </c>
      <c r="I393" s="928" t="e">
        <f>INT(G393*H393)</f>
        <v>#REF!</v>
      </c>
      <c r="J393" s="928"/>
      <c r="K393" s="928"/>
      <c r="L393" s="928"/>
      <c r="M393" s="928"/>
      <c r="N393" s="928"/>
      <c r="O393" s="928" t="e">
        <f>INT(I393+K393+M393)</f>
        <v>#REF!</v>
      </c>
      <c r="P393" s="685"/>
    </row>
    <row r="394" spans="2:16" ht="18" customHeight="1">
      <c r="B394" s="193" t="e">
        <f>#REF!</f>
        <v>#REF!</v>
      </c>
      <c r="C394" s="683"/>
      <c r="D394" s="928" t="e">
        <f>VLOOKUP($B394,#REF!,2,FALSE)</f>
        <v>#REF!</v>
      </c>
      <c r="E394" s="928" t="e">
        <f>VLOOKUP($B394,#REF!,3,FALSE)</f>
        <v>#REF!</v>
      </c>
      <c r="F394" s="928" t="e">
        <f>VLOOKUP($B394,#REF!,4,FALSE)</f>
        <v>#REF!</v>
      </c>
      <c r="G394" s="928">
        <v>24</v>
      </c>
      <c r="H394" s="928" t="e">
        <f>VLOOKUP($B394,#REF!,11,FALSE)</f>
        <v>#REF!</v>
      </c>
      <c r="I394" s="928" t="e">
        <f>INT(G394*H394)</f>
        <v>#REF!</v>
      </c>
      <c r="J394" s="928"/>
      <c r="K394" s="928"/>
      <c r="L394" s="928"/>
      <c r="M394" s="928"/>
      <c r="N394" s="928"/>
      <c r="O394" s="928" t="e">
        <f>INT(I394+K394+M394)</f>
        <v>#REF!</v>
      </c>
      <c r="P394" s="685"/>
    </row>
    <row r="395" spans="2:16" ht="18" customHeight="1">
      <c r="B395" s="193" t="e">
        <f>#REF!</f>
        <v>#REF!</v>
      </c>
      <c r="C395" s="683"/>
      <c r="D395" s="928" t="e">
        <f>VLOOKUP($B395,#REF!,2,FALSE)</f>
        <v>#REF!</v>
      </c>
      <c r="E395" s="928" t="e">
        <f>VLOOKUP($B395,#REF!,3,FALSE)</f>
        <v>#REF!</v>
      </c>
      <c r="F395" s="928" t="e">
        <f>VLOOKUP($B395,#REF!,4,FALSE)</f>
        <v>#REF!</v>
      </c>
      <c r="G395" s="928">
        <v>3</v>
      </c>
      <c r="H395" s="928" t="e">
        <f>VLOOKUP($B395,#REF!,11,FALSE)</f>
        <v>#REF!</v>
      </c>
      <c r="I395" s="928" t="e">
        <f>INT(G395*H395)</f>
        <v>#REF!</v>
      </c>
      <c r="J395" s="928"/>
      <c r="K395" s="928"/>
      <c r="L395" s="928"/>
      <c r="M395" s="928"/>
      <c r="N395" s="928"/>
      <c r="O395" s="928" t="e">
        <f>INT(I395+K395+M395)</f>
        <v>#REF!</v>
      </c>
      <c r="P395" s="685"/>
    </row>
    <row r="396" spans="2:16" ht="18" customHeight="1">
      <c r="C396" s="683"/>
      <c r="D396" s="928" t="s">
        <v>1084</v>
      </c>
      <c r="E396" s="696">
        <v>0.02</v>
      </c>
      <c r="F396" s="928" t="s">
        <v>102</v>
      </c>
      <c r="G396" s="688">
        <f t="shared" ref="G396:G398" si="57">ROUNDDOWN(dhTextEvaluate(E396),3)</f>
        <v>0.02</v>
      </c>
      <c r="H396" s="928"/>
      <c r="I396" s="928"/>
      <c r="J396" s="928" t="e">
        <f>VLOOKUP($D396,#REF!,2,FALSE)</f>
        <v>#REF!</v>
      </c>
      <c r="K396" s="928" t="e">
        <f>INT(G396*J396)</f>
        <v>#REF!</v>
      </c>
      <c r="L396" s="928"/>
      <c r="M396" s="928"/>
      <c r="N396" s="928"/>
      <c r="O396" s="928" t="e">
        <f t="shared" ref="O396:O398" si="58">INT(I396+K396+M396)</f>
        <v>#REF!</v>
      </c>
      <c r="P396" s="685" t="s">
        <v>1085</v>
      </c>
    </row>
    <row r="397" spans="2:16" ht="18" customHeight="1">
      <c r="C397" s="683"/>
      <c r="D397" s="928" t="s">
        <v>1084</v>
      </c>
      <c r="E397" s="696">
        <v>4.8000000000000001E-2</v>
      </c>
      <c r="F397" s="928" t="s">
        <v>102</v>
      </c>
      <c r="G397" s="688">
        <f t="shared" si="57"/>
        <v>4.8000000000000001E-2</v>
      </c>
      <c r="H397" s="928"/>
      <c r="I397" s="928"/>
      <c r="J397" s="928" t="e">
        <f>VLOOKUP($D397,#REF!,2,FALSE)</f>
        <v>#REF!</v>
      </c>
      <c r="K397" s="928" t="e">
        <f>INT(G397*J397)</f>
        <v>#REF!</v>
      </c>
      <c r="L397" s="928"/>
      <c r="M397" s="928"/>
      <c r="N397" s="928"/>
      <c r="O397" s="928" t="e">
        <f t="shared" si="58"/>
        <v>#REF!</v>
      </c>
      <c r="P397" s="685" t="s">
        <v>1086</v>
      </c>
    </row>
    <row r="398" spans="2:16" ht="18" customHeight="1">
      <c r="C398" s="683"/>
      <c r="D398" s="928" t="s">
        <v>1073</v>
      </c>
      <c r="E398" s="696">
        <v>2.4E-2</v>
      </c>
      <c r="F398" s="928" t="s">
        <v>102</v>
      </c>
      <c r="G398" s="688">
        <f t="shared" si="57"/>
        <v>2.4E-2</v>
      </c>
      <c r="H398" s="928"/>
      <c r="I398" s="928"/>
      <c r="J398" s="928" t="e">
        <f>VLOOKUP($D398,#REF!,2,FALSE)</f>
        <v>#REF!</v>
      </c>
      <c r="K398" s="928" t="e">
        <f>INT(G398*J398)</f>
        <v>#REF!</v>
      </c>
      <c r="L398" s="928"/>
      <c r="M398" s="928"/>
      <c r="N398" s="928"/>
      <c r="O398" s="928" t="e">
        <f t="shared" si="58"/>
        <v>#REF!</v>
      </c>
      <c r="P398" s="685" t="s">
        <v>1086</v>
      </c>
    </row>
    <row r="399" spans="2:16" ht="18" customHeight="1">
      <c r="C399" s="683"/>
      <c r="D399" s="928" t="s">
        <v>403</v>
      </c>
      <c r="E399" s="696" t="s">
        <v>41</v>
      </c>
      <c r="F399" s="928" t="s">
        <v>100</v>
      </c>
      <c r="G399" s="688">
        <v>1</v>
      </c>
      <c r="H399" s="928" t="e">
        <f>INT(SUM(K400)*0.03)</f>
        <v>#REF!</v>
      </c>
      <c r="I399" s="928" t="e">
        <f>INT(G399*H399)</f>
        <v>#REF!</v>
      </c>
      <c r="J399" s="928"/>
      <c r="K399" s="928"/>
      <c r="L399" s="928"/>
      <c r="M399" s="928"/>
      <c r="N399" s="928"/>
      <c r="O399" s="928" t="e">
        <f>INT(I399+K399+M399)</f>
        <v>#REF!</v>
      </c>
      <c r="P399" s="685" t="s">
        <v>42</v>
      </c>
    </row>
    <row r="400" spans="2:16" ht="18" customHeight="1">
      <c r="B400" s="193" t="str">
        <f>CONCATENATE(C392,D400)</f>
        <v>계</v>
      </c>
      <c r="C400" s="683"/>
      <c r="D400" s="928" t="s">
        <v>96</v>
      </c>
      <c r="E400" s="689"/>
      <c r="F400" s="928"/>
      <c r="G400" s="928"/>
      <c r="H400" s="928"/>
      <c r="I400" s="929" t="e">
        <f>SUM(I393:I399)</f>
        <v>#REF!</v>
      </c>
      <c r="J400" s="928"/>
      <c r="K400" s="928" t="e">
        <f>SUM(K393:K399)</f>
        <v>#REF!</v>
      </c>
      <c r="L400" s="928"/>
      <c r="M400" s="928">
        <f>SUM(M393:M399)</f>
        <v>0</v>
      </c>
      <c r="N400" s="928"/>
      <c r="O400" s="928" t="e">
        <f>INT(I400+K400+M400)</f>
        <v>#REF!</v>
      </c>
      <c r="P400" s="685"/>
    </row>
    <row r="401" spans="2:16" ht="18" customHeight="1">
      <c r="C401" s="683"/>
      <c r="D401" s="928"/>
      <c r="E401" s="928"/>
      <c r="F401" s="928"/>
      <c r="G401" s="928"/>
      <c r="H401" s="928"/>
      <c r="I401" s="928"/>
      <c r="J401" s="928"/>
      <c r="K401" s="928"/>
      <c r="L401" s="928"/>
      <c r="M401" s="928"/>
      <c r="N401" s="928"/>
      <c r="O401" s="928"/>
      <c r="P401" s="685"/>
    </row>
    <row r="402" spans="2:16" ht="18" customHeight="1">
      <c r="B402" s="193">
        <f>C402</f>
        <v>0</v>
      </c>
      <c r="C402" s="690"/>
      <c r="D402" s="928" t="e">
        <f>D403</f>
        <v>#REF!</v>
      </c>
      <c r="E402" s="928" t="e">
        <f>E403</f>
        <v>#REF!</v>
      </c>
      <c r="F402" s="928" t="e">
        <f>F403</f>
        <v>#REF!</v>
      </c>
      <c r="G402" s="928"/>
      <c r="H402" s="928"/>
      <c r="I402" s="928"/>
      <c r="J402" s="928"/>
      <c r="K402" s="928"/>
      <c r="L402" s="928"/>
      <c r="M402" s="928"/>
      <c r="N402" s="928"/>
      <c r="O402" s="928"/>
      <c r="P402" s="685"/>
    </row>
    <row r="403" spans="2:16" ht="18" customHeight="1">
      <c r="B403" s="193" t="e">
        <f>#REF!</f>
        <v>#REF!</v>
      </c>
      <c r="C403" s="683"/>
      <c r="D403" s="928" t="e">
        <f>VLOOKUP($B403,#REF!,2,FALSE)</f>
        <v>#REF!</v>
      </c>
      <c r="E403" s="928" t="e">
        <f>VLOOKUP($B403,#REF!,3,FALSE)</f>
        <v>#REF!</v>
      </c>
      <c r="F403" s="699" t="e">
        <f>VLOOKUP($B403,#REF!,4,FALSE)</f>
        <v>#REF!</v>
      </c>
      <c r="G403" s="684">
        <v>1</v>
      </c>
      <c r="H403" s="928"/>
      <c r="I403" s="928"/>
      <c r="J403" s="928"/>
      <c r="K403" s="928"/>
      <c r="L403" s="928"/>
      <c r="M403" s="928"/>
      <c r="N403" s="928"/>
      <c r="O403" s="928"/>
      <c r="P403" s="700"/>
    </row>
    <row r="404" spans="2:16" ht="18" customHeight="1">
      <c r="B404" s="193" t="e">
        <f>#REF!</f>
        <v>#REF!</v>
      </c>
      <c r="C404" s="683"/>
      <c r="D404" s="928" t="e">
        <f>VLOOKUP($B404,#REF!,2,FALSE)</f>
        <v>#REF!</v>
      </c>
      <c r="E404" s="928" t="e">
        <f>VLOOKUP($B404,#REF!,3,FALSE)</f>
        <v>#REF!</v>
      </c>
      <c r="F404" s="699" t="s">
        <v>1037</v>
      </c>
      <c r="G404" s="684">
        <f>1.96*0.5</f>
        <v>0.98</v>
      </c>
      <c r="H404" s="928" t="e">
        <f>#REF!</f>
        <v>#REF!</v>
      </c>
      <c r="I404" s="928" t="e">
        <f t="shared" ref="I404:I409" si="59">INT(G404*H404)</f>
        <v>#REF!</v>
      </c>
      <c r="J404" s="928" t="e">
        <f>#REF!</f>
        <v>#REF!</v>
      </c>
      <c r="K404" s="928" t="e">
        <f>INT(G404*J404)</f>
        <v>#REF!</v>
      </c>
      <c r="L404" s="928" t="e">
        <f>#REF!</f>
        <v>#REF!</v>
      </c>
      <c r="M404" s="928" t="e">
        <f>INT(G404*L404)</f>
        <v>#REF!</v>
      </c>
      <c r="N404" s="928"/>
      <c r="O404" s="928" t="e">
        <f t="shared" ref="O404:O410" si="60">INT(I404+K404+M404)</f>
        <v>#REF!</v>
      </c>
      <c r="P404" s="700" t="s">
        <v>1067</v>
      </c>
    </row>
    <row r="405" spans="2:16" ht="18" customHeight="1">
      <c r="B405" s="193" t="e">
        <f>#REF!</f>
        <v>#REF!</v>
      </c>
      <c r="C405" s="683"/>
      <c r="D405" s="928" t="e">
        <f>VLOOKUP($B405,#REF!,2,FALSE)</f>
        <v>#REF!</v>
      </c>
      <c r="E405" s="928" t="e">
        <f>VLOOKUP($B405,#REF!,3,FALSE)</f>
        <v>#REF!</v>
      </c>
      <c r="F405" s="699" t="s">
        <v>1037</v>
      </c>
      <c r="G405" s="684">
        <f>1.96*0.5</f>
        <v>0.98</v>
      </c>
      <c r="H405" s="928" t="e">
        <f>#REF!</f>
        <v>#REF!</v>
      </c>
      <c r="I405" s="928" t="e">
        <f t="shared" si="59"/>
        <v>#REF!</v>
      </c>
      <c r="J405" s="928" t="e">
        <f>#REF!</f>
        <v>#REF!</v>
      </c>
      <c r="K405" s="928" t="e">
        <f>INT(G405*J405)</f>
        <v>#REF!</v>
      </c>
      <c r="L405" s="928" t="e">
        <f>#REF!</f>
        <v>#REF!</v>
      </c>
      <c r="M405" s="928" t="e">
        <f>INT(G405*L405)</f>
        <v>#REF!</v>
      </c>
      <c r="N405" s="928"/>
      <c r="O405" s="928" t="e">
        <f t="shared" si="60"/>
        <v>#REF!</v>
      </c>
      <c r="P405" s="700" t="s">
        <v>1067</v>
      </c>
    </row>
    <row r="406" spans="2:16" ht="18" customHeight="1">
      <c r="C406" s="690"/>
      <c r="D406" s="928" t="s">
        <v>1059</v>
      </c>
      <c r="E406" s="684" t="s">
        <v>1089</v>
      </c>
      <c r="F406" s="928" t="s">
        <v>1038</v>
      </c>
      <c r="G406" s="701">
        <f t="shared" ref="G406:G407" si="61">ROUNDDOWN(dhTextEvaluate(E406),3)</f>
        <v>0.49</v>
      </c>
      <c r="H406" s="928"/>
      <c r="I406" s="928">
        <f t="shared" si="59"/>
        <v>0</v>
      </c>
      <c r="J406" s="928" t="e">
        <f>VLOOKUP($D406,#REF!,2,FALSE)</f>
        <v>#REF!</v>
      </c>
      <c r="K406" s="928" t="e">
        <f>INT(G406*J406)</f>
        <v>#REF!</v>
      </c>
      <c r="L406" s="1606" t="s">
        <v>1088</v>
      </c>
      <c r="M406" s="1606"/>
      <c r="N406" s="928"/>
      <c r="O406" s="928" t="e">
        <f t="shared" si="60"/>
        <v>#REF!</v>
      </c>
      <c r="P406" s="700" t="s">
        <v>1067</v>
      </c>
    </row>
    <row r="407" spans="2:16" ht="18" customHeight="1">
      <c r="C407" s="690"/>
      <c r="D407" s="928" t="s">
        <v>1060</v>
      </c>
      <c r="E407" s="684" t="s">
        <v>1090</v>
      </c>
      <c r="F407" s="928" t="s">
        <v>1038</v>
      </c>
      <c r="G407" s="701">
        <f t="shared" si="61"/>
        <v>0.375</v>
      </c>
      <c r="H407" s="928"/>
      <c r="I407" s="928">
        <f t="shared" si="59"/>
        <v>0</v>
      </c>
      <c r="J407" s="928" t="e">
        <f>VLOOKUP($D407,#REF!,2,FALSE)</f>
        <v>#REF!</v>
      </c>
      <c r="K407" s="928" t="e">
        <f>INT(G407*J407)</f>
        <v>#REF!</v>
      </c>
      <c r="L407" s="1606" t="s">
        <v>1088</v>
      </c>
      <c r="M407" s="1606"/>
      <c r="N407" s="928"/>
      <c r="O407" s="928" t="e">
        <f t="shared" si="60"/>
        <v>#REF!</v>
      </c>
      <c r="P407" s="700" t="s">
        <v>1067</v>
      </c>
    </row>
    <row r="408" spans="2:16" ht="18" customHeight="1">
      <c r="C408" s="683"/>
      <c r="D408" s="928" t="s">
        <v>104</v>
      </c>
      <c r="E408" s="928" t="s">
        <v>41</v>
      </c>
      <c r="F408" s="699" t="s">
        <v>100</v>
      </c>
      <c r="G408" s="684">
        <v>1</v>
      </c>
      <c r="H408" s="928" t="e">
        <f>INT(SUM(K406:K407)*0.03)</f>
        <v>#REF!</v>
      </c>
      <c r="I408" s="928" t="e">
        <f t="shared" si="59"/>
        <v>#REF!</v>
      </c>
      <c r="J408" s="928"/>
      <c r="K408" s="928"/>
      <c r="L408" s="928"/>
      <c r="M408" s="928"/>
      <c r="N408" s="928"/>
      <c r="O408" s="928" t="e">
        <f t="shared" si="60"/>
        <v>#REF!</v>
      </c>
      <c r="P408" s="700" t="s">
        <v>42</v>
      </c>
    </row>
    <row r="409" spans="2:16" ht="18" customHeight="1">
      <c r="B409" s="193" t="e">
        <f>#REF!</f>
        <v>#REF!</v>
      </c>
      <c r="C409" s="683"/>
      <c r="D409" s="928" t="e">
        <f>VLOOKUP($B409,#REF!,2,FALSE)</f>
        <v>#REF!</v>
      </c>
      <c r="E409" s="928" t="e">
        <f>VLOOKUP($B409,#REF!,3,FALSE)</f>
        <v>#REF!</v>
      </c>
      <c r="F409" s="928" t="e">
        <f>VLOOKUP($B409,#REF!,4,FALSE)</f>
        <v>#REF!</v>
      </c>
      <c r="G409" s="684">
        <v>300</v>
      </c>
      <c r="H409" s="928" t="e">
        <f>-VLOOKUP($B409,#REF!,11,FALSE)</f>
        <v>#REF!</v>
      </c>
      <c r="I409" s="928" t="e">
        <f t="shared" si="59"/>
        <v>#REF!</v>
      </c>
      <c r="J409" s="928">
        <f>IF(ISERROR(VLOOKUP($B409,일위11,12,FALSE)),0,VLOOKUP($B409,일위11,12,FALSE))</f>
        <v>0</v>
      </c>
      <c r="K409" s="928">
        <f>INT(G409*J409)</f>
        <v>0</v>
      </c>
      <c r="L409" s="928">
        <f>IF(ISERROR(VLOOKUP($B409,일위11,14,FALSE)),0,VLOOKUP($B409,일위11,14,FALSE))</f>
        <v>0</v>
      </c>
      <c r="M409" s="928">
        <f>INT(G409*L409)</f>
        <v>0</v>
      </c>
      <c r="N409" s="928"/>
      <c r="O409" s="928" t="e">
        <f t="shared" si="60"/>
        <v>#REF!</v>
      </c>
      <c r="P409" s="700">
        <f>IF(ISERROR(VLOOKUP($B409,일위11,4,FALSE)),0,VLOOKUP($B409,일위11,4,FALSE))</f>
        <v>0</v>
      </c>
    </row>
    <row r="410" spans="2:16" ht="18" customHeight="1">
      <c r="B410" s="193" t="str">
        <f>C402&amp;"계"</f>
        <v>계</v>
      </c>
      <c r="C410" s="683"/>
      <c r="D410" s="928" t="s">
        <v>96</v>
      </c>
      <c r="E410" s="928"/>
      <c r="F410" s="928"/>
      <c r="G410" s="928"/>
      <c r="H410" s="928"/>
      <c r="I410" s="708" t="e">
        <f>SUM(I404:I409)</f>
        <v>#REF!</v>
      </c>
      <c r="J410" s="708"/>
      <c r="K410" s="708" t="e">
        <f>SUM(K404:K409)</f>
        <v>#REF!</v>
      </c>
      <c r="L410" s="928"/>
      <c r="M410" s="708" t="e">
        <f>SUM(M404:M409)</f>
        <v>#REF!</v>
      </c>
      <c r="N410" s="928"/>
      <c r="O410" s="928" t="e">
        <f t="shared" si="60"/>
        <v>#REF!</v>
      </c>
      <c r="P410" s="685"/>
    </row>
    <row r="411" spans="2:16" ht="18" customHeight="1">
      <c r="C411" s="683"/>
      <c r="D411" s="928"/>
      <c r="E411" s="928"/>
      <c r="F411" s="928"/>
      <c r="G411" s="928"/>
      <c r="H411" s="928"/>
      <c r="I411" s="708"/>
      <c r="J411" s="708"/>
      <c r="K411" s="708"/>
      <c r="L411" s="928"/>
      <c r="M411" s="708"/>
      <c r="N411" s="928"/>
      <c r="O411" s="928"/>
      <c r="P411" s="685"/>
    </row>
    <row r="412" spans="2:16" ht="18" customHeight="1">
      <c r="C412" s="683"/>
      <c r="D412" s="928"/>
      <c r="E412" s="928"/>
      <c r="F412" s="928"/>
      <c r="G412" s="928"/>
      <c r="H412" s="928"/>
      <c r="I412" s="708"/>
      <c r="J412" s="708"/>
      <c r="K412" s="708"/>
      <c r="L412" s="928"/>
      <c r="M412" s="708"/>
      <c r="N412" s="928"/>
      <c r="O412" s="928"/>
      <c r="P412" s="685"/>
    </row>
    <row r="413" spans="2:16" ht="18" customHeight="1">
      <c r="C413" s="683"/>
      <c r="D413" s="928"/>
      <c r="E413" s="928"/>
      <c r="F413" s="928"/>
      <c r="G413" s="928"/>
      <c r="H413" s="928"/>
      <c r="I413" s="708"/>
      <c r="J413" s="708"/>
      <c r="K413" s="708"/>
      <c r="L413" s="928"/>
      <c r="M413" s="708"/>
      <c r="N413" s="928"/>
      <c r="O413" s="928"/>
      <c r="P413" s="685"/>
    </row>
    <row r="414" spans="2:16" ht="18" customHeight="1">
      <c r="C414" s="691"/>
      <c r="D414" s="692"/>
      <c r="E414" s="692"/>
      <c r="F414" s="692"/>
      <c r="G414" s="692"/>
      <c r="H414" s="692"/>
      <c r="I414" s="709"/>
      <c r="J414" s="709"/>
      <c r="K414" s="709"/>
      <c r="L414" s="692"/>
      <c r="M414" s="709"/>
      <c r="N414" s="692"/>
      <c r="O414" s="692"/>
      <c r="P414" s="693"/>
    </row>
    <row r="415" spans="2:16" ht="18" customHeight="1">
      <c r="B415" s="193">
        <f>C415</f>
        <v>0</v>
      </c>
      <c r="C415" s="690"/>
      <c r="D415" s="928" t="e">
        <f>D416</f>
        <v>#REF!</v>
      </c>
      <c r="E415" s="928" t="e">
        <f>E416</f>
        <v>#REF!</v>
      </c>
      <c r="F415" s="699" t="e">
        <f>F416</f>
        <v>#REF!</v>
      </c>
      <c r="G415" s="684"/>
      <c r="H415" s="928"/>
      <c r="I415" s="928"/>
      <c r="J415" s="928"/>
      <c r="K415" s="928"/>
      <c r="L415" s="928"/>
      <c r="M415" s="928"/>
      <c r="N415" s="928"/>
      <c r="O415" s="928"/>
      <c r="P415" s="700"/>
    </row>
    <row r="416" spans="2:16" ht="18" customHeight="1">
      <c r="B416" s="193" t="e">
        <f>#REF!</f>
        <v>#REF!</v>
      </c>
      <c r="C416" s="683"/>
      <c r="D416" s="928" t="e">
        <f>VLOOKUP($B416,#REF!,2,FALSE)</f>
        <v>#REF!</v>
      </c>
      <c r="E416" s="928" t="e">
        <f>VLOOKUP($B416,#REF!,3,FALSE)</f>
        <v>#REF!</v>
      </c>
      <c r="F416" s="699" t="e">
        <f>VLOOKUP($B416,#REF!,4,FALSE)</f>
        <v>#REF!</v>
      </c>
      <c r="G416" s="928">
        <v>1</v>
      </c>
      <c r="H416" s="928"/>
      <c r="I416" s="928"/>
      <c r="J416" s="928"/>
      <c r="K416" s="928"/>
      <c r="L416" s="928"/>
      <c r="M416" s="928"/>
      <c r="N416" s="928"/>
      <c r="O416" s="928"/>
      <c r="P416" s="700"/>
    </row>
    <row r="417" spans="2:16" ht="18" customHeight="1">
      <c r="B417" s="193" t="e">
        <f>#REF!</f>
        <v>#REF!</v>
      </c>
      <c r="C417" s="683"/>
      <c r="D417" s="928" t="e">
        <f>VLOOKUP($B417,#REF!,2,FALSE)</f>
        <v>#REF!</v>
      </c>
      <c r="E417" s="928" t="e">
        <f>VLOOKUP($B417,#REF!,3,FALSE)</f>
        <v>#REF!</v>
      </c>
      <c r="F417" s="699" t="s">
        <v>1037</v>
      </c>
      <c r="G417" s="684">
        <f>0.43*0.5</f>
        <v>0.215</v>
      </c>
      <c r="H417" s="928" t="e">
        <f>#REF!</f>
        <v>#REF!</v>
      </c>
      <c r="I417" s="928" t="e">
        <f t="shared" ref="I417:I422" si="62">INT(G417*H417)</f>
        <v>#REF!</v>
      </c>
      <c r="J417" s="928" t="e">
        <f>#REF!</f>
        <v>#REF!</v>
      </c>
      <c r="K417" s="928" t="e">
        <f t="shared" ref="K417:K422" si="63">INT(G417*J417)</f>
        <v>#REF!</v>
      </c>
      <c r="L417" s="928" t="e">
        <f>#REF!</f>
        <v>#REF!</v>
      </c>
      <c r="M417" s="928" t="e">
        <f>INT(G417*L417)</f>
        <v>#REF!</v>
      </c>
      <c r="N417" s="928"/>
      <c r="O417" s="928" t="e">
        <f t="shared" ref="O417:O422" si="64">INT(I417+K417+M417)</f>
        <v>#REF!</v>
      </c>
      <c r="P417" s="700" t="s">
        <v>1091</v>
      </c>
    </row>
    <row r="418" spans="2:16" ht="18" customHeight="1">
      <c r="B418" s="193" t="e">
        <f>#REF!</f>
        <v>#REF!</v>
      </c>
      <c r="C418" s="683"/>
      <c r="D418" s="928" t="e">
        <f>VLOOKUP($B418,#REF!,2,FALSE)</f>
        <v>#REF!</v>
      </c>
      <c r="E418" s="928" t="e">
        <f>VLOOKUP($B418,#REF!,3,FALSE)</f>
        <v>#REF!</v>
      </c>
      <c r="F418" s="699" t="s">
        <v>1037</v>
      </c>
      <c r="G418" s="684">
        <f>G417*0.24</f>
        <v>5.16E-2</v>
      </c>
      <c r="H418" s="928" t="e">
        <f>#REF!</f>
        <v>#REF!</v>
      </c>
      <c r="I418" s="928" t="e">
        <f t="shared" si="62"/>
        <v>#REF!</v>
      </c>
      <c r="J418" s="928" t="e">
        <f>#REF!</f>
        <v>#REF!</v>
      </c>
      <c r="K418" s="928" t="e">
        <f t="shared" si="63"/>
        <v>#REF!</v>
      </c>
      <c r="L418" s="928" t="e">
        <f>#REF!</f>
        <v>#REF!</v>
      </c>
      <c r="M418" s="928" t="e">
        <f>INT(G418*L418)</f>
        <v>#REF!</v>
      </c>
      <c r="N418" s="928"/>
      <c r="O418" s="928" t="e">
        <f t="shared" si="64"/>
        <v>#REF!</v>
      </c>
      <c r="P418" s="700" t="s">
        <v>1091</v>
      </c>
    </row>
    <row r="419" spans="2:16" ht="18" customHeight="1">
      <c r="C419" s="690"/>
      <c r="D419" s="928" t="s">
        <v>1059</v>
      </c>
      <c r="E419" s="684" t="s">
        <v>1092</v>
      </c>
      <c r="F419" s="928" t="s">
        <v>1038</v>
      </c>
      <c r="G419" s="701">
        <f t="shared" ref="G419:G420" si="65">ROUNDDOWN(dhTextEvaluate(E419),3)</f>
        <v>0.04</v>
      </c>
      <c r="H419" s="928"/>
      <c r="I419" s="928">
        <f t="shared" si="62"/>
        <v>0</v>
      </c>
      <c r="J419" s="928" t="e">
        <f>VLOOKUP($D419,#REF!,2,FALSE)</f>
        <v>#REF!</v>
      </c>
      <c r="K419" s="928" t="e">
        <f t="shared" si="63"/>
        <v>#REF!</v>
      </c>
      <c r="L419" s="1606" t="s">
        <v>1088</v>
      </c>
      <c r="M419" s="1606"/>
      <c r="N419" s="928"/>
      <c r="O419" s="928" t="e">
        <f t="shared" si="64"/>
        <v>#REF!</v>
      </c>
      <c r="P419" s="700" t="s">
        <v>1091</v>
      </c>
    </row>
    <row r="420" spans="2:16" ht="18" customHeight="1">
      <c r="C420" s="690"/>
      <c r="D420" s="928" t="s">
        <v>1060</v>
      </c>
      <c r="E420" s="684" t="s">
        <v>1093</v>
      </c>
      <c r="F420" s="928" t="s">
        <v>1038</v>
      </c>
      <c r="G420" s="701">
        <f t="shared" si="65"/>
        <v>9.5000000000000001E-2</v>
      </c>
      <c r="H420" s="928"/>
      <c r="I420" s="928">
        <f t="shared" si="62"/>
        <v>0</v>
      </c>
      <c r="J420" s="928" t="e">
        <f>VLOOKUP($D420,#REF!,2,FALSE)</f>
        <v>#REF!</v>
      </c>
      <c r="K420" s="928" t="e">
        <f t="shared" si="63"/>
        <v>#REF!</v>
      </c>
      <c r="L420" s="1606" t="s">
        <v>1088</v>
      </c>
      <c r="M420" s="1606"/>
      <c r="N420" s="928"/>
      <c r="O420" s="928" t="e">
        <f t="shared" si="64"/>
        <v>#REF!</v>
      </c>
      <c r="P420" s="700" t="s">
        <v>1091</v>
      </c>
    </row>
    <row r="421" spans="2:16" ht="18" customHeight="1">
      <c r="B421" s="193" t="e">
        <f>#REF!</f>
        <v>#REF!</v>
      </c>
      <c r="C421" s="683"/>
      <c r="D421" s="928" t="e">
        <f>VLOOKUP($B421,#REF!,2,FALSE)</f>
        <v>#REF!</v>
      </c>
      <c r="E421" s="928" t="e">
        <f>VLOOKUP($B421,#REF!,3,FALSE)</f>
        <v>#REF!</v>
      </c>
      <c r="F421" s="699" t="e">
        <f>VLOOKUP($B421,#REF!,4,FALSE)</f>
        <v>#REF!</v>
      </c>
      <c r="G421" s="684">
        <f>'신호등 기초산출'!X129*2.3</f>
        <v>1.6559999999999999</v>
      </c>
      <c r="H421" s="928" t="e">
        <f>VLOOKUP($B421,#REF!,11,FALSE)</f>
        <v>#REF!</v>
      </c>
      <c r="I421" s="928" t="e">
        <f t="shared" si="62"/>
        <v>#REF!</v>
      </c>
      <c r="J421" s="928">
        <f>IF(ISERROR(VLOOKUP($B421,일위11,12,FALSE)),0,VLOOKUP($B421,일위11,12,FALSE))</f>
        <v>0</v>
      </c>
      <c r="K421" s="928">
        <f t="shared" si="63"/>
        <v>0</v>
      </c>
      <c r="L421" s="928">
        <f>IF(ISERROR(VLOOKUP($B421,일위11,14,FALSE)),0,VLOOKUP($B421,일위11,14,FALSE))</f>
        <v>0</v>
      </c>
      <c r="M421" s="928">
        <f>INT(G421*L421)</f>
        <v>0</v>
      </c>
      <c r="N421" s="928"/>
      <c r="O421" s="928" t="e">
        <f t="shared" si="64"/>
        <v>#REF!</v>
      </c>
      <c r="P421" s="700">
        <f>IF(ISERROR(VLOOKUP($B421,일위11,4,FALSE)),0,VLOOKUP($B421,일위11,4,FALSE))</f>
        <v>0</v>
      </c>
    </row>
    <row r="422" spans="2:16" ht="18" customHeight="1">
      <c r="B422" s="193" t="e">
        <f>#REF!</f>
        <v>#REF!</v>
      </c>
      <c r="C422" s="683"/>
      <c r="D422" s="928" t="e">
        <f>VLOOKUP($B422,#REF!,2,FALSE)</f>
        <v>#REF!</v>
      </c>
      <c r="E422" s="928" t="e">
        <f>VLOOKUP($B422,#REF!,3,FALSE)</f>
        <v>#REF!</v>
      </c>
      <c r="F422" s="699" t="e">
        <f>VLOOKUP($B422,#REF!,4,FALSE)</f>
        <v>#REF!</v>
      </c>
      <c r="G422" s="684">
        <f>G421</f>
        <v>1.6559999999999999</v>
      </c>
      <c r="H422" s="928" t="e">
        <f>VLOOKUP($B422,#REF!,11,FALSE)</f>
        <v>#REF!</v>
      </c>
      <c r="I422" s="928" t="e">
        <f t="shared" si="62"/>
        <v>#REF!</v>
      </c>
      <c r="J422" s="928">
        <f>IF(ISERROR(VLOOKUP($B422,일위11,12,FALSE)),0,VLOOKUP($B422,일위11,12,FALSE))</f>
        <v>0</v>
      </c>
      <c r="K422" s="928">
        <f t="shared" si="63"/>
        <v>0</v>
      </c>
      <c r="L422" s="928">
        <f>IF(ISERROR(VLOOKUP($B422,일위11,14,FALSE)),0,VLOOKUP($B422,일위11,14,FALSE))</f>
        <v>0</v>
      </c>
      <c r="M422" s="928">
        <f>INT(G422*L422)</f>
        <v>0</v>
      </c>
      <c r="N422" s="928"/>
      <c r="O422" s="928" t="e">
        <f t="shared" si="64"/>
        <v>#REF!</v>
      </c>
      <c r="P422" s="700">
        <f>IF(ISERROR(VLOOKUP($B422,일위11,4,FALSE)),0,VLOOKUP($B422,일위11,4,FALSE))</f>
        <v>0</v>
      </c>
    </row>
    <row r="423" spans="2:16" ht="18" customHeight="1">
      <c r="B423" s="193" t="str">
        <f>CONCATENATE(C415,D423)</f>
        <v>계</v>
      </c>
      <c r="C423" s="683"/>
      <c r="D423" s="928" t="s">
        <v>48</v>
      </c>
      <c r="E423" s="928"/>
      <c r="F423" s="699"/>
      <c r="G423" s="684"/>
      <c r="H423" s="928"/>
      <c r="I423" s="928" t="e">
        <f>SUM(I416:I422)</f>
        <v>#REF!</v>
      </c>
      <c r="J423" s="928"/>
      <c r="K423" s="928" t="e">
        <f>SUM(K416:K422)</f>
        <v>#REF!</v>
      </c>
      <c r="L423" s="928"/>
      <c r="M423" s="928" t="e">
        <f>SUM(M416:M422)</f>
        <v>#REF!</v>
      </c>
      <c r="N423" s="928"/>
      <c r="O423" s="928" t="e">
        <f>INT(I423+K423+M423)</f>
        <v>#REF!</v>
      </c>
      <c r="P423" s="700"/>
    </row>
    <row r="424" spans="2:16" ht="18" customHeight="1">
      <c r="C424" s="683"/>
      <c r="D424" s="928"/>
      <c r="E424" s="928"/>
      <c r="F424" s="699"/>
      <c r="G424" s="684"/>
      <c r="H424" s="928"/>
      <c r="I424" s="928"/>
      <c r="J424" s="928"/>
      <c r="K424" s="928"/>
      <c r="L424" s="928"/>
      <c r="M424" s="928"/>
      <c r="N424" s="928"/>
      <c r="O424" s="928"/>
      <c r="P424" s="700"/>
    </row>
    <row r="425" spans="2:16" ht="18" customHeight="1">
      <c r="C425" s="683"/>
      <c r="D425" s="928"/>
      <c r="E425" s="928"/>
      <c r="F425" s="699"/>
      <c r="G425" s="684"/>
      <c r="H425" s="928"/>
      <c r="I425" s="928"/>
      <c r="J425" s="928"/>
      <c r="K425" s="928"/>
      <c r="L425" s="928"/>
      <c r="M425" s="928"/>
      <c r="N425" s="928"/>
      <c r="O425" s="928"/>
      <c r="P425" s="700"/>
    </row>
    <row r="426" spans="2:16" ht="18" customHeight="1">
      <c r="C426" s="683"/>
      <c r="D426" s="928"/>
      <c r="E426" s="928"/>
      <c r="F426" s="699"/>
      <c r="G426" s="684"/>
      <c r="H426" s="928"/>
      <c r="I426" s="928"/>
      <c r="J426" s="928"/>
      <c r="K426" s="928"/>
      <c r="L426" s="928"/>
      <c r="M426" s="928"/>
      <c r="N426" s="928"/>
      <c r="O426" s="928"/>
      <c r="P426" s="700"/>
    </row>
    <row r="427" spans="2:16" ht="18" customHeight="1">
      <c r="C427" s="691"/>
      <c r="D427" s="692"/>
      <c r="E427" s="692"/>
      <c r="F427" s="702"/>
      <c r="G427" s="703"/>
      <c r="H427" s="692"/>
      <c r="I427" s="692"/>
      <c r="J427" s="692"/>
      <c r="K427" s="692"/>
      <c r="L427" s="692"/>
      <c r="M427" s="692"/>
      <c r="N427" s="692"/>
      <c r="O427" s="692"/>
      <c r="P427" s="704"/>
    </row>
    <row r="428" spans="2:16" ht="18" customHeight="1">
      <c r="B428" s="193">
        <f>C428</f>
        <v>0</v>
      </c>
      <c r="C428" s="728"/>
      <c r="D428" s="681" t="e">
        <f>D429</f>
        <v>#REF!</v>
      </c>
      <c r="E428" s="681" t="e">
        <f>E429</f>
        <v>#REF!</v>
      </c>
      <c r="F428" s="697" t="e">
        <f>F429</f>
        <v>#REF!</v>
      </c>
      <c r="G428" s="695"/>
      <c r="H428" s="681"/>
      <c r="I428" s="681"/>
      <c r="J428" s="681"/>
      <c r="K428" s="681"/>
      <c r="L428" s="681"/>
      <c r="M428" s="681"/>
      <c r="N428" s="681"/>
      <c r="O428" s="681"/>
      <c r="P428" s="729"/>
    </row>
    <row r="429" spans="2:16" ht="18" customHeight="1">
      <c r="B429" s="193" t="e">
        <f>#REF!</f>
        <v>#REF!</v>
      </c>
      <c r="C429" s="683"/>
      <c r="D429" s="928" t="e">
        <f>VLOOKUP($B429,#REF!,2,FALSE)</f>
        <v>#REF!</v>
      </c>
      <c r="E429" s="928" t="e">
        <f>VLOOKUP($B429,#REF!,3,FALSE)</f>
        <v>#REF!</v>
      </c>
      <c r="F429" s="699" t="e">
        <f>VLOOKUP($B429,#REF!,4,FALSE)</f>
        <v>#REF!</v>
      </c>
      <c r="G429" s="928">
        <v>1</v>
      </c>
      <c r="H429" s="928" t="e">
        <f>VLOOKUP($B429,#REF!,11,FALSE)</f>
        <v>#REF!</v>
      </c>
      <c r="I429" s="928" t="e">
        <f>INT(G429*H429)</f>
        <v>#REF!</v>
      </c>
      <c r="J429" s="928"/>
      <c r="K429" s="928"/>
      <c r="L429" s="928"/>
      <c r="M429" s="928"/>
      <c r="N429" s="928"/>
      <c r="O429" s="928" t="e">
        <f>INT(I429+K429+M429)</f>
        <v>#REF!</v>
      </c>
      <c r="P429" s="700"/>
    </row>
    <row r="430" spans="2:16" ht="18" customHeight="1">
      <c r="B430" s="193" t="e">
        <f>#REF!</f>
        <v>#REF!</v>
      </c>
      <c r="C430" s="683"/>
      <c r="D430" s="928" t="e">
        <f>VLOOKUP($B430,#REF!,2,FALSE)</f>
        <v>#REF!</v>
      </c>
      <c r="E430" s="928" t="e">
        <f>VLOOKUP($B430,#REF!,3,FALSE)</f>
        <v>#REF!</v>
      </c>
      <c r="F430" s="699" t="s">
        <v>1037</v>
      </c>
      <c r="G430" s="684">
        <f>2.28*0.5</f>
        <v>1.1399999999999999</v>
      </c>
      <c r="H430" s="928" t="e">
        <f>#REF!</f>
        <v>#REF!</v>
      </c>
      <c r="I430" s="928" t="e">
        <f>INT(G430*H430)</f>
        <v>#REF!</v>
      </c>
      <c r="J430" s="928" t="e">
        <f>#REF!</f>
        <v>#REF!</v>
      </c>
      <c r="K430" s="928" t="e">
        <f t="shared" ref="K430:K437" si="66">INT(G430*J430)</f>
        <v>#REF!</v>
      </c>
      <c r="L430" s="928" t="e">
        <f>#REF!</f>
        <v>#REF!</v>
      </c>
      <c r="M430" s="928" t="e">
        <f>INT(G430*L430)</f>
        <v>#REF!</v>
      </c>
      <c r="N430" s="928"/>
      <c r="O430" s="928" t="e">
        <f t="shared" ref="O430:O437" si="67">INT(I430+K430+M430)</f>
        <v>#REF!</v>
      </c>
      <c r="P430" s="700" t="s">
        <v>1096</v>
      </c>
    </row>
    <row r="431" spans="2:16" ht="18" customHeight="1">
      <c r="B431" s="193" t="e">
        <f>#REF!</f>
        <v>#REF!</v>
      </c>
      <c r="C431" s="683"/>
      <c r="D431" s="928" t="e">
        <f>VLOOKUP($B431,#REF!,2,FALSE)</f>
        <v>#REF!</v>
      </c>
      <c r="E431" s="928" t="e">
        <f>VLOOKUP($B431,#REF!,3,FALSE)</f>
        <v>#REF!</v>
      </c>
      <c r="F431" s="699" t="e">
        <f>VLOOKUP($B431,#REF!,4,FALSE)</f>
        <v>#REF!</v>
      </c>
      <c r="G431" s="684">
        <f>TRUNC((0.3+0.6+0.3)*(0.3+0.6+0.3)*0.6,2)</f>
        <v>0.86</v>
      </c>
      <c r="H431" s="928">
        <f>IF(ISERROR(VLOOKUP($B431,일위11,10,FALSE)),0,VLOOKUP($B431,일위11,10,FALSE))</f>
        <v>0</v>
      </c>
      <c r="I431" s="928">
        <f>INT(G431*H431)</f>
        <v>0</v>
      </c>
      <c r="J431" s="928">
        <f>IF(ISERROR(VLOOKUP($B431,일위11,12,FALSE)),0,VLOOKUP($B431,일위11,12,FALSE))</f>
        <v>0</v>
      </c>
      <c r="K431" s="928">
        <f t="shared" si="66"/>
        <v>0</v>
      </c>
      <c r="L431" s="928">
        <f>IF(ISERROR(VLOOKUP($B431,일위11,14,FALSE)),0,VLOOKUP($B431,일위11,14,FALSE))</f>
        <v>0</v>
      </c>
      <c r="M431" s="928">
        <f>INT(G431*L431)</f>
        <v>0</v>
      </c>
      <c r="N431" s="928"/>
      <c r="O431" s="928">
        <f t="shared" si="67"/>
        <v>0</v>
      </c>
      <c r="P431" s="700">
        <f>IF(ISERROR(VLOOKUP($B431,일위11,4,FALSE)),0,VLOOKUP($B431,일위11,4,FALSE))</f>
        <v>0</v>
      </c>
    </row>
    <row r="432" spans="2:16" ht="18" customHeight="1">
      <c r="B432" s="193" t="e">
        <f>#REF!</f>
        <v>#REF!</v>
      </c>
      <c r="C432" s="683"/>
      <c r="D432" s="928" t="e">
        <f>VLOOKUP($B432,#REF!,2,FALSE)</f>
        <v>#REF!</v>
      </c>
      <c r="E432" s="928" t="e">
        <f>VLOOKUP($B432,#REF!,3,FALSE)</f>
        <v>#REF!</v>
      </c>
      <c r="F432" s="699" t="e">
        <f>VLOOKUP($B432,#REF!,4,FALSE)</f>
        <v>#REF!</v>
      </c>
      <c r="G432" s="684">
        <f>TRUNC((0.3+0.6+0.3)*(0.3+0.6+0.3)*0.6-(0.6*0.6*0.6),2)</f>
        <v>0.64</v>
      </c>
      <c r="H432" s="928">
        <f>IF(ISERROR(VLOOKUP($B432,일위11,10,FALSE)),0,VLOOKUP($B432,일위11,10,FALSE))</f>
        <v>0</v>
      </c>
      <c r="I432" s="928">
        <f>INT(G432*H432)</f>
        <v>0</v>
      </c>
      <c r="J432" s="928">
        <f>IF(ISERROR(VLOOKUP($B432,일위11,12,FALSE)),0,VLOOKUP($B432,일위11,12,FALSE))</f>
        <v>0</v>
      </c>
      <c r="K432" s="928">
        <f t="shared" si="66"/>
        <v>0</v>
      </c>
      <c r="L432" s="928">
        <f>IF(ISERROR(VLOOKUP($B432,일위11,14,FALSE)),0,VLOOKUP($B432,일위11,14,FALSE))</f>
        <v>0</v>
      </c>
      <c r="M432" s="928">
        <f>INT(G432*L432)</f>
        <v>0</v>
      </c>
      <c r="N432" s="928"/>
      <c r="O432" s="928">
        <f t="shared" si="67"/>
        <v>0</v>
      </c>
      <c r="P432" s="700">
        <f>IF(ISERROR(VLOOKUP($B432,일위11,4,FALSE)),0,VLOOKUP($B432,일위11,4,FALSE))</f>
        <v>0</v>
      </c>
    </row>
    <row r="433" spans="2:16" ht="18" customHeight="1">
      <c r="B433" s="193" t="e">
        <f>#REF!</f>
        <v>#REF!</v>
      </c>
      <c r="C433" s="683"/>
      <c r="D433" s="928" t="e">
        <f>VLOOKUP($B433,#REF!,2,FALSE)</f>
        <v>#REF!</v>
      </c>
      <c r="E433" s="928" t="e">
        <f>VLOOKUP($B433,#REF!,3,FALSE)</f>
        <v>#REF!</v>
      </c>
      <c r="F433" s="699" t="e">
        <f>VLOOKUP($B433,#REF!,4,FALSE)</f>
        <v>#REF!</v>
      </c>
      <c r="G433" s="684">
        <f>G431-G432</f>
        <v>0.21999999999999997</v>
      </c>
      <c r="H433" s="928">
        <f>IF(ISERROR(VLOOKUP($B433,일위11,10,FALSE)),0,VLOOKUP($B433,일위11,10,FALSE))</f>
        <v>0</v>
      </c>
      <c r="I433" s="928">
        <f>INT(G433*H433)</f>
        <v>0</v>
      </c>
      <c r="J433" s="928">
        <f>IF(ISERROR(VLOOKUP($B433,일위11,12,FALSE)),0,VLOOKUP($B433,일위11,12,FALSE))</f>
        <v>0</v>
      </c>
      <c r="K433" s="928">
        <f t="shared" si="66"/>
        <v>0</v>
      </c>
      <c r="L433" s="928">
        <f>IF(ISERROR(VLOOKUP($B433,일위11,14,FALSE)),0,VLOOKUP($B433,일위11,14,FALSE))</f>
        <v>0</v>
      </c>
      <c r="M433" s="928">
        <f>INT(G433*L433)</f>
        <v>0</v>
      </c>
      <c r="N433" s="928"/>
      <c r="O433" s="928">
        <f t="shared" si="67"/>
        <v>0</v>
      </c>
      <c r="P433" s="700">
        <f>IF(ISERROR(VLOOKUP($B433,일위11,4,FALSE)),0,VLOOKUP($B433,일위11,4,FALSE))</f>
        <v>0</v>
      </c>
    </row>
    <row r="434" spans="2:16" ht="18" customHeight="1">
      <c r="C434" s="683"/>
      <c r="D434" s="928" t="s">
        <v>1080</v>
      </c>
      <c r="E434" s="696" t="s">
        <v>1097</v>
      </c>
      <c r="F434" s="928" t="s">
        <v>102</v>
      </c>
      <c r="G434" s="688">
        <f t="shared" ref="G434:G437" si="68">ROUNDDOWN(dhTextEvaluate(E434),3)</f>
        <v>0.26500000000000001</v>
      </c>
      <c r="H434" s="928"/>
      <c r="I434" s="928"/>
      <c r="J434" s="928" t="e">
        <f>VLOOKUP($D434,#REF!,2,FALSE)</f>
        <v>#REF!</v>
      </c>
      <c r="K434" s="928" t="e">
        <f t="shared" si="66"/>
        <v>#REF!</v>
      </c>
      <c r="L434" s="1606" t="s">
        <v>1088</v>
      </c>
      <c r="M434" s="1606"/>
      <c r="N434" s="928"/>
      <c r="O434" s="928" t="e">
        <f t="shared" si="67"/>
        <v>#REF!</v>
      </c>
      <c r="P434" s="700" t="s">
        <v>1096</v>
      </c>
    </row>
    <row r="435" spans="2:16" ht="18" customHeight="1">
      <c r="C435" s="683"/>
      <c r="D435" s="928" t="s">
        <v>1081</v>
      </c>
      <c r="E435" s="696" t="s">
        <v>1095</v>
      </c>
      <c r="F435" s="928" t="s">
        <v>102</v>
      </c>
      <c r="G435" s="688">
        <f t="shared" si="68"/>
        <v>0.4</v>
      </c>
      <c r="H435" s="928"/>
      <c r="I435" s="928"/>
      <c r="J435" s="928" t="e">
        <f>VLOOKUP($D435,#REF!,2,FALSE)</f>
        <v>#REF!</v>
      </c>
      <c r="K435" s="928" t="e">
        <f t="shared" si="66"/>
        <v>#REF!</v>
      </c>
      <c r="L435" s="1606" t="s">
        <v>1088</v>
      </c>
      <c r="M435" s="1606"/>
      <c r="N435" s="928"/>
      <c r="O435" s="928" t="e">
        <f t="shared" si="67"/>
        <v>#REF!</v>
      </c>
      <c r="P435" s="700" t="s">
        <v>1096</v>
      </c>
    </row>
    <row r="436" spans="2:16" ht="18" customHeight="1">
      <c r="C436" s="683"/>
      <c r="D436" s="928" t="s">
        <v>1082</v>
      </c>
      <c r="E436" s="696" t="s">
        <v>1098</v>
      </c>
      <c r="F436" s="928" t="s">
        <v>102</v>
      </c>
      <c r="G436" s="688">
        <f t="shared" si="68"/>
        <v>0.14000000000000001</v>
      </c>
      <c r="H436" s="928"/>
      <c r="I436" s="928"/>
      <c r="J436" s="928" t="e">
        <f>VLOOKUP($D436,#REF!,2,FALSE)</f>
        <v>#REF!</v>
      </c>
      <c r="K436" s="928" t="e">
        <f t="shared" si="66"/>
        <v>#REF!</v>
      </c>
      <c r="L436" s="1606" t="s">
        <v>1088</v>
      </c>
      <c r="M436" s="1606"/>
      <c r="N436" s="928"/>
      <c r="O436" s="928" t="e">
        <f t="shared" si="67"/>
        <v>#REF!</v>
      </c>
      <c r="P436" s="700" t="s">
        <v>1096</v>
      </c>
    </row>
    <row r="437" spans="2:16" ht="18" customHeight="1">
      <c r="C437" s="683"/>
      <c r="D437" s="928" t="s">
        <v>1083</v>
      </c>
      <c r="E437" s="696" t="s">
        <v>1099</v>
      </c>
      <c r="F437" s="928" t="s">
        <v>102</v>
      </c>
      <c r="G437" s="688">
        <f t="shared" si="68"/>
        <v>1.4999999999999999E-2</v>
      </c>
      <c r="H437" s="928"/>
      <c r="I437" s="928"/>
      <c r="J437" s="928" t="e">
        <f>VLOOKUP($D437,#REF!,2,FALSE)</f>
        <v>#REF!</v>
      </c>
      <c r="K437" s="928" t="e">
        <f t="shared" si="66"/>
        <v>#REF!</v>
      </c>
      <c r="L437" s="1606" t="s">
        <v>1088</v>
      </c>
      <c r="M437" s="1606"/>
      <c r="N437" s="928"/>
      <c r="O437" s="928" t="e">
        <f t="shared" si="67"/>
        <v>#REF!</v>
      </c>
      <c r="P437" s="700" t="s">
        <v>1096</v>
      </c>
    </row>
    <row r="438" spans="2:16" ht="18" customHeight="1">
      <c r="B438" s="193" t="str">
        <f>CONCATENATE(C428,D438)</f>
        <v>계</v>
      </c>
      <c r="C438" s="683"/>
      <c r="D438" s="928" t="s">
        <v>48</v>
      </c>
      <c r="E438" s="928"/>
      <c r="F438" s="699"/>
      <c r="G438" s="684"/>
      <c r="H438" s="928"/>
      <c r="I438" s="928" t="e">
        <f>SUM(I429:I437)</f>
        <v>#REF!</v>
      </c>
      <c r="J438" s="928"/>
      <c r="K438" s="928" t="e">
        <f>SUM(K429:K437)</f>
        <v>#REF!</v>
      </c>
      <c r="L438" s="928"/>
      <c r="M438" s="928" t="e">
        <f>SUM(M429:M437)</f>
        <v>#REF!</v>
      </c>
      <c r="N438" s="928"/>
      <c r="O438" s="928" t="e">
        <f>INT(I438+K438+M438)</f>
        <v>#REF!</v>
      </c>
      <c r="P438" s="700"/>
    </row>
    <row r="439" spans="2:16" ht="18" customHeight="1">
      <c r="C439" s="683"/>
      <c r="D439" s="928"/>
      <c r="E439" s="928"/>
      <c r="F439" s="699"/>
      <c r="G439" s="684"/>
      <c r="H439" s="928"/>
      <c r="I439" s="928"/>
      <c r="J439" s="928"/>
      <c r="K439" s="928"/>
      <c r="L439" s="928"/>
      <c r="M439" s="928"/>
      <c r="N439" s="928"/>
      <c r="O439" s="928"/>
      <c r="P439" s="700"/>
    </row>
    <row r="440" spans="2:16" ht="18" customHeight="1">
      <c r="B440" s="193">
        <f>C440</f>
        <v>0</v>
      </c>
      <c r="C440" s="690"/>
      <c r="D440" s="928" t="e">
        <f>D441</f>
        <v>#REF!</v>
      </c>
      <c r="E440" s="928" t="e">
        <f>E441</f>
        <v>#REF!</v>
      </c>
      <c r="F440" s="928" t="e">
        <f>F441</f>
        <v>#REF!</v>
      </c>
      <c r="G440" s="684"/>
      <c r="H440" s="928"/>
      <c r="I440" s="928"/>
      <c r="J440" s="928"/>
      <c r="K440" s="928"/>
      <c r="L440" s="928"/>
      <c r="M440" s="928"/>
      <c r="N440" s="928"/>
      <c r="O440" s="928"/>
      <c r="P440" s="685"/>
    </row>
    <row r="441" spans="2:16" ht="18" customHeight="1">
      <c r="B441" s="193" t="e">
        <f>#REF!</f>
        <v>#REF!</v>
      </c>
      <c r="C441" s="683"/>
      <c r="D441" s="928" t="e">
        <f>VLOOKUP($B441,#REF!,2,FALSE)</f>
        <v>#REF!</v>
      </c>
      <c r="E441" s="696" t="e">
        <f>VLOOKUP($B441,#REF!,3,FALSE)</f>
        <v>#REF!</v>
      </c>
      <c r="F441" s="928" t="e">
        <f>VLOOKUP($B441,#REF!,4,FALSE)</f>
        <v>#REF!</v>
      </c>
      <c r="G441" s="684">
        <v>1.05</v>
      </c>
      <c r="H441" s="928" t="e">
        <f>VLOOKUP($B441,#REF!,11,FALSE)</f>
        <v>#REF!</v>
      </c>
      <c r="I441" s="928" t="e">
        <f>INT(G441*H441)</f>
        <v>#REF!</v>
      </c>
      <c r="J441" s="928"/>
      <c r="K441" s="928"/>
      <c r="L441" s="1606"/>
      <c r="M441" s="1606"/>
      <c r="N441" s="928"/>
      <c r="O441" s="928" t="e">
        <f>INT(I441+K441+M441)</f>
        <v>#REF!</v>
      </c>
      <c r="P441" s="685" t="s">
        <v>1062</v>
      </c>
    </row>
    <row r="442" spans="2:16" ht="18" customHeight="1">
      <c r="C442" s="683"/>
      <c r="D442" s="928" t="s">
        <v>31</v>
      </c>
      <c r="E442" s="696" t="s">
        <v>1288</v>
      </c>
      <c r="F442" s="928" t="s">
        <v>29</v>
      </c>
      <c r="G442" s="688">
        <v>1</v>
      </c>
      <c r="H442" s="928" t="e">
        <f>INT(H441*0.02)</f>
        <v>#REF!</v>
      </c>
      <c r="I442" s="928" t="e">
        <f>INT(G442*H442)</f>
        <v>#REF!</v>
      </c>
      <c r="J442" s="928"/>
      <c r="K442" s="928"/>
      <c r="L442" s="1606"/>
      <c r="M442" s="1606"/>
      <c r="N442" s="928"/>
      <c r="O442" s="928" t="e">
        <f>INT(I442+K442+M442)</f>
        <v>#REF!</v>
      </c>
      <c r="P442" s="685" t="s">
        <v>32</v>
      </c>
    </row>
    <row r="443" spans="2:16" ht="18" customHeight="1">
      <c r="C443" s="683"/>
      <c r="D443" s="928" t="s">
        <v>40</v>
      </c>
      <c r="E443" s="689" t="s">
        <v>1101</v>
      </c>
      <c r="F443" s="928" t="s">
        <v>102</v>
      </c>
      <c r="G443" s="688">
        <f>ROUNDDOWN(dhTextEvaluate(E443),3)</f>
        <v>0.02</v>
      </c>
      <c r="H443" s="928"/>
      <c r="I443" s="929"/>
      <c r="J443" s="928" t="e">
        <f>VLOOKUP($D443,#REF!,2,FALSE)</f>
        <v>#REF!</v>
      </c>
      <c r="K443" s="928" t="e">
        <f>INT(G443*J443)</f>
        <v>#REF!</v>
      </c>
      <c r="L443" s="1606" t="s">
        <v>1293</v>
      </c>
      <c r="M443" s="1606"/>
      <c r="N443" s="928"/>
      <c r="O443" s="928" t="e">
        <f>INT(I443+K443+M443)</f>
        <v>#REF!</v>
      </c>
      <c r="P443" s="685" t="s">
        <v>1100</v>
      </c>
    </row>
    <row r="444" spans="2:16" ht="18" customHeight="1">
      <c r="C444" s="683"/>
      <c r="D444" s="928" t="s">
        <v>104</v>
      </c>
      <c r="E444" s="928" t="s">
        <v>41</v>
      </c>
      <c r="F444" s="928" t="s">
        <v>100</v>
      </c>
      <c r="G444" s="928">
        <v>1</v>
      </c>
      <c r="H444" s="928" t="e">
        <f>INT(SUM(K445)*0.03)</f>
        <v>#REF!</v>
      </c>
      <c r="I444" s="928" t="e">
        <f>INT(G444*H444)</f>
        <v>#REF!</v>
      </c>
      <c r="J444" s="928"/>
      <c r="K444" s="928"/>
      <c r="L444" s="928"/>
      <c r="M444" s="928"/>
      <c r="N444" s="928"/>
      <c r="O444" s="928" t="e">
        <f>INT(I444+K444+M444)</f>
        <v>#REF!</v>
      </c>
      <c r="P444" s="685" t="s">
        <v>42</v>
      </c>
    </row>
    <row r="445" spans="2:16" ht="18" customHeight="1">
      <c r="B445" s="193" t="str">
        <f>CONCATENATE(C440,D445)</f>
        <v>계</v>
      </c>
      <c r="C445" s="683"/>
      <c r="D445" s="928" t="s">
        <v>96</v>
      </c>
      <c r="E445" s="928"/>
      <c r="F445" s="928"/>
      <c r="G445" s="928"/>
      <c r="H445" s="928"/>
      <c r="I445" s="928" t="e">
        <f>SUM(I441:I444)</f>
        <v>#REF!</v>
      </c>
      <c r="J445" s="928"/>
      <c r="K445" s="928" t="e">
        <f>SUM(K441:K444)</f>
        <v>#REF!</v>
      </c>
      <c r="L445" s="928"/>
      <c r="M445" s="928">
        <f>SUM(M441:M444)</f>
        <v>0</v>
      </c>
      <c r="N445" s="928"/>
      <c r="O445" s="928" t="e">
        <f>INT(I445+K445+M445)</f>
        <v>#REF!</v>
      </c>
      <c r="P445" s="685"/>
    </row>
    <row r="446" spans="2:16" ht="18" customHeight="1">
      <c r="C446" s="683"/>
      <c r="D446" s="928"/>
      <c r="E446" s="928"/>
      <c r="F446" s="928"/>
      <c r="G446" s="928"/>
      <c r="H446" s="928"/>
      <c r="I446" s="928"/>
      <c r="J446" s="928"/>
      <c r="K446" s="928"/>
      <c r="L446" s="928"/>
      <c r="M446" s="928"/>
      <c r="N446" s="928"/>
      <c r="O446" s="928"/>
      <c r="P446" s="685"/>
    </row>
    <row r="447" spans="2:16" ht="18" customHeight="1">
      <c r="C447" s="683"/>
      <c r="D447" s="928"/>
      <c r="E447" s="928"/>
      <c r="F447" s="928"/>
      <c r="G447" s="928"/>
      <c r="H447" s="928"/>
      <c r="I447" s="928"/>
      <c r="J447" s="928"/>
      <c r="K447" s="928"/>
      <c r="L447" s="928"/>
      <c r="M447" s="928"/>
      <c r="N447" s="928"/>
      <c r="O447" s="928"/>
      <c r="P447" s="685"/>
    </row>
    <row r="448" spans="2:16" ht="18" customHeight="1">
      <c r="C448" s="683"/>
      <c r="D448" s="928"/>
      <c r="E448" s="928"/>
      <c r="F448" s="928"/>
      <c r="G448" s="928"/>
      <c r="H448" s="928"/>
      <c r="I448" s="928"/>
      <c r="J448" s="928"/>
      <c r="K448" s="928"/>
      <c r="L448" s="928"/>
      <c r="M448" s="928"/>
      <c r="N448" s="928"/>
      <c r="O448" s="928"/>
      <c r="P448" s="685"/>
    </row>
    <row r="449" spans="2:16" ht="18" customHeight="1">
      <c r="C449" s="683"/>
      <c r="D449" s="928"/>
      <c r="E449" s="928"/>
      <c r="F449" s="928"/>
      <c r="G449" s="928"/>
      <c r="H449" s="928"/>
      <c r="I449" s="928"/>
      <c r="J449" s="928"/>
      <c r="K449" s="928"/>
      <c r="L449" s="928"/>
      <c r="M449" s="928"/>
      <c r="N449" s="928"/>
      <c r="O449" s="928"/>
      <c r="P449" s="685"/>
    </row>
    <row r="450" spans="2:16" ht="18" customHeight="1">
      <c r="C450" s="691"/>
      <c r="D450" s="692"/>
      <c r="E450" s="692"/>
      <c r="F450" s="692"/>
      <c r="G450" s="692"/>
      <c r="H450" s="692"/>
      <c r="I450" s="692"/>
      <c r="J450" s="692"/>
      <c r="K450" s="692"/>
      <c r="L450" s="692"/>
      <c r="M450" s="692"/>
      <c r="N450" s="692"/>
      <c r="O450" s="692"/>
      <c r="P450" s="693"/>
    </row>
    <row r="451" spans="2:16" ht="18" customHeight="1">
      <c r="B451" s="193">
        <f>C451</f>
        <v>0</v>
      </c>
      <c r="C451" s="728"/>
      <c r="D451" s="681" t="e">
        <f>D452</f>
        <v>#REF!</v>
      </c>
      <c r="E451" s="681" t="e">
        <f>E452</f>
        <v>#REF!</v>
      </c>
      <c r="F451" s="681" t="e">
        <f>F452</f>
        <v>#REF!</v>
      </c>
      <c r="G451" s="681"/>
      <c r="H451" s="681"/>
      <c r="I451" s="681"/>
      <c r="J451" s="681"/>
      <c r="K451" s="681"/>
      <c r="L451" s="681"/>
      <c r="M451" s="681"/>
      <c r="N451" s="681"/>
      <c r="O451" s="681"/>
      <c r="P451" s="730"/>
    </row>
    <row r="452" spans="2:16" ht="18" customHeight="1">
      <c r="B452" s="193" t="e">
        <f>#REF!</f>
        <v>#REF!</v>
      </c>
      <c r="C452" s="683"/>
      <c r="D452" s="928" t="e">
        <f>VLOOKUP($B452,#REF!,2,FALSE)</f>
        <v>#REF!</v>
      </c>
      <c r="E452" s="928" t="e">
        <f>VLOOKUP($B452,#REF!,3,FALSE)</f>
        <v>#REF!</v>
      </c>
      <c r="F452" s="928" t="e">
        <f>VLOOKUP($B452,#REF!,4,FALSE)</f>
        <v>#REF!</v>
      </c>
      <c r="G452" s="928">
        <v>1</v>
      </c>
      <c r="H452" s="928" t="e">
        <f>VLOOKUP($B452,#REF!,11,FALSE)</f>
        <v>#REF!</v>
      </c>
      <c r="I452" s="928" t="e">
        <f>INT(G452*H452)</f>
        <v>#REF!</v>
      </c>
      <c r="J452" s="928"/>
      <c r="K452" s="928"/>
      <c r="L452" s="928"/>
      <c r="M452" s="928"/>
      <c r="N452" s="928"/>
      <c r="O452" s="928" t="e">
        <f>INT(I452+K452+M452)</f>
        <v>#REF!</v>
      </c>
      <c r="P452" s="685"/>
    </row>
    <row r="453" spans="2:16" ht="18" customHeight="1">
      <c r="C453" s="683"/>
      <c r="D453" s="928" t="s">
        <v>1084</v>
      </c>
      <c r="E453" s="696" t="s">
        <v>1103</v>
      </c>
      <c r="F453" s="928" t="s">
        <v>102</v>
      </c>
      <c r="G453" s="688">
        <f t="shared" ref="G453:G455" si="69">ROUNDDOWN(dhTextEvaluate(E453),3)</f>
        <v>0.01</v>
      </c>
      <c r="H453" s="928"/>
      <c r="I453" s="928"/>
      <c r="J453" s="928" t="e">
        <f>VLOOKUP($D453,#REF!,2,FALSE)</f>
        <v>#REF!</v>
      </c>
      <c r="K453" s="928" t="e">
        <f>INT(G453*J453)</f>
        <v>#REF!</v>
      </c>
      <c r="L453" s="1606" t="s">
        <v>1088</v>
      </c>
      <c r="M453" s="1606"/>
      <c r="N453" s="928"/>
      <c r="O453" s="928" t="e">
        <f t="shared" ref="O453:O455" si="70">INT(I453+K453+M453)</f>
        <v>#REF!</v>
      </c>
      <c r="P453" s="685" t="s">
        <v>1085</v>
      </c>
    </row>
    <row r="454" spans="2:16" ht="18" customHeight="1">
      <c r="C454" s="683"/>
      <c r="D454" s="928" t="s">
        <v>1084</v>
      </c>
      <c r="E454" s="696" t="s">
        <v>1104</v>
      </c>
      <c r="F454" s="928" t="s">
        <v>102</v>
      </c>
      <c r="G454" s="688">
        <f t="shared" si="69"/>
        <v>1.4E-2</v>
      </c>
      <c r="H454" s="928"/>
      <c r="I454" s="928"/>
      <c r="J454" s="928" t="e">
        <f>VLOOKUP($D454,#REF!,2,FALSE)</f>
        <v>#REF!</v>
      </c>
      <c r="K454" s="928" t="e">
        <f>INT(G454*J454)</f>
        <v>#REF!</v>
      </c>
      <c r="L454" s="1606" t="s">
        <v>1102</v>
      </c>
      <c r="M454" s="1606"/>
      <c r="N454" s="928"/>
      <c r="O454" s="928" t="e">
        <f t="shared" si="70"/>
        <v>#REF!</v>
      </c>
      <c r="P454" s="685" t="s">
        <v>1086</v>
      </c>
    </row>
    <row r="455" spans="2:16" ht="18" customHeight="1">
      <c r="C455" s="683"/>
      <c r="D455" s="928" t="s">
        <v>1073</v>
      </c>
      <c r="E455" s="696" t="s">
        <v>1105</v>
      </c>
      <c r="F455" s="928" t="s">
        <v>102</v>
      </c>
      <c r="G455" s="688">
        <f t="shared" si="69"/>
        <v>7.0000000000000001E-3</v>
      </c>
      <c r="H455" s="928"/>
      <c r="I455" s="928"/>
      <c r="J455" s="928" t="e">
        <f>VLOOKUP($D455,#REF!,2,FALSE)</f>
        <v>#REF!</v>
      </c>
      <c r="K455" s="928" t="e">
        <f>INT(G455*J455)</f>
        <v>#REF!</v>
      </c>
      <c r="L455" s="1606" t="s">
        <v>1102</v>
      </c>
      <c r="M455" s="1606"/>
      <c r="N455" s="928"/>
      <c r="O455" s="928" t="e">
        <f t="shared" si="70"/>
        <v>#REF!</v>
      </c>
      <c r="P455" s="685" t="s">
        <v>1086</v>
      </c>
    </row>
    <row r="456" spans="2:16" ht="18" customHeight="1">
      <c r="C456" s="683"/>
      <c r="D456" s="928" t="s">
        <v>403</v>
      </c>
      <c r="E456" s="696" t="s">
        <v>41</v>
      </c>
      <c r="F456" s="928" t="s">
        <v>100</v>
      </c>
      <c r="G456" s="688">
        <v>1</v>
      </c>
      <c r="H456" s="928" t="e">
        <f>INT(SUM(K457)*0.03)</f>
        <v>#REF!</v>
      </c>
      <c r="I456" s="928" t="e">
        <f>INT(G456*H456)</f>
        <v>#REF!</v>
      </c>
      <c r="J456" s="928"/>
      <c r="K456" s="928"/>
      <c r="L456" s="928"/>
      <c r="M456" s="928"/>
      <c r="N456" s="928"/>
      <c r="O456" s="928" t="e">
        <f>INT(I456+K456+M456)</f>
        <v>#REF!</v>
      </c>
      <c r="P456" s="685" t="s">
        <v>42</v>
      </c>
    </row>
    <row r="457" spans="2:16" ht="18" customHeight="1">
      <c r="B457" s="193" t="str">
        <f>CONCATENATE(C451,D457)</f>
        <v>계</v>
      </c>
      <c r="C457" s="683"/>
      <c r="D457" s="928" t="s">
        <v>96</v>
      </c>
      <c r="E457" s="689"/>
      <c r="F457" s="928"/>
      <c r="G457" s="928"/>
      <c r="H457" s="928"/>
      <c r="I457" s="929" t="e">
        <f>SUM(I452:I456)</f>
        <v>#REF!</v>
      </c>
      <c r="J457" s="928"/>
      <c r="K457" s="928" t="e">
        <f>SUM(K452:K456)</f>
        <v>#REF!</v>
      </c>
      <c r="L457" s="928"/>
      <c r="M457" s="928">
        <f>SUM(M452:M456)</f>
        <v>0</v>
      </c>
      <c r="N457" s="928"/>
      <c r="O457" s="928" t="e">
        <f>INT(I457+K457+M457)</f>
        <v>#REF!</v>
      </c>
      <c r="P457" s="685"/>
    </row>
    <row r="458" spans="2:16" ht="18" customHeight="1">
      <c r="C458" s="683"/>
      <c r="D458" s="928"/>
      <c r="E458" s="928"/>
      <c r="F458" s="928"/>
      <c r="G458" s="928"/>
      <c r="H458" s="928"/>
      <c r="I458" s="928"/>
      <c r="J458" s="928"/>
      <c r="K458" s="928"/>
      <c r="L458" s="928"/>
      <c r="M458" s="928"/>
      <c r="N458" s="928"/>
      <c r="O458" s="928"/>
      <c r="P458" s="685"/>
    </row>
    <row r="459" spans="2:16" ht="18" customHeight="1">
      <c r="B459" s="193">
        <f>C459</f>
        <v>0</v>
      </c>
      <c r="C459" s="690"/>
      <c r="D459" s="928" t="e">
        <f>D460</f>
        <v>#REF!</v>
      </c>
      <c r="E459" s="928" t="e">
        <f>E460</f>
        <v>#REF!</v>
      </c>
      <c r="F459" s="928" t="e">
        <f>F460</f>
        <v>#REF!</v>
      </c>
      <c r="G459" s="928"/>
      <c r="H459" s="928"/>
      <c r="I459" s="928"/>
      <c r="J459" s="928"/>
      <c r="K459" s="928"/>
      <c r="L459" s="928"/>
      <c r="M459" s="928"/>
      <c r="N459" s="928"/>
      <c r="O459" s="928"/>
      <c r="P459" s="685"/>
    </row>
    <row r="460" spans="2:16" ht="18" customHeight="1">
      <c r="B460" s="193" t="e">
        <f>#REF!</f>
        <v>#REF!</v>
      </c>
      <c r="C460" s="683"/>
      <c r="D460" s="928" t="e">
        <f>VLOOKUP($B460,#REF!,2,FALSE)</f>
        <v>#REF!</v>
      </c>
      <c r="E460" s="928" t="e">
        <f>VLOOKUP($B460,#REF!,3,FALSE)</f>
        <v>#REF!</v>
      </c>
      <c r="F460" s="699" t="e">
        <f>VLOOKUP($B460,#REF!,4,FALSE)</f>
        <v>#REF!</v>
      </c>
      <c r="G460" s="684">
        <v>1</v>
      </c>
      <c r="H460" s="928"/>
      <c r="I460" s="928"/>
      <c r="J460" s="928"/>
      <c r="K460" s="928"/>
      <c r="L460" s="928"/>
      <c r="M460" s="928"/>
      <c r="N460" s="928"/>
      <c r="O460" s="928"/>
      <c r="P460" s="700"/>
    </row>
    <row r="461" spans="2:16" ht="18" customHeight="1">
      <c r="B461" s="193" t="e">
        <f>#REF!</f>
        <v>#REF!</v>
      </c>
      <c r="C461" s="683"/>
      <c r="D461" s="928" t="e">
        <f>VLOOKUP($B461,#REF!,2,FALSE)</f>
        <v>#REF!</v>
      </c>
      <c r="E461" s="928" t="e">
        <f>VLOOKUP($B461,#REF!,3,FALSE)</f>
        <v>#REF!</v>
      </c>
      <c r="F461" s="699" t="s">
        <v>1037</v>
      </c>
      <c r="G461" s="684">
        <f>0.43*0.5</f>
        <v>0.215</v>
      </c>
      <c r="H461" s="928" t="e">
        <f>#REF!</f>
        <v>#REF!</v>
      </c>
      <c r="I461" s="928" t="e">
        <f t="shared" ref="I461:I466" si="71">INT(G461*H461)</f>
        <v>#REF!</v>
      </c>
      <c r="J461" s="928" t="e">
        <f>#REF!</f>
        <v>#REF!</v>
      </c>
      <c r="K461" s="928" t="e">
        <f t="shared" ref="K461:K466" si="72">INT(G461*J461)</f>
        <v>#REF!</v>
      </c>
      <c r="L461" s="928" t="e">
        <f>#REF!</f>
        <v>#REF!</v>
      </c>
      <c r="M461" s="928" t="e">
        <f>INT(G461*L461)</f>
        <v>#REF!</v>
      </c>
      <c r="N461" s="928"/>
      <c r="O461" s="928" t="e">
        <f t="shared" ref="O461:O467" si="73">INT(I461+K461+M461)</f>
        <v>#REF!</v>
      </c>
      <c r="P461" s="700" t="s">
        <v>1039</v>
      </c>
    </row>
    <row r="462" spans="2:16" ht="18" customHeight="1">
      <c r="B462" s="193" t="e">
        <f>#REF!</f>
        <v>#REF!</v>
      </c>
      <c r="C462" s="683"/>
      <c r="D462" s="928" t="e">
        <f>VLOOKUP($B462,#REF!,2,FALSE)</f>
        <v>#REF!</v>
      </c>
      <c r="E462" s="928" t="e">
        <f>VLOOKUP($B462,#REF!,3,FALSE)</f>
        <v>#REF!</v>
      </c>
      <c r="F462" s="699" t="s">
        <v>1037</v>
      </c>
      <c r="G462" s="684">
        <f>G461*0.24</f>
        <v>5.16E-2</v>
      </c>
      <c r="H462" s="928" t="e">
        <f>#REF!</f>
        <v>#REF!</v>
      </c>
      <c r="I462" s="928" t="e">
        <f t="shared" si="71"/>
        <v>#REF!</v>
      </c>
      <c r="J462" s="928" t="e">
        <f>#REF!</f>
        <v>#REF!</v>
      </c>
      <c r="K462" s="928" t="e">
        <f t="shared" si="72"/>
        <v>#REF!</v>
      </c>
      <c r="L462" s="928" t="e">
        <f>#REF!</f>
        <v>#REF!</v>
      </c>
      <c r="M462" s="928" t="e">
        <f>INT(G462*L462)</f>
        <v>#REF!</v>
      </c>
      <c r="N462" s="928"/>
      <c r="O462" s="928" t="e">
        <f t="shared" si="73"/>
        <v>#REF!</v>
      </c>
      <c r="P462" s="700" t="s">
        <v>1039</v>
      </c>
    </row>
    <row r="463" spans="2:16" ht="18" customHeight="1">
      <c r="C463" s="690"/>
      <c r="D463" s="928" t="s">
        <v>1059</v>
      </c>
      <c r="E463" s="684" t="s">
        <v>1110</v>
      </c>
      <c r="F463" s="928" t="s">
        <v>1038</v>
      </c>
      <c r="G463" s="701">
        <f t="shared" ref="G463:G464" si="74">ROUNDDOWN(dhTextEvaluate(E463),3)</f>
        <v>0.04</v>
      </c>
      <c r="H463" s="928"/>
      <c r="I463" s="928">
        <f t="shared" si="71"/>
        <v>0</v>
      </c>
      <c r="J463" s="928" t="e">
        <f>VLOOKUP($D463,#REF!,2,FALSE)</f>
        <v>#REF!</v>
      </c>
      <c r="K463" s="928" t="e">
        <f t="shared" si="72"/>
        <v>#REF!</v>
      </c>
      <c r="L463" s="1606" t="s">
        <v>1521</v>
      </c>
      <c r="M463" s="1606"/>
      <c r="N463" s="928"/>
      <c r="O463" s="928" t="e">
        <f t="shared" si="73"/>
        <v>#REF!</v>
      </c>
      <c r="P463" s="700" t="s">
        <v>1039</v>
      </c>
    </row>
    <row r="464" spans="2:16" ht="18" customHeight="1">
      <c r="C464" s="690"/>
      <c r="D464" s="928" t="s">
        <v>1060</v>
      </c>
      <c r="E464" s="684" t="s">
        <v>1111</v>
      </c>
      <c r="F464" s="928" t="s">
        <v>1038</v>
      </c>
      <c r="G464" s="701">
        <f t="shared" si="74"/>
        <v>9.5000000000000001E-2</v>
      </c>
      <c r="H464" s="928"/>
      <c r="I464" s="928">
        <f t="shared" si="71"/>
        <v>0</v>
      </c>
      <c r="J464" s="928" t="e">
        <f>VLOOKUP($D464,#REF!,2,FALSE)</f>
        <v>#REF!</v>
      </c>
      <c r="K464" s="928" t="e">
        <f t="shared" si="72"/>
        <v>#REF!</v>
      </c>
      <c r="L464" s="1606" t="s">
        <v>1521</v>
      </c>
      <c r="M464" s="1606"/>
      <c r="N464" s="928"/>
      <c r="O464" s="928" t="e">
        <f t="shared" si="73"/>
        <v>#REF!</v>
      </c>
      <c r="P464" s="700" t="s">
        <v>1039</v>
      </c>
    </row>
    <row r="465" spans="2:16" ht="18" customHeight="1">
      <c r="B465" s="193" t="e">
        <f>#REF!</f>
        <v>#REF!</v>
      </c>
      <c r="C465" s="683"/>
      <c r="D465" s="928" t="e">
        <f>VLOOKUP($B465,#REF!,2,FALSE)</f>
        <v>#REF!</v>
      </c>
      <c r="E465" s="928" t="e">
        <f>VLOOKUP($B465,#REF!,3,FALSE)</f>
        <v>#REF!</v>
      </c>
      <c r="F465" s="699" t="e">
        <f>VLOOKUP($B465,#REF!,4,FALSE)</f>
        <v>#REF!</v>
      </c>
      <c r="G465" s="684">
        <f>ROUNDDOWN(0.6/3*(0.5*0.5+0.7*0.7+0.5*0.7),3)*2.3</f>
        <v>0.50139999999999996</v>
      </c>
      <c r="H465" s="928" t="e">
        <f>VLOOKUP($B465,#REF!,11,FALSE)</f>
        <v>#REF!</v>
      </c>
      <c r="I465" s="928" t="e">
        <f t="shared" si="71"/>
        <v>#REF!</v>
      </c>
      <c r="J465" s="928">
        <f>IF(ISERROR(VLOOKUP($B465,일위11,12,FALSE)),0,VLOOKUP($B465,일위11,12,FALSE))</f>
        <v>0</v>
      </c>
      <c r="K465" s="928">
        <f t="shared" si="72"/>
        <v>0</v>
      </c>
      <c r="L465" s="928">
        <f>IF(ISERROR(VLOOKUP($B465,일위11,14,FALSE)),0,VLOOKUP($B465,일위11,14,FALSE))</f>
        <v>0</v>
      </c>
      <c r="M465" s="928">
        <f>INT(G465*L465)</f>
        <v>0</v>
      </c>
      <c r="N465" s="928"/>
      <c r="O465" s="928" t="e">
        <f t="shared" si="73"/>
        <v>#REF!</v>
      </c>
      <c r="P465" s="700">
        <f>IF(ISERROR(VLOOKUP($B465,일위11,4,FALSE)),0,VLOOKUP($B465,일위11,4,FALSE))</f>
        <v>0</v>
      </c>
    </row>
    <row r="466" spans="2:16" ht="18" customHeight="1">
      <c r="B466" s="193" t="e">
        <f>#REF!</f>
        <v>#REF!</v>
      </c>
      <c r="C466" s="683"/>
      <c r="D466" s="928" t="e">
        <f>VLOOKUP($B466,#REF!,2,FALSE)</f>
        <v>#REF!</v>
      </c>
      <c r="E466" s="928" t="e">
        <f>VLOOKUP($B466,#REF!,3,FALSE)</f>
        <v>#REF!</v>
      </c>
      <c r="F466" s="699" t="e">
        <f>VLOOKUP($B466,#REF!,4,FALSE)</f>
        <v>#REF!</v>
      </c>
      <c r="G466" s="684">
        <f>G465</f>
        <v>0.50139999999999996</v>
      </c>
      <c r="H466" s="928" t="e">
        <f>VLOOKUP($B466,#REF!,11,FALSE)</f>
        <v>#REF!</v>
      </c>
      <c r="I466" s="928" t="e">
        <f t="shared" si="71"/>
        <v>#REF!</v>
      </c>
      <c r="J466" s="928">
        <f>IF(ISERROR(VLOOKUP($B466,일위11,12,FALSE)),0,VLOOKUP($B466,일위11,12,FALSE))</f>
        <v>0</v>
      </c>
      <c r="K466" s="928">
        <f t="shared" si="72"/>
        <v>0</v>
      </c>
      <c r="L466" s="928">
        <f>IF(ISERROR(VLOOKUP($B466,일위11,14,FALSE)),0,VLOOKUP($B466,일위11,14,FALSE))</f>
        <v>0</v>
      </c>
      <c r="M466" s="928">
        <f>INT(G466*L466)</f>
        <v>0</v>
      </c>
      <c r="N466" s="928"/>
      <c r="O466" s="928" t="e">
        <f t="shared" si="73"/>
        <v>#REF!</v>
      </c>
      <c r="P466" s="700">
        <f>IF(ISERROR(VLOOKUP($B466,일위11,4,FALSE)),0,VLOOKUP($B466,일위11,4,FALSE))</f>
        <v>0</v>
      </c>
    </row>
    <row r="467" spans="2:16" ht="18" customHeight="1">
      <c r="B467" s="193" t="str">
        <f>C459&amp;"계"</f>
        <v>계</v>
      </c>
      <c r="C467" s="683"/>
      <c r="D467" s="928" t="s">
        <v>96</v>
      </c>
      <c r="E467" s="928"/>
      <c r="F467" s="928"/>
      <c r="G467" s="928"/>
      <c r="H467" s="928"/>
      <c r="I467" s="708" t="e">
        <f>SUM(I461:I466)</f>
        <v>#REF!</v>
      </c>
      <c r="J467" s="708"/>
      <c r="K467" s="708" t="e">
        <f>SUM(K461:K466)</f>
        <v>#REF!</v>
      </c>
      <c r="L467" s="928"/>
      <c r="M467" s="708" t="e">
        <f>SUM(M461:M466)</f>
        <v>#REF!</v>
      </c>
      <c r="N467" s="928"/>
      <c r="O467" s="928" t="e">
        <f t="shared" si="73"/>
        <v>#REF!</v>
      </c>
      <c r="P467" s="685"/>
    </row>
    <row r="468" spans="2:16" ht="18" customHeight="1">
      <c r="C468" s="683"/>
      <c r="D468" s="928"/>
      <c r="E468" s="928"/>
      <c r="F468" s="928"/>
      <c r="G468" s="928"/>
      <c r="H468" s="928"/>
      <c r="I468" s="708"/>
      <c r="J468" s="708"/>
      <c r="K468" s="708"/>
      <c r="L468" s="928"/>
      <c r="M468" s="708"/>
      <c r="N468" s="928"/>
      <c r="O468" s="928"/>
      <c r="P468" s="685"/>
    </row>
    <row r="469" spans="2:16" ht="18" customHeight="1">
      <c r="C469" s="683"/>
      <c r="D469" s="928"/>
      <c r="E469" s="928"/>
      <c r="F469" s="928"/>
      <c r="G469" s="928"/>
      <c r="H469" s="928"/>
      <c r="I469" s="928"/>
      <c r="J469" s="928"/>
      <c r="K469" s="928"/>
      <c r="L469" s="928"/>
      <c r="M469" s="928"/>
      <c r="N469" s="928"/>
      <c r="O469" s="928"/>
      <c r="P469" s="685"/>
    </row>
    <row r="470" spans="2:16" ht="18" customHeight="1">
      <c r="C470" s="683"/>
      <c r="D470" s="928"/>
      <c r="E470" s="928"/>
      <c r="F470" s="928"/>
      <c r="G470" s="928"/>
      <c r="H470" s="928"/>
      <c r="I470" s="928"/>
      <c r="J470" s="928"/>
      <c r="K470" s="928"/>
      <c r="L470" s="928"/>
      <c r="M470" s="928"/>
      <c r="N470" s="928"/>
      <c r="O470" s="928"/>
      <c r="P470" s="685"/>
    </row>
    <row r="471" spans="2:16" ht="18" customHeight="1">
      <c r="C471" s="683"/>
      <c r="D471" s="928"/>
      <c r="E471" s="928"/>
      <c r="F471" s="928"/>
      <c r="G471" s="928"/>
      <c r="H471" s="928"/>
      <c r="I471" s="928"/>
      <c r="J471" s="928"/>
      <c r="K471" s="928"/>
      <c r="L471" s="928"/>
      <c r="M471" s="928"/>
      <c r="N471" s="928"/>
      <c r="O471" s="928"/>
      <c r="P471" s="685"/>
    </row>
    <row r="472" spans="2:16" ht="18" customHeight="1">
      <c r="C472" s="683"/>
      <c r="D472" s="928"/>
      <c r="E472" s="928"/>
      <c r="F472" s="928"/>
      <c r="G472" s="928"/>
      <c r="H472" s="928"/>
      <c r="I472" s="928"/>
      <c r="J472" s="928"/>
      <c r="K472" s="928"/>
      <c r="L472" s="928"/>
      <c r="M472" s="928"/>
      <c r="N472" s="928"/>
      <c r="O472" s="928"/>
      <c r="P472" s="685"/>
    </row>
    <row r="473" spans="2:16" ht="18" customHeight="1">
      <c r="C473" s="683"/>
      <c r="D473" s="928"/>
      <c r="E473" s="928"/>
      <c r="F473" s="928"/>
      <c r="G473" s="928"/>
      <c r="H473" s="928"/>
      <c r="I473" s="928"/>
      <c r="J473" s="928"/>
      <c r="K473" s="928"/>
      <c r="L473" s="928"/>
      <c r="M473" s="928"/>
      <c r="N473" s="928"/>
      <c r="O473" s="928"/>
      <c r="P473" s="685"/>
    </row>
    <row r="474" spans="2:16" ht="18" customHeight="1">
      <c r="C474" s="683"/>
      <c r="D474" s="928"/>
      <c r="E474" s="928"/>
      <c r="F474" s="928"/>
      <c r="G474" s="928"/>
      <c r="H474" s="928"/>
      <c r="I474" s="928"/>
      <c r="J474" s="928"/>
      <c r="K474" s="928"/>
      <c r="L474" s="928"/>
      <c r="M474" s="928"/>
      <c r="N474" s="928"/>
      <c r="O474" s="928"/>
      <c r="P474" s="685"/>
    </row>
    <row r="475" spans="2:16" ht="18" customHeight="1">
      <c r="C475" s="683"/>
      <c r="D475" s="928"/>
      <c r="E475" s="928"/>
      <c r="F475" s="928"/>
      <c r="G475" s="928"/>
      <c r="H475" s="928"/>
      <c r="I475" s="928"/>
      <c r="J475" s="928"/>
      <c r="K475" s="928"/>
      <c r="L475" s="928"/>
      <c r="M475" s="928"/>
      <c r="N475" s="928"/>
      <c r="O475" s="928"/>
      <c r="P475" s="685"/>
    </row>
    <row r="476" spans="2:16" ht="18" customHeight="1">
      <c r="C476" s="683"/>
      <c r="D476" s="928"/>
      <c r="E476" s="928"/>
      <c r="F476" s="928"/>
      <c r="G476" s="928"/>
      <c r="H476" s="928"/>
      <c r="I476" s="928"/>
      <c r="J476" s="928"/>
      <c r="K476" s="928"/>
      <c r="L476" s="928"/>
      <c r="M476" s="928"/>
      <c r="N476" s="928"/>
      <c r="O476" s="928"/>
      <c r="P476" s="685"/>
    </row>
    <row r="477" spans="2:16" ht="18" customHeight="1">
      <c r="C477" s="683"/>
      <c r="D477" s="928"/>
      <c r="E477" s="928"/>
      <c r="F477" s="928"/>
      <c r="G477" s="928"/>
      <c r="H477" s="928"/>
      <c r="I477" s="928"/>
      <c r="J477" s="928"/>
      <c r="K477" s="928"/>
      <c r="L477" s="928"/>
      <c r="M477" s="928"/>
      <c r="N477" s="928"/>
      <c r="O477" s="928"/>
      <c r="P477" s="685"/>
    </row>
    <row r="478" spans="2:16" ht="18" customHeight="1">
      <c r="C478" s="683"/>
      <c r="D478" s="928"/>
      <c r="E478" s="928"/>
      <c r="F478" s="928"/>
      <c r="G478" s="928"/>
      <c r="H478" s="928"/>
      <c r="I478" s="928"/>
      <c r="J478" s="928"/>
      <c r="K478" s="928"/>
      <c r="L478" s="928"/>
      <c r="M478" s="928"/>
      <c r="N478" s="928"/>
      <c r="O478" s="928"/>
      <c r="P478" s="685"/>
    </row>
    <row r="479" spans="2:16" ht="18" customHeight="1">
      <c r="C479" s="683"/>
      <c r="D479" s="928"/>
      <c r="E479" s="928"/>
      <c r="F479" s="928"/>
      <c r="G479" s="928"/>
      <c r="H479" s="928"/>
      <c r="I479" s="928"/>
      <c r="J479" s="928"/>
      <c r="K479" s="928"/>
      <c r="L479" s="928"/>
      <c r="M479" s="928"/>
      <c r="N479" s="928"/>
      <c r="O479" s="928"/>
      <c r="P479" s="685"/>
    </row>
    <row r="480" spans="2:16" ht="18" customHeight="1">
      <c r="C480" s="683"/>
      <c r="D480" s="928"/>
      <c r="E480" s="928"/>
      <c r="F480" s="928"/>
      <c r="G480" s="928"/>
      <c r="H480" s="928"/>
      <c r="I480" s="928"/>
      <c r="J480" s="928"/>
      <c r="K480" s="928"/>
      <c r="L480" s="928"/>
      <c r="M480" s="928"/>
      <c r="N480" s="928"/>
      <c r="O480" s="928"/>
      <c r="P480" s="685"/>
    </row>
    <row r="481" spans="2:16" ht="18" customHeight="1">
      <c r="C481" s="683"/>
      <c r="D481" s="928"/>
      <c r="E481" s="928"/>
      <c r="F481" s="928"/>
      <c r="G481" s="928"/>
      <c r="H481" s="928"/>
      <c r="I481" s="928"/>
      <c r="J481" s="928"/>
      <c r="K481" s="928"/>
      <c r="L481" s="928"/>
      <c r="M481" s="928"/>
      <c r="N481" s="928"/>
      <c r="O481" s="928"/>
      <c r="P481" s="685"/>
    </row>
    <row r="482" spans="2:16" ht="18" customHeight="1">
      <c r="C482" s="683"/>
      <c r="D482" s="928"/>
      <c r="E482" s="928"/>
      <c r="F482" s="928"/>
      <c r="G482" s="928"/>
      <c r="H482" s="928"/>
      <c r="I482" s="928"/>
      <c r="J482" s="928"/>
      <c r="K482" s="928"/>
      <c r="L482" s="928"/>
      <c r="M482" s="928"/>
      <c r="N482" s="928"/>
      <c r="O482" s="928"/>
      <c r="P482" s="685"/>
    </row>
    <row r="483" spans="2:16" ht="18" customHeight="1">
      <c r="C483" s="683"/>
      <c r="D483" s="928"/>
      <c r="E483" s="928"/>
      <c r="F483" s="928"/>
      <c r="G483" s="928"/>
      <c r="H483" s="928"/>
      <c r="I483" s="928"/>
      <c r="J483" s="928"/>
      <c r="K483" s="928"/>
      <c r="L483" s="928"/>
      <c r="M483" s="928"/>
      <c r="N483" s="928"/>
      <c r="O483" s="928"/>
      <c r="P483" s="685"/>
    </row>
    <row r="484" spans="2:16" ht="18" customHeight="1">
      <c r="C484" s="683"/>
      <c r="D484" s="928"/>
      <c r="E484" s="928"/>
      <c r="F484" s="928"/>
      <c r="G484" s="928"/>
      <c r="H484" s="928"/>
      <c r="I484" s="928"/>
      <c r="J484" s="928"/>
      <c r="K484" s="928"/>
      <c r="L484" s="928"/>
      <c r="M484" s="928"/>
      <c r="N484" s="928"/>
      <c r="O484" s="928"/>
      <c r="P484" s="685"/>
    </row>
    <row r="485" spans="2:16" ht="18" customHeight="1">
      <c r="B485" s="193">
        <f>C485</f>
        <v>0</v>
      </c>
      <c r="C485" s="690"/>
      <c r="D485" s="928" t="e">
        <f>D486</f>
        <v>#REF!</v>
      </c>
      <c r="E485" s="928" t="e">
        <f>E486</f>
        <v>#REF!</v>
      </c>
      <c r="F485" s="928" t="e">
        <f>F486</f>
        <v>#REF!</v>
      </c>
      <c r="G485" s="928"/>
      <c r="H485" s="928"/>
      <c r="I485" s="928"/>
      <c r="J485" s="928"/>
      <c r="K485" s="928"/>
      <c r="L485" s="928"/>
      <c r="M485" s="928"/>
      <c r="N485" s="928"/>
      <c r="O485" s="928"/>
      <c r="P485" s="685"/>
    </row>
    <row r="486" spans="2:16" ht="18" customHeight="1">
      <c r="B486" s="193" t="e">
        <f>#REF!</f>
        <v>#REF!</v>
      </c>
      <c r="C486" s="683"/>
      <c r="D486" s="928" t="e">
        <f>VLOOKUP($B486,#REF!,2,FALSE)</f>
        <v>#REF!</v>
      </c>
      <c r="E486" s="928" t="e">
        <f>VLOOKUP($B486,#REF!,3,FALSE)</f>
        <v>#REF!</v>
      </c>
      <c r="F486" s="928" t="e">
        <f>VLOOKUP($B486,#REF!,4,FALSE)</f>
        <v>#REF!</v>
      </c>
      <c r="G486" s="684">
        <v>1</v>
      </c>
      <c r="H486" s="928" t="e">
        <f>VLOOKUP($B486,#REF!,11,FALSE)</f>
        <v>#REF!</v>
      </c>
      <c r="I486" s="928" t="e">
        <f>INT(G486*H486)</f>
        <v>#REF!</v>
      </c>
      <c r="J486" s="928"/>
      <c r="K486" s="928"/>
      <c r="L486" s="928"/>
      <c r="M486" s="928"/>
      <c r="N486" s="928"/>
      <c r="O486" s="928" t="e">
        <f>INT(I486+K486+M486)</f>
        <v>#REF!</v>
      </c>
      <c r="P486" s="685"/>
    </row>
    <row r="487" spans="2:16" ht="18" customHeight="1">
      <c r="C487" s="683"/>
      <c r="D487" s="928" t="s">
        <v>40</v>
      </c>
      <c r="E487" s="696">
        <v>3.5999999999999997E-2</v>
      </c>
      <c r="F487" s="928" t="s">
        <v>102</v>
      </c>
      <c r="G487" s="688">
        <f>ROUNDDOWN(dhTextEvaluate(E487),3)</f>
        <v>3.5999999999999997E-2</v>
      </c>
      <c r="H487" s="928"/>
      <c r="I487" s="928"/>
      <c r="J487" s="928" t="e">
        <f>VLOOKUP($D487,#REF!,2,FALSE)</f>
        <v>#REF!</v>
      </c>
      <c r="K487" s="928" t="e">
        <f>INT(G487*J487)</f>
        <v>#REF!</v>
      </c>
      <c r="L487" s="928"/>
      <c r="M487" s="928"/>
      <c r="N487" s="928"/>
      <c r="O487" s="928" t="e">
        <f>INT(I487+K487+M487)</f>
        <v>#REF!</v>
      </c>
      <c r="P487" s="685" t="s">
        <v>516</v>
      </c>
    </row>
    <row r="488" spans="2:16" ht="18" customHeight="1">
      <c r="C488" s="683"/>
      <c r="D488" s="928" t="s">
        <v>403</v>
      </c>
      <c r="E488" s="696" t="s">
        <v>41</v>
      </c>
      <c r="F488" s="928" t="s">
        <v>100</v>
      </c>
      <c r="G488" s="688">
        <v>1</v>
      </c>
      <c r="H488" s="928" t="e">
        <f>INT(SUM(K489)*0.03)</f>
        <v>#REF!</v>
      </c>
      <c r="I488" s="928" t="e">
        <f>INT(G488*H488)</f>
        <v>#REF!</v>
      </c>
      <c r="J488" s="928"/>
      <c r="K488" s="928"/>
      <c r="L488" s="928"/>
      <c r="M488" s="928"/>
      <c r="N488" s="928"/>
      <c r="O488" s="928" t="e">
        <f>INT(I488+K488+M488)</f>
        <v>#REF!</v>
      </c>
      <c r="P488" s="685" t="s">
        <v>42</v>
      </c>
    </row>
    <row r="489" spans="2:16" ht="18" customHeight="1">
      <c r="B489" s="193" t="str">
        <f>CONCATENATE(C485,D489)</f>
        <v>계</v>
      </c>
      <c r="C489" s="683"/>
      <c r="D489" s="928" t="s">
        <v>96</v>
      </c>
      <c r="E489" s="689"/>
      <c r="F489" s="928"/>
      <c r="G489" s="928"/>
      <c r="H489" s="928"/>
      <c r="I489" s="929" t="e">
        <f>SUM(I486:I488)</f>
        <v>#REF!</v>
      </c>
      <c r="J489" s="928"/>
      <c r="K489" s="928" t="e">
        <f>SUM(K486:K488)</f>
        <v>#REF!</v>
      </c>
      <c r="L489" s="928"/>
      <c r="M489" s="928">
        <f>SUM(M486:M488)</f>
        <v>0</v>
      </c>
      <c r="N489" s="928"/>
      <c r="O489" s="928" t="e">
        <f>INT(I489+K489+M489)</f>
        <v>#REF!</v>
      </c>
      <c r="P489" s="685"/>
    </row>
    <row r="490" spans="2:16" ht="18" customHeight="1">
      <c r="C490" s="683"/>
      <c r="D490" s="928"/>
      <c r="E490" s="689"/>
      <c r="F490" s="928"/>
      <c r="G490" s="928"/>
      <c r="H490" s="928"/>
      <c r="I490" s="929"/>
      <c r="J490" s="928"/>
      <c r="K490" s="928"/>
      <c r="L490" s="928"/>
      <c r="M490" s="928"/>
      <c r="N490" s="928"/>
      <c r="O490" s="928"/>
      <c r="P490" s="685"/>
    </row>
    <row r="491" spans="2:16" ht="18" customHeight="1">
      <c r="C491" s="683"/>
      <c r="D491" s="928"/>
      <c r="E491" s="689"/>
      <c r="F491" s="928"/>
      <c r="G491" s="928"/>
      <c r="H491" s="928"/>
      <c r="I491" s="929"/>
      <c r="J491" s="928"/>
      <c r="K491" s="928"/>
      <c r="L491" s="928"/>
      <c r="M491" s="928"/>
      <c r="N491" s="928"/>
      <c r="O491" s="928"/>
      <c r="P491" s="685"/>
    </row>
    <row r="492" spans="2:16" ht="18" customHeight="1">
      <c r="C492" s="683"/>
      <c r="D492" s="928"/>
      <c r="E492" s="689"/>
      <c r="F492" s="928"/>
      <c r="G492" s="928"/>
      <c r="H492" s="928"/>
      <c r="I492" s="929"/>
      <c r="J492" s="928"/>
      <c r="K492" s="928"/>
      <c r="L492" s="928"/>
      <c r="M492" s="928"/>
      <c r="N492" s="928"/>
      <c r="O492" s="928"/>
      <c r="P492" s="685"/>
    </row>
    <row r="493" spans="2:16" ht="18" customHeight="1">
      <c r="C493" s="691"/>
      <c r="D493" s="692"/>
      <c r="E493" s="726"/>
      <c r="F493" s="692"/>
      <c r="G493" s="692"/>
      <c r="H493" s="692"/>
      <c r="I493" s="727"/>
      <c r="J493" s="692"/>
      <c r="K493" s="692"/>
      <c r="L493" s="692"/>
      <c r="M493" s="692"/>
      <c r="N493" s="692"/>
      <c r="O493" s="692"/>
      <c r="P493" s="693"/>
    </row>
    <row r="494" spans="2:16" ht="18" customHeight="1">
      <c r="C494" s="683"/>
      <c r="D494" s="928"/>
      <c r="E494" s="928"/>
      <c r="F494" s="928"/>
      <c r="G494" s="928"/>
      <c r="H494" s="928"/>
      <c r="I494" s="928"/>
      <c r="J494" s="928"/>
      <c r="K494" s="928"/>
      <c r="L494" s="928"/>
      <c r="M494" s="928"/>
      <c r="N494" s="928"/>
      <c r="O494" s="928"/>
      <c r="P494" s="685"/>
    </row>
    <row r="495" spans="2:16" ht="18" customHeight="1">
      <c r="C495" s="683"/>
      <c r="D495" s="928"/>
      <c r="E495" s="928"/>
      <c r="F495" s="928"/>
      <c r="G495" s="928"/>
      <c r="H495" s="928"/>
      <c r="I495" s="928"/>
      <c r="J495" s="928"/>
      <c r="K495" s="928"/>
      <c r="L495" s="928"/>
      <c r="M495" s="928"/>
      <c r="N495" s="928"/>
      <c r="O495" s="928"/>
      <c r="P495" s="685"/>
    </row>
    <row r="496" spans="2:16" ht="18" customHeight="1">
      <c r="C496" s="683"/>
      <c r="D496" s="928"/>
      <c r="E496" s="928"/>
      <c r="F496" s="928"/>
      <c r="G496" s="928"/>
      <c r="H496" s="928"/>
      <c r="I496" s="928"/>
      <c r="J496" s="928"/>
      <c r="K496" s="928"/>
      <c r="L496" s="928"/>
      <c r="M496" s="928"/>
      <c r="N496" s="928"/>
      <c r="O496" s="928"/>
      <c r="P496" s="685"/>
    </row>
    <row r="497" spans="2:16" ht="18" customHeight="1">
      <c r="B497" s="193">
        <f>C497</f>
        <v>0</v>
      </c>
      <c r="C497" s="728"/>
      <c r="D497" s="681" t="e">
        <f>D498</f>
        <v>#REF!</v>
      </c>
      <c r="E497" s="681" t="e">
        <f>E498</f>
        <v>#REF!</v>
      </c>
      <c r="F497" s="681" t="e">
        <f>F498</f>
        <v>#REF!</v>
      </c>
      <c r="G497" s="695"/>
      <c r="H497" s="681"/>
      <c r="I497" s="681"/>
      <c r="J497" s="681"/>
      <c r="K497" s="681"/>
      <c r="L497" s="681"/>
      <c r="M497" s="681"/>
      <c r="N497" s="681"/>
      <c r="O497" s="681"/>
      <c r="P497" s="730"/>
    </row>
    <row r="498" spans="2:16" ht="18" customHeight="1">
      <c r="B498" s="193" t="e">
        <f>#REF!</f>
        <v>#REF!</v>
      </c>
      <c r="C498" s="683"/>
      <c r="D498" s="928" t="e">
        <f>VLOOKUP($B498,#REF!,2,FALSE)</f>
        <v>#REF!</v>
      </c>
      <c r="E498" s="696" t="e">
        <f>VLOOKUP($B498,#REF!,3,FALSE)</f>
        <v>#REF!</v>
      </c>
      <c r="F498" s="928" t="e">
        <f>VLOOKUP($B498,#REF!,4,FALSE)</f>
        <v>#REF!</v>
      </c>
      <c r="G498" s="684">
        <v>1.03</v>
      </c>
      <c r="H498" s="928" t="e">
        <f>VLOOKUP($B498,#REF!,11,FALSE)</f>
        <v>#REF!</v>
      </c>
      <c r="I498" s="928" t="e">
        <f>INT(G498*H498)</f>
        <v>#REF!</v>
      </c>
      <c r="J498" s="928"/>
      <c r="K498" s="928"/>
      <c r="L498" s="1606"/>
      <c r="M498" s="1606"/>
      <c r="N498" s="928"/>
      <c r="O498" s="928" t="e">
        <f>INT(I498+K498+M498)</f>
        <v>#REF!</v>
      </c>
      <c r="P498" s="685" t="s">
        <v>155</v>
      </c>
    </row>
    <row r="499" spans="2:16" ht="18" customHeight="1">
      <c r="C499" s="683"/>
      <c r="D499" s="928" t="s">
        <v>31</v>
      </c>
      <c r="E499" s="696" t="s">
        <v>1288</v>
      </c>
      <c r="F499" s="928" t="s">
        <v>29</v>
      </c>
      <c r="G499" s="688">
        <v>1</v>
      </c>
      <c r="H499" s="928" t="e">
        <f>INT(H498*0.02)</f>
        <v>#REF!</v>
      </c>
      <c r="I499" s="928" t="e">
        <f>INT(G499*H499)</f>
        <v>#REF!</v>
      </c>
      <c r="J499" s="928"/>
      <c r="K499" s="928"/>
      <c r="L499" s="1606"/>
      <c r="M499" s="1606"/>
      <c r="N499" s="928"/>
      <c r="O499" s="928" t="e">
        <f>INT(I499+K499+M499)</f>
        <v>#REF!</v>
      </c>
      <c r="P499" s="685" t="s">
        <v>32</v>
      </c>
    </row>
    <row r="500" spans="2:16" ht="18" customHeight="1">
      <c r="C500" s="683"/>
      <c r="D500" s="928" t="s">
        <v>40</v>
      </c>
      <c r="E500" s="689">
        <v>7.0000000000000001E-3</v>
      </c>
      <c r="F500" s="928" t="s">
        <v>102</v>
      </c>
      <c r="G500" s="688">
        <f>ROUNDDOWN(dhTextEvaluate(E500),3)</f>
        <v>7.0000000000000001E-3</v>
      </c>
      <c r="H500" s="928"/>
      <c r="I500" s="929"/>
      <c r="J500" s="928" t="e">
        <f>VLOOKUP($D500,#REF!,2,FALSE)</f>
        <v>#REF!</v>
      </c>
      <c r="K500" s="928" t="e">
        <f>INT(G500*J500)</f>
        <v>#REF!</v>
      </c>
      <c r="L500" s="928"/>
      <c r="M500" s="928"/>
      <c r="N500" s="928"/>
      <c r="O500" s="928" t="e">
        <f>INT(I500+K500+M500)</f>
        <v>#REF!</v>
      </c>
      <c r="P500" s="685" t="s">
        <v>46</v>
      </c>
    </row>
    <row r="501" spans="2:16" ht="18" customHeight="1">
      <c r="C501" s="683"/>
      <c r="D501" s="928" t="s">
        <v>104</v>
      </c>
      <c r="E501" s="928" t="s">
        <v>41</v>
      </c>
      <c r="F501" s="928" t="s">
        <v>100</v>
      </c>
      <c r="G501" s="928">
        <v>1</v>
      </c>
      <c r="H501" s="928" t="e">
        <f>INT(SUM(K502)*0.03)</f>
        <v>#REF!</v>
      </c>
      <c r="I501" s="928" t="e">
        <f>INT(G501*H501)</f>
        <v>#REF!</v>
      </c>
      <c r="J501" s="928"/>
      <c r="K501" s="928"/>
      <c r="L501" s="928"/>
      <c r="M501" s="928"/>
      <c r="N501" s="928"/>
      <c r="O501" s="928" t="e">
        <f>INT(I501+K501+M501)</f>
        <v>#REF!</v>
      </c>
      <c r="P501" s="685" t="s">
        <v>42</v>
      </c>
    </row>
    <row r="502" spans="2:16" ht="18" customHeight="1">
      <c r="B502" s="193" t="str">
        <f>CONCATENATE(C497,D502)</f>
        <v>계</v>
      </c>
      <c r="C502" s="683"/>
      <c r="D502" s="928" t="s">
        <v>96</v>
      </c>
      <c r="E502" s="928"/>
      <c r="F502" s="928"/>
      <c r="G502" s="928"/>
      <c r="H502" s="928"/>
      <c r="I502" s="928" t="e">
        <f>SUM(I498:I501)</f>
        <v>#REF!</v>
      </c>
      <c r="J502" s="928"/>
      <c r="K502" s="928" t="e">
        <f>SUM(K498:K501)</f>
        <v>#REF!</v>
      </c>
      <c r="L502" s="928"/>
      <c r="M502" s="928">
        <f>SUM(M498:M501)</f>
        <v>0</v>
      </c>
      <c r="N502" s="928"/>
      <c r="O502" s="928" t="e">
        <f>INT(I502+K502+M502)</f>
        <v>#REF!</v>
      </c>
      <c r="P502" s="685"/>
    </row>
    <row r="503" spans="2:16" ht="18" customHeight="1">
      <c r="C503" s="683"/>
      <c r="D503" s="928"/>
      <c r="E503" s="928"/>
      <c r="F503" s="928"/>
      <c r="G503" s="928"/>
      <c r="H503" s="928"/>
      <c r="I503" s="928"/>
      <c r="J503" s="928"/>
      <c r="K503" s="928"/>
      <c r="L503" s="928"/>
      <c r="M503" s="928"/>
      <c r="N503" s="928"/>
      <c r="O503" s="928"/>
      <c r="P503" s="685"/>
    </row>
    <row r="504" spans="2:16" ht="18" customHeight="1">
      <c r="C504" s="683"/>
      <c r="D504" s="928"/>
      <c r="E504" s="928"/>
      <c r="F504" s="928"/>
      <c r="G504" s="928"/>
      <c r="H504" s="928"/>
      <c r="I504" s="928"/>
      <c r="J504" s="928"/>
      <c r="K504" s="928"/>
      <c r="L504" s="928"/>
      <c r="M504" s="928"/>
      <c r="N504" s="928"/>
      <c r="O504" s="928"/>
      <c r="P504" s="685"/>
    </row>
    <row r="505" spans="2:16" ht="18" customHeight="1">
      <c r="C505" s="683"/>
      <c r="D505" s="928"/>
      <c r="E505" s="928"/>
      <c r="F505" s="928"/>
      <c r="G505" s="928"/>
      <c r="H505" s="928"/>
      <c r="I505" s="928"/>
      <c r="J505" s="928"/>
      <c r="K505" s="928"/>
      <c r="L505" s="928"/>
      <c r="M505" s="928"/>
      <c r="N505" s="928"/>
      <c r="O505" s="928"/>
      <c r="P505" s="685"/>
    </row>
    <row r="506" spans="2:16" ht="18" customHeight="1">
      <c r="B506" s="193">
        <f>C506</f>
        <v>0</v>
      </c>
      <c r="C506" s="690"/>
      <c r="D506" s="928" t="e">
        <f>D507</f>
        <v>#REF!</v>
      </c>
      <c r="E506" s="928" t="e">
        <f>E507</f>
        <v>#REF!</v>
      </c>
      <c r="F506" s="928" t="e">
        <f>F507</f>
        <v>#REF!</v>
      </c>
      <c r="G506" s="928"/>
      <c r="H506" s="928"/>
      <c r="I506" s="928"/>
      <c r="J506" s="928"/>
      <c r="K506" s="928"/>
      <c r="L506" s="928"/>
      <c r="M506" s="928"/>
      <c r="N506" s="928"/>
      <c r="O506" s="928"/>
      <c r="P506" s="685"/>
    </row>
    <row r="507" spans="2:16" ht="18" customHeight="1">
      <c r="B507" s="193" t="e">
        <f>#REF!</f>
        <v>#REF!</v>
      </c>
      <c r="C507" s="683"/>
      <c r="D507" s="928" t="e">
        <f>VLOOKUP($B507,#REF!,2,FALSE)</f>
        <v>#REF!</v>
      </c>
      <c r="E507" s="928" t="e">
        <f>VLOOKUP($B507,#REF!,3,FALSE)</f>
        <v>#REF!</v>
      </c>
      <c r="F507" s="928" t="e">
        <f>VLOOKUP($B507,#REF!,4,FALSE)</f>
        <v>#REF!</v>
      </c>
      <c r="G507" s="684">
        <v>1.03</v>
      </c>
      <c r="H507" s="928" t="e">
        <f>VLOOKUP($B507,#REF!,11,FALSE)</f>
        <v>#REF!</v>
      </c>
      <c r="I507" s="928" t="e">
        <f>INT(G507*H507)</f>
        <v>#REF!</v>
      </c>
      <c r="J507" s="928"/>
      <c r="K507" s="928"/>
      <c r="L507" s="928"/>
      <c r="M507" s="928"/>
      <c r="N507" s="928"/>
      <c r="O507" s="928" t="e">
        <f t="shared" ref="O507:O512" si="75">INT(I507+K507+M507)</f>
        <v>#REF!</v>
      </c>
      <c r="P507" s="685" t="s">
        <v>155</v>
      </c>
    </row>
    <row r="508" spans="2:16" ht="18" customHeight="1">
      <c r="C508" s="686"/>
      <c r="D508" s="929" t="s">
        <v>31</v>
      </c>
      <c r="E508" s="3" t="s">
        <v>1288</v>
      </c>
      <c r="F508" s="929" t="s">
        <v>29</v>
      </c>
      <c r="G508" s="929">
        <v>1</v>
      </c>
      <c r="H508" s="929" t="e">
        <f>INT(H507*0.02)</f>
        <v>#REF!</v>
      </c>
      <c r="I508" s="929" t="e">
        <f>INT(G508*H508)</f>
        <v>#REF!</v>
      </c>
      <c r="J508" s="929"/>
      <c r="K508" s="929"/>
      <c r="L508" s="929"/>
      <c r="M508" s="687"/>
      <c r="N508" s="929"/>
      <c r="O508" s="928" t="e">
        <f t="shared" si="75"/>
        <v>#REF!</v>
      </c>
      <c r="P508" s="685" t="s">
        <v>32</v>
      </c>
    </row>
    <row r="509" spans="2:16" ht="18" customHeight="1">
      <c r="C509" s="683"/>
      <c r="D509" s="928" t="s">
        <v>43</v>
      </c>
      <c r="E509" s="688" t="s">
        <v>965</v>
      </c>
      <c r="F509" s="928" t="s">
        <v>102</v>
      </c>
      <c r="G509" s="688">
        <f>ROUNDDOWN(dhTextEvaluate(E509),3)</f>
        <v>8.0000000000000002E-3</v>
      </c>
      <c r="H509" s="928"/>
      <c r="I509" s="928"/>
      <c r="J509" s="928" t="e">
        <f>VLOOKUP($D509,#REF!,2,FALSE)</f>
        <v>#REF!</v>
      </c>
      <c r="K509" s="928" t="e">
        <f>INT(G509*J509)</f>
        <v>#REF!</v>
      </c>
      <c r="L509" s="1606" t="s">
        <v>964</v>
      </c>
      <c r="M509" s="1606"/>
      <c r="N509" s="928"/>
      <c r="O509" s="928" t="e">
        <f t="shared" si="75"/>
        <v>#REF!</v>
      </c>
      <c r="P509" s="685" t="s">
        <v>44</v>
      </c>
    </row>
    <row r="510" spans="2:16" ht="18" customHeight="1">
      <c r="C510" s="683"/>
      <c r="D510" s="928" t="s">
        <v>45</v>
      </c>
      <c r="E510" s="688" t="str">
        <f>E509</f>
        <v>(6.09/1000)*1.4</v>
      </c>
      <c r="F510" s="928" t="s">
        <v>102</v>
      </c>
      <c r="G510" s="688">
        <f>ROUNDDOWN(dhTextEvaluate(E510),3)</f>
        <v>8.0000000000000002E-3</v>
      </c>
      <c r="H510" s="928"/>
      <c r="I510" s="928"/>
      <c r="J510" s="928" t="e">
        <f>VLOOKUP($D510,#REF!,2,FALSE)</f>
        <v>#REF!</v>
      </c>
      <c r="K510" s="928" t="e">
        <f>INT(G510*J510)</f>
        <v>#REF!</v>
      </c>
      <c r="L510" s="1606" t="str">
        <f>L509</f>
        <v>2심:140%</v>
      </c>
      <c r="M510" s="1606"/>
      <c r="N510" s="928"/>
      <c r="O510" s="928" t="e">
        <f t="shared" si="75"/>
        <v>#REF!</v>
      </c>
      <c r="P510" s="685" t="s">
        <v>44</v>
      </c>
    </row>
    <row r="511" spans="2:16" ht="18" customHeight="1">
      <c r="C511" s="683"/>
      <c r="D511" s="928" t="s">
        <v>104</v>
      </c>
      <c r="E511" s="689" t="s">
        <v>41</v>
      </c>
      <c r="F511" s="928" t="s">
        <v>100</v>
      </c>
      <c r="G511" s="928">
        <v>1</v>
      </c>
      <c r="H511" s="928" t="e">
        <f>INT(SUM(K512)*0.03)</f>
        <v>#REF!</v>
      </c>
      <c r="I511" s="929" t="e">
        <f>INT(G511*H511)</f>
        <v>#REF!</v>
      </c>
      <c r="J511" s="928"/>
      <c r="K511" s="928"/>
      <c r="L511" s="928"/>
      <c r="M511" s="928"/>
      <c r="N511" s="928"/>
      <c r="O511" s="928" t="e">
        <f t="shared" si="75"/>
        <v>#REF!</v>
      </c>
      <c r="P511" s="685" t="s">
        <v>42</v>
      </c>
    </row>
    <row r="512" spans="2:16" ht="18" customHeight="1">
      <c r="B512" s="193" t="str">
        <f>CONCATENATE(C506,D512)</f>
        <v>계</v>
      </c>
      <c r="C512" s="683"/>
      <c r="D512" s="928" t="s">
        <v>96</v>
      </c>
      <c r="E512" s="928"/>
      <c r="F512" s="928"/>
      <c r="G512" s="928"/>
      <c r="H512" s="928"/>
      <c r="I512" s="928" t="e">
        <f>SUM(I507:I511)</f>
        <v>#REF!</v>
      </c>
      <c r="J512" s="928"/>
      <c r="K512" s="928" t="e">
        <f>SUM(K507:K511)</f>
        <v>#REF!</v>
      </c>
      <c r="L512" s="928"/>
      <c r="M512" s="928">
        <f>SUM(M507:M511)</f>
        <v>0</v>
      </c>
      <c r="N512" s="928"/>
      <c r="O512" s="928" t="e">
        <f t="shared" si="75"/>
        <v>#REF!</v>
      </c>
      <c r="P512" s="685"/>
    </row>
    <row r="513" spans="2:16" ht="18" customHeight="1">
      <c r="C513" s="683"/>
      <c r="D513" s="928"/>
      <c r="E513" s="928"/>
      <c r="F513" s="928"/>
      <c r="G513" s="928"/>
      <c r="H513" s="928"/>
      <c r="I513" s="928"/>
      <c r="J513" s="928"/>
      <c r="K513" s="928"/>
      <c r="L513" s="928"/>
      <c r="M513" s="928"/>
      <c r="N513" s="928"/>
      <c r="O513" s="928"/>
      <c r="P513" s="685"/>
    </row>
    <row r="514" spans="2:16" ht="18" customHeight="1">
      <c r="B514" s="193">
        <f>C514</f>
        <v>0</v>
      </c>
      <c r="C514" s="690"/>
      <c r="D514" s="928" t="e">
        <f>D515</f>
        <v>#REF!</v>
      </c>
      <c r="E514" s="928" t="e">
        <f>E515</f>
        <v>#REF!</v>
      </c>
      <c r="F514" s="928" t="e">
        <f>F515</f>
        <v>#REF!</v>
      </c>
      <c r="G514" s="928"/>
      <c r="H514" s="928"/>
      <c r="I514" s="928"/>
      <c r="J514" s="928"/>
      <c r="K514" s="928"/>
      <c r="L514" s="928"/>
      <c r="M514" s="928"/>
      <c r="N514" s="928"/>
      <c r="O514" s="928"/>
      <c r="P514" s="685"/>
    </row>
    <row r="515" spans="2:16" ht="18" customHeight="1">
      <c r="B515" s="193" t="e">
        <f>#REF!</f>
        <v>#REF!</v>
      </c>
      <c r="C515" s="683"/>
      <c r="D515" s="928" t="e">
        <f>VLOOKUP($B515,#REF!,2,FALSE)</f>
        <v>#REF!</v>
      </c>
      <c r="E515" s="928" t="e">
        <f>VLOOKUP($B515,#REF!,3,FALSE)</f>
        <v>#REF!</v>
      </c>
      <c r="F515" s="928" t="e">
        <f>VLOOKUP($B515,#REF!,4,FALSE)</f>
        <v>#REF!</v>
      </c>
      <c r="G515" s="684">
        <v>1.03</v>
      </c>
      <c r="H515" s="928" t="e">
        <f>VLOOKUP($B515,#REF!,11,FALSE)</f>
        <v>#REF!</v>
      </c>
      <c r="I515" s="928" t="e">
        <f>INT(G515*H515)</f>
        <v>#REF!</v>
      </c>
      <c r="J515" s="928"/>
      <c r="K515" s="928"/>
      <c r="L515" s="928"/>
      <c r="M515" s="928"/>
      <c r="N515" s="928"/>
      <c r="O515" s="928" t="e">
        <f t="shared" ref="O515:O520" si="76">INT(I515+K515+M515)</f>
        <v>#REF!</v>
      </c>
      <c r="P515" s="685" t="s">
        <v>155</v>
      </c>
    </row>
    <row r="516" spans="2:16" ht="18" customHeight="1">
      <c r="C516" s="686"/>
      <c r="D516" s="929" t="s">
        <v>31</v>
      </c>
      <c r="E516" s="3" t="s">
        <v>1288</v>
      </c>
      <c r="F516" s="929" t="s">
        <v>29</v>
      </c>
      <c r="G516" s="929">
        <v>1</v>
      </c>
      <c r="H516" s="929" t="e">
        <f>INT(H515*0.02)</f>
        <v>#REF!</v>
      </c>
      <c r="I516" s="929" t="e">
        <f>INT(G516*H516)</f>
        <v>#REF!</v>
      </c>
      <c r="J516" s="929"/>
      <c r="K516" s="929"/>
      <c r="L516" s="929"/>
      <c r="M516" s="687"/>
      <c r="N516" s="929"/>
      <c r="O516" s="928" t="e">
        <f t="shared" si="76"/>
        <v>#REF!</v>
      </c>
      <c r="P516" s="685" t="s">
        <v>32</v>
      </c>
    </row>
    <row r="517" spans="2:16" ht="18" customHeight="1">
      <c r="C517" s="683"/>
      <c r="D517" s="928" t="s">
        <v>43</v>
      </c>
      <c r="E517" s="688" t="s">
        <v>939</v>
      </c>
      <c r="F517" s="928" t="s">
        <v>102</v>
      </c>
      <c r="G517" s="688">
        <f>ROUNDDOWN(dhTextEvaluate(E517),3)</f>
        <v>7.0000000000000001E-3</v>
      </c>
      <c r="H517" s="928"/>
      <c r="I517" s="928"/>
      <c r="J517" s="928" t="e">
        <f>VLOOKUP($D517,#REF!,2,FALSE)</f>
        <v>#REF!</v>
      </c>
      <c r="K517" s="928" t="e">
        <f>INT(G517*J517)</f>
        <v>#REF!</v>
      </c>
      <c r="L517" s="1606" t="s">
        <v>1294</v>
      </c>
      <c r="M517" s="1606"/>
      <c r="N517" s="928"/>
      <c r="O517" s="928" t="e">
        <f t="shared" si="76"/>
        <v>#REF!</v>
      </c>
      <c r="P517" s="685" t="s">
        <v>44</v>
      </c>
    </row>
    <row r="518" spans="2:16" ht="18" customHeight="1">
      <c r="C518" s="683"/>
      <c r="D518" s="928" t="s">
        <v>45</v>
      </c>
      <c r="E518" s="688" t="str">
        <f>E517</f>
        <v>(6.09/1000)*1.4*1.8/2</v>
      </c>
      <c r="F518" s="928" t="s">
        <v>102</v>
      </c>
      <c r="G518" s="688">
        <f>ROUNDDOWN(dhTextEvaluate(E518),3)</f>
        <v>7.0000000000000001E-3</v>
      </c>
      <c r="H518" s="928"/>
      <c r="I518" s="928"/>
      <c r="J518" s="928" t="e">
        <f>VLOOKUP($D518,#REF!,2,FALSE)</f>
        <v>#REF!</v>
      </c>
      <c r="K518" s="928" t="e">
        <f>INT(G518*J518)</f>
        <v>#REF!</v>
      </c>
      <c r="L518" s="1606" t="str">
        <f>L517</f>
        <v>2심:140%,2열:180%</v>
      </c>
      <c r="M518" s="1606"/>
      <c r="N518" s="928"/>
      <c r="O518" s="928" t="e">
        <f t="shared" si="76"/>
        <v>#REF!</v>
      </c>
      <c r="P518" s="685" t="s">
        <v>44</v>
      </c>
    </row>
    <row r="519" spans="2:16" ht="18" customHeight="1">
      <c r="C519" s="683"/>
      <c r="D519" s="928" t="s">
        <v>104</v>
      </c>
      <c r="E519" s="689" t="s">
        <v>41</v>
      </c>
      <c r="F519" s="928" t="s">
        <v>100</v>
      </c>
      <c r="G519" s="928">
        <v>1</v>
      </c>
      <c r="H519" s="928" t="e">
        <f>INT(SUM(K520)*0.03)</f>
        <v>#REF!</v>
      </c>
      <c r="I519" s="929" t="e">
        <f>INT(G519*H519)</f>
        <v>#REF!</v>
      </c>
      <c r="J519" s="928"/>
      <c r="K519" s="928"/>
      <c r="L519" s="928"/>
      <c r="M519" s="928"/>
      <c r="N519" s="928"/>
      <c r="O519" s="928" t="e">
        <f t="shared" si="76"/>
        <v>#REF!</v>
      </c>
      <c r="P519" s="685" t="s">
        <v>42</v>
      </c>
    </row>
    <row r="520" spans="2:16" ht="18" customHeight="1">
      <c r="B520" s="193" t="str">
        <f>CONCATENATE(C514,D520)</f>
        <v>계</v>
      </c>
      <c r="C520" s="691"/>
      <c r="D520" s="692" t="s">
        <v>96</v>
      </c>
      <c r="E520" s="692"/>
      <c r="F520" s="692"/>
      <c r="G520" s="692"/>
      <c r="H520" s="692"/>
      <c r="I520" s="692" t="e">
        <f>SUM(I515:I519)</f>
        <v>#REF!</v>
      </c>
      <c r="J520" s="692"/>
      <c r="K520" s="692" t="e">
        <f>SUM(K515:K519)</f>
        <v>#REF!</v>
      </c>
      <c r="L520" s="692"/>
      <c r="M520" s="692">
        <f>SUM(M515:M519)</f>
        <v>0</v>
      </c>
      <c r="N520" s="692"/>
      <c r="O520" s="692" t="e">
        <f t="shared" si="76"/>
        <v>#REF!</v>
      </c>
      <c r="P520" s="693"/>
    </row>
    <row r="521" spans="2:16" ht="18" customHeight="1">
      <c r="C521" s="683"/>
      <c r="D521" s="928"/>
      <c r="E521" s="928"/>
      <c r="F521" s="928"/>
      <c r="G521" s="928"/>
      <c r="H521" s="928"/>
      <c r="I521" s="928"/>
      <c r="J521" s="928"/>
      <c r="K521" s="928"/>
      <c r="L521" s="928"/>
      <c r="M521" s="928"/>
      <c r="N521" s="928"/>
      <c r="O521" s="928"/>
      <c r="P521" s="685"/>
    </row>
    <row r="523" spans="2:16" ht="18" customHeight="1">
      <c r="B523" s="193">
        <f>C523</f>
        <v>0</v>
      </c>
      <c r="C523" s="690"/>
      <c r="D523" s="928" t="e">
        <f>D524</f>
        <v>#REF!</v>
      </c>
      <c r="E523" s="928" t="e">
        <f>E524</f>
        <v>#REF!</v>
      </c>
      <c r="F523" s="928" t="e">
        <f>F524</f>
        <v>#REF!</v>
      </c>
      <c r="G523" s="928"/>
      <c r="H523" s="928"/>
      <c r="I523" s="928"/>
      <c r="J523" s="928"/>
      <c r="K523" s="928"/>
      <c r="L523" s="928"/>
      <c r="M523" s="928"/>
      <c r="N523" s="928"/>
      <c r="O523" s="928"/>
      <c r="P523" s="685"/>
    </row>
    <row r="524" spans="2:16" ht="18" customHeight="1">
      <c r="B524" s="193" t="e">
        <f>#REF!</f>
        <v>#REF!</v>
      </c>
      <c r="C524" s="683"/>
      <c r="D524" s="928" t="e">
        <f>VLOOKUP($B524,#REF!,2,FALSE)</f>
        <v>#REF!</v>
      </c>
      <c r="E524" s="928" t="e">
        <f>VLOOKUP($B524,#REF!,3,FALSE)</f>
        <v>#REF!</v>
      </c>
      <c r="F524" s="928" t="e">
        <f>VLOOKUP($B524,#REF!,4,FALSE)</f>
        <v>#REF!</v>
      </c>
      <c r="G524" s="684">
        <v>1.05</v>
      </c>
      <c r="H524" s="928" t="e">
        <f>VLOOKUP($B524,#REF!,11,FALSE)</f>
        <v>#REF!</v>
      </c>
      <c r="I524" s="928" t="e">
        <f>INT(G524*H524)</f>
        <v>#REF!</v>
      </c>
      <c r="J524" s="928"/>
      <c r="K524" s="928"/>
      <c r="L524" s="928"/>
      <c r="M524" s="928"/>
      <c r="N524" s="928"/>
      <c r="O524" s="928" t="e">
        <f t="shared" ref="O524:O530" si="77">INT(I524+K524+M524)</f>
        <v>#REF!</v>
      </c>
      <c r="P524" s="685" t="s">
        <v>155</v>
      </c>
    </row>
    <row r="525" spans="2:16" ht="18" customHeight="1">
      <c r="C525" s="686"/>
      <c r="D525" s="929" t="s">
        <v>27</v>
      </c>
      <c r="E525" s="3" t="s">
        <v>28</v>
      </c>
      <c r="F525" s="929" t="s">
        <v>29</v>
      </c>
      <c r="G525" s="929">
        <v>1</v>
      </c>
      <c r="H525" s="928" t="e">
        <f>INT(H524*0.15)</f>
        <v>#REF!</v>
      </c>
      <c r="I525" s="928" t="e">
        <f>INT(G525*H525)</f>
        <v>#REF!</v>
      </c>
      <c r="J525" s="929"/>
      <c r="K525" s="929"/>
      <c r="L525" s="929"/>
      <c r="M525" s="687"/>
      <c r="N525" s="929"/>
      <c r="O525" s="928" t="e">
        <f t="shared" si="77"/>
        <v>#REF!</v>
      </c>
      <c r="P525" s="685" t="s">
        <v>30</v>
      </c>
    </row>
    <row r="526" spans="2:16" ht="18" customHeight="1">
      <c r="C526" s="686"/>
      <c r="D526" s="929" t="s">
        <v>31</v>
      </c>
      <c r="E526" s="3" t="s">
        <v>1288</v>
      </c>
      <c r="F526" s="929" t="s">
        <v>29</v>
      </c>
      <c r="G526" s="929">
        <v>1</v>
      </c>
      <c r="H526" s="929" t="e">
        <f>INT(H524*0.02)</f>
        <v>#REF!</v>
      </c>
      <c r="I526" s="929" t="e">
        <f>INT(G526*H526)</f>
        <v>#REF!</v>
      </c>
      <c r="J526" s="929"/>
      <c r="K526" s="929"/>
      <c r="L526" s="929"/>
      <c r="M526" s="687"/>
      <c r="N526" s="929"/>
      <c r="O526" s="928" t="e">
        <f t="shared" si="77"/>
        <v>#REF!</v>
      </c>
      <c r="P526" s="685" t="s">
        <v>32</v>
      </c>
    </row>
    <row r="527" spans="2:16" ht="18" customHeight="1">
      <c r="C527" s="683"/>
      <c r="D527" s="928" t="s">
        <v>98</v>
      </c>
      <c r="E527" s="688" t="s">
        <v>1006</v>
      </c>
      <c r="F527" s="928" t="s">
        <v>102</v>
      </c>
      <c r="G527" s="688">
        <f>ROUNDDOWN(dhTextEvaluate(E527),3)</f>
        <v>2.4E-2</v>
      </c>
      <c r="H527" s="928"/>
      <c r="I527" s="928"/>
      <c r="J527" s="928" t="e">
        <f>VLOOKUP($D527,#REF!,2,FALSE)</f>
        <v>#REF!</v>
      </c>
      <c r="K527" s="928" t="e">
        <f>INT(G527*J527)</f>
        <v>#REF!</v>
      </c>
      <c r="L527" s="1606" t="s">
        <v>1289</v>
      </c>
      <c r="M527" s="1606"/>
      <c r="N527" s="928"/>
      <c r="O527" s="928" t="e">
        <f t="shared" si="77"/>
        <v>#REF!</v>
      </c>
      <c r="P527" s="685" t="s">
        <v>97</v>
      </c>
    </row>
    <row r="528" spans="2:16" ht="18" customHeight="1">
      <c r="C528" s="683"/>
      <c r="D528" s="928" t="s">
        <v>45</v>
      </c>
      <c r="E528" s="688" t="s">
        <v>1007</v>
      </c>
      <c r="F528" s="928" t="s">
        <v>102</v>
      </c>
      <c r="G528" s="688">
        <f>ROUNDDOWN(dhTextEvaluate(E528),3)</f>
        <v>4.8000000000000001E-2</v>
      </c>
      <c r="H528" s="928"/>
      <c r="I528" s="928"/>
      <c r="J528" s="928" t="e">
        <f>VLOOKUP($D528,#REF!,2,FALSE)</f>
        <v>#REF!</v>
      </c>
      <c r="K528" s="928" t="e">
        <f>INT(G528*J528)</f>
        <v>#REF!</v>
      </c>
      <c r="L528" s="1606" t="s">
        <v>1289</v>
      </c>
      <c r="M528" s="1606"/>
      <c r="N528" s="928"/>
      <c r="O528" s="928" t="e">
        <f t="shared" si="77"/>
        <v>#REF!</v>
      </c>
      <c r="P528" s="685" t="s">
        <v>97</v>
      </c>
    </row>
    <row r="529" spans="2:16" ht="18" customHeight="1">
      <c r="C529" s="683"/>
      <c r="D529" s="928" t="s">
        <v>104</v>
      </c>
      <c r="E529" s="689" t="s">
        <v>41</v>
      </c>
      <c r="F529" s="928" t="s">
        <v>100</v>
      </c>
      <c r="G529" s="928">
        <v>1</v>
      </c>
      <c r="H529" s="928" t="e">
        <f>INT(SUM(K530)*0.03)</f>
        <v>#REF!</v>
      </c>
      <c r="I529" s="929" t="e">
        <f>INT(G529*H529)</f>
        <v>#REF!</v>
      </c>
      <c r="J529" s="928"/>
      <c r="K529" s="928"/>
      <c r="L529" s="928"/>
      <c r="M529" s="928"/>
      <c r="N529" s="928"/>
      <c r="O529" s="928" t="e">
        <f t="shared" si="77"/>
        <v>#REF!</v>
      </c>
      <c r="P529" s="685" t="s">
        <v>42</v>
      </c>
    </row>
    <row r="530" spans="2:16" ht="18" customHeight="1">
      <c r="B530" s="193" t="str">
        <f>CONCATENATE(C523,D530)</f>
        <v>계</v>
      </c>
      <c r="C530" s="683"/>
      <c r="D530" s="928" t="s">
        <v>96</v>
      </c>
      <c r="E530" s="928"/>
      <c r="F530" s="928"/>
      <c r="G530" s="928"/>
      <c r="H530" s="928"/>
      <c r="I530" s="928" t="e">
        <f>SUM(I524:I529)</f>
        <v>#REF!</v>
      </c>
      <c r="J530" s="928"/>
      <c r="K530" s="928" t="e">
        <f>SUM(K524:K529)</f>
        <v>#REF!</v>
      </c>
      <c r="L530" s="928"/>
      <c r="M530" s="928">
        <f>SUM(M524:M529)</f>
        <v>0</v>
      </c>
      <c r="N530" s="928"/>
      <c r="O530" s="928" t="e">
        <f t="shared" si="77"/>
        <v>#REF!</v>
      </c>
      <c r="P530" s="685"/>
    </row>
    <row r="531" spans="2:16" ht="18" customHeight="1">
      <c r="C531" s="683"/>
      <c r="D531" s="928"/>
      <c r="E531" s="928"/>
      <c r="F531" s="928"/>
      <c r="G531" s="928"/>
      <c r="H531" s="928"/>
      <c r="I531" s="928"/>
      <c r="J531" s="928"/>
      <c r="K531" s="928"/>
      <c r="L531" s="928"/>
      <c r="M531" s="928"/>
      <c r="N531" s="928"/>
      <c r="O531" s="928"/>
      <c r="P531" s="685"/>
    </row>
    <row r="532" spans="2:16" ht="18" customHeight="1">
      <c r="C532" s="683"/>
      <c r="D532" s="928"/>
      <c r="E532" s="928"/>
      <c r="F532" s="928"/>
      <c r="G532" s="928"/>
      <c r="H532" s="928"/>
      <c r="I532" s="928"/>
      <c r="J532" s="928"/>
      <c r="K532" s="928"/>
      <c r="L532" s="928"/>
      <c r="M532" s="928"/>
      <c r="N532" s="928"/>
      <c r="O532" s="928"/>
      <c r="P532" s="685"/>
    </row>
    <row r="533" spans="2:16" ht="18" customHeight="1">
      <c r="C533" s="683"/>
      <c r="D533" s="928"/>
      <c r="E533" s="928"/>
      <c r="F533" s="928"/>
      <c r="G533" s="928"/>
      <c r="H533" s="928"/>
      <c r="I533" s="928"/>
      <c r="J533" s="928"/>
      <c r="K533" s="928"/>
      <c r="L533" s="928"/>
      <c r="M533" s="928"/>
      <c r="N533" s="928"/>
      <c r="O533" s="928"/>
      <c r="P533" s="685"/>
    </row>
    <row r="534" spans="2:16" ht="18" customHeight="1">
      <c r="C534" s="683"/>
      <c r="D534" s="928"/>
      <c r="E534" s="928"/>
      <c r="F534" s="928"/>
      <c r="G534" s="928"/>
      <c r="H534" s="928"/>
      <c r="I534" s="928"/>
      <c r="J534" s="928"/>
      <c r="K534" s="928"/>
      <c r="L534" s="928"/>
      <c r="M534" s="928"/>
      <c r="N534" s="928"/>
      <c r="O534" s="928"/>
      <c r="P534" s="685"/>
    </row>
    <row r="535" spans="2:16" ht="18" customHeight="1">
      <c r="C535" s="683"/>
      <c r="D535" s="928"/>
      <c r="E535" s="928"/>
      <c r="F535" s="928"/>
      <c r="G535" s="928"/>
      <c r="H535" s="928"/>
      <c r="I535" s="928"/>
      <c r="J535" s="928"/>
      <c r="K535" s="928"/>
      <c r="L535" s="928"/>
      <c r="M535" s="928"/>
      <c r="N535" s="928"/>
      <c r="O535" s="928"/>
      <c r="P535" s="685"/>
    </row>
    <row r="536" spans="2:16" ht="18" customHeight="1">
      <c r="C536" s="691"/>
      <c r="D536" s="692"/>
      <c r="E536" s="692"/>
      <c r="F536" s="692"/>
      <c r="G536" s="692"/>
      <c r="H536" s="692"/>
      <c r="I536" s="692"/>
      <c r="J536" s="692"/>
      <c r="K536" s="692"/>
      <c r="L536" s="692"/>
      <c r="M536" s="692"/>
      <c r="N536" s="692"/>
      <c r="O536" s="692"/>
      <c r="P536" s="693"/>
    </row>
    <row r="537" spans="2:16" ht="18" customHeight="1">
      <c r="B537" s="193">
        <f>C537</f>
        <v>0</v>
      </c>
      <c r="C537" s="728"/>
      <c r="D537" s="681" t="e">
        <f>D538</f>
        <v>#REF!</v>
      </c>
      <c r="E537" s="681" t="e">
        <f>E538</f>
        <v>#REF!</v>
      </c>
      <c r="F537" s="681" t="e">
        <f>F538</f>
        <v>#REF!</v>
      </c>
      <c r="G537" s="681"/>
      <c r="H537" s="681"/>
      <c r="I537" s="681"/>
      <c r="J537" s="681"/>
      <c r="K537" s="681"/>
      <c r="L537" s="681"/>
      <c r="M537" s="681"/>
      <c r="N537" s="681"/>
      <c r="O537" s="681"/>
      <c r="P537" s="730"/>
    </row>
    <row r="538" spans="2:16" ht="18" customHeight="1">
      <c r="B538" s="193" t="e">
        <f>#REF!</f>
        <v>#REF!</v>
      </c>
      <c r="C538" s="683"/>
      <c r="D538" s="928" t="e">
        <f>VLOOKUP($B538,#REF!,2,FALSE)</f>
        <v>#REF!</v>
      </c>
      <c r="E538" s="928" t="e">
        <f>VLOOKUP($B538,#REF!,3,FALSE)</f>
        <v>#REF!</v>
      </c>
      <c r="F538" s="928" t="e">
        <f>VLOOKUP($B538,#REF!,4,FALSE)</f>
        <v>#REF!</v>
      </c>
      <c r="G538" s="684">
        <v>1.05</v>
      </c>
      <c r="H538" s="928" t="e">
        <f>VLOOKUP($B538,#REF!,11,FALSE)</f>
        <v>#REF!</v>
      </c>
      <c r="I538" s="928" t="e">
        <f>INT(G538*H538)</f>
        <v>#REF!</v>
      </c>
      <c r="J538" s="928"/>
      <c r="K538" s="928"/>
      <c r="L538" s="928"/>
      <c r="M538" s="928"/>
      <c r="N538" s="928"/>
      <c r="O538" s="928" t="e">
        <f t="shared" ref="O538:O544" si="78">INT(I538+K538+M538)</f>
        <v>#REF!</v>
      </c>
      <c r="P538" s="685" t="s">
        <v>155</v>
      </c>
    </row>
    <row r="539" spans="2:16" ht="18" customHeight="1">
      <c r="C539" s="686"/>
      <c r="D539" s="929" t="s">
        <v>27</v>
      </c>
      <c r="E539" s="3" t="s">
        <v>28</v>
      </c>
      <c r="F539" s="929" t="s">
        <v>29</v>
      </c>
      <c r="G539" s="929">
        <v>1</v>
      </c>
      <c r="H539" s="928" t="e">
        <f>INT(H538*0.15)</f>
        <v>#REF!</v>
      </c>
      <c r="I539" s="928" t="e">
        <f>INT(G539*H539)</f>
        <v>#REF!</v>
      </c>
      <c r="J539" s="929"/>
      <c r="K539" s="929"/>
      <c r="L539" s="929"/>
      <c r="M539" s="687"/>
      <c r="N539" s="929"/>
      <c r="O539" s="928" t="e">
        <f t="shared" si="78"/>
        <v>#REF!</v>
      </c>
      <c r="P539" s="685" t="s">
        <v>30</v>
      </c>
    </row>
    <row r="540" spans="2:16" ht="18" customHeight="1">
      <c r="C540" s="686"/>
      <c r="D540" s="929" t="s">
        <v>31</v>
      </c>
      <c r="E540" s="3" t="s">
        <v>1288</v>
      </c>
      <c r="F540" s="929" t="s">
        <v>29</v>
      </c>
      <c r="G540" s="929">
        <v>1</v>
      </c>
      <c r="H540" s="929" t="e">
        <f>INT(H538*0.02)</f>
        <v>#REF!</v>
      </c>
      <c r="I540" s="929" t="e">
        <f>INT(G540*H540)</f>
        <v>#REF!</v>
      </c>
      <c r="J540" s="929"/>
      <c r="K540" s="929"/>
      <c r="L540" s="929"/>
      <c r="M540" s="687"/>
      <c r="N540" s="929"/>
      <c r="O540" s="928" t="e">
        <f t="shared" si="78"/>
        <v>#REF!</v>
      </c>
      <c r="P540" s="685" t="s">
        <v>32</v>
      </c>
    </row>
    <row r="541" spans="2:16" ht="18" customHeight="1">
      <c r="C541" s="683"/>
      <c r="D541" s="928" t="s">
        <v>98</v>
      </c>
      <c r="E541" s="688" t="s">
        <v>1028</v>
      </c>
      <c r="F541" s="928" t="s">
        <v>102</v>
      </c>
      <c r="G541" s="688">
        <f>ROUNDDOWN(dhTextEvaluate(E541),3)</f>
        <v>3.5000000000000003E-2</v>
      </c>
      <c r="H541" s="928"/>
      <c r="I541" s="928"/>
      <c r="J541" s="928" t="e">
        <f>VLOOKUP($D541,#REF!,2,FALSE)</f>
        <v>#REF!</v>
      </c>
      <c r="K541" s="928" t="e">
        <f>INT(G541*J541)</f>
        <v>#REF!</v>
      </c>
      <c r="L541" s="1606" t="s">
        <v>1030</v>
      </c>
      <c r="M541" s="1606"/>
      <c r="N541" s="928"/>
      <c r="O541" s="928" t="e">
        <f t="shared" si="78"/>
        <v>#REF!</v>
      </c>
      <c r="P541" s="685" t="s">
        <v>97</v>
      </c>
    </row>
    <row r="542" spans="2:16" ht="18" customHeight="1">
      <c r="C542" s="683"/>
      <c r="D542" s="928" t="s">
        <v>45</v>
      </c>
      <c r="E542" s="688" t="s">
        <v>1029</v>
      </c>
      <c r="F542" s="928" t="s">
        <v>102</v>
      </c>
      <c r="G542" s="688">
        <f>ROUNDDOWN(dhTextEvaluate(E542),3)</f>
        <v>7.0000000000000007E-2</v>
      </c>
      <c r="H542" s="928"/>
      <c r="I542" s="928"/>
      <c r="J542" s="928" t="e">
        <f>VLOOKUP($D542,#REF!,2,FALSE)</f>
        <v>#REF!</v>
      </c>
      <c r="K542" s="928" t="e">
        <f>INT(G542*J542)</f>
        <v>#REF!</v>
      </c>
      <c r="L542" s="1606" t="s">
        <v>1030</v>
      </c>
      <c r="M542" s="1606"/>
      <c r="N542" s="928"/>
      <c r="O542" s="928" t="e">
        <f t="shared" si="78"/>
        <v>#REF!</v>
      </c>
      <c r="P542" s="685" t="s">
        <v>97</v>
      </c>
    </row>
    <row r="543" spans="2:16" ht="18" customHeight="1">
      <c r="C543" s="683"/>
      <c r="D543" s="928" t="s">
        <v>104</v>
      </c>
      <c r="E543" s="689" t="s">
        <v>41</v>
      </c>
      <c r="F543" s="928" t="s">
        <v>100</v>
      </c>
      <c r="G543" s="928">
        <v>1</v>
      </c>
      <c r="H543" s="928" t="e">
        <f>INT(SUM(K544)*0.03)</f>
        <v>#REF!</v>
      </c>
      <c r="I543" s="929" t="e">
        <f>INT(G543*H543)</f>
        <v>#REF!</v>
      </c>
      <c r="J543" s="928"/>
      <c r="K543" s="928"/>
      <c r="L543" s="928"/>
      <c r="M543" s="928"/>
      <c r="N543" s="928"/>
      <c r="O543" s="928" t="e">
        <f t="shared" si="78"/>
        <v>#REF!</v>
      </c>
      <c r="P543" s="685" t="s">
        <v>42</v>
      </c>
    </row>
    <row r="544" spans="2:16" ht="18" customHeight="1">
      <c r="B544" s="193" t="str">
        <f>CONCATENATE(C537,D544)</f>
        <v>계</v>
      </c>
      <c r="C544" s="683"/>
      <c r="D544" s="928" t="s">
        <v>96</v>
      </c>
      <c r="E544" s="928"/>
      <c r="F544" s="928"/>
      <c r="G544" s="928"/>
      <c r="H544" s="928"/>
      <c r="I544" s="928" t="e">
        <f>SUM(I538:I543)</f>
        <v>#REF!</v>
      </c>
      <c r="J544" s="928"/>
      <c r="K544" s="928" t="e">
        <f>SUM(K538:K543)</f>
        <v>#REF!</v>
      </c>
      <c r="L544" s="928"/>
      <c r="M544" s="928">
        <f>SUM(M538:M543)</f>
        <v>0</v>
      </c>
      <c r="N544" s="928"/>
      <c r="O544" s="928" t="e">
        <f t="shared" si="78"/>
        <v>#REF!</v>
      </c>
      <c r="P544" s="685"/>
    </row>
    <row r="545" spans="2:16" ht="18" customHeight="1">
      <c r="C545" s="683"/>
      <c r="D545" s="928"/>
      <c r="E545" s="928"/>
      <c r="F545" s="928"/>
      <c r="G545" s="928"/>
      <c r="H545" s="928"/>
      <c r="I545" s="928"/>
      <c r="J545" s="928"/>
      <c r="K545" s="928"/>
      <c r="L545" s="928"/>
      <c r="M545" s="928"/>
      <c r="N545" s="928"/>
      <c r="O545" s="928"/>
      <c r="P545" s="685"/>
    </row>
    <row r="546" spans="2:16" ht="18" customHeight="1">
      <c r="B546" s="193">
        <f>C546</f>
        <v>0</v>
      </c>
      <c r="C546" s="690"/>
      <c r="D546" s="928" t="e">
        <f>D547</f>
        <v>#REF!</v>
      </c>
      <c r="E546" s="928" t="e">
        <f>E547</f>
        <v>#REF!</v>
      </c>
      <c r="F546" s="928" t="e">
        <f>F547</f>
        <v>#REF!</v>
      </c>
      <c r="G546" s="928"/>
      <c r="H546" s="928"/>
      <c r="I546" s="928"/>
      <c r="J546" s="928"/>
      <c r="K546" s="928"/>
      <c r="L546" s="928"/>
      <c r="M546" s="928"/>
      <c r="N546" s="928"/>
      <c r="O546" s="928"/>
      <c r="P546" s="685"/>
    </row>
    <row r="547" spans="2:16" ht="18" customHeight="1">
      <c r="B547" s="193" t="e">
        <f>#REF!</f>
        <v>#REF!</v>
      </c>
      <c r="C547" s="683"/>
      <c r="D547" s="928" t="e">
        <f>VLOOKUP($B547,#REF!,2,FALSE)</f>
        <v>#REF!</v>
      </c>
      <c r="E547" s="928" t="e">
        <f>VLOOKUP($B547,#REF!,3,FALSE)</f>
        <v>#REF!</v>
      </c>
      <c r="F547" s="928" t="e">
        <f>VLOOKUP($B547,#REF!,4,FALSE)</f>
        <v>#REF!</v>
      </c>
      <c r="G547" s="684">
        <v>1.05</v>
      </c>
      <c r="H547" s="928" t="e">
        <f>VLOOKUP($B547,#REF!,11,FALSE)</f>
        <v>#REF!</v>
      </c>
      <c r="I547" s="928" t="e">
        <f>INT(G547*H547)</f>
        <v>#REF!</v>
      </c>
      <c r="J547" s="928"/>
      <c r="K547" s="928"/>
      <c r="L547" s="928"/>
      <c r="M547" s="928"/>
      <c r="N547" s="928"/>
      <c r="O547" s="928" t="e">
        <f t="shared" ref="O547:O553" si="79">INT(I547+K547+M547)</f>
        <v>#REF!</v>
      </c>
      <c r="P547" s="685" t="s">
        <v>155</v>
      </c>
    </row>
    <row r="548" spans="2:16" ht="18" customHeight="1">
      <c r="C548" s="686"/>
      <c r="D548" s="929" t="s">
        <v>27</v>
      </c>
      <c r="E548" s="3" t="s">
        <v>28</v>
      </c>
      <c r="F548" s="929" t="s">
        <v>29</v>
      </c>
      <c r="G548" s="929">
        <v>1</v>
      </c>
      <c r="H548" s="928" t="e">
        <f>INT(H547*0.15)</f>
        <v>#REF!</v>
      </c>
      <c r="I548" s="928" t="e">
        <f>INT(G548*H548)</f>
        <v>#REF!</v>
      </c>
      <c r="J548" s="929"/>
      <c r="K548" s="929"/>
      <c r="L548" s="929"/>
      <c r="M548" s="687"/>
      <c r="N548" s="929"/>
      <c r="O548" s="928" t="e">
        <f t="shared" si="79"/>
        <v>#REF!</v>
      </c>
      <c r="P548" s="685" t="s">
        <v>30</v>
      </c>
    </row>
    <row r="549" spans="2:16" ht="18" customHeight="1">
      <c r="C549" s="686"/>
      <c r="D549" s="929" t="s">
        <v>31</v>
      </c>
      <c r="E549" s="3" t="s">
        <v>1288</v>
      </c>
      <c r="F549" s="929" t="s">
        <v>29</v>
      </c>
      <c r="G549" s="929">
        <v>1</v>
      </c>
      <c r="H549" s="929" t="e">
        <f>INT(H547*0.02)</f>
        <v>#REF!</v>
      </c>
      <c r="I549" s="929" t="e">
        <f>INT(G549*H549)</f>
        <v>#REF!</v>
      </c>
      <c r="J549" s="929"/>
      <c r="K549" s="929"/>
      <c r="L549" s="929"/>
      <c r="M549" s="687"/>
      <c r="N549" s="929"/>
      <c r="O549" s="928" t="e">
        <f t="shared" si="79"/>
        <v>#REF!</v>
      </c>
      <c r="P549" s="685" t="s">
        <v>32</v>
      </c>
    </row>
    <row r="550" spans="2:16" ht="18" customHeight="1">
      <c r="C550" s="683"/>
      <c r="D550" s="928" t="s">
        <v>98</v>
      </c>
      <c r="E550" s="688" t="s">
        <v>1033</v>
      </c>
      <c r="F550" s="928" t="s">
        <v>102</v>
      </c>
      <c r="G550" s="688">
        <f>ROUNDDOWN(dhTextEvaluate(E550),3)</f>
        <v>0.04</v>
      </c>
      <c r="H550" s="928"/>
      <c r="I550" s="928"/>
      <c r="J550" s="928" t="e">
        <f>VLOOKUP($D550,#REF!,2,FALSE)</f>
        <v>#REF!</v>
      </c>
      <c r="K550" s="928" t="e">
        <f>INT(G550*J550)</f>
        <v>#REF!</v>
      </c>
      <c r="L550" s="1606" t="s">
        <v>1030</v>
      </c>
      <c r="M550" s="1606"/>
      <c r="N550" s="928"/>
      <c r="O550" s="928" t="e">
        <f t="shared" si="79"/>
        <v>#REF!</v>
      </c>
      <c r="P550" s="685" t="s">
        <v>97</v>
      </c>
    </row>
    <row r="551" spans="2:16" ht="18" customHeight="1">
      <c r="C551" s="683"/>
      <c r="D551" s="928" t="s">
        <v>45</v>
      </c>
      <c r="E551" s="688" t="s">
        <v>1034</v>
      </c>
      <c r="F551" s="928" t="s">
        <v>102</v>
      </c>
      <c r="G551" s="688">
        <f>ROUNDDOWN(dhTextEvaluate(E551),3)</f>
        <v>0.08</v>
      </c>
      <c r="H551" s="928"/>
      <c r="I551" s="928"/>
      <c r="J551" s="928" t="e">
        <f>VLOOKUP($D551,#REF!,2,FALSE)</f>
        <v>#REF!</v>
      </c>
      <c r="K551" s="928" t="e">
        <f>INT(G551*J551)</f>
        <v>#REF!</v>
      </c>
      <c r="L551" s="1606" t="s">
        <v>1030</v>
      </c>
      <c r="M551" s="1606"/>
      <c r="N551" s="928"/>
      <c r="O551" s="928" t="e">
        <f t="shared" si="79"/>
        <v>#REF!</v>
      </c>
      <c r="P551" s="685" t="s">
        <v>97</v>
      </c>
    </row>
    <row r="552" spans="2:16" ht="18" customHeight="1">
      <c r="C552" s="683"/>
      <c r="D552" s="928" t="s">
        <v>104</v>
      </c>
      <c r="E552" s="689" t="s">
        <v>41</v>
      </c>
      <c r="F552" s="928" t="s">
        <v>100</v>
      </c>
      <c r="G552" s="928">
        <v>1</v>
      </c>
      <c r="H552" s="928" t="e">
        <f>INT(SUM(K553)*0.03)</f>
        <v>#REF!</v>
      </c>
      <c r="I552" s="929" t="e">
        <f>INT(G552*H552)</f>
        <v>#REF!</v>
      </c>
      <c r="J552" s="928"/>
      <c r="K552" s="928"/>
      <c r="L552" s="928"/>
      <c r="M552" s="928"/>
      <c r="N552" s="928"/>
      <c r="O552" s="928" t="e">
        <f t="shared" si="79"/>
        <v>#REF!</v>
      </c>
      <c r="P552" s="685" t="s">
        <v>42</v>
      </c>
    </row>
    <row r="553" spans="2:16" ht="18" customHeight="1">
      <c r="B553" s="193" t="str">
        <f>CONCATENATE(C546,D553)</f>
        <v>계</v>
      </c>
      <c r="C553" s="683"/>
      <c r="D553" s="928" t="s">
        <v>96</v>
      </c>
      <c r="E553" s="928"/>
      <c r="F553" s="928"/>
      <c r="G553" s="928"/>
      <c r="H553" s="928"/>
      <c r="I553" s="928" t="e">
        <f>SUM(I547:I552)</f>
        <v>#REF!</v>
      </c>
      <c r="J553" s="928"/>
      <c r="K553" s="928" t="e">
        <f>SUM(K547:K552)</f>
        <v>#REF!</v>
      </c>
      <c r="L553" s="928"/>
      <c r="M553" s="928">
        <f>SUM(M547:M552)</f>
        <v>0</v>
      </c>
      <c r="N553" s="928"/>
      <c r="O553" s="928" t="e">
        <f t="shared" si="79"/>
        <v>#REF!</v>
      </c>
      <c r="P553" s="685"/>
    </row>
    <row r="554" spans="2:16" ht="18" customHeight="1">
      <c r="C554" s="683"/>
      <c r="D554" s="928"/>
      <c r="E554" s="928"/>
      <c r="F554" s="928"/>
      <c r="G554" s="928"/>
      <c r="H554" s="928"/>
      <c r="I554" s="928"/>
      <c r="J554" s="928"/>
      <c r="K554" s="928"/>
      <c r="L554" s="928"/>
      <c r="M554" s="928"/>
      <c r="N554" s="928"/>
      <c r="O554" s="928"/>
      <c r="P554" s="685"/>
    </row>
    <row r="555" spans="2:16" ht="18" customHeight="1">
      <c r="C555" s="683"/>
      <c r="D555" s="928"/>
      <c r="E555" s="928"/>
      <c r="F555" s="928"/>
      <c r="G555" s="928"/>
      <c r="H555" s="928"/>
      <c r="I555" s="928"/>
      <c r="J555" s="928"/>
      <c r="K555" s="928"/>
      <c r="L555" s="928"/>
      <c r="M555" s="928"/>
      <c r="N555" s="928"/>
      <c r="O555" s="928"/>
      <c r="P555" s="685"/>
    </row>
    <row r="556" spans="2:16" ht="18" customHeight="1">
      <c r="C556" s="683"/>
      <c r="D556" s="928"/>
      <c r="E556" s="928"/>
      <c r="F556" s="928"/>
      <c r="G556" s="928"/>
      <c r="H556" s="928"/>
      <c r="I556" s="928"/>
      <c r="J556" s="928"/>
      <c r="K556" s="928"/>
      <c r="L556" s="928"/>
      <c r="M556" s="928"/>
      <c r="N556" s="928"/>
      <c r="O556" s="928"/>
      <c r="P556" s="685"/>
    </row>
    <row r="557" spans="2:16" ht="18" customHeight="1">
      <c r="C557" s="683"/>
      <c r="D557" s="928"/>
      <c r="E557" s="928"/>
      <c r="F557" s="928"/>
      <c r="G557" s="928"/>
      <c r="H557" s="928"/>
      <c r="I557" s="928"/>
      <c r="J557" s="928"/>
      <c r="K557" s="928"/>
      <c r="L557" s="928"/>
      <c r="M557" s="928"/>
      <c r="N557" s="928"/>
      <c r="O557" s="928"/>
      <c r="P557" s="685"/>
    </row>
    <row r="558" spans="2:16" ht="18" customHeight="1">
      <c r="B558" s="193">
        <f>C558</f>
        <v>0</v>
      </c>
      <c r="C558" s="728"/>
      <c r="D558" s="681" t="e">
        <f>D559</f>
        <v>#REF!</v>
      </c>
      <c r="E558" s="681" t="e">
        <f>E559</f>
        <v>#REF!</v>
      </c>
      <c r="F558" s="681" t="e">
        <f>F559</f>
        <v>#REF!</v>
      </c>
      <c r="G558" s="681"/>
      <c r="H558" s="681"/>
      <c r="I558" s="681"/>
      <c r="J558" s="681"/>
      <c r="K558" s="681"/>
      <c r="L558" s="681"/>
      <c r="M558" s="681"/>
      <c r="N558" s="681"/>
      <c r="O558" s="681"/>
      <c r="P558" s="730"/>
    </row>
    <row r="559" spans="2:16" ht="18" customHeight="1">
      <c r="B559" s="193" t="e">
        <f>#REF!</f>
        <v>#REF!</v>
      </c>
      <c r="C559" s="683"/>
      <c r="D559" s="928" t="e">
        <f>VLOOKUP($B559,#REF!,2,FALSE)</f>
        <v>#REF!</v>
      </c>
      <c r="E559" s="694" t="e">
        <f>VLOOKUP($B559,#REF!,3,FALSE)</f>
        <v>#REF!</v>
      </c>
      <c r="F559" s="928" t="e">
        <f>VLOOKUP($B559,#REF!,4,FALSE)</f>
        <v>#REF!</v>
      </c>
      <c r="G559" s="684">
        <v>1</v>
      </c>
      <c r="H559" s="928" t="e">
        <f>토목단가산출!EO495</f>
        <v>#REF!</v>
      </c>
      <c r="I559" s="928" t="e">
        <f>INT(G559*H559)</f>
        <v>#REF!</v>
      </c>
      <c r="J559" s="928" t="e">
        <f>토목단가산출!EN495</f>
        <v>#REF!</v>
      </c>
      <c r="K559" s="928" t="e">
        <f>INT(G559*J559)</f>
        <v>#REF!</v>
      </c>
      <c r="L559" s="929"/>
      <c r="M559" s="929">
        <f>INT(G559*L559)</f>
        <v>0</v>
      </c>
      <c r="N559" s="928"/>
      <c r="O559" s="928" t="e">
        <f t="shared" ref="O559:O564" si="80">INT(I559+K559+M559)</f>
        <v>#REF!</v>
      </c>
      <c r="P559" s="685">
        <f>토목단가산출!ES495</f>
        <v>14</v>
      </c>
    </row>
    <row r="560" spans="2:16" ht="18" customHeight="1">
      <c r="B560" s="193" t="e">
        <f>#REF!</f>
        <v>#REF!</v>
      </c>
      <c r="C560" s="683"/>
      <c r="D560" s="928" t="e">
        <f>VLOOKUP($B560,#REF!,2,FALSE)</f>
        <v>#REF!</v>
      </c>
      <c r="E560" s="928" t="e">
        <f>VLOOKUP($B560,#REF!,3,FALSE)</f>
        <v>#REF!</v>
      </c>
      <c r="F560" s="928" t="s">
        <v>90</v>
      </c>
      <c r="G560" s="688" t="e">
        <f>#REF!</f>
        <v>#REF!</v>
      </c>
      <c r="H560" s="928">
        <f>IF(ISERROR(VLOOKUP($B560,일위11,10,FALSE)),0,VLOOKUP($B560,일위11,10,FALSE))</f>
        <v>0</v>
      </c>
      <c r="I560" s="928" t="e">
        <f>G560*H560</f>
        <v>#REF!</v>
      </c>
      <c r="J560" s="928">
        <f>IF(ISERROR(VLOOKUP($B560,일위11,12,FALSE)),0,VLOOKUP($B560,일위11,12,FALSE))</f>
        <v>0</v>
      </c>
      <c r="K560" s="928" t="e">
        <f>INT(G560*J560)</f>
        <v>#REF!</v>
      </c>
      <c r="L560" s="928">
        <f>IF(ISERROR(VLOOKUP($B560,일위11,14,FALSE)),0,VLOOKUP($B560,일위11,14,FALSE))</f>
        <v>0</v>
      </c>
      <c r="M560" s="928" t="e">
        <f>INT(G560*L560)</f>
        <v>#REF!</v>
      </c>
      <c r="N560" s="928"/>
      <c r="O560" s="928" t="e">
        <f t="shared" si="80"/>
        <v>#REF!</v>
      </c>
      <c r="P560" s="700">
        <f>IF(ISERROR(VLOOKUP($B560,일위11,4,FALSE)),0,VLOOKUP($B560,일위11,4,FALSE))</f>
        <v>0</v>
      </c>
    </row>
    <row r="561" spans="2:16" ht="18" customHeight="1">
      <c r="B561" s="193" t="e">
        <f>#REF!</f>
        <v>#REF!</v>
      </c>
      <c r="C561" s="683"/>
      <c r="D561" s="928" t="e">
        <f>VLOOKUP($B561,#REF!,2,FALSE)</f>
        <v>#REF!</v>
      </c>
      <c r="E561" s="694" t="e">
        <f>VLOOKUP($B561,#REF!,3,FALSE)</f>
        <v>#REF!</v>
      </c>
      <c r="F561" s="928" t="e">
        <f>VLOOKUP($B561,#REF!,4,FALSE)</f>
        <v>#REF!</v>
      </c>
      <c r="G561" s="684">
        <f>TRUNC(1*0.06*0.5,3)</f>
        <v>0.03</v>
      </c>
      <c r="H561" s="928" t="e">
        <f>#REF!</f>
        <v>#REF!</v>
      </c>
      <c r="I561" s="928" t="e">
        <f>INT(G561*H561)</f>
        <v>#REF!</v>
      </c>
      <c r="J561" s="928" t="e">
        <f>#REF!</f>
        <v>#REF!</v>
      </c>
      <c r="K561" s="928" t="e">
        <f>INT(G561*J561)</f>
        <v>#REF!</v>
      </c>
      <c r="L561" s="929" t="e">
        <f>#REF!</f>
        <v>#REF!</v>
      </c>
      <c r="M561" s="928" t="e">
        <f>INT(G561*L561)</f>
        <v>#REF!</v>
      </c>
      <c r="N561" s="928"/>
      <c r="O561" s="928" t="e">
        <f t="shared" si="80"/>
        <v>#REF!</v>
      </c>
      <c r="P561" s="685">
        <f>토목단가산출!$ES$1041</f>
        <v>24</v>
      </c>
    </row>
    <row r="562" spans="2:16" ht="18" customHeight="1">
      <c r="B562" s="193" t="e">
        <f>#REF!</f>
        <v>#REF!</v>
      </c>
      <c r="C562" s="683"/>
      <c r="D562" s="928" t="e">
        <f>VLOOKUP($B562,#REF!,2,FALSE)</f>
        <v>#REF!</v>
      </c>
      <c r="E562" s="694" t="e">
        <f>VLOOKUP($B562,#REF!,3,FALSE)</f>
        <v>#REF!</v>
      </c>
      <c r="F562" s="928" t="e">
        <f>VLOOKUP($B562,#REF!,4,FALSE)</f>
        <v>#REF!</v>
      </c>
      <c r="G562" s="684">
        <f>G563</f>
        <v>6.8999999999999992E-2</v>
      </c>
      <c r="H562" s="928" t="e">
        <f>#REF!</f>
        <v>#REF!</v>
      </c>
      <c r="I562" s="928" t="e">
        <f>INT(G562*H562)</f>
        <v>#REF!</v>
      </c>
      <c r="J562" s="928" t="e">
        <f>#REF!</f>
        <v>#REF!</v>
      </c>
      <c r="K562" s="928" t="e">
        <f>INT(G562*J562)</f>
        <v>#REF!</v>
      </c>
      <c r="L562" s="929" t="e">
        <f>#REF!</f>
        <v>#REF!</v>
      </c>
      <c r="M562" s="928" t="e">
        <f>INT(G562*L562)</f>
        <v>#REF!</v>
      </c>
      <c r="N562" s="928"/>
      <c r="O562" s="928" t="e">
        <f t="shared" si="80"/>
        <v>#REF!</v>
      </c>
      <c r="P562" s="685">
        <f>토목단가산출!$ES$1139</f>
        <v>26</v>
      </c>
    </row>
    <row r="563" spans="2:16" ht="18" customHeight="1">
      <c r="B563" s="193" t="e">
        <f>#REF!</f>
        <v>#REF!</v>
      </c>
      <c r="C563" s="683"/>
      <c r="D563" s="928" t="e">
        <f>VLOOKUP($B563,#REF!,2,FALSE)</f>
        <v>#REF!</v>
      </c>
      <c r="E563" s="694" t="e">
        <f>VLOOKUP($B563,#REF!,3,FALSE)</f>
        <v>#REF!</v>
      </c>
      <c r="F563" s="928" t="e">
        <f>VLOOKUP($B563,#REF!,4,FALSE)</f>
        <v>#REF!</v>
      </c>
      <c r="G563" s="684">
        <f>G561*2.3</f>
        <v>6.8999999999999992E-2</v>
      </c>
      <c r="H563" s="928" t="e">
        <f>VLOOKUP($B563,#REF!,11,FALSE)</f>
        <v>#REF!</v>
      </c>
      <c r="I563" s="928" t="e">
        <f>INT(G563*H563)</f>
        <v>#REF!</v>
      </c>
      <c r="J563" s="928"/>
      <c r="K563" s="928">
        <f>INT(G563*J563)</f>
        <v>0</v>
      </c>
      <c r="L563" s="929"/>
      <c r="M563" s="928">
        <f>INT(G563*L563)</f>
        <v>0</v>
      </c>
      <c r="N563" s="928"/>
      <c r="O563" s="928" t="e">
        <f t="shared" si="80"/>
        <v>#REF!</v>
      </c>
      <c r="P563" s="685"/>
    </row>
    <row r="564" spans="2:16" ht="18" customHeight="1">
      <c r="B564" s="193" t="str">
        <f>CONCATENATE(C558,D564)</f>
        <v>계</v>
      </c>
      <c r="C564" s="683"/>
      <c r="D564" s="928" t="s">
        <v>96</v>
      </c>
      <c r="E564" s="928"/>
      <c r="F564" s="928"/>
      <c r="G564" s="928"/>
      <c r="H564" s="928"/>
      <c r="I564" s="928" t="e">
        <f>SUM(I559:I563)</f>
        <v>#REF!</v>
      </c>
      <c r="J564" s="928"/>
      <c r="K564" s="928" t="e">
        <f>SUM(K559:K563)</f>
        <v>#REF!</v>
      </c>
      <c r="L564" s="928"/>
      <c r="M564" s="928" t="e">
        <f>SUM(M559:M563)</f>
        <v>#REF!</v>
      </c>
      <c r="N564" s="928"/>
      <c r="O564" s="928" t="e">
        <f t="shared" si="80"/>
        <v>#REF!</v>
      </c>
      <c r="P564" s="685"/>
    </row>
    <row r="565" spans="2:16" ht="18" customHeight="1">
      <c r="C565" s="683"/>
      <c r="D565" s="928"/>
      <c r="E565" s="928"/>
      <c r="F565" s="928"/>
      <c r="G565" s="928"/>
      <c r="H565" s="928"/>
      <c r="I565" s="928"/>
      <c r="J565" s="928"/>
      <c r="K565" s="928"/>
      <c r="L565" s="928"/>
      <c r="M565" s="928"/>
      <c r="N565" s="928"/>
      <c r="O565" s="928"/>
      <c r="P565" s="685"/>
    </row>
    <row r="566" spans="2:16" ht="18" customHeight="1">
      <c r="B566" s="193">
        <f>C566</f>
        <v>0</v>
      </c>
      <c r="C566" s="690"/>
      <c r="D566" s="928" t="e">
        <f>D567</f>
        <v>#REF!</v>
      </c>
      <c r="E566" s="928" t="e">
        <f>E567</f>
        <v>#REF!</v>
      </c>
      <c r="F566" s="928" t="e">
        <f>F567</f>
        <v>#REF!</v>
      </c>
      <c r="G566" s="928"/>
      <c r="H566" s="928"/>
      <c r="I566" s="928"/>
      <c r="J566" s="928"/>
      <c r="K566" s="928"/>
      <c r="L566" s="928"/>
      <c r="M566" s="928"/>
      <c r="N566" s="928"/>
      <c r="O566" s="928"/>
      <c r="P566" s="685"/>
    </row>
    <row r="567" spans="2:16" ht="18" customHeight="1">
      <c r="B567" s="193" t="e">
        <f>#REF!</f>
        <v>#REF!</v>
      </c>
      <c r="C567" s="683"/>
      <c r="D567" s="928" t="e">
        <f>VLOOKUP($B567,#REF!,2,FALSE)</f>
        <v>#REF!</v>
      </c>
      <c r="E567" s="694" t="e">
        <f>VLOOKUP($B567,#REF!,3,FALSE)</f>
        <v>#REF!</v>
      </c>
      <c r="F567" s="928" t="e">
        <f>VLOOKUP($B567,#REF!,4,FALSE)</f>
        <v>#REF!</v>
      </c>
      <c r="G567" s="684">
        <v>1</v>
      </c>
      <c r="H567" s="928" t="e">
        <f>토목단가산출!EO548</f>
        <v>#REF!</v>
      </c>
      <c r="I567" s="928" t="e">
        <f>INT(G567*H567)</f>
        <v>#REF!</v>
      </c>
      <c r="J567" s="928" t="e">
        <f>토목단가산출!EN548</f>
        <v>#REF!</v>
      </c>
      <c r="K567" s="928" t="e">
        <f>INT(G567*J567)</f>
        <v>#REF!</v>
      </c>
      <c r="L567" s="929" t="e">
        <f>토목단가산출!EP548</f>
        <v>#REF!</v>
      </c>
      <c r="M567" s="929" t="e">
        <f>INT(G567*L567)</f>
        <v>#REF!</v>
      </c>
      <c r="N567" s="928"/>
      <c r="O567" s="928" t="e">
        <f>INT(I567+K567+M567)</f>
        <v>#REF!</v>
      </c>
      <c r="P567" s="685">
        <f>토목단가산출!$ES$548</f>
        <v>15</v>
      </c>
    </row>
    <row r="568" spans="2:16" ht="18" customHeight="1">
      <c r="B568" s="193" t="e">
        <f>#REF!</f>
        <v>#REF!</v>
      </c>
      <c r="C568" s="683"/>
      <c r="D568" s="928" t="e">
        <f>VLOOKUP($B568,#REF!,2,FALSE)</f>
        <v>#REF!</v>
      </c>
      <c r="E568" s="928" t="e">
        <f>VLOOKUP($B568,#REF!,3,FALSE)</f>
        <v>#REF!</v>
      </c>
      <c r="F568" s="928" t="e">
        <f>VLOOKUP($B568,#REF!,4,FALSE)</f>
        <v>#REF!</v>
      </c>
      <c r="G568" s="688">
        <v>0.108</v>
      </c>
      <c r="H568" s="928" t="e">
        <f>VLOOKUP($B568,#REF!,11,FALSE)</f>
        <v>#REF!</v>
      </c>
      <c r="I568" s="928" t="e">
        <f>INT(G568*H568)</f>
        <v>#REF!</v>
      </c>
      <c r="J568" s="928"/>
      <c r="K568" s="928"/>
      <c r="L568" s="1607" t="s">
        <v>528</v>
      </c>
      <c r="M568" s="1607"/>
      <c r="N568" s="928"/>
      <c r="O568" s="928" t="e">
        <f>INT(I568+K568+M568)</f>
        <v>#REF!</v>
      </c>
      <c r="P568" s="685">
        <f>토목단가산출!$ES$548</f>
        <v>15</v>
      </c>
    </row>
    <row r="569" spans="2:16" ht="18" customHeight="1">
      <c r="B569" s="193" t="str">
        <f>CONCATENATE(C566,D569)</f>
        <v>계</v>
      </c>
      <c r="C569" s="683"/>
      <c r="D569" s="928" t="s">
        <v>765</v>
      </c>
      <c r="E569" s="928"/>
      <c r="F569" s="928"/>
      <c r="G569" s="928"/>
      <c r="H569" s="928"/>
      <c r="I569" s="928" t="e">
        <f>SUM(I567:I568)</f>
        <v>#REF!</v>
      </c>
      <c r="J569" s="928"/>
      <c r="K569" s="928" t="e">
        <f>SUM(K567:K568)</f>
        <v>#REF!</v>
      </c>
      <c r="L569" s="928"/>
      <c r="M569" s="928" t="e">
        <f>SUM(M567:M568)</f>
        <v>#REF!</v>
      </c>
      <c r="N569" s="928"/>
      <c r="O569" s="928" t="e">
        <f>INT(I569+K569+M569)</f>
        <v>#REF!</v>
      </c>
      <c r="P569" s="685"/>
    </row>
    <row r="570" spans="2:16" ht="18" customHeight="1">
      <c r="C570" s="683"/>
      <c r="D570" s="928"/>
      <c r="E570" s="928"/>
      <c r="F570" s="928"/>
      <c r="G570" s="928"/>
      <c r="H570" s="928"/>
      <c r="I570" s="928"/>
      <c r="J570" s="928"/>
      <c r="K570" s="928"/>
      <c r="L570" s="928"/>
      <c r="M570" s="928"/>
      <c r="N570" s="928"/>
      <c r="O570" s="928"/>
      <c r="P570" s="685"/>
    </row>
    <row r="571" spans="2:16" ht="18" customHeight="1">
      <c r="B571" s="193">
        <f>C571</f>
        <v>0</v>
      </c>
      <c r="C571" s="690"/>
      <c r="D571" s="928" t="e">
        <f>D572</f>
        <v>#REF!</v>
      </c>
      <c r="E571" s="928" t="e">
        <f>E572</f>
        <v>#REF!</v>
      </c>
      <c r="F571" s="928" t="e">
        <f>F572</f>
        <v>#REF!</v>
      </c>
      <c r="G571" s="928"/>
      <c r="H571" s="928"/>
      <c r="I571" s="928"/>
      <c r="J571" s="928"/>
      <c r="K571" s="928"/>
      <c r="L571" s="928"/>
      <c r="M571" s="928"/>
      <c r="N571" s="928"/>
      <c r="O571" s="928"/>
      <c r="P571" s="685"/>
    </row>
    <row r="572" spans="2:16" ht="18" customHeight="1">
      <c r="B572" s="193" t="e">
        <f>#REF!</f>
        <v>#REF!</v>
      </c>
      <c r="C572" s="683"/>
      <c r="D572" s="928" t="e">
        <f>VLOOKUP($B572,#REF!,2,FALSE)</f>
        <v>#REF!</v>
      </c>
      <c r="E572" s="928" t="e">
        <f>VLOOKUP($B572,#REF!,3,FALSE)</f>
        <v>#REF!</v>
      </c>
      <c r="F572" s="928" t="e">
        <f>VLOOKUP($B572,#REF!,4,FALSE)</f>
        <v>#REF!</v>
      </c>
      <c r="G572" s="928">
        <v>1</v>
      </c>
      <c r="H572" s="928"/>
      <c r="I572" s="928">
        <f>INT(G572*H572)</f>
        <v>0</v>
      </c>
      <c r="J572" s="928"/>
      <c r="K572" s="928"/>
      <c r="L572" s="928"/>
      <c r="M572" s="928"/>
      <c r="N572" s="928"/>
      <c r="O572" s="928">
        <f>INT(I572+K572+M572)</f>
        <v>0</v>
      </c>
      <c r="P572" s="685"/>
    </row>
    <row r="573" spans="2:16" ht="18" customHeight="1">
      <c r="B573" s="193" t="e">
        <f>#REF!</f>
        <v>#REF!</v>
      </c>
      <c r="C573" s="683"/>
      <c r="D573" s="928" t="e">
        <f>VLOOKUP($B573,#REF!,2,FALSE)</f>
        <v>#REF!</v>
      </c>
      <c r="E573" s="928" t="e">
        <f>VLOOKUP($B573,#REF!,3,FALSE)</f>
        <v>#REF!</v>
      </c>
      <c r="F573" s="928" t="s">
        <v>90</v>
      </c>
      <c r="G573" s="684">
        <v>1</v>
      </c>
      <c r="H573" s="928">
        <f>IF(ISERROR(VLOOKUP($B573,일위11,10,FALSE)),0,VLOOKUP($B573,일위11,10,FALSE))</f>
        <v>0</v>
      </c>
      <c r="I573" s="928">
        <f>G573*H573</f>
        <v>0</v>
      </c>
      <c r="J573" s="928">
        <f>IF(ISERROR(VLOOKUP($B573,일위11,12,FALSE)),0,VLOOKUP($B573,일위11,12,FALSE))</f>
        <v>0</v>
      </c>
      <c r="K573" s="928">
        <f t="shared" ref="K573:K578" si="81">INT(G573*J573)</f>
        <v>0</v>
      </c>
      <c r="L573" s="928">
        <f>IF(ISERROR(VLOOKUP($B573,일위11,14,FALSE)),0,VLOOKUP($B573,일위11,14,FALSE))</f>
        <v>0</v>
      </c>
      <c r="M573" s="928">
        <f t="shared" ref="M573:M578" si="82">INT(G573*L573)</f>
        <v>0</v>
      </c>
      <c r="N573" s="928"/>
      <c r="O573" s="928">
        <f>INT(I573+K573+M573)</f>
        <v>0</v>
      </c>
      <c r="P573" s="700">
        <f>IF(ISERROR(VLOOKUP($B573,일위11,4,FALSE)),0,VLOOKUP($B573,일위11,4,FALSE))</f>
        <v>0</v>
      </c>
    </row>
    <row r="574" spans="2:16" ht="18" customHeight="1">
      <c r="B574" s="193" t="e">
        <f>#REF!</f>
        <v>#REF!</v>
      </c>
      <c r="C574" s="683"/>
      <c r="D574" s="928" t="e">
        <f>VLOOKUP($B574,#REF!,2,FALSE)</f>
        <v>#REF!</v>
      </c>
      <c r="E574" s="928" t="e">
        <f>VLOOKUP($B574,#REF!,3,FALSE)</f>
        <v>#REF!</v>
      </c>
      <c r="F574" s="928" t="s">
        <v>90</v>
      </c>
      <c r="G574" s="684">
        <v>1</v>
      </c>
      <c r="H574" s="928">
        <f>IF(ISERROR(VLOOKUP($B574,일위11,10,FALSE)),0,VLOOKUP($B574,일위11,10,FALSE))</f>
        <v>0</v>
      </c>
      <c r="I574" s="928">
        <f>G574*H574</f>
        <v>0</v>
      </c>
      <c r="J574" s="928">
        <f>IF(ISERROR(VLOOKUP($B574,일위11,12,FALSE)),0,VLOOKUP($B574,일위11,12,FALSE))</f>
        <v>0</v>
      </c>
      <c r="K574" s="928">
        <f t="shared" si="81"/>
        <v>0</v>
      </c>
      <c r="L574" s="928">
        <f>IF(ISERROR(VLOOKUP($B574,일위11,14,FALSE)),0,VLOOKUP($B574,일위11,14,FALSE))</f>
        <v>0</v>
      </c>
      <c r="M574" s="928">
        <f t="shared" si="82"/>
        <v>0</v>
      </c>
      <c r="N574" s="928"/>
      <c r="O574" s="928">
        <f t="shared" ref="O574:O579" si="83">INT(I574+K574+M574)</f>
        <v>0</v>
      </c>
      <c r="P574" s="700">
        <f>IF(ISERROR(VLOOKUP($B574,일위11,4,FALSE)),0,VLOOKUP($B574,일위11,4,FALSE))</f>
        <v>0</v>
      </c>
    </row>
    <row r="575" spans="2:16" ht="18" customHeight="1">
      <c r="B575" s="193" t="e">
        <f>#REF!</f>
        <v>#REF!</v>
      </c>
      <c r="C575" s="683"/>
      <c r="D575" s="928" t="e">
        <f>VLOOKUP($B575,#REF!,2,FALSE)</f>
        <v>#REF!</v>
      </c>
      <c r="E575" s="928" t="e">
        <f>VLOOKUP($B575,#REF!,3,FALSE)</f>
        <v>#REF!</v>
      </c>
      <c r="F575" s="928" t="s">
        <v>90</v>
      </c>
      <c r="G575" s="688" t="e">
        <f>#REF!</f>
        <v>#REF!</v>
      </c>
      <c r="H575" s="928">
        <f>IF(ISERROR(VLOOKUP($B575,일위11,10,FALSE)),0,VLOOKUP($B575,일위11,10,FALSE))</f>
        <v>0</v>
      </c>
      <c r="I575" s="928" t="e">
        <f>G575*H575</f>
        <v>#REF!</v>
      </c>
      <c r="J575" s="928">
        <f>IF(ISERROR(VLOOKUP($B575,일위11,12,FALSE)),0,VLOOKUP($B575,일위11,12,FALSE))</f>
        <v>0</v>
      </c>
      <c r="K575" s="928" t="e">
        <f t="shared" si="81"/>
        <v>#REF!</v>
      </c>
      <c r="L575" s="928">
        <f>IF(ISERROR(VLOOKUP($B575,일위11,14,FALSE)),0,VLOOKUP($B575,일위11,14,FALSE))</f>
        <v>0</v>
      </c>
      <c r="M575" s="928" t="e">
        <f t="shared" si="82"/>
        <v>#REF!</v>
      </c>
      <c r="N575" s="928"/>
      <c r="O575" s="928" t="e">
        <f t="shared" si="83"/>
        <v>#REF!</v>
      </c>
      <c r="P575" s="700">
        <f>IF(ISERROR(VLOOKUP($B575,일위11,4,FALSE)),0,VLOOKUP($B575,일위11,4,FALSE))</f>
        <v>0</v>
      </c>
    </row>
    <row r="576" spans="2:16" ht="18" customHeight="1">
      <c r="B576" s="193" t="e">
        <f>#REF!</f>
        <v>#REF!</v>
      </c>
      <c r="C576" s="683"/>
      <c r="D576" s="928" t="e">
        <f>VLOOKUP($B576,#REF!,2,FALSE)</f>
        <v>#REF!</v>
      </c>
      <c r="E576" s="694" t="e">
        <f>VLOOKUP($B576,#REF!,3,FALSE)</f>
        <v>#REF!</v>
      </c>
      <c r="F576" s="928" t="e">
        <f>VLOOKUP($B576,#REF!,4,FALSE)</f>
        <v>#REF!</v>
      </c>
      <c r="G576" s="684">
        <f>TRUNC(1*0.5*0.15,3)</f>
        <v>7.4999999999999997E-2</v>
      </c>
      <c r="H576" s="928" t="e">
        <f>#REF!</f>
        <v>#REF!</v>
      </c>
      <c r="I576" s="928" t="e">
        <f>INT(G576*H576)</f>
        <v>#REF!</v>
      </c>
      <c r="J576" s="928" t="e">
        <f>#REF!</f>
        <v>#REF!</v>
      </c>
      <c r="K576" s="928" t="e">
        <f t="shared" si="81"/>
        <v>#REF!</v>
      </c>
      <c r="L576" s="929" t="e">
        <f>#REF!</f>
        <v>#REF!</v>
      </c>
      <c r="M576" s="928" t="e">
        <f t="shared" si="82"/>
        <v>#REF!</v>
      </c>
      <c r="N576" s="928"/>
      <c r="O576" s="928" t="e">
        <f t="shared" si="83"/>
        <v>#REF!</v>
      </c>
      <c r="P576" s="685">
        <f>토목단가산출!$ES$1041</f>
        <v>24</v>
      </c>
    </row>
    <row r="577" spans="2:16" ht="18" customHeight="1">
      <c r="B577" s="193" t="e">
        <f>#REF!</f>
        <v>#REF!</v>
      </c>
      <c r="C577" s="683"/>
      <c r="D577" s="928" t="e">
        <f>VLOOKUP($B577,#REF!,2,FALSE)</f>
        <v>#REF!</v>
      </c>
      <c r="E577" s="694" t="e">
        <f>VLOOKUP($B577,#REF!,3,FALSE)</f>
        <v>#REF!</v>
      </c>
      <c r="F577" s="928" t="e">
        <f>VLOOKUP($B577,#REF!,4,FALSE)</f>
        <v>#REF!</v>
      </c>
      <c r="G577" s="684">
        <f>G578</f>
        <v>0.17249999999999999</v>
      </c>
      <c r="H577" s="928" t="e">
        <f>#REF!</f>
        <v>#REF!</v>
      </c>
      <c r="I577" s="928" t="e">
        <f>INT(G577*H577)</f>
        <v>#REF!</v>
      </c>
      <c r="J577" s="928" t="e">
        <f>#REF!</f>
        <v>#REF!</v>
      </c>
      <c r="K577" s="928" t="e">
        <f t="shared" si="81"/>
        <v>#REF!</v>
      </c>
      <c r="L577" s="929" t="e">
        <f>#REF!</f>
        <v>#REF!</v>
      </c>
      <c r="M577" s="928" t="e">
        <f t="shared" si="82"/>
        <v>#REF!</v>
      </c>
      <c r="N577" s="928"/>
      <c r="O577" s="928" t="e">
        <f t="shared" si="83"/>
        <v>#REF!</v>
      </c>
      <c r="P577" s="685">
        <f>토목단가산출!$ES$1139</f>
        <v>26</v>
      </c>
    </row>
    <row r="578" spans="2:16" ht="18" customHeight="1">
      <c r="B578" s="193" t="e">
        <f>#REF!</f>
        <v>#REF!</v>
      </c>
      <c r="C578" s="683"/>
      <c r="D578" s="928" t="e">
        <f>VLOOKUP($B578,#REF!,2,FALSE)</f>
        <v>#REF!</v>
      </c>
      <c r="E578" s="694" t="e">
        <f>VLOOKUP($B578,#REF!,3,FALSE)</f>
        <v>#REF!</v>
      </c>
      <c r="F578" s="928" t="e">
        <f>VLOOKUP($B578,#REF!,4,FALSE)</f>
        <v>#REF!</v>
      </c>
      <c r="G578" s="684">
        <f>G576*2.3</f>
        <v>0.17249999999999999</v>
      </c>
      <c r="H578" s="928" t="e">
        <f>VLOOKUP($B578,#REF!,11,FALSE)</f>
        <v>#REF!</v>
      </c>
      <c r="I578" s="928" t="e">
        <f>INT(G578*H578)</f>
        <v>#REF!</v>
      </c>
      <c r="J578" s="928"/>
      <c r="K578" s="928">
        <f t="shared" si="81"/>
        <v>0</v>
      </c>
      <c r="L578" s="929"/>
      <c r="M578" s="928">
        <f t="shared" si="82"/>
        <v>0</v>
      </c>
      <c r="N578" s="928"/>
      <c r="O578" s="928" t="e">
        <f t="shared" si="83"/>
        <v>#REF!</v>
      </c>
      <c r="P578" s="685"/>
    </row>
    <row r="579" spans="2:16" ht="18" customHeight="1">
      <c r="B579" s="193" t="str">
        <f>CONCATENATE(C571,D579)</f>
        <v>계</v>
      </c>
      <c r="C579" s="683"/>
      <c r="D579" s="928" t="s">
        <v>531</v>
      </c>
      <c r="E579" s="928"/>
      <c r="F579" s="928"/>
      <c r="G579" s="928"/>
      <c r="H579" s="928"/>
      <c r="I579" s="928" t="e">
        <f>SUM(I571:I578)</f>
        <v>#REF!</v>
      </c>
      <c r="J579" s="928"/>
      <c r="K579" s="928" t="e">
        <f>SUM(K571:K578)</f>
        <v>#REF!</v>
      </c>
      <c r="L579" s="928"/>
      <c r="M579" s="928" t="e">
        <f>SUM(M571:M578)</f>
        <v>#REF!</v>
      </c>
      <c r="N579" s="928"/>
      <c r="O579" s="928" t="e">
        <f t="shared" si="83"/>
        <v>#REF!</v>
      </c>
      <c r="P579" s="685"/>
    </row>
    <row r="580" spans="2:16" ht="18" customHeight="1">
      <c r="C580" s="691"/>
      <c r="D580" s="692"/>
      <c r="E580" s="692"/>
      <c r="F580" s="692"/>
      <c r="G580" s="692"/>
      <c r="H580" s="692"/>
      <c r="I580" s="692"/>
      <c r="J580" s="692"/>
      <c r="K580" s="692"/>
      <c r="L580" s="692"/>
      <c r="M580" s="692"/>
      <c r="N580" s="692"/>
      <c r="O580" s="692"/>
      <c r="P580" s="693"/>
    </row>
    <row r="581" spans="2:16" ht="18" customHeight="1">
      <c r="B581" s="193">
        <f>C581</f>
        <v>0</v>
      </c>
      <c r="C581" s="728"/>
      <c r="D581" s="681" t="e">
        <f>D582</f>
        <v>#REF!</v>
      </c>
      <c r="E581" s="681" t="e">
        <f>E582</f>
        <v>#REF!</v>
      </c>
      <c r="F581" s="681" t="e">
        <f>F582</f>
        <v>#REF!</v>
      </c>
      <c r="G581" s="681"/>
      <c r="H581" s="681"/>
      <c r="I581" s="681"/>
      <c r="J581" s="681"/>
      <c r="K581" s="681"/>
      <c r="L581" s="681"/>
      <c r="M581" s="681"/>
      <c r="N581" s="681"/>
      <c r="O581" s="681"/>
      <c r="P581" s="730"/>
    </row>
    <row r="582" spans="2:16" ht="18" customHeight="1">
      <c r="B582" s="193" t="e">
        <f>#REF!</f>
        <v>#REF!</v>
      </c>
      <c r="C582" s="683"/>
      <c r="D582" s="928" t="e">
        <f>VLOOKUP($B582,#REF!,2,FALSE)</f>
        <v>#REF!</v>
      </c>
      <c r="E582" s="694" t="e">
        <f>VLOOKUP($B582,#REF!,3,FALSE)</f>
        <v>#REF!</v>
      </c>
      <c r="F582" s="928" t="e">
        <f>VLOOKUP($B582,#REF!,4,FALSE)</f>
        <v>#REF!</v>
      </c>
      <c r="G582" s="684">
        <v>1</v>
      </c>
      <c r="H582" s="928" t="e">
        <f>토목단가산출!$EO$644</f>
        <v>#REF!</v>
      </c>
      <c r="I582" s="928" t="e">
        <f>INT(G582*H582)</f>
        <v>#REF!</v>
      </c>
      <c r="J582" s="928" t="e">
        <f>토목단가산출!$EN$644</f>
        <v>#REF!</v>
      </c>
      <c r="K582" s="928" t="e">
        <f>INT(G582*J582)</f>
        <v>#REF!</v>
      </c>
      <c r="L582" s="929" t="e">
        <f>토목단가산출!$EP$644</f>
        <v>#REF!</v>
      </c>
      <c r="M582" s="929" t="e">
        <f>INT(G582*L582)</f>
        <v>#REF!</v>
      </c>
      <c r="N582" s="928"/>
      <c r="O582" s="928" t="e">
        <f>INT(I582+K582+M582)</f>
        <v>#REF!</v>
      </c>
      <c r="P582" s="685">
        <f>토목단가산출!ES644</f>
        <v>17</v>
      </c>
    </row>
    <row r="583" spans="2:16" ht="18" customHeight="1">
      <c r="B583" s="193" t="str">
        <f>CONCATENATE(C581,D583)</f>
        <v>계</v>
      </c>
      <c r="C583" s="683"/>
      <c r="D583" s="928" t="s">
        <v>96</v>
      </c>
      <c r="E583" s="928"/>
      <c r="F583" s="928"/>
      <c r="G583" s="928"/>
      <c r="H583" s="928"/>
      <c r="I583" s="928" t="e">
        <f>SUM(I581:I582)</f>
        <v>#REF!</v>
      </c>
      <c r="J583" s="928"/>
      <c r="K583" s="928" t="e">
        <f>SUM(K581:K582)</f>
        <v>#REF!</v>
      </c>
      <c r="L583" s="928"/>
      <c r="M583" s="928" t="e">
        <f>SUM(M581:M582)</f>
        <v>#REF!</v>
      </c>
      <c r="N583" s="928"/>
      <c r="O583" s="928" t="e">
        <f>INT(I583+K583+M583)</f>
        <v>#REF!</v>
      </c>
      <c r="P583" s="685"/>
    </row>
    <row r="584" spans="2:16" ht="18" customHeight="1">
      <c r="C584" s="683"/>
      <c r="D584" s="928"/>
      <c r="E584" s="928"/>
      <c r="F584" s="928"/>
      <c r="G584" s="928"/>
      <c r="H584" s="928"/>
      <c r="I584" s="928"/>
      <c r="J584" s="928"/>
      <c r="K584" s="928"/>
      <c r="L584" s="928"/>
      <c r="M584" s="928"/>
      <c r="N584" s="928"/>
      <c r="O584" s="928"/>
      <c r="P584" s="685"/>
    </row>
    <row r="585" spans="2:16" ht="18" customHeight="1">
      <c r="B585" s="193">
        <f>C585</f>
        <v>0</v>
      </c>
      <c r="C585" s="690"/>
      <c r="D585" s="928" t="e">
        <f>D586</f>
        <v>#REF!</v>
      </c>
      <c r="E585" s="928" t="e">
        <f>E586</f>
        <v>#REF!</v>
      </c>
      <c r="F585" s="928" t="e">
        <f>F586</f>
        <v>#REF!</v>
      </c>
      <c r="G585" s="928"/>
      <c r="H585" s="928"/>
      <c r="I585" s="928"/>
      <c r="J585" s="928"/>
      <c r="K585" s="928"/>
      <c r="L585" s="928"/>
      <c r="M585" s="928"/>
      <c r="N585" s="928"/>
      <c r="O585" s="928"/>
      <c r="P585" s="685"/>
    </row>
    <row r="586" spans="2:16" ht="18" customHeight="1">
      <c r="B586" s="193" t="e">
        <f>#REF!</f>
        <v>#REF!</v>
      </c>
      <c r="C586" s="683"/>
      <c r="D586" s="928" t="e">
        <f>VLOOKUP($B586,#REF!,2,FALSE)</f>
        <v>#REF!</v>
      </c>
      <c r="E586" s="694" t="e">
        <f>VLOOKUP($B586,#REF!,3,FALSE)</f>
        <v>#REF!</v>
      </c>
      <c r="F586" s="928" t="e">
        <f>VLOOKUP($B586,#REF!,4,FALSE)</f>
        <v>#REF!</v>
      </c>
      <c r="G586" s="684">
        <f>1</f>
        <v>1</v>
      </c>
      <c r="H586" s="928" t="e">
        <f>토목단가산출!$EO$595</f>
        <v>#REF!</v>
      </c>
      <c r="I586" s="928" t="e">
        <f>INT(G586*H586)</f>
        <v>#REF!</v>
      </c>
      <c r="J586" s="928" t="e">
        <f>토목단가산출!$EN$595</f>
        <v>#REF!</v>
      </c>
      <c r="K586" s="928" t="e">
        <f>INT(G586*J586)</f>
        <v>#REF!</v>
      </c>
      <c r="L586" s="929" t="e">
        <f>토목단가산출!$EP$595</f>
        <v>#REF!</v>
      </c>
      <c r="M586" s="929" t="e">
        <f>INT(G586*L586)</f>
        <v>#REF!</v>
      </c>
      <c r="N586" s="928"/>
      <c r="O586" s="928" t="e">
        <f>INT(I586+K586+M586)</f>
        <v>#REF!</v>
      </c>
      <c r="P586" s="685">
        <f>토목단가산출!$ES$595</f>
        <v>16</v>
      </c>
    </row>
    <row r="587" spans="2:16" ht="18" customHeight="1">
      <c r="B587" s="193" t="str">
        <f>CONCATENATE(C585,D587)</f>
        <v>계</v>
      </c>
      <c r="C587" s="683"/>
      <c r="D587" s="928" t="s">
        <v>96</v>
      </c>
      <c r="E587" s="928"/>
      <c r="F587" s="928"/>
      <c r="G587" s="928"/>
      <c r="H587" s="928"/>
      <c r="I587" s="928" t="e">
        <f>SUM(I585:I586)</f>
        <v>#REF!</v>
      </c>
      <c r="J587" s="928"/>
      <c r="K587" s="928" t="e">
        <f>SUM(K585:K586)</f>
        <v>#REF!</v>
      </c>
      <c r="L587" s="928"/>
      <c r="M587" s="928" t="e">
        <f>SUM(M585:M586)</f>
        <v>#REF!</v>
      </c>
      <c r="N587" s="928"/>
      <c r="O587" s="928" t="e">
        <f>SUM(O585:O586)</f>
        <v>#REF!</v>
      </c>
      <c r="P587" s="685"/>
    </row>
    <row r="588" spans="2:16" ht="18" customHeight="1">
      <c r="C588" s="683"/>
      <c r="D588" s="928"/>
      <c r="E588" s="928"/>
      <c r="F588" s="928"/>
      <c r="G588" s="928"/>
      <c r="H588" s="928"/>
      <c r="I588" s="928"/>
      <c r="J588" s="928"/>
      <c r="K588" s="928"/>
      <c r="L588" s="928"/>
      <c r="M588" s="928"/>
      <c r="N588" s="928"/>
      <c r="O588" s="928"/>
      <c r="P588" s="685"/>
    </row>
    <row r="589" spans="2:16" ht="18" customHeight="1">
      <c r="B589" s="193">
        <f>C589</f>
        <v>0</v>
      </c>
      <c r="C589" s="690"/>
      <c r="D589" s="928" t="e">
        <f>D590</f>
        <v>#REF!</v>
      </c>
      <c r="E589" s="928" t="e">
        <f>E590</f>
        <v>#REF!</v>
      </c>
      <c r="F589" s="928" t="e">
        <f>F590</f>
        <v>#REF!</v>
      </c>
      <c r="G589" s="928"/>
      <c r="H589" s="928"/>
      <c r="I589" s="928"/>
      <c r="J589" s="928"/>
      <c r="K589" s="928"/>
      <c r="L589" s="928"/>
      <c r="M589" s="928"/>
      <c r="N589" s="928"/>
      <c r="O589" s="928"/>
      <c r="P589" s="685"/>
    </row>
    <row r="590" spans="2:16" ht="18" customHeight="1">
      <c r="B590" s="193" t="e">
        <f>#REF!</f>
        <v>#REF!</v>
      </c>
      <c r="C590" s="683"/>
      <c r="D590" s="928" t="e">
        <f>VLOOKUP($B590,#REF!,2,FALSE)</f>
        <v>#REF!</v>
      </c>
      <c r="E590" s="928" t="e">
        <f>VLOOKUP($B590,#REF!,3,FALSE)</f>
        <v>#REF!</v>
      </c>
      <c r="F590" s="928" t="e">
        <f>VLOOKUP($B590,#REF!,4,FALSE)</f>
        <v>#REF!</v>
      </c>
      <c r="G590" s="928">
        <v>1</v>
      </c>
      <c r="H590" s="928"/>
      <c r="I590" s="928">
        <f>INT(G590*H590)</f>
        <v>0</v>
      </c>
      <c r="J590" s="928"/>
      <c r="K590" s="928"/>
      <c r="L590" s="928"/>
      <c r="M590" s="928"/>
      <c r="N590" s="928"/>
      <c r="O590" s="928">
        <f t="shared" ref="O590:O597" si="84">INT(I590+K590+M590)</f>
        <v>0</v>
      </c>
      <c r="P590" s="685" t="s">
        <v>525</v>
      </c>
    </row>
    <row r="591" spans="2:16" ht="18" customHeight="1">
      <c r="B591" s="193" t="e">
        <f>#REF!</f>
        <v>#REF!</v>
      </c>
      <c r="C591" s="683"/>
      <c r="D591" s="928" t="e">
        <f>VLOOKUP($B591,#REF!,2,FALSE)</f>
        <v>#REF!</v>
      </c>
      <c r="E591" s="928" t="e">
        <f>VLOOKUP($B591,#REF!,3,FALSE)</f>
        <v>#REF!</v>
      </c>
      <c r="F591" s="699" t="e">
        <f>VLOOKUP($B591,#REF!,4,FALSE)</f>
        <v>#REF!</v>
      </c>
      <c r="G591" s="688">
        <v>1</v>
      </c>
      <c r="H591" s="928">
        <f t="shared" ref="H591:H596" si="85">IF(ISERROR(VLOOKUP($B591,일위11,10,FALSE)),0,VLOOKUP($B591,일위11,10,FALSE))</f>
        <v>0</v>
      </c>
      <c r="I591" s="928">
        <f t="shared" ref="I591:I596" si="86">G591*H591</f>
        <v>0</v>
      </c>
      <c r="J591" s="928">
        <f t="shared" ref="J591:J596" si="87">IF(ISERROR(VLOOKUP($B591,일위11,12,FALSE)),0,VLOOKUP($B591,일위11,12,FALSE))</f>
        <v>0</v>
      </c>
      <c r="K591" s="928">
        <f t="shared" ref="K591:K596" si="88">INT(G591*J591)</f>
        <v>0</v>
      </c>
      <c r="L591" s="928">
        <f t="shared" ref="L591:L596" si="89">IF(ISERROR(VLOOKUP($B591,일위11,14,FALSE)),0,VLOOKUP($B591,일위11,14,FALSE))</f>
        <v>0</v>
      </c>
      <c r="M591" s="928">
        <f t="shared" ref="M591:M596" si="90">INT(G591*L591)</f>
        <v>0</v>
      </c>
      <c r="N591" s="928"/>
      <c r="O591" s="928">
        <f t="shared" si="84"/>
        <v>0</v>
      </c>
      <c r="P591" s="700">
        <f t="shared" ref="P591:P596" si="91">IF(ISERROR(VLOOKUP($B591,일위11,4,FALSE)),0,VLOOKUP($B591,일위11,4,FALSE))</f>
        <v>0</v>
      </c>
    </row>
    <row r="592" spans="2:16" ht="18" customHeight="1">
      <c r="B592" s="193" t="e">
        <f>#REF!</f>
        <v>#REF!</v>
      </c>
      <c r="C592" s="683"/>
      <c r="D592" s="928" t="e">
        <f>VLOOKUP($B592,#REF!,2,FALSE)</f>
        <v>#REF!</v>
      </c>
      <c r="E592" s="928" t="e">
        <f>VLOOKUP($B592,#REF!,3,FALSE)</f>
        <v>#REF!</v>
      </c>
      <c r="F592" s="699" t="e">
        <f>VLOOKUP($B592,#REF!,4,FALSE)</f>
        <v>#REF!</v>
      </c>
      <c r="G592" s="688">
        <v>1</v>
      </c>
      <c r="H592" s="928">
        <f t="shared" si="85"/>
        <v>0</v>
      </c>
      <c r="I592" s="928">
        <f t="shared" si="86"/>
        <v>0</v>
      </c>
      <c r="J592" s="928">
        <f t="shared" si="87"/>
        <v>0</v>
      </c>
      <c r="K592" s="928">
        <f t="shared" si="88"/>
        <v>0</v>
      </c>
      <c r="L592" s="928">
        <f t="shared" si="89"/>
        <v>0</v>
      </c>
      <c r="M592" s="684">
        <f t="shared" si="90"/>
        <v>0</v>
      </c>
      <c r="N592" s="928"/>
      <c r="O592" s="928">
        <f t="shared" si="84"/>
        <v>0</v>
      </c>
      <c r="P592" s="700">
        <f t="shared" si="91"/>
        <v>0</v>
      </c>
    </row>
    <row r="593" spans="2:16" ht="18" customHeight="1">
      <c r="B593" s="193" t="e">
        <f>#REF!</f>
        <v>#REF!</v>
      </c>
      <c r="C593" s="683"/>
      <c r="D593" s="928" t="e">
        <f>VLOOKUP($B593,#REF!,2,FALSE)</f>
        <v>#REF!</v>
      </c>
      <c r="E593" s="928" t="e">
        <f>VLOOKUP($B593,#REF!,3,FALSE)</f>
        <v>#REF!</v>
      </c>
      <c r="F593" s="699" t="e">
        <f>VLOOKUP($B593,#REF!,4,FALSE)</f>
        <v>#REF!</v>
      </c>
      <c r="G593" s="688">
        <v>1</v>
      </c>
      <c r="H593" s="928">
        <f t="shared" si="85"/>
        <v>0</v>
      </c>
      <c r="I593" s="928">
        <f t="shared" si="86"/>
        <v>0</v>
      </c>
      <c r="J593" s="928">
        <f t="shared" si="87"/>
        <v>0</v>
      </c>
      <c r="K593" s="928">
        <f t="shared" si="88"/>
        <v>0</v>
      </c>
      <c r="L593" s="928">
        <f t="shared" si="89"/>
        <v>0</v>
      </c>
      <c r="M593" s="684">
        <f t="shared" si="90"/>
        <v>0</v>
      </c>
      <c r="N593" s="928"/>
      <c r="O593" s="928">
        <f t="shared" si="84"/>
        <v>0</v>
      </c>
      <c r="P593" s="700">
        <f t="shared" si="91"/>
        <v>0</v>
      </c>
    </row>
    <row r="594" spans="2:16" ht="18" customHeight="1">
      <c r="B594" s="193" t="e">
        <f>#REF!</f>
        <v>#REF!</v>
      </c>
      <c r="C594" s="683"/>
      <c r="D594" s="928" t="e">
        <f>VLOOKUP($B594,#REF!,2,FALSE)</f>
        <v>#REF!</v>
      </c>
      <c r="E594" s="928" t="e">
        <f>VLOOKUP($B594,#REF!,3,FALSE)</f>
        <v>#REF!</v>
      </c>
      <c r="F594" s="699" t="e">
        <f>VLOOKUP($B594,#REF!,4,FALSE)</f>
        <v>#REF!</v>
      </c>
      <c r="G594" s="684">
        <v>1</v>
      </c>
      <c r="H594" s="928">
        <f t="shared" si="85"/>
        <v>0</v>
      </c>
      <c r="I594" s="928">
        <f t="shared" si="86"/>
        <v>0</v>
      </c>
      <c r="J594" s="928">
        <f t="shared" si="87"/>
        <v>0</v>
      </c>
      <c r="K594" s="928">
        <f t="shared" si="88"/>
        <v>0</v>
      </c>
      <c r="L594" s="928">
        <f t="shared" si="89"/>
        <v>0</v>
      </c>
      <c r="M594" s="684">
        <f t="shared" si="90"/>
        <v>0</v>
      </c>
      <c r="N594" s="928"/>
      <c r="O594" s="928">
        <f t="shared" si="84"/>
        <v>0</v>
      </c>
      <c r="P594" s="700">
        <f t="shared" si="91"/>
        <v>0</v>
      </c>
    </row>
    <row r="595" spans="2:16" ht="18" customHeight="1">
      <c r="B595" s="193" t="e">
        <f>#REF!</f>
        <v>#REF!</v>
      </c>
      <c r="C595" s="683"/>
      <c r="D595" s="928" t="e">
        <f>VLOOKUP($B595,#REF!,2,FALSE)</f>
        <v>#REF!</v>
      </c>
      <c r="E595" s="928" t="e">
        <f>VLOOKUP($B595,#REF!,3,FALSE)</f>
        <v>#REF!</v>
      </c>
      <c r="F595" s="699" t="e">
        <f>VLOOKUP($B595,#REF!,4,FALSE)</f>
        <v>#REF!</v>
      </c>
      <c r="G595" s="684">
        <v>1</v>
      </c>
      <c r="H595" s="928">
        <f t="shared" si="85"/>
        <v>0</v>
      </c>
      <c r="I595" s="928">
        <f t="shared" si="86"/>
        <v>0</v>
      </c>
      <c r="J595" s="928">
        <f t="shared" si="87"/>
        <v>0</v>
      </c>
      <c r="K595" s="928">
        <f t="shared" si="88"/>
        <v>0</v>
      </c>
      <c r="L595" s="928">
        <f t="shared" si="89"/>
        <v>0</v>
      </c>
      <c r="M595" s="684">
        <f t="shared" si="90"/>
        <v>0</v>
      </c>
      <c r="N595" s="928"/>
      <c r="O595" s="928">
        <f t="shared" si="84"/>
        <v>0</v>
      </c>
      <c r="P595" s="700">
        <f t="shared" si="91"/>
        <v>0</v>
      </c>
    </row>
    <row r="596" spans="2:16" ht="18" customHeight="1">
      <c r="B596" s="193" t="e">
        <f>#REF!</f>
        <v>#REF!</v>
      </c>
      <c r="C596" s="683"/>
      <c r="D596" s="928" t="e">
        <f>VLOOKUP($B596,#REF!,2,FALSE)</f>
        <v>#REF!</v>
      </c>
      <c r="E596" s="928" t="e">
        <f>VLOOKUP($B596,#REF!,3,FALSE)</f>
        <v>#REF!</v>
      </c>
      <c r="F596" s="699" t="e">
        <f>VLOOKUP($B596,#REF!,4,FALSE)</f>
        <v>#REF!</v>
      </c>
      <c r="G596" s="688" t="e">
        <f>#REF!</f>
        <v>#REF!</v>
      </c>
      <c r="H596" s="928">
        <f t="shared" si="85"/>
        <v>0</v>
      </c>
      <c r="I596" s="928" t="e">
        <f t="shared" si="86"/>
        <v>#REF!</v>
      </c>
      <c r="J596" s="928">
        <f t="shared" si="87"/>
        <v>0</v>
      </c>
      <c r="K596" s="928" t="e">
        <f t="shared" si="88"/>
        <v>#REF!</v>
      </c>
      <c r="L596" s="928">
        <f t="shared" si="89"/>
        <v>0</v>
      </c>
      <c r="M596" s="928" t="e">
        <f t="shared" si="90"/>
        <v>#REF!</v>
      </c>
      <c r="N596" s="928"/>
      <c r="O596" s="928" t="e">
        <f t="shared" si="84"/>
        <v>#REF!</v>
      </c>
      <c r="P596" s="700">
        <f t="shared" si="91"/>
        <v>0</v>
      </c>
    </row>
    <row r="597" spans="2:16" ht="18" customHeight="1">
      <c r="B597" s="193" t="str">
        <f>CONCATENATE(C589,D597)</f>
        <v>계</v>
      </c>
      <c r="C597" s="683"/>
      <c r="D597" s="928" t="s">
        <v>531</v>
      </c>
      <c r="E597" s="928"/>
      <c r="F597" s="928"/>
      <c r="G597" s="928"/>
      <c r="H597" s="928"/>
      <c r="I597" s="928" t="e">
        <f>SUM(I591:I596)</f>
        <v>#REF!</v>
      </c>
      <c r="J597" s="928"/>
      <c r="K597" s="928" t="e">
        <f>SUM(K591:K596)</f>
        <v>#REF!</v>
      </c>
      <c r="L597" s="928"/>
      <c r="M597" s="928" t="e">
        <f>SUM(M591:M596)</f>
        <v>#REF!</v>
      </c>
      <c r="N597" s="928"/>
      <c r="O597" s="928" t="e">
        <f t="shared" si="84"/>
        <v>#REF!</v>
      </c>
      <c r="P597" s="685"/>
    </row>
    <row r="598" spans="2:16" ht="18" customHeight="1">
      <c r="C598" s="683"/>
      <c r="D598" s="928"/>
      <c r="E598" s="928"/>
      <c r="F598" s="928"/>
      <c r="G598" s="928"/>
      <c r="H598" s="928"/>
      <c r="I598" s="928"/>
      <c r="J598" s="928"/>
      <c r="K598" s="928"/>
      <c r="L598" s="928"/>
      <c r="M598" s="928"/>
      <c r="N598" s="928"/>
      <c r="O598" s="928"/>
      <c r="P598" s="685"/>
    </row>
    <row r="599" spans="2:16" ht="18" customHeight="1">
      <c r="B599" s="193">
        <f>C599</f>
        <v>0</v>
      </c>
      <c r="C599" s="690"/>
      <c r="D599" s="928" t="e">
        <f>D600</f>
        <v>#REF!</v>
      </c>
      <c r="E599" s="694" t="e">
        <f>E600</f>
        <v>#REF!</v>
      </c>
      <c r="F599" s="928" t="e">
        <f>F600</f>
        <v>#REF!</v>
      </c>
      <c r="G599" s="688"/>
      <c r="H599" s="928"/>
      <c r="I599" s="928"/>
      <c r="J599" s="928"/>
      <c r="K599" s="928"/>
      <c r="L599" s="929"/>
      <c r="M599" s="687"/>
      <c r="N599" s="928"/>
      <c r="O599" s="928"/>
      <c r="P599" s="685"/>
    </row>
    <row r="600" spans="2:16" ht="18" customHeight="1">
      <c r="B600" s="193" t="e">
        <f>#REF!</f>
        <v>#REF!</v>
      </c>
      <c r="C600" s="683"/>
      <c r="D600" s="928" t="e">
        <f>VLOOKUP($B600,#REF!,2,FALSE)</f>
        <v>#REF!</v>
      </c>
      <c r="E600" s="694" t="e">
        <f>VLOOKUP($B600,#REF!,3,FALSE)</f>
        <v>#REF!</v>
      </c>
      <c r="F600" s="928" t="e">
        <f>VLOOKUP($B600,#REF!,4,FALSE)</f>
        <v>#REF!</v>
      </c>
      <c r="G600" s="684">
        <v>1</v>
      </c>
      <c r="H600" s="928" t="e">
        <f>토목단가산출!$EO$742</f>
        <v>#REF!</v>
      </c>
      <c r="I600" s="928" t="e">
        <f>INT(G600*H600)</f>
        <v>#REF!</v>
      </c>
      <c r="J600" s="928" t="e">
        <f>토목단가산출!$EN$742</f>
        <v>#REF!</v>
      </c>
      <c r="K600" s="928" t="e">
        <f>INT(G600*J600)</f>
        <v>#REF!</v>
      </c>
      <c r="L600" s="929" t="str">
        <f>토목단가산출!$EP$742</f>
        <v>353</v>
      </c>
      <c r="M600" s="928">
        <f>INT(G600*L600)</f>
        <v>353</v>
      </c>
      <c r="N600" s="928"/>
      <c r="O600" s="928" t="e">
        <f>INT(I600+K600+M600)</f>
        <v>#REF!</v>
      </c>
      <c r="P600" s="685">
        <f>토목단가산출!$ES$742</f>
        <v>18</v>
      </c>
    </row>
    <row r="601" spans="2:16" ht="18" customHeight="1">
      <c r="B601" s="193" t="str">
        <f>CONCATENATE(C599,D601)</f>
        <v>계</v>
      </c>
      <c r="C601" s="683"/>
      <c r="D601" s="928" t="s">
        <v>99</v>
      </c>
      <c r="E601" s="928"/>
      <c r="F601" s="928"/>
      <c r="G601" s="928"/>
      <c r="H601" s="928"/>
      <c r="I601" s="928" t="e">
        <f>SUM(I599:I600)</f>
        <v>#REF!</v>
      </c>
      <c r="J601" s="928"/>
      <c r="K601" s="928" t="e">
        <f>SUM(K599:K600)</f>
        <v>#REF!</v>
      </c>
      <c r="L601" s="928"/>
      <c r="M601" s="928">
        <f>SUM(M599:M600)</f>
        <v>353</v>
      </c>
      <c r="N601" s="928"/>
      <c r="O601" s="928" t="e">
        <f>INT(I601+K601+M601)</f>
        <v>#REF!</v>
      </c>
      <c r="P601" s="685"/>
    </row>
    <row r="602" spans="2:16" ht="18" customHeight="1">
      <c r="C602" s="683"/>
      <c r="D602" s="928"/>
      <c r="E602" s="928"/>
      <c r="F602" s="928"/>
      <c r="G602" s="928"/>
      <c r="H602" s="928"/>
      <c r="I602" s="928"/>
      <c r="J602" s="928"/>
      <c r="K602" s="928"/>
      <c r="L602" s="928"/>
      <c r="M602" s="928"/>
      <c r="N602" s="928"/>
      <c r="O602" s="928"/>
      <c r="P602" s="685"/>
    </row>
    <row r="603" spans="2:16" ht="18" customHeight="1">
      <c r="C603" s="691"/>
      <c r="D603" s="692"/>
      <c r="E603" s="692"/>
      <c r="F603" s="692"/>
      <c r="G603" s="692"/>
      <c r="H603" s="692"/>
      <c r="I603" s="692"/>
      <c r="J603" s="692"/>
      <c r="K603" s="692"/>
      <c r="L603" s="692"/>
      <c r="M603" s="692"/>
      <c r="N603" s="692"/>
      <c r="O603" s="692"/>
      <c r="P603" s="693"/>
    </row>
    <row r="604" spans="2:16" ht="18" customHeight="1">
      <c r="B604" s="193">
        <f>C604</f>
        <v>0</v>
      </c>
      <c r="C604" s="728"/>
      <c r="D604" s="681" t="e">
        <f>D605</f>
        <v>#REF!</v>
      </c>
      <c r="E604" s="713" t="e">
        <f>E605</f>
        <v>#REF!</v>
      </c>
      <c r="F604" s="681" t="e">
        <f>F605</f>
        <v>#REF!</v>
      </c>
      <c r="G604" s="714"/>
      <c r="H604" s="681"/>
      <c r="I604" s="681"/>
      <c r="J604" s="681"/>
      <c r="K604" s="681"/>
      <c r="L604" s="715"/>
      <c r="M604" s="716"/>
      <c r="N604" s="681"/>
      <c r="O604" s="681"/>
      <c r="P604" s="730"/>
    </row>
    <row r="605" spans="2:16" ht="18" customHeight="1">
      <c r="B605" s="193" t="e">
        <f>#REF!</f>
        <v>#REF!</v>
      </c>
      <c r="C605" s="683"/>
      <c r="D605" s="928" t="e">
        <f>VLOOKUP($B605,#REF!,2,FALSE)</f>
        <v>#REF!</v>
      </c>
      <c r="E605" s="694" t="e">
        <f>VLOOKUP($B605,#REF!,3,FALSE)</f>
        <v>#REF!</v>
      </c>
      <c r="F605" s="928" t="e">
        <f>VLOOKUP($B605,#REF!,4,FALSE)</f>
        <v>#REF!</v>
      </c>
      <c r="G605" s="684">
        <v>1</v>
      </c>
      <c r="H605" s="928" t="e">
        <f>토목단가산출!$EO$790</f>
        <v>#REF!</v>
      </c>
      <c r="I605" s="928" t="e">
        <f>INT(G605*H605)</f>
        <v>#REF!</v>
      </c>
      <c r="J605" s="928" t="e">
        <f>토목단가산출!$EN$790</f>
        <v>#REF!</v>
      </c>
      <c r="K605" s="928" t="e">
        <f>INT(G605*J605)</f>
        <v>#REF!</v>
      </c>
      <c r="L605" s="929" t="str">
        <f>토목단가산출!$EP$790</f>
        <v>0</v>
      </c>
      <c r="M605" s="928">
        <f>INT(G605*L605)</f>
        <v>0</v>
      </c>
      <c r="N605" s="928"/>
      <c r="O605" s="928" t="e">
        <f>INT(I605+K605+M605)</f>
        <v>#REF!</v>
      </c>
      <c r="P605" s="685">
        <f>토목단가산출!$ES$790</f>
        <v>19</v>
      </c>
    </row>
    <row r="606" spans="2:16" ht="18" customHeight="1">
      <c r="B606" s="193" t="str">
        <f>CONCATENATE(C604,D606)</f>
        <v>계</v>
      </c>
      <c r="C606" s="683"/>
      <c r="D606" s="928" t="s">
        <v>99</v>
      </c>
      <c r="E606" s="928"/>
      <c r="F606" s="928"/>
      <c r="G606" s="928"/>
      <c r="H606" s="928"/>
      <c r="I606" s="928" t="e">
        <f>SUM(I604:I605)</f>
        <v>#REF!</v>
      </c>
      <c r="J606" s="928"/>
      <c r="K606" s="928" t="e">
        <f>SUM(K604:K605)</f>
        <v>#REF!</v>
      </c>
      <c r="L606" s="928"/>
      <c r="M606" s="928">
        <f>SUM(M604:M605)</f>
        <v>0</v>
      </c>
      <c r="N606" s="928"/>
      <c r="O606" s="928" t="e">
        <f>INT(I606+K606+M606)</f>
        <v>#REF!</v>
      </c>
      <c r="P606" s="685"/>
    </row>
    <row r="607" spans="2:16" ht="18" customHeight="1">
      <c r="C607" s="683"/>
      <c r="D607" s="928"/>
      <c r="E607" s="928"/>
      <c r="F607" s="928"/>
      <c r="G607" s="928"/>
      <c r="H607" s="928"/>
      <c r="I607" s="928"/>
      <c r="J607" s="928"/>
      <c r="K607" s="928"/>
      <c r="L607" s="928"/>
      <c r="M607" s="928"/>
      <c r="N607" s="928"/>
      <c r="O607" s="928"/>
      <c r="P607" s="685"/>
    </row>
    <row r="608" spans="2:16" ht="18" customHeight="1">
      <c r="B608" s="193">
        <f>C608</f>
        <v>0</v>
      </c>
      <c r="C608" s="741"/>
      <c r="D608" s="928" t="e">
        <f>D609</f>
        <v>#REF!</v>
      </c>
      <c r="E608" s="694" t="e">
        <f>E609</f>
        <v>#REF!</v>
      </c>
      <c r="F608" s="928" t="e">
        <f>F609</f>
        <v>#REF!</v>
      </c>
      <c r="G608" s="688"/>
      <c r="H608" s="928"/>
      <c r="I608" s="928"/>
      <c r="J608" s="928"/>
      <c r="K608" s="928"/>
      <c r="L608" s="929"/>
      <c r="M608" s="687"/>
      <c r="N608" s="928"/>
      <c r="O608" s="928"/>
      <c r="P608" s="685"/>
    </row>
    <row r="609" spans="2:16" ht="18" customHeight="1">
      <c r="B609" s="193" t="e">
        <f>#REF!</f>
        <v>#REF!</v>
      </c>
      <c r="C609" s="683"/>
      <c r="D609" s="928" t="e">
        <f>VLOOKUP($B609,#REF!,2,FALSE)</f>
        <v>#REF!</v>
      </c>
      <c r="E609" s="694" t="e">
        <f>VLOOKUP($B609,#REF!,3,FALSE)</f>
        <v>#REF!</v>
      </c>
      <c r="F609" s="928" t="e">
        <f>VLOOKUP($B609,#REF!,4,FALSE)</f>
        <v>#REF!</v>
      </c>
      <c r="G609" s="684">
        <v>1</v>
      </c>
      <c r="H609" s="928" t="e">
        <f>#REF!</f>
        <v>#REF!</v>
      </c>
      <c r="I609" s="928" t="e">
        <f>INT(G609*H609)</f>
        <v>#REF!</v>
      </c>
      <c r="J609" s="928" t="e">
        <f>#REF!</f>
        <v>#REF!</v>
      </c>
      <c r="K609" s="928" t="e">
        <f>INT(G609*J609)</f>
        <v>#REF!</v>
      </c>
      <c r="L609" s="929" t="e">
        <f>#REF!</f>
        <v>#REF!</v>
      </c>
      <c r="M609" s="928" t="e">
        <f>INT(G609*L609)</f>
        <v>#REF!</v>
      </c>
      <c r="N609" s="928"/>
      <c r="O609" s="928" t="e">
        <f>INT(I609+K609+M609)</f>
        <v>#REF!</v>
      </c>
      <c r="P609" s="685">
        <f>토목단가산출!$ES$838</f>
        <v>0</v>
      </c>
    </row>
    <row r="610" spans="2:16" ht="18" customHeight="1">
      <c r="B610" s="193" t="str">
        <f>CONCATENATE(C608,D610)</f>
        <v>계</v>
      </c>
      <c r="C610" s="683"/>
      <c r="D610" s="928" t="s">
        <v>99</v>
      </c>
      <c r="E610" s="928"/>
      <c r="F610" s="928"/>
      <c r="G610" s="928"/>
      <c r="H610" s="928"/>
      <c r="I610" s="928" t="e">
        <f>SUM(I608:I609)</f>
        <v>#REF!</v>
      </c>
      <c r="J610" s="928"/>
      <c r="K610" s="928" t="e">
        <f>SUM(K608:K609)</f>
        <v>#REF!</v>
      </c>
      <c r="L610" s="928"/>
      <c r="M610" s="928" t="e">
        <f>SUM(M608:M609)</f>
        <v>#REF!</v>
      </c>
      <c r="N610" s="928"/>
      <c r="O610" s="928" t="e">
        <f>INT(I610+K610+M610)</f>
        <v>#REF!</v>
      </c>
      <c r="P610" s="685"/>
    </row>
    <row r="611" spans="2:16" ht="18" customHeight="1">
      <c r="C611" s="683"/>
      <c r="D611" s="928"/>
      <c r="E611" s="928"/>
      <c r="F611" s="928"/>
      <c r="G611" s="928"/>
      <c r="H611" s="928"/>
      <c r="I611" s="708"/>
      <c r="J611" s="708"/>
      <c r="K611" s="708"/>
      <c r="L611" s="928"/>
      <c r="M611" s="708"/>
      <c r="N611" s="928"/>
      <c r="O611" s="928"/>
      <c r="P611" s="685"/>
    </row>
    <row r="612" spans="2:16" ht="18" customHeight="1">
      <c r="B612" s="193">
        <f>C612</f>
        <v>0</v>
      </c>
      <c r="C612" s="690"/>
      <c r="D612" s="928" t="e">
        <f>D613</f>
        <v>#REF!</v>
      </c>
      <c r="E612" s="694" t="e">
        <f>E613</f>
        <v>#REF!</v>
      </c>
      <c r="F612" s="928" t="e">
        <f>F613</f>
        <v>#REF!</v>
      </c>
      <c r="G612" s="688"/>
      <c r="H612" s="928"/>
      <c r="I612" s="928"/>
      <c r="J612" s="928"/>
      <c r="K612" s="928"/>
      <c r="L612" s="929"/>
      <c r="M612" s="687"/>
      <c r="N612" s="928"/>
      <c r="O612" s="928"/>
      <c r="P612" s="685"/>
    </row>
    <row r="613" spans="2:16" ht="18" customHeight="1">
      <c r="B613" s="193" t="e">
        <f>#REF!</f>
        <v>#REF!</v>
      </c>
      <c r="C613" s="683"/>
      <c r="D613" s="928" t="e">
        <f>VLOOKUP($B613,#REF!,2,FALSE)</f>
        <v>#REF!</v>
      </c>
      <c r="E613" s="694" t="e">
        <f>VLOOKUP($B613,#REF!,3,FALSE)</f>
        <v>#REF!</v>
      </c>
      <c r="F613" s="928" t="e">
        <f>VLOOKUP($B613,#REF!,4,FALSE)</f>
        <v>#REF!</v>
      </c>
      <c r="G613" s="684">
        <v>1</v>
      </c>
      <c r="H613" s="928" t="e">
        <f>토목단가산출!$EO$887</f>
        <v>#REF!</v>
      </c>
      <c r="I613" s="928" t="e">
        <f>INT(G613*H613)</f>
        <v>#REF!</v>
      </c>
      <c r="J613" s="928" t="e">
        <f>토목단가산출!$EN$887</f>
        <v>#REF!</v>
      </c>
      <c r="K613" s="928" t="e">
        <f>INT(G613*J613)</f>
        <v>#REF!</v>
      </c>
      <c r="L613" s="929" t="str">
        <f>토목단가산출!$EP$887</f>
        <v>0</v>
      </c>
      <c r="M613" s="928">
        <f>INT(G613*L613)</f>
        <v>0</v>
      </c>
      <c r="N613" s="928"/>
      <c r="O613" s="928" t="e">
        <f>INT(I613+K613+M613)</f>
        <v>#REF!</v>
      </c>
      <c r="P613" s="685">
        <f>토목단가산출!$ES$887</f>
        <v>21</v>
      </c>
    </row>
    <row r="614" spans="2:16" ht="18" customHeight="1">
      <c r="B614" s="193" t="str">
        <f>CONCATENATE(C612,D614)</f>
        <v>계</v>
      </c>
      <c r="C614" s="683"/>
      <c r="D614" s="928" t="s">
        <v>99</v>
      </c>
      <c r="E614" s="928"/>
      <c r="F614" s="928"/>
      <c r="G614" s="928"/>
      <c r="H614" s="928"/>
      <c r="I614" s="928" t="e">
        <f>SUM(I612:I613)</f>
        <v>#REF!</v>
      </c>
      <c r="J614" s="928"/>
      <c r="K614" s="928" t="e">
        <f>SUM(K612:K613)</f>
        <v>#REF!</v>
      </c>
      <c r="L614" s="928"/>
      <c r="M614" s="928">
        <f>SUM(M612:M613)</f>
        <v>0</v>
      </c>
      <c r="N614" s="928"/>
      <c r="O614" s="928" t="e">
        <f>INT(I614+K614+M614)</f>
        <v>#REF!</v>
      </c>
      <c r="P614" s="685"/>
    </row>
    <row r="615" spans="2:16" ht="18" customHeight="1">
      <c r="C615" s="683"/>
      <c r="D615" s="928"/>
      <c r="E615" s="928"/>
      <c r="F615" s="928"/>
      <c r="G615" s="928"/>
      <c r="H615" s="928"/>
      <c r="I615" s="928"/>
      <c r="J615" s="928"/>
      <c r="K615" s="928"/>
      <c r="L615" s="928"/>
      <c r="M615" s="707"/>
      <c r="N615" s="928"/>
      <c r="O615" s="928"/>
      <c r="P615" s="685"/>
    </row>
    <row r="616" spans="2:16" ht="18" customHeight="1">
      <c r="B616" s="193">
        <f>C616</f>
        <v>0</v>
      </c>
      <c r="C616" s="690"/>
      <c r="D616" s="928" t="e">
        <f>D617</f>
        <v>#REF!</v>
      </c>
      <c r="E616" s="694" t="e">
        <f>E617</f>
        <v>#REF!</v>
      </c>
      <c r="F616" s="928" t="e">
        <f>F617</f>
        <v>#REF!</v>
      </c>
      <c r="G616" s="688"/>
      <c r="H616" s="928"/>
      <c r="I616" s="928"/>
      <c r="J616" s="928"/>
      <c r="K616" s="928"/>
      <c r="L616" s="929"/>
      <c r="M616" s="687"/>
      <c r="N616" s="928"/>
      <c r="O616" s="928"/>
      <c r="P616" s="685"/>
    </row>
    <row r="617" spans="2:16" ht="18" customHeight="1">
      <c r="B617" s="193" t="e">
        <f>#REF!</f>
        <v>#REF!</v>
      </c>
      <c r="C617" s="683"/>
      <c r="D617" s="928" t="e">
        <f>VLOOKUP($B617,#REF!,2,FALSE)</f>
        <v>#REF!</v>
      </c>
      <c r="E617" s="694" t="e">
        <f>VLOOKUP($B617,#REF!,3,FALSE)</f>
        <v>#REF!</v>
      </c>
      <c r="F617" s="928" t="e">
        <f>VLOOKUP($B617,#REF!,4,FALSE)</f>
        <v>#REF!</v>
      </c>
      <c r="G617" s="684">
        <v>1</v>
      </c>
      <c r="H617" s="928" t="e">
        <f>토목단가산출!$EO$934</f>
        <v>#REF!</v>
      </c>
      <c r="I617" s="928" t="e">
        <f>INT(G617*H617)</f>
        <v>#REF!</v>
      </c>
      <c r="J617" s="928" t="e">
        <f>토목단가산출!$EN$934</f>
        <v>#REF!</v>
      </c>
      <c r="K617" s="928" t="e">
        <f>INT(G617*J617)</f>
        <v>#REF!</v>
      </c>
      <c r="L617" s="929" t="str">
        <f>토목단가산출!$EP$934</f>
        <v>1,433</v>
      </c>
      <c r="M617" s="928">
        <f>INT(G617*L617)</f>
        <v>1433</v>
      </c>
      <c r="N617" s="928"/>
      <c r="O617" s="928" t="e">
        <f>INT(I617+K617+M617)</f>
        <v>#REF!</v>
      </c>
      <c r="P617" s="685">
        <f>토목단가산출!$ES$934</f>
        <v>22</v>
      </c>
    </row>
    <row r="618" spans="2:16" ht="18" customHeight="1">
      <c r="B618" s="193" t="str">
        <f>CONCATENATE(C616,D618)</f>
        <v>계</v>
      </c>
      <c r="C618" s="683"/>
      <c r="D618" s="928" t="s">
        <v>99</v>
      </c>
      <c r="E618" s="928"/>
      <c r="F618" s="928"/>
      <c r="G618" s="928"/>
      <c r="H618" s="928"/>
      <c r="I618" s="928" t="e">
        <f>SUM(I616:I617)</f>
        <v>#REF!</v>
      </c>
      <c r="J618" s="928"/>
      <c r="K618" s="928" t="e">
        <f>SUM(K616:K617)</f>
        <v>#REF!</v>
      </c>
      <c r="L618" s="928"/>
      <c r="M618" s="928">
        <f>SUM(M616:M617)</f>
        <v>1433</v>
      </c>
      <c r="N618" s="928"/>
      <c r="O618" s="928" t="e">
        <f>INT(I618+K618+M618)</f>
        <v>#REF!</v>
      </c>
      <c r="P618" s="685"/>
    </row>
    <row r="619" spans="2:16" ht="18" customHeight="1">
      <c r="C619" s="683"/>
      <c r="D619" s="928"/>
      <c r="E619" s="928"/>
      <c r="F619" s="928"/>
      <c r="G619" s="928"/>
      <c r="H619" s="928"/>
      <c r="I619" s="708"/>
      <c r="J619" s="708"/>
      <c r="K619" s="708"/>
      <c r="L619" s="928"/>
      <c r="M619" s="708"/>
      <c r="N619" s="928"/>
      <c r="O619" s="928"/>
      <c r="P619" s="685"/>
    </row>
    <row r="621" spans="2:16" ht="18" customHeight="1">
      <c r="C621" s="683"/>
      <c r="D621" s="928"/>
      <c r="E621" s="928"/>
      <c r="F621" s="928"/>
      <c r="G621" s="928"/>
      <c r="H621" s="928"/>
      <c r="I621" s="708"/>
      <c r="J621" s="708"/>
      <c r="K621" s="708"/>
      <c r="L621" s="928"/>
      <c r="M621" s="708"/>
      <c r="N621" s="928"/>
      <c r="O621" s="928"/>
      <c r="P621" s="685"/>
    </row>
    <row r="623" spans="2:16" ht="18" customHeight="1">
      <c r="B623" s="193">
        <f>C623</f>
        <v>0</v>
      </c>
      <c r="C623" s="680"/>
      <c r="D623" s="681" t="e">
        <f>D624</f>
        <v>#REF!</v>
      </c>
      <c r="E623" s="681" t="e">
        <f>E624</f>
        <v>#REF!</v>
      </c>
      <c r="F623" s="681" t="e">
        <f>F624</f>
        <v>#REF!</v>
      </c>
      <c r="G623" s="681"/>
      <c r="H623" s="681"/>
      <c r="I623" s="681"/>
      <c r="J623" s="681"/>
      <c r="K623" s="681"/>
      <c r="L623" s="681"/>
      <c r="M623" s="681"/>
      <c r="N623" s="681"/>
      <c r="O623" s="681"/>
      <c r="P623" s="682"/>
    </row>
    <row r="624" spans="2:16" ht="18" customHeight="1">
      <c r="B624" s="193" t="e">
        <f>#REF!</f>
        <v>#REF!</v>
      </c>
      <c r="C624" s="683"/>
      <c r="D624" s="928" t="e">
        <f>VLOOKUP($B624,#REF!,2,FALSE)</f>
        <v>#REF!</v>
      </c>
      <c r="E624" s="928" t="e">
        <f>VLOOKUP($B624,#REF!,3,FALSE)</f>
        <v>#REF!</v>
      </c>
      <c r="F624" s="928" t="e">
        <f>VLOOKUP($B624,#REF!,4,FALSE)</f>
        <v>#REF!</v>
      </c>
      <c r="G624" s="928">
        <v>1</v>
      </c>
      <c r="H624" s="928" t="e">
        <f>VLOOKUP($B624,#REF!,11,FALSE)</f>
        <v>#REF!</v>
      </c>
      <c r="I624" s="928" t="e">
        <f>INT(G624*H624)</f>
        <v>#REF!</v>
      </c>
      <c r="J624" s="928"/>
      <c r="K624" s="928"/>
      <c r="L624" s="928"/>
      <c r="M624" s="928"/>
      <c r="N624" s="928"/>
      <c r="O624" s="928" t="e">
        <f>INT(I624+K624+M624)</f>
        <v>#REF!</v>
      </c>
      <c r="P624" s="685"/>
    </row>
    <row r="625" spans="2:16" ht="18" customHeight="1">
      <c r="B625" s="193" t="e">
        <f>#REF!</f>
        <v>#REF!</v>
      </c>
      <c r="C625" s="683"/>
      <c r="D625" s="928" t="e">
        <f>VLOOKUP($B625,#REF!,2,FALSE)</f>
        <v>#REF!</v>
      </c>
      <c r="E625" s="928" t="e">
        <f>VLOOKUP($B625,#REF!,3,FALSE)</f>
        <v>#REF!</v>
      </c>
      <c r="F625" s="928" t="e">
        <f>VLOOKUP($B625,#REF!,4,FALSE)</f>
        <v>#REF!</v>
      </c>
      <c r="G625" s="928">
        <v>6</v>
      </c>
      <c r="H625" s="928" t="e">
        <f>VLOOKUP($B625,#REF!,11,FALSE)</f>
        <v>#REF!</v>
      </c>
      <c r="I625" s="928" t="e">
        <f>INT(G625*H625)</f>
        <v>#REF!</v>
      </c>
      <c r="J625" s="928"/>
      <c r="K625" s="928"/>
      <c r="L625" s="928"/>
      <c r="M625" s="928"/>
      <c r="N625" s="928"/>
      <c r="O625" s="928" t="e">
        <f>INT(I625+K625+M625)</f>
        <v>#REF!</v>
      </c>
      <c r="P625" s="685"/>
    </row>
    <row r="626" spans="2:16" ht="18" customHeight="1">
      <c r="B626" s="193" t="e">
        <f>#REF!</f>
        <v>#REF!</v>
      </c>
      <c r="C626" s="683"/>
      <c r="D626" s="928" t="e">
        <f>VLOOKUP($B626,#REF!,2,FALSE)</f>
        <v>#REF!</v>
      </c>
      <c r="E626" s="928" t="e">
        <f>VLOOKUP($B626,#REF!,3,FALSE)</f>
        <v>#REF!</v>
      </c>
      <c r="F626" s="928" t="e">
        <f>VLOOKUP($B626,#REF!,4,FALSE)</f>
        <v>#REF!</v>
      </c>
      <c r="G626" s="928">
        <v>1</v>
      </c>
      <c r="H626" s="928" t="e">
        <f>VLOOKUP($B626,#REF!,11,FALSE)</f>
        <v>#REF!</v>
      </c>
      <c r="I626" s="928" t="e">
        <f>INT(G626*H626)</f>
        <v>#REF!</v>
      </c>
      <c r="J626" s="928"/>
      <c r="K626" s="928"/>
      <c r="L626" s="928"/>
      <c r="M626" s="928"/>
      <c r="N626" s="928"/>
      <c r="O626" s="928" t="e">
        <f>INT(I626+K626+M626)</f>
        <v>#REF!</v>
      </c>
      <c r="P626" s="685"/>
    </row>
    <row r="627" spans="2:16" ht="18" customHeight="1">
      <c r="B627" s="193" t="str">
        <f>CONCATENATE(C623,D627)</f>
        <v>계</v>
      </c>
      <c r="C627" s="683"/>
      <c r="D627" s="928" t="s">
        <v>96</v>
      </c>
      <c r="E627" s="689"/>
      <c r="F627" s="928"/>
      <c r="G627" s="928"/>
      <c r="H627" s="928"/>
      <c r="I627" s="929" t="e">
        <f>SUM(I624:I626)</f>
        <v>#REF!</v>
      </c>
      <c r="J627" s="928"/>
      <c r="K627" s="928">
        <f>SUM(K624:K626)</f>
        <v>0</v>
      </c>
      <c r="L627" s="928"/>
      <c r="M627" s="928">
        <f>SUM(M624:M626)</f>
        <v>0</v>
      </c>
      <c r="N627" s="928"/>
      <c r="O627" s="928" t="e">
        <f>INT(I627+K627+M627)</f>
        <v>#REF!</v>
      </c>
      <c r="P627" s="685"/>
    </row>
    <row r="628" spans="2:16" ht="18" customHeight="1">
      <c r="C628" s="683"/>
      <c r="D628" s="928"/>
      <c r="E628" s="928"/>
      <c r="F628" s="928"/>
      <c r="G628" s="928"/>
      <c r="H628" s="928"/>
      <c r="I628" s="928"/>
      <c r="J628" s="928"/>
      <c r="K628" s="928"/>
      <c r="L628" s="928"/>
      <c r="M628" s="928"/>
      <c r="N628" s="928"/>
      <c r="O628" s="928"/>
      <c r="P628" s="685"/>
    </row>
    <row r="629" spans="2:16" ht="18" customHeight="1">
      <c r="B629" s="193">
        <f>C629</f>
        <v>0</v>
      </c>
      <c r="C629" s="690"/>
      <c r="D629" s="928" t="e">
        <f>D630</f>
        <v>#REF!</v>
      </c>
      <c r="E629" s="928" t="e">
        <f>E630</f>
        <v>#REF!</v>
      </c>
      <c r="F629" s="928" t="e">
        <f>F630</f>
        <v>#REF!</v>
      </c>
      <c r="G629" s="928"/>
      <c r="H629" s="928"/>
      <c r="I629" s="928"/>
      <c r="J629" s="928"/>
      <c r="K629" s="928"/>
      <c r="L629" s="928"/>
      <c r="M629" s="928"/>
      <c r="N629" s="928"/>
      <c r="O629" s="928"/>
      <c r="P629" s="685"/>
    </row>
    <row r="630" spans="2:16" ht="18" customHeight="1">
      <c r="B630" s="193" t="e">
        <f>#REF!</f>
        <v>#REF!</v>
      </c>
      <c r="C630" s="683"/>
      <c r="D630" s="928" t="e">
        <f>VLOOKUP($B630,#REF!,2,FALSE)</f>
        <v>#REF!</v>
      </c>
      <c r="E630" s="928" t="e">
        <f>VLOOKUP($B630,#REF!,3,FALSE)</f>
        <v>#REF!</v>
      </c>
      <c r="F630" s="928" t="e">
        <f>VLOOKUP($B630,#REF!,4,FALSE)</f>
        <v>#REF!</v>
      </c>
      <c r="G630" s="928">
        <v>1</v>
      </c>
      <c r="H630" s="928" t="e">
        <f>VLOOKUP($B630,#REF!,11,FALSE)</f>
        <v>#REF!</v>
      </c>
      <c r="I630" s="928" t="e">
        <f>INT(G630*H630)</f>
        <v>#REF!</v>
      </c>
      <c r="J630" s="928"/>
      <c r="K630" s="928"/>
      <c r="L630" s="928"/>
      <c r="M630" s="928"/>
      <c r="N630" s="928"/>
      <c r="O630" s="928" t="e">
        <f>INT(I630+K630+M630)</f>
        <v>#REF!</v>
      </c>
      <c r="P630" s="685"/>
    </row>
    <row r="631" spans="2:16" ht="18" customHeight="1">
      <c r="C631" s="683"/>
      <c r="D631" s="928" t="s">
        <v>40</v>
      </c>
      <c r="E631" s="696" t="s">
        <v>1152</v>
      </c>
      <c r="F631" s="928" t="s">
        <v>102</v>
      </c>
      <c r="G631" s="688">
        <f>ROUNDDOWN(dhTextEvaluate(E631),3)</f>
        <v>1.28</v>
      </c>
      <c r="H631" s="928"/>
      <c r="I631" s="928"/>
      <c r="J631" s="928" t="e">
        <f>VLOOKUP($D631,#REF!,2,FALSE)</f>
        <v>#REF!</v>
      </c>
      <c r="K631" s="928" t="e">
        <f>INT(G631*J631)</f>
        <v>#REF!</v>
      </c>
      <c r="L631" s="1606" t="s">
        <v>1151</v>
      </c>
      <c r="M631" s="1606"/>
      <c r="N631" s="928"/>
      <c r="O631" s="928" t="e">
        <f>INT(I631+K631+M631)</f>
        <v>#REF!</v>
      </c>
      <c r="P631" s="685" t="s">
        <v>1074</v>
      </c>
    </row>
    <row r="632" spans="2:16" ht="18" customHeight="1">
      <c r="C632" s="683"/>
      <c r="D632" s="928" t="s">
        <v>1073</v>
      </c>
      <c r="E632" s="696" t="s">
        <v>1153</v>
      </c>
      <c r="F632" s="928" t="s">
        <v>102</v>
      </c>
      <c r="G632" s="688">
        <f>ROUNDDOWN(dhTextEvaluate(E632),3)</f>
        <v>1.2</v>
      </c>
      <c r="H632" s="928"/>
      <c r="I632" s="928"/>
      <c r="J632" s="928" t="e">
        <f>VLOOKUP($D632,#REF!,2,FALSE)</f>
        <v>#REF!</v>
      </c>
      <c r="K632" s="928" t="e">
        <f>INT(G632*J632)</f>
        <v>#REF!</v>
      </c>
      <c r="L632" s="1606" t="str">
        <f>L631</f>
        <v>재사용철거:80%</v>
      </c>
      <c r="M632" s="1606"/>
      <c r="N632" s="928"/>
      <c r="O632" s="928" t="e">
        <f>INT(I632+K632+M632)</f>
        <v>#REF!</v>
      </c>
      <c r="P632" s="685" t="s">
        <v>1074</v>
      </c>
    </row>
    <row r="633" spans="2:16" ht="18" customHeight="1">
      <c r="C633" s="683"/>
      <c r="D633" s="928" t="s">
        <v>1075</v>
      </c>
      <c r="E633" s="696" t="s">
        <v>1154</v>
      </c>
      <c r="F633" s="928" t="s">
        <v>102</v>
      </c>
      <c r="G633" s="688">
        <f t="shared" ref="G633:G634" si="92">ROUNDDOWN(dhTextEvaluate(E633),3)</f>
        <v>0.30399999999999999</v>
      </c>
      <c r="H633" s="928"/>
      <c r="I633" s="928"/>
      <c r="J633" s="928" t="e">
        <f>VLOOKUP($D633,#REF!,2,FALSE)</f>
        <v>#REF!</v>
      </c>
      <c r="K633" s="928" t="e">
        <f>INT(G633*J633)</f>
        <v>#REF!</v>
      </c>
      <c r="L633" s="1606" t="str">
        <f>L631</f>
        <v>재사용철거:80%</v>
      </c>
      <c r="M633" s="1606"/>
      <c r="N633" s="928"/>
      <c r="O633" s="928" t="e">
        <f t="shared" ref="O633:O634" si="93">INT(I633+K633+M633)</f>
        <v>#REF!</v>
      </c>
      <c r="P633" s="685" t="s">
        <v>1074</v>
      </c>
    </row>
    <row r="634" spans="2:16" ht="18" customHeight="1">
      <c r="C634" s="683"/>
      <c r="D634" s="928" t="s">
        <v>1076</v>
      </c>
      <c r="E634" s="696" t="s">
        <v>1155</v>
      </c>
      <c r="F634" s="928" t="s">
        <v>102</v>
      </c>
      <c r="G634" s="688">
        <f t="shared" si="92"/>
        <v>0.184</v>
      </c>
      <c r="H634" s="928"/>
      <c r="I634" s="928"/>
      <c r="J634" s="928" t="e">
        <f>VLOOKUP($D634,#REF!,2,FALSE)</f>
        <v>#REF!</v>
      </c>
      <c r="K634" s="928" t="e">
        <f>INT(G634*J634)</f>
        <v>#REF!</v>
      </c>
      <c r="L634" s="1606" t="str">
        <f>L631</f>
        <v>재사용철거:80%</v>
      </c>
      <c r="M634" s="1606"/>
      <c r="N634" s="928"/>
      <c r="O634" s="928" t="e">
        <f t="shared" si="93"/>
        <v>#REF!</v>
      </c>
      <c r="P634" s="685" t="s">
        <v>1074</v>
      </c>
    </row>
    <row r="635" spans="2:16" ht="18" customHeight="1">
      <c r="C635" s="683"/>
      <c r="D635" s="928" t="s">
        <v>403</v>
      </c>
      <c r="E635" s="696" t="s">
        <v>41</v>
      </c>
      <c r="F635" s="928" t="s">
        <v>100</v>
      </c>
      <c r="G635" s="688">
        <v>1</v>
      </c>
      <c r="H635" s="928" t="e">
        <f>INT(SUM(K636)*0.03)</f>
        <v>#REF!</v>
      </c>
      <c r="I635" s="928" t="e">
        <f>INT(G635*H635)</f>
        <v>#REF!</v>
      </c>
      <c r="J635" s="928"/>
      <c r="K635" s="928"/>
      <c r="L635" s="928"/>
      <c r="M635" s="928"/>
      <c r="N635" s="928"/>
      <c r="O635" s="928" t="e">
        <f>INT(I635+K635+M635)</f>
        <v>#REF!</v>
      </c>
      <c r="P635" s="685" t="s">
        <v>42</v>
      </c>
    </row>
    <row r="636" spans="2:16" ht="18" customHeight="1">
      <c r="B636" s="193" t="str">
        <f>CONCATENATE(C629,D636)</f>
        <v>계</v>
      </c>
      <c r="C636" s="683"/>
      <c r="D636" s="928" t="s">
        <v>96</v>
      </c>
      <c r="E636" s="689"/>
      <c r="F636" s="928"/>
      <c r="G636" s="928"/>
      <c r="H636" s="928"/>
      <c r="I636" s="929" t="e">
        <f>SUM(I630:I635)</f>
        <v>#REF!</v>
      </c>
      <c r="J636" s="928"/>
      <c r="K636" s="928" t="e">
        <f>SUM(K630:K635)</f>
        <v>#REF!</v>
      </c>
      <c r="L636" s="928"/>
      <c r="M636" s="928">
        <f>SUM(M630:M635)</f>
        <v>0</v>
      </c>
      <c r="N636" s="928"/>
      <c r="O636" s="928" t="e">
        <f>INT(I636+K636+M636)</f>
        <v>#REF!</v>
      </c>
      <c r="P636" s="685"/>
    </row>
    <row r="637" spans="2:16" ht="18" customHeight="1">
      <c r="C637" s="683"/>
      <c r="D637" s="928"/>
      <c r="E637" s="928"/>
      <c r="F637" s="928"/>
      <c r="G637" s="928"/>
      <c r="H637" s="928"/>
      <c r="I637" s="928"/>
      <c r="J637" s="928"/>
      <c r="K637" s="928"/>
      <c r="L637" s="928"/>
      <c r="M637" s="928"/>
      <c r="N637" s="928"/>
      <c r="O637" s="928"/>
      <c r="P637" s="685"/>
    </row>
    <row r="638" spans="2:16" ht="18" customHeight="1">
      <c r="B638" s="193">
        <f>C638</f>
        <v>0</v>
      </c>
      <c r="C638" s="690"/>
      <c r="D638" s="928" t="e">
        <f>D639</f>
        <v>#REF!</v>
      </c>
      <c r="E638" s="928" t="e">
        <f>E639</f>
        <v>#REF!</v>
      </c>
      <c r="F638" s="928" t="e">
        <f>F639</f>
        <v>#REF!</v>
      </c>
      <c r="G638" s="928"/>
      <c r="H638" s="928"/>
      <c r="I638" s="928"/>
      <c r="J638" s="928"/>
      <c r="K638" s="928"/>
      <c r="L638" s="928"/>
      <c r="M638" s="928"/>
      <c r="N638" s="928"/>
      <c r="O638" s="928"/>
      <c r="P638" s="685"/>
    </row>
    <row r="639" spans="2:16" ht="18" customHeight="1">
      <c r="B639" s="193" t="e">
        <f>#REF!</f>
        <v>#REF!</v>
      </c>
      <c r="C639" s="683"/>
      <c r="D639" s="928" t="e">
        <f>VLOOKUP($B639,#REF!,2,FALSE)</f>
        <v>#REF!</v>
      </c>
      <c r="E639" s="928" t="e">
        <f>VLOOKUP($B639,#REF!,3,FALSE)</f>
        <v>#REF!</v>
      </c>
      <c r="F639" s="928" t="e">
        <f>VLOOKUP($B639,#REF!,4,FALSE)</f>
        <v>#REF!</v>
      </c>
      <c r="G639" s="928">
        <v>1</v>
      </c>
      <c r="H639" s="928" t="e">
        <f>VLOOKUP($B639,#REF!,11,FALSE)</f>
        <v>#REF!</v>
      </c>
      <c r="I639" s="928" t="e">
        <f>INT(G639*H639)</f>
        <v>#REF!</v>
      </c>
      <c r="J639" s="928"/>
      <c r="K639" s="928"/>
      <c r="L639" s="928"/>
      <c r="M639" s="928"/>
      <c r="N639" s="928"/>
      <c r="O639" s="928" t="e">
        <f>INT(I639+K639+M639)</f>
        <v>#REF!</v>
      </c>
      <c r="P639" s="685"/>
    </row>
    <row r="640" spans="2:16" ht="18" customHeight="1">
      <c r="C640" s="683"/>
      <c r="D640" s="928" t="s">
        <v>40</v>
      </c>
      <c r="E640" s="696" t="s">
        <v>1232</v>
      </c>
      <c r="F640" s="928" t="s">
        <v>102</v>
      </c>
      <c r="G640" s="688">
        <f>ROUNDDOWN(dhTextEvaluate(E640),3)</f>
        <v>0.68799999999999994</v>
      </c>
      <c r="H640" s="928"/>
      <c r="I640" s="928"/>
      <c r="J640" s="928" t="e">
        <f>VLOOKUP($D640,#REF!,2,FALSE)</f>
        <v>#REF!</v>
      </c>
      <c r="K640" s="928" t="e">
        <f>INT(G640*J640)</f>
        <v>#REF!</v>
      </c>
      <c r="L640" s="1606" t="s">
        <v>1151</v>
      </c>
      <c r="M640" s="1606"/>
      <c r="N640" s="928"/>
      <c r="O640" s="928" t="e">
        <f>INT(I640+K640+M640)</f>
        <v>#REF!</v>
      </c>
      <c r="P640" s="685" t="s">
        <v>1231</v>
      </c>
    </row>
    <row r="641" spans="2:16" ht="18" customHeight="1">
      <c r="C641" s="683"/>
      <c r="D641" s="928" t="s">
        <v>403</v>
      </c>
      <c r="E641" s="696" t="s">
        <v>41</v>
      </c>
      <c r="F641" s="928" t="s">
        <v>100</v>
      </c>
      <c r="G641" s="688">
        <v>1</v>
      </c>
      <c r="H641" s="928" t="e">
        <f>INT(SUM(K642)*0.03)</f>
        <v>#REF!</v>
      </c>
      <c r="I641" s="928" t="e">
        <f>INT(G641*H641)</f>
        <v>#REF!</v>
      </c>
      <c r="J641" s="928"/>
      <c r="K641" s="928"/>
      <c r="L641" s="928"/>
      <c r="M641" s="928"/>
      <c r="N641" s="928"/>
      <c r="O641" s="928" t="e">
        <f>INT(I641+K641+M641)</f>
        <v>#REF!</v>
      </c>
      <c r="P641" s="685" t="s">
        <v>42</v>
      </c>
    </row>
    <row r="642" spans="2:16" ht="18" customHeight="1">
      <c r="B642" s="193" t="str">
        <f>CONCATENATE(C638,D642)</f>
        <v>계</v>
      </c>
      <c r="C642" s="683"/>
      <c r="D642" s="928" t="s">
        <v>96</v>
      </c>
      <c r="E642" s="689"/>
      <c r="F642" s="928"/>
      <c r="G642" s="928"/>
      <c r="H642" s="928"/>
      <c r="I642" s="929" t="e">
        <f>SUM(I639:I641)</f>
        <v>#REF!</v>
      </c>
      <c r="J642" s="928"/>
      <c r="K642" s="928" t="e">
        <f>SUM(K639:K641)</f>
        <v>#REF!</v>
      </c>
      <c r="L642" s="928"/>
      <c r="M642" s="928">
        <f>SUM(M639:M641)</f>
        <v>0</v>
      </c>
      <c r="N642" s="928"/>
      <c r="O642" s="928" t="e">
        <f>INT(I642+K642+M642)</f>
        <v>#REF!</v>
      </c>
      <c r="P642" s="685"/>
    </row>
    <row r="643" spans="2:16" ht="18" customHeight="1">
      <c r="C643" s="683"/>
      <c r="D643" s="928"/>
      <c r="E643" s="928"/>
      <c r="F643" s="928"/>
      <c r="G643" s="928"/>
      <c r="H643" s="928"/>
      <c r="I643" s="928"/>
      <c r="J643" s="928"/>
      <c r="K643" s="928"/>
      <c r="L643" s="928"/>
      <c r="M643" s="928"/>
      <c r="N643" s="928"/>
      <c r="O643" s="928"/>
      <c r="P643" s="685"/>
    </row>
    <row r="644" spans="2:16" ht="18" customHeight="1">
      <c r="C644" s="683"/>
      <c r="D644" s="928"/>
      <c r="E644" s="928"/>
      <c r="F644" s="928"/>
      <c r="G644" s="928"/>
      <c r="H644" s="928"/>
      <c r="I644" s="928"/>
      <c r="J644" s="928"/>
      <c r="K644" s="928"/>
      <c r="L644" s="928"/>
      <c r="M644" s="928"/>
      <c r="N644" s="928"/>
      <c r="O644" s="928"/>
      <c r="P644" s="685"/>
    </row>
    <row r="645" spans="2:16" ht="18" customHeight="1">
      <c r="C645" s="691"/>
      <c r="D645" s="692"/>
      <c r="E645" s="692"/>
      <c r="F645" s="692"/>
      <c r="G645" s="692"/>
      <c r="H645" s="692"/>
      <c r="I645" s="692"/>
      <c r="J645" s="692"/>
      <c r="K645" s="692"/>
      <c r="L645" s="692"/>
      <c r="M645" s="692"/>
      <c r="N645" s="692"/>
      <c r="O645" s="692"/>
      <c r="P645" s="693"/>
    </row>
    <row r="646" spans="2:16" ht="18" customHeight="1">
      <c r="B646" s="193">
        <f>C646</f>
        <v>0</v>
      </c>
      <c r="C646" s="680"/>
      <c r="D646" s="681" t="e">
        <f>D647</f>
        <v>#REF!</v>
      </c>
      <c r="E646" s="681" t="e">
        <f>E647</f>
        <v>#REF!</v>
      </c>
      <c r="F646" s="681" t="e">
        <f>F647</f>
        <v>#REF!</v>
      </c>
      <c r="G646" s="681"/>
      <c r="H646" s="681"/>
      <c r="I646" s="681"/>
      <c r="J646" s="681"/>
      <c r="K646" s="681"/>
      <c r="L646" s="681"/>
      <c r="M646" s="681"/>
      <c r="N646" s="681"/>
      <c r="O646" s="681"/>
      <c r="P646" s="682"/>
    </row>
    <row r="647" spans="2:16" ht="18" customHeight="1">
      <c r="B647" s="193" t="e">
        <f>#REF!</f>
        <v>#REF!</v>
      </c>
      <c r="C647" s="683"/>
      <c r="D647" s="928" t="e">
        <f>VLOOKUP($B647,#REF!,2,FALSE)</f>
        <v>#REF!</v>
      </c>
      <c r="E647" s="928" t="e">
        <f>VLOOKUP($B647,#REF!,3,FALSE)</f>
        <v>#REF!</v>
      </c>
      <c r="F647" s="928" t="e">
        <f>VLOOKUP($B647,#REF!,4,FALSE)</f>
        <v>#REF!</v>
      </c>
      <c r="G647" s="928">
        <v>1</v>
      </c>
      <c r="H647" s="928" t="e">
        <f>VLOOKUP($B647,#REF!,11,FALSE)</f>
        <v>#REF!</v>
      </c>
      <c r="I647" s="928" t="e">
        <f>INT(G647*H647)</f>
        <v>#REF!</v>
      </c>
      <c r="J647" s="928"/>
      <c r="K647" s="928"/>
      <c r="L647" s="928"/>
      <c r="M647" s="928"/>
      <c r="N647" s="928"/>
      <c r="O647" s="928" t="e">
        <f>INT(I647+K647+M647)</f>
        <v>#REF!</v>
      </c>
      <c r="P647" s="685"/>
    </row>
    <row r="648" spans="2:16" ht="18" customHeight="1">
      <c r="C648" s="683"/>
      <c r="D648" s="928" t="s">
        <v>40</v>
      </c>
      <c r="E648" s="696">
        <v>0.86</v>
      </c>
      <c r="F648" s="928" t="s">
        <v>102</v>
      </c>
      <c r="G648" s="688">
        <f>ROUNDDOWN(dhTextEvaluate(E648),3)</f>
        <v>0.86</v>
      </c>
      <c r="H648" s="928"/>
      <c r="I648" s="928"/>
      <c r="J648" s="928" t="e">
        <f>VLOOKUP($D648,#REF!,2,FALSE)</f>
        <v>#REF!</v>
      </c>
      <c r="K648" s="928" t="e">
        <f>INT(G648*J648)</f>
        <v>#REF!</v>
      </c>
      <c r="L648" s="1606"/>
      <c r="M648" s="1606"/>
      <c r="N648" s="928"/>
      <c r="O648" s="928" t="e">
        <f>INT(I648+K648+M648)</f>
        <v>#REF!</v>
      </c>
      <c r="P648" s="685" t="s">
        <v>1231</v>
      </c>
    </row>
    <row r="649" spans="2:16" ht="18" customHeight="1">
      <c r="C649" s="683"/>
      <c r="D649" s="928" t="s">
        <v>403</v>
      </c>
      <c r="E649" s="696" t="s">
        <v>41</v>
      </c>
      <c r="F649" s="928" t="s">
        <v>100</v>
      </c>
      <c r="G649" s="688">
        <v>1</v>
      </c>
      <c r="H649" s="928" t="e">
        <f>INT(SUM(K650)*0.03)</f>
        <v>#REF!</v>
      </c>
      <c r="I649" s="928" t="e">
        <f>INT(G649*H649)</f>
        <v>#REF!</v>
      </c>
      <c r="J649" s="928"/>
      <c r="K649" s="928"/>
      <c r="L649" s="928"/>
      <c r="M649" s="928"/>
      <c r="N649" s="928"/>
      <c r="O649" s="928" t="e">
        <f>INT(I649+K649+M649)</f>
        <v>#REF!</v>
      </c>
      <c r="P649" s="685" t="s">
        <v>42</v>
      </c>
    </row>
    <row r="650" spans="2:16" ht="18" customHeight="1">
      <c r="B650" s="193" t="str">
        <f>CONCATENATE(C646,D650)</f>
        <v>계</v>
      </c>
      <c r="C650" s="683"/>
      <c r="D650" s="928" t="s">
        <v>96</v>
      </c>
      <c r="E650" s="689"/>
      <c r="F650" s="928"/>
      <c r="G650" s="928"/>
      <c r="H650" s="928"/>
      <c r="I650" s="929" t="e">
        <f>SUM(I647:I649)</f>
        <v>#REF!</v>
      </c>
      <c r="J650" s="928"/>
      <c r="K650" s="928" t="e">
        <f>SUM(K647:K649)</f>
        <v>#REF!</v>
      </c>
      <c r="L650" s="928"/>
      <c r="M650" s="928">
        <f>SUM(M647:M649)</f>
        <v>0</v>
      </c>
      <c r="N650" s="928"/>
      <c r="O650" s="928" t="e">
        <f>INT(I650+K650+M650)</f>
        <v>#REF!</v>
      </c>
      <c r="P650" s="685"/>
    </row>
    <row r="651" spans="2:16" ht="18" customHeight="1">
      <c r="C651" s="683"/>
      <c r="D651" s="928"/>
      <c r="E651" s="928"/>
      <c r="F651" s="928"/>
      <c r="G651" s="928"/>
      <c r="H651" s="928"/>
      <c r="I651" s="928"/>
      <c r="J651" s="928"/>
      <c r="K651" s="928"/>
      <c r="L651" s="928"/>
      <c r="M651" s="928"/>
      <c r="N651" s="928"/>
      <c r="O651" s="928"/>
      <c r="P651" s="685"/>
    </row>
    <row r="716" spans="2:16" ht="18" customHeight="1">
      <c r="B716" s="193">
        <f>C716</f>
        <v>0</v>
      </c>
      <c r="C716" s="680"/>
      <c r="D716" s="681" t="e">
        <f>D717</f>
        <v>#REF!</v>
      </c>
      <c r="E716" s="681" t="e">
        <f>E717</f>
        <v>#REF!</v>
      </c>
      <c r="F716" s="681" t="e">
        <f>F717</f>
        <v>#REF!</v>
      </c>
      <c r="G716" s="681"/>
      <c r="H716" s="681"/>
      <c r="I716" s="681"/>
      <c r="J716" s="681"/>
      <c r="K716" s="681"/>
      <c r="L716" s="681"/>
      <c r="M716" s="681"/>
      <c r="N716" s="681"/>
      <c r="O716" s="681"/>
      <c r="P716" s="682"/>
    </row>
    <row r="717" spans="2:16" ht="18" customHeight="1">
      <c r="B717" s="193" t="e">
        <f>#REF!</f>
        <v>#REF!</v>
      </c>
      <c r="C717" s="683"/>
      <c r="D717" s="928" t="e">
        <f>VLOOKUP($B717,#REF!,2,FALSE)</f>
        <v>#REF!</v>
      </c>
      <c r="E717" s="928" t="e">
        <f>VLOOKUP($B717,#REF!,3,FALSE)</f>
        <v>#REF!</v>
      </c>
      <c r="F717" s="699" t="e">
        <f>VLOOKUP($B717,#REF!,4,FALSE)</f>
        <v>#REF!</v>
      </c>
      <c r="G717" s="684">
        <v>1</v>
      </c>
      <c r="H717" s="928"/>
      <c r="I717" s="928"/>
      <c r="J717" s="928"/>
      <c r="K717" s="928"/>
      <c r="L717" s="928"/>
      <c r="M717" s="928"/>
      <c r="N717" s="928"/>
      <c r="O717" s="928"/>
      <c r="P717" s="700"/>
    </row>
    <row r="718" spans="2:16" ht="18" customHeight="1">
      <c r="B718" s="193" t="e">
        <f>#REF!</f>
        <v>#REF!</v>
      </c>
      <c r="C718" s="683"/>
      <c r="D718" s="928" t="e">
        <f>VLOOKUP($B718,#REF!,2,FALSE)</f>
        <v>#REF!</v>
      </c>
      <c r="E718" s="928" t="e">
        <f>VLOOKUP($B718,#REF!,3,FALSE)</f>
        <v>#REF!</v>
      </c>
      <c r="F718" s="699" t="s">
        <v>1037</v>
      </c>
      <c r="G718" s="684">
        <f>1.96*(1+0.4)*1.2*0.8</f>
        <v>2.6342400000000001</v>
      </c>
      <c r="H718" s="928" t="e">
        <f>#REF!</f>
        <v>#REF!</v>
      </c>
      <c r="I718" s="928" t="e">
        <f>INT(G718*H718)</f>
        <v>#REF!</v>
      </c>
      <c r="J718" s="928" t="e">
        <f>#REF!</f>
        <v>#REF!</v>
      </c>
      <c r="K718" s="928" t="e">
        <f>INT(G718*J718)</f>
        <v>#REF!</v>
      </c>
      <c r="L718" s="928" t="e">
        <f>#REF!</f>
        <v>#REF!</v>
      </c>
      <c r="M718" s="928" t="e">
        <f>INT(G718*L718)</f>
        <v>#REF!</v>
      </c>
      <c r="N718" s="928"/>
      <c r="O718" s="928" t="e">
        <f t="shared" ref="O718:O723" si="94">INT(I718+K718+M718)</f>
        <v>#REF!</v>
      </c>
      <c r="P718" s="700" t="s">
        <v>1067</v>
      </c>
    </row>
    <row r="719" spans="2:16" ht="18" customHeight="1">
      <c r="B719" s="193" t="e">
        <f>#REF!</f>
        <v>#REF!</v>
      </c>
      <c r="C719" s="683"/>
      <c r="D719" s="928" t="e">
        <f>VLOOKUP($B719,#REF!,2,FALSE)</f>
        <v>#REF!</v>
      </c>
      <c r="E719" s="928" t="e">
        <f>VLOOKUP($B719,#REF!,3,FALSE)</f>
        <v>#REF!</v>
      </c>
      <c r="F719" s="699" t="s">
        <v>1037</v>
      </c>
      <c r="G719" s="684">
        <f>G718</f>
        <v>2.6342400000000001</v>
      </c>
      <c r="H719" s="928" t="e">
        <f>#REF!</f>
        <v>#REF!</v>
      </c>
      <c r="I719" s="928" t="e">
        <f>INT(G719*H719)</f>
        <v>#REF!</v>
      </c>
      <c r="J719" s="928" t="e">
        <f>#REF!</f>
        <v>#REF!</v>
      </c>
      <c r="K719" s="928" t="e">
        <f>INT(G719*J719)</f>
        <v>#REF!</v>
      </c>
      <c r="L719" s="928" t="e">
        <f>#REF!</f>
        <v>#REF!</v>
      </c>
      <c r="M719" s="928" t="e">
        <f>INT(G719*L719)</f>
        <v>#REF!</v>
      </c>
      <c r="N719" s="928"/>
      <c r="O719" s="928" t="e">
        <f t="shared" si="94"/>
        <v>#REF!</v>
      </c>
      <c r="P719" s="700" t="s">
        <v>1067</v>
      </c>
    </row>
    <row r="720" spans="2:16" ht="18" customHeight="1">
      <c r="C720" s="690"/>
      <c r="D720" s="928" t="s">
        <v>40</v>
      </c>
      <c r="E720" s="684" t="s">
        <v>1162</v>
      </c>
      <c r="F720" s="928" t="s">
        <v>47</v>
      </c>
      <c r="G720" s="701">
        <f t="shared" ref="G720:G721" si="95">ROUNDDOWN(dhTextEvaluate(E720),3)</f>
        <v>1.3169999999999999</v>
      </c>
      <c r="H720" s="928"/>
      <c r="I720" s="928">
        <f>INT(G720*H720)</f>
        <v>0</v>
      </c>
      <c r="J720" s="928" t="e">
        <f>VLOOKUP($D720,#REF!,2,FALSE)</f>
        <v>#REF!</v>
      </c>
      <c r="K720" s="928" t="e">
        <f>INT(G720*J720)</f>
        <v>#REF!</v>
      </c>
      <c r="L720" s="1606" t="s">
        <v>1522</v>
      </c>
      <c r="M720" s="1606"/>
      <c r="N720" s="928"/>
      <c r="O720" s="928" t="e">
        <f t="shared" si="94"/>
        <v>#REF!</v>
      </c>
      <c r="P720" s="700" t="s">
        <v>1067</v>
      </c>
    </row>
    <row r="721" spans="2:16" ht="18" customHeight="1">
      <c r="C721" s="690"/>
      <c r="D721" s="928" t="s">
        <v>45</v>
      </c>
      <c r="E721" s="684" t="s">
        <v>1163</v>
      </c>
      <c r="F721" s="928" t="s">
        <v>47</v>
      </c>
      <c r="G721" s="701">
        <f t="shared" si="95"/>
        <v>1.008</v>
      </c>
      <c r="H721" s="928"/>
      <c r="I721" s="928">
        <f>INT(G721*H721)</f>
        <v>0</v>
      </c>
      <c r="J721" s="928" t="e">
        <f>VLOOKUP($D721,#REF!,2,FALSE)</f>
        <v>#REF!</v>
      </c>
      <c r="K721" s="928" t="e">
        <f>INT(G721*J721)</f>
        <v>#REF!</v>
      </c>
      <c r="L721" s="1606" t="str">
        <f>L720</f>
        <v>부착대추가:40%가산,9m이상:120%,재사용철거:80%</v>
      </c>
      <c r="M721" s="1606"/>
      <c r="N721" s="928"/>
      <c r="O721" s="928" t="e">
        <f t="shared" si="94"/>
        <v>#REF!</v>
      </c>
      <c r="P721" s="700" t="s">
        <v>1067</v>
      </c>
    </row>
    <row r="722" spans="2:16" ht="18" customHeight="1">
      <c r="C722" s="683"/>
      <c r="D722" s="928" t="s">
        <v>104</v>
      </c>
      <c r="E722" s="928" t="s">
        <v>41</v>
      </c>
      <c r="F722" s="699" t="s">
        <v>100</v>
      </c>
      <c r="G722" s="684">
        <v>1</v>
      </c>
      <c r="H722" s="928" t="e">
        <f>INT(SUM(K720:K721)*0.03)</f>
        <v>#REF!</v>
      </c>
      <c r="I722" s="928" t="e">
        <f>INT(G722*H722)</f>
        <v>#REF!</v>
      </c>
      <c r="J722" s="928"/>
      <c r="K722" s="928"/>
      <c r="L722" s="928"/>
      <c r="M722" s="928"/>
      <c r="N722" s="928"/>
      <c r="O722" s="928" t="e">
        <f t="shared" si="94"/>
        <v>#REF!</v>
      </c>
      <c r="P722" s="700" t="s">
        <v>42</v>
      </c>
    </row>
    <row r="723" spans="2:16" ht="18" customHeight="1">
      <c r="B723" s="193" t="str">
        <f>C716&amp;"계"</f>
        <v>계</v>
      </c>
      <c r="C723" s="683"/>
      <c r="D723" s="928" t="s">
        <v>96</v>
      </c>
      <c r="E723" s="928"/>
      <c r="F723" s="928"/>
      <c r="G723" s="928"/>
      <c r="H723" s="928"/>
      <c r="I723" s="708" t="e">
        <f>SUM(I718:I722)</f>
        <v>#REF!</v>
      </c>
      <c r="J723" s="708"/>
      <c r="K723" s="708" t="e">
        <f>SUM(K718:K722)</f>
        <v>#REF!</v>
      </c>
      <c r="L723" s="928"/>
      <c r="M723" s="708" t="e">
        <f>SUM(M718:M722)</f>
        <v>#REF!</v>
      </c>
      <c r="N723" s="928"/>
      <c r="O723" s="928" t="e">
        <f t="shared" si="94"/>
        <v>#REF!</v>
      </c>
      <c r="P723" s="685"/>
    </row>
    <row r="724" spans="2:16" ht="18" customHeight="1">
      <c r="C724" s="683"/>
      <c r="D724" s="928"/>
      <c r="E724" s="928"/>
      <c r="F724" s="928"/>
      <c r="G724" s="928"/>
      <c r="H724" s="928"/>
      <c r="I724" s="708"/>
      <c r="J724" s="708"/>
      <c r="K724" s="708"/>
      <c r="L724" s="928"/>
      <c r="M724" s="708"/>
      <c r="N724" s="928"/>
      <c r="O724" s="928"/>
      <c r="P724" s="685"/>
    </row>
    <row r="725" spans="2:16" ht="18" customHeight="1">
      <c r="B725" s="193">
        <f>C725</f>
        <v>0</v>
      </c>
      <c r="C725" s="690"/>
      <c r="D725" s="928" t="e">
        <f>D726</f>
        <v>#REF!</v>
      </c>
      <c r="E725" s="928" t="e">
        <f>E726</f>
        <v>#REF!</v>
      </c>
      <c r="F725" s="928" t="e">
        <f>F726</f>
        <v>#REF!</v>
      </c>
      <c r="G725" s="928"/>
      <c r="H725" s="928"/>
      <c r="I725" s="928"/>
      <c r="J725" s="928"/>
      <c r="K725" s="928"/>
      <c r="L725" s="928"/>
      <c r="M725" s="928"/>
      <c r="N725" s="928"/>
      <c r="O725" s="928"/>
      <c r="P725" s="685"/>
    </row>
    <row r="726" spans="2:16" ht="18" customHeight="1">
      <c r="B726" s="193" t="e">
        <f>#REF!</f>
        <v>#REF!</v>
      </c>
      <c r="C726" s="683"/>
      <c r="D726" s="928" t="e">
        <f>VLOOKUP($B726,#REF!,2,FALSE)</f>
        <v>#REF!</v>
      </c>
      <c r="E726" s="928" t="e">
        <f>VLOOKUP($B726,#REF!,3,FALSE)</f>
        <v>#REF!</v>
      </c>
      <c r="F726" s="699" t="e">
        <f>VLOOKUP($B726,#REF!,4,FALSE)</f>
        <v>#REF!</v>
      </c>
      <c r="G726" s="684">
        <v>1</v>
      </c>
      <c r="H726" s="928"/>
      <c r="I726" s="928"/>
      <c r="J726" s="928"/>
      <c r="K726" s="928"/>
      <c r="L726" s="928"/>
      <c r="M726" s="928"/>
      <c r="N726" s="928"/>
      <c r="O726" s="928"/>
      <c r="P726" s="700"/>
    </row>
    <row r="727" spans="2:16" ht="18" customHeight="1">
      <c r="B727" s="193" t="e">
        <f>#REF!</f>
        <v>#REF!</v>
      </c>
      <c r="C727" s="683"/>
      <c r="D727" s="928" t="e">
        <f>VLOOKUP($B727,#REF!,2,FALSE)</f>
        <v>#REF!</v>
      </c>
      <c r="E727" s="928" t="e">
        <f>VLOOKUP($B727,#REF!,3,FALSE)</f>
        <v>#REF!</v>
      </c>
      <c r="F727" s="699" t="s">
        <v>1037</v>
      </c>
      <c r="G727" s="684">
        <f>1.96*1.2*0.8</f>
        <v>1.8815999999999999</v>
      </c>
      <c r="H727" s="928" t="e">
        <f>#REF!</f>
        <v>#REF!</v>
      </c>
      <c r="I727" s="928" t="e">
        <f>INT(G727*H727)</f>
        <v>#REF!</v>
      </c>
      <c r="J727" s="928" t="e">
        <f>#REF!</f>
        <v>#REF!</v>
      </c>
      <c r="K727" s="928" t="e">
        <f>INT(G727*J727)</f>
        <v>#REF!</v>
      </c>
      <c r="L727" s="928" t="e">
        <f>#REF!</f>
        <v>#REF!</v>
      </c>
      <c r="M727" s="928" t="e">
        <f>INT(G727*L727)</f>
        <v>#REF!</v>
      </c>
      <c r="N727" s="928"/>
      <c r="O727" s="928" t="e">
        <f t="shared" ref="O727:O732" si="96">INT(I727+K727+M727)</f>
        <v>#REF!</v>
      </c>
      <c r="P727" s="700" t="s">
        <v>1067</v>
      </c>
    </row>
    <row r="728" spans="2:16" ht="18" customHeight="1">
      <c r="B728" s="193" t="e">
        <f>#REF!</f>
        <v>#REF!</v>
      </c>
      <c r="C728" s="683"/>
      <c r="D728" s="928" t="e">
        <f>VLOOKUP($B728,#REF!,2,FALSE)</f>
        <v>#REF!</v>
      </c>
      <c r="E728" s="928" t="e">
        <f>VLOOKUP($B728,#REF!,3,FALSE)</f>
        <v>#REF!</v>
      </c>
      <c r="F728" s="699" t="s">
        <v>1037</v>
      </c>
      <c r="G728" s="684">
        <f>G727</f>
        <v>1.8815999999999999</v>
      </c>
      <c r="H728" s="928" t="e">
        <f>#REF!</f>
        <v>#REF!</v>
      </c>
      <c r="I728" s="928" t="e">
        <f>INT(G728*H728)</f>
        <v>#REF!</v>
      </c>
      <c r="J728" s="928" t="e">
        <f>#REF!</f>
        <v>#REF!</v>
      </c>
      <c r="K728" s="928" t="e">
        <f>INT(G728*J728)</f>
        <v>#REF!</v>
      </c>
      <c r="L728" s="928" t="e">
        <f>#REF!</f>
        <v>#REF!</v>
      </c>
      <c r="M728" s="928" t="e">
        <f>INT(G728*L728)</f>
        <v>#REF!</v>
      </c>
      <c r="N728" s="928"/>
      <c r="O728" s="928" t="e">
        <f t="shared" si="96"/>
        <v>#REF!</v>
      </c>
      <c r="P728" s="700" t="s">
        <v>1067</v>
      </c>
    </row>
    <row r="729" spans="2:16" ht="18" customHeight="1">
      <c r="C729" s="690"/>
      <c r="D729" s="928" t="s">
        <v>40</v>
      </c>
      <c r="E729" s="684" t="s">
        <v>1164</v>
      </c>
      <c r="F729" s="928" t="s">
        <v>47</v>
      </c>
      <c r="G729" s="701">
        <f t="shared" ref="G729:G730" si="97">ROUNDDOWN(dhTextEvaluate(E729),3)</f>
        <v>0.94</v>
      </c>
      <c r="H729" s="928"/>
      <c r="I729" s="928">
        <f>INT(G729*H729)</f>
        <v>0</v>
      </c>
      <c r="J729" s="928" t="e">
        <f>VLOOKUP($D729,#REF!,2,FALSE)</f>
        <v>#REF!</v>
      </c>
      <c r="K729" s="928" t="e">
        <f>INT(G729*J729)</f>
        <v>#REF!</v>
      </c>
      <c r="L729" s="1606" t="s">
        <v>1523</v>
      </c>
      <c r="M729" s="1606"/>
      <c r="N729" s="928"/>
      <c r="O729" s="928" t="e">
        <f t="shared" si="96"/>
        <v>#REF!</v>
      </c>
      <c r="P729" s="700" t="s">
        <v>1067</v>
      </c>
    </row>
    <row r="730" spans="2:16" ht="18" customHeight="1">
      <c r="C730" s="690"/>
      <c r="D730" s="928" t="s">
        <v>45</v>
      </c>
      <c r="E730" s="684" t="s">
        <v>1165</v>
      </c>
      <c r="F730" s="928" t="s">
        <v>47</v>
      </c>
      <c r="G730" s="701">
        <f t="shared" si="97"/>
        <v>0.72</v>
      </c>
      <c r="H730" s="928"/>
      <c r="I730" s="928">
        <f>INT(G730*H730)</f>
        <v>0</v>
      </c>
      <c r="J730" s="928" t="e">
        <f>VLOOKUP($D730,#REF!,2,FALSE)</f>
        <v>#REF!</v>
      </c>
      <c r="K730" s="928" t="e">
        <f>INT(G730*J730)</f>
        <v>#REF!</v>
      </c>
      <c r="L730" s="1606" t="str">
        <f>L729</f>
        <v>9m 이상:120%,재사용철거:0.8</v>
      </c>
      <c r="M730" s="1606"/>
      <c r="N730" s="928"/>
      <c r="O730" s="928" t="e">
        <f t="shared" si="96"/>
        <v>#REF!</v>
      </c>
      <c r="P730" s="700" t="s">
        <v>1067</v>
      </c>
    </row>
    <row r="731" spans="2:16" ht="18" customHeight="1">
      <c r="C731" s="683"/>
      <c r="D731" s="928" t="s">
        <v>104</v>
      </c>
      <c r="E731" s="928" t="s">
        <v>41</v>
      </c>
      <c r="F731" s="699" t="s">
        <v>100</v>
      </c>
      <c r="G731" s="684">
        <v>1</v>
      </c>
      <c r="H731" s="928" t="e">
        <f>INT(SUM(K729:K730)*0.03)</f>
        <v>#REF!</v>
      </c>
      <c r="I731" s="928" t="e">
        <f>INT(G731*H731)</f>
        <v>#REF!</v>
      </c>
      <c r="J731" s="928"/>
      <c r="K731" s="928"/>
      <c r="L731" s="928"/>
      <c r="M731" s="928"/>
      <c r="N731" s="928"/>
      <c r="O731" s="928" t="e">
        <f t="shared" si="96"/>
        <v>#REF!</v>
      </c>
      <c r="P731" s="700" t="s">
        <v>42</v>
      </c>
    </row>
    <row r="732" spans="2:16" ht="18" customHeight="1">
      <c r="B732" s="193" t="str">
        <f>C725&amp;"계"</f>
        <v>계</v>
      </c>
      <c r="C732" s="683"/>
      <c r="D732" s="928" t="s">
        <v>96</v>
      </c>
      <c r="E732" s="928"/>
      <c r="F732" s="928"/>
      <c r="G732" s="928"/>
      <c r="H732" s="928"/>
      <c r="I732" s="708" t="e">
        <f>SUM(I727:I731)</f>
        <v>#REF!</v>
      </c>
      <c r="J732" s="708"/>
      <c r="K732" s="708" t="e">
        <f>SUM(K727:K731)</f>
        <v>#REF!</v>
      </c>
      <c r="L732" s="928"/>
      <c r="M732" s="708" t="e">
        <f>SUM(M727:M731)</f>
        <v>#REF!</v>
      </c>
      <c r="N732" s="928"/>
      <c r="O732" s="928" t="e">
        <f t="shared" si="96"/>
        <v>#REF!</v>
      </c>
      <c r="P732" s="685"/>
    </row>
    <row r="733" spans="2:16" ht="18" customHeight="1">
      <c r="C733" s="683"/>
      <c r="D733" s="928"/>
      <c r="E733" s="928"/>
      <c r="F733" s="928"/>
      <c r="G733" s="928"/>
      <c r="H733" s="928"/>
      <c r="I733" s="708"/>
      <c r="J733" s="708"/>
      <c r="K733" s="708"/>
      <c r="L733" s="928"/>
      <c r="M733" s="708"/>
      <c r="N733" s="928"/>
      <c r="O733" s="928"/>
      <c r="P733" s="685"/>
    </row>
    <row r="734" spans="2:16" ht="18" customHeight="1">
      <c r="C734" s="683"/>
      <c r="D734" s="928"/>
      <c r="E734" s="928"/>
      <c r="F734" s="928"/>
      <c r="G734" s="928"/>
      <c r="H734" s="928"/>
      <c r="I734" s="708"/>
      <c r="J734" s="708"/>
      <c r="K734" s="708"/>
      <c r="L734" s="928"/>
      <c r="M734" s="708"/>
      <c r="N734" s="928"/>
      <c r="O734" s="928"/>
      <c r="P734" s="685"/>
    </row>
    <row r="735" spans="2:16" ht="18" customHeight="1">
      <c r="C735" s="683"/>
      <c r="D735" s="928"/>
      <c r="E735" s="928"/>
      <c r="F735" s="928"/>
      <c r="G735" s="928"/>
      <c r="H735" s="928"/>
      <c r="I735" s="708"/>
      <c r="J735" s="708"/>
      <c r="K735" s="708"/>
      <c r="L735" s="928"/>
      <c r="M735" s="708"/>
      <c r="N735" s="928"/>
      <c r="O735" s="928"/>
      <c r="P735" s="685"/>
    </row>
    <row r="736" spans="2:16" ht="18" customHeight="1">
      <c r="C736" s="683"/>
      <c r="D736" s="928"/>
      <c r="E736" s="928"/>
      <c r="F736" s="928"/>
      <c r="G736" s="928"/>
      <c r="H736" s="928"/>
      <c r="I736" s="708"/>
      <c r="J736" s="708"/>
      <c r="K736" s="708"/>
      <c r="L736" s="928"/>
      <c r="M736" s="708"/>
      <c r="N736" s="928"/>
      <c r="O736" s="928"/>
      <c r="P736" s="685"/>
    </row>
    <row r="737" spans="2:16" ht="18" customHeight="1">
      <c r="C737" s="683"/>
      <c r="D737" s="928"/>
      <c r="E737" s="928"/>
      <c r="F737" s="928"/>
      <c r="G737" s="928"/>
      <c r="H737" s="928"/>
      <c r="I737" s="708"/>
      <c r="J737" s="708"/>
      <c r="K737" s="708"/>
      <c r="L737" s="928"/>
      <c r="M737" s="708"/>
      <c r="N737" s="928"/>
      <c r="O737" s="928"/>
      <c r="P737" s="685"/>
    </row>
    <row r="738" spans="2:16" ht="18" customHeight="1">
      <c r="C738" s="691"/>
      <c r="D738" s="692"/>
      <c r="E738" s="692"/>
      <c r="F738" s="692"/>
      <c r="G738" s="692"/>
      <c r="H738" s="692"/>
      <c r="I738" s="709"/>
      <c r="J738" s="709"/>
      <c r="K738" s="709"/>
      <c r="L738" s="692"/>
      <c r="M738" s="709"/>
      <c r="N738" s="692"/>
      <c r="O738" s="692"/>
      <c r="P738" s="693"/>
    </row>
    <row r="739" spans="2:16" ht="18" customHeight="1">
      <c r="B739" s="193">
        <f>C739</f>
        <v>0</v>
      </c>
      <c r="C739" s="680"/>
      <c r="D739" s="681" t="e">
        <f>D740</f>
        <v>#REF!</v>
      </c>
      <c r="E739" s="681" t="e">
        <f>E740</f>
        <v>#REF!</v>
      </c>
      <c r="F739" s="681" t="e">
        <f>F740</f>
        <v>#REF!</v>
      </c>
      <c r="G739" s="681"/>
      <c r="H739" s="681"/>
      <c r="I739" s="681"/>
      <c r="J739" s="681"/>
      <c r="K739" s="681"/>
      <c r="L739" s="681"/>
      <c r="M739" s="681"/>
      <c r="N739" s="681"/>
      <c r="O739" s="681"/>
      <c r="P739" s="682"/>
    </row>
    <row r="740" spans="2:16" ht="18" customHeight="1">
      <c r="B740" s="193" t="e">
        <f>#REF!</f>
        <v>#REF!</v>
      </c>
      <c r="C740" s="683"/>
      <c r="D740" s="928" t="e">
        <f>VLOOKUP($B740,#REF!,2,FALSE)</f>
        <v>#REF!</v>
      </c>
      <c r="E740" s="928" t="e">
        <f>VLOOKUP($B740,#REF!,3,FALSE)</f>
        <v>#REF!</v>
      </c>
      <c r="F740" s="699" t="e">
        <f>VLOOKUP($B740,#REF!,4,FALSE)</f>
        <v>#REF!</v>
      </c>
      <c r="G740" s="684">
        <v>1</v>
      </c>
      <c r="H740" s="928"/>
      <c r="I740" s="928"/>
      <c r="J740" s="928"/>
      <c r="K740" s="928"/>
      <c r="L740" s="928"/>
      <c r="M740" s="928"/>
      <c r="N740" s="928"/>
      <c r="O740" s="928"/>
      <c r="P740" s="700"/>
    </row>
    <row r="741" spans="2:16" ht="18" customHeight="1">
      <c r="B741" s="193" t="e">
        <f>#REF!</f>
        <v>#REF!</v>
      </c>
      <c r="C741" s="683"/>
      <c r="D741" s="928" t="e">
        <f>VLOOKUP($B741,#REF!,2,FALSE)</f>
        <v>#REF!</v>
      </c>
      <c r="E741" s="928" t="e">
        <f>VLOOKUP($B741,#REF!,3,FALSE)</f>
        <v>#REF!</v>
      </c>
      <c r="F741" s="699" t="s">
        <v>1037</v>
      </c>
      <c r="G741" s="684">
        <f>1.96*0.8</f>
        <v>1.5680000000000001</v>
      </c>
      <c r="H741" s="928" t="e">
        <f>#REF!</f>
        <v>#REF!</v>
      </c>
      <c r="I741" s="928" t="e">
        <f>INT(G741*H741)</f>
        <v>#REF!</v>
      </c>
      <c r="J741" s="928" t="e">
        <f>#REF!</f>
        <v>#REF!</v>
      </c>
      <c r="K741" s="928" t="e">
        <f>INT(G741*J741)</f>
        <v>#REF!</v>
      </c>
      <c r="L741" s="928" t="e">
        <f>#REF!</f>
        <v>#REF!</v>
      </c>
      <c r="M741" s="928" t="e">
        <f>INT(G741*L741)</f>
        <v>#REF!</v>
      </c>
      <c r="N741" s="928"/>
      <c r="O741" s="928" t="e">
        <f t="shared" ref="O741:O746" si="98">INT(I741+K741+M741)</f>
        <v>#REF!</v>
      </c>
      <c r="P741" s="700" t="s">
        <v>1067</v>
      </c>
    </row>
    <row r="742" spans="2:16" ht="18" customHeight="1">
      <c r="B742" s="193" t="e">
        <f>#REF!</f>
        <v>#REF!</v>
      </c>
      <c r="C742" s="683"/>
      <c r="D742" s="928" t="e">
        <f>VLOOKUP($B742,#REF!,2,FALSE)</f>
        <v>#REF!</v>
      </c>
      <c r="E742" s="928" t="e">
        <f>VLOOKUP($B742,#REF!,3,FALSE)</f>
        <v>#REF!</v>
      </c>
      <c r="F742" s="699" t="s">
        <v>1037</v>
      </c>
      <c r="G742" s="684">
        <f>G741</f>
        <v>1.5680000000000001</v>
      </c>
      <c r="H742" s="928" t="e">
        <f>#REF!</f>
        <v>#REF!</v>
      </c>
      <c r="I742" s="928" t="e">
        <f>INT(G742*H742)</f>
        <v>#REF!</v>
      </c>
      <c r="J742" s="928" t="e">
        <f>#REF!</f>
        <v>#REF!</v>
      </c>
      <c r="K742" s="928" t="e">
        <f>INT(G742*J742)</f>
        <v>#REF!</v>
      </c>
      <c r="L742" s="928" t="e">
        <f>#REF!</f>
        <v>#REF!</v>
      </c>
      <c r="M742" s="928" t="e">
        <f>INT(G742*L742)</f>
        <v>#REF!</v>
      </c>
      <c r="N742" s="928"/>
      <c r="O742" s="928" t="e">
        <f t="shared" si="98"/>
        <v>#REF!</v>
      </c>
      <c r="P742" s="700" t="s">
        <v>1067</v>
      </c>
    </row>
    <row r="743" spans="2:16" ht="18" customHeight="1">
      <c r="C743" s="690"/>
      <c r="D743" s="928" t="s">
        <v>40</v>
      </c>
      <c r="E743" s="684" t="s">
        <v>1120</v>
      </c>
      <c r="F743" s="928" t="s">
        <v>47</v>
      </c>
      <c r="G743" s="701">
        <f t="shared" ref="G743:G744" si="99">ROUNDDOWN(dhTextEvaluate(E743),3)</f>
        <v>0.78400000000000003</v>
      </c>
      <c r="H743" s="928"/>
      <c r="I743" s="928">
        <f>INT(G743*H743)</f>
        <v>0</v>
      </c>
      <c r="J743" s="928" t="e">
        <f>VLOOKUP($D743,#REF!,2,FALSE)</f>
        <v>#REF!</v>
      </c>
      <c r="K743" s="928" t="e">
        <f>INT(G743*J743)</f>
        <v>#REF!</v>
      </c>
      <c r="L743" s="1606" t="s">
        <v>1122</v>
      </c>
      <c r="M743" s="1606"/>
      <c r="N743" s="928"/>
      <c r="O743" s="928" t="e">
        <f t="shared" si="98"/>
        <v>#REF!</v>
      </c>
      <c r="P743" s="700" t="s">
        <v>1067</v>
      </c>
    </row>
    <row r="744" spans="2:16" ht="18" customHeight="1">
      <c r="C744" s="690"/>
      <c r="D744" s="928" t="s">
        <v>45</v>
      </c>
      <c r="E744" s="684" t="s">
        <v>1121</v>
      </c>
      <c r="F744" s="928" t="s">
        <v>47</v>
      </c>
      <c r="G744" s="701">
        <f t="shared" si="99"/>
        <v>0.6</v>
      </c>
      <c r="H744" s="928"/>
      <c r="I744" s="928">
        <f>INT(G744*H744)</f>
        <v>0</v>
      </c>
      <c r="J744" s="928" t="e">
        <f>VLOOKUP($D744,#REF!,2,FALSE)</f>
        <v>#REF!</v>
      </c>
      <c r="K744" s="928" t="e">
        <f>INT(G744*J744)</f>
        <v>#REF!</v>
      </c>
      <c r="L744" s="1606" t="str">
        <f>L743</f>
        <v>재사용철거:0.8</v>
      </c>
      <c r="M744" s="1606"/>
      <c r="N744" s="928"/>
      <c r="O744" s="928" t="e">
        <f t="shared" si="98"/>
        <v>#REF!</v>
      </c>
      <c r="P744" s="700" t="s">
        <v>1067</v>
      </c>
    </row>
    <row r="745" spans="2:16" ht="18" customHeight="1">
      <c r="C745" s="683"/>
      <c r="D745" s="928" t="s">
        <v>104</v>
      </c>
      <c r="E745" s="928" t="s">
        <v>41</v>
      </c>
      <c r="F745" s="699" t="s">
        <v>100</v>
      </c>
      <c r="G745" s="684">
        <v>1</v>
      </c>
      <c r="H745" s="928" t="e">
        <f>INT(SUM(K743:K744)*0.03)</f>
        <v>#REF!</v>
      </c>
      <c r="I745" s="928" t="e">
        <f>INT(G745*H745)</f>
        <v>#REF!</v>
      </c>
      <c r="J745" s="928"/>
      <c r="K745" s="928"/>
      <c r="L745" s="928"/>
      <c r="M745" s="928"/>
      <c r="N745" s="928"/>
      <c r="O745" s="928" t="e">
        <f t="shared" si="98"/>
        <v>#REF!</v>
      </c>
      <c r="P745" s="700" t="s">
        <v>42</v>
      </c>
    </row>
    <row r="746" spans="2:16" ht="18" customHeight="1">
      <c r="B746" s="193" t="str">
        <f>C739&amp;"계"</f>
        <v>계</v>
      </c>
      <c r="C746" s="683"/>
      <c r="D746" s="928" t="s">
        <v>96</v>
      </c>
      <c r="E746" s="928"/>
      <c r="F746" s="928"/>
      <c r="G746" s="928"/>
      <c r="H746" s="928"/>
      <c r="I746" s="708" t="e">
        <f>SUM(I741:I745)</f>
        <v>#REF!</v>
      </c>
      <c r="J746" s="708"/>
      <c r="K746" s="708" t="e">
        <f>SUM(K741:K745)</f>
        <v>#REF!</v>
      </c>
      <c r="L746" s="928"/>
      <c r="M746" s="708" t="e">
        <f>SUM(M741:M745)</f>
        <v>#REF!</v>
      </c>
      <c r="N746" s="928"/>
      <c r="O746" s="928" t="e">
        <f t="shared" si="98"/>
        <v>#REF!</v>
      </c>
      <c r="P746" s="685"/>
    </row>
    <row r="747" spans="2:16" ht="18" customHeight="1">
      <c r="C747" s="683"/>
      <c r="D747" s="928"/>
      <c r="E747" s="928"/>
      <c r="F747" s="928"/>
      <c r="G747" s="928"/>
      <c r="H747" s="928"/>
      <c r="I747" s="708"/>
      <c r="J747" s="708"/>
      <c r="K747" s="708"/>
      <c r="L747" s="928"/>
      <c r="M747" s="708"/>
      <c r="N747" s="928"/>
      <c r="O747" s="928"/>
      <c r="P747" s="685"/>
    </row>
    <row r="748" spans="2:16" ht="18" customHeight="1">
      <c r="B748" s="193">
        <f>C748</f>
        <v>0</v>
      </c>
      <c r="C748" s="690"/>
      <c r="D748" s="928" t="e">
        <f>D749</f>
        <v>#REF!</v>
      </c>
      <c r="E748" s="928" t="e">
        <f>E749</f>
        <v>#REF!</v>
      </c>
      <c r="F748" s="928" t="e">
        <f>F749</f>
        <v>#REF!</v>
      </c>
      <c r="G748" s="928"/>
      <c r="H748" s="928"/>
      <c r="I748" s="928"/>
      <c r="J748" s="928"/>
      <c r="K748" s="928"/>
      <c r="L748" s="928"/>
      <c r="M748" s="928"/>
      <c r="N748" s="928"/>
      <c r="O748" s="928"/>
      <c r="P748" s="685"/>
    </row>
    <row r="749" spans="2:16" ht="18" customHeight="1">
      <c r="B749" s="193" t="e">
        <f>#REF!</f>
        <v>#REF!</v>
      </c>
      <c r="C749" s="683"/>
      <c r="D749" s="928" t="e">
        <f>VLOOKUP($B749,#REF!,2,FALSE)</f>
        <v>#REF!</v>
      </c>
      <c r="E749" s="928" t="e">
        <f>VLOOKUP($B749,#REF!,3,FALSE)</f>
        <v>#REF!</v>
      </c>
      <c r="F749" s="699" t="e">
        <f>VLOOKUP($B749,#REF!,4,FALSE)</f>
        <v>#REF!</v>
      </c>
      <c r="G749" s="684">
        <v>1</v>
      </c>
      <c r="H749" s="928"/>
      <c r="I749" s="928"/>
      <c r="J749" s="928"/>
      <c r="K749" s="928"/>
      <c r="L749" s="928"/>
      <c r="M749" s="928"/>
      <c r="N749" s="928"/>
      <c r="O749" s="928"/>
      <c r="P749" s="700"/>
    </row>
    <row r="750" spans="2:16" ht="18" customHeight="1">
      <c r="C750" s="690"/>
      <c r="D750" s="928" t="s">
        <v>40</v>
      </c>
      <c r="E750" s="684" t="s">
        <v>1228</v>
      </c>
      <c r="F750" s="928" t="s">
        <v>47</v>
      </c>
      <c r="G750" s="701">
        <f t="shared" ref="G750:G751" si="100">ROUNDDOWN(dhTextEvaluate(E750),3)</f>
        <v>0.96</v>
      </c>
      <c r="H750" s="928"/>
      <c r="I750" s="928">
        <f>INT(G750*H750)</f>
        <v>0</v>
      </c>
      <c r="J750" s="928" t="e">
        <f>VLOOKUP($D750,#REF!,2,FALSE)</f>
        <v>#REF!</v>
      </c>
      <c r="K750" s="928" t="e">
        <f>INT(G750*J750)</f>
        <v>#REF!</v>
      </c>
      <c r="L750" s="1606" t="s">
        <v>1122</v>
      </c>
      <c r="M750" s="1606"/>
      <c r="N750" s="928"/>
      <c r="O750" s="928" t="e">
        <f t="shared" ref="O750:O753" si="101">INT(I750+K750+M750)</f>
        <v>#REF!</v>
      </c>
      <c r="P750" s="700" t="s">
        <v>1230</v>
      </c>
    </row>
    <row r="751" spans="2:16" ht="18" customHeight="1">
      <c r="C751" s="690"/>
      <c r="D751" s="928" t="s">
        <v>45</v>
      </c>
      <c r="E751" s="684" t="s">
        <v>1229</v>
      </c>
      <c r="F751" s="928" t="s">
        <v>47</v>
      </c>
      <c r="G751" s="701">
        <f t="shared" si="100"/>
        <v>0.64</v>
      </c>
      <c r="H751" s="928"/>
      <c r="I751" s="928">
        <f>INT(G751*H751)</f>
        <v>0</v>
      </c>
      <c r="J751" s="928" t="e">
        <f>VLOOKUP($D751,#REF!,2,FALSE)</f>
        <v>#REF!</v>
      </c>
      <c r="K751" s="928" t="e">
        <f>INT(G751*J751)</f>
        <v>#REF!</v>
      </c>
      <c r="L751" s="1606" t="str">
        <f>L750</f>
        <v>재사용철거:0.8</v>
      </c>
      <c r="M751" s="1606"/>
      <c r="N751" s="928"/>
      <c r="O751" s="928" t="e">
        <f t="shared" si="101"/>
        <v>#REF!</v>
      </c>
      <c r="P751" s="700" t="s">
        <v>1230</v>
      </c>
    </row>
    <row r="752" spans="2:16" ht="18" customHeight="1">
      <c r="C752" s="683"/>
      <c r="D752" s="928" t="s">
        <v>104</v>
      </c>
      <c r="E752" s="928" t="s">
        <v>41</v>
      </c>
      <c r="F752" s="699" t="s">
        <v>100</v>
      </c>
      <c r="G752" s="684">
        <v>1</v>
      </c>
      <c r="H752" s="928" t="e">
        <f>INT(SUM(K750:K751)*0.03)</f>
        <v>#REF!</v>
      </c>
      <c r="I752" s="928" t="e">
        <f>INT(G752*H752)</f>
        <v>#REF!</v>
      </c>
      <c r="J752" s="928"/>
      <c r="K752" s="928"/>
      <c r="L752" s="928"/>
      <c r="M752" s="928"/>
      <c r="N752" s="928"/>
      <c r="O752" s="928" t="e">
        <f t="shared" si="101"/>
        <v>#REF!</v>
      </c>
      <c r="P752" s="700" t="s">
        <v>42</v>
      </c>
    </row>
    <row r="753" spans="2:16" ht="18" customHeight="1">
      <c r="B753" s="193" t="str">
        <f>C748&amp;"계"</f>
        <v>계</v>
      </c>
      <c r="C753" s="683"/>
      <c r="D753" s="928" t="s">
        <v>96</v>
      </c>
      <c r="E753" s="928"/>
      <c r="F753" s="928"/>
      <c r="G753" s="928"/>
      <c r="H753" s="928"/>
      <c r="I753" s="708" t="e">
        <f>SUM(I750:I752)</f>
        <v>#REF!</v>
      </c>
      <c r="J753" s="708"/>
      <c r="K753" s="708" t="e">
        <f>SUM(K750:K752)</f>
        <v>#REF!</v>
      </c>
      <c r="L753" s="928"/>
      <c r="M753" s="708">
        <f>SUM(M750:M752)</f>
        <v>0</v>
      </c>
      <c r="N753" s="928"/>
      <c r="O753" s="928" t="e">
        <f t="shared" si="101"/>
        <v>#REF!</v>
      </c>
      <c r="P753" s="685"/>
    </row>
    <row r="754" spans="2:16" ht="18" customHeight="1">
      <c r="C754" s="683"/>
      <c r="D754" s="928"/>
      <c r="E754" s="928"/>
      <c r="F754" s="928"/>
      <c r="G754" s="928"/>
      <c r="H754" s="928"/>
      <c r="I754" s="708"/>
      <c r="J754" s="708"/>
      <c r="K754" s="708"/>
      <c r="L754" s="928"/>
      <c r="M754" s="708"/>
      <c r="N754" s="928"/>
      <c r="O754" s="928"/>
      <c r="P754" s="685"/>
    </row>
    <row r="755" spans="2:16" ht="18" customHeight="1">
      <c r="B755" s="193">
        <f>C755</f>
        <v>0</v>
      </c>
      <c r="C755" s="690"/>
      <c r="D755" s="928" t="e">
        <f>D756</f>
        <v>#REF!</v>
      </c>
      <c r="E755" s="928" t="e">
        <f>E756</f>
        <v>#REF!</v>
      </c>
      <c r="F755" s="928" t="e">
        <f>F756</f>
        <v>#REF!</v>
      </c>
      <c r="G755" s="928"/>
      <c r="H755" s="928"/>
      <c r="I755" s="928"/>
      <c r="J755" s="928"/>
      <c r="K755" s="928"/>
      <c r="L755" s="928"/>
      <c r="M755" s="928"/>
      <c r="N755" s="928"/>
      <c r="O755" s="928"/>
      <c r="P755" s="685"/>
    </row>
    <row r="756" spans="2:16" ht="18" customHeight="1">
      <c r="B756" s="193" t="e">
        <f>#REF!</f>
        <v>#REF!</v>
      </c>
      <c r="C756" s="683"/>
      <c r="D756" s="928" t="e">
        <f>VLOOKUP($B756,#REF!,2,FALSE)</f>
        <v>#REF!</v>
      </c>
      <c r="E756" s="928" t="e">
        <f>VLOOKUP($B756,#REF!,3,FALSE)</f>
        <v>#REF!</v>
      </c>
      <c r="F756" s="928" t="e">
        <f>VLOOKUP($B756,#REF!,4,FALSE)</f>
        <v>#REF!</v>
      </c>
      <c r="G756" s="928">
        <v>1</v>
      </c>
      <c r="H756" s="928"/>
      <c r="I756" s="928"/>
      <c r="J756" s="928"/>
      <c r="K756" s="928"/>
      <c r="L756" s="928"/>
      <c r="M756" s="928"/>
      <c r="N756" s="928"/>
      <c r="O756" s="928">
        <f>INT(I756+K756+M756)</f>
        <v>0</v>
      </c>
      <c r="P756" s="685"/>
    </row>
    <row r="757" spans="2:16" ht="18" customHeight="1">
      <c r="C757" s="683"/>
      <c r="D757" s="928" t="s">
        <v>40</v>
      </c>
      <c r="E757" s="696" t="s">
        <v>1123</v>
      </c>
      <c r="F757" s="928" t="s">
        <v>102</v>
      </c>
      <c r="G757" s="688">
        <f>ROUNDDOWN(dhTextEvaluate(E757),3)</f>
        <v>0.72</v>
      </c>
      <c r="H757" s="928"/>
      <c r="I757" s="928"/>
      <c r="J757" s="928" t="e">
        <f>VLOOKUP($D757,#REF!,2,FALSE)</f>
        <v>#REF!</v>
      </c>
      <c r="K757" s="928" t="e">
        <f>INT(G757*J757)</f>
        <v>#REF!</v>
      </c>
      <c r="L757" s="1606" t="s">
        <v>1122</v>
      </c>
      <c r="M757" s="1606"/>
      <c r="N757" s="928"/>
      <c r="O757" s="928" t="e">
        <f>INT(I757+K757+M757)</f>
        <v>#REF!</v>
      </c>
      <c r="P757" s="685" t="s">
        <v>1078</v>
      </c>
    </row>
    <row r="758" spans="2:16" ht="18" customHeight="1">
      <c r="C758" s="683"/>
      <c r="D758" s="928" t="s">
        <v>45</v>
      </c>
      <c r="E758" s="696" t="s">
        <v>1124</v>
      </c>
      <c r="F758" s="928" t="s">
        <v>102</v>
      </c>
      <c r="G758" s="688">
        <f>ROUNDDOWN(dhTextEvaluate(E758),3)</f>
        <v>0.64</v>
      </c>
      <c r="H758" s="928"/>
      <c r="I758" s="928"/>
      <c r="J758" s="928" t="e">
        <f>VLOOKUP($D758,#REF!,2,FALSE)</f>
        <v>#REF!</v>
      </c>
      <c r="K758" s="928" t="e">
        <f>INT(G758*J758)</f>
        <v>#REF!</v>
      </c>
      <c r="L758" s="1606" t="str">
        <f>L757</f>
        <v>재사용철거:0.8</v>
      </c>
      <c r="M758" s="1606"/>
      <c r="N758" s="928"/>
      <c r="O758" s="928" t="e">
        <f>INT(I758+K758+M758)</f>
        <v>#REF!</v>
      </c>
      <c r="P758" s="685" t="s">
        <v>1078</v>
      </c>
    </row>
    <row r="759" spans="2:16" ht="18" customHeight="1">
      <c r="C759" s="683"/>
      <c r="D759" s="928" t="s">
        <v>403</v>
      </c>
      <c r="E759" s="696" t="s">
        <v>41</v>
      </c>
      <c r="F759" s="928" t="s">
        <v>100</v>
      </c>
      <c r="G759" s="688">
        <v>1</v>
      </c>
      <c r="H759" s="928" t="e">
        <f>INT(SUM(K760)*0.03)</f>
        <v>#REF!</v>
      </c>
      <c r="I759" s="928" t="e">
        <f>INT(G759*H759)</f>
        <v>#REF!</v>
      </c>
      <c r="J759" s="928"/>
      <c r="K759" s="928"/>
      <c r="L759" s="928"/>
      <c r="M759" s="928"/>
      <c r="N759" s="928"/>
      <c r="O759" s="928" t="e">
        <f>INT(I759+K759+M759)</f>
        <v>#REF!</v>
      </c>
      <c r="P759" s="685" t="s">
        <v>42</v>
      </c>
    </row>
    <row r="760" spans="2:16" ht="18" customHeight="1">
      <c r="B760" s="193" t="str">
        <f>CONCATENATE(C755,D760)</f>
        <v>계</v>
      </c>
      <c r="C760" s="683"/>
      <c r="D760" s="928" t="s">
        <v>96</v>
      </c>
      <c r="E760" s="689"/>
      <c r="F760" s="928"/>
      <c r="G760" s="928"/>
      <c r="H760" s="928"/>
      <c r="I760" s="929" t="e">
        <f>SUM(I756:I759)</f>
        <v>#REF!</v>
      </c>
      <c r="J760" s="928"/>
      <c r="K760" s="928" t="e">
        <f>SUM(K756:K759)</f>
        <v>#REF!</v>
      </c>
      <c r="L760" s="928"/>
      <c r="M760" s="928">
        <f>SUM(M756:M759)</f>
        <v>0</v>
      </c>
      <c r="N760" s="928"/>
      <c r="O760" s="928" t="e">
        <f>INT(I760+K760+M760)</f>
        <v>#REF!</v>
      </c>
      <c r="P760" s="685"/>
    </row>
    <row r="761" spans="2:16" ht="18" customHeight="1">
      <c r="C761" s="691"/>
      <c r="D761" s="692"/>
      <c r="E761" s="692"/>
      <c r="F761" s="692"/>
      <c r="G761" s="692"/>
      <c r="H761" s="692"/>
      <c r="I761" s="692"/>
      <c r="J761" s="692"/>
      <c r="K761" s="692"/>
      <c r="L761" s="692"/>
      <c r="M761" s="692"/>
      <c r="N761" s="692"/>
      <c r="O761" s="692"/>
      <c r="P761" s="693"/>
    </row>
    <row r="762" spans="2:16" ht="18" customHeight="1">
      <c r="B762" s="193">
        <f>C762</f>
        <v>0</v>
      </c>
      <c r="C762" s="680"/>
      <c r="D762" s="681" t="e">
        <f>D763</f>
        <v>#REF!</v>
      </c>
      <c r="E762" s="681" t="e">
        <f>E763</f>
        <v>#REF!</v>
      </c>
      <c r="F762" s="681" t="e">
        <f>F763</f>
        <v>#REF!</v>
      </c>
      <c r="G762" s="681"/>
      <c r="H762" s="681"/>
      <c r="I762" s="681"/>
      <c r="J762" s="681"/>
      <c r="K762" s="681"/>
      <c r="L762" s="681"/>
      <c r="M762" s="681"/>
      <c r="N762" s="681"/>
      <c r="O762" s="681"/>
      <c r="P762" s="682"/>
    </row>
    <row r="763" spans="2:16" ht="18" customHeight="1">
      <c r="B763" s="193" t="e">
        <f>#REF!</f>
        <v>#REF!</v>
      </c>
      <c r="C763" s="683"/>
      <c r="D763" s="928" t="e">
        <f>VLOOKUP($B763,#REF!,2,FALSE)</f>
        <v>#REF!</v>
      </c>
      <c r="E763" s="928" t="e">
        <f>VLOOKUP($B763,#REF!,3,FALSE)</f>
        <v>#REF!</v>
      </c>
      <c r="F763" s="928" t="e">
        <f>VLOOKUP($B763,#REF!,4,FALSE)</f>
        <v>#REF!</v>
      </c>
      <c r="G763" s="928">
        <v>1</v>
      </c>
      <c r="H763" s="928"/>
      <c r="I763" s="928"/>
      <c r="J763" s="928"/>
      <c r="K763" s="928"/>
      <c r="L763" s="928"/>
      <c r="M763" s="928"/>
      <c r="N763" s="928"/>
      <c r="O763" s="928">
        <f>INT(I763+K763+M763)</f>
        <v>0</v>
      </c>
      <c r="P763" s="685"/>
    </row>
    <row r="764" spans="2:16" ht="18" customHeight="1">
      <c r="C764" s="683"/>
      <c r="D764" s="928" t="s">
        <v>40</v>
      </c>
      <c r="E764" s="696" t="s">
        <v>1123</v>
      </c>
      <c r="F764" s="928" t="s">
        <v>102</v>
      </c>
      <c r="G764" s="688">
        <f>ROUNDDOWN(dhTextEvaluate(E764),3)</f>
        <v>0.72</v>
      </c>
      <c r="H764" s="928"/>
      <c r="I764" s="928"/>
      <c r="J764" s="928" t="e">
        <f>VLOOKUP($D764,#REF!,2,FALSE)</f>
        <v>#REF!</v>
      </c>
      <c r="K764" s="928" t="e">
        <f>INT(G764*J764)</f>
        <v>#REF!</v>
      </c>
      <c r="L764" s="1606" t="s">
        <v>1122</v>
      </c>
      <c r="M764" s="1606"/>
      <c r="N764" s="928"/>
      <c r="O764" s="928" t="e">
        <f>INT(I764+K764+M764)</f>
        <v>#REF!</v>
      </c>
      <c r="P764" s="685" t="s">
        <v>1078</v>
      </c>
    </row>
    <row r="765" spans="2:16" ht="18" customHeight="1">
      <c r="C765" s="683"/>
      <c r="D765" s="928" t="s">
        <v>45</v>
      </c>
      <c r="E765" s="696" t="s">
        <v>1124</v>
      </c>
      <c r="F765" s="928" t="s">
        <v>102</v>
      </c>
      <c r="G765" s="688">
        <f>ROUNDDOWN(dhTextEvaluate(E765),3)</f>
        <v>0.64</v>
      </c>
      <c r="H765" s="928"/>
      <c r="I765" s="928"/>
      <c r="J765" s="928" t="e">
        <f>VLOOKUP($D765,#REF!,2,FALSE)</f>
        <v>#REF!</v>
      </c>
      <c r="K765" s="928" t="e">
        <f>INT(G765*J765)</f>
        <v>#REF!</v>
      </c>
      <c r="L765" s="1606" t="str">
        <f>L764</f>
        <v>재사용철거:0.8</v>
      </c>
      <c r="M765" s="1606"/>
      <c r="N765" s="928"/>
      <c r="O765" s="928" t="e">
        <f>INT(I765+K765+M765)</f>
        <v>#REF!</v>
      </c>
      <c r="P765" s="685" t="s">
        <v>1078</v>
      </c>
    </row>
    <row r="766" spans="2:16" ht="18" customHeight="1">
      <c r="C766" s="683"/>
      <c r="D766" s="928" t="s">
        <v>403</v>
      </c>
      <c r="E766" s="696" t="s">
        <v>41</v>
      </c>
      <c r="F766" s="928" t="s">
        <v>100</v>
      </c>
      <c r="G766" s="688">
        <v>1</v>
      </c>
      <c r="H766" s="928" t="e">
        <f>INT(SUM(K767)*0.03)</f>
        <v>#REF!</v>
      </c>
      <c r="I766" s="928" t="e">
        <f>INT(G766*H766)</f>
        <v>#REF!</v>
      </c>
      <c r="J766" s="928"/>
      <c r="K766" s="928"/>
      <c r="L766" s="928"/>
      <c r="M766" s="928"/>
      <c r="N766" s="928"/>
      <c r="O766" s="928" t="e">
        <f>INT(I766+K766+M766)</f>
        <v>#REF!</v>
      </c>
      <c r="P766" s="685" t="s">
        <v>42</v>
      </c>
    </row>
    <row r="767" spans="2:16" ht="18" customHeight="1">
      <c r="B767" s="193" t="str">
        <f>CONCATENATE(C762,D767)</f>
        <v>계</v>
      </c>
      <c r="C767" s="683"/>
      <c r="D767" s="928" t="s">
        <v>96</v>
      </c>
      <c r="E767" s="689"/>
      <c r="F767" s="928"/>
      <c r="G767" s="928"/>
      <c r="H767" s="928"/>
      <c r="I767" s="929" t="e">
        <f>SUM(I763:I766)</f>
        <v>#REF!</v>
      </c>
      <c r="J767" s="928"/>
      <c r="K767" s="928" t="e">
        <f>SUM(K763:K766)</f>
        <v>#REF!</v>
      </c>
      <c r="L767" s="928"/>
      <c r="M767" s="928">
        <f>SUM(M763:M766)</f>
        <v>0</v>
      </c>
      <c r="N767" s="928"/>
      <c r="O767" s="928" t="e">
        <f>INT(I767+K767+M767)</f>
        <v>#REF!</v>
      </c>
      <c r="P767" s="685"/>
    </row>
    <row r="768" spans="2:16" ht="18" customHeight="1">
      <c r="C768" s="683"/>
      <c r="D768" s="928"/>
      <c r="E768" s="928"/>
      <c r="F768" s="928"/>
      <c r="G768" s="928"/>
      <c r="H768" s="928"/>
      <c r="I768" s="928"/>
      <c r="J768" s="928"/>
      <c r="K768" s="928"/>
      <c r="L768" s="928"/>
      <c r="M768" s="928"/>
      <c r="N768" s="928"/>
      <c r="O768" s="928"/>
      <c r="P768" s="685"/>
    </row>
    <row r="769" spans="2:16" ht="18" customHeight="1">
      <c r="B769" s="193">
        <f>C769</f>
        <v>0</v>
      </c>
      <c r="C769" s="690"/>
      <c r="D769" s="928" t="e">
        <f>D770</f>
        <v>#REF!</v>
      </c>
      <c r="E769" s="928" t="e">
        <f>E770</f>
        <v>#REF!</v>
      </c>
      <c r="F769" s="928" t="e">
        <f>F770</f>
        <v>#REF!</v>
      </c>
      <c r="G769" s="928"/>
      <c r="H769" s="928"/>
      <c r="I769" s="928"/>
      <c r="J769" s="928"/>
      <c r="K769" s="928"/>
      <c r="L769" s="928"/>
      <c r="M769" s="928"/>
      <c r="N769" s="928"/>
      <c r="O769" s="928"/>
      <c r="P769" s="685"/>
    </row>
    <row r="770" spans="2:16" ht="18" customHeight="1">
      <c r="B770" s="193" t="e">
        <f>#REF!</f>
        <v>#REF!</v>
      </c>
      <c r="C770" s="683"/>
      <c r="D770" s="928" t="e">
        <f>VLOOKUP($B770,#REF!,2,FALSE)</f>
        <v>#REF!</v>
      </c>
      <c r="E770" s="928" t="e">
        <f>VLOOKUP($B770,#REF!,3,FALSE)</f>
        <v>#REF!</v>
      </c>
      <c r="F770" s="928" t="e">
        <f>VLOOKUP($B770,#REF!,4,FALSE)</f>
        <v>#REF!</v>
      </c>
      <c r="G770" s="928">
        <v>1</v>
      </c>
      <c r="H770" s="928"/>
      <c r="I770" s="928"/>
      <c r="J770" s="928"/>
      <c r="K770" s="928"/>
      <c r="L770" s="928"/>
      <c r="M770" s="928"/>
      <c r="N770" s="928"/>
      <c r="O770" s="928">
        <f>INT(I770+K770+M770)</f>
        <v>0</v>
      </c>
      <c r="P770" s="685"/>
    </row>
    <row r="771" spans="2:16" ht="18" customHeight="1">
      <c r="C771" s="683"/>
      <c r="D771" s="928" t="s">
        <v>40</v>
      </c>
      <c r="E771" s="696" t="s">
        <v>1125</v>
      </c>
      <c r="F771" s="928" t="s">
        <v>102</v>
      </c>
      <c r="G771" s="688">
        <f>ROUNDDOWN(dhTextEvaluate(E771),3)</f>
        <v>0.24</v>
      </c>
      <c r="H771" s="928"/>
      <c r="I771" s="928"/>
      <c r="J771" s="928" t="e">
        <f>VLOOKUP($D771,#REF!,2,FALSE)</f>
        <v>#REF!</v>
      </c>
      <c r="K771" s="928" t="e">
        <f>INT(G771*J771)</f>
        <v>#REF!</v>
      </c>
      <c r="L771" s="1606" t="s">
        <v>1122</v>
      </c>
      <c r="M771" s="1606"/>
      <c r="N771" s="928"/>
      <c r="O771" s="928" t="e">
        <f>INT(I771+K771+M771)</f>
        <v>#REF!</v>
      </c>
      <c r="P771" s="685" t="s">
        <v>1078</v>
      </c>
    </row>
    <row r="772" spans="2:16" ht="18" customHeight="1">
      <c r="C772" s="683"/>
      <c r="D772" s="928" t="s">
        <v>45</v>
      </c>
      <c r="E772" s="696" t="s">
        <v>1126</v>
      </c>
      <c r="F772" s="928" t="s">
        <v>102</v>
      </c>
      <c r="G772" s="688">
        <f>ROUNDDOWN(dhTextEvaluate(E772),3)</f>
        <v>0.16</v>
      </c>
      <c r="H772" s="928"/>
      <c r="I772" s="928"/>
      <c r="J772" s="928" t="e">
        <f>VLOOKUP($D772,#REF!,2,FALSE)</f>
        <v>#REF!</v>
      </c>
      <c r="K772" s="928" t="e">
        <f>INT(G772*J772)</f>
        <v>#REF!</v>
      </c>
      <c r="L772" s="1606" t="str">
        <f>L771</f>
        <v>재사용철거:0.8</v>
      </c>
      <c r="M772" s="1606"/>
      <c r="N772" s="928"/>
      <c r="O772" s="928" t="e">
        <f>INT(I772+K772+M772)</f>
        <v>#REF!</v>
      </c>
      <c r="P772" s="685" t="s">
        <v>1078</v>
      </c>
    </row>
    <row r="773" spans="2:16" ht="18" customHeight="1">
      <c r="C773" s="683"/>
      <c r="D773" s="928" t="s">
        <v>403</v>
      </c>
      <c r="E773" s="696" t="s">
        <v>41</v>
      </c>
      <c r="F773" s="928" t="s">
        <v>100</v>
      </c>
      <c r="G773" s="688">
        <v>1</v>
      </c>
      <c r="H773" s="928" t="e">
        <f>INT(SUM(K774)*0.03)</f>
        <v>#REF!</v>
      </c>
      <c r="I773" s="928" t="e">
        <f>INT(G773*H773)</f>
        <v>#REF!</v>
      </c>
      <c r="J773" s="928"/>
      <c r="K773" s="928"/>
      <c r="L773" s="928"/>
      <c r="M773" s="928"/>
      <c r="N773" s="928"/>
      <c r="O773" s="928" t="e">
        <f>INT(I773+K773+M773)</f>
        <v>#REF!</v>
      </c>
      <c r="P773" s="685" t="s">
        <v>42</v>
      </c>
    </row>
    <row r="774" spans="2:16" ht="18" customHeight="1">
      <c r="B774" s="193" t="str">
        <f>CONCATENATE(C769,D774)</f>
        <v>계</v>
      </c>
      <c r="C774" s="683"/>
      <c r="D774" s="928" t="s">
        <v>96</v>
      </c>
      <c r="E774" s="689"/>
      <c r="F774" s="928"/>
      <c r="G774" s="928"/>
      <c r="H774" s="928"/>
      <c r="I774" s="929" t="e">
        <f>SUM(I770:I773)</f>
        <v>#REF!</v>
      </c>
      <c r="J774" s="928"/>
      <c r="K774" s="928" t="e">
        <f>SUM(K770:K773)</f>
        <v>#REF!</v>
      </c>
      <c r="L774" s="928"/>
      <c r="M774" s="928">
        <f>SUM(M770:M773)</f>
        <v>0</v>
      </c>
      <c r="N774" s="928"/>
      <c r="O774" s="928" t="e">
        <f>INT(I774+K774+M774)</f>
        <v>#REF!</v>
      </c>
      <c r="P774" s="685"/>
    </row>
    <row r="775" spans="2:16" ht="18" customHeight="1">
      <c r="C775" s="683"/>
      <c r="D775" s="928"/>
      <c r="E775" s="928"/>
      <c r="F775" s="928"/>
      <c r="G775" s="928"/>
      <c r="H775" s="928"/>
      <c r="I775" s="928"/>
      <c r="J775" s="928"/>
      <c r="K775" s="928"/>
      <c r="L775" s="928"/>
      <c r="M775" s="928"/>
      <c r="N775" s="928"/>
      <c r="O775" s="928"/>
      <c r="P775" s="685"/>
    </row>
    <row r="776" spans="2:16" ht="18" customHeight="1">
      <c r="B776" s="193">
        <f>C776</f>
        <v>0</v>
      </c>
      <c r="C776" s="690"/>
      <c r="D776" s="928" t="e">
        <f>D777</f>
        <v>#REF!</v>
      </c>
      <c r="E776" s="928" t="e">
        <f>E777</f>
        <v>#REF!</v>
      </c>
      <c r="F776" s="928" t="e">
        <f>F777</f>
        <v>#REF!</v>
      </c>
      <c r="G776" s="928"/>
      <c r="H776" s="928"/>
      <c r="I776" s="928"/>
      <c r="J776" s="928"/>
      <c r="K776" s="928"/>
      <c r="L776" s="928"/>
      <c r="M776" s="928"/>
      <c r="N776" s="928"/>
      <c r="O776" s="928"/>
      <c r="P776" s="685"/>
    </row>
    <row r="777" spans="2:16" ht="18" customHeight="1">
      <c r="B777" s="193" t="e">
        <f>#REF!</f>
        <v>#REF!</v>
      </c>
      <c r="C777" s="683"/>
      <c r="D777" s="928" t="e">
        <f>VLOOKUP($B777,#REF!,2,FALSE)</f>
        <v>#REF!</v>
      </c>
      <c r="E777" s="928" t="e">
        <f>VLOOKUP($B777,#REF!,3,FALSE)</f>
        <v>#REF!</v>
      </c>
      <c r="F777" s="928" t="e">
        <f>VLOOKUP($B777,#REF!,4,FALSE)</f>
        <v>#REF!</v>
      </c>
      <c r="G777" s="928">
        <v>1</v>
      </c>
      <c r="H777" s="928" t="e">
        <f>VLOOKUP($B777,#REF!,11,FALSE)</f>
        <v>#REF!</v>
      </c>
      <c r="I777" s="928" t="e">
        <f>INT(G777*H777)</f>
        <v>#REF!</v>
      </c>
      <c r="J777" s="928"/>
      <c r="K777" s="928"/>
      <c r="L777" s="928"/>
      <c r="M777" s="928"/>
      <c r="N777" s="928"/>
      <c r="O777" s="928" t="e">
        <f>INT(I777+K777+M777)</f>
        <v>#REF!</v>
      </c>
      <c r="P777" s="685"/>
    </row>
    <row r="778" spans="2:16" ht="18" customHeight="1">
      <c r="C778" s="683"/>
      <c r="D778" s="928" t="s">
        <v>40</v>
      </c>
      <c r="E778" s="696" t="s">
        <v>1094</v>
      </c>
      <c r="F778" s="928" t="s">
        <v>102</v>
      </c>
      <c r="G778" s="688">
        <f>ROUNDDOWN(dhTextEvaluate(E778),3)</f>
        <v>0.45</v>
      </c>
      <c r="H778" s="928"/>
      <c r="I778" s="928"/>
      <c r="J778" s="928" t="e">
        <f>VLOOKUP($D778,#REF!,2,FALSE)</f>
        <v>#REF!</v>
      </c>
      <c r="K778" s="928" t="e">
        <f>INT(G778*J778)</f>
        <v>#REF!</v>
      </c>
      <c r="L778" s="1606" t="s">
        <v>1088</v>
      </c>
      <c r="M778" s="1606"/>
      <c r="N778" s="928"/>
      <c r="O778" s="928" t="e">
        <f>INT(I778+K778+M778)</f>
        <v>#REF!</v>
      </c>
      <c r="P778" s="685" t="s">
        <v>1078</v>
      </c>
    </row>
    <row r="779" spans="2:16" ht="18" customHeight="1">
      <c r="C779" s="683"/>
      <c r="D779" s="928" t="s">
        <v>1073</v>
      </c>
      <c r="E779" s="696" t="s">
        <v>1095</v>
      </c>
      <c r="F779" s="928" t="s">
        <v>102</v>
      </c>
      <c r="G779" s="688">
        <f>ROUNDDOWN(dhTextEvaluate(E779),3)</f>
        <v>0.4</v>
      </c>
      <c r="H779" s="928"/>
      <c r="I779" s="928"/>
      <c r="J779" s="928" t="e">
        <f>VLOOKUP($D779,#REF!,2,FALSE)</f>
        <v>#REF!</v>
      </c>
      <c r="K779" s="928" t="e">
        <f>INT(G779*J779)</f>
        <v>#REF!</v>
      </c>
      <c r="L779" s="1606" t="s">
        <v>1088</v>
      </c>
      <c r="M779" s="1606"/>
      <c r="N779" s="928"/>
      <c r="O779" s="928" t="e">
        <f>INT(I779+K779+M779)</f>
        <v>#REF!</v>
      </c>
      <c r="P779" s="685" t="s">
        <v>1078</v>
      </c>
    </row>
    <row r="780" spans="2:16" ht="18" customHeight="1">
      <c r="C780" s="683"/>
      <c r="D780" s="928" t="s">
        <v>403</v>
      </c>
      <c r="E780" s="696" t="s">
        <v>41</v>
      </c>
      <c r="F780" s="928" t="s">
        <v>100</v>
      </c>
      <c r="G780" s="688">
        <v>1</v>
      </c>
      <c r="H780" s="928" t="e">
        <f>INT(SUM(K781)*0.03)</f>
        <v>#REF!</v>
      </c>
      <c r="I780" s="928" t="e">
        <f>INT(G780*H780)</f>
        <v>#REF!</v>
      </c>
      <c r="J780" s="928"/>
      <c r="K780" s="928"/>
      <c r="L780" s="928"/>
      <c r="M780" s="928"/>
      <c r="N780" s="928"/>
      <c r="O780" s="928" t="e">
        <f>INT(I780+K780+M780)</f>
        <v>#REF!</v>
      </c>
      <c r="P780" s="685" t="s">
        <v>42</v>
      </c>
    </row>
    <row r="781" spans="2:16" ht="18" customHeight="1">
      <c r="B781" s="193" t="str">
        <f>CONCATENATE(C776,D781)</f>
        <v>계</v>
      </c>
      <c r="C781" s="683"/>
      <c r="D781" s="928" t="s">
        <v>96</v>
      </c>
      <c r="E781" s="689"/>
      <c r="F781" s="928"/>
      <c r="G781" s="928"/>
      <c r="H781" s="928"/>
      <c r="I781" s="929" t="e">
        <f>SUM(I777:I780)</f>
        <v>#REF!</v>
      </c>
      <c r="J781" s="928"/>
      <c r="K781" s="928" t="e">
        <f>SUM(K777:K780)</f>
        <v>#REF!</v>
      </c>
      <c r="L781" s="928"/>
      <c r="M781" s="928">
        <f>SUM(M777:M780)</f>
        <v>0</v>
      </c>
      <c r="N781" s="928"/>
      <c r="O781" s="928" t="e">
        <f>INT(I781+K781+M781)</f>
        <v>#REF!</v>
      </c>
      <c r="P781" s="685"/>
    </row>
    <row r="782" spans="2:16" ht="18" customHeight="1">
      <c r="C782" s="683"/>
      <c r="D782" s="928"/>
      <c r="E782" s="928"/>
      <c r="F782" s="928"/>
      <c r="G782" s="928"/>
      <c r="H782" s="928"/>
      <c r="I782" s="928"/>
      <c r="J782" s="928"/>
      <c r="K782" s="928"/>
      <c r="L782" s="928"/>
      <c r="M782" s="928"/>
      <c r="N782" s="928"/>
      <c r="O782" s="928"/>
      <c r="P782" s="685"/>
    </row>
    <row r="783" spans="2:16" ht="18" customHeight="1">
      <c r="C783" s="683"/>
      <c r="D783" s="928"/>
      <c r="E783" s="928"/>
      <c r="F783" s="928"/>
      <c r="G783" s="928"/>
      <c r="H783" s="928"/>
      <c r="I783" s="928"/>
      <c r="J783" s="928"/>
      <c r="K783" s="928"/>
      <c r="L783" s="928"/>
      <c r="M783" s="928"/>
      <c r="N783" s="928"/>
      <c r="O783" s="928"/>
      <c r="P783" s="685"/>
    </row>
    <row r="784" spans="2:16" ht="18" customHeight="1">
      <c r="C784" s="691"/>
      <c r="D784" s="692"/>
      <c r="E784" s="692"/>
      <c r="F784" s="692"/>
      <c r="G784" s="692"/>
      <c r="H784" s="692"/>
      <c r="I784" s="692"/>
      <c r="J784" s="692"/>
      <c r="K784" s="692"/>
      <c r="L784" s="692"/>
      <c r="M784" s="692"/>
      <c r="N784" s="692"/>
      <c r="O784" s="692"/>
      <c r="P784" s="693"/>
    </row>
    <row r="785" spans="2:16" ht="18" customHeight="1">
      <c r="B785" s="193">
        <f>C785</f>
        <v>0</v>
      </c>
      <c r="C785" s="680"/>
      <c r="D785" s="681" t="e">
        <f>D786</f>
        <v>#REF!</v>
      </c>
      <c r="E785" s="681" t="e">
        <f>E786</f>
        <v>#REF!</v>
      </c>
      <c r="F785" s="681" t="e">
        <f>F786</f>
        <v>#REF!</v>
      </c>
      <c r="G785" s="681"/>
      <c r="H785" s="681"/>
      <c r="I785" s="681"/>
      <c r="J785" s="681"/>
      <c r="K785" s="681"/>
      <c r="L785" s="681"/>
      <c r="M785" s="681"/>
      <c r="N785" s="681"/>
      <c r="O785" s="681"/>
      <c r="P785" s="682"/>
    </row>
    <row r="786" spans="2:16" ht="18" customHeight="1">
      <c r="B786" s="193" t="e">
        <f>#REF!</f>
        <v>#REF!</v>
      </c>
      <c r="C786" s="683"/>
      <c r="D786" s="928" t="e">
        <f>VLOOKUP($B786,#REF!,2,FALSE)</f>
        <v>#REF!</v>
      </c>
      <c r="E786" s="928" t="e">
        <f>VLOOKUP($B786,#REF!,3,FALSE)</f>
        <v>#REF!</v>
      </c>
      <c r="F786" s="928" t="e">
        <f>VLOOKUP($B786,#REF!,4,FALSE)</f>
        <v>#REF!</v>
      </c>
      <c r="G786" s="928">
        <v>1</v>
      </c>
      <c r="H786" s="928"/>
      <c r="I786" s="928"/>
      <c r="J786" s="928"/>
      <c r="K786" s="928"/>
      <c r="L786" s="928"/>
      <c r="M786" s="928"/>
      <c r="N786" s="928"/>
      <c r="O786" s="928">
        <f>INT(I786+K786+M786)</f>
        <v>0</v>
      </c>
      <c r="P786" s="685"/>
    </row>
    <row r="787" spans="2:16" ht="18" customHeight="1">
      <c r="C787" s="683"/>
      <c r="D787" s="928" t="s">
        <v>40</v>
      </c>
      <c r="E787" s="696" t="s">
        <v>1127</v>
      </c>
      <c r="F787" s="928" t="s">
        <v>102</v>
      </c>
      <c r="G787" s="688">
        <f>ROUNDDOWN(dhTextEvaluate(E787),3)</f>
        <v>0.104</v>
      </c>
      <c r="H787" s="928"/>
      <c r="I787" s="928"/>
      <c r="J787" s="928" t="e">
        <f>VLOOKUP($D787,#REF!,2,FALSE)</f>
        <v>#REF!</v>
      </c>
      <c r="K787" s="928" t="e">
        <f>INT(G787*J787)</f>
        <v>#REF!</v>
      </c>
      <c r="L787" s="1606" t="s">
        <v>1066</v>
      </c>
      <c r="M787" s="1606"/>
      <c r="N787" s="928"/>
      <c r="O787" s="928" t="e">
        <f>INT(I787+K787+M787)</f>
        <v>#REF!</v>
      </c>
      <c r="P787" s="685" t="s">
        <v>1079</v>
      </c>
    </row>
    <row r="788" spans="2:16" ht="18" customHeight="1">
      <c r="C788" s="683"/>
      <c r="D788" s="928" t="s">
        <v>403</v>
      </c>
      <c r="E788" s="696" t="s">
        <v>41</v>
      </c>
      <c r="F788" s="928" t="s">
        <v>100</v>
      </c>
      <c r="G788" s="688">
        <v>1</v>
      </c>
      <c r="H788" s="928" t="e">
        <f>INT(SUM(K789)*0.03)</f>
        <v>#REF!</v>
      </c>
      <c r="I788" s="928" t="e">
        <f>INT(G788*H788)</f>
        <v>#REF!</v>
      </c>
      <c r="J788" s="928"/>
      <c r="K788" s="928"/>
      <c r="L788" s="928"/>
      <c r="M788" s="928"/>
      <c r="N788" s="928"/>
      <c r="O788" s="928" t="e">
        <f>INT(I788+K788+M788)</f>
        <v>#REF!</v>
      </c>
      <c r="P788" s="685" t="s">
        <v>42</v>
      </c>
    </row>
    <row r="789" spans="2:16" ht="18" customHeight="1">
      <c r="B789" s="193" t="str">
        <f>CONCATENATE(C785,D789)</f>
        <v>계</v>
      </c>
      <c r="C789" s="683"/>
      <c r="D789" s="928" t="s">
        <v>96</v>
      </c>
      <c r="E789" s="689"/>
      <c r="F789" s="928"/>
      <c r="G789" s="928"/>
      <c r="H789" s="928"/>
      <c r="I789" s="929" t="e">
        <f>SUM(I786:I788)</f>
        <v>#REF!</v>
      </c>
      <c r="J789" s="928"/>
      <c r="K789" s="928" t="e">
        <f>SUM(K786:K788)</f>
        <v>#REF!</v>
      </c>
      <c r="L789" s="928"/>
      <c r="M789" s="928">
        <f>SUM(M786:M788)</f>
        <v>0</v>
      </c>
      <c r="N789" s="928"/>
      <c r="O789" s="928" t="e">
        <f>INT(I789+K789+M789)</f>
        <v>#REF!</v>
      </c>
      <c r="P789" s="685"/>
    </row>
    <row r="790" spans="2:16" ht="18" customHeight="1">
      <c r="C790" s="683"/>
      <c r="D790" s="928"/>
      <c r="E790" s="928"/>
      <c r="F790" s="928"/>
      <c r="G790" s="928"/>
      <c r="H790" s="928"/>
      <c r="I790" s="928"/>
      <c r="J790" s="928"/>
      <c r="K790" s="928"/>
      <c r="L790" s="928"/>
      <c r="M790" s="928"/>
      <c r="N790" s="928"/>
      <c r="O790" s="928"/>
      <c r="P790" s="685"/>
    </row>
    <row r="791" spans="2:16" ht="18" customHeight="1">
      <c r="B791" s="193">
        <f>C791</f>
        <v>0</v>
      </c>
      <c r="C791" s="690"/>
      <c r="D791" s="928" t="e">
        <f>D792</f>
        <v>#REF!</v>
      </c>
      <c r="E791" s="928" t="e">
        <f>E792</f>
        <v>#REF!</v>
      </c>
      <c r="F791" s="928" t="e">
        <f>F792</f>
        <v>#REF!</v>
      </c>
      <c r="G791" s="928"/>
      <c r="H791" s="928"/>
      <c r="I791" s="928"/>
      <c r="J791" s="928"/>
      <c r="K791" s="928"/>
      <c r="L791" s="928"/>
      <c r="M791" s="928"/>
      <c r="N791" s="928"/>
      <c r="O791" s="928"/>
      <c r="P791" s="685"/>
    </row>
    <row r="792" spans="2:16" ht="18" customHeight="1">
      <c r="B792" s="193" t="e">
        <f>#REF!</f>
        <v>#REF!</v>
      </c>
      <c r="C792" s="683"/>
      <c r="D792" s="928" t="e">
        <f>VLOOKUP($B792,#REF!,2,FALSE)</f>
        <v>#REF!</v>
      </c>
      <c r="E792" s="928" t="e">
        <f>VLOOKUP($B792,#REF!,3,FALSE)</f>
        <v>#REF!</v>
      </c>
      <c r="F792" s="699" t="e">
        <f>VLOOKUP($B792,#REF!,4,FALSE)</f>
        <v>#REF!</v>
      </c>
      <c r="G792" s="684">
        <v>1</v>
      </c>
      <c r="H792" s="928"/>
      <c r="I792" s="928"/>
      <c r="J792" s="928"/>
      <c r="K792" s="928"/>
      <c r="L792" s="928"/>
      <c r="M792" s="928"/>
      <c r="N792" s="928"/>
      <c r="O792" s="928"/>
      <c r="P792" s="700"/>
    </row>
    <row r="793" spans="2:16" ht="18" customHeight="1">
      <c r="B793" s="193" t="e">
        <f>#REF!</f>
        <v>#REF!</v>
      </c>
      <c r="C793" s="683"/>
      <c r="D793" s="928" t="e">
        <f>VLOOKUP($B793,#REF!,2,FALSE)</f>
        <v>#REF!</v>
      </c>
      <c r="E793" s="928" t="e">
        <f>VLOOKUP($B793,#REF!,3,FALSE)</f>
        <v>#REF!</v>
      </c>
      <c r="F793" s="699" t="s">
        <v>1037</v>
      </c>
      <c r="G793" s="684">
        <f>1.96*(1+0.4)*1.2*0.8</f>
        <v>2.6342400000000001</v>
      </c>
      <c r="H793" s="928" t="e">
        <f>#REF!</f>
        <v>#REF!</v>
      </c>
      <c r="I793" s="928" t="e">
        <f>INT(G793*H793)</f>
        <v>#REF!</v>
      </c>
      <c r="J793" s="928" t="e">
        <f>#REF!</f>
        <v>#REF!</v>
      </c>
      <c r="K793" s="928" t="e">
        <f>INT(G793*J793)</f>
        <v>#REF!</v>
      </c>
      <c r="L793" s="928" t="e">
        <f>#REF!</f>
        <v>#REF!</v>
      </c>
      <c r="M793" s="928" t="e">
        <f>INT(G793*L793)</f>
        <v>#REF!</v>
      </c>
      <c r="N793" s="928"/>
      <c r="O793" s="928" t="e">
        <f t="shared" ref="O793:O798" si="102">INT(I793+K793+M793)</f>
        <v>#REF!</v>
      </c>
      <c r="P793" s="700" t="s">
        <v>1067</v>
      </c>
    </row>
    <row r="794" spans="2:16" ht="18" customHeight="1">
      <c r="B794" s="193" t="e">
        <f>#REF!</f>
        <v>#REF!</v>
      </c>
      <c r="C794" s="683"/>
      <c r="D794" s="928" t="e">
        <f>VLOOKUP($B794,#REF!,2,FALSE)</f>
        <v>#REF!</v>
      </c>
      <c r="E794" s="928" t="e">
        <f>VLOOKUP($B794,#REF!,3,FALSE)</f>
        <v>#REF!</v>
      </c>
      <c r="F794" s="699" t="s">
        <v>1037</v>
      </c>
      <c r="G794" s="684">
        <f>G793</f>
        <v>2.6342400000000001</v>
      </c>
      <c r="H794" s="928" t="e">
        <f>#REF!</f>
        <v>#REF!</v>
      </c>
      <c r="I794" s="928" t="e">
        <f>INT(G794*H794)</f>
        <v>#REF!</v>
      </c>
      <c r="J794" s="928" t="e">
        <f>#REF!</f>
        <v>#REF!</v>
      </c>
      <c r="K794" s="928" t="e">
        <f>INT(G794*J794)</f>
        <v>#REF!</v>
      </c>
      <c r="L794" s="928" t="e">
        <f>#REF!</f>
        <v>#REF!</v>
      </c>
      <c r="M794" s="928" t="e">
        <f>INT(G794*L794)</f>
        <v>#REF!</v>
      </c>
      <c r="N794" s="928"/>
      <c r="O794" s="928" t="e">
        <f t="shared" si="102"/>
        <v>#REF!</v>
      </c>
      <c r="P794" s="700" t="s">
        <v>1067</v>
      </c>
    </row>
    <row r="795" spans="2:16" ht="18" customHeight="1">
      <c r="C795" s="690"/>
      <c r="D795" s="928" t="s">
        <v>40</v>
      </c>
      <c r="E795" s="684" t="s">
        <v>1170</v>
      </c>
      <c r="F795" s="928" t="s">
        <v>47</v>
      </c>
      <c r="G795" s="701">
        <f t="shared" ref="G795:G796" si="103">ROUNDDOWN(dhTextEvaluate(E795),3)</f>
        <v>1.6459999999999999</v>
      </c>
      <c r="H795" s="928"/>
      <c r="I795" s="928">
        <f>INT(G795*H795)</f>
        <v>0</v>
      </c>
      <c r="J795" s="928" t="e">
        <f>VLOOKUP($D795,#REF!,2,FALSE)</f>
        <v>#REF!</v>
      </c>
      <c r="K795" s="928" t="e">
        <f>INT(G795*J795)</f>
        <v>#REF!</v>
      </c>
      <c r="L795" s="1606" t="s">
        <v>1524</v>
      </c>
      <c r="M795" s="1606"/>
      <c r="N795" s="928"/>
      <c r="O795" s="928" t="e">
        <f t="shared" si="102"/>
        <v>#REF!</v>
      </c>
      <c r="P795" s="700" t="s">
        <v>1067</v>
      </c>
    </row>
    <row r="796" spans="2:16" ht="18" customHeight="1">
      <c r="C796" s="690"/>
      <c r="D796" s="928" t="s">
        <v>45</v>
      </c>
      <c r="E796" s="684" t="s">
        <v>1171</v>
      </c>
      <c r="F796" s="928" t="s">
        <v>47</v>
      </c>
      <c r="G796" s="701">
        <f t="shared" si="103"/>
        <v>1.26</v>
      </c>
      <c r="H796" s="928"/>
      <c r="I796" s="928">
        <f>INT(G796*H796)</f>
        <v>0</v>
      </c>
      <c r="J796" s="928" t="e">
        <f>VLOOKUP($D796,#REF!,2,FALSE)</f>
        <v>#REF!</v>
      </c>
      <c r="K796" s="928" t="e">
        <f>INT(G796*J796)</f>
        <v>#REF!</v>
      </c>
      <c r="L796" s="1606" t="str">
        <f>L795</f>
        <v>부착대추가:40%가산,9m이상:120%</v>
      </c>
      <c r="M796" s="1606"/>
      <c r="N796" s="928"/>
      <c r="O796" s="928" t="e">
        <f t="shared" si="102"/>
        <v>#REF!</v>
      </c>
      <c r="P796" s="700" t="s">
        <v>1067</v>
      </c>
    </row>
    <row r="797" spans="2:16" ht="18" customHeight="1">
      <c r="C797" s="683"/>
      <c r="D797" s="928" t="s">
        <v>104</v>
      </c>
      <c r="E797" s="928" t="s">
        <v>41</v>
      </c>
      <c r="F797" s="699" t="s">
        <v>100</v>
      </c>
      <c r="G797" s="684">
        <v>1</v>
      </c>
      <c r="H797" s="928" t="e">
        <f>INT(SUM(K795:K796)*0.03)</f>
        <v>#REF!</v>
      </c>
      <c r="I797" s="928" t="e">
        <f>INT(G797*H797)</f>
        <v>#REF!</v>
      </c>
      <c r="J797" s="928"/>
      <c r="K797" s="928"/>
      <c r="L797" s="928"/>
      <c r="M797" s="928"/>
      <c r="N797" s="928"/>
      <c r="O797" s="928" t="e">
        <f t="shared" si="102"/>
        <v>#REF!</v>
      </c>
      <c r="P797" s="700" t="s">
        <v>42</v>
      </c>
    </row>
    <row r="798" spans="2:16" ht="18" customHeight="1">
      <c r="B798" s="193" t="str">
        <f>C791&amp;"계"</f>
        <v>계</v>
      </c>
      <c r="C798" s="683"/>
      <c r="D798" s="928" t="s">
        <v>96</v>
      </c>
      <c r="E798" s="928"/>
      <c r="F798" s="928"/>
      <c r="G798" s="928"/>
      <c r="H798" s="928"/>
      <c r="I798" s="708" t="e">
        <f>SUM(I793:I797)</f>
        <v>#REF!</v>
      </c>
      <c r="J798" s="708"/>
      <c r="K798" s="708" t="e">
        <f>SUM(K793:K797)</f>
        <v>#REF!</v>
      </c>
      <c r="L798" s="928"/>
      <c r="M798" s="708" t="e">
        <f>SUM(M793:M797)</f>
        <v>#REF!</v>
      </c>
      <c r="N798" s="928"/>
      <c r="O798" s="928" t="e">
        <f t="shared" si="102"/>
        <v>#REF!</v>
      </c>
      <c r="P798" s="685"/>
    </row>
    <row r="799" spans="2:16" ht="18" customHeight="1">
      <c r="C799" s="683"/>
      <c r="D799" s="928"/>
      <c r="E799" s="928"/>
      <c r="F799" s="928"/>
      <c r="G799" s="928"/>
      <c r="H799" s="928"/>
      <c r="I799" s="708"/>
      <c r="J799" s="708"/>
      <c r="K799" s="708"/>
      <c r="L799" s="928"/>
      <c r="M799" s="708"/>
      <c r="N799" s="928"/>
      <c r="O799" s="928"/>
      <c r="P799" s="685"/>
    </row>
    <row r="800" spans="2:16" ht="18" customHeight="1">
      <c r="B800" s="193">
        <f>C800</f>
        <v>0</v>
      </c>
      <c r="C800" s="690"/>
      <c r="D800" s="928" t="e">
        <f>D801</f>
        <v>#REF!</v>
      </c>
      <c r="E800" s="928" t="e">
        <f>E801</f>
        <v>#REF!</v>
      </c>
      <c r="F800" s="928" t="e">
        <f>F801</f>
        <v>#REF!</v>
      </c>
      <c r="G800" s="928"/>
      <c r="H800" s="928"/>
      <c r="I800" s="928"/>
      <c r="J800" s="928"/>
      <c r="K800" s="928"/>
      <c r="L800" s="928"/>
      <c r="M800" s="928"/>
      <c r="N800" s="928"/>
      <c r="O800" s="928"/>
      <c r="P800" s="685"/>
    </row>
    <row r="801" spans="2:16" ht="18" customHeight="1">
      <c r="B801" s="193" t="e">
        <f>#REF!</f>
        <v>#REF!</v>
      </c>
      <c r="C801" s="683"/>
      <c r="D801" s="928" t="e">
        <f>VLOOKUP($B801,#REF!,2,FALSE)</f>
        <v>#REF!</v>
      </c>
      <c r="E801" s="928" t="e">
        <f>VLOOKUP($B801,#REF!,3,FALSE)</f>
        <v>#REF!</v>
      </c>
      <c r="F801" s="699" t="e">
        <f>VLOOKUP($B801,#REF!,4,FALSE)</f>
        <v>#REF!</v>
      </c>
      <c r="G801" s="684">
        <v>1</v>
      </c>
      <c r="H801" s="928"/>
      <c r="I801" s="928"/>
      <c r="J801" s="928"/>
      <c r="K801" s="928"/>
      <c r="L801" s="928"/>
      <c r="M801" s="928"/>
      <c r="N801" s="928"/>
      <c r="O801" s="928"/>
      <c r="P801" s="700"/>
    </row>
    <row r="802" spans="2:16" ht="18" customHeight="1">
      <c r="B802" s="193" t="e">
        <f>#REF!</f>
        <v>#REF!</v>
      </c>
      <c r="C802" s="683"/>
      <c r="D802" s="928" t="e">
        <f>VLOOKUP($B802,#REF!,2,FALSE)</f>
        <v>#REF!</v>
      </c>
      <c r="E802" s="928" t="e">
        <f>VLOOKUP($B802,#REF!,3,FALSE)</f>
        <v>#REF!</v>
      </c>
      <c r="F802" s="699" t="s">
        <v>1037</v>
      </c>
      <c r="G802" s="684">
        <v>1.96</v>
      </c>
      <c r="H802" s="928" t="e">
        <f>#REF!</f>
        <v>#REF!</v>
      </c>
      <c r="I802" s="928" t="e">
        <f>INT(G802*H802)</f>
        <v>#REF!</v>
      </c>
      <c r="J802" s="928" t="e">
        <f>#REF!</f>
        <v>#REF!</v>
      </c>
      <c r="K802" s="928" t="e">
        <f>INT(G802*J802)</f>
        <v>#REF!</v>
      </c>
      <c r="L802" s="928" t="e">
        <f>#REF!</f>
        <v>#REF!</v>
      </c>
      <c r="M802" s="928" t="e">
        <f>INT(G802*L802)</f>
        <v>#REF!</v>
      </c>
      <c r="N802" s="928"/>
      <c r="O802" s="928" t="e">
        <f t="shared" ref="O802:O807" si="104">INT(I802+K802+M802)</f>
        <v>#REF!</v>
      </c>
      <c r="P802" s="700" t="s">
        <v>1067</v>
      </c>
    </row>
    <row r="803" spans="2:16" ht="18" customHeight="1">
      <c r="B803" s="193" t="e">
        <f>#REF!</f>
        <v>#REF!</v>
      </c>
      <c r="C803" s="683"/>
      <c r="D803" s="928" t="e">
        <f>VLOOKUP($B803,#REF!,2,FALSE)</f>
        <v>#REF!</v>
      </c>
      <c r="E803" s="928" t="e">
        <f>VLOOKUP($B803,#REF!,3,FALSE)</f>
        <v>#REF!</v>
      </c>
      <c r="F803" s="699" t="s">
        <v>1037</v>
      </c>
      <c r="G803" s="684">
        <v>1.96</v>
      </c>
      <c r="H803" s="928" t="e">
        <f>#REF!</f>
        <v>#REF!</v>
      </c>
      <c r="I803" s="928" t="e">
        <f>INT(G803*H803)</f>
        <v>#REF!</v>
      </c>
      <c r="J803" s="928" t="e">
        <f>#REF!</f>
        <v>#REF!</v>
      </c>
      <c r="K803" s="928" t="e">
        <f>INT(G803*J803)</f>
        <v>#REF!</v>
      </c>
      <c r="L803" s="928" t="e">
        <f>#REF!</f>
        <v>#REF!</v>
      </c>
      <c r="M803" s="928" t="e">
        <f>INT(G803*L803)</f>
        <v>#REF!</v>
      </c>
      <c r="N803" s="928"/>
      <c r="O803" s="928" t="e">
        <f t="shared" si="104"/>
        <v>#REF!</v>
      </c>
      <c r="P803" s="700" t="s">
        <v>1067</v>
      </c>
    </row>
    <row r="804" spans="2:16" ht="18" customHeight="1">
      <c r="C804" s="690"/>
      <c r="D804" s="928" t="s">
        <v>1059</v>
      </c>
      <c r="E804" s="684">
        <v>0.98</v>
      </c>
      <c r="F804" s="928" t="s">
        <v>1038</v>
      </c>
      <c r="G804" s="701">
        <f t="shared" ref="G804:G805" si="105">ROUNDDOWN(dhTextEvaluate(E804),3)</f>
        <v>0.98</v>
      </c>
      <c r="H804" s="928"/>
      <c r="I804" s="928">
        <f>INT(G804*H804)</f>
        <v>0</v>
      </c>
      <c r="J804" s="928" t="e">
        <f>VLOOKUP($D804,#REF!,2,FALSE)</f>
        <v>#REF!</v>
      </c>
      <c r="K804" s="928" t="e">
        <f>INT(G804*J804)</f>
        <v>#REF!</v>
      </c>
      <c r="L804" s="928"/>
      <c r="M804" s="928"/>
      <c r="N804" s="928"/>
      <c r="O804" s="928" t="e">
        <f t="shared" si="104"/>
        <v>#REF!</v>
      </c>
      <c r="P804" s="700" t="s">
        <v>1067</v>
      </c>
    </row>
    <row r="805" spans="2:16" ht="18" customHeight="1">
      <c r="C805" s="690"/>
      <c r="D805" s="928" t="s">
        <v>1060</v>
      </c>
      <c r="E805" s="684">
        <v>0.75</v>
      </c>
      <c r="F805" s="928" t="s">
        <v>1038</v>
      </c>
      <c r="G805" s="701">
        <f t="shared" si="105"/>
        <v>0.75</v>
      </c>
      <c r="H805" s="928"/>
      <c r="I805" s="928">
        <f>INT(G805*H805)</f>
        <v>0</v>
      </c>
      <c r="J805" s="928" t="e">
        <f>VLOOKUP($D805,#REF!,2,FALSE)</f>
        <v>#REF!</v>
      </c>
      <c r="K805" s="928" t="e">
        <f>INT(G805*J805)</f>
        <v>#REF!</v>
      </c>
      <c r="L805" s="928"/>
      <c r="M805" s="928"/>
      <c r="N805" s="928"/>
      <c r="O805" s="928" t="e">
        <f t="shared" si="104"/>
        <v>#REF!</v>
      </c>
      <c r="P805" s="700" t="s">
        <v>1067</v>
      </c>
    </row>
    <row r="806" spans="2:16" ht="18" customHeight="1">
      <c r="C806" s="683"/>
      <c r="D806" s="928" t="s">
        <v>104</v>
      </c>
      <c r="E806" s="928" t="s">
        <v>41</v>
      </c>
      <c r="F806" s="699" t="s">
        <v>100</v>
      </c>
      <c r="G806" s="684">
        <v>1</v>
      </c>
      <c r="H806" s="928" t="e">
        <f>INT(SUM(K804:K805)*0.03)</f>
        <v>#REF!</v>
      </c>
      <c r="I806" s="928" t="e">
        <f>INT(G806*H806)</f>
        <v>#REF!</v>
      </c>
      <c r="J806" s="928"/>
      <c r="K806" s="928"/>
      <c r="L806" s="928"/>
      <c r="M806" s="928"/>
      <c r="N806" s="928"/>
      <c r="O806" s="928" t="e">
        <f t="shared" si="104"/>
        <v>#REF!</v>
      </c>
      <c r="P806" s="700" t="s">
        <v>42</v>
      </c>
    </row>
    <row r="807" spans="2:16" ht="18" customHeight="1">
      <c r="B807" s="193" t="str">
        <f>C800&amp;"계"</f>
        <v>계</v>
      </c>
      <c r="C807" s="691"/>
      <c r="D807" s="692" t="s">
        <v>96</v>
      </c>
      <c r="E807" s="692"/>
      <c r="F807" s="692"/>
      <c r="G807" s="692"/>
      <c r="H807" s="692"/>
      <c r="I807" s="709" t="e">
        <f>SUM(I802:I806)</f>
        <v>#REF!</v>
      </c>
      <c r="J807" s="709"/>
      <c r="K807" s="709" t="e">
        <f>SUM(K802:K806)</f>
        <v>#REF!</v>
      </c>
      <c r="L807" s="692"/>
      <c r="M807" s="709" t="e">
        <f>SUM(M802:M806)</f>
        <v>#REF!</v>
      </c>
      <c r="N807" s="692"/>
      <c r="O807" s="692" t="e">
        <f t="shared" si="104"/>
        <v>#REF!</v>
      </c>
      <c r="P807" s="693"/>
    </row>
    <row r="808" spans="2:16" ht="18" customHeight="1">
      <c r="B808" s="193">
        <f>C808</f>
        <v>0</v>
      </c>
      <c r="C808" s="680"/>
      <c r="D808" s="681" t="e">
        <f>D809</f>
        <v>#REF!</v>
      </c>
      <c r="E808" s="681" t="e">
        <f>E809</f>
        <v>#REF!</v>
      </c>
      <c r="F808" s="681" t="e">
        <f>F809</f>
        <v>#REF!</v>
      </c>
      <c r="G808" s="681"/>
      <c r="H808" s="681"/>
      <c r="I808" s="681"/>
      <c r="J808" s="681"/>
      <c r="K808" s="681"/>
      <c r="L808" s="681"/>
      <c r="M808" s="681"/>
      <c r="N808" s="681"/>
      <c r="O808" s="681"/>
      <c r="P808" s="682"/>
    </row>
    <row r="809" spans="2:16" ht="18" customHeight="1">
      <c r="B809" s="193" t="e">
        <f>#REF!</f>
        <v>#REF!</v>
      </c>
      <c r="C809" s="683"/>
      <c r="D809" s="928" t="e">
        <f>VLOOKUP($B809,#REF!,2,FALSE)</f>
        <v>#REF!</v>
      </c>
      <c r="E809" s="928" t="e">
        <f>VLOOKUP($B809,#REF!,3,FALSE)</f>
        <v>#REF!</v>
      </c>
      <c r="F809" s="699" t="e">
        <f>VLOOKUP($B809,#REF!,4,FALSE)</f>
        <v>#REF!</v>
      </c>
      <c r="G809" s="684">
        <v>1</v>
      </c>
      <c r="H809" s="928" t="e">
        <f>VLOOKUP($B809,#REF!,11,FALSE)</f>
        <v>#REF!</v>
      </c>
      <c r="I809" s="928" t="e">
        <f>INT(G809*H809)</f>
        <v>#REF!</v>
      </c>
      <c r="J809" s="928"/>
      <c r="K809" s="928"/>
      <c r="L809" s="928"/>
      <c r="M809" s="928"/>
      <c r="N809" s="928"/>
      <c r="O809" s="928" t="e">
        <f>INT(I809+K809+M809)</f>
        <v>#REF!</v>
      </c>
      <c r="P809" s="700"/>
    </row>
    <row r="810" spans="2:16" ht="18" customHeight="1">
      <c r="C810" s="690"/>
      <c r="D810" s="928" t="s">
        <v>40</v>
      </c>
      <c r="E810" s="684">
        <v>1.2</v>
      </c>
      <c r="F810" s="928" t="s">
        <v>47</v>
      </c>
      <c r="G810" s="701">
        <f t="shared" ref="G810:G811" si="106">ROUNDDOWN(dhTextEvaluate(E810),3)</f>
        <v>1.2</v>
      </c>
      <c r="H810" s="928"/>
      <c r="I810" s="928">
        <f>INT(G810*H810)</f>
        <v>0</v>
      </c>
      <c r="J810" s="928" t="e">
        <f>VLOOKUP($D810,#REF!,2,FALSE)</f>
        <v>#REF!</v>
      </c>
      <c r="K810" s="928" t="e">
        <f>INT(G810*J810)</f>
        <v>#REF!</v>
      </c>
      <c r="L810" s="928"/>
      <c r="M810" s="928"/>
      <c r="N810" s="928"/>
      <c r="O810" s="928" t="e">
        <f t="shared" ref="O810:O813" si="107">INT(I810+K810+M810)</f>
        <v>#REF!</v>
      </c>
      <c r="P810" s="700" t="s">
        <v>1128</v>
      </c>
    </row>
    <row r="811" spans="2:16" ht="18" customHeight="1">
      <c r="C811" s="690"/>
      <c r="D811" s="928" t="s">
        <v>45</v>
      </c>
      <c r="E811" s="684">
        <v>0.8</v>
      </c>
      <c r="F811" s="928" t="s">
        <v>47</v>
      </c>
      <c r="G811" s="701">
        <f t="shared" si="106"/>
        <v>0.8</v>
      </c>
      <c r="H811" s="928"/>
      <c r="I811" s="928">
        <f>INT(G811*H811)</f>
        <v>0</v>
      </c>
      <c r="J811" s="928" t="e">
        <f>VLOOKUP($D811,#REF!,2,FALSE)</f>
        <v>#REF!</v>
      </c>
      <c r="K811" s="928" t="e">
        <f>INT(G811*J811)</f>
        <v>#REF!</v>
      </c>
      <c r="L811" s="928"/>
      <c r="M811" s="928"/>
      <c r="N811" s="928"/>
      <c r="O811" s="928" t="e">
        <f t="shared" si="107"/>
        <v>#REF!</v>
      </c>
      <c r="P811" s="700" t="s">
        <v>1128</v>
      </c>
    </row>
    <row r="812" spans="2:16" ht="18" customHeight="1">
      <c r="C812" s="683"/>
      <c r="D812" s="928" t="s">
        <v>104</v>
      </c>
      <c r="E812" s="928" t="s">
        <v>41</v>
      </c>
      <c r="F812" s="699" t="s">
        <v>100</v>
      </c>
      <c r="G812" s="684">
        <v>1</v>
      </c>
      <c r="H812" s="928" t="e">
        <f>INT(SUM(K810:K811)*0.03)</f>
        <v>#REF!</v>
      </c>
      <c r="I812" s="928" t="e">
        <f>INT(G812*H812)</f>
        <v>#REF!</v>
      </c>
      <c r="J812" s="928"/>
      <c r="K812" s="928"/>
      <c r="L812" s="928"/>
      <c r="M812" s="928"/>
      <c r="N812" s="928"/>
      <c r="O812" s="928" t="e">
        <f t="shared" si="107"/>
        <v>#REF!</v>
      </c>
      <c r="P812" s="700" t="s">
        <v>42</v>
      </c>
    </row>
    <row r="813" spans="2:16" ht="18" customHeight="1">
      <c r="B813" s="193" t="str">
        <f>C808&amp;"계"</f>
        <v>계</v>
      </c>
      <c r="C813" s="683"/>
      <c r="D813" s="928" t="s">
        <v>96</v>
      </c>
      <c r="E813" s="928"/>
      <c r="F813" s="928"/>
      <c r="G813" s="928"/>
      <c r="H813" s="928"/>
      <c r="I813" s="708" t="e">
        <f>SUM(I809:I812)</f>
        <v>#REF!</v>
      </c>
      <c r="J813" s="708"/>
      <c r="K813" s="708" t="e">
        <f>SUM(K810:K812)</f>
        <v>#REF!</v>
      </c>
      <c r="L813" s="928"/>
      <c r="M813" s="708">
        <f>SUM(M810:M812)</f>
        <v>0</v>
      </c>
      <c r="N813" s="928"/>
      <c r="O813" s="928" t="e">
        <f t="shared" si="107"/>
        <v>#REF!</v>
      </c>
      <c r="P813" s="685"/>
    </row>
    <row r="814" spans="2:16" ht="18" customHeight="1">
      <c r="C814" s="683"/>
      <c r="D814" s="928"/>
      <c r="E814" s="928"/>
      <c r="F814" s="928"/>
      <c r="G814" s="928"/>
      <c r="H814" s="928"/>
      <c r="I814" s="708"/>
      <c r="J814" s="708"/>
      <c r="K814" s="708"/>
      <c r="L814" s="928"/>
      <c r="M814" s="708"/>
      <c r="N814" s="928"/>
      <c r="O814" s="928"/>
      <c r="P814" s="685"/>
    </row>
    <row r="815" spans="2:16" ht="18" customHeight="1">
      <c r="B815" s="193">
        <f>C815</f>
        <v>0</v>
      </c>
      <c r="C815" s="690"/>
      <c r="D815" s="928" t="e">
        <f>D816</f>
        <v>#REF!</v>
      </c>
      <c r="E815" s="928" t="e">
        <f>E816</f>
        <v>#REF!</v>
      </c>
      <c r="F815" s="928" t="e">
        <f>F816</f>
        <v>#REF!</v>
      </c>
      <c r="G815" s="928"/>
      <c r="H815" s="928"/>
      <c r="I815" s="928"/>
      <c r="J815" s="928"/>
      <c r="K815" s="928"/>
      <c r="L815" s="928"/>
      <c r="M815" s="928"/>
      <c r="N815" s="928"/>
      <c r="O815" s="928"/>
      <c r="P815" s="685"/>
    </row>
    <row r="816" spans="2:16" ht="18" customHeight="1">
      <c r="B816" s="193" t="e">
        <f>#REF!</f>
        <v>#REF!</v>
      </c>
      <c r="C816" s="683"/>
      <c r="D816" s="928" t="e">
        <f>VLOOKUP($B816,#REF!,2,FALSE)</f>
        <v>#REF!</v>
      </c>
      <c r="E816" s="928" t="e">
        <f>VLOOKUP($B816,#REF!,3,FALSE)</f>
        <v>#REF!</v>
      </c>
      <c r="F816" s="928" t="e">
        <f>VLOOKUP($B816,#REF!,4,FALSE)</f>
        <v>#REF!</v>
      </c>
      <c r="G816" s="928">
        <v>1</v>
      </c>
      <c r="H816" s="928" t="e">
        <f>VLOOKUP($B816,#REF!,11,FALSE)</f>
        <v>#REF!</v>
      </c>
      <c r="I816" s="928" t="e">
        <f>INT(G816*H816)</f>
        <v>#REF!</v>
      </c>
      <c r="J816" s="928"/>
      <c r="K816" s="928"/>
      <c r="L816" s="928"/>
      <c r="M816" s="928"/>
      <c r="N816" s="928"/>
      <c r="O816" s="928" t="e">
        <f>INT(I816+K816+M816)</f>
        <v>#REF!</v>
      </c>
      <c r="P816" s="685"/>
    </row>
    <row r="817" spans="2:16" ht="18" customHeight="1">
      <c r="C817" s="683"/>
      <c r="D817" s="928" t="s">
        <v>40</v>
      </c>
      <c r="E817" s="696">
        <v>0.3</v>
      </c>
      <c r="F817" s="928" t="s">
        <v>102</v>
      </c>
      <c r="G817" s="688">
        <f>ROUNDDOWN(dhTextEvaluate(E817),3)</f>
        <v>0.3</v>
      </c>
      <c r="H817" s="928"/>
      <c r="I817" s="928"/>
      <c r="J817" s="928" t="e">
        <f>VLOOKUP($D817,#REF!,2,FALSE)</f>
        <v>#REF!</v>
      </c>
      <c r="K817" s="928" t="e">
        <f>INT(G817*J817)</f>
        <v>#REF!</v>
      </c>
      <c r="L817" s="928"/>
      <c r="M817" s="928"/>
      <c r="N817" s="928"/>
      <c r="O817" s="928" t="e">
        <f>INT(I817+K817+M817)</f>
        <v>#REF!</v>
      </c>
      <c r="P817" s="685" t="s">
        <v>516</v>
      </c>
    </row>
    <row r="818" spans="2:16" ht="18" customHeight="1">
      <c r="C818" s="683"/>
      <c r="D818" s="928" t="s">
        <v>403</v>
      </c>
      <c r="E818" s="696" t="s">
        <v>41</v>
      </c>
      <c r="F818" s="928" t="s">
        <v>100</v>
      </c>
      <c r="G818" s="688">
        <v>1</v>
      </c>
      <c r="H818" s="928" t="e">
        <f>INT(SUM(K819)*0.03)</f>
        <v>#REF!</v>
      </c>
      <c r="I818" s="928" t="e">
        <f>INT(G818*H818)</f>
        <v>#REF!</v>
      </c>
      <c r="J818" s="928"/>
      <c r="K818" s="928"/>
      <c r="L818" s="928"/>
      <c r="M818" s="928"/>
      <c r="N818" s="928"/>
      <c r="O818" s="928" t="e">
        <f>INT(I818+K818+M818)</f>
        <v>#REF!</v>
      </c>
      <c r="P818" s="685" t="s">
        <v>42</v>
      </c>
    </row>
    <row r="819" spans="2:16" ht="18" customHeight="1">
      <c r="B819" s="193" t="str">
        <f>CONCATENATE(C815,D819)</f>
        <v>계</v>
      </c>
      <c r="C819" s="683"/>
      <c r="D819" s="928" t="s">
        <v>96</v>
      </c>
      <c r="E819" s="689"/>
      <c r="F819" s="928"/>
      <c r="G819" s="928"/>
      <c r="H819" s="928"/>
      <c r="I819" s="929" t="e">
        <f>SUM(I816:I818)</f>
        <v>#REF!</v>
      </c>
      <c r="J819" s="928"/>
      <c r="K819" s="928" t="e">
        <f>SUM(K816:K818)</f>
        <v>#REF!</v>
      </c>
      <c r="L819" s="928"/>
      <c r="M819" s="928">
        <f>SUM(M816:M818)</f>
        <v>0</v>
      </c>
      <c r="N819" s="928"/>
      <c r="O819" s="928" t="e">
        <f>INT(I819+K819+M819)</f>
        <v>#REF!</v>
      </c>
      <c r="P819" s="685"/>
    </row>
    <row r="820" spans="2:16" ht="18" customHeight="1">
      <c r="C820" s="683"/>
      <c r="D820" s="928"/>
      <c r="E820" s="928"/>
      <c r="F820" s="928"/>
      <c r="G820" s="928"/>
      <c r="H820" s="928"/>
      <c r="I820" s="708"/>
      <c r="J820" s="708"/>
      <c r="K820" s="708"/>
      <c r="L820" s="928"/>
      <c r="M820" s="708"/>
      <c r="N820" s="928"/>
      <c r="O820" s="928"/>
      <c r="P820" s="685"/>
    </row>
    <row r="821" spans="2:16" ht="18" customHeight="1">
      <c r="B821" s="193">
        <f>C821</f>
        <v>0</v>
      </c>
      <c r="C821" s="690"/>
      <c r="D821" s="928" t="e">
        <f>D822</f>
        <v>#REF!</v>
      </c>
      <c r="E821" s="928" t="e">
        <f>E822</f>
        <v>#REF!</v>
      </c>
      <c r="F821" s="928" t="e">
        <f>F822</f>
        <v>#REF!</v>
      </c>
      <c r="G821" s="928"/>
      <c r="H821" s="928"/>
      <c r="I821" s="928"/>
      <c r="J821" s="928"/>
      <c r="K821" s="928"/>
      <c r="L821" s="928"/>
      <c r="M821" s="928"/>
      <c r="N821" s="928"/>
      <c r="O821" s="928"/>
      <c r="P821" s="685"/>
    </row>
    <row r="822" spans="2:16" ht="18" customHeight="1">
      <c r="B822" s="193" t="e">
        <f>#REF!</f>
        <v>#REF!</v>
      </c>
      <c r="C822" s="683"/>
      <c r="D822" s="928" t="e">
        <f>VLOOKUP($B822,#REF!,2,FALSE)</f>
        <v>#REF!</v>
      </c>
      <c r="E822" s="928" t="e">
        <f>VLOOKUP($B822,#REF!,3,FALSE)</f>
        <v>#REF!</v>
      </c>
      <c r="F822" s="928" t="e">
        <f>VLOOKUP($B822,#REF!,4,FALSE)</f>
        <v>#REF!</v>
      </c>
      <c r="G822" s="928">
        <v>1</v>
      </c>
      <c r="H822" s="928" t="e">
        <f>VLOOKUP($B822,#REF!,11,FALSE)</f>
        <v>#REF!</v>
      </c>
      <c r="I822" s="928" t="e">
        <f>INT(G822*H822)</f>
        <v>#REF!</v>
      </c>
      <c r="J822" s="928"/>
      <c r="K822" s="928"/>
      <c r="L822" s="928"/>
      <c r="M822" s="928"/>
      <c r="N822" s="928"/>
      <c r="O822" s="928" t="e">
        <f>INT(I822+K822+M822)</f>
        <v>#REF!</v>
      </c>
      <c r="P822" s="685"/>
    </row>
    <row r="823" spans="2:16" ht="18" customHeight="1">
      <c r="C823" s="683"/>
      <c r="D823" s="928" t="s">
        <v>40</v>
      </c>
      <c r="E823" s="696">
        <v>0.3</v>
      </c>
      <c r="F823" s="928" t="s">
        <v>102</v>
      </c>
      <c r="G823" s="688">
        <f>ROUNDDOWN(dhTextEvaluate(E823),3)</f>
        <v>0.3</v>
      </c>
      <c r="H823" s="928"/>
      <c r="I823" s="928"/>
      <c r="J823" s="928" t="e">
        <f>VLOOKUP($D823,#REF!,2,FALSE)</f>
        <v>#REF!</v>
      </c>
      <c r="K823" s="928" t="e">
        <f>INT(G823*J823)</f>
        <v>#REF!</v>
      </c>
      <c r="L823" s="928"/>
      <c r="M823" s="928"/>
      <c r="N823" s="928"/>
      <c r="O823" s="928" t="e">
        <f>INT(I823+K823+M823)</f>
        <v>#REF!</v>
      </c>
      <c r="P823" s="685" t="s">
        <v>1072</v>
      </c>
    </row>
    <row r="824" spans="2:16" ht="18" customHeight="1">
      <c r="C824" s="683"/>
      <c r="D824" s="928" t="s">
        <v>403</v>
      </c>
      <c r="E824" s="696" t="s">
        <v>41</v>
      </c>
      <c r="F824" s="928" t="s">
        <v>100</v>
      </c>
      <c r="G824" s="688">
        <v>1</v>
      </c>
      <c r="H824" s="928" t="e">
        <f>INT(SUM(K825)*0.03)</f>
        <v>#REF!</v>
      </c>
      <c r="I824" s="928" t="e">
        <f>INT(G824*H824)</f>
        <v>#REF!</v>
      </c>
      <c r="J824" s="928"/>
      <c r="K824" s="928"/>
      <c r="L824" s="928"/>
      <c r="M824" s="928"/>
      <c r="N824" s="928"/>
      <c r="O824" s="928" t="e">
        <f>INT(I824+K824+M824)</f>
        <v>#REF!</v>
      </c>
      <c r="P824" s="685" t="s">
        <v>42</v>
      </c>
    </row>
    <row r="825" spans="2:16" ht="18" customHeight="1">
      <c r="B825" s="193" t="str">
        <f>CONCATENATE(C821,D825)</f>
        <v>계</v>
      </c>
      <c r="C825" s="683"/>
      <c r="D825" s="928" t="s">
        <v>96</v>
      </c>
      <c r="E825" s="689"/>
      <c r="F825" s="928"/>
      <c r="G825" s="928"/>
      <c r="H825" s="928"/>
      <c r="I825" s="929" t="e">
        <f>SUM(I822:I824)</f>
        <v>#REF!</v>
      </c>
      <c r="J825" s="928"/>
      <c r="K825" s="928" t="e">
        <f>SUM(K822:K824)</f>
        <v>#REF!</v>
      </c>
      <c r="L825" s="928"/>
      <c r="M825" s="928">
        <f>SUM(M822:M824)</f>
        <v>0</v>
      </c>
      <c r="N825" s="928"/>
      <c r="O825" s="928" t="e">
        <f>INT(I825+K825+M825)</f>
        <v>#REF!</v>
      </c>
      <c r="P825" s="685"/>
    </row>
    <row r="826" spans="2:16" ht="18" customHeight="1">
      <c r="C826" s="683"/>
      <c r="D826" s="928"/>
      <c r="E826" s="928"/>
      <c r="F826" s="928"/>
      <c r="G826" s="928"/>
      <c r="H826" s="928"/>
      <c r="I826" s="708"/>
      <c r="J826" s="708"/>
      <c r="K826" s="708"/>
      <c r="L826" s="928"/>
      <c r="M826" s="708"/>
      <c r="N826" s="928"/>
      <c r="O826" s="928"/>
      <c r="P826" s="685"/>
    </row>
    <row r="827" spans="2:16" ht="18" customHeight="1">
      <c r="C827" s="683"/>
      <c r="D827" s="928"/>
      <c r="E827" s="928"/>
      <c r="F827" s="928"/>
      <c r="G827" s="928"/>
      <c r="H827" s="928"/>
      <c r="I827" s="708"/>
      <c r="J827" s="708"/>
      <c r="K827" s="708"/>
      <c r="L827" s="928"/>
      <c r="M827" s="708"/>
      <c r="N827" s="928"/>
      <c r="O827" s="928"/>
      <c r="P827" s="685"/>
    </row>
    <row r="828" spans="2:16" ht="18" customHeight="1">
      <c r="C828" s="683"/>
      <c r="D828" s="928"/>
      <c r="E828" s="928"/>
      <c r="F828" s="928"/>
      <c r="G828" s="928"/>
      <c r="H828" s="928"/>
      <c r="I828" s="708"/>
      <c r="J828" s="708"/>
      <c r="K828" s="708"/>
      <c r="L828" s="928"/>
      <c r="M828" s="708"/>
      <c r="N828" s="928"/>
      <c r="O828" s="928"/>
      <c r="P828" s="685"/>
    </row>
    <row r="829" spans="2:16" ht="18" customHeight="1">
      <c r="C829" s="683"/>
      <c r="D829" s="928"/>
      <c r="E829" s="928"/>
      <c r="F829" s="928"/>
      <c r="G829" s="928"/>
      <c r="H829" s="928"/>
      <c r="I829" s="708"/>
      <c r="J829" s="708"/>
      <c r="K829" s="708"/>
      <c r="L829" s="928"/>
      <c r="M829" s="708"/>
      <c r="N829" s="928"/>
      <c r="O829" s="928"/>
      <c r="P829" s="685"/>
    </row>
    <row r="830" spans="2:16" ht="18" customHeight="1">
      <c r="C830" s="691"/>
      <c r="D830" s="692"/>
      <c r="E830" s="692"/>
      <c r="F830" s="692"/>
      <c r="G830" s="692"/>
      <c r="H830" s="692"/>
      <c r="I830" s="709"/>
      <c r="J830" s="709"/>
      <c r="K830" s="709"/>
      <c r="L830" s="692"/>
      <c r="M830" s="709"/>
      <c r="N830" s="692"/>
      <c r="O830" s="692"/>
      <c r="P830" s="693"/>
    </row>
    <row r="831" spans="2:16" ht="18" customHeight="1">
      <c r="B831" s="193">
        <f>C831</f>
        <v>0</v>
      </c>
      <c r="C831" s="680"/>
      <c r="D831" s="681" t="e">
        <f>D832</f>
        <v>#REF!</v>
      </c>
      <c r="E831" s="681" t="e">
        <f>E832</f>
        <v>#REF!</v>
      </c>
      <c r="F831" s="681" t="e">
        <f>F832</f>
        <v>#REF!</v>
      </c>
      <c r="G831" s="681"/>
      <c r="H831" s="681"/>
      <c r="I831" s="681"/>
      <c r="J831" s="681"/>
      <c r="K831" s="681"/>
      <c r="L831" s="681"/>
      <c r="M831" s="681"/>
      <c r="N831" s="681"/>
      <c r="O831" s="681"/>
      <c r="P831" s="682"/>
    </row>
    <row r="832" spans="2:16" ht="18" customHeight="1">
      <c r="B832" s="193" t="e">
        <f>#REF!</f>
        <v>#REF!</v>
      </c>
      <c r="C832" s="683"/>
      <c r="D832" s="928" t="e">
        <f>VLOOKUP($B832,#REF!,2,FALSE)</f>
        <v>#REF!</v>
      </c>
      <c r="E832" s="928" t="e">
        <f>VLOOKUP($B832,#REF!,3,FALSE)</f>
        <v>#REF!</v>
      </c>
      <c r="F832" s="928" t="e">
        <f>VLOOKUP($B832,#REF!,4,FALSE)</f>
        <v>#REF!</v>
      </c>
      <c r="G832" s="928">
        <v>1</v>
      </c>
      <c r="H832" s="928" t="e">
        <f>VLOOKUP($B832,#REF!,11,FALSE)</f>
        <v>#REF!</v>
      </c>
      <c r="I832" s="928" t="e">
        <f>INT(G832*H832)</f>
        <v>#REF!</v>
      </c>
      <c r="J832" s="928"/>
      <c r="K832" s="928"/>
      <c r="L832" s="928"/>
      <c r="M832" s="928"/>
      <c r="N832" s="928"/>
      <c r="O832" s="928" t="e">
        <f>INT(I832+K832+M832)</f>
        <v>#REF!</v>
      </c>
      <c r="P832" s="685"/>
    </row>
    <row r="833" spans="2:16" ht="18" customHeight="1">
      <c r="C833" s="683"/>
      <c r="D833" s="928" t="s">
        <v>40</v>
      </c>
      <c r="E833" s="696">
        <v>0.3</v>
      </c>
      <c r="F833" s="928" t="s">
        <v>102</v>
      </c>
      <c r="G833" s="688">
        <f>ROUNDDOWN(dhTextEvaluate(E833),3)</f>
        <v>0.3</v>
      </c>
      <c r="H833" s="928"/>
      <c r="I833" s="928"/>
      <c r="J833" s="928" t="e">
        <f>VLOOKUP($D833,#REF!,2,FALSE)</f>
        <v>#REF!</v>
      </c>
      <c r="K833" s="928" t="e">
        <f>INT(G833*J833)</f>
        <v>#REF!</v>
      </c>
      <c r="L833" s="928"/>
      <c r="M833" s="928"/>
      <c r="N833" s="928"/>
      <c r="O833" s="928" t="e">
        <f>INT(I833+K833+M833)</f>
        <v>#REF!</v>
      </c>
      <c r="P833" s="685" t="s">
        <v>1072</v>
      </c>
    </row>
    <row r="834" spans="2:16" ht="18" customHeight="1">
      <c r="C834" s="683"/>
      <c r="D834" s="928" t="s">
        <v>403</v>
      </c>
      <c r="E834" s="696" t="s">
        <v>41</v>
      </c>
      <c r="F834" s="928" t="s">
        <v>100</v>
      </c>
      <c r="G834" s="688">
        <v>1</v>
      </c>
      <c r="H834" s="928" t="e">
        <f>INT(SUM(K835)*0.03)</f>
        <v>#REF!</v>
      </c>
      <c r="I834" s="928" t="e">
        <f>INT(G834*H834)</f>
        <v>#REF!</v>
      </c>
      <c r="J834" s="928"/>
      <c r="K834" s="928"/>
      <c r="L834" s="928"/>
      <c r="M834" s="928"/>
      <c r="N834" s="928"/>
      <c r="O834" s="928" t="e">
        <f>INT(I834+K834+M834)</f>
        <v>#REF!</v>
      </c>
      <c r="P834" s="685" t="s">
        <v>42</v>
      </c>
    </row>
    <row r="835" spans="2:16" ht="18" customHeight="1">
      <c r="B835" s="193" t="str">
        <f>CONCATENATE(C831,D835)</f>
        <v>계</v>
      </c>
      <c r="C835" s="683"/>
      <c r="D835" s="928" t="s">
        <v>96</v>
      </c>
      <c r="E835" s="689"/>
      <c r="F835" s="928"/>
      <c r="G835" s="928"/>
      <c r="H835" s="928"/>
      <c r="I835" s="929" t="e">
        <f>SUM(I832:I834)</f>
        <v>#REF!</v>
      </c>
      <c r="J835" s="928"/>
      <c r="K835" s="928" t="e">
        <f>SUM(K832:K834)</f>
        <v>#REF!</v>
      </c>
      <c r="L835" s="928"/>
      <c r="M835" s="928">
        <f>SUM(M832:M834)</f>
        <v>0</v>
      </c>
      <c r="N835" s="928"/>
      <c r="O835" s="928" t="e">
        <f>INT(I835+K835+M835)</f>
        <v>#REF!</v>
      </c>
      <c r="P835" s="685"/>
    </row>
    <row r="836" spans="2:16" ht="18" customHeight="1">
      <c r="C836" s="683"/>
      <c r="D836" s="928"/>
      <c r="E836" s="928"/>
      <c r="F836" s="928"/>
      <c r="G836" s="928"/>
      <c r="H836" s="928"/>
      <c r="I836" s="928"/>
      <c r="J836" s="928"/>
      <c r="K836" s="928"/>
      <c r="L836" s="928"/>
      <c r="M836" s="928"/>
      <c r="N836" s="928"/>
      <c r="O836" s="928"/>
      <c r="P836" s="685"/>
    </row>
    <row r="837" spans="2:16" ht="18" customHeight="1">
      <c r="B837" s="193">
        <f>C837</f>
        <v>0</v>
      </c>
      <c r="C837" s="690"/>
      <c r="D837" s="928" t="e">
        <f>D838</f>
        <v>#REF!</v>
      </c>
      <c r="E837" s="928" t="e">
        <f>E838</f>
        <v>#REF!</v>
      </c>
      <c r="F837" s="928" t="e">
        <f>F838</f>
        <v>#REF!</v>
      </c>
      <c r="G837" s="928"/>
      <c r="H837" s="928"/>
      <c r="I837" s="928"/>
      <c r="J837" s="928"/>
      <c r="K837" s="928"/>
      <c r="L837" s="928"/>
      <c r="M837" s="928"/>
      <c r="N837" s="928"/>
      <c r="O837" s="928"/>
      <c r="P837" s="685"/>
    </row>
    <row r="838" spans="2:16" ht="18" customHeight="1">
      <c r="B838" s="193" t="e">
        <f>#REF!</f>
        <v>#REF!</v>
      </c>
      <c r="C838" s="683"/>
      <c r="D838" s="928" t="e">
        <f>VLOOKUP($B838,#REF!,2,FALSE)</f>
        <v>#REF!</v>
      </c>
      <c r="E838" s="928" t="e">
        <f>VLOOKUP($B838,#REF!,3,FALSE)</f>
        <v>#REF!</v>
      </c>
      <c r="F838" s="928" t="e">
        <f>VLOOKUP($B838,#REF!,4,FALSE)</f>
        <v>#REF!</v>
      </c>
      <c r="G838" s="928">
        <v>1</v>
      </c>
      <c r="H838" s="928" t="e">
        <f>VLOOKUP($B838,#REF!,11,FALSE)</f>
        <v>#REF!</v>
      </c>
      <c r="I838" s="928" t="e">
        <f>INT(G838*H838)</f>
        <v>#REF!</v>
      </c>
      <c r="J838" s="928"/>
      <c r="K838" s="928"/>
      <c r="L838" s="928"/>
      <c r="M838" s="928"/>
      <c r="N838" s="928"/>
      <c r="O838" s="928" t="e">
        <f>INT(I838+K838+M838)</f>
        <v>#REF!</v>
      </c>
      <c r="P838" s="685"/>
    </row>
    <row r="839" spans="2:16" ht="18" customHeight="1">
      <c r="C839" s="683"/>
      <c r="D839" s="928" t="s">
        <v>40</v>
      </c>
      <c r="E839" s="696">
        <v>0.3</v>
      </c>
      <c r="F839" s="928" t="s">
        <v>102</v>
      </c>
      <c r="G839" s="688">
        <f>ROUNDDOWN(dhTextEvaluate(E839),3)</f>
        <v>0.3</v>
      </c>
      <c r="H839" s="928"/>
      <c r="I839" s="928"/>
      <c r="J839" s="928" t="e">
        <f>VLOOKUP($D839,#REF!,2,FALSE)</f>
        <v>#REF!</v>
      </c>
      <c r="K839" s="928" t="e">
        <f>INT(G839*J839)</f>
        <v>#REF!</v>
      </c>
      <c r="L839" s="928"/>
      <c r="M839" s="928"/>
      <c r="N839" s="928"/>
      <c r="O839" s="928" t="e">
        <f>INT(I839+K839+M839)</f>
        <v>#REF!</v>
      </c>
      <c r="P839" s="685" t="s">
        <v>516</v>
      </c>
    </row>
    <row r="840" spans="2:16" ht="18" customHeight="1">
      <c r="C840" s="683"/>
      <c r="D840" s="928" t="s">
        <v>403</v>
      </c>
      <c r="E840" s="696" t="s">
        <v>41</v>
      </c>
      <c r="F840" s="928" t="s">
        <v>100</v>
      </c>
      <c r="G840" s="688">
        <v>1</v>
      </c>
      <c r="H840" s="928" t="e">
        <f>INT(SUM(K841)*0.03)</f>
        <v>#REF!</v>
      </c>
      <c r="I840" s="928" t="e">
        <f>INT(G840*H840)</f>
        <v>#REF!</v>
      </c>
      <c r="J840" s="928"/>
      <c r="K840" s="928"/>
      <c r="L840" s="928"/>
      <c r="M840" s="928"/>
      <c r="N840" s="928"/>
      <c r="O840" s="928" t="e">
        <f>INT(I840+K840+M840)</f>
        <v>#REF!</v>
      </c>
      <c r="P840" s="685" t="s">
        <v>42</v>
      </c>
    </row>
    <row r="841" spans="2:16" ht="18" customHeight="1">
      <c r="B841" s="193" t="str">
        <f>CONCATENATE(C837,D841)</f>
        <v>계</v>
      </c>
      <c r="C841" s="683"/>
      <c r="D841" s="928" t="s">
        <v>96</v>
      </c>
      <c r="E841" s="689"/>
      <c r="F841" s="928"/>
      <c r="G841" s="928"/>
      <c r="H841" s="928"/>
      <c r="I841" s="929" t="e">
        <f>SUM(I838:I840)</f>
        <v>#REF!</v>
      </c>
      <c r="J841" s="928"/>
      <c r="K841" s="928" t="e">
        <f>SUM(K838:K840)</f>
        <v>#REF!</v>
      </c>
      <c r="L841" s="928"/>
      <c r="M841" s="928">
        <f>SUM(M838:M840)</f>
        <v>0</v>
      </c>
      <c r="N841" s="928"/>
      <c r="O841" s="928" t="e">
        <f>INT(I841+K841+M841)</f>
        <v>#REF!</v>
      </c>
      <c r="P841" s="685"/>
    </row>
    <row r="842" spans="2:16" ht="18" customHeight="1">
      <c r="C842" s="683"/>
      <c r="D842" s="928"/>
      <c r="E842" s="928"/>
      <c r="F842" s="928"/>
      <c r="G842" s="928"/>
      <c r="H842" s="928"/>
      <c r="I842" s="928"/>
      <c r="J842" s="928"/>
      <c r="K842" s="928"/>
      <c r="L842" s="928"/>
      <c r="M842" s="928"/>
      <c r="N842" s="928"/>
      <c r="O842" s="928"/>
      <c r="P842" s="685"/>
    </row>
    <row r="843" spans="2:16" ht="18" customHeight="1">
      <c r="B843" s="193">
        <f>C843</f>
        <v>0</v>
      </c>
      <c r="C843" s="690"/>
      <c r="D843" s="928" t="e">
        <f>D844</f>
        <v>#REF!</v>
      </c>
      <c r="E843" s="928" t="e">
        <f>E844</f>
        <v>#REF!</v>
      </c>
      <c r="F843" s="928" t="e">
        <f>F844</f>
        <v>#REF!</v>
      </c>
      <c r="G843" s="928"/>
      <c r="H843" s="928"/>
      <c r="I843" s="928"/>
      <c r="J843" s="928"/>
      <c r="K843" s="928"/>
      <c r="L843" s="928"/>
      <c r="M843" s="928"/>
      <c r="N843" s="928"/>
      <c r="O843" s="928"/>
      <c r="P843" s="685"/>
    </row>
    <row r="844" spans="2:16" ht="18" customHeight="1">
      <c r="B844" s="193" t="e">
        <f>#REF!</f>
        <v>#REF!</v>
      </c>
      <c r="C844" s="683"/>
      <c r="D844" s="928" t="e">
        <f>VLOOKUP($B844,#REF!,2,FALSE)</f>
        <v>#REF!</v>
      </c>
      <c r="E844" s="928" t="e">
        <f>VLOOKUP($B844,#REF!,3,FALSE)</f>
        <v>#REF!</v>
      </c>
      <c r="F844" s="928" t="e">
        <f>VLOOKUP($B844,#REF!,4,FALSE)</f>
        <v>#REF!</v>
      </c>
      <c r="G844" s="928">
        <v>1</v>
      </c>
      <c r="H844" s="928" t="e">
        <f>VLOOKUP($B844,#REF!,11,FALSE)</f>
        <v>#REF!</v>
      </c>
      <c r="I844" s="928" t="e">
        <f>INT(G844*H844)</f>
        <v>#REF!</v>
      </c>
      <c r="J844" s="928"/>
      <c r="K844" s="928"/>
      <c r="L844" s="928"/>
      <c r="M844" s="928"/>
      <c r="N844" s="928"/>
      <c r="O844" s="928" t="e">
        <f>INT(I844+K844+M844)</f>
        <v>#REF!</v>
      </c>
      <c r="P844" s="685"/>
    </row>
    <row r="845" spans="2:16" ht="18" customHeight="1">
      <c r="C845" s="683"/>
      <c r="D845" s="928" t="s">
        <v>40</v>
      </c>
      <c r="E845" s="696">
        <v>0.12</v>
      </c>
      <c r="F845" s="928" t="s">
        <v>102</v>
      </c>
      <c r="G845" s="688">
        <f>ROUNDDOWN(dhTextEvaluate(E845),3)</f>
        <v>0.12</v>
      </c>
      <c r="H845" s="928"/>
      <c r="I845" s="928"/>
      <c r="J845" s="928" t="e">
        <f>VLOOKUP($D845,#REF!,2,FALSE)</f>
        <v>#REF!</v>
      </c>
      <c r="K845" s="928" t="e">
        <f>INT(G845*J845)</f>
        <v>#REF!</v>
      </c>
      <c r="L845" s="928"/>
      <c r="M845" s="928"/>
      <c r="N845" s="928"/>
      <c r="O845" s="928" t="e">
        <f>INT(I845+K845+M845)</f>
        <v>#REF!</v>
      </c>
      <c r="P845" s="685" t="s">
        <v>516</v>
      </c>
    </row>
    <row r="846" spans="2:16" ht="18" customHeight="1">
      <c r="C846" s="683"/>
      <c r="D846" s="928" t="s">
        <v>403</v>
      </c>
      <c r="E846" s="696" t="s">
        <v>41</v>
      </c>
      <c r="F846" s="928" t="s">
        <v>100</v>
      </c>
      <c r="G846" s="688">
        <v>1</v>
      </c>
      <c r="H846" s="928" t="e">
        <f>INT(SUM(K847)*0.03)</f>
        <v>#REF!</v>
      </c>
      <c r="I846" s="928" t="e">
        <f>INT(G846*H846)</f>
        <v>#REF!</v>
      </c>
      <c r="J846" s="928"/>
      <c r="K846" s="928"/>
      <c r="L846" s="928"/>
      <c r="M846" s="928"/>
      <c r="N846" s="928"/>
      <c r="O846" s="928" t="e">
        <f>INT(I846+K846+M846)</f>
        <v>#REF!</v>
      </c>
      <c r="P846" s="685" t="s">
        <v>42</v>
      </c>
    </row>
    <row r="847" spans="2:16" ht="18" customHeight="1">
      <c r="B847" s="193" t="str">
        <f>CONCATENATE(C843,D847)</f>
        <v>계</v>
      </c>
      <c r="C847" s="683"/>
      <c r="D847" s="928" t="s">
        <v>96</v>
      </c>
      <c r="E847" s="689"/>
      <c r="F847" s="928"/>
      <c r="G847" s="928"/>
      <c r="H847" s="928"/>
      <c r="I847" s="929" t="e">
        <f>SUM(I844:I846)</f>
        <v>#REF!</v>
      </c>
      <c r="J847" s="928"/>
      <c r="K847" s="928" t="e">
        <f>SUM(K844:K846)</f>
        <v>#REF!</v>
      </c>
      <c r="L847" s="928"/>
      <c r="M847" s="928">
        <f>SUM(M844:M846)</f>
        <v>0</v>
      </c>
      <c r="N847" s="928"/>
      <c r="O847" s="928" t="e">
        <f>INT(I847+K847+M847)</f>
        <v>#REF!</v>
      </c>
      <c r="P847" s="685"/>
    </row>
    <row r="848" spans="2:16" ht="18" customHeight="1">
      <c r="C848" s="683"/>
      <c r="D848" s="928"/>
      <c r="E848" s="928"/>
      <c r="F848" s="928"/>
      <c r="G848" s="928"/>
      <c r="H848" s="928"/>
      <c r="I848" s="928"/>
      <c r="J848" s="928"/>
      <c r="K848" s="928"/>
      <c r="L848" s="928"/>
      <c r="M848" s="928"/>
      <c r="N848" s="928"/>
      <c r="O848" s="928"/>
      <c r="P848" s="685"/>
    </row>
    <row r="849" spans="2:16" ht="18" customHeight="1">
      <c r="C849" s="683"/>
      <c r="D849" s="928"/>
      <c r="E849" s="928"/>
      <c r="F849" s="928"/>
      <c r="G849" s="928"/>
      <c r="H849" s="928"/>
      <c r="I849" s="928"/>
      <c r="J849" s="928"/>
      <c r="K849" s="928"/>
      <c r="L849" s="928"/>
      <c r="M849" s="928"/>
      <c r="N849" s="928"/>
      <c r="O849" s="928"/>
      <c r="P849" s="685"/>
    </row>
    <row r="850" spans="2:16" ht="18" customHeight="1">
      <c r="C850" s="683"/>
      <c r="D850" s="928"/>
      <c r="E850" s="928"/>
      <c r="F850" s="928"/>
      <c r="G850" s="928"/>
      <c r="H850" s="928"/>
      <c r="I850" s="928"/>
      <c r="J850" s="928"/>
      <c r="K850" s="928"/>
      <c r="L850" s="928"/>
      <c r="M850" s="928"/>
      <c r="N850" s="928"/>
      <c r="O850" s="928"/>
      <c r="P850" s="685"/>
    </row>
    <row r="851" spans="2:16" ht="18" customHeight="1">
      <c r="C851" s="683"/>
      <c r="D851" s="928"/>
      <c r="E851" s="928"/>
      <c r="F851" s="928"/>
      <c r="G851" s="928"/>
      <c r="H851" s="928"/>
      <c r="I851" s="928"/>
      <c r="J851" s="928"/>
      <c r="K851" s="928"/>
      <c r="L851" s="928"/>
      <c r="M851" s="928"/>
      <c r="N851" s="928"/>
      <c r="O851" s="928"/>
      <c r="P851" s="685"/>
    </row>
    <row r="852" spans="2:16" ht="18" customHeight="1">
      <c r="C852" s="683"/>
      <c r="D852" s="928"/>
      <c r="E852" s="928"/>
      <c r="F852" s="928"/>
      <c r="G852" s="928"/>
      <c r="H852" s="928"/>
      <c r="I852" s="928"/>
      <c r="J852" s="928"/>
      <c r="K852" s="928"/>
      <c r="L852" s="928"/>
      <c r="M852" s="928"/>
      <c r="N852" s="928"/>
      <c r="O852" s="928"/>
      <c r="P852" s="685"/>
    </row>
    <row r="853" spans="2:16" ht="18" customHeight="1">
      <c r="C853" s="691"/>
      <c r="D853" s="692"/>
      <c r="E853" s="692"/>
      <c r="F853" s="702"/>
      <c r="G853" s="703"/>
      <c r="H853" s="692"/>
      <c r="I853" s="692"/>
      <c r="J853" s="692"/>
      <c r="K853" s="692"/>
      <c r="L853" s="692"/>
      <c r="M853" s="692"/>
      <c r="N853" s="692"/>
      <c r="O853" s="692"/>
      <c r="P853" s="704"/>
    </row>
    <row r="854" spans="2:16" ht="18" customHeight="1">
      <c r="B854" s="193">
        <f>C854</f>
        <v>0</v>
      </c>
      <c r="C854" s="680"/>
      <c r="D854" s="681" t="e">
        <f>D855</f>
        <v>#REF!</v>
      </c>
      <c r="E854" s="681" t="e">
        <f>E855</f>
        <v>#REF!</v>
      </c>
      <c r="F854" s="697" t="e">
        <f>F855</f>
        <v>#REF!</v>
      </c>
      <c r="G854" s="695"/>
      <c r="H854" s="681"/>
      <c r="I854" s="681"/>
      <c r="J854" s="681"/>
      <c r="K854" s="681"/>
      <c r="L854" s="681"/>
      <c r="M854" s="681"/>
      <c r="N854" s="681"/>
      <c r="O854" s="681"/>
      <c r="P854" s="698"/>
    </row>
    <row r="855" spans="2:16" ht="18" customHeight="1">
      <c r="B855" s="193" t="e">
        <f>#REF!</f>
        <v>#REF!</v>
      </c>
      <c r="C855" s="683"/>
      <c r="D855" s="928" t="e">
        <f>VLOOKUP($B855,#REF!,2,FALSE)</f>
        <v>#REF!</v>
      </c>
      <c r="E855" s="928" t="e">
        <f>VLOOKUP($B855,#REF!,3,FALSE)</f>
        <v>#REF!</v>
      </c>
      <c r="F855" s="699" t="e">
        <f>VLOOKUP($B855,#REF!,4,FALSE)</f>
        <v>#REF!</v>
      </c>
      <c r="G855" s="928">
        <v>1</v>
      </c>
      <c r="H855" s="928"/>
      <c r="I855" s="928"/>
      <c r="J855" s="928"/>
      <c r="K855" s="928"/>
      <c r="L855" s="928"/>
      <c r="M855" s="928"/>
      <c r="N855" s="928"/>
      <c r="O855" s="928"/>
      <c r="P855" s="700" t="s">
        <v>1107</v>
      </c>
    </row>
    <row r="856" spans="2:16" ht="18" customHeight="1">
      <c r="B856" s="193" t="e">
        <f>#REF!</f>
        <v>#REF!</v>
      </c>
      <c r="C856" s="683"/>
      <c r="D856" s="928" t="e">
        <f>VLOOKUP($B856,#REF!,2,FALSE)</f>
        <v>#REF!</v>
      </c>
      <c r="E856" s="928" t="e">
        <f>VLOOKUP($B856,#REF!,3,FALSE)</f>
        <v>#REF!</v>
      </c>
      <c r="F856" s="699" t="e">
        <f>VLOOKUP($B856,#REF!,4,FALSE)</f>
        <v>#REF!</v>
      </c>
      <c r="G856" s="684">
        <f>'신호등 기초산출'!$X$59</f>
        <v>11.06</v>
      </c>
      <c r="H856" s="928">
        <f t="shared" ref="H856:H864" si="108">IF(ISERROR(VLOOKUP($B856,일위11,10,FALSE)),0,VLOOKUP($B856,일위11,10,FALSE))</f>
        <v>0</v>
      </c>
      <c r="I856" s="928">
        <f t="shared" ref="I856:I864" si="109">INT(G856*H856)</f>
        <v>0</v>
      </c>
      <c r="J856" s="928">
        <f t="shared" ref="J856:J864" si="110">IF(ISERROR(VLOOKUP($B856,일위11,12,FALSE)),0,VLOOKUP($B856,일위11,12,FALSE))</f>
        <v>0</v>
      </c>
      <c r="K856" s="928">
        <f t="shared" ref="K856:K864" si="111">INT(G856*J856)</f>
        <v>0</v>
      </c>
      <c r="L856" s="928">
        <f t="shared" ref="L856:L864" si="112">IF(ISERROR(VLOOKUP($B856,일위11,14,FALSE)),0,VLOOKUP($B856,일위11,14,FALSE))</f>
        <v>0</v>
      </c>
      <c r="M856" s="928">
        <f t="shared" ref="M856:M864" si="113">INT(G856*L856)</f>
        <v>0</v>
      </c>
      <c r="N856" s="928"/>
      <c r="O856" s="928">
        <f t="shared" ref="O856:O857" si="114">INT(I856+K856+M856)</f>
        <v>0</v>
      </c>
      <c r="P856" s="700">
        <f t="shared" ref="P856:P864" si="115">IF(ISERROR(VLOOKUP($B856,일위11,4,FALSE)),0,VLOOKUP($B856,일위11,4,FALSE))</f>
        <v>0</v>
      </c>
    </row>
    <row r="857" spans="2:16" ht="18" customHeight="1">
      <c r="B857" s="193" t="e">
        <f>#REF!</f>
        <v>#REF!</v>
      </c>
      <c r="C857" s="683"/>
      <c r="D857" s="928" t="e">
        <f>VLOOKUP($B857,#REF!,2,FALSE)</f>
        <v>#REF!</v>
      </c>
      <c r="E857" s="928" t="e">
        <f>VLOOKUP($B857,#REF!,3,FALSE)</f>
        <v>#REF!</v>
      </c>
      <c r="F857" s="699" t="e">
        <f>VLOOKUP($B857,#REF!,4,FALSE)</f>
        <v>#REF!</v>
      </c>
      <c r="G857" s="684">
        <f>'신호등 기초산출'!$X$61</f>
        <v>8.8000000000000007</v>
      </c>
      <c r="H857" s="928">
        <f t="shared" si="108"/>
        <v>0</v>
      </c>
      <c r="I857" s="928">
        <f t="shared" si="109"/>
        <v>0</v>
      </c>
      <c r="J857" s="928">
        <f t="shared" si="110"/>
        <v>0</v>
      </c>
      <c r="K857" s="928">
        <f t="shared" si="111"/>
        <v>0</v>
      </c>
      <c r="L857" s="928">
        <f t="shared" si="112"/>
        <v>0</v>
      </c>
      <c r="M857" s="928">
        <f t="shared" si="113"/>
        <v>0</v>
      </c>
      <c r="N857" s="928"/>
      <c r="O857" s="928">
        <f t="shared" si="114"/>
        <v>0</v>
      </c>
      <c r="P857" s="700">
        <f t="shared" si="115"/>
        <v>0</v>
      </c>
    </row>
    <row r="858" spans="2:16" ht="18" customHeight="1">
      <c r="B858" s="193" t="e">
        <f>#REF!</f>
        <v>#REF!</v>
      </c>
      <c r="C858" s="683"/>
      <c r="D858" s="928" t="e">
        <f>VLOOKUP($B858,#REF!,2,FALSE)</f>
        <v>#REF!</v>
      </c>
      <c r="E858" s="928" t="e">
        <f>VLOOKUP($B858,#REF!,3,FALSE)</f>
        <v>#REF!</v>
      </c>
      <c r="F858" s="699" t="e">
        <f>VLOOKUP($B858,#REF!,4,FALSE)</f>
        <v>#REF!</v>
      </c>
      <c r="G858" s="684">
        <f>'신호등 기초산출'!$X$63</f>
        <v>2.2599999999999998</v>
      </c>
      <c r="H858" s="928">
        <f t="shared" si="108"/>
        <v>0</v>
      </c>
      <c r="I858" s="928">
        <f t="shared" si="109"/>
        <v>0</v>
      </c>
      <c r="J858" s="928">
        <f t="shared" si="110"/>
        <v>0</v>
      </c>
      <c r="K858" s="928">
        <f t="shared" si="111"/>
        <v>0</v>
      </c>
      <c r="L858" s="928">
        <f t="shared" si="112"/>
        <v>0</v>
      </c>
      <c r="M858" s="928">
        <f t="shared" si="113"/>
        <v>0</v>
      </c>
      <c r="N858" s="928"/>
      <c r="O858" s="928">
        <f>INT(I858+K858+M858)</f>
        <v>0</v>
      </c>
      <c r="P858" s="700">
        <f t="shared" si="115"/>
        <v>0</v>
      </c>
    </row>
    <row r="859" spans="2:16" ht="18" customHeight="1">
      <c r="B859" s="193" t="e">
        <f>#REF!</f>
        <v>#REF!</v>
      </c>
      <c r="C859" s="683"/>
      <c r="D859" s="928" t="e">
        <f>VLOOKUP($B859,#REF!,2,FALSE)</f>
        <v>#REF!</v>
      </c>
      <c r="E859" s="928" t="e">
        <f>VLOOKUP($B859,#REF!,3,FALSE)</f>
        <v>#REF!</v>
      </c>
      <c r="F859" s="699" t="e">
        <f>VLOOKUP($B859,#REF!,4,FALSE)</f>
        <v>#REF!</v>
      </c>
      <c r="G859" s="684">
        <f>'신호등 기초산출'!$X$67</f>
        <v>2.2599999999999998</v>
      </c>
      <c r="H859" s="928">
        <f t="shared" si="108"/>
        <v>0</v>
      </c>
      <c r="I859" s="928">
        <f t="shared" si="109"/>
        <v>0</v>
      </c>
      <c r="J859" s="928">
        <f t="shared" si="110"/>
        <v>0</v>
      </c>
      <c r="K859" s="928">
        <f t="shared" si="111"/>
        <v>0</v>
      </c>
      <c r="L859" s="928">
        <f t="shared" si="112"/>
        <v>0</v>
      </c>
      <c r="M859" s="928">
        <f t="shared" si="113"/>
        <v>0</v>
      </c>
      <c r="N859" s="928"/>
      <c r="O859" s="928">
        <f t="shared" ref="O859:O864" si="116">INT(I859+K859+M859)</f>
        <v>0</v>
      </c>
      <c r="P859" s="700">
        <f t="shared" si="115"/>
        <v>0</v>
      </c>
    </row>
    <row r="860" spans="2:16" ht="18" customHeight="1">
      <c r="B860" s="193" t="str">
        <f>부록단가비교표!$A$5</f>
        <v>합판 거푸집6회</v>
      </c>
      <c r="C860" s="683"/>
      <c r="D860" s="928" t="str">
        <f>VLOOKUP($B860,부록단가비교표!$A:$K,2,FALSE)</f>
        <v>합판 거푸집</v>
      </c>
      <c r="E860" s="928" t="str">
        <f>VLOOKUP($B860,부록단가비교표!$A:$K,3,FALSE)</f>
        <v>6회</v>
      </c>
      <c r="F860" s="699" t="str">
        <f>VLOOKUP($B860,부록단가비교표!$A:$K,4,FALSE)</f>
        <v>㎡</v>
      </c>
      <c r="G860" s="684">
        <f>'신호등 기초산출'!$X$65</f>
        <v>8.1199999999999992</v>
      </c>
      <c r="H860" s="928">
        <f t="shared" si="108"/>
        <v>0</v>
      </c>
      <c r="I860" s="928">
        <f t="shared" si="109"/>
        <v>0</v>
      </c>
      <c r="J860" s="928">
        <f t="shared" si="110"/>
        <v>0</v>
      </c>
      <c r="K860" s="928">
        <f t="shared" si="111"/>
        <v>0</v>
      </c>
      <c r="L860" s="928">
        <f t="shared" si="112"/>
        <v>0</v>
      </c>
      <c r="M860" s="928">
        <f t="shared" si="113"/>
        <v>0</v>
      </c>
      <c r="N860" s="928"/>
      <c r="O860" s="928">
        <f t="shared" si="116"/>
        <v>0</v>
      </c>
      <c r="P860" s="700">
        <f t="shared" si="115"/>
        <v>0</v>
      </c>
    </row>
    <row r="861" spans="2:16" ht="18" customHeight="1">
      <c r="B861" s="193" t="e">
        <f>#REF!</f>
        <v>#REF!</v>
      </c>
      <c r="C861" s="683"/>
      <c r="D861" s="928" t="e">
        <f>VLOOKUP($B861,#REF!,2,FALSE)</f>
        <v>#REF!</v>
      </c>
      <c r="E861" s="928" t="e">
        <f>VLOOKUP($B861,#REF!,3,FALSE)</f>
        <v>#REF!</v>
      </c>
      <c r="F861" s="699" t="e">
        <f>VLOOKUP($B861,#REF!,4,FALSE)</f>
        <v>#REF!</v>
      </c>
      <c r="G861" s="684">
        <v>1</v>
      </c>
      <c r="H861" s="928">
        <f t="shared" si="108"/>
        <v>0</v>
      </c>
      <c r="I861" s="928">
        <f t="shared" si="109"/>
        <v>0</v>
      </c>
      <c r="J861" s="928">
        <f t="shared" si="110"/>
        <v>0</v>
      </c>
      <c r="K861" s="928">
        <f t="shared" si="111"/>
        <v>0</v>
      </c>
      <c r="L861" s="928">
        <f t="shared" si="112"/>
        <v>0</v>
      </c>
      <c r="M861" s="928">
        <f t="shared" si="113"/>
        <v>0</v>
      </c>
      <c r="N861" s="928"/>
      <c r="O861" s="928">
        <f t="shared" si="116"/>
        <v>0</v>
      </c>
      <c r="P861" s="700">
        <f t="shared" si="115"/>
        <v>0</v>
      </c>
    </row>
    <row r="862" spans="2:16" ht="18" customHeight="1">
      <c r="B862" s="193" t="e">
        <f>#REF!</f>
        <v>#REF!</v>
      </c>
      <c r="C862" s="683"/>
      <c r="D862" s="928" t="e">
        <f>VLOOKUP($B862,#REF!,2,FALSE)</f>
        <v>#REF!</v>
      </c>
      <c r="E862" s="928" t="e">
        <f>VLOOKUP($B862,#REF!,3,FALSE)</f>
        <v>#REF!</v>
      </c>
      <c r="F862" s="699" t="e">
        <f>VLOOKUP($B862,#REF!,4,FALSE)</f>
        <v>#REF!</v>
      </c>
      <c r="G862" s="684">
        <v>1</v>
      </c>
      <c r="H862" s="928">
        <f t="shared" si="108"/>
        <v>0</v>
      </c>
      <c r="I862" s="928">
        <f t="shared" si="109"/>
        <v>0</v>
      </c>
      <c r="J862" s="928">
        <f t="shared" si="110"/>
        <v>0</v>
      </c>
      <c r="K862" s="928">
        <f t="shared" si="111"/>
        <v>0</v>
      </c>
      <c r="L862" s="928">
        <f t="shared" si="112"/>
        <v>0</v>
      </c>
      <c r="M862" s="928">
        <f t="shared" si="113"/>
        <v>0</v>
      </c>
      <c r="N862" s="928"/>
      <c r="O862" s="928">
        <f t="shared" si="116"/>
        <v>0</v>
      </c>
      <c r="P862" s="700">
        <f t="shared" si="115"/>
        <v>0</v>
      </c>
    </row>
    <row r="863" spans="2:16" ht="18" customHeight="1">
      <c r="B863" s="193" t="e">
        <f>#REF!</f>
        <v>#REF!</v>
      </c>
      <c r="C863" s="683"/>
      <c r="D863" s="928" t="e">
        <f>VLOOKUP($B863,#REF!,2,FALSE)</f>
        <v>#REF!</v>
      </c>
      <c r="E863" s="928" t="e">
        <f>VLOOKUP($B863,#REF!,3,FALSE)</f>
        <v>#REF!</v>
      </c>
      <c r="F863" s="699" t="e">
        <f>VLOOKUP($B863,#REF!,4,FALSE)</f>
        <v>#REF!</v>
      </c>
      <c r="G863" s="684">
        <v>3</v>
      </c>
      <c r="H863" s="928">
        <f t="shared" si="108"/>
        <v>0</v>
      </c>
      <c r="I863" s="928">
        <f t="shared" si="109"/>
        <v>0</v>
      </c>
      <c r="J863" s="928">
        <f t="shared" si="110"/>
        <v>0</v>
      </c>
      <c r="K863" s="928">
        <f t="shared" si="111"/>
        <v>0</v>
      </c>
      <c r="L863" s="928">
        <f t="shared" si="112"/>
        <v>0</v>
      </c>
      <c r="M863" s="928">
        <f t="shared" si="113"/>
        <v>0</v>
      </c>
      <c r="N863" s="928"/>
      <c r="O863" s="928">
        <f t="shared" si="116"/>
        <v>0</v>
      </c>
      <c r="P863" s="700">
        <f t="shared" si="115"/>
        <v>0</v>
      </c>
    </row>
    <row r="864" spans="2:16" ht="18" customHeight="1">
      <c r="B864" s="193" t="e">
        <f>#REF!</f>
        <v>#REF!</v>
      </c>
      <c r="C864" s="683"/>
      <c r="D864" s="928" t="e">
        <f>VLOOKUP($B864,#REF!,2,FALSE)</f>
        <v>#REF!</v>
      </c>
      <c r="E864" s="928" t="e">
        <f>VLOOKUP($B864,#REF!,3,FALSE)</f>
        <v>#REF!</v>
      </c>
      <c r="F864" s="699" t="e">
        <f>VLOOKUP($B864,#REF!,4,FALSE)</f>
        <v>#REF!</v>
      </c>
      <c r="G864" s="684">
        <v>1</v>
      </c>
      <c r="H864" s="928">
        <f t="shared" si="108"/>
        <v>0</v>
      </c>
      <c r="I864" s="928">
        <f t="shared" si="109"/>
        <v>0</v>
      </c>
      <c r="J864" s="928">
        <f t="shared" si="110"/>
        <v>0</v>
      </c>
      <c r="K864" s="928">
        <f t="shared" si="111"/>
        <v>0</v>
      </c>
      <c r="L864" s="928">
        <f t="shared" si="112"/>
        <v>0</v>
      </c>
      <c r="M864" s="928">
        <f t="shared" si="113"/>
        <v>0</v>
      </c>
      <c r="N864" s="928"/>
      <c r="O864" s="928">
        <f t="shared" si="116"/>
        <v>0</v>
      </c>
      <c r="P864" s="700">
        <f t="shared" si="115"/>
        <v>0</v>
      </c>
    </row>
    <row r="865" spans="2:16" ht="18" customHeight="1">
      <c r="B865" s="193" t="str">
        <f>CONCATENATE(C854,D865)</f>
        <v>계</v>
      </c>
      <c r="C865" s="683"/>
      <c r="D865" s="928" t="s">
        <v>48</v>
      </c>
      <c r="E865" s="928"/>
      <c r="F865" s="699"/>
      <c r="G865" s="684"/>
      <c r="H865" s="928"/>
      <c r="I865" s="928">
        <f>SUM(I855:I864)</f>
        <v>0</v>
      </c>
      <c r="J865" s="928"/>
      <c r="K865" s="928">
        <f>SUM(K855:K864)</f>
        <v>0</v>
      </c>
      <c r="L865" s="928"/>
      <c r="M865" s="928">
        <f>SUM(M855:M864)</f>
        <v>0</v>
      </c>
      <c r="N865" s="928"/>
      <c r="O865" s="928">
        <f>INT(I865+K865+M865)</f>
        <v>0</v>
      </c>
      <c r="P865" s="700"/>
    </row>
    <row r="866" spans="2:16" ht="18" customHeight="1">
      <c r="C866" s="683"/>
      <c r="D866" s="928"/>
      <c r="E866" s="928"/>
      <c r="F866" s="699"/>
      <c r="G866" s="684"/>
      <c r="H866" s="928"/>
      <c r="I866" s="928"/>
      <c r="J866" s="928"/>
      <c r="K866" s="928"/>
      <c r="L866" s="928"/>
      <c r="M866" s="928"/>
      <c r="N866" s="928"/>
      <c r="O866" s="928"/>
      <c r="P866" s="700"/>
    </row>
    <row r="867" spans="2:16" ht="18" customHeight="1">
      <c r="C867" s="683"/>
      <c r="D867" s="928"/>
      <c r="E867" s="928"/>
      <c r="F867" s="699"/>
      <c r="G867" s="684"/>
      <c r="H867" s="928"/>
      <c r="I867" s="928"/>
      <c r="J867" s="928"/>
      <c r="K867" s="928"/>
      <c r="L867" s="928"/>
      <c r="M867" s="928"/>
      <c r="N867" s="928"/>
      <c r="O867" s="928"/>
      <c r="P867" s="700"/>
    </row>
    <row r="868" spans="2:16" ht="18" customHeight="1">
      <c r="C868" s="683"/>
      <c r="D868" s="928"/>
      <c r="E868" s="928"/>
      <c r="F868" s="699"/>
      <c r="G868" s="684"/>
      <c r="H868" s="928"/>
      <c r="I868" s="928"/>
      <c r="J868" s="928"/>
      <c r="K868" s="928"/>
      <c r="L868" s="928"/>
      <c r="M868" s="928"/>
      <c r="N868" s="928"/>
      <c r="O868" s="928"/>
      <c r="P868" s="700"/>
    </row>
    <row r="869" spans="2:16" ht="18" customHeight="1">
      <c r="C869" s="683"/>
      <c r="D869" s="928"/>
      <c r="E869" s="928"/>
      <c r="F869" s="699"/>
      <c r="G869" s="684"/>
      <c r="H869" s="928"/>
      <c r="I869" s="928"/>
      <c r="J869" s="928"/>
      <c r="K869" s="928"/>
      <c r="L869" s="928"/>
      <c r="M869" s="928"/>
      <c r="N869" s="928"/>
      <c r="O869" s="928"/>
      <c r="P869" s="700"/>
    </row>
    <row r="870" spans="2:16" ht="18" customHeight="1">
      <c r="C870" s="683"/>
      <c r="D870" s="928"/>
      <c r="E870" s="928"/>
      <c r="F870" s="699"/>
      <c r="G870" s="684"/>
      <c r="H870" s="928"/>
      <c r="I870" s="928"/>
      <c r="J870" s="928"/>
      <c r="K870" s="928"/>
      <c r="L870" s="928"/>
      <c r="M870" s="928"/>
      <c r="N870" s="928"/>
      <c r="O870" s="928"/>
      <c r="P870" s="700"/>
    </row>
    <row r="871" spans="2:16" ht="18" customHeight="1">
      <c r="C871" s="683"/>
      <c r="D871" s="928"/>
      <c r="E871" s="928"/>
      <c r="F871" s="699"/>
      <c r="G871" s="684"/>
      <c r="H871" s="928"/>
      <c r="I871" s="928"/>
      <c r="J871" s="928"/>
      <c r="K871" s="928"/>
      <c r="L871" s="928"/>
      <c r="M871" s="928"/>
      <c r="N871" s="928"/>
      <c r="O871" s="928"/>
      <c r="P871" s="700"/>
    </row>
    <row r="872" spans="2:16" ht="18" customHeight="1">
      <c r="C872" s="683"/>
      <c r="D872" s="928"/>
      <c r="E872" s="928"/>
      <c r="F872" s="699"/>
      <c r="G872" s="684"/>
      <c r="H872" s="928"/>
      <c r="I872" s="928"/>
      <c r="J872" s="928"/>
      <c r="K872" s="928"/>
      <c r="L872" s="928"/>
      <c r="M872" s="928"/>
      <c r="N872" s="928"/>
      <c r="O872" s="928"/>
      <c r="P872" s="700"/>
    </row>
    <row r="873" spans="2:16" ht="18" customHeight="1">
      <c r="C873" s="683"/>
      <c r="D873" s="928"/>
      <c r="E873" s="928"/>
      <c r="F873" s="699"/>
      <c r="G873" s="684"/>
      <c r="H873" s="928"/>
      <c r="I873" s="928"/>
      <c r="J873" s="928"/>
      <c r="K873" s="928"/>
      <c r="L873" s="928"/>
      <c r="M873" s="928"/>
      <c r="N873" s="928"/>
      <c r="O873" s="928"/>
      <c r="P873" s="700"/>
    </row>
    <row r="874" spans="2:16" ht="18" customHeight="1">
      <c r="C874" s="683"/>
      <c r="D874" s="928"/>
      <c r="E874" s="928"/>
      <c r="F874" s="699"/>
      <c r="G874" s="684"/>
      <c r="H874" s="928"/>
      <c r="I874" s="928"/>
      <c r="J874" s="928"/>
      <c r="K874" s="928"/>
      <c r="L874" s="928"/>
      <c r="M874" s="928"/>
      <c r="N874" s="928"/>
      <c r="O874" s="928"/>
      <c r="P874" s="700"/>
    </row>
    <row r="875" spans="2:16" ht="18" customHeight="1">
      <c r="C875" s="683"/>
      <c r="D875" s="928"/>
      <c r="E875" s="928"/>
      <c r="F875" s="699"/>
      <c r="G875" s="684"/>
      <c r="H875" s="928"/>
      <c r="I875" s="928"/>
      <c r="J875" s="928"/>
      <c r="K875" s="928"/>
      <c r="L875" s="928"/>
      <c r="M875" s="928"/>
      <c r="N875" s="928"/>
      <c r="O875" s="928"/>
      <c r="P875" s="700"/>
    </row>
    <row r="876" spans="2:16" ht="18" customHeight="1">
      <c r="C876" s="691"/>
      <c r="D876" s="692"/>
      <c r="E876" s="692"/>
      <c r="F876" s="702"/>
      <c r="G876" s="703"/>
      <c r="H876" s="692"/>
      <c r="I876" s="692"/>
      <c r="J876" s="692"/>
      <c r="K876" s="692"/>
      <c r="L876" s="692"/>
      <c r="M876" s="692"/>
      <c r="N876" s="692"/>
      <c r="O876" s="692"/>
      <c r="P876" s="704"/>
    </row>
    <row r="877" spans="2:16" ht="18" customHeight="1">
      <c r="B877" s="193">
        <f>C877</f>
        <v>0</v>
      </c>
      <c r="C877" s="680"/>
      <c r="D877" s="681" t="e">
        <f>D878</f>
        <v>#REF!</v>
      </c>
      <c r="E877" s="681" t="e">
        <f>E878</f>
        <v>#REF!</v>
      </c>
      <c r="F877" s="697" t="e">
        <f>F878</f>
        <v>#REF!</v>
      </c>
      <c r="G877" s="695"/>
      <c r="H877" s="681"/>
      <c r="I877" s="681"/>
      <c r="J877" s="681"/>
      <c r="K877" s="681"/>
      <c r="L877" s="681"/>
      <c r="M877" s="681"/>
      <c r="N877" s="681"/>
      <c r="O877" s="681"/>
      <c r="P877" s="698"/>
    </row>
    <row r="878" spans="2:16" ht="18" customHeight="1">
      <c r="B878" s="193" t="e">
        <f>#REF!</f>
        <v>#REF!</v>
      </c>
      <c r="C878" s="683"/>
      <c r="D878" s="928" t="e">
        <f>VLOOKUP($B878,#REF!,2,FALSE)</f>
        <v>#REF!</v>
      </c>
      <c r="E878" s="928" t="e">
        <f>VLOOKUP($B878,#REF!,3,FALSE)</f>
        <v>#REF!</v>
      </c>
      <c r="F878" s="699" t="e">
        <f>VLOOKUP($B878,#REF!,4,FALSE)</f>
        <v>#REF!</v>
      </c>
      <c r="G878" s="928">
        <v>1</v>
      </c>
      <c r="H878" s="928"/>
      <c r="I878" s="928"/>
      <c r="J878" s="928"/>
      <c r="K878" s="928"/>
      <c r="L878" s="928"/>
      <c r="M878" s="928"/>
      <c r="N878" s="928"/>
      <c r="O878" s="928"/>
      <c r="P878" s="700" t="s">
        <v>1107</v>
      </c>
    </row>
    <row r="879" spans="2:16" ht="18" customHeight="1">
      <c r="B879" s="193" t="e">
        <f>#REF!</f>
        <v>#REF!</v>
      </c>
      <c r="C879" s="683"/>
      <c r="D879" s="928" t="e">
        <f>VLOOKUP($B879,#REF!,2,FALSE)</f>
        <v>#REF!</v>
      </c>
      <c r="E879" s="928" t="e">
        <f>VLOOKUP($B879,#REF!,3,FALSE)</f>
        <v>#REF!</v>
      </c>
      <c r="F879" s="699" t="e">
        <f>VLOOKUP($B879,#REF!,4,FALSE)</f>
        <v>#REF!</v>
      </c>
      <c r="G879" s="684">
        <f>'신호등 기초산출'!$X$15</f>
        <v>4.62</v>
      </c>
      <c r="H879" s="928">
        <f t="shared" ref="H879:H887" si="117">IF(ISERROR(VLOOKUP($B879,일위11,10,FALSE)),0,VLOOKUP($B879,일위11,10,FALSE))</f>
        <v>0</v>
      </c>
      <c r="I879" s="928">
        <f t="shared" ref="I879:I887" si="118">INT(G879*H879)</f>
        <v>0</v>
      </c>
      <c r="J879" s="928">
        <f t="shared" ref="J879:J887" si="119">IF(ISERROR(VLOOKUP($B879,일위11,12,FALSE)),0,VLOOKUP($B879,일위11,12,FALSE))</f>
        <v>0</v>
      </c>
      <c r="K879" s="928">
        <f t="shared" ref="K879:K887" si="120">INT(G879*J879)</f>
        <v>0</v>
      </c>
      <c r="L879" s="928">
        <f t="shared" ref="L879:L887" si="121">IF(ISERROR(VLOOKUP($B879,일위11,14,FALSE)),0,VLOOKUP($B879,일위11,14,FALSE))</f>
        <v>0</v>
      </c>
      <c r="M879" s="928">
        <f t="shared" ref="M879:M887" si="122">INT(G879*L879)</f>
        <v>0</v>
      </c>
      <c r="N879" s="928"/>
      <c r="O879" s="928">
        <f t="shared" ref="O879:O880" si="123">INT(I879+K879+M879)</f>
        <v>0</v>
      </c>
      <c r="P879" s="700">
        <f t="shared" ref="P879:P887" si="124">IF(ISERROR(VLOOKUP($B879,일위11,4,FALSE)),0,VLOOKUP($B879,일위11,4,FALSE))</f>
        <v>0</v>
      </c>
    </row>
    <row r="880" spans="2:16" ht="18" customHeight="1">
      <c r="B880" s="193" t="e">
        <f>#REF!</f>
        <v>#REF!</v>
      </c>
      <c r="C880" s="683"/>
      <c r="D880" s="928" t="e">
        <f>VLOOKUP($B880,#REF!,2,FALSE)</f>
        <v>#REF!</v>
      </c>
      <c r="E880" s="928" t="e">
        <f>VLOOKUP($B880,#REF!,3,FALSE)</f>
        <v>#REF!</v>
      </c>
      <c r="F880" s="699" t="e">
        <f>VLOOKUP($B880,#REF!,4,FALSE)</f>
        <v>#REF!</v>
      </c>
      <c r="G880" s="684">
        <f>'신호등 기초산출'!$X$17</f>
        <v>3.56</v>
      </c>
      <c r="H880" s="928">
        <f t="shared" si="117"/>
        <v>0</v>
      </c>
      <c r="I880" s="928">
        <f t="shared" si="118"/>
        <v>0</v>
      </c>
      <c r="J880" s="928">
        <f t="shared" si="119"/>
        <v>0</v>
      </c>
      <c r="K880" s="928">
        <f t="shared" si="120"/>
        <v>0</v>
      </c>
      <c r="L880" s="928">
        <f t="shared" si="121"/>
        <v>0</v>
      </c>
      <c r="M880" s="928">
        <f t="shared" si="122"/>
        <v>0</v>
      </c>
      <c r="N880" s="928"/>
      <c r="O880" s="928">
        <f t="shared" si="123"/>
        <v>0</v>
      </c>
      <c r="P880" s="700">
        <f t="shared" si="124"/>
        <v>0</v>
      </c>
    </row>
    <row r="881" spans="2:16" ht="18" customHeight="1">
      <c r="B881" s="193" t="e">
        <f>#REF!</f>
        <v>#REF!</v>
      </c>
      <c r="C881" s="683"/>
      <c r="D881" s="928" t="e">
        <f>VLOOKUP($B881,#REF!,2,FALSE)</f>
        <v>#REF!</v>
      </c>
      <c r="E881" s="928" t="e">
        <f>VLOOKUP($B881,#REF!,3,FALSE)</f>
        <v>#REF!</v>
      </c>
      <c r="F881" s="699" t="e">
        <f>VLOOKUP($B881,#REF!,4,FALSE)</f>
        <v>#REF!</v>
      </c>
      <c r="G881" s="684">
        <f>'신호등 기초산출'!$X$19</f>
        <v>1.06</v>
      </c>
      <c r="H881" s="928">
        <f t="shared" si="117"/>
        <v>0</v>
      </c>
      <c r="I881" s="928">
        <f t="shared" si="118"/>
        <v>0</v>
      </c>
      <c r="J881" s="928">
        <f t="shared" si="119"/>
        <v>0</v>
      </c>
      <c r="K881" s="928">
        <f t="shared" si="120"/>
        <v>0</v>
      </c>
      <c r="L881" s="928">
        <f t="shared" si="121"/>
        <v>0</v>
      </c>
      <c r="M881" s="928">
        <f t="shared" si="122"/>
        <v>0</v>
      </c>
      <c r="N881" s="928"/>
      <c r="O881" s="928">
        <f>INT(I881+K881+M881)</f>
        <v>0</v>
      </c>
      <c r="P881" s="700">
        <f t="shared" si="124"/>
        <v>0</v>
      </c>
    </row>
    <row r="882" spans="2:16" ht="18" customHeight="1">
      <c r="B882" s="193" t="e">
        <f>#REF!</f>
        <v>#REF!</v>
      </c>
      <c r="C882" s="683"/>
      <c r="D882" s="928" t="e">
        <f>VLOOKUP($B882,#REF!,2,FALSE)</f>
        <v>#REF!</v>
      </c>
      <c r="E882" s="928" t="e">
        <f>VLOOKUP($B882,#REF!,3,FALSE)</f>
        <v>#REF!</v>
      </c>
      <c r="F882" s="699" t="e">
        <f>VLOOKUP($B882,#REF!,4,FALSE)</f>
        <v>#REF!</v>
      </c>
      <c r="G882" s="684">
        <f>'신호등 기초산출'!$X$23</f>
        <v>1.06</v>
      </c>
      <c r="H882" s="928">
        <f t="shared" si="117"/>
        <v>0</v>
      </c>
      <c r="I882" s="928">
        <f t="shared" si="118"/>
        <v>0</v>
      </c>
      <c r="J882" s="928">
        <f t="shared" si="119"/>
        <v>0</v>
      </c>
      <c r="K882" s="928">
        <f t="shared" si="120"/>
        <v>0</v>
      </c>
      <c r="L882" s="928">
        <f t="shared" si="121"/>
        <v>0</v>
      </c>
      <c r="M882" s="928">
        <f t="shared" si="122"/>
        <v>0</v>
      </c>
      <c r="N882" s="928"/>
      <c r="O882" s="928">
        <f t="shared" ref="O882:O887" si="125">INT(I882+K882+M882)</f>
        <v>0</v>
      </c>
      <c r="P882" s="700">
        <f t="shared" si="124"/>
        <v>0</v>
      </c>
    </row>
    <row r="883" spans="2:16" ht="18" customHeight="1">
      <c r="B883" s="193" t="str">
        <f>부록단가비교표!$A$5</f>
        <v>합판 거푸집6회</v>
      </c>
      <c r="C883" s="683"/>
      <c r="D883" s="928" t="str">
        <f>VLOOKUP($B883,부록단가비교표!$A:$K,2,FALSE)</f>
        <v>합판 거푸집</v>
      </c>
      <c r="E883" s="928" t="str">
        <f>VLOOKUP($B883,부록단가비교표!$A:$K,3,FALSE)</f>
        <v>6회</v>
      </c>
      <c r="F883" s="699" t="str">
        <f>VLOOKUP($B883,부록단가비교표!$A:$K,4,FALSE)</f>
        <v>㎡</v>
      </c>
      <c r="G883" s="684">
        <f>'신호등 기초산출'!$X$21</f>
        <v>4.54</v>
      </c>
      <c r="H883" s="928">
        <f t="shared" si="117"/>
        <v>0</v>
      </c>
      <c r="I883" s="928">
        <f t="shared" si="118"/>
        <v>0</v>
      </c>
      <c r="J883" s="928">
        <f t="shared" si="119"/>
        <v>0</v>
      </c>
      <c r="K883" s="928">
        <f t="shared" si="120"/>
        <v>0</v>
      </c>
      <c r="L883" s="928">
        <f t="shared" si="121"/>
        <v>0</v>
      </c>
      <c r="M883" s="928">
        <f t="shared" si="122"/>
        <v>0</v>
      </c>
      <c r="N883" s="928"/>
      <c r="O883" s="928">
        <f t="shared" si="125"/>
        <v>0</v>
      </c>
      <c r="P883" s="700">
        <f t="shared" si="124"/>
        <v>0</v>
      </c>
    </row>
    <row r="884" spans="2:16" ht="18" customHeight="1">
      <c r="B884" s="193" t="e">
        <f>#REF!</f>
        <v>#REF!</v>
      </c>
      <c r="C884" s="683"/>
      <c r="D884" s="928" t="e">
        <f>VLOOKUP($B884,#REF!,2,FALSE)</f>
        <v>#REF!</v>
      </c>
      <c r="E884" s="928" t="e">
        <f>VLOOKUP($B884,#REF!,3,FALSE)</f>
        <v>#REF!</v>
      </c>
      <c r="F884" s="699" t="e">
        <f>VLOOKUP($B884,#REF!,4,FALSE)</f>
        <v>#REF!</v>
      </c>
      <c r="G884" s="684">
        <v>1</v>
      </c>
      <c r="H884" s="928">
        <f t="shared" si="117"/>
        <v>0</v>
      </c>
      <c r="I884" s="928">
        <f t="shared" si="118"/>
        <v>0</v>
      </c>
      <c r="J884" s="928">
        <f t="shared" si="119"/>
        <v>0</v>
      </c>
      <c r="K884" s="928">
        <f t="shared" si="120"/>
        <v>0</v>
      </c>
      <c r="L884" s="928">
        <f t="shared" si="121"/>
        <v>0</v>
      </c>
      <c r="M884" s="928">
        <f t="shared" si="122"/>
        <v>0</v>
      </c>
      <c r="N884" s="928"/>
      <c r="O884" s="928">
        <f t="shared" si="125"/>
        <v>0</v>
      </c>
      <c r="P884" s="700">
        <f t="shared" si="124"/>
        <v>0</v>
      </c>
    </row>
    <row r="885" spans="2:16" ht="18" customHeight="1">
      <c r="B885" s="193" t="e">
        <f>#REF!</f>
        <v>#REF!</v>
      </c>
      <c r="C885" s="683"/>
      <c r="D885" s="928" t="e">
        <f>VLOOKUP($B885,#REF!,2,FALSE)</f>
        <v>#REF!</v>
      </c>
      <c r="E885" s="928" t="e">
        <f>VLOOKUP($B885,#REF!,3,FALSE)</f>
        <v>#REF!</v>
      </c>
      <c r="F885" s="699" t="e">
        <f>VLOOKUP($B885,#REF!,4,FALSE)</f>
        <v>#REF!</v>
      </c>
      <c r="G885" s="684">
        <v>1</v>
      </c>
      <c r="H885" s="928">
        <f t="shared" si="117"/>
        <v>0</v>
      </c>
      <c r="I885" s="928">
        <f t="shared" si="118"/>
        <v>0</v>
      </c>
      <c r="J885" s="928">
        <f t="shared" si="119"/>
        <v>0</v>
      </c>
      <c r="K885" s="928">
        <f t="shared" si="120"/>
        <v>0</v>
      </c>
      <c r="L885" s="928">
        <f t="shared" si="121"/>
        <v>0</v>
      </c>
      <c r="M885" s="928">
        <f t="shared" si="122"/>
        <v>0</v>
      </c>
      <c r="N885" s="928"/>
      <c r="O885" s="928">
        <f t="shared" si="125"/>
        <v>0</v>
      </c>
      <c r="P885" s="700">
        <f t="shared" si="124"/>
        <v>0</v>
      </c>
    </row>
    <row r="886" spans="2:16" ht="18" customHeight="1">
      <c r="B886" s="193" t="e">
        <f>#REF!</f>
        <v>#REF!</v>
      </c>
      <c r="C886" s="683"/>
      <c r="D886" s="928" t="e">
        <f>VLOOKUP($B886,#REF!,2,FALSE)</f>
        <v>#REF!</v>
      </c>
      <c r="E886" s="928" t="e">
        <f>VLOOKUP($B886,#REF!,3,FALSE)</f>
        <v>#REF!</v>
      </c>
      <c r="F886" s="699" t="e">
        <f>VLOOKUP($B886,#REF!,4,FALSE)</f>
        <v>#REF!</v>
      </c>
      <c r="G886" s="684">
        <v>3</v>
      </c>
      <c r="H886" s="928">
        <f t="shared" si="117"/>
        <v>0</v>
      </c>
      <c r="I886" s="928">
        <f t="shared" si="118"/>
        <v>0</v>
      </c>
      <c r="J886" s="928">
        <f t="shared" si="119"/>
        <v>0</v>
      </c>
      <c r="K886" s="928">
        <f t="shared" si="120"/>
        <v>0</v>
      </c>
      <c r="L886" s="928">
        <f t="shared" si="121"/>
        <v>0</v>
      </c>
      <c r="M886" s="928">
        <f t="shared" si="122"/>
        <v>0</v>
      </c>
      <c r="N886" s="928"/>
      <c r="O886" s="928">
        <f t="shared" si="125"/>
        <v>0</v>
      </c>
      <c r="P886" s="700">
        <f t="shared" si="124"/>
        <v>0</v>
      </c>
    </row>
    <row r="887" spans="2:16" ht="18" customHeight="1">
      <c r="B887" s="193" t="e">
        <f>#REF!</f>
        <v>#REF!</v>
      </c>
      <c r="C887" s="683"/>
      <c r="D887" s="928" t="e">
        <f>VLOOKUP($B887,#REF!,2,FALSE)</f>
        <v>#REF!</v>
      </c>
      <c r="E887" s="928" t="e">
        <f>VLOOKUP($B887,#REF!,3,FALSE)</f>
        <v>#REF!</v>
      </c>
      <c r="F887" s="699" t="e">
        <f>VLOOKUP($B887,#REF!,4,FALSE)</f>
        <v>#REF!</v>
      </c>
      <c r="G887" s="684">
        <v>1</v>
      </c>
      <c r="H887" s="928">
        <f t="shared" si="117"/>
        <v>0</v>
      </c>
      <c r="I887" s="928">
        <f t="shared" si="118"/>
        <v>0</v>
      </c>
      <c r="J887" s="928">
        <f t="shared" si="119"/>
        <v>0</v>
      </c>
      <c r="K887" s="928">
        <f t="shared" si="120"/>
        <v>0</v>
      </c>
      <c r="L887" s="928">
        <f t="shared" si="121"/>
        <v>0</v>
      </c>
      <c r="M887" s="928">
        <f t="shared" si="122"/>
        <v>0</v>
      </c>
      <c r="N887" s="928"/>
      <c r="O887" s="928">
        <f t="shared" si="125"/>
        <v>0</v>
      </c>
      <c r="P887" s="700">
        <f t="shared" si="124"/>
        <v>0</v>
      </c>
    </row>
    <row r="888" spans="2:16" ht="18" customHeight="1">
      <c r="B888" s="193" t="str">
        <f>CONCATENATE(C877,D888)</f>
        <v>계</v>
      </c>
      <c r="C888" s="683"/>
      <c r="D888" s="928" t="s">
        <v>48</v>
      </c>
      <c r="E888" s="928"/>
      <c r="F888" s="699"/>
      <c r="G888" s="684"/>
      <c r="H888" s="928"/>
      <c r="I888" s="928">
        <f>SUM(I878:I887)</f>
        <v>0</v>
      </c>
      <c r="J888" s="928"/>
      <c r="K888" s="928">
        <f>SUM(K878:K887)</f>
        <v>0</v>
      </c>
      <c r="L888" s="928"/>
      <c r="M888" s="928">
        <f>SUM(M878:M887)</f>
        <v>0</v>
      </c>
      <c r="N888" s="928"/>
      <c r="O888" s="928">
        <f>INT(I888+K888+M888)</f>
        <v>0</v>
      </c>
      <c r="P888" s="700"/>
    </row>
    <row r="889" spans="2:16" ht="18" customHeight="1">
      <c r="C889" s="683"/>
      <c r="D889" s="928"/>
      <c r="E889" s="928"/>
      <c r="F889" s="699"/>
      <c r="G889" s="684"/>
      <c r="H889" s="928"/>
      <c r="I889" s="928"/>
      <c r="J889" s="928"/>
      <c r="K889" s="928"/>
      <c r="L889" s="928"/>
      <c r="M889" s="928"/>
      <c r="N889" s="928"/>
      <c r="O889" s="928"/>
      <c r="P889" s="700"/>
    </row>
    <row r="890" spans="2:16" ht="18" customHeight="1">
      <c r="C890" s="683"/>
      <c r="D890" s="928"/>
      <c r="E890" s="928"/>
      <c r="F890" s="699"/>
      <c r="G890" s="684"/>
      <c r="H890" s="928"/>
      <c r="I890" s="928"/>
      <c r="J890" s="928"/>
      <c r="K890" s="928"/>
      <c r="L890" s="928"/>
      <c r="M890" s="928"/>
      <c r="N890" s="928"/>
      <c r="O890" s="928"/>
      <c r="P890" s="700"/>
    </row>
    <row r="891" spans="2:16" ht="18" customHeight="1">
      <c r="C891" s="683"/>
      <c r="D891" s="928"/>
      <c r="E891" s="928"/>
      <c r="F891" s="699"/>
      <c r="G891" s="684"/>
      <c r="H891" s="928"/>
      <c r="I891" s="928"/>
      <c r="J891" s="928"/>
      <c r="K891" s="928"/>
      <c r="L891" s="928"/>
      <c r="M891" s="928"/>
      <c r="N891" s="928"/>
      <c r="O891" s="928"/>
      <c r="P891" s="700"/>
    </row>
    <row r="892" spans="2:16" ht="18" customHeight="1">
      <c r="C892" s="683"/>
      <c r="D892" s="928"/>
      <c r="E892" s="928"/>
      <c r="F892" s="699"/>
      <c r="G892" s="684"/>
      <c r="H892" s="928"/>
      <c r="I892" s="928"/>
      <c r="J892" s="928"/>
      <c r="K892" s="928"/>
      <c r="L892" s="928"/>
      <c r="M892" s="928"/>
      <c r="N892" s="928"/>
      <c r="O892" s="928"/>
      <c r="P892" s="700"/>
    </row>
    <row r="893" spans="2:16" ht="18" customHeight="1">
      <c r="C893" s="683"/>
      <c r="D893" s="928"/>
      <c r="E893" s="928"/>
      <c r="F893" s="699"/>
      <c r="G893" s="684"/>
      <c r="H893" s="928"/>
      <c r="I893" s="928"/>
      <c r="J893" s="928"/>
      <c r="K893" s="928"/>
      <c r="L893" s="928"/>
      <c r="M893" s="928"/>
      <c r="N893" s="928"/>
      <c r="O893" s="928"/>
      <c r="P893" s="700"/>
    </row>
    <row r="894" spans="2:16" ht="18" customHeight="1">
      <c r="C894" s="683"/>
      <c r="D894" s="928"/>
      <c r="E894" s="928"/>
      <c r="F894" s="699"/>
      <c r="G894" s="684"/>
      <c r="H894" s="928"/>
      <c r="I894" s="928"/>
      <c r="J894" s="928"/>
      <c r="K894" s="928"/>
      <c r="L894" s="928"/>
      <c r="M894" s="928"/>
      <c r="N894" s="928"/>
      <c r="O894" s="928"/>
      <c r="P894" s="700"/>
    </row>
    <row r="895" spans="2:16" ht="18" customHeight="1">
      <c r="C895" s="683"/>
      <c r="D895" s="928"/>
      <c r="E895" s="928"/>
      <c r="F895" s="699"/>
      <c r="G895" s="684"/>
      <c r="H895" s="928"/>
      <c r="I895" s="928"/>
      <c r="J895" s="928"/>
      <c r="K895" s="928"/>
      <c r="L895" s="928"/>
      <c r="M895" s="928"/>
      <c r="N895" s="928"/>
      <c r="O895" s="928"/>
      <c r="P895" s="700"/>
    </row>
    <row r="896" spans="2:16" ht="18" customHeight="1">
      <c r="C896" s="683"/>
      <c r="D896" s="928"/>
      <c r="E896" s="928"/>
      <c r="F896" s="699"/>
      <c r="G896" s="684"/>
      <c r="H896" s="928"/>
      <c r="I896" s="928"/>
      <c r="J896" s="928"/>
      <c r="K896" s="928"/>
      <c r="L896" s="928"/>
      <c r="M896" s="928"/>
      <c r="N896" s="928"/>
      <c r="O896" s="928"/>
      <c r="P896" s="700"/>
    </row>
    <row r="897" spans="2:16" ht="18" customHeight="1">
      <c r="C897" s="683"/>
      <c r="D897" s="928"/>
      <c r="E897" s="928"/>
      <c r="F897" s="699"/>
      <c r="G897" s="684"/>
      <c r="H897" s="928"/>
      <c r="I897" s="928"/>
      <c r="J897" s="928"/>
      <c r="K897" s="928"/>
      <c r="L897" s="928"/>
      <c r="M897" s="928"/>
      <c r="N897" s="928"/>
      <c r="O897" s="928"/>
      <c r="P897" s="700"/>
    </row>
    <row r="898" spans="2:16" ht="18" customHeight="1">
      <c r="C898" s="683"/>
      <c r="D898" s="928"/>
      <c r="E898" s="928"/>
      <c r="F898" s="699"/>
      <c r="G898" s="684"/>
      <c r="H898" s="928"/>
      <c r="I898" s="928"/>
      <c r="J898" s="928"/>
      <c r="K898" s="928"/>
      <c r="L898" s="928"/>
      <c r="M898" s="928"/>
      <c r="N898" s="928"/>
      <c r="O898" s="928"/>
      <c r="P898" s="700"/>
    </row>
    <row r="899" spans="2:16" ht="18" customHeight="1">
      <c r="C899" s="691"/>
      <c r="D899" s="692"/>
      <c r="E899" s="692"/>
      <c r="F899" s="702"/>
      <c r="G899" s="703"/>
      <c r="H899" s="692"/>
      <c r="I899" s="692"/>
      <c r="J899" s="692"/>
      <c r="K899" s="692"/>
      <c r="L899" s="692"/>
      <c r="M899" s="692"/>
      <c r="N899" s="692"/>
      <c r="O899" s="692"/>
      <c r="P899" s="704"/>
    </row>
    <row r="900" spans="2:16" ht="18" customHeight="1">
      <c r="B900" s="193">
        <f>C900</f>
        <v>0</v>
      </c>
      <c r="C900" s="680"/>
      <c r="D900" s="681" t="e">
        <f>D901</f>
        <v>#REF!</v>
      </c>
      <c r="E900" s="681" t="e">
        <f>E901</f>
        <v>#REF!</v>
      </c>
      <c r="F900" s="697" t="e">
        <f>F901</f>
        <v>#REF!</v>
      </c>
      <c r="G900" s="695"/>
      <c r="H900" s="681"/>
      <c r="I900" s="681"/>
      <c r="J900" s="681"/>
      <c r="K900" s="681"/>
      <c r="L900" s="681"/>
      <c r="M900" s="681"/>
      <c r="N900" s="681"/>
      <c r="O900" s="681"/>
      <c r="P900" s="698"/>
    </row>
    <row r="901" spans="2:16" ht="18" customHeight="1">
      <c r="B901" s="193" t="e">
        <f>#REF!</f>
        <v>#REF!</v>
      </c>
      <c r="C901" s="683"/>
      <c r="D901" s="928" t="e">
        <f>VLOOKUP($B901,#REF!,2,FALSE)</f>
        <v>#REF!</v>
      </c>
      <c r="E901" s="928" t="e">
        <f>VLOOKUP($B901,#REF!,3,FALSE)</f>
        <v>#REF!</v>
      </c>
      <c r="F901" s="699" t="e">
        <f>VLOOKUP($B901,#REF!,4,FALSE)</f>
        <v>#REF!</v>
      </c>
      <c r="G901" s="928">
        <v>1</v>
      </c>
      <c r="H901" s="928"/>
      <c r="I901" s="928"/>
      <c r="J901" s="928"/>
      <c r="K901" s="928"/>
      <c r="L901" s="928"/>
      <c r="M901" s="928"/>
      <c r="N901" s="928"/>
      <c r="O901" s="928"/>
      <c r="P901" s="700" t="s">
        <v>1107</v>
      </c>
    </row>
    <row r="902" spans="2:16" ht="18" customHeight="1">
      <c r="B902" s="193" t="e">
        <f>#REF!</f>
        <v>#REF!</v>
      </c>
      <c r="C902" s="683"/>
      <c r="D902" s="928" t="e">
        <f>VLOOKUP($B902,#REF!,2,FALSE)</f>
        <v>#REF!</v>
      </c>
      <c r="E902" s="928" t="e">
        <f>VLOOKUP($B902,#REF!,3,FALSE)</f>
        <v>#REF!</v>
      </c>
      <c r="F902" s="699" t="e">
        <f>VLOOKUP($B902,#REF!,4,FALSE)</f>
        <v>#REF!</v>
      </c>
      <c r="G902" s="684">
        <f>'신호등 기초산출'!$X$125</f>
        <v>0.78</v>
      </c>
      <c r="H902" s="928">
        <f t="shared" ref="H902:H910" si="126">IF(ISERROR(VLOOKUP($B902,일위11,10,FALSE)),0,VLOOKUP($B902,일위11,10,FALSE))</f>
        <v>0</v>
      </c>
      <c r="I902" s="928">
        <f t="shared" ref="I902:I910" si="127">INT(G902*H902)</f>
        <v>0</v>
      </c>
      <c r="J902" s="928">
        <f t="shared" ref="J902:J910" si="128">IF(ISERROR(VLOOKUP($B902,일위11,12,FALSE)),0,VLOOKUP($B902,일위11,12,FALSE))</f>
        <v>0</v>
      </c>
      <c r="K902" s="928">
        <f t="shared" ref="K902:K910" si="129">INT(G902*J902)</f>
        <v>0</v>
      </c>
      <c r="L902" s="928">
        <f t="shared" ref="L902:L910" si="130">IF(ISERROR(VLOOKUP($B902,일위11,14,FALSE)),0,VLOOKUP($B902,일위11,14,FALSE))</f>
        <v>0</v>
      </c>
      <c r="M902" s="928">
        <f t="shared" ref="M902:M910" si="131">INT(G902*L902)</f>
        <v>0</v>
      </c>
      <c r="N902" s="928"/>
      <c r="O902" s="928">
        <f t="shared" ref="O902:O903" si="132">INT(I902+K902+M902)</f>
        <v>0</v>
      </c>
      <c r="P902" s="700">
        <f t="shared" ref="P902:P910" si="133">IF(ISERROR(VLOOKUP($B902,일위11,4,FALSE)),0,VLOOKUP($B902,일위11,4,FALSE))</f>
        <v>0</v>
      </c>
    </row>
    <row r="903" spans="2:16" ht="18" customHeight="1">
      <c r="B903" s="193" t="e">
        <f>#REF!</f>
        <v>#REF!</v>
      </c>
      <c r="C903" s="683"/>
      <c r="D903" s="928" t="e">
        <f>VLOOKUP($B903,#REF!,2,FALSE)</f>
        <v>#REF!</v>
      </c>
      <c r="E903" s="928" t="e">
        <f>VLOOKUP($B903,#REF!,3,FALSE)</f>
        <v>#REF!</v>
      </c>
      <c r="F903" s="699" t="e">
        <f>VLOOKUP($B903,#REF!,4,FALSE)</f>
        <v>#REF!</v>
      </c>
      <c r="G903" s="684">
        <f>'신호등 기초산출'!$X$127</f>
        <v>0.49000000000000005</v>
      </c>
      <c r="H903" s="928">
        <f t="shared" si="126"/>
        <v>0</v>
      </c>
      <c r="I903" s="928">
        <f t="shared" si="127"/>
        <v>0</v>
      </c>
      <c r="J903" s="928">
        <f t="shared" si="128"/>
        <v>0</v>
      </c>
      <c r="K903" s="928">
        <f t="shared" si="129"/>
        <v>0</v>
      </c>
      <c r="L903" s="928">
        <f t="shared" si="130"/>
        <v>0</v>
      </c>
      <c r="M903" s="928">
        <f t="shared" si="131"/>
        <v>0</v>
      </c>
      <c r="N903" s="928"/>
      <c r="O903" s="928">
        <f t="shared" si="132"/>
        <v>0</v>
      </c>
      <c r="P903" s="700">
        <f t="shared" si="133"/>
        <v>0</v>
      </c>
    </row>
    <row r="904" spans="2:16" ht="18" customHeight="1">
      <c r="B904" s="193" t="e">
        <f>#REF!</f>
        <v>#REF!</v>
      </c>
      <c r="C904" s="683"/>
      <c r="D904" s="928" t="e">
        <f>VLOOKUP($B904,#REF!,2,FALSE)</f>
        <v>#REF!</v>
      </c>
      <c r="E904" s="928" t="e">
        <f>VLOOKUP($B904,#REF!,3,FALSE)</f>
        <v>#REF!</v>
      </c>
      <c r="F904" s="699" t="e">
        <f>VLOOKUP($B904,#REF!,4,FALSE)</f>
        <v>#REF!</v>
      </c>
      <c r="G904" s="684">
        <f>'신호등 기초산출'!$X$129</f>
        <v>0.72</v>
      </c>
      <c r="H904" s="928">
        <f t="shared" si="126"/>
        <v>0</v>
      </c>
      <c r="I904" s="928">
        <f t="shared" si="127"/>
        <v>0</v>
      </c>
      <c r="J904" s="928">
        <f t="shared" si="128"/>
        <v>0</v>
      </c>
      <c r="K904" s="928">
        <f t="shared" si="129"/>
        <v>0</v>
      </c>
      <c r="L904" s="928">
        <f t="shared" si="130"/>
        <v>0</v>
      </c>
      <c r="M904" s="928">
        <f t="shared" si="131"/>
        <v>0</v>
      </c>
      <c r="N904" s="928"/>
      <c r="O904" s="928">
        <f>INT(I904+K904+M904)</f>
        <v>0</v>
      </c>
      <c r="P904" s="700">
        <f t="shared" si="133"/>
        <v>0</v>
      </c>
    </row>
    <row r="905" spans="2:16" ht="18" customHeight="1">
      <c r="B905" s="193" t="e">
        <f>#REF!</f>
        <v>#REF!</v>
      </c>
      <c r="C905" s="683"/>
      <c r="D905" s="928" t="e">
        <f>VLOOKUP($B905,#REF!,2,FALSE)</f>
        <v>#REF!</v>
      </c>
      <c r="E905" s="928" t="e">
        <f>VLOOKUP($B905,#REF!,3,FALSE)</f>
        <v>#REF!</v>
      </c>
      <c r="F905" s="699" t="e">
        <f>VLOOKUP($B905,#REF!,4,FALSE)</f>
        <v>#REF!</v>
      </c>
      <c r="G905" s="684">
        <f>'신호등 기초산출'!$X$133</f>
        <v>0.28999999999999998</v>
      </c>
      <c r="H905" s="928">
        <f t="shared" si="126"/>
        <v>0</v>
      </c>
      <c r="I905" s="928">
        <f t="shared" si="127"/>
        <v>0</v>
      </c>
      <c r="J905" s="928">
        <f t="shared" si="128"/>
        <v>0</v>
      </c>
      <c r="K905" s="928">
        <f t="shared" si="129"/>
        <v>0</v>
      </c>
      <c r="L905" s="928">
        <f t="shared" si="130"/>
        <v>0</v>
      </c>
      <c r="M905" s="928">
        <f t="shared" si="131"/>
        <v>0</v>
      </c>
      <c r="N905" s="928"/>
      <c r="O905" s="928">
        <f t="shared" ref="O905:O910" si="134">INT(I905+K905+M905)</f>
        <v>0</v>
      </c>
      <c r="P905" s="700">
        <f t="shared" si="133"/>
        <v>0</v>
      </c>
    </row>
    <row r="906" spans="2:16" ht="18" customHeight="1">
      <c r="B906" s="193" t="str">
        <f>부록단가비교표!$A$5</f>
        <v>합판 거푸집6회</v>
      </c>
      <c r="C906" s="683"/>
      <c r="D906" s="928" t="str">
        <f>VLOOKUP($B906,부록단가비교표!$A:$K,2,FALSE)</f>
        <v>합판 거푸집</v>
      </c>
      <c r="E906" s="928" t="str">
        <f>VLOOKUP($B906,부록단가비교표!$A:$K,3,FALSE)</f>
        <v>6회</v>
      </c>
      <c r="F906" s="699" t="str">
        <f>VLOOKUP($B906,부록단가비교표!$A:$K,4,FALSE)</f>
        <v>㎡</v>
      </c>
      <c r="G906" s="684">
        <f>'신호등 기초산출'!$X$131</f>
        <v>3.6</v>
      </c>
      <c r="H906" s="928">
        <f t="shared" si="126"/>
        <v>0</v>
      </c>
      <c r="I906" s="928">
        <f t="shared" si="127"/>
        <v>0</v>
      </c>
      <c r="J906" s="928">
        <f t="shared" si="128"/>
        <v>0</v>
      </c>
      <c r="K906" s="928">
        <f t="shared" si="129"/>
        <v>0</v>
      </c>
      <c r="L906" s="928">
        <f t="shared" si="130"/>
        <v>0</v>
      </c>
      <c r="M906" s="928">
        <f t="shared" si="131"/>
        <v>0</v>
      </c>
      <c r="N906" s="928"/>
      <c r="O906" s="928">
        <f t="shared" si="134"/>
        <v>0</v>
      </c>
      <c r="P906" s="700">
        <f t="shared" si="133"/>
        <v>0</v>
      </c>
    </row>
    <row r="907" spans="2:16" ht="18" customHeight="1">
      <c r="B907" s="193" t="e">
        <f>#REF!</f>
        <v>#REF!</v>
      </c>
      <c r="C907" s="683"/>
      <c r="D907" s="928" t="e">
        <f>VLOOKUP($B907,#REF!,2,FALSE)</f>
        <v>#REF!</v>
      </c>
      <c r="E907" s="928" t="e">
        <f>VLOOKUP($B907,#REF!,3,FALSE)</f>
        <v>#REF!</v>
      </c>
      <c r="F907" s="699" t="e">
        <f>VLOOKUP($B907,#REF!,4,FALSE)</f>
        <v>#REF!</v>
      </c>
      <c r="G907" s="684">
        <v>1</v>
      </c>
      <c r="H907" s="928">
        <f t="shared" si="126"/>
        <v>0</v>
      </c>
      <c r="I907" s="928">
        <f t="shared" si="127"/>
        <v>0</v>
      </c>
      <c r="J907" s="928">
        <f t="shared" si="128"/>
        <v>0</v>
      </c>
      <c r="K907" s="928">
        <f t="shared" si="129"/>
        <v>0</v>
      </c>
      <c r="L907" s="928">
        <f t="shared" si="130"/>
        <v>0</v>
      </c>
      <c r="M907" s="928">
        <f t="shared" si="131"/>
        <v>0</v>
      </c>
      <c r="N907" s="928"/>
      <c r="O907" s="928">
        <f t="shared" si="134"/>
        <v>0</v>
      </c>
      <c r="P907" s="700">
        <f t="shared" si="133"/>
        <v>0</v>
      </c>
    </row>
    <row r="908" spans="2:16" ht="18" customHeight="1">
      <c r="B908" s="193" t="e">
        <f>#REF!</f>
        <v>#REF!</v>
      </c>
      <c r="C908" s="683"/>
      <c r="D908" s="928" t="e">
        <f>VLOOKUP($B908,#REF!,2,FALSE)</f>
        <v>#REF!</v>
      </c>
      <c r="E908" s="928" t="e">
        <f>VLOOKUP($B908,#REF!,3,FALSE)</f>
        <v>#REF!</v>
      </c>
      <c r="F908" s="699" t="e">
        <f>VLOOKUP($B908,#REF!,4,FALSE)</f>
        <v>#REF!</v>
      </c>
      <c r="G908" s="684">
        <v>2</v>
      </c>
      <c r="H908" s="928">
        <f t="shared" si="126"/>
        <v>0</v>
      </c>
      <c r="I908" s="928">
        <f t="shared" si="127"/>
        <v>0</v>
      </c>
      <c r="J908" s="928">
        <f t="shared" si="128"/>
        <v>0</v>
      </c>
      <c r="K908" s="928">
        <f t="shared" si="129"/>
        <v>0</v>
      </c>
      <c r="L908" s="928">
        <f t="shared" si="130"/>
        <v>0</v>
      </c>
      <c r="M908" s="928">
        <f t="shared" si="131"/>
        <v>0</v>
      </c>
      <c r="N908" s="928"/>
      <c r="O908" s="928">
        <f t="shared" si="134"/>
        <v>0</v>
      </c>
      <c r="P908" s="700">
        <f t="shared" si="133"/>
        <v>0</v>
      </c>
    </row>
    <row r="909" spans="2:16" ht="18" customHeight="1">
      <c r="B909" s="193" t="e">
        <f>#REF!</f>
        <v>#REF!</v>
      </c>
      <c r="C909" s="683"/>
      <c r="D909" s="928" t="e">
        <f>VLOOKUP($B909,#REF!,2,FALSE)</f>
        <v>#REF!</v>
      </c>
      <c r="E909" s="928" t="e">
        <f>VLOOKUP($B909,#REF!,3,FALSE)</f>
        <v>#REF!</v>
      </c>
      <c r="F909" s="699" t="e">
        <f>VLOOKUP($B909,#REF!,4,FALSE)</f>
        <v>#REF!</v>
      </c>
      <c r="G909" s="684">
        <v>3</v>
      </c>
      <c r="H909" s="928">
        <f t="shared" si="126"/>
        <v>0</v>
      </c>
      <c r="I909" s="928">
        <f t="shared" si="127"/>
        <v>0</v>
      </c>
      <c r="J909" s="928">
        <f t="shared" si="128"/>
        <v>0</v>
      </c>
      <c r="K909" s="928">
        <f t="shared" si="129"/>
        <v>0</v>
      </c>
      <c r="L909" s="928">
        <f t="shared" si="130"/>
        <v>0</v>
      </c>
      <c r="M909" s="928">
        <f t="shared" si="131"/>
        <v>0</v>
      </c>
      <c r="N909" s="928"/>
      <c r="O909" s="928">
        <f t="shared" si="134"/>
        <v>0</v>
      </c>
      <c r="P909" s="700">
        <f t="shared" si="133"/>
        <v>0</v>
      </c>
    </row>
    <row r="910" spans="2:16" ht="18" customHeight="1">
      <c r="B910" s="193" t="e">
        <f>#REF!</f>
        <v>#REF!</v>
      </c>
      <c r="C910" s="683"/>
      <c r="D910" s="928" t="e">
        <f>VLOOKUP($B910,#REF!,2,FALSE)</f>
        <v>#REF!</v>
      </c>
      <c r="E910" s="928" t="e">
        <f>VLOOKUP($B910,#REF!,3,FALSE)</f>
        <v>#REF!</v>
      </c>
      <c r="F910" s="699" t="e">
        <f>VLOOKUP($B910,#REF!,4,FALSE)</f>
        <v>#REF!</v>
      </c>
      <c r="G910" s="684">
        <v>3</v>
      </c>
      <c r="H910" s="928">
        <f t="shared" si="126"/>
        <v>0</v>
      </c>
      <c r="I910" s="928">
        <f t="shared" si="127"/>
        <v>0</v>
      </c>
      <c r="J910" s="928">
        <f t="shared" si="128"/>
        <v>0</v>
      </c>
      <c r="K910" s="928">
        <f t="shared" si="129"/>
        <v>0</v>
      </c>
      <c r="L910" s="928">
        <f t="shared" si="130"/>
        <v>0</v>
      </c>
      <c r="M910" s="928">
        <f t="shared" si="131"/>
        <v>0</v>
      </c>
      <c r="N910" s="928"/>
      <c r="O910" s="928">
        <f t="shared" si="134"/>
        <v>0</v>
      </c>
      <c r="P910" s="700">
        <f t="shared" si="133"/>
        <v>0</v>
      </c>
    </row>
    <row r="911" spans="2:16" ht="18" customHeight="1">
      <c r="B911" s="193" t="str">
        <f>CONCATENATE(C900,D911)</f>
        <v>계</v>
      </c>
      <c r="C911" s="683"/>
      <c r="D911" s="928" t="s">
        <v>48</v>
      </c>
      <c r="E911" s="928"/>
      <c r="F911" s="699"/>
      <c r="G911" s="684"/>
      <c r="H911" s="928"/>
      <c r="I911" s="928">
        <f>SUM(I901:I910)</f>
        <v>0</v>
      </c>
      <c r="J911" s="928"/>
      <c r="K911" s="928">
        <f>SUM(K901:K910)</f>
        <v>0</v>
      </c>
      <c r="L911" s="928"/>
      <c r="M911" s="928">
        <f>SUM(M901:M910)</f>
        <v>0</v>
      </c>
      <c r="N911" s="928"/>
      <c r="O911" s="928">
        <f>INT(I911+K911+M911)</f>
        <v>0</v>
      </c>
      <c r="P911" s="700"/>
    </row>
    <row r="912" spans="2:16" ht="18" customHeight="1">
      <c r="C912" s="683"/>
      <c r="D912" s="928"/>
      <c r="E912" s="928"/>
      <c r="F912" s="699"/>
      <c r="G912" s="684"/>
      <c r="H912" s="928"/>
      <c r="I912" s="928"/>
      <c r="J912" s="928"/>
      <c r="K912" s="928"/>
      <c r="L912" s="928"/>
      <c r="M912" s="928"/>
      <c r="N912" s="928"/>
      <c r="O912" s="928"/>
      <c r="P912" s="700"/>
    </row>
    <row r="913" spans="2:16" ht="18" customHeight="1">
      <c r="B913" s="193">
        <f>C913</f>
        <v>0</v>
      </c>
      <c r="C913" s="690"/>
      <c r="D913" s="928" t="e">
        <f>D914</f>
        <v>#REF!</v>
      </c>
      <c r="E913" s="928" t="e">
        <f>E914</f>
        <v>#REF!</v>
      </c>
      <c r="F913" s="928" t="e">
        <f>F914</f>
        <v>#REF!</v>
      </c>
      <c r="G913" s="928"/>
      <c r="H913" s="928"/>
      <c r="I913" s="928"/>
      <c r="J913" s="928"/>
      <c r="K913" s="928"/>
      <c r="L913" s="928"/>
      <c r="M913" s="928"/>
      <c r="N913" s="928"/>
      <c r="O913" s="928"/>
      <c r="P913" s="685"/>
    </row>
    <row r="914" spans="2:16" ht="18" customHeight="1">
      <c r="B914" s="193" t="e">
        <f>#REF!</f>
        <v>#REF!</v>
      </c>
      <c r="C914" s="683"/>
      <c r="D914" s="928" t="e">
        <f>VLOOKUP($B914,#REF!,2,FALSE)</f>
        <v>#REF!</v>
      </c>
      <c r="E914" s="928" t="e">
        <f>VLOOKUP($B914,#REF!,3,FALSE)</f>
        <v>#REF!</v>
      </c>
      <c r="F914" s="928" t="e">
        <f>VLOOKUP($B914,#REF!,4,FALSE)</f>
        <v>#REF!</v>
      </c>
      <c r="G914" s="928">
        <v>1</v>
      </c>
      <c r="H914" s="928" t="e">
        <f>VLOOKUP($B914,#REF!,11,FALSE)</f>
        <v>#REF!</v>
      </c>
      <c r="I914" s="928" t="e">
        <f>INT(G914*H914)</f>
        <v>#REF!</v>
      </c>
      <c r="J914" s="928"/>
      <c r="K914" s="928"/>
      <c r="L914" s="928"/>
      <c r="M914" s="928"/>
      <c r="N914" s="928"/>
      <c r="O914" s="928" t="e">
        <f>INT(I914+K914+M914)</f>
        <v>#REF!</v>
      </c>
      <c r="P914" s="685"/>
    </row>
    <row r="915" spans="2:16" ht="18" customHeight="1">
      <c r="C915" s="683"/>
      <c r="D915" s="928" t="s">
        <v>40</v>
      </c>
      <c r="E915" s="696">
        <v>1.6</v>
      </c>
      <c r="F915" s="928" t="s">
        <v>102</v>
      </c>
      <c r="G915" s="688">
        <f>ROUNDDOWN(dhTextEvaluate(E915),3)</f>
        <v>1.6</v>
      </c>
      <c r="H915" s="928"/>
      <c r="I915" s="928"/>
      <c r="J915" s="928" t="e">
        <f>VLOOKUP($D915,#REF!,2,FALSE)</f>
        <v>#REF!</v>
      </c>
      <c r="K915" s="928" t="e">
        <f>INT(G915*J915)</f>
        <v>#REF!</v>
      </c>
      <c r="L915" s="928"/>
      <c r="M915" s="928"/>
      <c r="N915" s="928"/>
      <c r="O915" s="928" t="e">
        <f>INT(I915+K915+M915)</f>
        <v>#REF!</v>
      </c>
      <c r="P915" s="685" t="s">
        <v>1074</v>
      </c>
    </row>
    <row r="916" spans="2:16" ht="18" customHeight="1">
      <c r="C916" s="683"/>
      <c r="D916" s="928" t="s">
        <v>1073</v>
      </c>
      <c r="E916" s="696">
        <v>1.5</v>
      </c>
      <c r="F916" s="928" t="s">
        <v>102</v>
      </c>
      <c r="G916" s="688">
        <f>ROUNDDOWN(dhTextEvaluate(E916),3)</f>
        <v>1.5</v>
      </c>
      <c r="H916" s="928"/>
      <c r="I916" s="928"/>
      <c r="J916" s="928" t="e">
        <f>VLOOKUP($D916,#REF!,2,FALSE)</f>
        <v>#REF!</v>
      </c>
      <c r="K916" s="928" t="e">
        <f>INT(G916*J916)</f>
        <v>#REF!</v>
      </c>
      <c r="L916" s="928"/>
      <c r="M916" s="928"/>
      <c r="N916" s="928"/>
      <c r="O916" s="928" t="e">
        <f>INT(I916+K916+M916)</f>
        <v>#REF!</v>
      </c>
      <c r="P916" s="685" t="s">
        <v>1074</v>
      </c>
    </row>
    <row r="917" spans="2:16" ht="18" customHeight="1">
      <c r="C917" s="683"/>
      <c r="D917" s="928" t="s">
        <v>1075</v>
      </c>
      <c r="E917" s="696">
        <v>0.38</v>
      </c>
      <c r="F917" s="928" t="s">
        <v>102</v>
      </c>
      <c r="G917" s="688">
        <f t="shared" ref="G917:G918" si="135">ROUNDDOWN(dhTextEvaluate(E917),3)</f>
        <v>0.38</v>
      </c>
      <c r="H917" s="928"/>
      <c r="I917" s="928"/>
      <c r="J917" s="928" t="e">
        <f>VLOOKUP($D917,#REF!,2,FALSE)</f>
        <v>#REF!</v>
      </c>
      <c r="K917" s="928" t="e">
        <f>INT(G917*J917)</f>
        <v>#REF!</v>
      </c>
      <c r="L917" s="928"/>
      <c r="M917" s="928"/>
      <c r="N917" s="928"/>
      <c r="O917" s="928" t="e">
        <f t="shared" ref="O917:O918" si="136">INT(I917+K917+M917)</f>
        <v>#REF!</v>
      </c>
      <c r="P917" s="685" t="s">
        <v>1074</v>
      </c>
    </row>
    <row r="918" spans="2:16" ht="18" customHeight="1">
      <c r="C918" s="683"/>
      <c r="D918" s="928" t="s">
        <v>1076</v>
      </c>
      <c r="E918" s="696">
        <v>0.23</v>
      </c>
      <c r="F918" s="928" t="s">
        <v>102</v>
      </c>
      <c r="G918" s="688">
        <f t="shared" si="135"/>
        <v>0.23</v>
      </c>
      <c r="H918" s="928"/>
      <c r="I918" s="928"/>
      <c r="J918" s="928" t="e">
        <f>VLOOKUP($D918,#REF!,2,FALSE)</f>
        <v>#REF!</v>
      </c>
      <c r="K918" s="928" t="e">
        <f>INT(G918*J918)</f>
        <v>#REF!</v>
      </c>
      <c r="L918" s="928"/>
      <c r="M918" s="928"/>
      <c r="N918" s="928"/>
      <c r="O918" s="928" t="e">
        <f t="shared" si="136"/>
        <v>#REF!</v>
      </c>
      <c r="P918" s="685" t="s">
        <v>1074</v>
      </c>
    </row>
    <row r="919" spans="2:16" ht="18" customHeight="1">
      <c r="C919" s="683"/>
      <c r="D919" s="928" t="s">
        <v>403</v>
      </c>
      <c r="E919" s="696" t="s">
        <v>41</v>
      </c>
      <c r="F919" s="928" t="s">
        <v>100</v>
      </c>
      <c r="G919" s="688">
        <v>1</v>
      </c>
      <c r="H919" s="928" t="e">
        <f>INT(SUM(K920)*0.03)</f>
        <v>#REF!</v>
      </c>
      <c r="I919" s="928" t="e">
        <f>INT(G919*H919)</f>
        <v>#REF!</v>
      </c>
      <c r="J919" s="928"/>
      <c r="K919" s="928"/>
      <c r="L919" s="928"/>
      <c r="M919" s="928"/>
      <c r="N919" s="928"/>
      <c r="O919" s="928" t="e">
        <f>INT(I919+K919+M919)</f>
        <v>#REF!</v>
      </c>
      <c r="P919" s="685" t="s">
        <v>42</v>
      </c>
    </row>
    <row r="920" spans="2:16" ht="18" customHeight="1">
      <c r="B920" s="193" t="str">
        <f>CONCATENATE(C913,D920)</f>
        <v>계</v>
      </c>
      <c r="C920" s="683"/>
      <c r="D920" s="928" t="s">
        <v>96</v>
      </c>
      <c r="E920" s="689"/>
      <c r="F920" s="928"/>
      <c r="G920" s="928"/>
      <c r="H920" s="928"/>
      <c r="I920" s="929" t="e">
        <f>SUM(I914:I919)</f>
        <v>#REF!</v>
      </c>
      <c r="J920" s="928"/>
      <c r="K920" s="928" t="e">
        <f>SUM(K914:K919)</f>
        <v>#REF!</v>
      </c>
      <c r="L920" s="928"/>
      <c r="M920" s="928">
        <f>SUM(M914:M919)</f>
        <v>0</v>
      </c>
      <c r="N920" s="928"/>
      <c r="O920" s="928" t="e">
        <f>INT(I920+K920+M920)</f>
        <v>#REF!</v>
      </c>
      <c r="P920" s="685"/>
    </row>
    <row r="921" spans="2:16" ht="18" customHeight="1">
      <c r="C921" s="683"/>
      <c r="D921" s="928"/>
      <c r="E921" s="928"/>
      <c r="F921" s="928"/>
      <c r="G921" s="928"/>
      <c r="H921" s="928"/>
      <c r="I921" s="928"/>
      <c r="J921" s="928"/>
      <c r="K921" s="928"/>
      <c r="L921" s="928"/>
      <c r="M921" s="928"/>
      <c r="N921" s="928"/>
      <c r="O921" s="928"/>
      <c r="P921" s="685"/>
    </row>
    <row r="922" spans="2:16" ht="18" customHeight="1">
      <c r="C922" s="691"/>
      <c r="D922" s="692"/>
      <c r="E922" s="692"/>
      <c r="F922" s="692"/>
      <c r="G922" s="692"/>
      <c r="H922" s="692"/>
      <c r="I922" s="692"/>
      <c r="J922" s="692"/>
      <c r="K922" s="692"/>
      <c r="L922" s="692"/>
      <c r="M922" s="692"/>
      <c r="N922" s="692"/>
      <c r="O922" s="692"/>
      <c r="P922" s="693"/>
    </row>
    <row r="923" spans="2:16" ht="18" customHeight="1">
      <c r="B923" s="193">
        <f>C923</f>
        <v>0</v>
      </c>
      <c r="C923" s="680"/>
      <c r="D923" s="681" t="e">
        <f>D924</f>
        <v>#REF!</v>
      </c>
      <c r="E923" s="681" t="e">
        <f>E924</f>
        <v>#REF!</v>
      </c>
      <c r="F923" s="681" t="e">
        <f>F924</f>
        <v>#REF!</v>
      </c>
      <c r="G923" s="681"/>
      <c r="H923" s="681"/>
      <c r="I923" s="681"/>
      <c r="J923" s="681"/>
      <c r="K923" s="681"/>
      <c r="L923" s="681"/>
      <c r="M923" s="681"/>
      <c r="N923" s="681"/>
      <c r="O923" s="681"/>
      <c r="P923" s="682"/>
    </row>
    <row r="924" spans="2:16" ht="18" customHeight="1">
      <c r="B924" s="193" t="e">
        <f>#REF!</f>
        <v>#REF!</v>
      </c>
      <c r="C924" s="683"/>
      <c r="D924" s="928" t="e">
        <f>VLOOKUP($B924,#REF!,2,FALSE)</f>
        <v>#REF!</v>
      </c>
      <c r="E924" s="928" t="e">
        <f>VLOOKUP($B924,#REF!,3,FALSE)</f>
        <v>#REF!</v>
      </c>
      <c r="F924" s="928" t="e">
        <f>VLOOKUP($B924,#REF!,4,FALSE)</f>
        <v>#REF!</v>
      </c>
      <c r="G924" s="928">
        <v>1</v>
      </c>
      <c r="H924" s="928" t="e">
        <f>VLOOKUP($B924,#REF!,11,FALSE)</f>
        <v>#REF!</v>
      </c>
      <c r="I924" s="928" t="e">
        <f>INT(G924*H924)</f>
        <v>#REF!</v>
      </c>
      <c r="J924" s="928"/>
      <c r="K924" s="928"/>
      <c r="L924" s="928"/>
      <c r="M924" s="928"/>
      <c r="N924" s="928"/>
      <c r="O924" s="928" t="e">
        <f>INT(I924+K924+M924)</f>
        <v>#REF!</v>
      </c>
      <c r="P924" s="685"/>
    </row>
    <row r="925" spans="2:16" ht="18" customHeight="1">
      <c r="C925" s="683"/>
      <c r="D925" s="928" t="s">
        <v>40</v>
      </c>
      <c r="E925" s="696">
        <v>0.95</v>
      </c>
      <c r="F925" s="928" t="s">
        <v>102</v>
      </c>
      <c r="G925" s="688">
        <f>ROUNDDOWN(dhTextEvaluate(E925),3)</f>
        <v>0.95</v>
      </c>
      <c r="H925" s="928"/>
      <c r="I925" s="928"/>
      <c r="J925" s="928" t="e">
        <f>VLOOKUP($D925,#REF!,2,FALSE)</f>
        <v>#REF!</v>
      </c>
      <c r="K925" s="928" t="e">
        <f>INT(G925*J925)</f>
        <v>#REF!</v>
      </c>
      <c r="L925" s="928"/>
      <c r="M925" s="928"/>
      <c r="N925" s="928"/>
      <c r="O925" s="928" t="e">
        <f>INT(I925+K925+M925)</f>
        <v>#REF!</v>
      </c>
      <c r="P925" s="685" t="s">
        <v>1077</v>
      </c>
    </row>
    <row r="926" spans="2:16" ht="18" customHeight="1">
      <c r="C926" s="683"/>
      <c r="D926" s="928" t="s">
        <v>403</v>
      </c>
      <c r="E926" s="696" t="s">
        <v>41</v>
      </c>
      <c r="F926" s="928" t="s">
        <v>100</v>
      </c>
      <c r="G926" s="688">
        <v>1</v>
      </c>
      <c r="H926" s="928" t="e">
        <f>INT(SUM(K927)*0.03)</f>
        <v>#REF!</v>
      </c>
      <c r="I926" s="928" t="e">
        <f>INT(G926*H926)</f>
        <v>#REF!</v>
      </c>
      <c r="J926" s="928"/>
      <c r="K926" s="928"/>
      <c r="L926" s="928"/>
      <c r="M926" s="928"/>
      <c r="N926" s="928"/>
      <c r="O926" s="928" t="e">
        <f>INT(I926+K926+M926)</f>
        <v>#REF!</v>
      </c>
      <c r="P926" s="685" t="s">
        <v>42</v>
      </c>
    </row>
    <row r="927" spans="2:16" ht="18" customHeight="1">
      <c r="B927" s="193" t="str">
        <f>CONCATENATE(C923,D927)</f>
        <v>계</v>
      </c>
      <c r="C927" s="683"/>
      <c r="D927" s="928" t="s">
        <v>96</v>
      </c>
      <c r="E927" s="689"/>
      <c r="F927" s="928"/>
      <c r="G927" s="928"/>
      <c r="H927" s="928"/>
      <c r="I927" s="929" t="e">
        <f>SUM(I924:I926)</f>
        <v>#REF!</v>
      </c>
      <c r="J927" s="928"/>
      <c r="K927" s="928" t="e">
        <f>SUM(K924:K926)</f>
        <v>#REF!</v>
      </c>
      <c r="L927" s="928"/>
      <c r="M927" s="928">
        <f>SUM(M924:M926)</f>
        <v>0</v>
      </c>
      <c r="N927" s="928"/>
      <c r="O927" s="928" t="e">
        <f>INT(I927+K927+M927)</f>
        <v>#REF!</v>
      </c>
      <c r="P927" s="685"/>
    </row>
    <row r="928" spans="2:16" ht="18" customHeight="1">
      <c r="C928" s="683"/>
      <c r="D928" s="928"/>
      <c r="E928" s="928"/>
      <c r="F928" s="928"/>
      <c r="G928" s="928"/>
      <c r="H928" s="928"/>
      <c r="I928" s="928"/>
      <c r="J928" s="928"/>
      <c r="K928" s="928"/>
      <c r="L928" s="928"/>
      <c r="M928" s="928"/>
      <c r="N928" s="928"/>
      <c r="O928" s="928"/>
      <c r="P928" s="685"/>
    </row>
    <row r="929" spans="2:16" ht="18" customHeight="1">
      <c r="B929" s="193">
        <f>C929</f>
        <v>0</v>
      </c>
      <c r="C929" s="690"/>
      <c r="D929" s="928" t="e">
        <f>D930</f>
        <v>#REF!</v>
      </c>
      <c r="E929" s="928" t="e">
        <f>E930</f>
        <v>#REF!</v>
      </c>
      <c r="F929" s="928" t="e">
        <f>F930</f>
        <v>#REF!</v>
      </c>
      <c r="G929" s="928"/>
      <c r="H929" s="928"/>
      <c r="I929" s="928"/>
      <c r="J929" s="928"/>
      <c r="K929" s="928"/>
      <c r="L929" s="928"/>
      <c r="M929" s="928"/>
      <c r="N929" s="928"/>
      <c r="O929" s="928"/>
      <c r="P929" s="685"/>
    </row>
    <row r="930" spans="2:16" ht="18" customHeight="1">
      <c r="B930" s="193" t="e">
        <f>#REF!</f>
        <v>#REF!</v>
      </c>
      <c r="C930" s="683"/>
      <c r="D930" s="928" t="e">
        <f>VLOOKUP($B930,#REF!,2,FALSE)</f>
        <v>#REF!</v>
      </c>
      <c r="E930" s="928" t="e">
        <f>VLOOKUP($B930,#REF!,3,FALSE)</f>
        <v>#REF!</v>
      </c>
      <c r="F930" s="928" t="e">
        <f>VLOOKUP($B930,#REF!,4,FALSE)</f>
        <v>#REF!</v>
      </c>
      <c r="G930" s="928">
        <v>1</v>
      </c>
      <c r="H930" s="928" t="e">
        <f>VLOOKUP($B930,#REF!,11,FALSE)</f>
        <v>#REF!</v>
      </c>
      <c r="I930" s="928" t="e">
        <f>INT(G930*H930)</f>
        <v>#REF!</v>
      </c>
      <c r="J930" s="928"/>
      <c r="K930" s="928"/>
      <c r="L930" s="928"/>
      <c r="M930" s="928"/>
      <c r="N930" s="928"/>
      <c r="O930" s="928" t="e">
        <f>INT(I930+K930+M930)</f>
        <v>#REF!</v>
      </c>
      <c r="P930" s="685"/>
    </row>
    <row r="931" spans="2:16" ht="18" customHeight="1">
      <c r="C931" s="683"/>
      <c r="D931" s="928" t="s">
        <v>40</v>
      </c>
      <c r="E931" s="696">
        <v>0.9</v>
      </c>
      <c r="F931" s="928" t="s">
        <v>102</v>
      </c>
      <c r="G931" s="688">
        <f>ROUNDDOWN(dhTextEvaluate(E931),3)</f>
        <v>0.9</v>
      </c>
      <c r="H931" s="928"/>
      <c r="I931" s="928"/>
      <c r="J931" s="928" t="e">
        <f>VLOOKUP($D931,#REF!,2,FALSE)</f>
        <v>#REF!</v>
      </c>
      <c r="K931" s="928" t="e">
        <f>INT(G931*J931)</f>
        <v>#REF!</v>
      </c>
      <c r="L931" s="928"/>
      <c r="M931" s="928"/>
      <c r="N931" s="928"/>
      <c r="O931" s="928" t="e">
        <f>INT(I931+K931+M931)</f>
        <v>#REF!</v>
      </c>
      <c r="P931" s="685" t="s">
        <v>1078</v>
      </c>
    </row>
    <row r="932" spans="2:16" ht="18" customHeight="1">
      <c r="C932" s="683"/>
      <c r="D932" s="928" t="s">
        <v>1073</v>
      </c>
      <c r="E932" s="696">
        <v>0.8</v>
      </c>
      <c r="F932" s="928" t="s">
        <v>102</v>
      </c>
      <c r="G932" s="688">
        <f>ROUNDDOWN(dhTextEvaluate(E932),3)</f>
        <v>0.8</v>
      </c>
      <c r="H932" s="928"/>
      <c r="I932" s="928"/>
      <c r="J932" s="928" t="e">
        <f>VLOOKUP($D932,#REF!,2,FALSE)</f>
        <v>#REF!</v>
      </c>
      <c r="K932" s="928" t="e">
        <f>INT(G932*J932)</f>
        <v>#REF!</v>
      </c>
      <c r="L932" s="928"/>
      <c r="M932" s="928"/>
      <c r="N932" s="928"/>
      <c r="O932" s="928" t="e">
        <f>INT(I932+K932+M932)</f>
        <v>#REF!</v>
      </c>
      <c r="P932" s="685" t="s">
        <v>1078</v>
      </c>
    </row>
    <row r="933" spans="2:16" ht="18" customHeight="1">
      <c r="C933" s="683"/>
      <c r="D933" s="928" t="s">
        <v>403</v>
      </c>
      <c r="E933" s="696" t="s">
        <v>41</v>
      </c>
      <c r="F933" s="928" t="s">
        <v>100</v>
      </c>
      <c r="G933" s="688">
        <v>1</v>
      </c>
      <c r="H933" s="928" t="e">
        <f>INT(SUM(K934)*0.03)</f>
        <v>#REF!</v>
      </c>
      <c r="I933" s="928" t="e">
        <f>INT(G933*H933)</f>
        <v>#REF!</v>
      </c>
      <c r="J933" s="928"/>
      <c r="K933" s="928"/>
      <c r="L933" s="928"/>
      <c r="M933" s="928"/>
      <c r="N933" s="928"/>
      <c r="O933" s="928" t="e">
        <f>INT(I933+K933+M933)</f>
        <v>#REF!</v>
      </c>
      <c r="P933" s="685" t="s">
        <v>42</v>
      </c>
    </row>
    <row r="934" spans="2:16" ht="18" customHeight="1">
      <c r="B934" s="193" t="str">
        <f>CONCATENATE(C929,D934)</f>
        <v>계</v>
      </c>
      <c r="C934" s="683"/>
      <c r="D934" s="928" t="s">
        <v>96</v>
      </c>
      <c r="E934" s="689"/>
      <c r="F934" s="928"/>
      <c r="G934" s="928"/>
      <c r="H934" s="928"/>
      <c r="I934" s="929" t="e">
        <f>SUM(I930:I933)</f>
        <v>#REF!</v>
      </c>
      <c r="J934" s="928"/>
      <c r="K934" s="928" t="e">
        <f>SUM(K930:K933)</f>
        <v>#REF!</v>
      </c>
      <c r="L934" s="928"/>
      <c r="M934" s="928">
        <f>SUM(M930:M933)</f>
        <v>0</v>
      </c>
      <c r="N934" s="928"/>
      <c r="O934" s="928" t="e">
        <f>INT(I934+K934+M934)</f>
        <v>#REF!</v>
      </c>
      <c r="P934" s="685"/>
    </row>
    <row r="935" spans="2:16" ht="18" customHeight="1">
      <c r="C935" s="683"/>
      <c r="D935" s="928"/>
      <c r="E935" s="928"/>
      <c r="F935" s="928"/>
      <c r="G935" s="928"/>
      <c r="H935" s="928"/>
      <c r="I935" s="928"/>
      <c r="J935" s="928"/>
      <c r="K935" s="928"/>
      <c r="L935" s="928"/>
      <c r="M935" s="928"/>
      <c r="N935" s="928"/>
      <c r="O935" s="928"/>
      <c r="P935" s="685"/>
    </row>
    <row r="936" spans="2:16" ht="18" customHeight="1">
      <c r="B936" s="193">
        <f>C936</f>
        <v>0</v>
      </c>
      <c r="C936" s="690"/>
      <c r="D936" s="928" t="e">
        <f>D937</f>
        <v>#REF!</v>
      </c>
      <c r="E936" s="928" t="e">
        <f>E937</f>
        <v>#REF!</v>
      </c>
      <c r="F936" s="928" t="e">
        <f>F937</f>
        <v>#REF!</v>
      </c>
      <c r="G936" s="928"/>
      <c r="H936" s="928"/>
      <c r="I936" s="928"/>
      <c r="J936" s="928"/>
      <c r="K936" s="928"/>
      <c r="L936" s="928"/>
      <c r="M936" s="928"/>
      <c r="N936" s="928"/>
      <c r="O936" s="928"/>
      <c r="P936" s="685"/>
    </row>
    <row r="937" spans="2:16" ht="18" customHeight="1">
      <c r="B937" s="193" t="e">
        <f>#REF!</f>
        <v>#REF!</v>
      </c>
      <c r="C937" s="683"/>
      <c r="D937" s="928" t="e">
        <f>VLOOKUP($B937,#REF!,2,FALSE)</f>
        <v>#REF!</v>
      </c>
      <c r="E937" s="928" t="e">
        <f>VLOOKUP($B937,#REF!,3,FALSE)</f>
        <v>#REF!</v>
      </c>
      <c r="F937" s="928" t="e">
        <f>VLOOKUP($B937,#REF!,4,FALSE)</f>
        <v>#REF!</v>
      </c>
      <c r="G937" s="928">
        <v>1</v>
      </c>
      <c r="H937" s="928" t="e">
        <f>VLOOKUP($B937,#REF!,11,FALSE)</f>
        <v>#REF!</v>
      </c>
      <c r="I937" s="928" t="e">
        <f>INT(G937*H937)</f>
        <v>#REF!</v>
      </c>
      <c r="J937" s="928"/>
      <c r="K937" s="928"/>
      <c r="L937" s="928"/>
      <c r="M937" s="928"/>
      <c r="N937" s="928"/>
      <c r="O937" s="928" t="e">
        <f>INT(I937+K937+M937)</f>
        <v>#REF!</v>
      </c>
      <c r="P937" s="685"/>
    </row>
    <row r="938" spans="2:16" ht="18" customHeight="1">
      <c r="C938" s="683"/>
      <c r="D938" s="928" t="s">
        <v>40</v>
      </c>
      <c r="E938" s="696">
        <v>0.3</v>
      </c>
      <c r="F938" s="928" t="s">
        <v>102</v>
      </c>
      <c r="G938" s="688">
        <f>ROUNDDOWN(dhTextEvaluate(E938),3)</f>
        <v>0.3</v>
      </c>
      <c r="H938" s="928"/>
      <c r="I938" s="928"/>
      <c r="J938" s="928" t="e">
        <f>VLOOKUP($D938,#REF!,2,FALSE)</f>
        <v>#REF!</v>
      </c>
      <c r="K938" s="928" t="e">
        <f>INT(G938*J938)</f>
        <v>#REF!</v>
      </c>
      <c r="L938" s="928"/>
      <c r="M938" s="928"/>
      <c r="N938" s="928"/>
      <c r="O938" s="928" t="e">
        <f>INT(I938+K938+M938)</f>
        <v>#REF!</v>
      </c>
      <c r="P938" s="685" t="s">
        <v>1078</v>
      </c>
    </row>
    <row r="939" spans="2:16" ht="18" customHeight="1">
      <c r="C939" s="683"/>
      <c r="D939" s="928" t="s">
        <v>1073</v>
      </c>
      <c r="E939" s="696">
        <v>0.2</v>
      </c>
      <c r="F939" s="928" t="s">
        <v>102</v>
      </c>
      <c r="G939" s="688">
        <f>ROUNDDOWN(dhTextEvaluate(E939),3)</f>
        <v>0.2</v>
      </c>
      <c r="H939" s="928"/>
      <c r="I939" s="928"/>
      <c r="J939" s="928" t="e">
        <f>VLOOKUP($D939,#REF!,2,FALSE)</f>
        <v>#REF!</v>
      </c>
      <c r="K939" s="928" t="e">
        <f>INT(G939*J939)</f>
        <v>#REF!</v>
      </c>
      <c r="L939" s="928"/>
      <c r="M939" s="928"/>
      <c r="N939" s="928"/>
      <c r="O939" s="928" t="e">
        <f>INT(I939+K939+M939)</f>
        <v>#REF!</v>
      </c>
      <c r="P939" s="685" t="s">
        <v>1078</v>
      </c>
    </row>
    <row r="940" spans="2:16" ht="18" customHeight="1">
      <c r="C940" s="683"/>
      <c r="D940" s="928" t="s">
        <v>403</v>
      </c>
      <c r="E940" s="696" t="s">
        <v>41</v>
      </c>
      <c r="F940" s="928" t="s">
        <v>100</v>
      </c>
      <c r="G940" s="688">
        <v>1</v>
      </c>
      <c r="H940" s="928" t="e">
        <f>INT(SUM(K941)*0.03)</f>
        <v>#REF!</v>
      </c>
      <c r="I940" s="928" t="e">
        <f>INT(G940*H940)</f>
        <v>#REF!</v>
      </c>
      <c r="J940" s="928"/>
      <c r="K940" s="928"/>
      <c r="L940" s="928"/>
      <c r="M940" s="928"/>
      <c r="N940" s="928"/>
      <c r="O940" s="928" t="e">
        <f>INT(I940+K940+M940)</f>
        <v>#REF!</v>
      </c>
      <c r="P940" s="685" t="s">
        <v>42</v>
      </c>
    </row>
    <row r="941" spans="2:16" ht="18" customHeight="1">
      <c r="B941" s="193" t="str">
        <f>CONCATENATE(C936,D941)</f>
        <v>계</v>
      </c>
      <c r="C941" s="683"/>
      <c r="D941" s="928" t="s">
        <v>96</v>
      </c>
      <c r="E941" s="689"/>
      <c r="F941" s="928"/>
      <c r="G941" s="928"/>
      <c r="H941" s="928"/>
      <c r="I941" s="929" t="e">
        <f>SUM(I937:I940)</f>
        <v>#REF!</v>
      </c>
      <c r="J941" s="928"/>
      <c r="K941" s="928" t="e">
        <f>SUM(K937:K940)</f>
        <v>#REF!</v>
      </c>
      <c r="L941" s="928"/>
      <c r="M941" s="928">
        <f>SUM(M937:M940)</f>
        <v>0</v>
      </c>
      <c r="N941" s="928"/>
      <c r="O941" s="928" t="e">
        <f>INT(I941+K941+M941)</f>
        <v>#REF!</v>
      </c>
      <c r="P941" s="685"/>
    </row>
    <row r="942" spans="2:16" ht="18" customHeight="1">
      <c r="C942" s="683"/>
      <c r="D942" s="928"/>
      <c r="E942" s="928"/>
      <c r="F942" s="928"/>
      <c r="G942" s="928"/>
      <c r="H942" s="928"/>
      <c r="I942" s="928"/>
      <c r="J942" s="928"/>
      <c r="K942" s="928"/>
      <c r="L942" s="928"/>
      <c r="M942" s="928"/>
      <c r="N942" s="928"/>
      <c r="O942" s="928"/>
      <c r="P942" s="685"/>
    </row>
    <row r="943" spans="2:16" ht="18" customHeight="1">
      <c r="C943" s="683"/>
      <c r="D943" s="928"/>
      <c r="E943" s="928"/>
      <c r="F943" s="928"/>
      <c r="G943" s="928"/>
      <c r="H943" s="928"/>
      <c r="I943" s="928"/>
      <c r="J943" s="928"/>
      <c r="K943" s="928"/>
      <c r="L943" s="928"/>
      <c r="M943" s="928"/>
      <c r="N943" s="928"/>
      <c r="O943" s="928"/>
      <c r="P943" s="685"/>
    </row>
    <row r="944" spans="2:16" ht="18" customHeight="1">
      <c r="C944" s="683"/>
      <c r="D944" s="928"/>
      <c r="E944" s="928"/>
      <c r="F944" s="928"/>
      <c r="G944" s="928"/>
      <c r="H944" s="928"/>
      <c r="I944" s="928"/>
      <c r="J944" s="928"/>
      <c r="K944" s="928"/>
      <c r="L944" s="928"/>
      <c r="M944" s="928"/>
      <c r="N944" s="928"/>
      <c r="O944" s="928"/>
      <c r="P944" s="685"/>
    </row>
    <row r="945" spans="2:16" ht="18" customHeight="1">
      <c r="C945" s="691"/>
      <c r="D945" s="692"/>
      <c r="E945" s="692"/>
      <c r="F945" s="692"/>
      <c r="G945" s="692"/>
      <c r="H945" s="692"/>
      <c r="I945" s="692"/>
      <c r="J945" s="692"/>
      <c r="K945" s="692"/>
      <c r="L945" s="692"/>
      <c r="M945" s="692"/>
      <c r="N945" s="692"/>
      <c r="O945" s="692"/>
      <c r="P945" s="693"/>
    </row>
    <row r="946" spans="2:16" ht="18" customHeight="1">
      <c r="B946" s="193">
        <f>C946</f>
        <v>0</v>
      </c>
      <c r="C946" s="680"/>
      <c r="D946" s="681" t="e">
        <f>D947</f>
        <v>#REF!</v>
      </c>
      <c r="E946" s="681" t="e">
        <f>E947</f>
        <v>#REF!</v>
      </c>
      <c r="F946" s="681" t="e">
        <f>F947</f>
        <v>#REF!</v>
      </c>
      <c r="G946" s="681"/>
      <c r="H946" s="681"/>
      <c r="I946" s="681"/>
      <c r="J946" s="681"/>
      <c r="K946" s="681"/>
      <c r="L946" s="681"/>
      <c r="M946" s="681"/>
      <c r="N946" s="681"/>
      <c r="O946" s="681"/>
      <c r="P946" s="682"/>
    </row>
    <row r="947" spans="2:16" ht="18" customHeight="1">
      <c r="B947" s="193" t="e">
        <f>#REF!</f>
        <v>#REF!</v>
      </c>
      <c r="C947" s="683"/>
      <c r="D947" s="928" t="e">
        <f>VLOOKUP($B947,#REF!,2,FALSE)</f>
        <v>#REF!</v>
      </c>
      <c r="E947" s="928" t="e">
        <f>VLOOKUP($B947,#REF!,3,FALSE)</f>
        <v>#REF!</v>
      </c>
      <c r="F947" s="928" t="e">
        <f>VLOOKUP($B947,#REF!,4,FALSE)</f>
        <v>#REF!</v>
      </c>
      <c r="G947" s="928">
        <v>1</v>
      </c>
      <c r="H947" s="928" t="e">
        <f>VLOOKUP($B947,#REF!,11,FALSE)</f>
        <v>#REF!</v>
      </c>
      <c r="I947" s="928" t="e">
        <f>INT(G947*H947)</f>
        <v>#REF!</v>
      </c>
      <c r="J947" s="928"/>
      <c r="K947" s="928"/>
      <c r="L947" s="928"/>
      <c r="M947" s="928"/>
      <c r="N947" s="928"/>
      <c r="O947" s="928" t="e">
        <f>INT(I947+K947+M947)</f>
        <v>#REF!</v>
      </c>
      <c r="P947" s="685"/>
    </row>
    <row r="948" spans="2:16" ht="18" customHeight="1">
      <c r="C948" s="683"/>
      <c r="D948" s="928" t="s">
        <v>40</v>
      </c>
      <c r="E948" s="696">
        <v>0.9</v>
      </c>
      <c r="F948" s="928" t="s">
        <v>102</v>
      </c>
      <c r="G948" s="688">
        <f>ROUNDDOWN(dhTextEvaluate(E948),3)</f>
        <v>0.9</v>
      </c>
      <c r="H948" s="928"/>
      <c r="I948" s="928"/>
      <c r="J948" s="928" t="e">
        <f>VLOOKUP($D948,#REF!,2,FALSE)</f>
        <v>#REF!</v>
      </c>
      <c r="K948" s="928" t="e">
        <f>INT(G948*J948)</f>
        <v>#REF!</v>
      </c>
      <c r="L948" s="928"/>
      <c r="M948" s="928"/>
      <c r="N948" s="928"/>
      <c r="O948" s="928" t="e">
        <f>INT(I948+K948+M948)</f>
        <v>#REF!</v>
      </c>
      <c r="P948" s="685" t="s">
        <v>1078</v>
      </c>
    </row>
    <row r="949" spans="2:16" ht="18" customHeight="1">
      <c r="C949" s="683"/>
      <c r="D949" s="928" t="s">
        <v>45</v>
      </c>
      <c r="E949" s="696">
        <v>0.8</v>
      </c>
      <c r="F949" s="928" t="s">
        <v>102</v>
      </c>
      <c r="G949" s="688">
        <f>ROUNDDOWN(dhTextEvaluate(E949),3)</f>
        <v>0.8</v>
      </c>
      <c r="H949" s="928"/>
      <c r="I949" s="928"/>
      <c r="J949" s="928" t="e">
        <f>VLOOKUP($D949,#REF!,2,FALSE)</f>
        <v>#REF!</v>
      </c>
      <c r="K949" s="928" t="e">
        <f>INT(G949*J949)</f>
        <v>#REF!</v>
      </c>
      <c r="L949" s="928"/>
      <c r="M949" s="928"/>
      <c r="N949" s="928"/>
      <c r="O949" s="928" t="e">
        <f>INT(I949+K949+M949)</f>
        <v>#REF!</v>
      </c>
      <c r="P949" s="685" t="s">
        <v>1078</v>
      </c>
    </row>
    <row r="950" spans="2:16" ht="18" customHeight="1">
      <c r="C950" s="683"/>
      <c r="D950" s="928" t="s">
        <v>403</v>
      </c>
      <c r="E950" s="696" t="s">
        <v>41</v>
      </c>
      <c r="F950" s="928" t="s">
        <v>100</v>
      </c>
      <c r="G950" s="688">
        <v>1</v>
      </c>
      <c r="H950" s="928" t="e">
        <f>INT(SUM(K951)*0.03)</f>
        <v>#REF!</v>
      </c>
      <c r="I950" s="928" t="e">
        <f>INT(G950*H950)</f>
        <v>#REF!</v>
      </c>
      <c r="J950" s="928"/>
      <c r="K950" s="928"/>
      <c r="L950" s="928"/>
      <c r="M950" s="928"/>
      <c r="N950" s="928"/>
      <c r="O950" s="928" t="e">
        <f>INT(I950+K950+M950)</f>
        <v>#REF!</v>
      </c>
      <c r="P950" s="685" t="s">
        <v>42</v>
      </c>
    </row>
    <row r="951" spans="2:16" ht="18" customHeight="1">
      <c r="B951" s="193" t="str">
        <f>CONCATENATE(C946,D951)</f>
        <v>계</v>
      </c>
      <c r="C951" s="683"/>
      <c r="D951" s="928" t="s">
        <v>96</v>
      </c>
      <c r="E951" s="689"/>
      <c r="F951" s="928"/>
      <c r="G951" s="928"/>
      <c r="H951" s="928"/>
      <c r="I951" s="929" t="e">
        <f>SUM(I947:I950)</f>
        <v>#REF!</v>
      </c>
      <c r="J951" s="928"/>
      <c r="K951" s="928" t="e">
        <f>SUM(K947:K950)</f>
        <v>#REF!</v>
      </c>
      <c r="L951" s="928"/>
      <c r="M951" s="928">
        <f>SUM(M947:M950)</f>
        <v>0</v>
      </c>
      <c r="N951" s="928"/>
      <c r="O951" s="928" t="e">
        <f>INT(I951+K951+M951)</f>
        <v>#REF!</v>
      </c>
      <c r="P951" s="685"/>
    </row>
    <row r="952" spans="2:16" ht="18" customHeight="1">
      <c r="C952" s="683"/>
      <c r="D952" s="928"/>
      <c r="E952" s="928"/>
      <c r="F952" s="928"/>
      <c r="G952" s="928"/>
      <c r="H952" s="928"/>
      <c r="I952" s="928"/>
      <c r="J952" s="928"/>
      <c r="K952" s="928"/>
      <c r="L952" s="928"/>
      <c r="M952" s="928"/>
      <c r="N952" s="928"/>
      <c r="O952" s="928"/>
      <c r="P952" s="685"/>
    </row>
    <row r="953" spans="2:16" ht="18" customHeight="1">
      <c r="B953" s="193">
        <f>C953</f>
        <v>0</v>
      </c>
      <c r="C953" s="690"/>
      <c r="D953" s="928" t="e">
        <f>D954</f>
        <v>#REF!</v>
      </c>
      <c r="E953" s="928" t="e">
        <f>E954</f>
        <v>#REF!</v>
      </c>
      <c r="F953" s="928" t="e">
        <f>F954</f>
        <v>#REF!</v>
      </c>
      <c r="G953" s="928"/>
      <c r="H953" s="928"/>
      <c r="I953" s="928"/>
      <c r="J953" s="928"/>
      <c r="K953" s="928"/>
      <c r="L953" s="928"/>
      <c r="M953" s="928"/>
      <c r="N953" s="928"/>
      <c r="O953" s="928"/>
      <c r="P953" s="685"/>
    </row>
    <row r="954" spans="2:16" ht="18" customHeight="1">
      <c r="B954" s="193" t="e">
        <f>#REF!</f>
        <v>#REF!</v>
      </c>
      <c r="C954" s="683"/>
      <c r="D954" s="928" t="e">
        <f>VLOOKUP($B954,#REF!,2,FALSE)</f>
        <v>#REF!</v>
      </c>
      <c r="E954" s="928" t="e">
        <f>VLOOKUP($B954,#REF!,3,FALSE)</f>
        <v>#REF!</v>
      </c>
      <c r="F954" s="928" t="e">
        <f>VLOOKUP($B954,#REF!,4,FALSE)</f>
        <v>#REF!</v>
      </c>
      <c r="G954" s="928">
        <v>1</v>
      </c>
      <c r="H954" s="928" t="e">
        <f>VLOOKUP($B954,#REF!,11,FALSE)</f>
        <v>#REF!</v>
      </c>
      <c r="I954" s="928" t="e">
        <f>INT(G954*H954)</f>
        <v>#REF!</v>
      </c>
      <c r="J954" s="928"/>
      <c r="K954" s="928"/>
      <c r="L954" s="928"/>
      <c r="M954" s="928"/>
      <c r="N954" s="928"/>
      <c r="O954" s="928" t="e">
        <f>INT(I954+K954+M954)</f>
        <v>#REF!</v>
      </c>
      <c r="P954" s="685"/>
    </row>
    <row r="955" spans="2:16" ht="18" customHeight="1">
      <c r="C955" s="683"/>
      <c r="D955" s="928" t="s">
        <v>40</v>
      </c>
      <c r="E955" s="696">
        <v>0.9</v>
      </c>
      <c r="F955" s="928" t="s">
        <v>102</v>
      </c>
      <c r="G955" s="688">
        <f>ROUNDDOWN(dhTextEvaluate(E955),3)</f>
        <v>0.9</v>
      </c>
      <c r="H955" s="928"/>
      <c r="I955" s="928"/>
      <c r="J955" s="928" t="e">
        <f>VLOOKUP($D955,#REF!,2,FALSE)</f>
        <v>#REF!</v>
      </c>
      <c r="K955" s="928" t="e">
        <f>INT(G955*J955)</f>
        <v>#REF!</v>
      </c>
      <c r="L955" s="928"/>
      <c r="M955" s="928"/>
      <c r="N955" s="928"/>
      <c r="O955" s="928" t="e">
        <f>INT(I955+K955+M955)</f>
        <v>#REF!</v>
      </c>
      <c r="P955" s="685" t="s">
        <v>1078</v>
      </c>
    </row>
    <row r="956" spans="2:16" ht="18" customHeight="1">
      <c r="C956" s="683"/>
      <c r="D956" s="928" t="s">
        <v>45</v>
      </c>
      <c r="E956" s="696">
        <v>0.8</v>
      </c>
      <c r="F956" s="928" t="s">
        <v>102</v>
      </c>
      <c r="G956" s="688">
        <f>ROUNDDOWN(dhTextEvaluate(E956),3)</f>
        <v>0.8</v>
      </c>
      <c r="H956" s="928"/>
      <c r="I956" s="928"/>
      <c r="J956" s="928" t="e">
        <f>VLOOKUP($D956,#REF!,2,FALSE)</f>
        <v>#REF!</v>
      </c>
      <c r="K956" s="928" t="e">
        <f>INT(G956*J956)</f>
        <v>#REF!</v>
      </c>
      <c r="L956" s="928"/>
      <c r="M956" s="928"/>
      <c r="N956" s="928"/>
      <c r="O956" s="928" t="e">
        <f>INT(I956+K956+M956)</f>
        <v>#REF!</v>
      </c>
      <c r="P956" s="685" t="s">
        <v>1078</v>
      </c>
    </row>
    <row r="957" spans="2:16" ht="18" customHeight="1">
      <c r="C957" s="683"/>
      <c r="D957" s="928" t="s">
        <v>403</v>
      </c>
      <c r="E957" s="696" t="s">
        <v>41</v>
      </c>
      <c r="F957" s="928" t="s">
        <v>100</v>
      </c>
      <c r="G957" s="688">
        <v>1</v>
      </c>
      <c r="H957" s="928" t="e">
        <f>INT(SUM(K958)*0.03)</f>
        <v>#REF!</v>
      </c>
      <c r="I957" s="928" t="e">
        <f>INT(G957*H957)</f>
        <v>#REF!</v>
      </c>
      <c r="J957" s="928"/>
      <c r="K957" s="928"/>
      <c r="L957" s="928"/>
      <c r="M957" s="928"/>
      <c r="N957" s="928"/>
      <c r="O957" s="928" t="e">
        <f>INT(I957+K957+M957)</f>
        <v>#REF!</v>
      </c>
      <c r="P957" s="685" t="s">
        <v>42</v>
      </c>
    </row>
    <row r="958" spans="2:16" ht="18" customHeight="1">
      <c r="B958" s="193" t="str">
        <f>CONCATENATE(C953,D958)</f>
        <v>계</v>
      </c>
      <c r="C958" s="683"/>
      <c r="D958" s="928" t="s">
        <v>96</v>
      </c>
      <c r="E958" s="689"/>
      <c r="F958" s="928"/>
      <c r="G958" s="928"/>
      <c r="H958" s="928"/>
      <c r="I958" s="929" t="e">
        <f>SUM(I954:I957)</f>
        <v>#REF!</v>
      </c>
      <c r="J958" s="928"/>
      <c r="K958" s="928" t="e">
        <f>SUM(K954:K957)</f>
        <v>#REF!</v>
      </c>
      <c r="L958" s="928"/>
      <c r="M958" s="928">
        <f>SUM(M954:M957)</f>
        <v>0</v>
      </c>
      <c r="N958" s="928"/>
      <c r="O958" s="928" t="e">
        <f>INT(I958+K958+M958)</f>
        <v>#REF!</v>
      </c>
      <c r="P958" s="685"/>
    </row>
    <row r="959" spans="2:16" ht="18" customHeight="1">
      <c r="C959" s="683"/>
      <c r="D959" s="928"/>
      <c r="E959" s="928"/>
      <c r="F959" s="928"/>
      <c r="G959" s="928"/>
      <c r="H959" s="928"/>
      <c r="I959" s="928"/>
      <c r="J959" s="928"/>
      <c r="K959" s="928"/>
      <c r="L959" s="928"/>
      <c r="M959" s="928"/>
      <c r="N959" s="928"/>
      <c r="O959" s="928"/>
      <c r="P959" s="685"/>
    </row>
    <row r="960" spans="2:16" ht="18" customHeight="1">
      <c r="B960" s="193">
        <f>C960</f>
        <v>0</v>
      </c>
      <c r="C960" s="690"/>
      <c r="D960" s="928" t="e">
        <f>D961</f>
        <v>#REF!</v>
      </c>
      <c r="E960" s="928" t="e">
        <f>E961</f>
        <v>#REF!</v>
      </c>
      <c r="F960" s="928" t="e">
        <f>F961</f>
        <v>#REF!</v>
      </c>
      <c r="G960" s="928"/>
      <c r="H960" s="928"/>
      <c r="I960" s="928"/>
      <c r="J960" s="928"/>
      <c r="K960" s="928"/>
      <c r="L960" s="928"/>
      <c r="M960" s="928"/>
      <c r="N960" s="928"/>
      <c r="O960" s="928"/>
      <c r="P960" s="685"/>
    </row>
    <row r="961" spans="2:16" ht="18" customHeight="1">
      <c r="B961" s="193" t="e">
        <f>#REF!</f>
        <v>#REF!</v>
      </c>
      <c r="C961" s="683"/>
      <c r="D961" s="928" t="e">
        <f>VLOOKUP($B961,#REF!,2,FALSE)</f>
        <v>#REF!</v>
      </c>
      <c r="E961" s="928" t="e">
        <f>VLOOKUP($B961,#REF!,3,FALSE)</f>
        <v>#REF!</v>
      </c>
      <c r="F961" s="928" t="e">
        <f>VLOOKUP($B961,#REF!,4,FALSE)</f>
        <v>#REF!</v>
      </c>
      <c r="G961" s="928">
        <v>1</v>
      </c>
      <c r="H961" s="928" t="e">
        <f>VLOOKUP($B961,#REF!,11,FALSE)</f>
        <v>#REF!</v>
      </c>
      <c r="I961" s="928" t="e">
        <f>INT(G961*H961)</f>
        <v>#REF!</v>
      </c>
      <c r="J961" s="928"/>
      <c r="K961" s="928"/>
      <c r="L961" s="928"/>
      <c r="M961" s="928"/>
      <c r="N961" s="928"/>
      <c r="O961" s="928" t="e">
        <f>INT(I961+K961+M961)</f>
        <v>#REF!</v>
      </c>
      <c r="P961" s="685"/>
    </row>
    <row r="962" spans="2:16" ht="18" customHeight="1">
      <c r="C962" s="683"/>
      <c r="D962" s="928" t="s">
        <v>40</v>
      </c>
      <c r="E962" s="696">
        <v>0.3</v>
      </c>
      <c r="F962" s="928" t="s">
        <v>102</v>
      </c>
      <c r="G962" s="688">
        <f>ROUNDDOWN(dhTextEvaluate(E962),3)</f>
        <v>0.3</v>
      </c>
      <c r="H962" s="928"/>
      <c r="I962" s="928"/>
      <c r="J962" s="928" t="e">
        <f>VLOOKUP($D962,#REF!,2,FALSE)</f>
        <v>#REF!</v>
      </c>
      <c r="K962" s="928" t="e">
        <f>INT(G962*J962)</f>
        <v>#REF!</v>
      </c>
      <c r="L962" s="928"/>
      <c r="M962" s="928"/>
      <c r="N962" s="928"/>
      <c r="O962" s="928" t="e">
        <f>INT(I962+K962+M962)</f>
        <v>#REF!</v>
      </c>
      <c r="P962" s="685" t="s">
        <v>1078</v>
      </c>
    </row>
    <row r="963" spans="2:16" ht="18" customHeight="1">
      <c r="C963" s="683"/>
      <c r="D963" s="928" t="s">
        <v>45</v>
      </c>
      <c r="E963" s="696">
        <v>0.2</v>
      </c>
      <c r="F963" s="928" t="s">
        <v>102</v>
      </c>
      <c r="G963" s="688">
        <f>ROUNDDOWN(dhTextEvaluate(E963),3)</f>
        <v>0.2</v>
      </c>
      <c r="H963" s="928"/>
      <c r="I963" s="928"/>
      <c r="J963" s="928" t="e">
        <f>VLOOKUP($D963,#REF!,2,FALSE)</f>
        <v>#REF!</v>
      </c>
      <c r="K963" s="928" t="e">
        <f>INT(G963*J963)</f>
        <v>#REF!</v>
      </c>
      <c r="L963" s="928"/>
      <c r="M963" s="928"/>
      <c r="N963" s="928"/>
      <c r="O963" s="928" t="e">
        <f>INT(I963+K963+M963)</f>
        <v>#REF!</v>
      </c>
      <c r="P963" s="685" t="s">
        <v>1078</v>
      </c>
    </row>
    <row r="964" spans="2:16" ht="18" customHeight="1">
      <c r="C964" s="683"/>
      <c r="D964" s="928" t="s">
        <v>403</v>
      </c>
      <c r="E964" s="696" t="s">
        <v>41</v>
      </c>
      <c r="F964" s="928" t="s">
        <v>100</v>
      </c>
      <c r="G964" s="688">
        <v>1</v>
      </c>
      <c r="H964" s="928" t="e">
        <f>INT(SUM(K965)*0.03)</f>
        <v>#REF!</v>
      </c>
      <c r="I964" s="928" t="e">
        <f>INT(G964*H964)</f>
        <v>#REF!</v>
      </c>
      <c r="J964" s="928"/>
      <c r="K964" s="928"/>
      <c r="L964" s="928"/>
      <c r="M964" s="928"/>
      <c r="N964" s="928"/>
      <c r="O964" s="928" t="e">
        <f>INT(I964+K964+M964)</f>
        <v>#REF!</v>
      </c>
      <c r="P964" s="685" t="s">
        <v>42</v>
      </c>
    </row>
    <row r="965" spans="2:16" ht="18" customHeight="1">
      <c r="B965" s="193" t="str">
        <f>CONCATENATE(C960,D965)</f>
        <v>계</v>
      </c>
      <c r="C965" s="683"/>
      <c r="D965" s="928" t="s">
        <v>96</v>
      </c>
      <c r="E965" s="689"/>
      <c r="F965" s="928"/>
      <c r="G965" s="928"/>
      <c r="H965" s="928"/>
      <c r="I965" s="929" t="e">
        <f>SUM(I961:I964)</f>
        <v>#REF!</v>
      </c>
      <c r="J965" s="928"/>
      <c r="K965" s="928" t="e">
        <f>SUM(K961:K964)</f>
        <v>#REF!</v>
      </c>
      <c r="L965" s="928"/>
      <c r="M965" s="928">
        <f>SUM(M961:M964)</f>
        <v>0</v>
      </c>
      <c r="N965" s="928"/>
      <c r="O965" s="928" t="e">
        <f>INT(I965+K965+M965)</f>
        <v>#REF!</v>
      </c>
      <c r="P965" s="685"/>
    </row>
    <row r="966" spans="2:16" ht="18" customHeight="1">
      <c r="C966" s="683"/>
      <c r="D966" s="928"/>
      <c r="E966" s="928"/>
      <c r="F966" s="928"/>
      <c r="G966" s="928"/>
      <c r="H966" s="928"/>
      <c r="I966" s="928"/>
      <c r="J966" s="928"/>
      <c r="K966" s="928"/>
      <c r="L966" s="928"/>
      <c r="M966" s="928"/>
      <c r="N966" s="928"/>
      <c r="O966" s="928"/>
      <c r="P966" s="685"/>
    </row>
    <row r="967" spans="2:16" ht="18" customHeight="1">
      <c r="C967" s="683"/>
      <c r="D967" s="928"/>
      <c r="E967" s="928"/>
      <c r="F967" s="928"/>
      <c r="G967" s="928"/>
      <c r="H967" s="928"/>
      <c r="I967" s="928"/>
      <c r="J967" s="928"/>
      <c r="K967" s="928"/>
      <c r="L967" s="928"/>
      <c r="M967" s="928"/>
      <c r="N967" s="928"/>
      <c r="O967" s="928"/>
      <c r="P967" s="685"/>
    </row>
  </sheetData>
  <mergeCells count="95">
    <mergeCell ref="L795:M795"/>
    <mergeCell ref="L796:M796"/>
    <mergeCell ref="L765:M765"/>
    <mergeCell ref="L771:M771"/>
    <mergeCell ref="L772:M772"/>
    <mergeCell ref="L778:M778"/>
    <mergeCell ref="L779:M779"/>
    <mergeCell ref="L787:M787"/>
    <mergeCell ref="L764:M764"/>
    <mergeCell ref="L648:M648"/>
    <mergeCell ref="L720:M720"/>
    <mergeCell ref="L721:M721"/>
    <mergeCell ref="L729:M729"/>
    <mergeCell ref="L730:M730"/>
    <mergeCell ref="L743:M743"/>
    <mergeCell ref="L744:M744"/>
    <mergeCell ref="L750:M750"/>
    <mergeCell ref="L751:M751"/>
    <mergeCell ref="L757:M757"/>
    <mergeCell ref="L758:M758"/>
    <mergeCell ref="L640:M640"/>
    <mergeCell ref="L527:M527"/>
    <mergeCell ref="L528:M528"/>
    <mergeCell ref="L541:M541"/>
    <mergeCell ref="L542:M542"/>
    <mergeCell ref="L550:M550"/>
    <mergeCell ref="L551:M551"/>
    <mergeCell ref="L568:M568"/>
    <mergeCell ref="L631:M631"/>
    <mergeCell ref="L632:M632"/>
    <mergeCell ref="L633:M633"/>
    <mergeCell ref="L634:M634"/>
    <mergeCell ref="L518:M518"/>
    <mergeCell ref="L443:M443"/>
    <mergeCell ref="L453:M453"/>
    <mergeCell ref="L454:M454"/>
    <mergeCell ref="L455:M455"/>
    <mergeCell ref="L463:M463"/>
    <mergeCell ref="L464:M464"/>
    <mergeCell ref="L498:M498"/>
    <mergeCell ref="L499:M499"/>
    <mergeCell ref="L509:M509"/>
    <mergeCell ref="L510:M510"/>
    <mergeCell ref="L517:M517"/>
    <mergeCell ref="L442:M442"/>
    <mergeCell ref="L349:M349"/>
    <mergeCell ref="L350:M350"/>
    <mergeCell ref="L406:M406"/>
    <mergeCell ref="L407:M407"/>
    <mergeCell ref="L419:M419"/>
    <mergeCell ref="L420:M420"/>
    <mergeCell ref="L434:M434"/>
    <mergeCell ref="L435:M435"/>
    <mergeCell ref="L436:M436"/>
    <mergeCell ref="L437:M437"/>
    <mergeCell ref="L441:M441"/>
    <mergeCell ref="L340:M340"/>
    <mergeCell ref="L223:M223"/>
    <mergeCell ref="L224:M224"/>
    <mergeCell ref="L234:M234"/>
    <mergeCell ref="L235:M235"/>
    <mergeCell ref="L243:M243"/>
    <mergeCell ref="L244:M244"/>
    <mergeCell ref="L250:M250"/>
    <mergeCell ref="L251:M251"/>
    <mergeCell ref="L252:M252"/>
    <mergeCell ref="L275:M275"/>
    <mergeCell ref="L339:M339"/>
    <mergeCell ref="L214:M214"/>
    <mergeCell ref="L56:M56"/>
    <mergeCell ref="L79:M79"/>
    <mergeCell ref="L171:M171"/>
    <mergeCell ref="L42:M42"/>
    <mergeCell ref="L43:M43"/>
    <mergeCell ref="L172:M172"/>
    <mergeCell ref="L173:M173"/>
    <mergeCell ref="L203:M203"/>
    <mergeCell ref="L204:M204"/>
    <mergeCell ref="L213:M213"/>
    <mergeCell ref="L32:M32"/>
    <mergeCell ref="L33:M33"/>
    <mergeCell ref="L19:M19"/>
    <mergeCell ref="L20:M20"/>
    <mergeCell ref="L9:M9"/>
    <mergeCell ref="L10:M10"/>
    <mergeCell ref="J3:K3"/>
    <mergeCell ref="L3:M3"/>
    <mergeCell ref="N3:O3"/>
    <mergeCell ref="P3:P4"/>
    <mergeCell ref="C3:C4"/>
    <mergeCell ref="D3:D4"/>
    <mergeCell ref="E3:E4"/>
    <mergeCell ref="F3:F4"/>
    <mergeCell ref="G3:G4"/>
    <mergeCell ref="H3:I3"/>
  </mergeCells>
  <phoneticPr fontId="7" type="noConversion"/>
  <printOptions horizontalCentered="1" verticalCentered="1"/>
  <pageMargins left="0.59055118110236227" right="0.39370078740157483" top="0.59055118110236227" bottom="0.59055118110236227" header="0.39370078740157483" footer="0.19685039370078741"/>
  <pageSetup paperSize="9" orientation="landscape" r:id="rId1"/>
  <headerFooter alignWithMargins="0">
    <oddHeader>&amp;C&amp;"돋움체,굵게"&amp;20&amp;U일 위 대 가 표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U73"/>
  <sheetViews>
    <sheetView showZeros="0" view="pageBreakPreview" topLeftCell="B1" workbookViewId="0">
      <selection activeCell="C6" sqref="C6"/>
    </sheetView>
  </sheetViews>
  <sheetFormatPr defaultRowHeight="18" customHeight="1"/>
  <cols>
    <col min="1" max="1" width="22.88671875" hidden="1" customWidth="1"/>
    <col min="2" max="2" width="15.44140625" customWidth="1"/>
    <col min="3" max="3" width="11.109375" customWidth="1"/>
    <col min="4" max="4" width="4.109375" customWidth="1"/>
    <col min="5" max="8" width="6.21875" customWidth="1"/>
    <col min="9" max="9" width="5.21875" customWidth="1"/>
    <col min="10" max="13" width="6.21875" customWidth="1"/>
    <col min="14" max="14" width="5.21875" customWidth="1"/>
    <col min="15" max="17" width="6.21875" customWidth="1"/>
    <col min="18" max="18" width="5.33203125" customWidth="1"/>
    <col min="21" max="21" width="11.44140625" bestFit="1" customWidth="1"/>
  </cols>
  <sheetData>
    <row r="1" spans="1:21" ht="11.25" customHeight="1">
      <c r="B1" s="26"/>
      <c r="C1" s="26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21" ht="23.1" customHeight="1">
      <c r="B2" s="10" t="str">
        <f>원가계산서!A2</f>
        <v>2022년 경기창작센터 예술공원 조성사업(전기)</v>
      </c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3" spans="1:21" ht="20.100000000000001" customHeight="1">
      <c r="B3" s="1608" t="s">
        <v>16</v>
      </c>
      <c r="C3" s="1610" t="s">
        <v>86</v>
      </c>
      <c r="D3" s="1610" t="s">
        <v>18</v>
      </c>
      <c r="E3" s="1610" t="s">
        <v>1112</v>
      </c>
      <c r="F3" s="1610"/>
      <c r="G3" s="1610"/>
      <c r="H3" s="1610"/>
      <c r="I3" s="1610"/>
      <c r="J3" s="1610" t="s">
        <v>1113</v>
      </c>
      <c r="K3" s="1610"/>
      <c r="L3" s="1610"/>
      <c r="M3" s="1610"/>
      <c r="N3" s="1610"/>
      <c r="O3" s="1614" t="s">
        <v>446</v>
      </c>
      <c r="P3" s="1615"/>
      <c r="Q3" s="1616"/>
      <c r="R3" s="1612" t="s">
        <v>24</v>
      </c>
    </row>
    <row r="4" spans="1:21" ht="20.100000000000001" customHeight="1">
      <c r="B4" s="1609"/>
      <c r="C4" s="1611"/>
      <c r="D4" s="1611"/>
      <c r="E4" s="30" t="s">
        <v>92</v>
      </c>
      <c r="F4" s="30" t="s">
        <v>93</v>
      </c>
      <c r="G4" s="30" t="s">
        <v>94</v>
      </c>
      <c r="H4" s="30" t="s">
        <v>95</v>
      </c>
      <c r="I4" s="30" t="s">
        <v>89</v>
      </c>
      <c r="J4" s="30" t="s">
        <v>92</v>
      </c>
      <c r="K4" s="30" t="s">
        <v>93</v>
      </c>
      <c r="L4" s="30" t="s">
        <v>94</v>
      </c>
      <c r="M4" s="30" t="s">
        <v>95</v>
      </c>
      <c r="N4" s="30" t="s">
        <v>89</v>
      </c>
      <c r="O4" s="30" t="s">
        <v>92</v>
      </c>
      <c r="P4" s="30" t="s">
        <v>93</v>
      </c>
      <c r="Q4" s="30" t="s">
        <v>94</v>
      </c>
      <c r="R4" s="1613"/>
      <c r="U4" s="188"/>
    </row>
    <row r="5" spans="1:21" ht="22.5" customHeight="1">
      <c r="A5" t="str">
        <f>CONCATENATE(B5,C5)</f>
        <v>합판 거푸집6회</v>
      </c>
      <c r="B5" s="31" t="s">
        <v>345</v>
      </c>
      <c r="C5" s="32" t="s">
        <v>1676</v>
      </c>
      <c r="D5" s="33" t="s">
        <v>371</v>
      </c>
      <c r="E5" s="34"/>
      <c r="F5" s="34"/>
      <c r="G5" s="34"/>
      <c r="H5" s="34"/>
      <c r="I5" s="35"/>
      <c r="J5" s="35">
        <v>11238</v>
      </c>
      <c r="K5" s="35">
        <v>27904</v>
      </c>
      <c r="L5" s="35"/>
      <c r="M5" s="34">
        <f>SUM(J5:L5)</f>
        <v>39142</v>
      </c>
      <c r="N5" s="35">
        <v>20</v>
      </c>
      <c r="O5" s="34">
        <f t="shared" ref="O5:Q5" si="0">MIN(E5,J5)</f>
        <v>11238</v>
      </c>
      <c r="P5" s="34">
        <f t="shared" si="0"/>
        <v>27904</v>
      </c>
      <c r="Q5" s="34">
        <f t="shared" si="0"/>
        <v>0</v>
      </c>
      <c r="R5" s="36"/>
    </row>
    <row r="6" spans="1:21" ht="22.5" customHeight="1">
      <c r="B6" s="37"/>
      <c r="C6" s="38"/>
      <c r="D6" s="39"/>
      <c r="E6" s="2"/>
      <c r="F6" s="2"/>
      <c r="G6" s="2"/>
      <c r="H6" s="2"/>
      <c r="I6" s="3"/>
      <c r="J6" s="3"/>
      <c r="K6" s="3"/>
      <c r="L6" s="3"/>
      <c r="M6" s="2"/>
      <c r="N6" s="3"/>
      <c r="O6" s="2"/>
      <c r="P6" s="2"/>
      <c r="Q6" s="2"/>
      <c r="R6" s="41"/>
    </row>
    <row r="7" spans="1:21" ht="22.5" customHeight="1">
      <c r="B7" s="37"/>
      <c r="C7" s="38"/>
      <c r="D7" s="39"/>
      <c r="E7" s="2"/>
      <c r="F7" s="2"/>
      <c r="G7" s="2"/>
      <c r="H7" s="2"/>
      <c r="I7" s="3"/>
      <c r="J7" s="3"/>
      <c r="K7" s="3"/>
      <c r="L7" s="3"/>
      <c r="M7" s="2"/>
      <c r="N7" s="3"/>
      <c r="O7" s="2"/>
      <c r="P7" s="2"/>
      <c r="Q7" s="2"/>
      <c r="R7" s="41"/>
    </row>
    <row r="8" spans="1:21" ht="22.5" customHeight="1">
      <c r="B8" s="37"/>
      <c r="C8" s="38"/>
      <c r="D8" s="39"/>
      <c r="E8" s="2"/>
      <c r="F8" s="2"/>
      <c r="G8" s="2"/>
      <c r="H8" s="2"/>
      <c r="I8" s="3"/>
      <c r="J8" s="3"/>
      <c r="K8" s="3"/>
      <c r="L8" s="3"/>
      <c r="M8" s="2"/>
      <c r="N8" s="3"/>
      <c r="O8" s="2"/>
      <c r="P8" s="2"/>
      <c r="Q8" s="2"/>
      <c r="R8" s="41"/>
    </row>
    <row r="9" spans="1:21" ht="22.5" customHeight="1">
      <c r="B9" s="37"/>
      <c r="C9" s="38"/>
      <c r="D9" s="39"/>
      <c r="E9" s="2"/>
      <c r="F9" s="2"/>
      <c r="G9" s="2"/>
      <c r="H9" s="2"/>
      <c r="I9" s="3"/>
      <c r="J9" s="3"/>
      <c r="K9" s="3"/>
      <c r="L9" s="3"/>
      <c r="M9" s="2"/>
      <c r="N9" s="3"/>
      <c r="O9" s="2"/>
      <c r="P9" s="2"/>
      <c r="Q9" s="2"/>
      <c r="R9" s="41"/>
    </row>
    <row r="10" spans="1:21" ht="22.5" customHeight="1">
      <c r="B10" s="37"/>
      <c r="C10" s="38"/>
      <c r="D10" s="39"/>
      <c r="E10" s="2"/>
      <c r="F10" s="2"/>
      <c r="G10" s="2"/>
      <c r="H10" s="2"/>
      <c r="I10" s="3"/>
      <c r="J10" s="3"/>
      <c r="K10" s="3"/>
      <c r="L10" s="3"/>
      <c r="M10" s="2"/>
      <c r="N10" s="3"/>
      <c r="O10" s="2"/>
      <c r="P10" s="2"/>
      <c r="Q10" s="2"/>
      <c r="R10" s="41"/>
    </row>
    <row r="11" spans="1:21" ht="22.5" customHeight="1">
      <c r="B11" s="37"/>
      <c r="C11" s="38"/>
      <c r="D11" s="39"/>
      <c r="E11" s="2"/>
      <c r="F11" s="2"/>
      <c r="G11" s="2"/>
      <c r="H11" s="2"/>
      <c r="I11" s="3"/>
      <c r="J11" s="3"/>
      <c r="K11" s="3"/>
      <c r="L11" s="3"/>
      <c r="M11" s="2"/>
      <c r="N11" s="3"/>
      <c r="O11" s="2"/>
      <c r="P11" s="2"/>
      <c r="Q11" s="2"/>
      <c r="R11" s="41"/>
    </row>
    <row r="12" spans="1:21" ht="22.5" customHeight="1">
      <c r="B12" s="37"/>
      <c r="C12" s="38"/>
      <c r="D12" s="39"/>
      <c r="E12" s="2"/>
      <c r="F12" s="2"/>
      <c r="G12" s="2"/>
      <c r="H12" s="2"/>
      <c r="I12" s="3"/>
      <c r="J12" s="3"/>
      <c r="K12" s="3"/>
      <c r="L12" s="3"/>
      <c r="M12" s="2"/>
      <c r="N12" s="3"/>
      <c r="O12" s="2"/>
      <c r="P12" s="2"/>
      <c r="Q12" s="2"/>
      <c r="R12" s="41"/>
    </row>
    <row r="13" spans="1:21" ht="22.5" customHeight="1">
      <c r="B13" s="37"/>
      <c r="C13" s="38"/>
      <c r="D13" s="39"/>
      <c r="E13" s="2"/>
      <c r="F13" s="2"/>
      <c r="G13" s="2"/>
      <c r="H13" s="2"/>
      <c r="I13" s="3"/>
      <c r="J13" s="3"/>
      <c r="K13" s="3"/>
      <c r="L13" s="3"/>
      <c r="M13" s="2"/>
      <c r="N13" s="3"/>
      <c r="O13" s="2"/>
      <c r="P13" s="2"/>
      <c r="Q13" s="2"/>
      <c r="R13" s="41"/>
    </row>
    <row r="14" spans="1:21" ht="22.5" customHeight="1">
      <c r="B14" s="37"/>
      <c r="C14" s="38"/>
      <c r="D14" s="39"/>
      <c r="E14" s="2"/>
      <c r="F14" s="2"/>
      <c r="G14" s="2"/>
      <c r="H14" s="2"/>
      <c r="I14" s="3"/>
      <c r="J14" s="3"/>
      <c r="K14" s="3"/>
      <c r="L14" s="3"/>
      <c r="M14" s="2"/>
      <c r="N14" s="3"/>
      <c r="O14" s="2"/>
      <c r="P14" s="2"/>
      <c r="Q14" s="2"/>
      <c r="R14" s="41"/>
    </row>
    <row r="15" spans="1:21" ht="22.5" customHeight="1">
      <c r="B15" s="42"/>
      <c r="C15" s="43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</row>
    <row r="16" spans="1:21" ht="22.5" customHeight="1">
      <c r="B16" s="42"/>
      <c r="C16" s="43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5"/>
    </row>
    <row r="17" spans="1:18" ht="22.5" customHeight="1">
      <c r="B17" s="42"/>
      <c r="C17" s="43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5"/>
    </row>
    <row r="18" spans="1:18" ht="22.5" customHeight="1">
      <c r="B18" s="42"/>
      <c r="C18" s="43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5"/>
    </row>
    <row r="19" spans="1:18" ht="22.5" customHeight="1">
      <c r="B19" s="42"/>
      <c r="C19" s="43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5"/>
    </row>
    <row r="20" spans="1:18" ht="22.5" customHeight="1">
      <c r="B20" s="42"/>
      <c r="C20" s="43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5"/>
    </row>
    <row r="21" spans="1:18" ht="22.5" customHeight="1">
      <c r="B21" s="42"/>
      <c r="C21" s="43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5"/>
    </row>
    <row r="22" spans="1:18" ht="22.5" customHeight="1">
      <c r="B22" s="42"/>
      <c r="C22" s="43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5"/>
    </row>
    <row r="23" spans="1:18" ht="22.5" customHeight="1">
      <c r="B23" s="46"/>
      <c r="C23" s="47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48"/>
    </row>
    <row r="31" spans="1:18" ht="23.1" customHeight="1">
      <c r="A31" t="str">
        <f>CONCATENATE(B31,C31)</f>
        <v>용접기 손료교류500Amp</v>
      </c>
      <c r="B31" s="37" t="s">
        <v>49</v>
      </c>
      <c r="C31" s="38" t="s">
        <v>50</v>
      </c>
      <c r="D31" s="39" t="s">
        <v>447</v>
      </c>
      <c r="E31" s="2"/>
      <c r="F31" s="2"/>
      <c r="G31" s="2">
        <v>124</v>
      </c>
      <c r="H31" s="2">
        <f>INT(E31+F31+G31)</f>
        <v>124</v>
      </c>
      <c r="I31" s="3">
        <v>188</v>
      </c>
      <c r="J31" s="3"/>
      <c r="K31" s="3"/>
      <c r="L31" s="3">
        <v>124</v>
      </c>
      <c r="M31" s="2">
        <f>INT(J31+K31+L31)</f>
        <v>124</v>
      </c>
      <c r="N31" s="3">
        <v>145</v>
      </c>
      <c r="O31" s="2">
        <f t="shared" ref="O31:Q32" si="1">MIN(E31,J31)</f>
        <v>0</v>
      </c>
      <c r="P31" s="2">
        <f t="shared" si="1"/>
        <v>0</v>
      </c>
      <c r="Q31" s="2">
        <f t="shared" si="1"/>
        <v>124</v>
      </c>
      <c r="R31" s="40"/>
    </row>
    <row r="32" spans="1:18" ht="23.1" customHeight="1">
      <c r="A32" t="str">
        <f>CONCATENATE(B32,C32)</f>
        <v>전력량산업용</v>
      </c>
      <c r="B32" s="37" t="s">
        <v>448</v>
      </c>
      <c r="C32" s="38" t="s">
        <v>51</v>
      </c>
      <c r="D32" s="39" t="s">
        <v>52</v>
      </c>
      <c r="E32" s="2">
        <v>81</v>
      </c>
      <c r="F32" s="2"/>
      <c r="G32" s="2"/>
      <c r="H32" s="2">
        <f>INT(E32+F32+G32)</f>
        <v>81</v>
      </c>
      <c r="I32" s="3">
        <v>341</v>
      </c>
      <c r="J32" s="3"/>
      <c r="K32" s="3"/>
      <c r="L32" s="3">
        <v>81.5</v>
      </c>
      <c r="M32" s="2">
        <f>INT(J32+K32+L32)</f>
        <v>81</v>
      </c>
      <c r="N32" s="3">
        <v>185</v>
      </c>
      <c r="O32" s="2">
        <f t="shared" si="1"/>
        <v>81</v>
      </c>
      <c r="P32" s="2">
        <f t="shared" si="1"/>
        <v>0</v>
      </c>
      <c r="Q32" s="2">
        <f t="shared" si="1"/>
        <v>81.5</v>
      </c>
      <c r="R32" s="40"/>
    </row>
    <row r="33" spans="1:18" ht="23.1" customHeight="1">
      <c r="A33" t="str">
        <f>CONCATENATE(B33,C33)</f>
        <v>폐기물 처리-</v>
      </c>
      <c r="B33" s="37" t="s">
        <v>283</v>
      </c>
      <c r="C33" s="38" t="s">
        <v>53</v>
      </c>
      <c r="D33" s="39" t="s">
        <v>284</v>
      </c>
      <c r="E33" s="2"/>
      <c r="F33" s="2"/>
      <c r="G33" s="2">
        <v>43000</v>
      </c>
      <c r="H33" s="2">
        <f>INT(E33+F33+G33)</f>
        <v>43000</v>
      </c>
      <c r="I33" s="3">
        <v>351</v>
      </c>
      <c r="J33" s="3"/>
      <c r="K33" s="3"/>
      <c r="L33" s="3"/>
      <c r="M33" s="2"/>
      <c r="N33" s="3"/>
      <c r="O33" s="2">
        <f>MIN(E33,J33)</f>
        <v>0</v>
      </c>
      <c r="P33" s="2">
        <f>MIN(F33,K33)</f>
        <v>0</v>
      </c>
      <c r="Q33" s="2">
        <f>MIN(G33,L33)</f>
        <v>43000</v>
      </c>
      <c r="R33" s="40"/>
    </row>
    <row r="73" spans="9:9" ht="18" customHeight="1">
      <c r="I73">
        <f>SUM(I29:I72)</f>
        <v>880</v>
      </c>
    </row>
  </sheetData>
  <mergeCells count="7">
    <mergeCell ref="B3:B4"/>
    <mergeCell ref="C3:C4"/>
    <mergeCell ref="D3:D4"/>
    <mergeCell ref="R3:R4"/>
    <mergeCell ref="E3:I3"/>
    <mergeCell ref="J3:N3"/>
    <mergeCell ref="O3:Q3"/>
  </mergeCells>
  <phoneticPr fontId="7" type="noConversion"/>
  <printOptions horizontalCentered="1" verticalCentered="1"/>
  <pageMargins left="0.59055118110236227" right="0.39370078740157483" top="0.59055118110236227" bottom="0.59055118110236227" header="0.39370078740157483" footer="0.19685039370078741"/>
  <pageSetup paperSize="9" orientation="landscape" r:id="rId1"/>
  <headerFooter alignWithMargins="0">
    <oddHeader>&amp;C&amp;"돋움체,보통"&amp;20&amp;U부 록 단 가 비 교 표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C000"/>
  </sheetPr>
  <dimension ref="A1:W65"/>
  <sheetViews>
    <sheetView showZeros="0" view="pageBreakPreview" zoomScaleSheetLayoutView="100" workbookViewId="0">
      <pane xSplit="1" ySplit="5" topLeftCell="B6" activePane="bottomRight" state="frozen"/>
      <selection activeCell="H7" sqref="H7"/>
      <selection pane="topRight" activeCell="H7" sqref="H7"/>
      <selection pane="bottomLeft" activeCell="H7" sqref="H7"/>
      <selection pane="bottomRight" activeCell="G20" sqref="G20"/>
    </sheetView>
  </sheetViews>
  <sheetFormatPr defaultRowHeight="13.5"/>
  <cols>
    <col min="1" max="1" width="10.33203125" customWidth="1"/>
    <col min="2" max="3" width="20.77734375" customWidth="1"/>
    <col min="4" max="9" width="15.77734375" customWidth="1"/>
    <col min="10" max="15" width="7.33203125" hidden="1" customWidth="1"/>
    <col min="16" max="16" width="8.33203125" hidden="1" customWidth="1"/>
    <col min="17" max="17" width="5.77734375" customWidth="1"/>
    <col min="18" max="18" width="8.77734375" customWidth="1"/>
    <col min="19" max="19" width="5.77734375" customWidth="1"/>
    <col min="20" max="20" width="10.6640625" customWidth="1"/>
    <col min="21" max="22" width="6.77734375" customWidth="1"/>
    <col min="24" max="25" width="10" bestFit="1" customWidth="1"/>
  </cols>
  <sheetData>
    <row r="1" spans="1:23" ht="11.25" customHeight="1">
      <c r="B1" s="5"/>
      <c r="C1" s="1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9"/>
      <c r="V1" s="9"/>
    </row>
    <row r="2" spans="1:23" ht="23.1" customHeight="1">
      <c r="A2" t="s">
        <v>1357</v>
      </c>
      <c r="B2" s="807" t="str">
        <f>원가계산서!A2</f>
        <v>2022년 경기창작센터 예술공원 조성사업(전기)</v>
      </c>
      <c r="C2" s="814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7"/>
      <c r="V2" s="817"/>
    </row>
    <row r="3" spans="1:23" ht="23.1" customHeight="1">
      <c r="B3" s="1570" t="s">
        <v>1346</v>
      </c>
      <c r="C3" s="1575" t="s">
        <v>1347</v>
      </c>
      <c r="D3" s="1570" t="s">
        <v>1610</v>
      </c>
      <c r="E3" s="1570"/>
      <c r="F3" s="1570"/>
      <c r="G3" s="1570"/>
      <c r="H3" s="1570"/>
      <c r="I3" s="1570"/>
      <c r="J3" s="1570"/>
      <c r="K3" s="1570"/>
      <c r="L3" s="1570"/>
      <c r="M3" s="1570"/>
      <c r="N3" s="1570"/>
      <c r="O3" s="1570"/>
      <c r="P3" s="1570"/>
      <c r="Q3" s="1570" t="s">
        <v>18</v>
      </c>
      <c r="R3" s="1570" t="s">
        <v>1611</v>
      </c>
      <c r="S3" s="1570" t="s">
        <v>1612</v>
      </c>
      <c r="T3" s="1053"/>
      <c r="U3" s="1577" t="s">
        <v>1753</v>
      </c>
      <c r="V3" s="1577" t="s">
        <v>1754</v>
      </c>
      <c r="W3">
        <v>1</v>
      </c>
    </row>
    <row r="4" spans="1:23" ht="23.1" customHeight="1">
      <c r="B4" s="1570"/>
      <c r="C4" s="1575"/>
      <c r="D4" s="1570" t="str">
        <f>'수량산출서(DL)'!C5</f>
        <v>1.1.가로등공사[DL]</v>
      </c>
      <c r="E4" s="1570"/>
      <c r="F4" s="1570"/>
      <c r="G4" s="1570" t="e">
        <f>#REF!</f>
        <v>#REF!</v>
      </c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169"/>
      <c r="U4" s="1617"/>
      <c r="V4" s="1617"/>
    </row>
    <row r="5" spans="1:23" ht="30" customHeight="1">
      <c r="A5" t="s">
        <v>1755</v>
      </c>
      <c r="B5" s="1570"/>
      <c r="C5" s="1575"/>
      <c r="D5" s="1186" t="str">
        <f>'수량산출서(DL)'!C6</f>
        <v>1.1.1.철거공사</v>
      </c>
      <c r="E5" s="1186" t="str">
        <f>'수량산출서(DL)'!C29</f>
        <v>1.1.2.인입공사</v>
      </c>
      <c r="F5" s="1186" t="str">
        <f>'수량산출서(DL)'!C54</f>
        <v>1.1.3.설치공사</v>
      </c>
      <c r="G5" s="1186" t="e">
        <f>#REF!</f>
        <v>#REF!</v>
      </c>
      <c r="H5" s="1186" t="e">
        <f>#REF!</f>
        <v>#REF!</v>
      </c>
      <c r="I5" s="1186" t="e">
        <f>#REF!</f>
        <v>#REF!</v>
      </c>
      <c r="J5" s="1186"/>
      <c r="K5" s="1186"/>
      <c r="L5" s="1186"/>
      <c r="M5" s="1186"/>
      <c r="N5" s="1186"/>
      <c r="O5" s="1186"/>
      <c r="P5" s="1186"/>
      <c r="Q5" s="1570"/>
      <c r="R5" s="1570"/>
      <c r="S5" s="1570"/>
      <c r="T5" s="1169"/>
      <c r="U5" s="1617"/>
      <c r="V5" s="1617"/>
    </row>
    <row r="6" spans="1:23" ht="18" customHeight="1">
      <c r="A6" s="194" t="e">
        <f>#REF!</f>
        <v>#REF!</v>
      </c>
      <c r="B6" s="1187" t="e">
        <f>VLOOKUP($A6,#REF!,2,FALSE)</f>
        <v>#REF!</v>
      </c>
      <c r="C6" s="1188" t="e">
        <f>VLOOKUP($A6,#REF!,3,FALSE)</f>
        <v>#REF!</v>
      </c>
      <c r="D6" s="1189">
        <f>INT(IF(ISERROR(VLOOKUP($A6,가로등01,6,FALSE)),0,VLOOKUP($A6,가로등01,6,FALSE)))</f>
        <v>0</v>
      </c>
      <c r="E6" s="1189">
        <f>INT(IF(ISERROR(VLOOKUP($A6,가로등02,6,FALSE)),0,VLOOKUP($A6,가로등02,6,FALSE)))</f>
        <v>0</v>
      </c>
      <c r="F6" s="1189">
        <f>INT(IF(ISERROR(VLOOKUP($A6,가로등03,6,FALSE)),0,VLOOKUP($A6,가로등03,6,FALSE)))</f>
        <v>0</v>
      </c>
      <c r="G6" s="1189">
        <f t="shared" ref="G6:G50" si="0">INT(IF(ISERROR(VLOOKUP($A6,공원등01,6,FALSE)),0,VLOOKUP($A6,공원등01,6,FALSE)))</f>
        <v>0</v>
      </c>
      <c r="H6" s="1189">
        <f t="shared" ref="H6:H37" si="1">INT(IF(ISERROR(VLOOKUP($A6,공원등02,6,FALSE)),0,VLOOKUP($A6,공원등02,6,FALSE)))</f>
        <v>0</v>
      </c>
      <c r="I6" s="1189">
        <f t="shared" ref="I6:I37" si="2">INT(IF(ISERROR(VLOOKUP($A6,공원등03,6,FALSE)),0,VLOOKUP($A6,공원등03,6,FALSE)))</f>
        <v>0</v>
      </c>
      <c r="J6" s="1189"/>
      <c r="K6" s="1189"/>
      <c r="L6" s="1189"/>
      <c r="M6" s="1189"/>
      <c r="N6" s="1189"/>
      <c r="O6" s="1189"/>
      <c r="P6" s="1189"/>
      <c r="Q6" s="1190" t="e">
        <f>VLOOKUP(A6,#REF!,4,FALSE)</f>
        <v>#REF!</v>
      </c>
      <c r="R6" s="1191">
        <f>SUM(D6:P6)</f>
        <v>0</v>
      </c>
      <c r="S6" s="1191"/>
      <c r="T6" s="1185"/>
      <c r="U6" s="1170"/>
      <c r="V6" s="1170"/>
    </row>
    <row r="7" spans="1:23" ht="18" customHeight="1">
      <c r="A7" s="194" t="e">
        <f>#REF!</f>
        <v>#REF!</v>
      </c>
      <c r="B7" s="1187" t="e">
        <f>VLOOKUP($A7,#REF!,2,FALSE)</f>
        <v>#REF!</v>
      </c>
      <c r="C7" s="1188" t="e">
        <f>VLOOKUP($A7,#REF!,3,FALSE)</f>
        <v>#REF!</v>
      </c>
      <c r="D7" s="1189">
        <f t="shared" ref="D7:D50" si="3">INT(IF(ISERROR(VLOOKUP($A7,가로등01,6,FALSE)),0,VLOOKUP($A7,가로등01,6,FALSE)))</f>
        <v>0</v>
      </c>
      <c r="E7" s="1189">
        <f t="shared" ref="E7:E50" si="4">INT(IF(ISERROR(VLOOKUP($A7,가로등02,6,FALSE)),0,VLOOKUP($A7,가로등02,6,FALSE)))</f>
        <v>0</v>
      </c>
      <c r="F7" s="1189">
        <f t="shared" ref="F7:F51" si="5">INT(IF(ISERROR(VLOOKUP($A7,가로등03,6,FALSE)),0,VLOOKUP($A7,가로등03,6,FALSE)))</f>
        <v>0</v>
      </c>
      <c r="G7" s="1189">
        <f t="shared" si="0"/>
        <v>0</v>
      </c>
      <c r="H7" s="1189">
        <f t="shared" si="1"/>
        <v>0</v>
      </c>
      <c r="I7" s="1189">
        <f t="shared" si="2"/>
        <v>0</v>
      </c>
      <c r="J7" s="1189"/>
      <c r="K7" s="1189"/>
      <c r="L7" s="1189"/>
      <c r="M7" s="1189"/>
      <c r="N7" s="1189"/>
      <c r="O7" s="1189"/>
      <c r="P7" s="1189"/>
      <c r="Q7" s="1190" t="e">
        <f>VLOOKUP(A7,#REF!,4,FALSE)</f>
        <v>#REF!</v>
      </c>
      <c r="R7" s="1191">
        <f>SUM(D7:P7)</f>
        <v>0</v>
      </c>
      <c r="S7" s="1191"/>
      <c r="T7" s="1185"/>
      <c r="U7" s="1170">
        <f>SUM(D7:F7)</f>
        <v>0</v>
      </c>
      <c r="V7" s="1170">
        <f>SUM(G7:P7)</f>
        <v>0</v>
      </c>
    </row>
    <row r="8" spans="1:23" ht="18" customHeight="1">
      <c r="A8" s="194" t="e">
        <f>#REF!</f>
        <v>#REF!</v>
      </c>
      <c r="B8" s="1187" t="e">
        <f>VLOOKUP($A8,#REF!,2,FALSE)</f>
        <v>#REF!</v>
      </c>
      <c r="C8" s="1188" t="e">
        <f>VLOOKUP($A8,#REF!,3,FALSE)</f>
        <v>#REF!</v>
      </c>
      <c r="D8" s="1189">
        <f t="shared" si="3"/>
        <v>0</v>
      </c>
      <c r="E8" s="1189">
        <f t="shared" si="4"/>
        <v>0</v>
      </c>
      <c r="F8" s="1189">
        <f t="shared" si="5"/>
        <v>0</v>
      </c>
      <c r="G8" s="1189">
        <f t="shared" si="0"/>
        <v>0</v>
      </c>
      <c r="H8" s="1189">
        <f t="shared" si="1"/>
        <v>0</v>
      </c>
      <c r="I8" s="1189">
        <f t="shared" si="2"/>
        <v>0</v>
      </c>
      <c r="J8" s="1189"/>
      <c r="K8" s="1189"/>
      <c r="L8" s="1189"/>
      <c r="M8" s="1189"/>
      <c r="N8" s="1189"/>
      <c r="O8" s="1189"/>
      <c r="P8" s="1189"/>
      <c r="Q8" s="1190" t="e">
        <f>VLOOKUP(A8,#REF!,4,FALSE)</f>
        <v>#REF!</v>
      </c>
      <c r="R8" s="1191">
        <f>SUM(D8:P8)</f>
        <v>0</v>
      </c>
      <c r="S8" s="1191"/>
      <c r="T8" s="1185"/>
      <c r="U8" s="864"/>
      <c r="V8" s="864"/>
    </row>
    <row r="9" spans="1:23" ht="18" customHeight="1">
      <c r="A9" s="194" t="e">
        <f>#REF!</f>
        <v>#REF!</v>
      </c>
      <c r="B9" s="1187" t="e">
        <f>VLOOKUP($A9,#REF!,2,FALSE)</f>
        <v>#REF!</v>
      </c>
      <c r="C9" s="1188" t="e">
        <f>VLOOKUP($A9,#REF!,3,FALSE)</f>
        <v>#REF!</v>
      </c>
      <c r="D9" s="1189">
        <f t="shared" si="3"/>
        <v>0</v>
      </c>
      <c r="E9" s="1189">
        <f t="shared" si="4"/>
        <v>0</v>
      </c>
      <c r="F9" s="1189">
        <f t="shared" si="5"/>
        <v>0</v>
      </c>
      <c r="G9" s="1189">
        <f t="shared" si="0"/>
        <v>0</v>
      </c>
      <c r="H9" s="1189">
        <f t="shared" si="1"/>
        <v>0</v>
      </c>
      <c r="I9" s="1189">
        <f t="shared" si="2"/>
        <v>0</v>
      </c>
      <c r="J9" s="1189"/>
      <c r="K9" s="1189"/>
      <c r="L9" s="1189"/>
      <c r="M9" s="1189"/>
      <c r="N9" s="1189"/>
      <c r="O9" s="1189"/>
      <c r="P9" s="1189"/>
      <c r="Q9" s="1190" t="e">
        <f>VLOOKUP(A9,#REF!,4,FALSE)</f>
        <v>#REF!</v>
      </c>
      <c r="R9" s="1191">
        <f>SUM(D9:P9)</f>
        <v>0</v>
      </c>
      <c r="S9" s="1191"/>
      <c r="T9" s="1185"/>
      <c r="U9" s="864"/>
      <c r="V9" s="864"/>
    </row>
    <row r="10" spans="1:23" ht="18" customHeight="1">
      <c r="A10" s="194" t="e">
        <f>#REF!</f>
        <v>#REF!</v>
      </c>
      <c r="B10" s="1187" t="e">
        <f>VLOOKUP($A10,#REF!,2,FALSE)</f>
        <v>#REF!</v>
      </c>
      <c r="C10" s="1188" t="e">
        <f>VLOOKUP($A10,#REF!,3,FALSE)</f>
        <v>#REF!</v>
      </c>
      <c r="D10" s="1189">
        <f t="shared" si="3"/>
        <v>0</v>
      </c>
      <c r="E10" s="1189">
        <f t="shared" si="4"/>
        <v>0</v>
      </c>
      <c r="F10" s="1189">
        <f t="shared" si="5"/>
        <v>0</v>
      </c>
      <c r="G10" s="1189">
        <f t="shared" si="0"/>
        <v>0</v>
      </c>
      <c r="H10" s="1189">
        <f t="shared" si="1"/>
        <v>0</v>
      </c>
      <c r="I10" s="1189">
        <f t="shared" si="2"/>
        <v>0</v>
      </c>
      <c r="J10" s="1189"/>
      <c r="K10" s="1189"/>
      <c r="L10" s="1189"/>
      <c r="M10" s="1189"/>
      <c r="N10" s="1189"/>
      <c r="O10" s="1189"/>
      <c r="P10" s="1189"/>
      <c r="Q10" s="1190" t="e">
        <f>VLOOKUP(A10,#REF!,4,FALSE)</f>
        <v>#REF!</v>
      </c>
      <c r="R10" s="1191">
        <f>SUM(D10:P10)</f>
        <v>0</v>
      </c>
      <c r="S10" s="1191"/>
      <c r="T10" s="1185"/>
      <c r="U10" s="864"/>
      <c r="V10" s="864"/>
    </row>
    <row r="11" spans="1:23" ht="18" customHeight="1">
      <c r="A11" s="194" t="e">
        <f>#REF!</f>
        <v>#REF!</v>
      </c>
      <c r="B11" s="1187" t="e">
        <f>VLOOKUP($A11,#REF!,2,FALSE)</f>
        <v>#REF!</v>
      </c>
      <c r="C11" s="1188" t="e">
        <f>VLOOKUP($A11,#REF!,3,FALSE)</f>
        <v>#REF!</v>
      </c>
      <c r="D11" s="1189">
        <f t="shared" si="3"/>
        <v>0</v>
      </c>
      <c r="E11" s="1189">
        <f t="shared" si="4"/>
        <v>0</v>
      </c>
      <c r="F11" s="1189">
        <f t="shared" si="5"/>
        <v>0</v>
      </c>
      <c r="G11" s="1189">
        <f t="shared" si="0"/>
        <v>0</v>
      </c>
      <c r="H11" s="1189">
        <f t="shared" si="1"/>
        <v>0</v>
      </c>
      <c r="I11" s="1189">
        <f t="shared" si="2"/>
        <v>0</v>
      </c>
      <c r="J11" s="1189"/>
      <c r="K11" s="1189"/>
      <c r="L11" s="1189"/>
      <c r="M11" s="1189"/>
      <c r="N11" s="1189"/>
      <c r="O11" s="1189"/>
      <c r="P11" s="1189"/>
      <c r="Q11" s="1190" t="e">
        <f>VLOOKUP(A11,#REF!,4,FALSE)</f>
        <v>#REF!</v>
      </c>
      <c r="R11" s="1191">
        <f t="shared" ref="R11:R31" si="6">SUM(D11:P11)</f>
        <v>0</v>
      </c>
      <c r="S11" s="1191"/>
      <c r="T11" s="1185"/>
      <c r="U11" s="1170">
        <f t="shared" ref="U11:U37" si="7">SUM(D11:F11)</f>
        <v>0</v>
      </c>
      <c r="V11" s="1170">
        <f t="shared" ref="V11:V37" si="8">SUM(G11:P11)</f>
        <v>0</v>
      </c>
    </row>
    <row r="12" spans="1:23" ht="18" customHeight="1">
      <c r="A12" s="194" t="e">
        <f>#REF!</f>
        <v>#REF!</v>
      </c>
      <c r="B12" s="1187" t="e">
        <f>VLOOKUP($A12,#REF!,2,FALSE)</f>
        <v>#REF!</v>
      </c>
      <c r="C12" s="1188" t="e">
        <f>VLOOKUP($A12,#REF!,3,FALSE)</f>
        <v>#REF!</v>
      </c>
      <c r="D12" s="1189">
        <f t="shared" si="3"/>
        <v>0</v>
      </c>
      <c r="E12" s="1189">
        <f t="shared" si="4"/>
        <v>0</v>
      </c>
      <c r="F12" s="1189">
        <f t="shared" si="5"/>
        <v>0</v>
      </c>
      <c r="G12" s="1189">
        <f t="shared" si="0"/>
        <v>0</v>
      </c>
      <c r="H12" s="1189">
        <f t="shared" si="1"/>
        <v>0</v>
      </c>
      <c r="I12" s="1189">
        <f t="shared" si="2"/>
        <v>0</v>
      </c>
      <c r="J12" s="1189"/>
      <c r="K12" s="1189"/>
      <c r="L12" s="1189"/>
      <c r="M12" s="1189"/>
      <c r="N12" s="1189"/>
      <c r="O12" s="1189"/>
      <c r="P12" s="1189"/>
      <c r="Q12" s="1190" t="e">
        <f>VLOOKUP(A12,#REF!,4,FALSE)</f>
        <v>#REF!</v>
      </c>
      <c r="R12" s="1191">
        <f t="shared" si="6"/>
        <v>0</v>
      </c>
      <c r="S12" s="1191"/>
      <c r="T12" s="1185"/>
      <c r="U12" s="1170">
        <f t="shared" si="7"/>
        <v>0</v>
      </c>
      <c r="V12" s="1170">
        <f t="shared" si="8"/>
        <v>0</v>
      </c>
    </row>
    <row r="13" spans="1:23" ht="18" customHeight="1">
      <c r="A13" s="194" t="e">
        <f>#REF!</f>
        <v>#REF!</v>
      </c>
      <c r="B13" s="1187" t="e">
        <f>VLOOKUP($A13,#REF!,2,FALSE)</f>
        <v>#REF!</v>
      </c>
      <c r="C13" s="1188" t="e">
        <f>VLOOKUP($A13,#REF!,3,FALSE)</f>
        <v>#REF!</v>
      </c>
      <c r="D13" s="1189">
        <f t="shared" si="3"/>
        <v>0</v>
      </c>
      <c r="E13" s="1189">
        <f t="shared" si="4"/>
        <v>0</v>
      </c>
      <c r="F13" s="1189">
        <f t="shared" si="5"/>
        <v>0</v>
      </c>
      <c r="G13" s="1189">
        <f t="shared" si="0"/>
        <v>0</v>
      </c>
      <c r="H13" s="1189">
        <f t="shared" si="1"/>
        <v>0</v>
      </c>
      <c r="I13" s="1189">
        <f t="shared" si="2"/>
        <v>0</v>
      </c>
      <c r="J13" s="1189"/>
      <c r="K13" s="1189"/>
      <c r="L13" s="1189"/>
      <c r="M13" s="1189"/>
      <c r="N13" s="1189"/>
      <c r="O13" s="1189"/>
      <c r="P13" s="1189"/>
      <c r="Q13" s="1190" t="e">
        <f>VLOOKUP(A13,#REF!,4,FALSE)</f>
        <v>#REF!</v>
      </c>
      <c r="R13" s="1191">
        <f t="shared" ref="R13:R15" si="9">SUM(D13:P13)</f>
        <v>0</v>
      </c>
      <c r="S13" s="1191"/>
      <c r="T13" s="1185"/>
      <c r="U13" s="1170"/>
      <c r="V13" s="1170"/>
    </row>
    <row r="14" spans="1:23" ht="18" customHeight="1">
      <c r="A14" s="194" t="e">
        <f>#REF!</f>
        <v>#REF!</v>
      </c>
      <c r="B14" s="1187" t="e">
        <f>VLOOKUP($A14,#REF!,2,FALSE)</f>
        <v>#REF!</v>
      </c>
      <c r="C14" s="1188" t="e">
        <f>VLOOKUP($A14,#REF!,3,FALSE)</f>
        <v>#REF!</v>
      </c>
      <c r="D14" s="1189">
        <f t="shared" si="3"/>
        <v>0</v>
      </c>
      <c r="E14" s="1189">
        <f t="shared" si="4"/>
        <v>0</v>
      </c>
      <c r="F14" s="1189">
        <f t="shared" si="5"/>
        <v>0</v>
      </c>
      <c r="G14" s="1189">
        <f t="shared" si="0"/>
        <v>0</v>
      </c>
      <c r="H14" s="1189">
        <f t="shared" si="1"/>
        <v>0</v>
      </c>
      <c r="I14" s="1189">
        <f t="shared" si="2"/>
        <v>0</v>
      </c>
      <c r="J14" s="1189"/>
      <c r="K14" s="1189"/>
      <c r="L14" s="1189"/>
      <c r="M14" s="1189"/>
      <c r="N14" s="1189"/>
      <c r="O14" s="1189"/>
      <c r="P14" s="1189"/>
      <c r="Q14" s="1190" t="e">
        <f>VLOOKUP(A14,#REF!,4,FALSE)</f>
        <v>#REF!</v>
      </c>
      <c r="R14" s="1191">
        <f t="shared" si="9"/>
        <v>0</v>
      </c>
      <c r="S14" s="1191"/>
      <c r="T14" s="1185"/>
      <c r="U14" s="1170"/>
      <c r="V14" s="1170"/>
    </row>
    <row r="15" spans="1:23" ht="18" customHeight="1">
      <c r="A15" s="194" t="e">
        <f>#REF!</f>
        <v>#REF!</v>
      </c>
      <c r="B15" s="1187" t="e">
        <f>VLOOKUP($A15,#REF!,2,FALSE)</f>
        <v>#REF!</v>
      </c>
      <c r="C15" s="1188" t="e">
        <f>VLOOKUP($A15,#REF!,3,FALSE)</f>
        <v>#REF!</v>
      </c>
      <c r="D15" s="1189">
        <f t="shared" si="3"/>
        <v>0</v>
      </c>
      <c r="E15" s="1189">
        <f t="shared" si="4"/>
        <v>0</v>
      </c>
      <c r="F15" s="1189">
        <f t="shared" si="5"/>
        <v>0</v>
      </c>
      <c r="G15" s="1189">
        <f t="shared" si="0"/>
        <v>0</v>
      </c>
      <c r="H15" s="1189">
        <f t="shared" si="1"/>
        <v>0</v>
      </c>
      <c r="I15" s="1189">
        <f t="shared" si="2"/>
        <v>0</v>
      </c>
      <c r="J15" s="1189"/>
      <c r="K15" s="1189"/>
      <c r="L15" s="1189"/>
      <c r="M15" s="1189"/>
      <c r="N15" s="1189"/>
      <c r="O15" s="1189"/>
      <c r="P15" s="1189"/>
      <c r="Q15" s="1190" t="e">
        <f>VLOOKUP(A15,#REF!,4,FALSE)</f>
        <v>#REF!</v>
      </c>
      <c r="R15" s="1191">
        <f t="shared" si="9"/>
        <v>0</v>
      </c>
      <c r="S15" s="1191"/>
      <c r="T15" s="1185"/>
      <c r="U15" s="1170"/>
      <c r="V15" s="1170"/>
    </row>
    <row r="16" spans="1:23" ht="18" customHeight="1">
      <c r="A16" s="194" t="e">
        <f>#REF!</f>
        <v>#REF!</v>
      </c>
      <c r="B16" s="1187" t="e">
        <f>VLOOKUP($A16,#REF!,2,FALSE)</f>
        <v>#REF!</v>
      </c>
      <c r="C16" s="1188" t="e">
        <f>VLOOKUP($A16,#REF!,3,FALSE)</f>
        <v>#REF!</v>
      </c>
      <c r="D16" s="1189">
        <f t="shared" si="3"/>
        <v>0</v>
      </c>
      <c r="E16" s="1189">
        <f t="shared" si="4"/>
        <v>0</v>
      </c>
      <c r="F16" s="1189">
        <f t="shared" si="5"/>
        <v>0</v>
      </c>
      <c r="G16" s="1189">
        <f t="shared" si="0"/>
        <v>0</v>
      </c>
      <c r="H16" s="1189">
        <f t="shared" si="1"/>
        <v>0</v>
      </c>
      <c r="I16" s="1189">
        <f t="shared" si="2"/>
        <v>0</v>
      </c>
      <c r="J16" s="1189"/>
      <c r="K16" s="1189"/>
      <c r="L16" s="1189"/>
      <c r="M16" s="1189"/>
      <c r="N16" s="1189"/>
      <c r="O16" s="1189"/>
      <c r="P16" s="1189"/>
      <c r="Q16" s="1190" t="e">
        <f>VLOOKUP(A16,#REF!,4,FALSE)</f>
        <v>#REF!</v>
      </c>
      <c r="R16" s="1191">
        <f t="shared" si="6"/>
        <v>0</v>
      </c>
      <c r="S16" s="1191"/>
      <c r="T16" s="1185"/>
      <c r="U16" s="1170">
        <f t="shared" si="7"/>
        <v>0</v>
      </c>
      <c r="V16" s="1170">
        <f t="shared" si="8"/>
        <v>0</v>
      </c>
    </row>
    <row r="17" spans="1:22" ht="18" customHeight="1">
      <c r="A17" s="194" t="e">
        <f>#REF!</f>
        <v>#REF!</v>
      </c>
      <c r="B17" s="1187" t="e">
        <f>VLOOKUP($A17,#REF!,2,FALSE)</f>
        <v>#REF!</v>
      </c>
      <c r="C17" s="1188" t="e">
        <f>VLOOKUP($A17,#REF!,3,FALSE)</f>
        <v>#REF!</v>
      </c>
      <c r="D17" s="1189">
        <f t="shared" si="3"/>
        <v>0</v>
      </c>
      <c r="E17" s="1189">
        <f t="shared" si="4"/>
        <v>0</v>
      </c>
      <c r="F17" s="1189">
        <f t="shared" si="5"/>
        <v>0</v>
      </c>
      <c r="G17" s="1189">
        <f t="shared" si="0"/>
        <v>0</v>
      </c>
      <c r="H17" s="1189">
        <f t="shared" si="1"/>
        <v>0</v>
      </c>
      <c r="I17" s="1189">
        <f t="shared" si="2"/>
        <v>0</v>
      </c>
      <c r="J17" s="1189"/>
      <c r="K17" s="1189"/>
      <c r="L17" s="1189"/>
      <c r="M17" s="1189"/>
      <c r="N17" s="1189"/>
      <c r="O17" s="1189"/>
      <c r="P17" s="1189"/>
      <c r="Q17" s="1190" t="e">
        <f>VLOOKUP(A17,#REF!,4,FALSE)</f>
        <v>#REF!</v>
      </c>
      <c r="R17" s="1191">
        <f>SUM(D17:P17)</f>
        <v>0</v>
      </c>
      <c r="S17" s="1191"/>
      <c r="T17" s="1185"/>
      <c r="U17" s="1170">
        <f>SUM(D17:F17)</f>
        <v>0</v>
      </c>
      <c r="V17" s="1170">
        <f>SUM(G17:P17)</f>
        <v>0</v>
      </c>
    </row>
    <row r="18" spans="1:22" ht="18" customHeight="1">
      <c r="A18" s="194" t="e">
        <f>#REF!</f>
        <v>#REF!</v>
      </c>
      <c r="B18" s="1187" t="e">
        <f>VLOOKUP($A18,#REF!,2,FALSE)</f>
        <v>#REF!</v>
      </c>
      <c r="C18" s="1188" t="e">
        <f>VLOOKUP($A18,#REF!,3,FALSE)</f>
        <v>#REF!</v>
      </c>
      <c r="D18" s="1189">
        <f t="shared" si="3"/>
        <v>0</v>
      </c>
      <c r="E18" s="1189">
        <f t="shared" si="4"/>
        <v>0</v>
      </c>
      <c r="F18" s="1189">
        <f t="shared" si="5"/>
        <v>0</v>
      </c>
      <c r="G18" s="1189">
        <f t="shared" si="0"/>
        <v>0</v>
      </c>
      <c r="H18" s="1189">
        <f t="shared" si="1"/>
        <v>0</v>
      </c>
      <c r="I18" s="1189">
        <f t="shared" si="2"/>
        <v>0</v>
      </c>
      <c r="J18" s="1189"/>
      <c r="K18" s="1189"/>
      <c r="L18" s="1189"/>
      <c r="M18" s="1189"/>
      <c r="N18" s="1189"/>
      <c r="O18" s="1189"/>
      <c r="P18" s="1189"/>
      <c r="Q18" s="1190" t="e">
        <f>VLOOKUP(A18,#REF!,4,FALSE)</f>
        <v>#REF!</v>
      </c>
      <c r="R18" s="1191">
        <f t="shared" ref="R18" si="10">SUM(D18:P18)</f>
        <v>0</v>
      </c>
      <c r="S18" s="1191"/>
      <c r="T18" s="1185"/>
      <c r="U18" s="1170">
        <f t="shared" ref="U18" si="11">SUM(D18:F18)</f>
        <v>0</v>
      </c>
      <c r="V18" s="1170">
        <f t="shared" ref="V18" si="12">SUM(G18:P18)</f>
        <v>0</v>
      </c>
    </row>
    <row r="19" spans="1:22" ht="18" customHeight="1">
      <c r="A19" s="194" t="e">
        <f>#REF!</f>
        <v>#REF!</v>
      </c>
      <c r="B19" s="1187" t="e">
        <f>VLOOKUP($A19,#REF!,2,FALSE)</f>
        <v>#REF!</v>
      </c>
      <c r="C19" s="1188" t="e">
        <f>VLOOKUP($A19,#REF!,3,FALSE)</f>
        <v>#REF!</v>
      </c>
      <c r="D19" s="1189">
        <f t="shared" si="3"/>
        <v>0</v>
      </c>
      <c r="E19" s="1189">
        <f t="shared" si="4"/>
        <v>0</v>
      </c>
      <c r="F19" s="1189">
        <f t="shared" si="5"/>
        <v>0</v>
      </c>
      <c r="G19" s="1189">
        <f t="shared" si="0"/>
        <v>0</v>
      </c>
      <c r="H19" s="1189">
        <f t="shared" si="1"/>
        <v>0</v>
      </c>
      <c r="I19" s="1189">
        <f t="shared" si="2"/>
        <v>0</v>
      </c>
      <c r="J19" s="1189"/>
      <c r="K19" s="1189"/>
      <c r="L19" s="1189"/>
      <c r="M19" s="1189"/>
      <c r="N19" s="1189"/>
      <c r="O19" s="1189"/>
      <c r="P19" s="1189"/>
      <c r="Q19" s="1190" t="e">
        <f>VLOOKUP(A19,#REF!,4,FALSE)</f>
        <v>#REF!</v>
      </c>
      <c r="R19" s="1191">
        <f t="shared" ref="R19" si="13">SUM(D19:P19)</f>
        <v>0</v>
      </c>
      <c r="S19" s="1191"/>
      <c r="T19" s="1185"/>
      <c r="U19" s="1170">
        <f t="shared" ref="U19" si="14">SUM(D19:F19)</f>
        <v>0</v>
      </c>
      <c r="V19" s="1170">
        <f t="shared" ref="V19" si="15">SUM(G19:P19)</f>
        <v>0</v>
      </c>
    </row>
    <row r="20" spans="1:22" ht="18" customHeight="1">
      <c r="A20" s="194" t="e">
        <f>#REF!</f>
        <v>#REF!</v>
      </c>
      <c r="B20" s="1187" t="e">
        <f>VLOOKUP($A20,#REF!,2,FALSE)</f>
        <v>#REF!</v>
      </c>
      <c r="C20" s="1188" t="e">
        <f>VLOOKUP($A20,#REF!,3,FALSE)</f>
        <v>#REF!</v>
      </c>
      <c r="D20" s="1189">
        <f t="shared" si="3"/>
        <v>0</v>
      </c>
      <c r="E20" s="1189">
        <f t="shared" si="4"/>
        <v>0</v>
      </c>
      <c r="F20" s="1189">
        <f t="shared" si="5"/>
        <v>0</v>
      </c>
      <c r="G20" s="1189">
        <f t="shared" si="0"/>
        <v>0</v>
      </c>
      <c r="H20" s="1189">
        <f t="shared" si="1"/>
        <v>0</v>
      </c>
      <c r="I20" s="1189">
        <f t="shared" si="2"/>
        <v>0</v>
      </c>
      <c r="J20" s="1189"/>
      <c r="K20" s="1189"/>
      <c r="L20" s="1189"/>
      <c r="M20" s="1189"/>
      <c r="N20" s="1189"/>
      <c r="O20" s="1189"/>
      <c r="P20" s="1189"/>
      <c r="Q20" s="1190" t="e">
        <f>VLOOKUP(A20,#REF!,4,FALSE)</f>
        <v>#REF!</v>
      </c>
      <c r="R20" s="1191">
        <f t="shared" si="6"/>
        <v>0</v>
      </c>
      <c r="S20" s="1191"/>
      <c r="T20" s="1185"/>
      <c r="U20" s="1170">
        <f t="shared" si="7"/>
        <v>0</v>
      </c>
      <c r="V20" s="1170">
        <f t="shared" si="8"/>
        <v>0</v>
      </c>
    </row>
    <row r="21" spans="1:22" ht="18" customHeight="1">
      <c r="A21" s="194" t="e">
        <f>#REF!</f>
        <v>#REF!</v>
      </c>
      <c r="B21" s="1187" t="e">
        <f>VLOOKUP($A21,#REF!,2,FALSE)</f>
        <v>#REF!</v>
      </c>
      <c r="C21" s="1188" t="e">
        <f>VLOOKUP($A21,#REF!,3,FALSE)</f>
        <v>#REF!</v>
      </c>
      <c r="D21" s="1189">
        <f t="shared" si="3"/>
        <v>0</v>
      </c>
      <c r="E21" s="1189">
        <f t="shared" si="4"/>
        <v>0</v>
      </c>
      <c r="F21" s="1189">
        <f t="shared" si="5"/>
        <v>0</v>
      </c>
      <c r="G21" s="1189">
        <f t="shared" si="0"/>
        <v>0</v>
      </c>
      <c r="H21" s="1189">
        <f t="shared" si="1"/>
        <v>0</v>
      </c>
      <c r="I21" s="1189">
        <f t="shared" si="2"/>
        <v>0</v>
      </c>
      <c r="J21" s="1189"/>
      <c r="K21" s="1189"/>
      <c r="L21" s="1189"/>
      <c r="M21" s="1189"/>
      <c r="N21" s="1189"/>
      <c r="O21" s="1189"/>
      <c r="P21" s="1189"/>
      <c r="Q21" s="1190" t="e">
        <f>VLOOKUP(A21,#REF!,4,FALSE)</f>
        <v>#REF!</v>
      </c>
      <c r="R21" s="1191">
        <f t="shared" ref="R21" si="16">SUM(D21:P21)</f>
        <v>0</v>
      </c>
      <c r="S21" s="1191"/>
      <c r="T21" s="1185"/>
      <c r="U21" s="1170">
        <f t="shared" ref="U21" si="17">SUM(D21:F21)</f>
        <v>0</v>
      </c>
      <c r="V21" s="1170">
        <f t="shared" ref="V21" si="18">SUM(G21:P21)</f>
        <v>0</v>
      </c>
    </row>
    <row r="22" spans="1:22" ht="18" customHeight="1">
      <c r="A22" s="194" t="e">
        <f>#REF!</f>
        <v>#REF!</v>
      </c>
      <c r="B22" s="1187" t="e">
        <f>VLOOKUP($A22,#REF!,2,FALSE)</f>
        <v>#REF!</v>
      </c>
      <c r="C22" s="1188" t="e">
        <f>VLOOKUP($A22,#REF!,3,FALSE)</f>
        <v>#REF!</v>
      </c>
      <c r="D22" s="1189">
        <f t="shared" si="3"/>
        <v>0</v>
      </c>
      <c r="E22" s="1189">
        <f t="shared" si="4"/>
        <v>0</v>
      </c>
      <c r="F22" s="1189">
        <f t="shared" si="5"/>
        <v>0</v>
      </c>
      <c r="G22" s="1189">
        <f t="shared" si="0"/>
        <v>0</v>
      </c>
      <c r="H22" s="1189">
        <f t="shared" si="1"/>
        <v>0</v>
      </c>
      <c r="I22" s="1189">
        <f t="shared" si="2"/>
        <v>0</v>
      </c>
      <c r="J22" s="1189"/>
      <c r="K22" s="1189"/>
      <c r="L22" s="1189"/>
      <c r="M22" s="1189"/>
      <c r="N22" s="1189"/>
      <c r="O22" s="1189"/>
      <c r="P22" s="1189"/>
      <c r="Q22" s="1190" t="e">
        <f>VLOOKUP(A22,#REF!,4,FALSE)</f>
        <v>#REF!</v>
      </c>
      <c r="R22" s="1191">
        <f t="shared" ref="R22" si="19">SUM(D22:P22)</f>
        <v>0</v>
      </c>
      <c r="S22" s="1191"/>
      <c r="T22" s="1185"/>
      <c r="U22" s="1170">
        <f t="shared" ref="U22" si="20">SUM(D22:F22)</f>
        <v>0</v>
      </c>
      <c r="V22" s="1170">
        <f t="shared" ref="V22" si="21">SUM(G22:P22)</f>
        <v>0</v>
      </c>
    </row>
    <row r="23" spans="1:22" ht="18" customHeight="1">
      <c r="A23" s="194" t="e">
        <f>#REF!</f>
        <v>#REF!</v>
      </c>
      <c r="B23" s="1187" t="e">
        <f>VLOOKUP($A23,#REF!,2,FALSE)</f>
        <v>#REF!</v>
      </c>
      <c r="C23" s="1188" t="e">
        <f>VLOOKUP($A23,#REF!,3,FALSE)</f>
        <v>#REF!</v>
      </c>
      <c r="D23" s="1189">
        <f t="shared" si="3"/>
        <v>0</v>
      </c>
      <c r="E23" s="1189">
        <f t="shared" si="4"/>
        <v>0</v>
      </c>
      <c r="F23" s="1189">
        <f t="shared" si="5"/>
        <v>0</v>
      </c>
      <c r="G23" s="1189">
        <f t="shared" si="0"/>
        <v>0</v>
      </c>
      <c r="H23" s="1189">
        <f t="shared" si="1"/>
        <v>0</v>
      </c>
      <c r="I23" s="1189">
        <f t="shared" si="2"/>
        <v>0</v>
      </c>
      <c r="J23" s="1189"/>
      <c r="K23" s="1189"/>
      <c r="L23" s="1189"/>
      <c r="M23" s="1189"/>
      <c r="N23" s="1189"/>
      <c r="O23" s="1189"/>
      <c r="P23" s="1189"/>
      <c r="Q23" s="1190" t="e">
        <f>VLOOKUP(A23,#REF!,4,FALSE)</f>
        <v>#REF!</v>
      </c>
      <c r="R23" s="1191">
        <f t="shared" ref="R23" si="22">SUM(D23:P23)</f>
        <v>0</v>
      </c>
      <c r="S23" s="1191"/>
      <c r="T23" s="1185"/>
      <c r="U23" s="1170">
        <f t="shared" ref="U23" si="23">SUM(D23:F23)</f>
        <v>0</v>
      </c>
      <c r="V23" s="1170">
        <f t="shared" ref="V23" si="24">SUM(G23:P23)</f>
        <v>0</v>
      </c>
    </row>
    <row r="24" spans="1:22" ht="18" customHeight="1">
      <c r="A24" s="194" t="e">
        <f>#REF!</f>
        <v>#REF!</v>
      </c>
      <c r="B24" s="1187" t="e">
        <f>VLOOKUP($A24,#REF!,2,FALSE)</f>
        <v>#REF!</v>
      </c>
      <c r="C24" s="1188" t="e">
        <f>VLOOKUP($A24,#REF!,3,FALSE)</f>
        <v>#REF!</v>
      </c>
      <c r="D24" s="1189">
        <f t="shared" si="3"/>
        <v>0</v>
      </c>
      <c r="E24" s="1189">
        <f t="shared" si="4"/>
        <v>0</v>
      </c>
      <c r="F24" s="1189">
        <f t="shared" si="5"/>
        <v>0</v>
      </c>
      <c r="G24" s="1189">
        <f t="shared" si="0"/>
        <v>0</v>
      </c>
      <c r="H24" s="1189">
        <f t="shared" si="1"/>
        <v>0</v>
      </c>
      <c r="I24" s="1189">
        <f t="shared" si="2"/>
        <v>0</v>
      </c>
      <c r="J24" s="1189"/>
      <c r="K24" s="1189"/>
      <c r="L24" s="1189"/>
      <c r="M24" s="1189"/>
      <c r="N24" s="1189"/>
      <c r="O24" s="1189"/>
      <c r="P24" s="1189"/>
      <c r="Q24" s="1190" t="e">
        <f>VLOOKUP(A24,#REF!,4,FALSE)</f>
        <v>#REF!</v>
      </c>
      <c r="R24" s="1191">
        <f t="shared" ref="R24" si="25">SUM(D24:P24)</f>
        <v>0</v>
      </c>
      <c r="S24" s="1191"/>
      <c r="T24" s="1185"/>
      <c r="U24" s="1170">
        <f t="shared" ref="U24" si="26">SUM(D24:F24)</f>
        <v>0</v>
      </c>
      <c r="V24" s="1170">
        <f t="shared" ref="V24" si="27">SUM(G24:P24)</f>
        <v>0</v>
      </c>
    </row>
    <row r="25" spans="1:22" ht="18" customHeight="1">
      <c r="A25" s="194" t="e">
        <f>#REF!</f>
        <v>#REF!</v>
      </c>
      <c r="B25" s="1187" t="e">
        <f>VLOOKUP($A25,#REF!,2,FALSE)</f>
        <v>#REF!</v>
      </c>
      <c r="C25" s="1188" t="e">
        <f>VLOOKUP($A25,#REF!,3,FALSE)</f>
        <v>#REF!</v>
      </c>
      <c r="D25" s="1189">
        <f t="shared" si="3"/>
        <v>0</v>
      </c>
      <c r="E25" s="1189">
        <f t="shared" si="4"/>
        <v>0</v>
      </c>
      <c r="F25" s="1189">
        <f t="shared" si="5"/>
        <v>0</v>
      </c>
      <c r="G25" s="1189">
        <f t="shared" si="0"/>
        <v>0</v>
      </c>
      <c r="H25" s="1189">
        <f t="shared" si="1"/>
        <v>0</v>
      </c>
      <c r="I25" s="1189">
        <f t="shared" si="2"/>
        <v>0</v>
      </c>
      <c r="J25" s="1189"/>
      <c r="K25" s="1189"/>
      <c r="L25" s="1189"/>
      <c r="M25" s="1189"/>
      <c r="N25" s="1189"/>
      <c r="O25" s="1189"/>
      <c r="P25" s="1189"/>
      <c r="Q25" s="1190" t="e">
        <f>VLOOKUP(A25,#REF!,4,FALSE)</f>
        <v>#REF!</v>
      </c>
      <c r="R25" s="1191">
        <f t="shared" ref="R25" si="28">SUM(D25:P25)</f>
        <v>0</v>
      </c>
      <c r="S25" s="1191"/>
      <c r="T25" s="1185"/>
      <c r="U25" s="1170">
        <f t="shared" ref="U25" si="29">SUM(D25:F25)</f>
        <v>0</v>
      </c>
      <c r="V25" s="1170">
        <f t="shared" ref="V25" si="30">SUM(G25:P25)</f>
        <v>0</v>
      </c>
    </row>
    <row r="26" spans="1:22" ht="18" customHeight="1">
      <c r="A26" s="194" t="e">
        <f>#REF!</f>
        <v>#REF!</v>
      </c>
      <c r="B26" s="1187" t="e">
        <f>VLOOKUP($A26,#REF!,2,FALSE)</f>
        <v>#REF!</v>
      </c>
      <c r="C26" s="1188" t="e">
        <f>VLOOKUP($A26,#REF!,3,FALSE)</f>
        <v>#REF!</v>
      </c>
      <c r="D26" s="1189">
        <f t="shared" si="3"/>
        <v>0</v>
      </c>
      <c r="E26" s="1189">
        <f t="shared" si="4"/>
        <v>0</v>
      </c>
      <c r="F26" s="1189">
        <f t="shared" si="5"/>
        <v>0</v>
      </c>
      <c r="G26" s="1189">
        <f t="shared" si="0"/>
        <v>0</v>
      </c>
      <c r="H26" s="1189">
        <f t="shared" si="1"/>
        <v>0</v>
      </c>
      <c r="I26" s="1189">
        <f t="shared" si="2"/>
        <v>0</v>
      </c>
      <c r="J26" s="1189"/>
      <c r="K26" s="1189"/>
      <c r="L26" s="1189"/>
      <c r="M26" s="1189"/>
      <c r="N26" s="1189"/>
      <c r="O26" s="1189"/>
      <c r="P26" s="1189"/>
      <c r="Q26" s="1190" t="e">
        <f>VLOOKUP(A26,#REF!,4,FALSE)</f>
        <v>#REF!</v>
      </c>
      <c r="R26" s="1191">
        <f t="shared" si="6"/>
        <v>0</v>
      </c>
      <c r="S26" s="1191"/>
      <c r="T26" s="1185"/>
      <c r="U26" s="1170">
        <f t="shared" si="7"/>
        <v>0</v>
      </c>
      <c r="V26" s="1170">
        <f t="shared" si="8"/>
        <v>0</v>
      </c>
    </row>
    <row r="27" spans="1:22" ht="18" customHeight="1">
      <c r="A27" s="194" t="e">
        <f>#REF!</f>
        <v>#REF!</v>
      </c>
      <c r="B27" s="1187" t="e">
        <f>VLOOKUP($A27,#REF!,2,FALSE)</f>
        <v>#REF!</v>
      </c>
      <c r="C27" s="1188" t="e">
        <f>VLOOKUP($A27,#REF!,3,FALSE)</f>
        <v>#REF!</v>
      </c>
      <c r="D27" s="1189">
        <f t="shared" si="3"/>
        <v>0</v>
      </c>
      <c r="E27" s="1189">
        <f t="shared" si="4"/>
        <v>0</v>
      </c>
      <c r="F27" s="1189">
        <f t="shared" si="5"/>
        <v>0</v>
      </c>
      <c r="G27" s="1189">
        <f t="shared" si="0"/>
        <v>0</v>
      </c>
      <c r="H27" s="1189">
        <f t="shared" si="1"/>
        <v>0</v>
      </c>
      <c r="I27" s="1189">
        <f t="shared" si="2"/>
        <v>0</v>
      </c>
      <c r="J27" s="1189"/>
      <c r="K27" s="1189"/>
      <c r="L27" s="1189"/>
      <c r="M27" s="1189"/>
      <c r="N27" s="1189"/>
      <c r="O27" s="1189"/>
      <c r="P27" s="1189"/>
      <c r="Q27" s="1190" t="e">
        <f>VLOOKUP(A27,#REF!,4,FALSE)</f>
        <v>#REF!</v>
      </c>
      <c r="R27" s="1191">
        <f t="shared" si="6"/>
        <v>0</v>
      </c>
      <c r="S27" s="1191"/>
      <c r="T27" s="1185"/>
      <c r="U27" s="1170">
        <f t="shared" si="7"/>
        <v>0</v>
      </c>
      <c r="V27" s="1170">
        <f t="shared" si="8"/>
        <v>0</v>
      </c>
    </row>
    <row r="28" spans="1:22" ht="18" customHeight="1">
      <c r="A28" s="194" t="e">
        <f>#REF!</f>
        <v>#REF!</v>
      </c>
      <c r="B28" s="1187" t="e">
        <f>VLOOKUP($A28,#REF!,2,FALSE)</f>
        <v>#REF!</v>
      </c>
      <c r="C28" s="1188" t="e">
        <f>VLOOKUP($A28,#REF!,3,FALSE)</f>
        <v>#REF!</v>
      </c>
      <c r="D28" s="1189">
        <f t="shared" si="3"/>
        <v>0</v>
      </c>
      <c r="E28" s="1189">
        <f t="shared" si="4"/>
        <v>0</v>
      </c>
      <c r="F28" s="1189">
        <f t="shared" si="5"/>
        <v>0</v>
      </c>
      <c r="G28" s="1189">
        <f t="shared" si="0"/>
        <v>0</v>
      </c>
      <c r="H28" s="1189">
        <f t="shared" si="1"/>
        <v>0</v>
      </c>
      <c r="I28" s="1189">
        <f t="shared" si="2"/>
        <v>0</v>
      </c>
      <c r="J28" s="1189"/>
      <c r="K28" s="1189"/>
      <c r="L28" s="1189"/>
      <c r="M28" s="1189"/>
      <c r="N28" s="1189"/>
      <c r="O28" s="1189"/>
      <c r="P28" s="1189"/>
      <c r="Q28" s="1190" t="e">
        <f>VLOOKUP(A28,#REF!,4,FALSE)</f>
        <v>#REF!</v>
      </c>
      <c r="R28" s="1191">
        <f>SUM(D28:P28)</f>
        <v>0</v>
      </c>
      <c r="S28" s="1191"/>
      <c r="T28" s="1185"/>
      <c r="U28" s="1170">
        <f>SUM(D28:F28)</f>
        <v>0</v>
      </c>
      <c r="V28" s="1170">
        <f>SUM(G28:P28)</f>
        <v>0</v>
      </c>
    </row>
    <row r="29" spans="1:22" ht="18" customHeight="1">
      <c r="A29" s="194" t="e">
        <f>#REF!</f>
        <v>#REF!</v>
      </c>
      <c r="B29" s="1187" t="e">
        <f>VLOOKUP($A29,#REF!,2,FALSE)</f>
        <v>#REF!</v>
      </c>
      <c r="C29" s="1188" t="e">
        <f>VLOOKUP($A29,#REF!,3,FALSE)</f>
        <v>#REF!</v>
      </c>
      <c r="D29" s="1189">
        <f t="shared" si="3"/>
        <v>0</v>
      </c>
      <c r="E29" s="1189">
        <f t="shared" si="4"/>
        <v>0</v>
      </c>
      <c r="F29" s="1189">
        <f t="shared" si="5"/>
        <v>0</v>
      </c>
      <c r="G29" s="1189">
        <f t="shared" si="0"/>
        <v>0</v>
      </c>
      <c r="H29" s="1189">
        <f t="shared" si="1"/>
        <v>0</v>
      </c>
      <c r="I29" s="1189">
        <f t="shared" si="2"/>
        <v>0</v>
      </c>
      <c r="J29" s="1189"/>
      <c r="K29" s="1189"/>
      <c r="L29" s="1189"/>
      <c r="M29" s="1189"/>
      <c r="N29" s="1189"/>
      <c r="O29" s="1189"/>
      <c r="P29" s="1189"/>
      <c r="Q29" s="1190" t="e">
        <f>VLOOKUP(A29,#REF!,4,FALSE)</f>
        <v>#REF!</v>
      </c>
      <c r="R29" s="1191">
        <f>SUM(D29:P29)</f>
        <v>0</v>
      </c>
      <c r="S29" s="1191"/>
      <c r="T29" s="1185"/>
      <c r="U29" s="1170">
        <f>SUM(D29:F29)</f>
        <v>0</v>
      </c>
      <c r="V29" s="1170">
        <f>SUM(G29:P29)</f>
        <v>0</v>
      </c>
    </row>
    <row r="30" spans="1:22" ht="18" customHeight="1">
      <c r="A30" s="194" t="e">
        <f>#REF!</f>
        <v>#REF!</v>
      </c>
      <c r="B30" s="1187" t="e">
        <f>VLOOKUP($A30,#REF!,2,FALSE)</f>
        <v>#REF!</v>
      </c>
      <c r="C30" s="1188" t="e">
        <f>VLOOKUP($A30,#REF!,3,FALSE)</f>
        <v>#REF!</v>
      </c>
      <c r="D30" s="1189">
        <f t="shared" si="3"/>
        <v>0</v>
      </c>
      <c r="E30" s="1189">
        <f t="shared" si="4"/>
        <v>0</v>
      </c>
      <c r="F30" s="1189">
        <f t="shared" si="5"/>
        <v>0</v>
      </c>
      <c r="G30" s="1189">
        <f t="shared" si="0"/>
        <v>0</v>
      </c>
      <c r="H30" s="1189">
        <f t="shared" si="1"/>
        <v>0</v>
      </c>
      <c r="I30" s="1189">
        <f t="shared" si="2"/>
        <v>0</v>
      </c>
      <c r="J30" s="1189"/>
      <c r="K30" s="1189"/>
      <c r="L30" s="1189"/>
      <c r="M30" s="1189"/>
      <c r="N30" s="1189"/>
      <c r="O30" s="1189"/>
      <c r="P30" s="1189"/>
      <c r="Q30" s="1190" t="e">
        <f>VLOOKUP(A30,#REF!,4,FALSE)</f>
        <v>#REF!</v>
      </c>
      <c r="R30" s="1191">
        <f t="shared" si="6"/>
        <v>0</v>
      </c>
      <c r="S30" s="1191"/>
      <c r="T30" s="1185"/>
      <c r="U30" s="1170">
        <f t="shared" si="7"/>
        <v>0</v>
      </c>
      <c r="V30" s="1170">
        <f t="shared" si="8"/>
        <v>0</v>
      </c>
    </row>
    <row r="31" spans="1:22" ht="18" customHeight="1">
      <c r="A31" s="194" t="e">
        <f>#REF!</f>
        <v>#REF!</v>
      </c>
      <c r="B31" s="1187" t="e">
        <f>VLOOKUP($A31,#REF!,2,FALSE)</f>
        <v>#REF!</v>
      </c>
      <c r="C31" s="1188" t="e">
        <f>VLOOKUP($A31,#REF!,3,FALSE)</f>
        <v>#REF!</v>
      </c>
      <c r="D31" s="1189">
        <f t="shared" si="3"/>
        <v>0</v>
      </c>
      <c r="E31" s="1189">
        <f t="shared" si="4"/>
        <v>0</v>
      </c>
      <c r="F31" s="1189">
        <f t="shared" si="5"/>
        <v>0</v>
      </c>
      <c r="G31" s="1189">
        <f t="shared" si="0"/>
        <v>0</v>
      </c>
      <c r="H31" s="1189">
        <f t="shared" si="1"/>
        <v>0</v>
      </c>
      <c r="I31" s="1189">
        <f t="shared" si="2"/>
        <v>0</v>
      </c>
      <c r="J31" s="1189"/>
      <c r="K31" s="1189"/>
      <c r="L31" s="1189"/>
      <c r="M31" s="1189"/>
      <c r="N31" s="1189"/>
      <c r="O31" s="1189"/>
      <c r="P31" s="1189"/>
      <c r="Q31" s="1190" t="e">
        <f>VLOOKUP(A31,#REF!,4,FALSE)</f>
        <v>#REF!</v>
      </c>
      <c r="R31" s="1191">
        <f t="shared" si="6"/>
        <v>0</v>
      </c>
      <c r="S31" s="1191"/>
      <c r="T31" s="1185"/>
      <c r="U31" s="1170">
        <f t="shared" si="7"/>
        <v>0</v>
      </c>
      <c r="V31" s="1170">
        <f t="shared" si="8"/>
        <v>0</v>
      </c>
    </row>
    <row r="32" spans="1:22" ht="18" customHeight="1">
      <c r="A32" s="194" t="e">
        <f>#REF!</f>
        <v>#REF!</v>
      </c>
      <c r="B32" s="1187" t="e">
        <f>VLOOKUP($A32,#REF!,2,FALSE)</f>
        <v>#REF!</v>
      </c>
      <c r="C32" s="1188" t="e">
        <f>VLOOKUP($A32,#REF!,3,FALSE)</f>
        <v>#REF!</v>
      </c>
      <c r="D32" s="1189">
        <f t="shared" si="3"/>
        <v>0</v>
      </c>
      <c r="E32" s="1189">
        <f t="shared" si="4"/>
        <v>0</v>
      </c>
      <c r="F32" s="1189">
        <f t="shared" si="5"/>
        <v>0</v>
      </c>
      <c r="G32" s="1189">
        <f t="shared" si="0"/>
        <v>0</v>
      </c>
      <c r="H32" s="1189">
        <f t="shared" si="1"/>
        <v>0</v>
      </c>
      <c r="I32" s="1189">
        <f t="shared" si="2"/>
        <v>0</v>
      </c>
      <c r="J32" s="1189"/>
      <c r="K32" s="1189"/>
      <c r="L32" s="1189"/>
      <c r="M32" s="1189"/>
      <c r="N32" s="1189"/>
      <c r="O32" s="1189"/>
      <c r="P32" s="1189"/>
      <c r="Q32" s="1190" t="e">
        <f>VLOOKUP(A32,#REF!,4,FALSE)</f>
        <v>#REF!</v>
      </c>
      <c r="R32" s="1191">
        <f t="shared" ref="R32" si="31">SUM(D32:P32)</f>
        <v>0</v>
      </c>
      <c r="S32" s="1191"/>
      <c r="T32" s="1185"/>
      <c r="U32" s="1170">
        <f t="shared" ref="U32" si="32">SUM(D32:F32)</f>
        <v>0</v>
      </c>
      <c r="V32" s="1170">
        <f t="shared" ref="V32" si="33">SUM(G32:P32)</f>
        <v>0</v>
      </c>
    </row>
    <row r="33" spans="1:22" ht="18" customHeight="1">
      <c r="A33" s="194" t="e">
        <f>#REF!</f>
        <v>#REF!</v>
      </c>
      <c r="B33" s="1187" t="e">
        <f>VLOOKUP($A33,#REF!,2,FALSE)</f>
        <v>#REF!</v>
      </c>
      <c r="C33" s="1188" t="e">
        <f>VLOOKUP($A33,#REF!,3,FALSE)</f>
        <v>#REF!</v>
      </c>
      <c r="D33" s="1189">
        <f t="shared" si="3"/>
        <v>0</v>
      </c>
      <c r="E33" s="1189">
        <f t="shared" si="4"/>
        <v>0</v>
      </c>
      <c r="F33" s="1189">
        <f t="shared" si="5"/>
        <v>0</v>
      </c>
      <c r="G33" s="1189">
        <f t="shared" si="0"/>
        <v>0</v>
      </c>
      <c r="H33" s="1189">
        <f t="shared" si="1"/>
        <v>0</v>
      </c>
      <c r="I33" s="1189">
        <f t="shared" si="2"/>
        <v>0</v>
      </c>
      <c r="J33" s="1189"/>
      <c r="K33" s="1189"/>
      <c r="L33" s="1189"/>
      <c r="M33" s="1189"/>
      <c r="N33" s="1189"/>
      <c r="O33" s="1189"/>
      <c r="P33" s="1189"/>
      <c r="Q33" s="1190" t="e">
        <f>VLOOKUP(A33,#REF!,4,FALSE)</f>
        <v>#REF!</v>
      </c>
      <c r="R33" s="1191">
        <f t="shared" ref="R33:R50" si="34">SUM(D33:P33)</f>
        <v>0</v>
      </c>
      <c r="S33" s="1191"/>
      <c r="T33" s="1185"/>
      <c r="U33" s="1170"/>
      <c r="V33" s="1170"/>
    </row>
    <row r="34" spans="1:22" ht="18" customHeight="1">
      <c r="A34" s="194" t="e">
        <f>#REF!</f>
        <v>#REF!</v>
      </c>
      <c r="B34" s="1187" t="e">
        <f>VLOOKUP($A34,#REF!,2,FALSE)</f>
        <v>#REF!</v>
      </c>
      <c r="C34" s="1188" t="e">
        <f>VLOOKUP($A34,#REF!,3,FALSE)</f>
        <v>#REF!</v>
      </c>
      <c r="D34" s="1189">
        <f t="shared" si="3"/>
        <v>0</v>
      </c>
      <c r="E34" s="1189">
        <f t="shared" si="4"/>
        <v>0</v>
      </c>
      <c r="F34" s="1189">
        <f t="shared" si="5"/>
        <v>0</v>
      </c>
      <c r="G34" s="1189">
        <f t="shared" si="0"/>
        <v>0</v>
      </c>
      <c r="H34" s="1189">
        <f t="shared" si="1"/>
        <v>0</v>
      </c>
      <c r="I34" s="1189">
        <f t="shared" si="2"/>
        <v>0</v>
      </c>
      <c r="J34" s="1189"/>
      <c r="K34" s="1189"/>
      <c r="L34" s="1189"/>
      <c r="M34" s="1189"/>
      <c r="N34" s="1189"/>
      <c r="O34" s="1189"/>
      <c r="P34" s="1189"/>
      <c r="Q34" s="1190" t="e">
        <f>VLOOKUP(A34,#REF!,4,FALSE)</f>
        <v>#REF!</v>
      </c>
      <c r="R34" s="1191">
        <f t="shared" si="34"/>
        <v>0</v>
      </c>
      <c r="S34" s="1191"/>
      <c r="T34" s="1185"/>
      <c r="U34" s="1170">
        <f t="shared" si="7"/>
        <v>0</v>
      </c>
      <c r="V34" s="1170">
        <f t="shared" si="8"/>
        <v>0</v>
      </c>
    </row>
    <row r="35" spans="1:22" ht="18" customHeight="1">
      <c r="A35" s="194" t="e">
        <f>#REF!</f>
        <v>#REF!</v>
      </c>
      <c r="B35" s="1187" t="e">
        <f>VLOOKUP($A35,#REF!,2,FALSE)</f>
        <v>#REF!</v>
      </c>
      <c r="C35" s="1188" t="e">
        <f>VLOOKUP($A35,#REF!,3,FALSE)</f>
        <v>#REF!</v>
      </c>
      <c r="D35" s="1189">
        <f t="shared" si="3"/>
        <v>0</v>
      </c>
      <c r="E35" s="1189">
        <f t="shared" si="4"/>
        <v>0</v>
      </c>
      <c r="F35" s="1189">
        <f t="shared" si="5"/>
        <v>0</v>
      </c>
      <c r="G35" s="1189">
        <f t="shared" si="0"/>
        <v>0</v>
      </c>
      <c r="H35" s="1189">
        <f t="shared" si="1"/>
        <v>0</v>
      </c>
      <c r="I35" s="1189">
        <f t="shared" si="2"/>
        <v>0</v>
      </c>
      <c r="J35" s="1189"/>
      <c r="K35" s="1189"/>
      <c r="L35" s="1189"/>
      <c r="M35" s="1189"/>
      <c r="N35" s="1189"/>
      <c r="O35" s="1189"/>
      <c r="P35" s="1189"/>
      <c r="Q35" s="1190" t="e">
        <f>VLOOKUP(A35,#REF!,4,FALSE)</f>
        <v>#REF!</v>
      </c>
      <c r="R35" s="1191">
        <f t="shared" si="34"/>
        <v>0</v>
      </c>
      <c r="S35" s="1191"/>
      <c r="T35" s="1185"/>
      <c r="U35" s="1170">
        <f t="shared" si="7"/>
        <v>0</v>
      </c>
      <c r="V35" s="1170">
        <f t="shared" si="8"/>
        <v>0</v>
      </c>
    </row>
    <row r="36" spans="1:22" ht="18" customHeight="1">
      <c r="A36" s="194" t="e">
        <f>#REF!</f>
        <v>#REF!</v>
      </c>
      <c r="B36" s="1187" t="e">
        <f>VLOOKUP($A36,#REF!,2,FALSE)</f>
        <v>#REF!</v>
      </c>
      <c r="C36" s="1188" t="e">
        <f>VLOOKUP($A36,#REF!,3,FALSE)</f>
        <v>#REF!</v>
      </c>
      <c r="D36" s="1189">
        <f t="shared" si="3"/>
        <v>0</v>
      </c>
      <c r="E36" s="1189">
        <f t="shared" si="4"/>
        <v>0</v>
      </c>
      <c r="F36" s="1189">
        <f t="shared" si="5"/>
        <v>0</v>
      </c>
      <c r="G36" s="1189">
        <f t="shared" si="0"/>
        <v>0</v>
      </c>
      <c r="H36" s="1189">
        <f t="shared" si="1"/>
        <v>0</v>
      </c>
      <c r="I36" s="1189">
        <f t="shared" si="2"/>
        <v>0</v>
      </c>
      <c r="J36" s="1189"/>
      <c r="K36" s="1189"/>
      <c r="L36" s="1189"/>
      <c r="M36" s="1189"/>
      <c r="N36" s="1189"/>
      <c r="O36" s="1189"/>
      <c r="P36" s="1189"/>
      <c r="Q36" s="1190" t="e">
        <f>VLOOKUP(A36,#REF!,4,FALSE)</f>
        <v>#REF!</v>
      </c>
      <c r="R36" s="1191">
        <f t="shared" si="34"/>
        <v>0</v>
      </c>
      <c r="S36" s="1191"/>
      <c r="T36" s="1185"/>
      <c r="U36" s="1170"/>
      <c r="V36" s="1170"/>
    </row>
    <row r="37" spans="1:22" ht="18" customHeight="1">
      <c r="A37" s="194" t="e">
        <f>#REF!</f>
        <v>#REF!</v>
      </c>
      <c r="B37" s="1187" t="e">
        <f>VLOOKUP($A37,#REF!,2,FALSE)</f>
        <v>#REF!</v>
      </c>
      <c r="C37" s="1188" t="e">
        <f>VLOOKUP($A37,#REF!,3,FALSE)</f>
        <v>#REF!</v>
      </c>
      <c r="D37" s="1189">
        <f t="shared" si="3"/>
        <v>0</v>
      </c>
      <c r="E37" s="1189">
        <f t="shared" si="4"/>
        <v>0</v>
      </c>
      <c r="F37" s="1189">
        <f t="shared" si="5"/>
        <v>0</v>
      </c>
      <c r="G37" s="1189">
        <f t="shared" si="0"/>
        <v>0</v>
      </c>
      <c r="H37" s="1189">
        <f t="shared" si="1"/>
        <v>0</v>
      </c>
      <c r="I37" s="1189">
        <f t="shared" si="2"/>
        <v>0</v>
      </c>
      <c r="J37" s="1189"/>
      <c r="K37" s="1189"/>
      <c r="L37" s="1189"/>
      <c r="M37" s="1189"/>
      <c r="N37" s="1189"/>
      <c r="O37" s="1189"/>
      <c r="P37" s="1189"/>
      <c r="Q37" s="1190" t="e">
        <f>VLOOKUP(A37,#REF!,4,FALSE)</f>
        <v>#REF!</v>
      </c>
      <c r="R37" s="1191">
        <f t="shared" si="34"/>
        <v>0</v>
      </c>
      <c r="S37" s="1191"/>
      <c r="T37" s="1185"/>
      <c r="U37" s="1170">
        <f t="shared" si="7"/>
        <v>0</v>
      </c>
      <c r="V37" s="1170">
        <f t="shared" si="8"/>
        <v>0</v>
      </c>
    </row>
    <row r="38" spans="1:22" ht="18" customHeight="1">
      <c r="A38" s="194" t="e">
        <f>#REF!</f>
        <v>#REF!</v>
      </c>
      <c r="B38" s="1187" t="e">
        <f>VLOOKUP($A38,#REF!,2,FALSE)</f>
        <v>#REF!</v>
      </c>
      <c r="C38" s="1188" t="e">
        <f>VLOOKUP($A38,#REF!,3,FALSE)</f>
        <v>#REF!</v>
      </c>
      <c r="D38" s="1189">
        <f t="shared" si="3"/>
        <v>0</v>
      </c>
      <c r="E38" s="1189">
        <f t="shared" si="4"/>
        <v>0</v>
      </c>
      <c r="F38" s="1189">
        <f t="shared" si="5"/>
        <v>0</v>
      </c>
      <c r="G38" s="1189">
        <f t="shared" si="0"/>
        <v>0</v>
      </c>
      <c r="H38" s="1189">
        <f t="shared" ref="H38:H56" si="35">INT(IF(ISERROR(VLOOKUP($A38,공원등02,6,FALSE)),0,VLOOKUP($A38,공원등02,6,FALSE)))</f>
        <v>0</v>
      </c>
      <c r="I38" s="1189">
        <f t="shared" ref="I38:I58" si="36">INT(IF(ISERROR(VLOOKUP($A38,공원등03,6,FALSE)),0,VLOOKUP($A38,공원등03,6,FALSE)))</f>
        <v>0</v>
      </c>
      <c r="J38" s="1189"/>
      <c r="K38" s="1189"/>
      <c r="L38" s="1189"/>
      <c r="M38" s="1189"/>
      <c r="N38" s="1189"/>
      <c r="O38" s="1189"/>
      <c r="P38" s="1189"/>
      <c r="Q38" s="1190" t="e">
        <f>VLOOKUP(A38,#REF!,4,FALSE)</f>
        <v>#REF!</v>
      </c>
      <c r="R38" s="1191">
        <f t="shared" si="34"/>
        <v>0</v>
      </c>
      <c r="S38" s="1191"/>
      <c r="T38" s="1185"/>
      <c r="U38" s="1170"/>
      <c r="V38" s="1170"/>
    </row>
    <row r="39" spans="1:22" ht="18" customHeight="1">
      <c r="A39" s="194" t="e">
        <f>#REF!</f>
        <v>#REF!</v>
      </c>
      <c r="B39" s="1187" t="e">
        <f>VLOOKUP($A39,#REF!,2,FALSE)</f>
        <v>#REF!</v>
      </c>
      <c r="C39" s="1188" t="e">
        <f>VLOOKUP($A39,#REF!,3,FALSE)</f>
        <v>#REF!</v>
      </c>
      <c r="D39" s="1189">
        <f t="shared" si="3"/>
        <v>0</v>
      </c>
      <c r="E39" s="1189">
        <f t="shared" si="4"/>
        <v>0</v>
      </c>
      <c r="F39" s="1189">
        <f t="shared" si="5"/>
        <v>0</v>
      </c>
      <c r="G39" s="1189">
        <f t="shared" si="0"/>
        <v>0</v>
      </c>
      <c r="H39" s="1189">
        <f t="shared" si="35"/>
        <v>0</v>
      </c>
      <c r="I39" s="1189">
        <f t="shared" si="36"/>
        <v>0</v>
      </c>
      <c r="J39" s="1189"/>
      <c r="K39" s="1189"/>
      <c r="L39" s="1189"/>
      <c r="M39" s="1189"/>
      <c r="N39" s="1189"/>
      <c r="O39" s="1189"/>
      <c r="P39" s="1189"/>
      <c r="Q39" s="1190" t="e">
        <f>VLOOKUP(A39,#REF!,4,FALSE)</f>
        <v>#REF!</v>
      </c>
      <c r="R39" s="1191">
        <f t="shared" si="34"/>
        <v>0</v>
      </c>
      <c r="S39" s="1191"/>
      <c r="T39" s="1185"/>
      <c r="U39" s="1170"/>
      <c r="V39" s="1170"/>
    </row>
    <row r="40" spans="1:22" ht="18" customHeight="1">
      <c r="A40" s="194" t="e">
        <f>#REF!</f>
        <v>#REF!</v>
      </c>
      <c r="B40" s="1187" t="e">
        <f>VLOOKUP($A40,#REF!,2,FALSE)</f>
        <v>#REF!</v>
      </c>
      <c r="C40" s="1188" t="e">
        <f>VLOOKUP($A40,#REF!,3,FALSE)</f>
        <v>#REF!</v>
      </c>
      <c r="D40" s="1189">
        <f t="shared" si="3"/>
        <v>0</v>
      </c>
      <c r="E40" s="1189">
        <f t="shared" si="4"/>
        <v>0</v>
      </c>
      <c r="F40" s="1189">
        <f t="shared" si="5"/>
        <v>0</v>
      </c>
      <c r="G40" s="1189">
        <f t="shared" si="0"/>
        <v>0</v>
      </c>
      <c r="H40" s="1189">
        <f t="shared" si="35"/>
        <v>0</v>
      </c>
      <c r="I40" s="1189">
        <f t="shared" si="36"/>
        <v>0</v>
      </c>
      <c r="J40" s="1189"/>
      <c r="K40" s="1189"/>
      <c r="L40" s="1189"/>
      <c r="M40" s="1189"/>
      <c r="N40" s="1189"/>
      <c r="O40" s="1189"/>
      <c r="P40" s="1189"/>
      <c r="Q40" s="1190" t="e">
        <f>VLOOKUP(A40,#REF!,4,FALSE)</f>
        <v>#REF!</v>
      </c>
      <c r="R40" s="1191">
        <f t="shared" si="34"/>
        <v>0</v>
      </c>
      <c r="S40" s="1191"/>
      <c r="T40" s="1185"/>
      <c r="U40" s="1170"/>
      <c r="V40" s="1170"/>
    </row>
    <row r="41" spans="1:22" ht="18" customHeight="1">
      <c r="A41" s="194" t="e">
        <f>#REF!</f>
        <v>#REF!</v>
      </c>
      <c r="B41" s="1187" t="e">
        <f>VLOOKUP($A41,#REF!,2,FALSE)</f>
        <v>#REF!</v>
      </c>
      <c r="C41" s="1188" t="e">
        <f>VLOOKUP($A41,#REF!,3,FALSE)</f>
        <v>#REF!</v>
      </c>
      <c r="D41" s="1189">
        <f t="shared" si="3"/>
        <v>0</v>
      </c>
      <c r="E41" s="1189">
        <f t="shared" si="4"/>
        <v>0</v>
      </c>
      <c r="F41" s="1189">
        <f t="shared" si="5"/>
        <v>0</v>
      </c>
      <c r="G41" s="1189">
        <f t="shared" si="0"/>
        <v>0</v>
      </c>
      <c r="H41" s="1189">
        <f t="shared" si="35"/>
        <v>0</v>
      </c>
      <c r="I41" s="1189">
        <f t="shared" si="36"/>
        <v>0</v>
      </c>
      <c r="J41" s="1189"/>
      <c r="K41" s="1189"/>
      <c r="L41" s="1189"/>
      <c r="M41" s="1189"/>
      <c r="N41" s="1189"/>
      <c r="O41" s="1189"/>
      <c r="P41" s="1189"/>
      <c r="Q41" s="1190" t="e">
        <f>VLOOKUP(A41,#REF!,4,FALSE)</f>
        <v>#REF!</v>
      </c>
      <c r="R41" s="1191">
        <f t="shared" si="34"/>
        <v>0</v>
      </c>
      <c r="S41" s="1191"/>
      <c r="T41" s="1185"/>
      <c r="U41" s="1170"/>
      <c r="V41" s="1170"/>
    </row>
    <row r="42" spans="1:22" ht="18" customHeight="1">
      <c r="A42" s="194" t="e">
        <f>#REF!</f>
        <v>#REF!</v>
      </c>
      <c r="B42" s="1187" t="e">
        <f>VLOOKUP($A42,#REF!,2,FALSE)</f>
        <v>#REF!</v>
      </c>
      <c r="C42" s="1188" t="e">
        <f>VLOOKUP($A42,#REF!,3,FALSE)</f>
        <v>#REF!</v>
      </c>
      <c r="D42" s="1189">
        <f t="shared" si="3"/>
        <v>0</v>
      </c>
      <c r="E42" s="1189">
        <f t="shared" si="4"/>
        <v>0</v>
      </c>
      <c r="F42" s="1189">
        <f t="shared" si="5"/>
        <v>0</v>
      </c>
      <c r="G42" s="1189">
        <f t="shared" si="0"/>
        <v>0</v>
      </c>
      <c r="H42" s="1189">
        <f t="shared" si="35"/>
        <v>0</v>
      </c>
      <c r="I42" s="1189">
        <f t="shared" si="36"/>
        <v>0</v>
      </c>
      <c r="J42" s="1189"/>
      <c r="K42" s="1189"/>
      <c r="L42" s="1189"/>
      <c r="M42" s="1189"/>
      <c r="N42" s="1189"/>
      <c r="O42" s="1189"/>
      <c r="P42" s="1189"/>
      <c r="Q42" s="1190" t="e">
        <f>VLOOKUP(A42,#REF!,4,FALSE)</f>
        <v>#REF!</v>
      </c>
      <c r="R42" s="1191">
        <f t="shared" si="34"/>
        <v>0</v>
      </c>
      <c r="S42" s="1191"/>
      <c r="T42" s="1185"/>
      <c r="U42" s="1170"/>
      <c r="V42" s="1170"/>
    </row>
    <row r="43" spans="1:22" ht="18" customHeight="1">
      <c r="A43" s="194" t="e">
        <f>#REF!</f>
        <v>#REF!</v>
      </c>
      <c r="B43" s="1187" t="e">
        <f>VLOOKUP($A43,#REF!,2,FALSE)</f>
        <v>#REF!</v>
      </c>
      <c r="C43" s="1188" t="e">
        <f>VLOOKUP($A43,#REF!,3,FALSE)</f>
        <v>#REF!</v>
      </c>
      <c r="D43" s="1189">
        <f t="shared" si="3"/>
        <v>0</v>
      </c>
      <c r="E43" s="1189">
        <f t="shared" si="4"/>
        <v>0</v>
      </c>
      <c r="F43" s="1189">
        <f t="shared" si="5"/>
        <v>0</v>
      </c>
      <c r="G43" s="1189">
        <f t="shared" si="0"/>
        <v>0</v>
      </c>
      <c r="H43" s="1189">
        <f t="shared" si="35"/>
        <v>0</v>
      </c>
      <c r="I43" s="1189">
        <f t="shared" si="36"/>
        <v>0</v>
      </c>
      <c r="J43" s="1189"/>
      <c r="K43" s="1189"/>
      <c r="L43" s="1189"/>
      <c r="M43" s="1189"/>
      <c r="N43" s="1189"/>
      <c r="O43" s="1189"/>
      <c r="P43" s="1189"/>
      <c r="Q43" s="1190" t="e">
        <f>VLOOKUP(A43,#REF!,4,FALSE)</f>
        <v>#REF!</v>
      </c>
      <c r="R43" s="1191">
        <f t="shared" si="34"/>
        <v>0</v>
      </c>
      <c r="S43" s="1191"/>
      <c r="T43" s="1185"/>
      <c r="U43" s="1170"/>
      <c r="V43" s="1170"/>
    </row>
    <row r="44" spans="1:22" ht="18" customHeight="1">
      <c r="A44" s="194" t="e">
        <f>#REF!</f>
        <v>#REF!</v>
      </c>
      <c r="B44" s="1187" t="e">
        <f>VLOOKUP($A44,#REF!,2,FALSE)</f>
        <v>#REF!</v>
      </c>
      <c r="C44" s="1188" t="e">
        <f>VLOOKUP($A44,#REF!,3,FALSE)</f>
        <v>#REF!</v>
      </c>
      <c r="D44" s="1189">
        <f t="shared" si="3"/>
        <v>0</v>
      </c>
      <c r="E44" s="1189">
        <f t="shared" si="4"/>
        <v>0</v>
      </c>
      <c r="F44" s="1189">
        <f t="shared" si="5"/>
        <v>0</v>
      </c>
      <c r="G44" s="1189">
        <f t="shared" si="0"/>
        <v>0</v>
      </c>
      <c r="H44" s="1189">
        <f t="shared" si="35"/>
        <v>0</v>
      </c>
      <c r="I44" s="1189">
        <f t="shared" si="36"/>
        <v>0</v>
      </c>
      <c r="J44" s="1189"/>
      <c r="K44" s="1189"/>
      <c r="L44" s="1189"/>
      <c r="M44" s="1189"/>
      <c r="N44" s="1189"/>
      <c r="O44" s="1189"/>
      <c r="P44" s="1189"/>
      <c r="Q44" s="1190" t="e">
        <f>VLOOKUP(A44,#REF!,4,FALSE)</f>
        <v>#REF!</v>
      </c>
      <c r="R44" s="1191">
        <f t="shared" si="34"/>
        <v>0</v>
      </c>
      <c r="S44" s="1191"/>
      <c r="T44" s="1185"/>
      <c r="U44" s="1170"/>
      <c r="V44" s="1170"/>
    </row>
    <row r="45" spans="1:22" ht="18" customHeight="1">
      <c r="A45" s="194" t="e">
        <f>#REF!</f>
        <v>#REF!</v>
      </c>
      <c r="B45" s="1187" t="e">
        <f>VLOOKUP($A45,#REF!,2,FALSE)</f>
        <v>#REF!</v>
      </c>
      <c r="C45" s="1188" t="e">
        <f>VLOOKUP($A45,#REF!,3,FALSE)</f>
        <v>#REF!</v>
      </c>
      <c r="D45" s="1189">
        <f t="shared" si="3"/>
        <v>0</v>
      </c>
      <c r="E45" s="1189">
        <f t="shared" si="4"/>
        <v>0</v>
      </c>
      <c r="F45" s="1189">
        <f t="shared" si="5"/>
        <v>0</v>
      </c>
      <c r="G45" s="1189">
        <f t="shared" si="0"/>
        <v>0</v>
      </c>
      <c r="H45" s="1189">
        <f t="shared" si="35"/>
        <v>0</v>
      </c>
      <c r="I45" s="1189">
        <f t="shared" si="36"/>
        <v>0</v>
      </c>
      <c r="J45" s="1189"/>
      <c r="K45" s="1189"/>
      <c r="L45" s="1189"/>
      <c r="M45" s="1189"/>
      <c r="N45" s="1189"/>
      <c r="O45" s="1189"/>
      <c r="P45" s="1189"/>
      <c r="Q45" s="1190" t="e">
        <f>VLOOKUP(A45,#REF!,4,FALSE)</f>
        <v>#REF!</v>
      </c>
      <c r="R45" s="1191">
        <f t="shared" si="34"/>
        <v>0</v>
      </c>
      <c r="S45" s="1191"/>
      <c r="T45" s="1185"/>
      <c r="U45" s="1170"/>
      <c r="V45" s="1170"/>
    </row>
    <row r="46" spans="1:22" ht="18" customHeight="1">
      <c r="A46" s="193" t="e">
        <f>#REF!</f>
        <v>#REF!</v>
      </c>
      <c r="B46" s="1187" t="e">
        <f>VLOOKUP($A46,#REF!,2,FALSE)</f>
        <v>#REF!</v>
      </c>
      <c r="C46" s="1188" t="e">
        <f>VLOOKUP($A46,#REF!,3,FALSE)</f>
        <v>#REF!</v>
      </c>
      <c r="D46" s="1189">
        <f t="shared" si="3"/>
        <v>0</v>
      </c>
      <c r="E46" s="1189">
        <f t="shared" si="4"/>
        <v>0</v>
      </c>
      <c r="F46" s="1189">
        <f t="shared" si="5"/>
        <v>0</v>
      </c>
      <c r="G46" s="1189">
        <f t="shared" si="0"/>
        <v>0</v>
      </c>
      <c r="H46" s="1189">
        <f t="shared" si="35"/>
        <v>0</v>
      </c>
      <c r="I46" s="1189">
        <f t="shared" si="36"/>
        <v>0</v>
      </c>
      <c r="J46" s="1189"/>
      <c r="K46" s="1189"/>
      <c r="L46" s="1189"/>
      <c r="M46" s="1189"/>
      <c r="N46" s="1189"/>
      <c r="O46" s="1189"/>
      <c r="P46" s="1189"/>
      <c r="Q46" s="1190" t="e">
        <f>VLOOKUP(A46,#REF!,4,FALSE)</f>
        <v>#REF!</v>
      </c>
      <c r="R46" s="1191">
        <f t="shared" si="34"/>
        <v>0</v>
      </c>
      <c r="S46" s="1191"/>
      <c r="T46" s="1185"/>
      <c r="U46" s="1170"/>
      <c r="V46" s="1170"/>
    </row>
    <row r="47" spans="1:22" ht="18" customHeight="1">
      <c r="A47" s="193" t="e">
        <f>#REF!</f>
        <v>#REF!</v>
      </c>
      <c r="B47" s="1187" t="e">
        <f>VLOOKUP($A47,#REF!,2,FALSE)</f>
        <v>#REF!</v>
      </c>
      <c r="C47" s="1188" t="e">
        <f>VLOOKUP($A47,#REF!,3,FALSE)</f>
        <v>#REF!</v>
      </c>
      <c r="D47" s="1189">
        <f t="shared" si="3"/>
        <v>0</v>
      </c>
      <c r="E47" s="1189">
        <f t="shared" si="4"/>
        <v>0</v>
      </c>
      <c r="F47" s="1189">
        <f t="shared" si="5"/>
        <v>0</v>
      </c>
      <c r="G47" s="1189">
        <f t="shared" si="0"/>
        <v>0</v>
      </c>
      <c r="H47" s="1189">
        <f t="shared" si="35"/>
        <v>0</v>
      </c>
      <c r="I47" s="1189">
        <f t="shared" si="36"/>
        <v>0</v>
      </c>
      <c r="J47" s="1189"/>
      <c r="K47" s="1189"/>
      <c r="L47" s="1189"/>
      <c r="M47" s="1189"/>
      <c r="N47" s="1189"/>
      <c r="O47" s="1189"/>
      <c r="P47" s="1189"/>
      <c r="Q47" s="1190" t="e">
        <f>VLOOKUP(A47,#REF!,4,FALSE)</f>
        <v>#REF!</v>
      </c>
      <c r="R47" s="1191">
        <f t="shared" si="34"/>
        <v>0</v>
      </c>
      <c r="S47" s="1191"/>
      <c r="T47" s="1185"/>
      <c r="U47" s="1170">
        <f t="shared" ref="U47" si="37">SUM(D47:F47)</f>
        <v>0</v>
      </c>
      <c r="V47" s="1170">
        <f t="shared" ref="V47" si="38">SUM(G47:P47)</f>
        <v>0</v>
      </c>
    </row>
    <row r="48" spans="1:22" ht="18" customHeight="1">
      <c r="A48" s="193" t="e">
        <f>#REF!</f>
        <v>#REF!</v>
      </c>
      <c r="B48" s="1187" t="e">
        <f>VLOOKUP($A48,#REF!,2,FALSE)</f>
        <v>#REF!</v>
      </c>
      <c r="C48" s="1188" t="e">
        <f>VLOOKUP($A48,#REF!,3,FALSE)</f>
        <v>#REF!</v>
      </c>
      <c r="D48" s="1189">
        <f t="shared" si="3"/>
        <v>0</v>
      </c>
      <c r="E48" s="1189">
        <f t="shared" si="4"/>
        <v>0</v>
      </c>
      <c r="F48" s="1189">
        <f t="shared" si="5"/>
        <v>0</v>
      </c>
      <c r="G48" s="1189">
        <f t="shared" si="0"/>
        <v>0</v>
      </c>
      <c r="H48" s="1189">
        <f t="shared" si="35"/>
        <v>0</v>
      </c>
      <c r="I48" s="1189">
        <f t="shared" si="36"/>
        <v>0</v>
      </c>
      <c r="J48" s="1189"/>
      <c r="K48" s="1189"/>
      <c r="L48" s="1189"/>
      <c r="M48" s="1189"/>
      <c r="N48" s="1189"/>
      <c r="O48" s="1189"/>
      <c r="P48" s="1189"/>
      <c r="Q48" s="1190" t="e">
        <f>VLOOKUP(A48,#REF!,4,FALSE)</f>
        <v>#REF!</v>
      </c>
      <c r="R48" s="1191">
        <f t="shared" si="34"/>
        <v>0</v>
      </c>
      <c r="S48" s="1191"/>
      <c r="T48" s="1185"/>
      <c r="U48" s="1170">
        <f t="shared" ref="U48" si="39">SUM(D48:F48)</f>
        <v>0</v>
      </c>
      <c r="V48" s="1170">
        <f t="shared" ref="V48" si="40">SUM(G48:P48)</f>
        <v>0</v>
      </c>
    </row>
    <row r="49" spans="1:22" ht="18" customHeight="1">
      <c r="A49" s="194" t="e">
        <f>#REF!</f>
        <v>#REF!</v>
      </c>
      <c r="B49" s="1187" t="e">
        <f>VLOOKUP($A49,#REF!,2,FALSE)</f>
        <v>#REF!</v>
      </c>
      <c r="C49" s="1188" t="e">
        <f>VLOOKUP($A49,#REF!,3,FALSE)</f>
        <v>#REF!</v>
      </c>
      <c r="D49" s="1189">
        <f t="shared" si="3"/>
        <v>0</v>
      </c>
      <c r="E49" s="1189">
        <f t="shared" si="4"/>
        <v>0</v>
      </c>
      <c r="F49" s="1189">
        <f t="shared" si="5"/>
        <v>0</v>
      </c>
      <c r="G49" s="1189">
        <f t="shared" si="0"/>
        <v>0</v>
      </c>
      <c r="H49" s="1189">
        <f t="shared" si="35"/>
        <v>0</v>
      </c>
      <c r="I49" s="1189">
        <f t="shared" si="36"/>
        <v>0</v>
      </c>
      <c r="J49" s="1189"/>
      <c r="K49" s="1189"/>
      <c r="L49" s="1189"/>
      <c r="M49" s="1189"/>
      <c r="N49" s="1189"/>
      <c r="O49" s="1189"/>
      <c r="P49" s="1189"/>
      <c r="Q49" s="1190" t="e">
        <f>VLOOKUP(A49,#REF!,4,FALSE)</f>
        <v>#REF!</v>
      </c>
      <c r="R49" s="1191">
        <f t="shared" si="34"/>
        <v>0</v>
      </c>
      <c r="S49" s="1191"/>
      <c r="T49" s="1185"/>
      <c r="U49" s="1170"/>
      <c r="V49" s="1170"/>
    </row>
    <row r="50" spans="1:22" ht="18" customHeight="1">
      <c r="A50" s="193" t="e">
        <f>#REF!</f>
        <v>#REF!</v>
      </c>
      <c r="B50" s="1187" t="e">
        <f>VLOOKUP($A50,#REF!,2,FALSE)</f>
        <v>#REF!</v>
      </c>
      <c r="C50" s="1188" t="e">
        <f>VLOOKUP($A50,#REF!,3,FALSE)</f>
        <v>#REF!</v>
      </c>
      <c r="D50" s="1189">
        <f t="shared" si="3"/>
        <v>0</v>
      </c>
      <c r="E50" s="1189">
        <f t="shared" si="4"/>
        <v>0</v>
      </c>
      <c r="F50" s="1189">
        <f t="shared" si="5"/>
        <v>0</v>
      </c>
      <c r="G50" s="1189">
        <f t="shared" si="0"/>
        <v>0</v>
      </c>
      <c r="H50" s="1189">
        <f t="shared" si="35"/>
        <v>0</v>
      </c>
      <c r="I50" s="1189">
        <f t="shared" si="36"/>
        <v>0</v>
      </c>
      <c r="J50" s="1189"/>
      <c r="K50" s="1189"/>
      <c r="L50" s="1189"/>
      <c r="M50" s="1189"/>
      <c r="N50" s="1189"/>
      <c r="O50" s="1189"/>
      <c r="P50" s="1189"/>
      <c r="Q50" s="1190" t="e">
        <f>VLOOKUP(A50,#REF!,4,FALSE)</f>
        <v>#REF!</v>
      </c>
      <c r="R50" s="1191">
        <f t="shared" si="34"/>
        <v>0</v>
      </c>
      <c r="S50" s="1191"/>
      <c r="T50" s="1185"/>
      <c r="U50" s="1170"/>
      <c r="V50" s="1170"/>
    </row>
    <row r="51" spans="1:22" ht="18" customHeight="1">
      <c r="A51" s="193"/>
      <c r="B51" s="1187"/>
      <c r="C51" s="1188"/>
      <c r="D51" s="1189"/>
      <c r="E51" s="1189"/>
      <c r="F51" s="1189">
        <f t="shared" si="5"/>
        <v>0</v>
      </c>
      <c r="G51" s="1189"/>
      <c r="H51" s="1189">
        <f t="shared" si="35"/>
        <v>0</v>
      </c>
      <c r="I51" s="1189">
        <f t="shared" si="36"/>
        <v>0</v>
      </c>
      <c r="J51" s="1189"/>
      <c r="K51" s="1189"/>
      <c r="L51" s="1189"/>
      <c r="M51" s="1189"/>
      <c r="N51" s="1189"/>
      <c r="O51" s="1189"/>
      <c r="P51" s="1189"/>
      <c r="Q51" s="1190"/>
      <c r="R51" s="1191"/>
      <c r="S51" s="1191"/>
      <c r="T51" s="1185"/>
      <c r="U51" s="1170"/>
      <c r="V51" s="1170"/>
    </row>
    <row r="52" spans="1:22" ht="18" customHeight="1">
      <c r="A52" s="194"/>
      <c r="B52" s="1187"/>
      <c r="C52" s="1188"/>
      <c r="D52" s="1189"/>
      <c r="E52" s="1189"/>
      <c r="F52" s="1189"/>
      <c r="G52" s="1189"/>
      <c r="H52" s="1189">
        <f t="shared" si="35"/>
        <v>0</v>
      </c>
      <c r="I52" s="1189">
        <f t="shared" si="36"/>
        <v>0</v>
      </c>
      <c r="J52" s="1189"/>
      <c r="K52" s="1189"/>
      <c r="L52" s="1189"/>
      <c r="M52" s="1189"/>
      <c r="N52" s="1189"/>
      <c r="O52" s="1189"/>
      <c r="P52" s="1189"/>
      <c r="Q52" s="1190"/>
      <c r="R52" s="1191"/>
      <c r="S52" s="1191"/>
      <c r="T52" s="1185"/>
      <c r="U52" s="1170"/>
      <c r="V52" s="1170"/>
    </row>
    <row r="53" spans="1:22" ht="18" customHeight="1">
      <c r="A53" s="194"/>
      <c r="B53" s="1187"/>
      <c r="C53" s="1188"/>
      <c r="D53" s="1189"/>
      <c r="E53" s="1189"/>
      <c r="F53" s="1189"/>
      <c r="G53" s="1189"/>
      <c r="H53" s="1189">
        <f t="shared" si="35"/>
        <v>0</v>
      </c>
      <c r="I53" s="1189">
        <f t="shared" si="36"/>
        <v>0</v>
      </c>
      <c r="J53" s="1189"/>
      <c r="K53" s="1189"/>
      <c r="L53" s="1189"/>
      <c r="M53" s="1189"/>
      <c r="N53" s="1189"/>
      <c r="O53" s="1189"/>
      <c r="P53" s="1189"/>
      <c r="Q53" s="1190"/>
      <c r="R53" s="1191"/>
      <c r="S53" s="1191"/>
      <c r="T53" s="1185"/>
      <c r="U53" s="1170"/>
      <c r="V53" s="1170"/>
    </row>
    <row r="54" spans="1:22" ht="18" customHeight="1">
      <c r="A54" s="194"/>
      <c r="B54" s="1187"/>
      <c r="C54" s="1188"/>
      <c r="D54" s="1189"/>
      <c r="E54" s="1189"/>
      <c r="F54" s="1189"/>
      <c r="G54" s="1189"/>
      <c r="H54" s="1189">
        <f t="shared" si="35"/>
        <v>0</v>
      </c>
      <c r="I54" s="1189">
        <f t="shared" si="36"/>
        <v>0</v>
      </c>
      <c r="J54" s="1189"/>
      <c r="K54" s="1189"/>
      <c r="L54" s="1189"/>
      <c r="M54" s="1189"/>
      <c r="N54" s="1189"/>
      <c r="O54" s="1189"/>
      <c r="P54" s="1189"/>
      <c r="Q54" s="1190"/>
      <c r="R54" s="1191"/>
      <c r="S54" s="1191"/>
      <c r="T54" s="1185"/>
      <c r="U54" s="1170"/>
      <c r="V54" s="1170"/>
    </row>
    <row r="55" spans="1:22" ht="18" customHeight="1">
      <c r="A55" s="194"/>
      <c r="B55" s="1187"/>
      <c r="C55" s="1188"/>
      <c r="D55" s="1189"/>
      <c r="E55" s="1189"/>
      <c r="F55" s="1189"/>
      <c r="G55" s="1189"/>
      <c r="H55" s="1189">
        <f t="shared" si="35"/>
        <v>0</v>
      </c>
      <c r="I55" s="1189">
        <f t="shared" si="36"/>
        <v>0</v>
      </c>
      <c r="J55" s="1189"/>
      <c r="K55" s="1189"/>
      <c r="L55" s="1189"/>
      <c r="M55" s="1189"/>
      <c r="N55" s="1189"/>
      <c r="O55" s="1189"/>
      <c r="P55" s="1189"/>
      <c r="Q55" s="1190"/>
      <c r="R55" s="1191"/>
      <c r="S55" s="1191"/>
      <c r="T55" s="1185"/>
      <c r="U55" s="1170"/>
      <c r="V55" s="1170"/>
    </row>
    <row r="56" spans="1:22" ht="18" customHeight="1">
      <c r="A56" s="194"/>
      <c r="B56" s="1187"/>
      <c r="C56" s="1188"/>
      <c r="D56" s="1189"/>
      <c r="E56" s="1189"/>
      <c r="F56" s="1189"/>
      <c r="G56" s="1189"/>
      <c r="H56" s="1189">
        <f t="shared" si="35"/>
        <v>0</v>
      </c>
      <c r="I56" s="1189">
        <f t="shared" si="36"/>
        <v>0</v>
      </c>
      <c r="J56" s="1189"/>
      <c r="K56" s="1189"/>
      <c r="L56" s="1189"/>
      <c r="M56" s="1189"/>
      <c r="N56" s="1189"/>
      <c r="O56" s="1189"/>
      <c r="P56" s="1189"/>
      <c r="Q56" s="1190"/>
      <c r="R56" s="1191"/>
      <c r="S56" s="1191"/>
      <c r="T56" s="1185"/>
      <c r="U56" s="1170"/>
      <c r="V56" s="1170"/>
    </row>
    <row r="57" spans="1:22" ht="18" customHeight="1">
      <c r="A57" s="194"/>
      <c r="B57" s="1187"/>
      <c r="C57" s="1188"/>
      <c r="D57" s="1189"/>
      <c r="E57" s="1189"/>
      <c r="F57" s="1189"/>
      <c r="G57" s="1189"/>
      <c r="H57" s="1189"/>
      <c r="I57" s="1189">
        <f t="shared" si="36"/>
        <v>0</v>
      </c>
      <c r="J57" s="1189"/>
      <c r="K57" s="1189"/>
      <c r="L57" s="1189"/>
      <c r="M57" s="1189"/>
      <c r="N57" s="1189"/>
      <c r="O57" s="1189"/>
      <c r="P57" s="1189"/>
      <c r="Q57" s="1190"/>
      <c r="R57" s="1191"/>
      <c r="S57" s="1191"/>
      <c r="T57" s="1185"/>
      <c r="U57" s="1170"/>
      <c r="V57" s="1170"/>
    </row>
    <row r="58" spans="1:22" ht="18" customHeight="1">
      <c r="A58" s="194"/>
      <c r="B58" s="1187"/>
      <c r="C58" s="1188"/>
      <c r="D58" s="1189"/>
      <c r="E58" s="1189"/>
      <c r="F58" s="1189"/>
      <c r="G58" s="1189"/>
      <c r="H58" s="1189"/>
      <c r="I58" s="1189">
        <f t="shared" si="36"/>
        <v>0</v>
      </c>
      <c r="J58" s="1189"/>
      <c r="K58" s="1189"/>
      <c r="L58" s="1189"/>
      <c r="M58" s="1189"/>
      <c r="N58" s="1189"/>
      <c r="O58" s="1189"/>
      <c r="P58" s="1189"/>
      <c r="Q58" s="1190"/>
      <c r="R58" s="1191"/>
      <c r="S58" s="1191"/>
      <c r="T58" s="1185"/>
      <c r="U58" s="1170"/>
      <c r="V58" s="1170"/>
    </row>
    <row r="59" spans="1:22" ht="18" customHeight="1">
      <c r="A59" s="194"/>
      <c r="B59" s="1187"/>
      <c r="C59" s="1188"/>
      <c r="D59" s="1189"/>
      <c r="E59" s="1189"/>
      <c r="F59" s="1189"/>
      <c r="G59" s="1189"/>
      <c r="H59" s="1189"/>
      <c r="I59" s="1189"/>
      <c r="J59" s="1189"/>
      <c r="K59" s="1189"/>
      <c r="L59" s="1189"/>
      <c r="M59" s="1189"/>
      <c r="N59" s="1189"/>
      <c r="O59" s="1189"/>
      <c r="P59" s="1189"/>
      <c r="Q59" s="1190"/>
      <c r="R59" s="1191"/>
      <c r="S59" s="1191"/>
      <c r="T59" s="1185"/>
      <c r="U59" s="1170"/>
      <c r="V59" s="1170"/>
    </row>
    <row r="60" spans="1:22" ht="18" customHeight="1">
      <c r="A60" s="194"/>
      <c r="B60" s="1187"/>
      <c r="C60" s="1188"/>
      <c r="D60" s="1189"/>
      <c r="E60" s="1189"/>
      <c r="F60" s="1189"/>
      <c r="G60" s="1189"/>
      <c r="H60" s="1189"/>
      <c r="I60" s="1189"/>
      <c r="J60" s="1189"/>
      <c r="K60" s="1189"/>
      <c r="L60" s="1189"/>
      <c r="M60" s="1189"/>
      <c r="N60" s="1189"/>
      <c r="O60" s="1189"/>
      <c r="P60" s="1189"/>
      <c r="Q60" s="1190"/>
      <c r="R60" s="1191"/>
      <c r="S60" s="1191"/>
      <c r="T60" s="1185"/>
      <c r="U60" s="1170"/>
      <c r="V60" s="1170"/>
    </row>
    <row r="61" spans="1:22" ht="18" customHeight="1">
      <c r="A61" s="194"/>
      <c r="B61" s="1187"/>
      <c r="C61" s="1188"/>
      <c r="D61" s="1189"/>
      <c r="E61" s="1189"/>
      <c r="F61" s="1189"/>
      <c r="G61" s="1189"/>
      <c r="H61" s="1189"/>
      <c r="I61" s="1189"/>
      <c r="J61" s="1189"/>
      <c r="K61" s="1189"/>
      <c r="L61" s="1189"/>
      <c r="M61" s="1189"/>
      <c r="N61" s="1189"/>
      <c r="O61" s="1189"/>
      <c r="P61" s="1189"/>
      <c r="Q61" s="1190"/>
      <c r="R61" s="1191"/>
      <c r="S61" s="1191"/>
      <c r="T61" s="1185"/>
      <c r="U61" s="1170"/>
      <c r="V61" s="1170"/>
    </row>
    <row r="62" spans="1:22" ht="18" customHeight="1">
      <c r="A62" s="194"/>
      <c r="B62" s="1187"/>
      <c r="C62" s="1188"/>
      <c r="D62" s="1189"/>
      <c r="E62" s="1189"/>
      <c r="F62" s="1189"/>
      <c r="G62" s="1189"/>
      <c r="H62" s="1189"/>
      <c r="I62" s="1189"/>
      <c r="J62" s="1189"/>
      <c r="K62" s="1189"/>
      <c r="L62" s="1189"/>
      <c r="M62" s="1189"/>
      <c r="N62" s="1189"/>
      <c r="O62" s="1189"/>
      <c r="P62" s="1189"/>
      <c r="Q62" s="1190"/>
      <c r="R62" s="1191"/>
      <c r="S62" s="1191"/>
      <c r="T62" s="1185"/>
      <c r="U62" s="1170"/>
      <c r="V62" s="1170"/>
    </row>
    <row r="63" spans="1:22" ht="18" customHeight="1">
      <c r="A63" s="193"/>
      <c r="B63" s="1187"/>
      <c r="C63" s="1188"/>
      <c r="D63" s="1189"/>
      <c r="E63" s="1189"/>
      <c r="F63" s="1189"/>
      <c r="G63" s="1189"/>
      <c r="H63" s="1189"/>
      <c r="I63" s="1189"/>
      <c r="J63" s="1189"/>
      <c r="K63" s="1189"/>
      <c r="L63" s="1189"/>
      <c r="M63" s="1189"/>
      <c r="N63" s="1189"/>
      <c r="O63" s="1189"/>
      <c r="P63" s="1189"/>
      <c r="Q63" s="1190"/>
      <c r="R63" s="1191"/>
      <c r="S63" s="1191"/>
      <c r="T63" s="1185"/>
      <c r="U63" s="1170"/>
      <c r="V63" s="1170"/>
    </row>
    <row r="64" spans="1:22" ht="18" customHeight="1">
      <c r="A64" s="193"/>
      <c r="B64" s="1187"/>
      <c r="C64" s="1188"/>
      <c r="D64" s="1189"/>
      <c r="E64" s="1189"/>
      <c r="F64" s="1189"/>
      <c r="G64" s="1189"/>
      <c r="H64" s="1189"/>
      <c r="I64" s="1189"/>
      <c r="J64" s="1189"/>
      <c r="K64" s="1189"/>
      <c r="L64" s="1189"/>
      <c r="M64" s="1189"/>
      <c r="N64" s="1189"/>
      <c r="O64" s="1189"/>
      <c r="P64" s="1189"/>
      <c r="Q64" s="1190"/>
      <c r="R64" s="1191"/>
      <c r="S64" s="1191"/>
      <c r="T64" s="1185"/>
      <c r="U64" s="1170"/>
      <c r="V64" s="1170"/>
    </row>
    <row r="65" spans="4:16">
      <c r="D65" s="785">
        <f t="shared" ref="D65:P65" si="41">SUM(D7:D64)</f>
        <v>0</v>
      </c>
      <c r="E65" s="785">
        <f t="shared" si="41"/>
        <v>0</v>
      </c>
      <c r="F65" s="785">
        <f t="shared" si="41"/>
        <v>0</v>
      </c>
      <c r="G65" s="785">
        <f t="shared" si="41"/>
        <v>0</v>
      </c>
      <c r="H65" s="785">
        <f t="shared" si="41"/>
        <v>0</v>
      </c>
      <c r="I65" s="785">
        <f t="shared" si="41"/>
        <v>0</v>
      </c>
      <c r="J65" s="785">
        <f t="shared" si="41"/>
        <v>0</v>
      </c>
      <c r="K65" s="785">
        <f t="shared" si="41"/>
        <v>0</v>
      </c>
      <c r="L65" s="785">
        <f t="shared" si="41"/>
        <v>0</v>
      </c>
      <c r="M65" s="785">
        <f t="shared" si="41"/>
        <v>0</v>
      </c>
      <c r="N65" s="785">
        <f t="shared" si="41"/>
        <v>0</v>
      </c>
      <c r="O65" s="785">
        <f t="shared" si="41"/>
        <v>0</v>
      </c>
      <c r="P65" s="785">
        <f t="shared" si="41"/>
        <v>0</v>
      </c>
    </row>
  </sheetData>
  <mergeCells count="10">
    <mergeCell ref="B3:B5"/>
    <mergeCell ref="C3:C5"/>
    <mergeCell ref="V3:V5"/>
    <mergeCell ref="D3:P3"/>
    <mergeCell ref="Q3:Q5"/>
    <mergeCell ref="G4:P4"/>
    <mergeCell ref="D4:F4"/>
    <mergeCell ref="R3:R5"/>
    <mergeCell ref="U3:U5"/>
    <mergeCell ref="S3:S5"/>
  </mergeCells>
  <phoneticPr fontId="7" type="noConversion"/>
  <conditionalFormatting sqref="A51:A1048576 A1:A5">
    <cfRule type="duplicateValues" dxfId="4" priority="3"/>
  </conditionalFormatting>
  <conditionalFormatting sqref="A16:A50">
    <cfRule type="duplicateValues" dxfId="3" priority="1"/>
  </conditionalFormatting>
  <conditionalFormatting sqref="A6:A15">
    <cfRule type="duplicateValues" dxfId="2" priority="119"/>
  </conditionalFormatting>
  <printOptions horizontalCentered="1" verticalCentered="1"/>
  <pageMargins left="0.59055118110236227" right="0.39370078740157483" top="0.78740157480314965" bottom="0.59055118110236227" header="0.59055118110236227" footer="0.23622047244094491"/>
  <pageSetup paperSize="9" scale="75" orientation="landscape" r:id="rId1"/>
  <headerFooter alignWithMargins="0">
    <oddHeader>&amp;C&amp;"굴림체,굵게"&amp;20관 급 자 재  내 역 서</oddHeader>
  </headerFooter>
  <colBreaks count="1" manualBreakCount="1">
    <brk id="19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C000"/>
  </sheetPr>
  <dimension ref="A1:V65"/>
  <sheetViews>
    <sheetView showZeros="0" view="pageBreakPreview" zoomScaleSheetLayoutView="100" workbookViewId="0">
      <pane xSplit="1" ySplit="5" topLeftCell="B6" activePane="bottomRight" state="frozen"/>
      <selection activeCell="H7" sqref="H7"/>
      <selection pane="topRight" activeCell="H7" sqref="H7"/>
      <selection pane="bottomLeft" activeCell="H7" sqref="H7"/>
      <selection pane="bottomRight" activeCell="D18" sqref="D18"/>
    </sheetView>
  </sheetViews>
  <sheetFormatPr defaultRowHeight="13.5"/>
  <cols>
    <col min="1" max="1" width="10.33203125" customWidth="1"/>
    <col min="2" max="3" width="15.77734375" customWidth="1"/>
    <col min="4" max="6" width="30.77734375" customWidth="1"/>
    <col min="7" max="18" width="6.77734375" hidden="1" customWidth="1"/>
    <col min="19" max="19" width="5.77734375" customWidth="1"/>
    <col min="20" max="20" width="6.77734375" customWidth="1"/>
    <col min="21" max="21" width="5.77734375" customWidth="1"/>
    <col min="23" max="24" width="10" bestFit="1" customWidth="1"/>
  </cols>
  <sheetData>
    <row r="1" spans="1:22" ht="11.25" customHeight="1">
      <c r="B1" s="5"/>
      <c r="C1" s="1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2" ht="23.1" customHeight="1">
      <c r="A2" t="s">
        <v>1357</v>
      </c>
      <c r="B2" s="807" t="str">
        <f>원가계산서!A2</f>
        <v>2022년 경기창작센터 예술공원 조성사업(전기)</v>
      </c>
      <c r="C2" s="814"/>
      <c r="D2" s="815"/>
      <c r="E2" s="815"/>
      <c r="F2" s="815"/>
      <c r="G2" s="815"/>
      <c r="H2" s="815"/>
      <c r="I2" s="815"/>
      <c r="J2" s="815"/>
      <c r="K2" s="815"/>
      <c r="L2" s="815"/>
      <c r="M2" s="815"/>
      <c r="N2" s="815"/>
      <c r="O2" s="815"/>
      <c r="P2" s="815"/>
      <c r="Q2" s="815"/>
      <c r="R2" s="815"/>
      <c r="S2" s="815"/>
      <c r="T2" s="815"/>
      <c r="U2" s="815"/>
    </row>
    <row r="3" spans="1:22" ht="23.1" customHeight="1">
      <c r="B3" s="1570" t="s">
        <v>1346</v>
      </c>
      <c r="C3" s="1575" t="s">
        <v>435</v>
      </c>
      <c r="D3" s="1570" t="s">
        <v>1610</v>
      </c>
      <c r="E3" s="1570"/>
      <c r="F3" s="1570"/>
      <c r="G3" s="1570"/>
      <c r="H3" s="1570"/>
      <c r="I3" s="1570"/>
      <c r="J3" s="1570"/>
      <c r="K3" s="1570"/>
      <c r="L3" s="1570"/>
      <c r="M3" s="1570"/>
      <c r="N3" s="1570"/>
      <c r="O3" s="1570"/>
      <c r="P3" s="1570"/>
      <c r="Q3" s="1570"/>
      <c r="R3" s="1570"/>
      <c r="S3" s="1570" t="s">
        <v>18</v>
      </c>
      <c r="T3" s="1570" t="s">
        <v>1611</v>
      </c>
      <c r="U3" s="1570" t="s">
        <v>753</v>
      </c>
      <c r="V3">
        <v>1</v>
      </c>
    </row>
    <row r="4" spans="1:22" ht="23.1" customHeight="1">
      <c r="B4" s="1570"/>
      <c r="C4" s="1575"/>
      <c r="D4" s="1570" t="str">
        <f>'수량산출서(DL)'!C105</f>
        <v>1.2.신호등등공사[DL]</v>
      </c>
      <c r="E4" s="1570"/>
      <c r="F4" s="1570"/>
      <c r="G4" s="1570"/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</row>
    <row r="5" spans="1:22" ht="39.950000000000003" customHeight="1">
      <c r="A5" t="s">
        <v>1756</v>
      </c>
      <c r="B5" s="1570"/>
      <c r="C5" s="1575"/>
      <c r="D5" s="1193" t="str">
        <f>'수량산출서(DL)'!C106</f>
        <v>1.2.1.제어함01</v>
      </c>
      <c r="E5" s="1193" t="str">
        <f>'수량산출서(DL)'!C201</f>
        <v>1.2.2.제어함02</v>
      </c>
      <c r="F5" s="1193" t="str">
        <f>'수량산출서(DL)'!C249</f>
        <v>1.2.3.제어함03</v>
      </c>
      <c r="G5" s="1193" t="e">
        <f>'수량산출서(DL)'!#REF!</f>
        <v>#REF!</v>
      </c>
      <c r="H5" s="1193" t="e">
        <f>'수량산출서(DL)'!#REF!</f>
        <v>#REF!</v>
      </c>
      <c r="I5" s="1193" t="e">
        <f>'수량산출서(DL)'!#REF!</f>
        <v>#REF!</v>
      </c>
      <c r="J5" s="1193" t="e">
        <f>'수량산출서(DL)'!#REF!</f>
        <v>#REF!</v>
      </c>
      <c r="K5" s="1193" t="e">
        <f>'수량산출서(DL)'!#REF!</f>
        <v>#REF!</v>
      </c>
      <c r="L5" s="1193" t="e">
        <f>'수량산출서(DL)'!#REF!</f>
        <v>#REF!</v>
      </c>
      <c r="M5" s="1193" t="e">
        <f>'수량산출서(DL)'!#REF!</f>
        <v>#REF!</v>
      </c>
      <c r="N5" s="1193" t="e">
        <f>'수량산출서(DL)'!#REF!</f>
        <v>#REF!</v>
      </c>
      <c r="O5" s="1193" t="e">
        <f>'수량산출서(DL)'!#REF!</f>
        <v>#REF!</v>
      </c>
      <c r="P5" s="1193" t="e">
        <f>'수량산출서(DL)'!#REF!</f>
        <v>#REF!</v>
      </c>
      <c r="Q5" s="1193" t="e">
        <f>'수량산출서(DL)'!#REF!</f>
        <v>#REF!</v>
      </c>
      <c r="R5" s="1193" t="e">
        <f>'수량산출서(DL)'!#REF!</f>
        <v>#REF!</v>
      </c>
      <c r="S5" s="1570"/>
      <c r="T5" s="1570"/>
      <c r="U5" s="1570"/>
    </row>
    <row r="6" spans="1:22" ht="18" customHeight="1">
      <c r="A6" s="194" t="e">
        <f>#REF!</f>
        <v>#REF!</v>
      </c>
      <c r="B6" s="1187" t="e">
        <f>VLOOKUP($A6,#REF!,2,FALSE)</f>
        <v>#REF!</v>
      </c>
      <c r="C6" s="1188" t="e">
        <f>VLOOKUP($A6,#REF!,3,FALSE)</f>
        <v>#REF!</v>
      </c>
      <c r="D6" s="1189">
        <f t="shared" ref="D6:D47" si="0">INT(IF(ISERROR(VLOOKUP($A6,신호등01,6,FALSE)),0,VLOOKUP($A6,신호등01,6,FALSE)))</f>
        <v>0</v>
      </c>
      <c r="E6" s="1189">
        <f t="shared" ref="E6:E47" si="1">INT(IF(ISERROR(VLOOKUP($A6,신호등02,6,FALSE)),0,VLOOKUP($A6,신호등02,6,FALSE)))</f>
        <v>0</v>
      </c>
      <c r="F6" s="1189">
        <f t="shared" ref="F6:F47" si="2">INT(IF(ISERROR(VLOOKUP($A6,신호등03,6,FALSE)),0,VLOOKUP($A6,신호등03,6,FALSE)))</f>
        <v>0</v>
      </c>
      <c r="G6" s="1189">
        <f t="shared" ref="G6:G47" si="3">INT(IF(ISERROR(VLOOKUP($A6,신호등04,6,FALSE)),0,VLOOKUP($A6,신호등04,6,FALSE)))</f>
        <v>0</v>
      </c>
      <c r="H6" s="1189">
        <f t="shared" ref="H6:H47" si="4">INT(IF(ISERROR(VLOOKUP($A6,신호등05,6,FALSE)),0,VLOOKUP($A6,신호등05,6,FALSE)))</f>
        <v>0</v>
      </c>
      <c r="I6" s="1189">
        <f t="shared" ref="I6:I47" si="5">INT(IF(ISERROR(VLOOKUP($A6,신호등06,6,FALSE)),0,VLOOKUP($A6,신호등06,6,FALSE)))</f>
        <v>0</v>
      </c>
      <c r="J6" s="1189">
        <f t="shared" ref="J6:J47" si="6">INT(IF(ISERROR(VLOOKUP($A6,신호등07,6,FALSE)),0,VLOOKUP($A6,신호등07,6,FALSE)))</f>
        <v>0</v>
      </c>
      <c r="K6" s="1189">
        <f t="shared" ref="K6:K47" si="7">INT(IF(ISERROR(VLOOKUP($A6,신호등08,6,FALSE)),0,VLOOKUP($A6,신호등08,6,FALSE)))</f>
        <v>0</v>
      </c>
      <c r="L6" s="1189">
        <f t="shared" ref="L6:L34" si="8">INT(IF(ISERROR(VLOOKUP($A6,신호등09,6,FALSE)),0,VLOOKUP($A6,신호등09,6,FALSE)))</f>
        <v>0</v>
      </c>
      <c r="M6" s="1189">
        <f t="shared" ref="M6:M47" si="9">INT(IF(ISERROR(VLOOKUP($A6,신호등10,6,FALSE)),0,VLOOKUP($A6,신호등10,6,FALSE)))</f>
        <v>0</v>
      </c>
      <c r="N6" s="1189">
        <f t="shared" ref="N6:N47" si="10">INT(IF(ISERROR(VLOOKUP($A6,신호등11,6,FALSE)),0,VLOOKUP($A6,신호등11,6,FALSE)))</f>
        <v>0</v>
      </c>
      <c r="O6" s="1189">
        <f t="shared" ref="O6:O47" si="11">INT(IF(ISERROR(VLOOKUP($A6,신호등12,6,FALSE)),0,VLOOKUP($A6,신호등12,6,FALSE)))</f>
        <v>0</v>
      </c>
      <c r="P6" s="1189">
        <f t="shared" ref="P6:P47" si="12">INT(IF(ISERROR(VLOOKUP($A6,신호등13,6,FALSE)),0,VLOOKUP($A6,신호등13,6,FALSE)))</f>
        <v>0</v>
      </c>
      <c r="Q6" s="1189">
        <f t="shared" ref="Q6:Q47" si="13">INT(IF(ISERROR(VLOOKUP($A6,신호등14,6,FALSE)),0,VLOOKUP($A6,신호등14,6,FALSE)))</f>
        <v>0</v>
      </c>
      <c r="R6" s="1189">
        <f t="shared" ref="R6:R47" si="14">INT(IF(ISERROR(VLOOKUP($A6,신호등15,6,FALSE)),0,VLOOKUP($A6,신호등15,6,FALSE)))</f>
        <v>0</v>
      </c>
      <c r="S6" s="1190" t="e">
        <f>VLOOKUP(A6,#REF!,4,FALSE)</f>
        <v>#REF!</v>
      </c>
      <c r="T6" s="1191">
        <f t="shared" ref="T6:T21" si="15">SUM(D6:R6)</f>
        <v>0</v>
      </c>
      <c r="U6" s="1191"/>
    </row>
    <row r="7" spans="1:22" ht="18" customHeight="1">
      <c r="A7" s="194" t="e">
        <f>#REF!</f>
        <v>#REF!</v>
      </c>
      <c r="B7" s="1187" t="e">
        <f>VLOOKUP($A7,#REF!,2,FALSE)</f>
        <v>#REF!</v>
      </c>
      <c r="C7" s="1188" t="e">
        <f>VLOOKUP($A7,#REF!,3,FALSE)</f>
        <v>#REF!</v>
      </c>
      <c r="D7" s="1189">
        <f t="shared" si="0"/>
        <v>0</v>
      </c>
      <c r="E7" s="1189">
        <f t="shared" si="1"/>
        <v>0</v>
      </c>
      <c r="F7" s="1189">
        <f t="shared" si="2"/>
        <v>0</v>
      </c>
      <c r="G7" s="1189">
        <f t="shared" si="3"/>
        <v>0</v>
      </c>
      <c r="H7" s="1189">
        <f t="shared" si="4"/>
        <v>0</v>
      </c>
      <c r="I7" s="1189">
        <f t="shared" si="5"/>
        <v>0</v>
      </c>
      <c r="J7" s="1189">
        <f t="shared" si="6"/>
        <v>0</v>
      </c>
      <c r="K7" s="1189">
        <f t="shared" si="7"/>
        <v>0</v>
      </c>
      <c r="L7" s="1189">
        <f t="shared" si="8"/>
        <v>0</v>
      </c>
      <c r="M7" s="1189">
        <f t="shared" si="9"/>
        <v>0</v>
      </c>
      <c r="N7" s="1189">
        <f t="shared" si="10"/>
        <v>0</v>
      </c>
      <c r="O7" s="1189">
        <f t="shared" si="11"/>
        <v>0</v>
      </c>
      <c r="P7" s="1189">
        <f t="shared" si="12"/>
        <v>0</v>
      </c>
      <c r="Q7" s="1189">
        <f t="shared" si="13"/>
        <v>0</v>
      </c>
      <c r="R7" s="1189">
        <f t="shared" si="14"/>
        <v>0</v>
      </c>
      <c r="S7" s="1190" t="e">
        <f>VLOOKUP(A7,#REF!,4,FALSE)</f>
        <v>#REF!</v>
      </c>
      <c r="T7" s="1191">
        <f t="shared" si="15"/>
        <v>0</v>
      </c>
      <c r="U7" s="1191"/>
    </row>
    <row r="8" spans="1:22" ht="18" customHeight="1">
      <c r="A8" s="194" t="e">
        <f>#REF!</f>
        <v>#REF!</v>
      </c>
      <c r="B8" s="1187" t="e">
        <f>VLOOKUP($A8,#REF!,2,FALSE)</f>
        <v>#REF!</v>
      </c>
      <c r="C8" s="1188" t="e">
        <f>VLOOKUP($A8,#REF!,3,FALSE)</f>
        <v>#REF!</v>
      </c>
      <c r="D8" s="1189">
        <f t="shared" si="0"/>
        <v>0</v>
      </c>
      <c r="E8" s="1189">
        <f t="shared" si="1"/>
        <v>0</v>
      </c>
      <c r="F8" s="1189">
        <f t="shared" si="2"/>
        <v>0</v>
      </c>
      <c r="G8" s="1189">
        <f t="shared" si="3"/>
        <v>0</v>
      </c>
      <c r="H8" s="1189">
        <f t="shared" si="4"/>
        <v>0</v>
      </c>
      <c r="I8" s="1189">
        <f t="shared" si="5"/>
        <v>0</v>
      </c>
      <c r="J8" s="1189">
        <f t="shared" si="6"/>
        <v>0</v>
      </c>
      <c r="K8" s="1189">
        <f t="shared" si="7"/>
        <v>0</v>
      </c>
      <c r="L8" s="1189">
        <f t="shared" si="8"/>
        <v>0</v>
      </c>
      <c r="M8" s="1189">
        <f t="shared" si="9"/>
        <v>0</v>
      </c>
      <c r="N8" s="1189">
        <f t="shared" si="10"/>
        <v>0</v>
      </c>
      <c r="O8" s="1189">
        <f t="shared" si="11"/>
        <v>0</v>
      </c>
      <c r="P8" s="1189">
        <f t="shared" si="12"/>
        <v>0</v>
      </c>
      <c r="Q8" s="1189">
        <f t="shared" si="13"/>
        <v>0</v>
      </c>
      <c r="R8" s="1189">
        <f t="shared" si="14"/>
        <v>0</v>
      </c>
      <c r="S8" s="1190" t="e">
        <f>VLOOKUP(A8,#REF!,4,FALSE)</f>
        <v>#REF!</v>
      </c>
      <c r="T8" s="1191">
        <f t="shared" si="15"/>
        <v>0</v>
      </c>
      <c r="U8" s="1191"/>
    </row>
    <row r="9" spans="1:22" ht="18" customHeight="1">
      <c r="A9" s="194" t="e">
        <f>#REF!</f>
        <v>#REF!</v>
      </c>
      <c r="B9" s="1187" t="e">
        <f>VLOOKUP($A9,#REF!,2,FALSE)</f>
        <v>#REF!</v>
      </c>
      <c r="C9" s="1188" t="e">
        <f>VLOOKUP($A9,#REF!,3,FALSE)</f>
        <v>#REF!</v>
      </c>
      <c r="D9" s="1189">
        <f t="shared" si="0"/>
        <v>0</v>
      </c>
      <c r="E9" s="1189">
        <f t="shared" si="1"/>
        <v>0</v>
      </c>
      <c r="F9" s="1189">
        <f t="shared" si="2"/>
        <v>0</v>
      </c>
      <c r="G9" s="1189">
        <f t="shared" si="3"/>
        <v>0</v>
      </c>
      <c r="H9" s="1189">
        <f t="shared" si="4"/>
        <v>0</v>
      </c>
      <c r="I9" s="1189">
        <f t="shared" si="5"/>
        <v>0</v>
      </c>
      <c r="J9" s="1189">
        <f t="shared" si="6"/>
        <v>0</v>
      </c>
      <c r="K9" s="1189">
        <f t="shared" si="7"/>
        <v>0</v>
      </c>
      <c r="L9" s="1189">
        <f t="shared" si="8"/>
        <v>0</v>
      </c>
      <c r="M9" s="1189">
        <f t="shared" si="9"/>
        <v>0</v>
      </c>
      <c r="N9" s="1189">
        <f t="shared" si="10"/>
        <v>0</v>
      </c>
      <c r="O9" s="1189">
        <f t="shared" si="11"/>
        <v>0</v>
      </c>
      <c r="P9" s="1189">
        <f t="shared" si="12"/>
        <v>0</v>
      </c>
      <c r="Q9" s="1189">
        <f t="shared" si="13"/>
        <v>0</v>
      </c>
      <c r="R9" s="1189">
        <f t="shared" si="14"/>
        <v>0</v>
      </c>
      <c r="S9" s="1190" t="e">
        <f>VLOOKUP(A9,#REF!,4,FALSE)</f>
        <v>#REF!</v>
      </c>
      <c r="T9" s="1191">
        <f t="shared" si="15"/>
        <v>0</v>
      </c>
      <c r="U9" s="1191"/>
    </row>
    <row r="10" spans="1:22" ht="18" customHeight="1">
      <c r="A10" s="194" t="e">
        <f>#REF!</f>
        <v>#REF!</v>
      </c>
      <c r="B10" s="1187" t="e">
        <f>VLOOKUP($A10,#REF!,2,FALSE)</f>
        <v>#REF!</v>
      </c>
      <c r="C10" s="1188" t="e">
        <f>VLOOKUP($A10,#REF!,3,FALSE)</f>
        <v>#REF!</v>
      </c>
      <c r="D10" s="1189">
        <f t="shared" si="0"/>
        <v>0</v>
      </c>
      <c r="E10" s="1189">
        <f t="shared" si="1"/>
        <v>0</v>
      </c>
      <c r="F10" s="1189">
        <f t="shared" si="2"/>
        <v>0</v>
      </c>
      <c r="G10" s="1189">
        <f t="shared" si="3"/>
        <v>0</v>
      </c>
      <c r="H10" s="1189">
        <f t="shared" si="4"/>
        <v>0</v>
      </c>
      <c r="I10" s="1189">
        <f t="shared" si="5"/>
        <v>0</v>
      </c>
      <c r="J10" s="1189">
        <f t="shared" si="6"/>
        <v>0</v>
      </c>
      <c r="K10" s="1189">
        <f t="shared" si="7"/>
        <v>0</v>
      </c>
      <c r="L10" s="1189">
        <f t="shared" si="8"/>
        <v>0</v>
      </c>
      <c r="M10" s="1189">
        <f t="shared" si="9"/>
        <v>0</v>
      </c>
      <c r="N10" s="1189">
        <f t="shared" si="10"/>
        <v>0</v>
      </c>
      <c r="O10" s="1189">
        <f t="shared" si="11"/>
        <v>0</v>
      </c>
      <c r="P10" s="1189">
        <f t="shared" si="12"/>
        <v>0</v>
      </c>
      <c r="Q10" s="1189">
        <f t="shared" si="13"/>
        <v>0</v>
      </c>
      <c r="R10" s="1189">
        <f t="shared" si="14"/>
        <v>0</v>
      </c>
      <c r="S10" s="1190" t="e">
        <f>VLOOKUP(A10,#REF!,4,FALSE)</f>
        <v>#REF!</v>
      </c>
      <c r="T10" s="1191">
        <f t="shared" si="15"/>
        <v>0</v>
      </c>
      <c r="U10" s="1191"/>
    </row>
    <row r="11" spans="1:22" ht="18" customHeight="1">
      <c r="A11" s="194" t="e">
        <f>#REF!</f>
        <v>#REF!</v>
      </c>
      <c r="B11" s="1187" t="e">
        <f>VLOOKUP($A11,#REF!,2,FALSE)</f>
        <v>#REF!</v>
      </c>
      <c r="C11" s="1188" t="e">
        <f>VLOOKUP($A11,#REF!,3,FALSE)</f>
        <v>#REF!</v>
      </c>
      <c r="D11" s="1189">
        <f t="shared" si="0"/>
        <v>0</v>
      </c>
      <c r="E11" s="1189">
        <f t="shared" si="1"/>
        <v>0</v>
      </c>
      <c r="F11" s="1189">
        <f t="shared" si="2"/>
        <v>0</v>
      </c>
      <c r="G11" s="1189">
        <f t="shared" si="3"/>
        <v>0</v>
      </c>
      <c r="H11" s="1189">
        <f t="shared" si="4"/>
        <v>0</v>
      </c>
      <c r="I11" s="1189">
        <f t="shared" si="5"/>
        <v>0</v>
      </c>
      <c r="J11" s="1189">
        <f t="shared" si="6"/>
        <v>0</v>
      </c>
      <c r="K11" s="1189">
        <f t="shared" si="7"/>
        <v>0</v>
      </c>
      <c r="L11" s="1189">
        <f t="shared" si="8"/>
        <v>0</v>
      </c>
      <c r="M11" s="1189">
        <f t="shared" si="9"/>
        <v>0</v>
      </c>
      <c r="N11" s="1189">
        <f t="shared" si="10"/>
        <v>0</v>
      </c>
      <c r="O11" s="1189">
        <f t="shared" si="11"/>
        <v>0</v>
      </c>
      <c r="P11" s="1189">
        <f t="shared" si="12"/>
        <v>0</v>
      </c>
      <c r="Q11" s="1189">
        <f t="shared" si="13"/>
        <v>0</v>
      </c>
      <c r="R11" s="1189">
        <f t="shared" si="14"/>
        <v>0</v>
      </c>
      <c r="S11" s="1190" t="e">
        <f>VLOOKUP(A11,#REF!,4,FALSE)</f>
        <v>#REF!</v>
      </c>
      <c r="T11" s="1191">
        <f t="shared" si="15"/>
        <v>0</v>
      </c>
      <c r="U11" s="1191"/>
    </row>
    <row r="12" spans="1:22" ht="18" customHeight="1">
      <c r="A12" s="194" t="e">
        <f>#REF!</f>
        <v>#REF!</v>
      </c>
      <c r="B12" s="1187" t="e">
        <f>VLOOKUP($A12,#REF!,2,FALSE)</f>
        <v>#REF!</v>
      </c>
      <c r="C12" s="1188" t="e">
        <f>VLOOKUP($A12,#REF!,3,FALSE)</f>
        <v>#REF!</v>
      </c>
      <c r="D12" s="1189">
        <f t="shared" si="0"/>
        <v>0</v>
      </c>
      <c r="E12" s="1189">
        <f t="shared" si="1"/>
        <v>0</v>
      </c>
      <c r="F12" s="1189">
        <f t="shared" si="2"/>
        <v>0</v>
      </c>
      <c r="G12" s="1189">
        <f t="shared" si="3"/>
        <v>0</v>
      </c>
      <c r="H12" s="1189">
        <f t="shared" si="4"/>
        <v>0</v>
      </c>
      <c r="I12" s="1189">
        <f t="shared" si="5"/>
        <v>0</v>
      </c>
      <c r="J12" s="1189">
        <f t="shared" si="6"/>
        <v>0</v>
      </c>
      <c r="K12" s="1189">
        <f t="shared" si="7"/>
        <v>0</v>
      </c>
      <c r="L12" s="1189">
        <f t="shared" si="8"/>
        <v>0</v>
      </c>
      <c r="M12" s="1189">
        <f t="shared" si="9"/>
        <v>0</v>
      </c>
      <c r="N12" s="1189">
        <f t="shared" si="10"/>
        <v>0</v>
      </c>
      <c r="O12" s="1189">
        <f t="shared" si="11"/>
        <v>0</v>
      </c>
      <c r="P12" s="1189">
        <f t="shared" si="12"/>
        <v>0</v>
      </c>
      <c r="Q12" s="1189">
        <f t="shared" si="13"/>
        <v>0</v>
      </c>
      <c r="R12" s="1189">
        <f t="shared" si="14"/>
        <v>0</v>
      </c>
      <c r="S12" s="1190" t="e">
        <f>VLOOKUP(A12,#REF!,4,FALSE)</f>
        <v>#REF!</v>
      </c>
      <c r="T12" s="1191">
        <f t="shared" si="15"/>
        <v>0</v>
      </c>
      <c r="U12" s="1191"/>
    </row>
    <row r="13" spans="1:22" ht="18" customHeight="1">
      <c r="A13" s="194" t="e">
        <f>#REF!</f>
        <v>#REF!</v>
      </c>
      <c r="B13" s="1187" t="e">
        <f>VLOOKUP($A13,#REF!,2,FALSE)</f>
        <v>#REF!</v>
      </c>
      <c r="C13" s="1188" t="e">
        <f>VLOOKUP($A13,#REF!,3,FALSE)</f>
        <v>#REF!</v>
      </c>
      <c r="D13" s="1189">
        <f t="shared" si="0"/>
        <v>0</v>
      </c>
      <c r="E13" s="1189">
        <f t="shared" si="1"/>
        <v>0</v>
      </c>
      <c r="F13" s="1189">
        <f t="shared" si="2"/>
        <v>0</v>
      </c>
      <c r="G13" s="1189">
        <f t="shared" si="3"/>
        <v>0</v>
      </c>
      <c r="H13" s="1189">
        <f t="shared" si="4"/>
        <v>0</v>
      </c>
      <c r="I13" s="1189">
        <f t="shared" si="5"/>
        <v>0</v>
      </c>
      <c r="J13" s="1189">
        <f t="shared" si="6"/>
        <v>0</v>
      </c>
      <c r="K13" s="1189">
        <f t="shared" si="7"/>
        <v>0</v>
      </c>
      <c r="L13" s="1189">
        <f t="shared" si="8"/>
        <v>0</v>
      </c>
      <c r="M13" s="1189">
        <f t="shared" si="9"/>
        <v>0</v>
      </c>
      <c r="N13" s="1189">
        <f t="shared" si="10"/>
        <v>0</v>
      </c>
      <c r="O13" s="1189">
        <f t="shared" si="11"/>
        <v>0</v>
      </c>
      <c r="P13" s="1189">
        <f t="shared" si="12"/>
        <v>0</v>
      </c>
      <c r="Q13" s="1189">
        <f t="shared" si="13"/>
        <v>0</v>
      </c>
      <c r="R13" s="1189">
        <f t="shared" si="14"/>
        <v>0</v>
      </c>
      <c r="S13" s="1190" t="e">
        <f>VLOOKUP(A13,#REF!,4,FALSE)</f>
        <v>#REF!</v>
      </c>
      <c r="T13" s="1191">
        <f t="shared" si="15"/>
        <v>0</v>
      </c>
      <c r="U13" s="1191"/>
    </row>
    <row r="14" spans="1:22" ht="18" customHeight="1">
      <c r="A14" s="194" t="e">
        <f>#REF!</f>
        <v>#REF!</v>
      </c>
      <c r="B14" s="1187" t="e">
        <f>VLOOKUP($A14,#REF!,2,FALSE)</f>
        <v>#REF!</v>
      </c>
      <c r="C14" s="1188" t="e">
        <f>VLOOKUP($A14,#REF!,3,FALSE)</f>
        <v>#REF!</v>
      </c>
      <c r="D14" s="1189">
        <f t="shared" si="0"/>
        <v>0</v>
      </c>
      <c r="E14" s="1189">
        <f t="shared" si="1"/>
        <v>0</v>
      </c>
      <c r="F14" s="1189">
        <f t="shared" si="2"/>
        <v>0</v>
      </c>
      <c r="G14" s="1189">
        <f t="shared" si="3"/>
        <v>0</v>
      </c>
      <c r="H14" s="1189">
        <f t="shared" si="4"/>
        <v>0</v>
      </c>
      <c r="I14" s="1189">
        <f t="shared" si="5"/>
        <v>0</v>
      </c>
      <c r="J14" s="1189">
        <f t="shared" si="6"/>
        <v>0</v>
      </c>
      <c r="K14" s="1189">
        <f t="shared" si="7"/>
        <v>0</v>
      </c>
      <c r="L14" s="1189">
        <f t="shared" si="8"/>
        <v>0</v>
      </c>
      <c r="M14" s="1189">
        <f t="shared" si="9"/>
        <v>0</v>
      </c>
      <c r="N14" s="1189">
        <f t="shared" si="10"/>
        <v>0</v>
      </c>
      <c r="O14" s="1189">
        <f t="shared" si="11"/>
        <v>0</v>
      </c>
      <c r="P14" s="1189">
        <f t="shared" si="12"/>
        <v>0</v>
      </c>
      <c r="Q14" s="1189">
        <f t="shared" si="13"/>
        <v>0</v>
      </c>
      <c r="R14" s="1189">
        <f t="shared" si="14"/>
        <v>0</v>
      </c>
      <c r="S14" s="1190" t="e">
        <f>VLOOKUP(A14,#REF!,4,FALSE)</f>
        <v>#REF!</v>
      </c>
      <c r="T14" s="1191">
        <f t="shared" si="15"/>
        <v>0</v>
      </c>
      <c r="U14" s="1191"/>
    </row>
    <row r="15" spans="1:22" ht="18" customHeight="1">
      <c r="A15" s="194" t="e">
        <f>#REF!</f>
        <v>#REF!</v>
      </c>
      <c r="B15" s="1187" t="e">
        <f>VLOOKUP($A15,#REF!,2,FALSE)</f>
        <v>#REF!</v>
      </c>
      <c r="C15" s="1188" t="e">
        <f>VLOOKUP($A15,#REF!,3,FALSE)</f>
        <v>#REF!</v>
      </c>
      <c r="D15" s="1189">
        <f t="shared" si="0"/>
        <v>0</v>
      </c>
      <c r="E15" s="1189">
        <f t="shared" si="1"/>
        <v>0</v>
      </c>
      <c r="F15" s="1189">
        <f t="shared" si="2"/>
        <v>0</v>
      </c>
      <c r="G15" s="1189">
        <f t="shared" si="3"/>
        <v>0</v>
      </c>
      <c r="H15" s="1189">
        <f t="shared" si="4"/>
        <v>0</v>
      </c>
      <c r="I15" s="1189">
        <f t="shared" si="5"/>
        <v>0</v>
      </c>
      <c r="J15" s="1189">
        <f t="shared" si="6"/>
        <v>0</v>
      </c>
      <c r="K15" s="1189">
        <f t="shared" si="7"/>
        <v>0</v>
      </c>
      <c r="L15" s="1189">
        <f t="shared" si="8"/>
        <v>0</v>
      </c>
      <c r="M15" s="1189">
        <f t="shared" si="9"/>
        <v>0</v>
      </c>
      <c r="N15" s="1189">
        <f t="shared" si="10"/>
        <v>0</v>
      </c>
      <c r="O15" s="1189">
        <f t="shared" si="11"/>
        <v>0</v>
      </c>
      <c r="P15" s="1189">
        <f t="shared" si="12"/>
        <v>0</v>
      </c>
      <c r="Q15" s="1189">
        <f t="shared" si="13"/>
        <v>0</v>
      </c>
      <c r="R15" s="1189">
        <f t="shared" si="14"/>
        <v>0</v>
      </c>
      <c r="S15" s="1190" t="e">
        <f>VLOOKUP(A15,#REF!,4,FALSE)</f>
        <v>#REF!</v>
      </c>
      <c r="T15" s="1191">
        <f t="shared" si="15"/>
        <v>0</v>
      </c>
      <c r="U15" s="1191"/>
    </row>
    <row r="16" spans="1:22" ht="18" customHeight="1">
      <c r="A16" s="194" t="e">
        <f>#REF!</f>
        <v>#REF!</v>
      </c>
      <c r="B16" s="1187" t="e">
        <f>VLOOKUP($A16,#REF!,2,FALSE)</f>
        <v>#REF!</v>
      </c>
      <c r="C16" s="1188" t="e">
        <f>VLOOKUP($A16,#REF!,3,FALSE)</f>
        <v>#REF!</v>
      </c>
      <c r="D16" s="1189">
        <f t="shared" si="0"/>
        <v>0</v>
      </c>
      <c r="E16" s="1189">
        <f t="shared" si="1"/>
        <v>0</v>
      </c>
      <c r="F16" s="1189">
        <f t="shared" si="2"/>
        <v>0</v>
      </c>
      <c r="G16" s="1189">
        <f t="shared" si="3"/>
        <v>0</v>
      </c>
      <c r="H16" s="1189">
        <f t="shared" si="4"/>
        <v>0</v>
      </c>
      <c r="I16" s="1189">
        <f t="shared" si="5"/>
        <v>0</v>
      </c>
      <c r="J16" s="1189">
        <f t="shared" si="6"/>
        <v>0</v>
      </c>
      <c r="K16" s="1189">
        <f t="shared" si="7"/>
        <v>0</v>
      </c>
      <c r="L16" s="1189">
        <f t="shared" si="8"/>
        <v>0</v>
      </c>
      <c r="M16" s="1189">
        <f t="shared" si="9"/>
        <v>0</v>
      </c>
      <c r="N16" s="1189">
        <f t="shared" si="10"/>
        <v>0</v>
      </c>
      <c r="O16" s="1189">
        <f t="shared" si="11"/>
        <v>0</v>
      </c>
      <c r="P16" s="1189">
        <f t="shared" si="12"/>
        <v>0</v>
      </c>
      <c r="Q16" s="1189">
        <f t="shared" si="13"/>
        <v>0</v>
      </c>
      <c r="R16" s="1189">
        <f t="shared" si="14"/>
        <v>0</v>
      </c>
      <c r="S16" s="1190" t="e">
        <f>VLOOKUP(A16,#REF!,4,FALSE)</f>
        <v>#REF!</v>
      </c>
      <c r="T16" s="1191">
        <f t="shared" si="15"/>
        <v>0</v>
      </c>
      <c r="U16" s="1191"/>
    </row>
    <row r="17" spans="1:21" ht="18" customHeight="1">
      <c r="A17" s="194" t="e">
        <f>#REF!</f>
        <v>#REF!</v>
      </c>
      <c r="B17" s="1187" t="e">
        <f>VLOOKUP($A17,#REF!,2,FALSE)</f>
        <v>#REF!</v>
      </c>
      <c r="C17" s="1188" t="e">
        <f>VLOOKUP($A17,#REF!,3,FALSE)</f>
        <v>#REF!</v>
      </c>
      <c r="D17" s="1189">
        <f t="shared" si="0"/>
        <v>0</v>
      </c>
      <c r="E17" s="1242">
        <f t="shared" si="1"/>
        <v>0</v>
      </c>
      <c r="F17" s="1189">
        <f t="shared" si="2"/>
        <v>0</v>
      </c>
      <c r="G17" s="1189">
        <f t="shared" si="3"/>
        <v>0</v>
      </c>
      <c r="H17" s="1189">
        <f t="shared" si="4"/>
        <v>0</v>
      </c>
      <c r="I17" s="1189">
        <f t="shared" si="5"/>
        <v>0</v>
      </c>
      <c r="J17" s="1189">
        <f t="shared" si="6"/>
        <v>0</v>
      </c>
      <c r="K17" s="1189">
        <f t="shared" si="7"/>
        <v>0</v>
      </c>
      <c r="L17" s="1189">
        <f t="shared" si="8"/>
        <v>0</v>
      </c>
      <c r="M17" s="1189">
        <f t="shared" si="9"/>
        <v>0</v>
      </c>
      <c r="N17" s="1189">
        <f t="shared" si="10"/>
        <v>0</v>
      </c>
      <c r="O17" s="1189">
        <f t="shared" si="11"/>
        <v>0</v>
      </c>
      <c r="P17" s="1189">
        <f t="shared" si="12"/>
        <v>0</v>
      </c>
      <c r="Q17" s="1189">
        <f t="shared" si="13"/>
        <v>0</v>
      </c>
      <c r="R17" s="1189">
        <f t="shared" si="14"/>
        <v>0</v>
      </c>
      <c r="S17" s="1190" t="e">
        <f>VLOOKUP(A17,#REF!,4,FALSE)</f>
        <v>#REF!</v>
      </c>
      <c r="T17" s="1191">
        <f t="shared" si="15"/>
        <v>0</v>
      </c>
      <c r="U17" s="1191"/>
    </row>
    <row r="18" spans="1:21" ht="18" customHeight="1">
      <c r="A18" s="194" t="e">
        <f>#REF!</f>
        <v>#REF!</v>
      </c>
      <c r="B18" s="1187" t="e">
        <f>VLOOKUP($A18,#REF!,2,FALSE)</f>
        <v>#REF!</v>
      </c>
      <c r="C18" s="1188" t="e">
        <f>VLOOKUP($A18,#REF!,3,FALSE)</f>
        <v>#REF!</v>
      </c>
      <c r="D18" s="1189">
        <f t="shared" si="0"/>
        <v>0</v>
      </c>
      <c r="E18" s="1242">
        <f t="shared" si="1"/>
        <v>0</v>
      </c>
      <c r="F18" s="1189">
        <f t="shared" si="2"/>
        <v>0</v>
      </c>
      <c r="G18" s="1189">
        <f t="shared" si="3"/>
        <v>0</v>
      </c>
      <c r="H18" s="1189">
        <f t="shared" si="4"/>
        <v>0</v>
      </c>
      <c r="I18" s="1189">
        <f t="shared" si="5"/>
        <v>0</v>
      </c>
      <c r="J18" s="1189">
        <f t="shared" si="6"/>
        <v>0</v>
      </c>
      <c r="K18" s="1189">
        <f t="shared" si="7"/>
        <v>0</v>
      </c>
      <c r="L18" s="1189">
        <f t="shared" si="8"/>
        <v>0</v>
      </c>
      <c r="M18" s="1189">
        <f t="shared" si="9"/>
        <v>0</v>
      </c>
      <c r="N18" s="1189">
        <f t="shared" si="10"/>
        <v>0</v>
      </c>
      <c r="O18" s="1189">
        <f t="shared" si="11"/>
        <v>0</v>
      </c>
      <c r="P18" s="1189">
        <f t="shared" si="12"/>
        <v>0</v>
      </c>
      <c r="Q18" s="1189">
        <f t="shared" si="13"/>
        <v>0</v>
      </c>
      <c r="R18" s="1189">
        <f t="shared" si="14"/>
        <v>0</v>
      </c>
      <c r="S18" s="1190" t="e">
        <f>VLOOKUP(A18,#REF!,4,FALSE)</f>
        <v>#REF!</v>
      </c>
      <c r="T18" s="1191">
        <f t="shared" si="15"/>
        <v>0</v>
      </c>
      <c r="U18" s="1191"/>
    </row>
    <row r="19" spans="1:21" ht="18" customHeight="1">
      <c r="A19" s="194" t="e">
        <f>#REF!</f>
        <v>#REF!</v>
      </c>
      <c r="B19" s="1187" t="e">
        <f>VLOOKUP($A19,#REF!,2,FALSE)</f>
        <v>#REF!</v>
      </c>
      <c r="C19" s="1188" t="e">
        <f>VLOOKUP($A19,#REF!,3,FALSE)</f>
        <v>#REF!</v>
      </c>
      <c r="D19" s="1189">
        <f t="shared" si="0"/>
        <v>0</v>
      </c>
      <c r="E19" s="1242">
        <f t="shared" si="1"/>
        <v>0</v>
      </c>
      <c r="F19" s="1189">
        <f t="shared" si="2"/>
        <v>0</v>
      </c>
      <c r="G19" s="1189">
        <f t="shared" si="3"/>
        <v>0</v>
      </c>
      <c r="H19" s="1189">
        <f t="shared" si="4"/>
        <v>0</v>
      </c>
      <c r="I19" s="1189">
        <f t="shared" si="5"/>
        <v>0</v>
      </c>
      <c r="J19" s="1189">
        <f t="shared" si="6"/>
        <v>0</v>
      </c>
      <c r="K19" s="1189">
        <f t="shared" si="7"/>
        <v>0</v>
      </c>
      <c r="L19" s="1189">
        <f t="shared" si="8"/>
        <v>0</v>
      </c>
      <c r="M19" s="1189">
        <f t="shared" si="9"/>
        <v>0</v>
      </c>
      <c r="N19" s="1189">
        <f t="shared" si="10"/>
        <v>0</v>
      </c>
      <c r="O19" s="1189">
        <f t="shared" si="11"/>
        <v>0</v>
      </c>
      <c r="P19" s="1189">
        <f t="shared" si="12"/>
        <v>0</v>
      </c>
      <c r="Q19" s="1189">
        <f t="shared" si="13"/>
        <v>0</v>
      </c>
      <c r="R19" s="1189">
        <f t="shared" si="14"/>
        <v>0</v>
      </c>
      <c r="S19" s="1190" t="e">
        <f>VLOOKUP(A19,#REF!,4,FALSE)</f>
        <v>#REF!</v>
      </c>
      <c r="T19" s="1191">
        <f t="shared" si="15"/>
        <v>0</v>
      </c>
      <c r="U19" s="1191"/>
    </row>
    <row r="20" spans="1:21" ht="18" customHeight="1">
      <c r="A20" s="194" t="e">
        <f>#REF!</f>
        <v>#REF!</v>
      </c>
      <c r="B20" s="1187" t="e">
        <f>VLOOKUP($A20,#REF!,2,FALSE)</f>
        <v>#REF!</v>
      </c>
      <c r="C20" s="1188" t="e">
        <f>VLOOKUP($A20,#REF!,3,FALSE)</f>
        <v>#REF!</v>
      </c>
      <c r="D20" s="1189">
        <f t="shared" si="0"/>
        <v>0</v>
      </c>
      <c r="E20" s="1242">
        <f t="shared" si="1"/>
        <v>0</v>
      </c>
      <c r="F20" s="1189">
        <f t="shared" si="2"/>
        <v>0</v>
      </c>
      <c r="G20" s="1189">
        <f t="shared" si="3"/>
        <v>0</v>
      </c>
      <c r="H20" s="1189">
        <f t="shared" si="4"/>
        <v>0</v>
      </c>
      <c r="I20" s="1189">
        <f t="shared" si="5"/>
        <v>0</v>
      </c>
      <c r="J20" s="1189">
        <f t="shared" si="6"/>
        <v>0</v>
      </c>
      <c r="K20" s="1189">
        <f t="shared" si="7"/>
        <v>0</v>
      </c>
      <c r="L20" s="1189">
        <f t="shared" si="8"/>
        <v>0</v>
      </c>
      <c r="M20" s="1189">
        <f t="shared" si="9"/>
        <v>0</v>
      </c>
      <c r="N20" s="1189">
        <f t="shared" si="10"/>
        <v>0</v>
      </c>
      <c r="O20" s="1189">
        <f t="shared" si="11"/>
        <v>0</v>
      </c>
      <c r="P20" s="1189">
        <f t="shared" si="12"/>
        <v>0</v>
      </c>
      <c r="Q20" s="1189">
        <f t="shared" si="13"/>
        <v>0</v>
      </c>
      <c r="R20" s="1189">
        <f t="shared" si="14"/>
        <v>0</v>
      </c>
      <c r="S20" s="1190" t="e">
        <f>VLOOKUP(A20,#REF!,4,FALSE)</f>
        <v>#REF!</v>
      </c>
      <c r="T20" s="1191">
        <f t="shared" si="15"/>
        <v>0</v>
      </c>
      <c r="U20" s="1191"/>
    </row>
    <row r="21" spans="1:21" ht="18" customHeight="1">
      <c r="A21" s="194" t="e">
        <f>#REF!</f>
        <v>#REF!</v>
      </c>
      <c r="B21" s="1187" t="e">
        <f>VLOOKUP($A21,#REF!,2,FALSE)</f>
        <v>#REF!</v>
      </c>
      <c r="C21" s="1188" t="e">
        <f>VLOOKUP($A21,#REF!,3,FALSE)</f>
        <v>#REF!</v>
      </c>
      <c r="D21" s="1189">
        <f t="shared" si="0"/>
        <v>0</v>
      </c>
      <c r="E21" s="1242">
        <f t="shared" si="1"/>
        <v>0</v>
      </c>
      <c r="F21" s="1189">
        <f t="shared" si="2"/>
        <v>0</v>
      </c>
      <c r="G21" s="1189">
        <f t="shared" si="3"/>
        <v>0</v>
      </c>
      <c r="H21" s="1189">
        <f t="shared" si="4"/>
        <v>0</v>
      </c>
      <c r="I21" s="1189">
        <f t="shared" si="5"/>
        <v>0</v>
      </c>
      <c r="J21" s="1189">
        <f t="shared" si="6"/>
        <v>0</v>
      </c>
      <c r="K21" s="1189">
        <f t="shared" si="7"/>
        <v>0</v>
      </c>
      <c r="L21" s="1189">
        <f t="shared" si="8"/>
        <v>0</v>
      </c>
      <c r="M21" s="1189">
        <f t="shared" si="9"/>
        <v>0</v>
      </c>
      <c r="N21" s="1189">
        <f t="shared" si="10"/>
        <v>0</v>
      </c>
      <c r="O21" s="1189">
        <f t="shared" si="11"/>
        <v>0</v>
      </c>
      <c r="P21" s="1189">
        <f t="shared" si="12"/>
        <v>0</v>
      </c>
      <c r="Q21" s="1189">
        <f t="shared" si="13"/>
        <v>0</v>
      </c>
      <c r="R21" s="1189">
        <f t="shared" si="14"/>
        <v>0</v>
      </c>
      <c r="S21" s="1190" t="e">
        <f>VLOOKUP(A21,#REF!,4,FALSE)</f>
        <v>#REF!</v>
      </c>
      <c r="T21" s="1191">
        <f t="shared" si="15"/>
        <v>0</v>
      </c>
      <c r="U21" s="1191"/>
    </row>
    <row r="22" spans="1:21" ht="18" customHeight="1">
      <c r="A22" s="194" t="e">
        <f>#REF!</f>
        <v>#REF!</v>
      </c>
      <c r="B22" s="1187" t="e">
        <f>VLOOKUP($A22,#REF!,2,FALSE)</f>
        <v>#REF!</v>
      </c>
      <c r="C22" s="1188" t="e">
        <f>VLOOKUP($A22,#REF!,3,FALSE)</f>
        <v>#REF!</v>
      </c>
      <c r="D22" s="1189">
        <f t="shared" si="0"/>
        <v>0</v>
      </c>
      <c r="E22" s="1242">
        <f t="shared" si="1"/>
        <v>0</v>
      </c>
      <c r="F22" s="1189">
        <f t="shared" si="2"/>
        <v>0</v>
      </c>
      <c r="G22" s="1189">
        <f t="shared" si="3"/>
        <v>0</v>
      </c>
      <c r="H22" s="1189">
        <f t="shared" si="4"/>
        <v>0</v>
      </c>
      <c r="I22" s="1189">
        <f t="shared" si="5"/>
        <v>0</v>
      </c>
      <c r="J22" s="1189">
        <f t="shared" si="6"/>
        <v>0</v>
      </c>
      <c r="K22" s="1189">
        <f t="shared" si="7"/>
        <v>0</v>
      </c>
      <c r="L22" s="1189">
        <f t="shared" si="8"/>
        <v>0</v>
      </c>
      <c r="M22" s="1189">
        <f t="shared" si="9"/>
        <v>0</v>
      </c>
      <c r="N22" s="1189">
        <f t="shared" si="10"/>
        <v>0</v>
      </c>
      <c r="O22" s="1189">
        <f t="shared" si="11"/>
        <v>0</v>
      </c>
      <c r="P22" s="1189">
        <f t="shared" si="12"/>
        <v>0</v>
      </c>
      <c r="Q22" s="1189">
        <f t="shared" si="13"/>
        <v>0</v>
      </c>
      <c r="R22" s="1189">
        <f t="shared" si="14"/>
        <v>0</v>
      </c>
      <c r="S22" s="1190" t="e">
        <f>VLOOKUP(A22,#REF!,4,FALSE)</f>
        <v>#REF!</v>
      </c>
      <c r="T22" s="1191">
        <f t="shared" ref="T22:T41" si="16">SUM(D22:R22)</f>
        <v>0</v>
      </c>
      <c r="U22" s="1191"/>
    </row>
    <row r="23" spans="1:21" ht="18" customHeight="1">
      <c r="A23" s="194" t="e">
        <f>#REF!</f>
        <v>#REF!</v>
      </c>
      <c r="B23" s="1187" t="e">
        <f>VLOOKUP($A23,#REF!,2,FALSE)</f>
        <v>#REF!</v>
      </c>
      <c r="C23" s="1188" t="e">
        <f>VLOOKUP($A23,#REF!,3,FALSE)</f>
        <v>#REF!</v>
      </c>
      <c r="D23" s="1189">
        <f t="shared" si="0"/>
        <v>0</v>
      </c>
      <c r="E23" s="1242">
        <f t="shared" si="1"/>
        <v>0</v>
      </c>
      <c r="F23" s="1189">
        <f t="shared" si="2"/>
        <v>0</v>
      </c>
      <c r="G23" s="1189">
        <f t="shared" si="3"/>
        <v>0</v>
      </c>
      <c r="H23" s="1189">
        <f t="shared" si="4"/>
        <v>0</v>
      </c>
      <c r="I23" s="1189">
        <f t="shared" si="5"/>
        <v>0</v>
      </c>
      <c r="J23" s="1189">
        <f t="shared" si="6"/>
        <v>0</v>
      </c>
      <c r="K23" s="1189">
        <f t="shared" si="7"/>
        <v>0</v>
      </c>
      <c r="L23" s="1189">
        <f t="shared" si="8"/>
        <v>0</v>
      </c>
      <c r="M23" s="1189">
        <f t="shared" si="9"/>
        <v>0</v>
      </c>
      <c r="N23" s="1189">
        <f t="shared" si="10"/>
        <v>0</v>
      </c>
      <c r="O23" s="1189">
        <f t="shared" si="11"/>
        <v>0</v>
      </c>
      <c r="P23" s="1189">
        <f t="shared" si="12"/>
        <v>0</v>
      </c>
      <c r="Q23" s="1189">
        <f t="shared" si="13"/>
        <v>0</v>
      </c>
      <c r="R23" s="1189">
        <f t="shared" si="14"/>
        <v>0</v>
      </c>
      <c r="S23" s="1190" t="e">
        <f>VLOOKUP(A23,#REF!,4,FALSE)</f>
        <v>#REF!</v>
      </c>
      <c r="T23" s="1191">
        <f t="shared" si="16"/>
        <v>0</v>
      </c>
      <c r="U23" s="1191"/>
    </row>
    <row r="24" spans="1:21" ht="18" customHeight="1">
      <c r="A24" s="193" t="e">
        <f>#REF!</f>
        <v>#REF!</v>
      </c>
      <c r="B24" s="1187" t="e">
        <f>VLOOKUP($A24,#REF!,2,FALSE)</f>
        <v>#REF!</v>
      </c>
      <c r="C24" s="1188" t="e">
        <f>VLOOKUP($A24,#REF!,3,FALSE)</f>
        <v>#REF!</v>
      </c>
      <c r="D24" s="1189">
        <f t="shared" si="0"/>
        <v>0</v>
      </c>
      <c r="E24" s="1242">
        <f t="shared" si="1"/>
        <v>0</v>
      </c>
      <c r="F24" s="1189">
        <f t="shared" si="2"/>
        <v>0</v>
      </c>
      <c r="G24" s="1189">
        <f t="shared" si="3"/>
        <v>0</v>
      </c>
      <c r="H24" s="1189">
        <f t="shared" si="4"/>
        <v>0</v>
      </c>
      <c r="I24" s="1189">
        <f t="shared" si="5"/>
        <v>0</v>
      </c>
      <c r="J24" s="1189">
        <f t="shared" si="6"/>
        <v>0</v>
      </c>
      <c r="K24" s="1189">
        <f t="shared" si="7"/>
        <v>0</v>
      </c>
      <c r="L24" s="1189">
        <f t="shared" si="8"/>
        <v>0</v>
      </c>
      <c r="M24" s="1189">
        <f t="shared" si="9"/>
        <v>0</v>
      </c>
      <c r="N24" s="1189">
        <f t="shared" si="10"/>
        <v>0</v>
      </c>
      <c r="O24" s="1189">
        <f t="shared" si="11"/>
        <v>0</v>
      </c>
      <c r="P24" s="1189">
        <f t="shared" si="12"/>
        <v>0</v>
      </c>
      <c r="Q24" s="1189">
        <f t="shared" si="13"/>
        <v>0</v>
      </c>
      <c r="R24" s="1189">
        <f t="shared" si="14"/>
        <v>0</v>
      </c>
      <c r="S24" s="1190" t="e">
        <f>VLOOKUP(A24,#REF!,4,FALSE)</f>
        <v>#REF!</v>
      </c>
      <c r="T24" s="1191">
        <f t="shared" si="16"/>
        <v>0</v>
      </c>
      <c r="U24" s="1191"/>
    </row>
    <row r="25" spans="1:21" ht="18" customHeight="1">
      <c r="A25" s="194" t="e">
        <f>#REF!</f>
        <v>#REF!</v>
      </c>
      <c r="B25" s="1187" t="e">
        <f>VLOOKUP($A25,#REF!,2,FALSE)</f>
        <v>#REF!</v>
      </c>
      <c r="C25" s="1188" t="e">
        <f>VLOOKUP($A25,#REF!,3,FALSE)</f>
        <v>#REF!</v>
      </c>
      <c r="D25" s="1189">
        <f t="shared" si="0"/>
        <v>0</v>
      </c>
      <c r="E25" s="1242">
        <f t="shared" si="1"/>
        <v>0</v>
      </c>
      <c r="F25" s="1189">
        <f t="shared" si="2"/>
        <v>0</v>
      </c>
      <c r="G25" s="1189">
        <f t="shared" si="3"/>
        <v>0</v>
      </c>
      <c r="H25" s="1189">
        <f t="shared" si="4"/>
        <v>0</v>
      </c>
      <c r="I25" s="1189">
        <f t="shared" si="5"/>
        <v>0</v>
      </c>
      <c r="J25" s="1189">
        <f t="shared" si="6"/>
        <v>0</v>
      </c>
      <c r="K25" s="1189">
        <f t="shared" si="7"/>
        <v>0</v>
      </c>
      <c r="L25" s="1189">
        <f t="shared" si="8"/>
        <v>0</v>
      </c>
      <c r="M25" s="1189">
        <f t="shared" si="9"/>
        <v>0</v>
      </c>
      <c r="N25" s="1189">
        <f t="shared" si="10"/>
        <v>0</v>
      </c>
      <c r="O25" s="1189">
        <f t="shared" si="11"/>
        <v>0</v>
      </c>
      <c r="P25" s="1189">
        <f t="shared" si="12"/>
        <v>0</v>
      </c>
      <c r="Q25" s="1189">
        <f t="shared" si="13"/>
        <v>0</v>
      </c>
      <c r="R25" s="1189">
        <f t="shared" si="14"/>
        <v>0</v>
      </c>
      <c r="S25" s="1190" t="e">
        <f>VLOOKUP(A25,#REF!,4,FALSE)</f>
        <v>#REF!</v>
      </c>
      <c r="T25" s="1191">
        <f t="shared" si="16"/>
        <v>0</v>
      </c>
      <c r="U25" s="1191"/>
    </row>
    <row r="26" spans="1:21" ht="18" customHeight="1">
      <c r="A26" s="194" t="e">
        <f>#REF!</f>
        <v>#REF!</v>
      </c>
      <c r="B26" s="1187" t="e">
        <f>VLOOKUP($A26,#REF!,2,FALSE)</f>
        <v>#REF!</v>
      </c>
      <c r="C26" s="1188" t="e">
        <f>VLOOKUP($A26,#REF!,3,FALSE)</f>
        <v>#REF!</v>
      </c>
      <c r="D26" s="1189">
        <f t="shared" si="0"/>
        <v>0</v>
      </c>
      <c r="E26" s="1242">
        <f t="shared" si="1"/>
        <v>0</v>
      </c>
      <c r="F26" s="1189">
        <f t="shared" si="2"/>
        <v>0</v>
      </c>
      <c r="G26" s="1189">
        <f t="shared" si="3"/>
        <v>0</v>
      </c>
      <c r="H26" s="1189">
        <f t="shared" si="4"/>
        <v>0</v>
      </c>
      <c r="I26" s="1189">
        <f t="shared" si="5"/>
        <v>0</v>
      </c>
      <c r="J26" s="1189">
        <f t="shared" si="6"/>
        <v>0</v>
      </c>
      <c r="K26" s="1189">
        <f t="shared" si="7"/>
        <v>0</v>
      </c>
      <c r="L26" s="1189">
        <f t="shared" si="8"/>
        <v>0</v>
      </c>
      <c r="M26" s="1189">
        <f t="shared" si="9"/>
        <v>0</v>
      </c>
      <c r="N26" s="1189">
        <f t="shared" si="10"/>
        <v>0</v>
      </c>
      <c r="O26" s="1189">
        <f t="shared" si="11"/>
        <v>0</v>
      </c>
      <c r="P26" s="1189">
        <f t="shared" si="12"/>
        <v>0</v>
      </c>
      <c r="Q26" s="1189">
        <f t="shared" si="13"/>
        <v>0</v>
      </c>
      <c r="R26" s="1189">
        <f t="shared" si="14"/>
        <v>0</v>
      </c>
      <c r="S26" s="1190" t="e">
        <f>VLOOKUP(A26,#REF!,4,FALSE)</f>
        <v>#REF!</v>
      </c>
      <c r="T26" s="1191">
        <f t="shared" si="16"/>
        <v>0</v>
      </c>
      <c r="U26" s="1191"/>
    </row>
    <row r="27" spans="1:21" ht="18" customHeight="1">
      <c r="A27" s="194" t="e">
        <f>#REF!</f>
        <v>#REF!</v>
      </c>
      <c r="B27" s="1187" t="e">
        <f>VLOOKUP($A27,#REF!,2,FALSE)</f>
        <v>#REF!</v>
      </c>
      <c r="C27" s="1188" t="e">
        <f>VLOOKUP($A27,#REF!,3,FALSE)</f>
        <v>#REF!</v>
      </c>
      <c r="D27" s="1189">
        <f t="shared" si="0"/>
        <v>0</v>
      </c>
      <c r="E27" s="1242">
        <f t="shared" si="1"/>
        <v>0</v>
      </c>
      <c r="F27" s="1189">
        <f t="shared" si="2"/>
        <v>0</v>
      </c>
      <c r="G27" s="1189">
        <f t="shared" si="3"/>
        <v>0</v>
      </c>
      <c r="H27" s="1189">
        <f t="shared" si="4"/>
        <v>0</v>
      </c>
      <c r="I27" s="1189">
        <f t="shared" si="5"/>
        <v>0</v>
      </c>
      <c r="J27" s="1189">
        <f t="shared" si="6"/>
        <v>0</v>
      </c>
      <c r="K27" s="1189">
        <f t="shared" si="7"/>
        <v>0</v>
      </c>
      <c r="L27" s="1189">
        <f t="shared" si="8"/>
        <v>0</v>
      </c>
      <c r="M27" s="1189">
        <f t="shared" si="9"/>
        <v>0</v>
      </c>
      <c r="N27" s="1189">
        <f t="shared" si="10"/>
        <v>0</v>
      </c>
      <c r="O27" s="1189">
        <f t="shared" si="11"/>
        <v>0</v>
      </c>
      <c r="P27" s="1189">
        <f t="shared" si="12"/>
        <v>0</v>
      </c>
      <c r="Q27" s="1189">
        <f t="shared" si="13"/>
        <v>0</v>
      </c>
      <c r="R27" s="1189">
        <f t="shared" si="14"/>
        <v>0</v>
      </c>
      <c r="S27" s="1190" t="e">
        <f>VLOOKUP(A27,#REF!,4,FALSE)</f>
        <v>#REF!</v>
      </c>
      <c r="T27" s="1191">
        <f t="shared" si="16"/>
        <v>0</v>
      </c>
      <c r="U27" s="1191"/>
    </row>
    <row r="28" spans="1:21" ht="18" customHeight="1">
      <c r="A28" s="194" t="e">
        <f>#REF!</f>
        <v>#REF!</v>
      </c>
      <c r="B28" s="1187" t="e">
        <f>VLOOKUP($A28,#REF!,2,FALSE)</f>
        <v>#REF!</v>
      </c>
      <c r="C28" s="1188" t="e">
        <f>VLOOKUP($A28,#REF!,3,FALSE)</f>
        <v>#REF!</v>
      </c>
      <c r="D28" s="1189">
        <f t="shared" si="0"/>
        <v>0</v>
      </c>
      <c r="E28" s="1242">
        <f t="shared" si="1"/>
        <v>0</v>
      </c>
      <c r="F28" s="1189">
        <f t="shared" si="2"/>
        <v>0</v>
      </c>
      <c r="G28" s="1189">
        <f t="shared" si="3"/>
        <v>0</v>
      </c>
      <c r="H28" s="1189">
        <f t="shared" si="4"/>
        <v>0</v>
      </c>
      <c r="I28" s="1189">
        <f t="shared" si="5"/>
        <v>0</v>
      </c>
      <c r="J28" s="1189">
        <f t="shared" si="6"/>
        <v>0</v>
      </c>
      <c r="K28" s="1189">
        <f t="shared" si="7"/>
        <v>0</v>
      </c>
      <c r="L28" s="1189">
        <f t="shared" si="8"/>
        <v>0</v>
      </c>
      <c r="M28" s="1189">
        <f t="shared" si="9"/>
        <v>0</v>
      </c>
      <c r="N28" s="1189">
        <f t="shared" si="10"/>
        <v>0</v>
      </c>
      <c r="O28" s="1189">
        <f t="shared" si="11"/>
        <v>0</v>
      </c>
      <c r="P28" s="1189">
        <f t="shared" si="12"/>
        <v>0</v>
      </c>
      <c r="Q28" s="1189">
        <f t="shared" si="13"/>
        <v>0</v>
      </c>
      <c r="R28" s="1189">
        <f t="shared" si="14"/>
        <v>0</v>
      </c>
      <c r="S28" s="1190" t="e">
        <f>VLOOKUP(A28,#REF!,4,FALSE)</f>
        <v>#REF!</v>
      </c>
      <c r="T28" s="1191">
        <f t="shared" si="16"/>
        <v>0</v>
      </c>
      <c r="U28" s="1191"/>
    </row>
    <row r="29" spans="1:21" ht="18" customHeight="1">
      <c r="A29" s="194" t="e">
        <f>#REF!</f>
        <v>#REF!</v>
      </c>
      <c r="B29" s="1187" t="e">
        <f>VLOOKUP($A29,#REF!,2,FALSE)</f>
        <v>#REF!</v>
      </c>
      <c r="C29" s="1188" t="e">
        <f>VLOOKUP($A29,#REF!,3,FALSE)</f>
        <v>#REF!</v>
      </c>
      <c r="D29" s="1189">
        <f t="shared" si="0"/>
        <v>0</v>
      </c>
      <c r="E29" s="1242">
        <f t="shared" si="1"/>
        <v>0</v>
      </c>
      <c r="F29" s="1189">
        <f t="shared" si="2"/>
        <v>0</v>
      </c>
      <c r="G29" s="1189">
        <f t="shared" si="3"/>
        <v>0</v>
      </c>
      <c r="H29" s="1189">
        <f t="shared" si="4"/>
        <v>0</v>
      </c>
      <c r="I29" s="1189">
        <f t="shared" si="5"/>
        <v>0</v>
      </c>
      <c r="J29" s="1189">
        <f t="shared" si="6"/>
        <v>0</v>
      </c>
      <c r="K29" s="1189">
        <f t="shared" si="7"/>
        <v>0</v>
      </c>
      <c r="L29" s="1189">
        <f t="shared" si="8"/>
        <v>0</v>
      </c>
      <c r="M29" s="1189">
        <f t="shared" si="9"/>
        <v>0</v>
      </c>
      <c r="N29" s="1189">
        <f t="shared" si="10"/>
        <v>0</v>
      </c>
      <c r="O29" s="1189">
        <f t="shared" si="11"/>
        <v>0</v>
      </c>
      <c r="P29" s="1189">
        <f t="shared" si="12"/>
        <v>0</v>
      </c>
      <c r="Q29" s="1189">
        <f t="shared" si="13"/>
        <v>0</v>
      </c>
      <c r="R29" s="1189">
        <f t="shared" si="14"/>
        <v>0</v>
      </c>
      <c r="S29" s="1190" t="e">
        <f>VLOOKUP(A29,#REF!,4,FALSE)</f>
        <v>#REF!</v>
      </c>
      <c r="T29" s="1191">
        <f t="shared" si="16"/>
        <v>0</v>
      </c>
      <c r="U29" s="1191"/>
    </row>
    <row r="30" spans="1:21" ht="18" customHeight="1">
      <c r="A30" s="194" t="e">
        <f>#REF!</f>
        <v>#REF!</v>
      </c>
      <c r="B30" s="1187" t="e">
        <f>VLOOKUP($A30,#REF!,2,FALSE)</f>
        <v>#REF!</v>
      </c>
      <c r="C30" s="1188" t="e">
        <f>VLOOKUP($A30,#REF!,3,FALSE)</f>
        <v>#REF!</v>
      </c>
      <c r="D30" s="1189">
        <f t="shared" si="0"/>
        <v>0</v>
      </c>
      <c r="E30" s="1242">
        <f t="shared" si="1"/>
        <v>0</v>
      </c>
      <c r="F30" s="1189">
        <f t="shared" si="2"/>
        <v>0</v>
      </c>
      <c r="G30" s="1189">
        <f t="shared" si="3"/>
        <v>0</v>
      </c>
      <c r="H30" s="1189">
        <f t="shared" si="4"/>
        <v>0</v>
      </c>
      <c r="I30" s="1189">
        <f t="shared" si="5"/>
        <v>0</v>
      </c>
      <c r="J30" s="1189">
        <f t="shared" si="6"/>
        <v>0</v>
      </c>
      <c r="K30" s="1189">
        <f t="shared" si="7"/>
        <v>0</v>
      </c>
      <c r="L30" s="1189">
        <f t="shared" si="8"/>
        <v>0</v>
      </c>
      <c r="M30" s="1189">
        <f t="shared" si="9"/>
        <v>0</v>
      </c>
      <c r="N30" s="1189">
        <f t="shared" si="10"/>
        <v>0</v>
      </c>
      <c r="O30" s="1189">
        <f t="shared" si="11"/>
        <v>0</v>
      </c>
      <c r="P30" s="1189">
        <f t="shared" si="12"/>
        <v>0</v>
      </c>
      <c r="Q30" s="1189">
        <f t="shared" si="13"/>
        <v>0</v>
      </c>
      <c r="R30" s="1189">
        <f t="shared" si="14"/>
        <v>0</v>
      </c>
      <c r="S30" s="1190" t="e">
        <f>VLOOKUP(A30,#REF!,4,FALSE)</f>
        <v>#REF!</v>
      </c>
      <c r="T30" s="1191">
        <f t="shared" si="16"/>
        <v>0</v>
      </c>
      <c r="U30" s="1191"/>
    </row>
    <row r="31" spans="1:21" ht="18" customHeight="1">
      <c r="A31" s="194" t="e">
        <f>#REF!</f>
        <v>#REF!</v>
      </c>
      <c r="B31" s="1187" t="e">
        <f>VLOOKUP($A31,#REF!,2,FALSE)</f>
        <v>#REF!</v>
      </c>
      <c r="C31" s="1188" t="e">
        <f>VLOOKUP($A31,#REF!,3,FALSE)</f>
        <v>#REF!</v>
      </c>
      <c r="D31" s="1189">
        <f t="shared" si="0"/>
        <v>0</v>
      </c>
      <c r="E31" s="1242">
        <f t="shared" si="1"/>
        <v>0</v>
      </c>
      <c r="F31" s="1189">
        <f t="shared" si="2"/>
        <v>0</v>
      </c>
      <c r="G31" s="1189">
        <f t="shared" si="3"/>
        <v>0</v>
      </c>
      <c r="H31" s="1189">
        <f t="shared" si="4"/>
        <v>0</v>
      </c>
      <c r="I31" s="1189">
        <f t="shared" si="5"/>
        <v>0</v>
      </c>
      <c r="J31" s="1189">
        <f t="shared" si="6"/>
        <v>0</v>
      </c>
      <c r="K31" s="1189">
        <f t="shared" si="7"/>
        <v>0</v>
      </c>
      <c r="L31" s="1189">
        <f t="shared" si="8"/>
        <v>0</v>
      </c>
      <c r="M31" s="1189">
        <f t="shared" si="9"/>
        <v>0</v>
      </c>
      <c r="N31" s="1189">
        <f t="shared" si="10"/>
        <v>0</v>
      </c>
      <c r="O31" s="1189">
        <f t="shared" si="11"/>
        <v>0</v>
      </c>
      <c r="P31" s="1189">
        <f t="shared" si="12"/>
        <v>0</v>
      </c>
      <c r="Q31" s="1189">
        <f t="shared" si="13"/>
        <v>0</v>
      </c>
      <c r="R31" s="1189">
        <f t="shared" si="14"/>
        <v>0</v>
      </c>
      <c r="S31" s="1190" t="e">
        <f>VLOOKUP(A31,#REF!,4,FALSE)</f>
        <v>#REF!</v>
      </c>
      <c r="T31" s="1191">
        <f t="shared" si="16"/>
        <v>0</v>
      </c>
      <c r="U31" s="1194"/>
    </row>
    <row r="32" spans="1:21" ht="18" customHeight="1">
      <c r="A32" s="194" t="e">
        <f>#REF!</f>
        <v>#REF!</v>
      </c>
      <c r="B32" s="1187" t="e">
        <f>VLOOKUP($A32,#REF!,2,FALSE)</f>
        <v>#REF!</v>
      </c>
      <c r="C32" s="1188" t="e">
        <f>VLOOKUP($A32,#REF!,3,FALSE)</f>
        <v>#REF!</v>
      </c>
      <c r="D32" s="1189">
        <f t="shared" si="0"/>
        <v>0</v>
      </c>
      <c r="E32" s="1242">
        <f t="shared" si="1"/>
        <v>0</v>
      </c>
      <c r="F32" s="1189">
        <f t="shared" si="2"/>
        <v>0</v>
      </c>
      <c r="G32" s="1189">
        <f t="shared" si="3"/>
        <v>0</v>
      </c>
      <c r="H32" s="1189">
        <f t="shared" si="4"/>
        <v>0</v>
      </c>
      <c r="I32" s="1189">
        <f t="shared" si="5"/>
        <v>0</v>
      </c>
      <c r="J32" s="1189">
        <f t="shared" si="6"/>
        <v>0</v>
      </c>
      <c r="K32" s="1189">
        <f t="shared" si="7"/>
        <v>0</v>
      </c>
      <c r="L32" s="1189">
        <f t="shared" si="8"/>
        <v>0</v>
      </c>
      <c r="M32" s="1189">
        <f t="shared" si="9"/>
        <v>0</v>
      </c>
      <c r="N32" s="1189">
        <f t="shared" si="10"/>
        <v>0</v>
      </c>
      <c r="O32" s="1189">
        <f t="shared" si="11"/>
        <v>0</v>
      </c>
      <c r="P32" s="1189">
        <f t="shared" si="12"/>
        <v>0</v>
      </c>
      <c r="Q32" s="1189">
        <f t="shared" si="13"/>
        <v>0</v>
      </c>
      <c r="R32" s="1189">
        <f t="shared" si="14"/>
        <v>0</v>
      </c>
      <c r="S32" s="1190" t="e">
        <f>VLOOKUP(A32,#REF!,4,FALSE)</f>
        <v>#REF!</v>
      </c>
      <c r="T32" s="1191">
        <f t="shared" si="16"/>
        <v>0</v>
      </c>
      <c r="U32" s="1194"/>
    </row>
    <row r="33" spans="1:21" ht="18" customHeight="1">
      <c r="A33" s="194" t="e">
        <f>#REF!</f>
        <v>#REF!</v>
      </c>
      <c r="B33" s="1187" t="e">
        <f>VLOOKUP($A33,#REF!,2,FALSE)</f>
        <v>#REF!</v>
      </c>
      <c r="C33" s="1188" t="e">
        <f>VLOOKUP($A33,#REF!,3,FALSE)</f>
        <v>#REF!</v>
      </c>
      <c r="D33" s="1189">
        <f t="shared" si="0"/>
        <v>0</v>
      </c>
      <c r="E33" s="1242">
        <f t="shared" si="1"/>
        <v>0</v>
      </c>
      <c r="F33" s="1189">
        <f t="shared" si="2"/>
        <v>0</v>
      </c>
      <c r="G33" s="1189">
        <f t="shared" si="3"/>
        <v>0</v>
      </c>
      <c r="H33" s="1189">
        <f t="shared" si="4"/>
        <v>0</v>
      </c>
      <c r="I33" s="1189">
        <f t="shared" si="5"/>
        <v>0</v>
      </c>
      <c r="J33" s="1189">
        <f t="shared" si="6"/>
        <v>0</v>
      </c>
      <c r="K33" s="1189">
        <f t="shared" si="7"/>
        <v>0</v>
      </c>
      <c r="L33" s="1189">
        <f t="shared" si="8"/>
        <v>0</v>
      </c>
      <c r="M33" s="1189">
        <f t="shared" si="9"/>
        <v>0</v>
      </c>
      <c r="N33" s="1189">
        <f t="shared" si="10"/>
        <v>0</v>
      </c>
      <c r="O33" s="1189">
        <f t="shared" si="11"/>
        <v>0</v>
      </c>
      <c r="P33" s="1189">
        <f t="shared" si="12"/>
        <v>0</v>
      </c>
      <c r="Q33" s="1189">
        <f t="shared" si="13"/>
        <v>0</v>
      </c>
      <c r="R33" s="1189">
        <f t="shared" si="14"/>
        <v>0</v>
      </c>
      <c r="S33" s="1190" t="e">
        <f>VLOOKUP(A33,#REF!,4,FALSE)</f>
        <v>#REF!</v>
      </c>
      <c r="T33" s="1191">
        <f t="shared" si="16"/>
        <v>0</v>
      </c>
      <c r="U33" s="1191"/>
    </row>
    <row r="34" spans="1:21" ht="18" customHeight="1">
      <c r="A34" s="194" t="e">
        <f>#REF!</f>
        <v>#REF!</v>
      </c>
      <c r="B34" s="1187" t="e">
        <f>VLOOKUP($A34,#REF!,2,FALSE)</f>
        <v>#REF!</v>
      </c>
      <c r="C34" s="1188" t="e">
        <f>VLOOKUP($A34,#REF!,3,FALSE)</f>
        <v>#REF!</v>
      </c>
      <c r="D34" s="1189">
        <f t="shared" si="0"/>
        <v>0</v>
      </c>
      <c r="E34" s="1242">
        <f t="shared" si="1"/>
        <v>0</v>
      </c>
      <c r="F34" s="1189">
        <f t="shared" si="2"/>
        <v>0</v>
      </c>
      <c r="G34" s="1189">
        <f t="shared" si="3"/>
        <v>0</v>
      </c>
      <c r="H34" s="1189">
        <f t="shared" si="4"/>
        <v>0</v>
      </c>
      <c r="I34" s="1189">
        <f t="shared" si="5"/>
        <v>0</v>
      </c>
      <c r="J34" s="1189">
        <f t="shared" si="6"/>
        <v>0</v>
      </c>
      <c r="K34" s="1189">
        <f t="shared" si="7"/>
        <v>0</v>
      </c>
      <c r="L34" s="1189">
        <f t="shared" si="8"/>
        <v>0</v>
      </c>
      <c r="M34" s="1189">
        <f t="shared" si="9"/>
        <v>0</v>
      </c>
      <c r="N34" s="1189">
        <f t="shared" si="10"/>
        <v>0</v>
      </c>
      <c r="O34" s="1189">
        <f t="shared" si="11"/>
        <v>0</v>
      </c>
      <c r="P34" s="1189">
        <f t="shared" si="12"/>
        <v>0</v>
      </c>
      <c r="Q34" s="1189">
        <f t="shared" si="13"/>
        <v>0</v>
      </c>
      <c r="R34" s="1189">
        <f t="shared" si="14"/>
        <v>0</v>
      </c>
      <c r="S34" s="1190" t="e">
        <f>VLOOKUP(A34,#REF!,4,FALSE)</f>
        <v>#REF!</v>
      </c>
      <c r="T34" s="1191">
        <f t="shared" si="16"/>
        <v>0</v>
      </c>
      <c r="U34" s="1191"/>
    </row>
    <row r="35" spans="1:21" ht="18" customHeight="1">
      <c r="A35" s="194" t="e">
        <f>#REF!</f>
        <v>#REF!</v>
      </c>
      <c r="B35" s="1187" t="e">
        <f>VLOOKUP($A35,#REF!,2,FALSE)</f>
        <v>#REF!</v>
      </c>
      <c r="C35" s="1188" t="e">
        <f>VLOOKUP($A35,#REF!,3,FALSE)</f>
        <v>#REF!</v>
      </c>
      <c r="D35" s="1189">
        <f>INT(IF(ISERROR(VLOOKUP($A35,신호등01,6,FALSE)),0,VLOOKUP($A35,신호등01,6,FALSE)))</f>
        <v>0</v>
      </c>
      <c r="E35" s="1242">
        <f>INT(IF(ISERROR(VLOOKUP($A35,신호등02,6,FALSE)),0,VLOOKUP($A35,신호등02,6,FALSE)))</f>
        <v>0</v>
      </c>
      <c r="F35" s="1189">
        <f>INT(IF(ISERROR(VLOOKUP($A35,신호등03,6,FALSE)),0,VLOOKUP($A35,신호등03,6,FALSE)))</f>
        <v>0</v>
      </c>
      <c r="G35" s="1189">
        <f>INT(IF(ISERROR(VLOOKUP($A35,신호등04,6,FALSE)),0,VLOOKUP($A35,신호등04,6,FALSE)))</f>
        <v>0</v>
      </c>
      <c r="H35" s="1189">
        <f>INT(IF(ISERROR(VLOOKUP($A35,신호등05,6,FALSE)),0,VLOOKUP($A35,신호등05,6,FALSE)))</f>
        <v>0</v>
      </c>
      <c r="I35" s="1189">
        <f>INT(IF(ISERROR(VLOOKUP($A35,신호등06,6,FALSE)),0,VLOOKUP($A35,신호등06,6,FALSE)))</f>
        <v>0</v>
      </c>
      <c r="J35" s="1189">
        <f>INT(IF(ISERROR(VLOOKUP($A35,신호등07,6,FALSE)),0,VLOOKUP($A35,신호등07,6,FALSE)))</f>
        <v>0</v>
      </c>
      <c r="K35" s="1189">
        <f>INT(IF(ISERROR(VLOOKUP($A35,신호등08,6,FALSE)),0,VLOOKUP($A35,신호등08,6,FALSE)))</f>
        <v>0</v>
      </c>
      <c r="L35" s="1189">
        <f>INT(IF(ISERROR(VLOOKUP($A35,신호등09,6,FALSE)),0,VLOOKUP($A35,신호등09,6,FALSE)))</f>
        <v>0</v>
      </c>
      <c r="M35" s="1189">
        <f>INT(IF(ISERROR(VLOOKUP($A35,신호등10,6,FALSE)),0,VLOOKUP($A35,신호등10,6,FALSE)))</f>
        <v>0</v>
      </c>
      <c r="N35" s="1189">
        <f>INT(IF(ISERROR(VLOOKUP($A35,신호등11,6,FALSE)),0,VLOOKUP($A35,신호등11,6,FALSE)))</f>
        <v>0</v>
      </c>
      <c r="O35" s="1189">
        <f>INT(IF(ISERROR(VLOOKUP($A35,신호등12,6,FALSE)),0,VLOOKUP($A35,신호등12,6,FALSE)))</f>
        <v>0</v>
      </c>
      <c r="P35" s="1189">
        <f>INT(IF(ISERROR(VLOOKUP($A35,신호등13,6,FALSE)),0,VLOOKUP($A35,신호등13,6,FALSE)))</f>
        <v>0</v>
      </c>
      <c r="Q35" s="1189">
        <f>INT(IF(ISERROR(VLOOKUP($A35,신호등14,6,FALSE)),0,VLOOKUP($A35,신호등14,6,FALSE)))</f>
        <v>0</v>
      </c>
      <c r="R35" s="1189">
        <f>INT(IF(ISERROR(VLOOKUP($A35,신호등15,6,FALSE)),0,VLOOKUP($A35,신호등15,6,FALSE)))</f>
        <v>0</v>
      </c>
      <c r="S35" s="1190" t="e">
        <f>VLOOKUP(A35,#REF!,4,FALSE)</f>
        <v>#REF!</v>
      </c>
      <c r="T35" s="1191">
        <f>SUM(D35:R35)</f>
        <v>0</v>
      </c>
      <c r="U35" s="1191"/>
    </row>
    <row r="36" spans="1:21" ht="18" customHeight="1">
      <c r="A36" s="194" t="e">
        <f>#REF!</f>
        <v>#REF!</v>
      </c>
      <c r="B36" s="1187" t="e">
        <f>VLOOKUP($A36,#REF!,2,FALSE)</f>
        <v>#REF!</v>
      </c>
      <c r="C36" s="1188" t="e">
        <f>VLOOKUP($A36,#REF!,3,FALSE)</f>
        <v>#REF!</v>
      </c>
      <c r="D36" s="1189">
        <f>INT(IF(ISERROR(VLOOKUP($A36,신호등01,6,FALSE)),0,VLOOKUP($A36,신호등01,6,FALSE)))</f>
        <v>0</v>
      </c>
      <c r="E36" s="1242">
        <f>INT(IF(ISERROR(VLOOKUP($A36,신호등02,6,FALSE)),0,VLOOKUP($A36,신호등02,6,FALSE)))</f>
        <v>0</v>
      </c>
      <c r="F36" s="1189">
        <f>INT(IF(ISERROR(VLOOKUP($A36,신호등03,6,FALSE)),0,VLOOKUP($A36,신호등03,6,FALSE)))</f>
        <v>0</v>
      </c>
      <c r="G36" s="1189">
        <f>INT(IF(ISERROR(VLOOKUP($A36,신호등04,6,FALSE)),0,VLOOKUP($A36,신호등04,6,FALSE)))</f>
        <v>0</v>
      </c>
      <c r="H36" s="1189">
        <f>INT(IF(ISERROR(VLOOKUP($A36,신호등05,6,FALSE)),0,VLOOKUP($A36,신호등05,6,FALSE)))</f>
        <v>0</v>
      </c>
      <c r="I36" s="1189">
        <f>INT(IF(ISERROR(VLOOKUP($A36,신호등06,6,FALSE)),0,VLOOKUP($A36,신호등06,6,FALSE)))</f>
        <v>0</v>
      </c>
      <c r="J36" s="1189">
        <f>INT(IF(ISERROR(VLOOKUP($A36,신호등07,6,FALSE)),0,VLOOKUP($A36,신호등07,6,FALSE)))</f>
        <v>0</v>
      </c>
      <c r="K36" s="1189">
        <f>INT(IF(ISERROR(VLOOKUP($A36,신호등08,6,FALSE)),0,VLOOKUP($A36,신호등08,6,FALSE)))</f>
        <v>0</v>
      </c>
      <c r="L36" s="1189">
        <f>INT(IF(ISERROR(VLOOKUP($A36,신호등09,6,FALSE)),0,VLOOKUP($A36,신호등09,6,FALSE)))</f>
        <v>0</v>
      </c>
      <c r="M36" s="1189">
        <f>INT(IF(ISERROR(VLOOKUP($A36,신호등10,6,FALSE)),0,VLOOKUP($A36,신호등10,6,FALSE)))</f>
        <v>0</v>
      </c>
      <c r="N36" s="1189">
        <f>INT(IF(ISERROR(VLOOKUP($A36,신호등11,6,FALSE)),0,VLOOKUP($A36,신호등11,6,FALSE)))</f>
        <v>0</v>
      </c>
      <c r="O36" s="1189">
        <f>INT(IF(ISERROR(VLOOKUP($A36,신호등12,6,FALSE)),0,VLOOKUP($A36,신호등12,6,FALSE)))</f>
        <v>0</v>
      </c>
      <c r="P36" s="1189">
        <f>INT(IF(ISERROR(VLOOKUP($A36,신호등13,6,FALSE)),0,VLOOKUP($A36,신호등13,6,FALSE)))</f>
        <v>0</v>
      </c>
      <c r="Q36" s="1189">
        <f>INT(IF(ISERROR(VLOOKUP($A36,신호등14,6,FALSE)),0,VLOOKUP($A36,신호등14,6,FALSE)))</f>
        <v>0</v>
      </c>
      <c r="R36" s="1189">
        <f>INT(IF(ISERROR(VLOOKUP($A36,신호등15,6,FALSE)),0,VLOOKUP($A36,신호등15,6,FALSE)))</f>
        <v>0</v>
      </c>
      <c r="S36" s="1190" t="e">
        <f>VLOOKUP(A36,#REF!,4,FALSE)</f>
        <v>#REF!</v>
      </c>
      <c r="T36" s="1191">
        <f>SUM(D36:R36)</f>
        <v>0</v>
      </c>
      <c r="U36" s="1191"/>
    </row>
    <row r="37" spans="1:21" ht="18" customHeight="1">
      <c r="A37" s="194" t="e">
        <f>#REF!</f>
        <v>#REF!</v>
      </c>
      <c r="B37" s="1187" t="e">
        <f>VLOOKUP($A37,#REF!,2,FALSE)</f>
        <v>#REF!</v>
      </c>
      <c r="C37" s="1188" t="e">
        <f>VLOOKUP($A37,#REF!,3,FALSE)</f>
        <v>#REF!</v>
      </c>
      <c r="D37" s="1189">
        <f>INT(IF(ISERROR(VLOOKUP($A37,신호등01,6,FALSE)),0,VLOOKUP($A37,신호등01,6,FALSE)))</f>
        <v>0</v>
      </c>
      <c r="E37" s="1242">
        <f>INT(IF(ISERROR(VLOOKUP($A37,신호등02,6,FALSE)),0,VLOOKUP($A37,신호등02,6,FALSE)))</f>
        <v>0</v>
      </c>
      <c r="F37" s="1189">
        <f>INT(IF(ISERROR(VLOOKUP($A37,신호등03,6,FALSE)),0,VLOOKUP($A37,신호등03,6,FALSE)))</f>
        <v>0</v>
      </c>
      <c r="G37" s="1189">
        <f>INT(IF(ISERROR(VLOOKUP($A37,신호등04,6,FALSE)),0,VLOOKUP($A37,신호등04,6,FALSE)))</f>
        <v>0</v>
      </c>
      <c r="H37" s="1189">
        <f>INT(IF(ISERROR(VLOOKUP($A37,신호등05,6,FALSE)),0,VLOOKUP($A37,신호등05,6,FALSE)))</f>
        <v>0</v>
      </c>
      <c r="I37" s="1189">
        <f>INT(IF(ISERROR(VLOOKUP($A37,신호등06,6,FALSE)),0,VLOOKUP($A37,신호등06,6,FALSE)))</f>
        <v>0</v>
      </c>
      <c r="J37" s="1189">
        <f>INT(IF(ISERROR(VLOOKUP($A37,신호등07,6,FALSE)),0,VLOOKUP($A37,신호등07,6,FALSE)))</f>
        <v>0</v>
      </c>
      <c r="K37" s="1189">
        <f>INT(IF(ISERROR(VLOOKUP($A37,신호등08,6,FALSE)),0,VLOOKUP($A37,신호등08,6,FALSE)))</f>
        <v>0</v>
      </c>
      <c r="L37" s="1189">
        <f>INT(IF(ISERROR(VLOOKUP($A37,신호등09,6,FALSE)),0,VLOOKUP($A37,신호등09,6,FALSE)))</f>
        <v>0</v>
      </c>
      <c r="M37" s="1189">
        <f>INT(IF(ISERROR(VLOOKUP($A37,신호등10,6,FALSE)),0,VLOOKUP($A37,신호등10,6,FALSE)))</f>
        <v>0</v>
      </c>
      <c r="N37" s="1189">
        <f>INT(IF(ISERROR(VLOOKUP($A37,신호등11,6,FALSE)),0,VLOOKUP($A37,신호등11,6,FALSE)))</f>
        <v>0</v>
      </c>
      <c r="O37" s="1189">
        <f>INT(IF(ISERROR(VLOOKUP($A37,신호등12,6,FALSE)),0,VLOOKUP($A37,신호등12,6,FALSE)))</f>
        <v>0</v>
      </c>
      <c r="P37" s="1189">
        <f>INT(IF(ISERROR(VLOOKUP($A37,신호등13,6,FALSE)),0,VLOOKUP($A37,신호등13,6,FALSE)))</f>
        <v>0</v>
      </c>
      <c r="Q37" s="1189">
        <f>INT(IF(ISERROR(VLOOKUP($A37,신호등14,6,FALSE)),0,VLOOKUP($A37,신호등14,6,FALSE)))</f>
        <v>0</v>
      </c>
      <c r="R37" s="1189">
        <f>INT(IF(ISERROR(VLOOKUP($A37,신호등15,6,FALSE)),0,VLOOKUP($A37,신호등15,6,FALSE)))</f>
        <v>0</v>
      </c>
      <c r="S37" s="1190" t="e">
        <f>VLOOKUP(A37,#REF!,4,FALSE)</f>
        <v>#REF!</v>
      </c>
      <c r="T37" s="1191">
        <f>SUM(D37:R37)</f>
        <v>0</v>
      </c>
      <c r="U37" s="1191"/>
    </row>
    <row r="38" spans="1:21" ht="18" customHeight="1">
      <c r="A38" s="194" t="e">
        <f>#REF!</f>
        <v>#REF!</v>
      </c>
      <c r="B38" s="1187" t="e">
        <f>VLOOKUP($A38,#REF!,2,FALSE)</f>
        <v>#REF!</v>
      </c>
      <c r="C38" s="1188" t="e">
        <f>VLOOKUP($A38,#REF!,3,FALSE)</f>
        <v>#REF!</v>
      </c>
      <c r="D38" s="1189">
        <f t="shared" si="0"/>
        <v>0</v>
      </c>
      <c r="E38" s="1242">
        <f t="shared" si="1"/>
        <v>0</v>
      </c>
      <c r="F38" s="1189">
        <f t="shared" si="2"/>
        <v>0</v>
      </c>
      <c r="G38" s="1189">
        <f t="shared" si="3"/>
        <v>0</v>
      </c>
      <c r="H38" s="1189">
        <f t="shared" si="4"/>
        <v>0</v>
      </c>
      <c r="I38" s="1189">
        <f t="shared" si="5"/>
        <v>0</v>
      </c>
      <c r="J38" s="1189">
        <f t="shared" si="6"/>
        <v>0</v>
      </c>
      <c r="K38" s="1189">
        <f t="shared" si="7"/>
        <v>0</v>
      </c>
      <c r="L38" s="1189">
        <f t="shared" ref="L38:L47" si="17">INT(IF(ISERROR(VLOOKUP($A38,신호등09,6,FALSE)),0,VLOOKUP($A38,신호등09,6,FALSE)))</f>
        <v>0</v>
      </c>
      <c r="M38" s="1189">
        <f t="shared" si="9"/>
        <v>0</v>
      </c>
      <c r="N38" s="1189">
        <f t="shared" si="10"/>
        <v>0</v>
      </c>
      <c r="O38" s="1189">
        <f t="shared" si="11"/>
        <v>0</v>
      </c>
      <c r="P38" s="1189">
        <f t="shared" si="12"/>
        <v>0</v>
      </c>
      <c r="Q38" s="1189">
        <f t="shared" si="13"/>
        <v>0</v>
      </c>
      <c r="R38" s="1189">
        <f t="shared" si="14"/>
        <v>0</v>
      </c>
      <c r="S38" s="1190" t="e">
        <f>VLOOKUP(A38,#REF!,4,FALSE)</f>
        <v>#REF!</v>
      </c>
      <c r="T38" s="1191">
        <f t="shared" si="16"/>
        <v>0</v>
      </c>
      <c r="U38" s="1191"/>
    </row>
    <row r="39" spans="1:21" ht="18" customHeight="1">
      <c r="A39" s="194" t="e">
        <f>#REF!</f>
        <v>#REF!</v>
      </c>
      <c r="B39" s="1187" t="e">
        <f>VLOOKUP($A39,#REF!,2,FALSE)</f>
        <v>#REF!</v>
      </c>
      <c r="C39" s="1188" t="e">
        <f>VLOOKUP($A39,#REF!,3,FALSE)</f>
        <v>#REF!</v>
      </c>
      <c r="D39" s="1189">
        <f t="shared" si="0"/>
        <v>0</v>
      </c>
      <c r="E39" s="1242">
        <f t="shared" si="1"/>
        <v>0</v>
      </c>
      <c r="F39" s="1189">
        <f t="shared" si="2"/>
        <v>0</v>
      </c>
      <c r="G39" s="1189">
        <f t="shared" si="3"/>
        <v>0</v>
      </c>
      <c r="H39" s="1189">
        <f t="shared" si="4"/>
        <v>0</v>
      </c>
      <c r="I39" s="1189">
        <f t="shared" si="5"/>
        <v>0</v>
      </c>
      <c r="J39" s="1189">
        <f t="shared" si="6"/>
        <v>0</v>
      </c>
      <c r="K39" s="1189">
        <f t="shared" si="7"/>
        <v>0</v>
      </c>
      <c r="L39" s="1189">
        <f t="shared" si="17"/>
        <v>0</v>
      </c>
      <c r="M39" s="1189">
        <f t="shared" si="9"/>
        <v>0</v>
      </c>
      <c r="N39" s="1189">
        <f t="shared" si="10"/>
        <v>0</v>
      </c>
      <c r="O39" s="1189">
        <f t="shared" si="11"/>
        <v>0</v>
      </c>
      <c r="P39" s="1189">
        <f t="shared" si="12"/>
        <v>0</v>
      </c>
      <c r="Q39" s="1189">
        <f t="shared" si="13"/>
        <v>0</v>
      </c>
      <c r="R39" s="1189">
        <f t="shared" si="14"/>
        <v>0</v>
      </c>
      <c r="S39" s="1190" t="e">
        <f>VLOOKUP(A39,#REF!,4,FALSE)</f>
        <v>#REF!</v>
      </c>
      <c r="T39" s="1191">
        <f t="shared" si="16"/>
        <v>0</v>
      </c>
      <c r="U39" s="1191"/>
    </row>
    <row r="40" spans="1:21" ht="18" customHeight="1">
      <c r="A40" s="194" t="e">
        <f>#REF!</f>
        <v>#REF!</v>
      </c>
      <c r="B40" s="1187" t="e">
        <f>VLOOKUP($A40,#REF!,2,FALSE)</f>
        <v>#REF!</v>
      </c>
      <c r="C40" s="1188" t="e">
        <f>VLOOKUP($A40,#REF!,3,FALSE)</f>
        <v>#REF!</v>
      </c>
      <c r="D40" s="1189">
        <f t="shared" si="0"/>
        <v>0</v>
      </c>
      <c r="E40" s="1242">
        <f t="shared" si="1"/>
        <v>0</v>
      </c>
      <c r="F40" s="1189">
        <f t="shared" si="2"/>
        <v>0</v>
      </c>
      <c r="G40" s="1189">
        <f t="shared" si="3"/>
        <v>0</v>
      </c>
      <c r="H40" s="1189">
        <f t="shared" si="4"/>
        <v>0</v>
      </c>
      <c r="I40" s="1189">
        <f t="shared" si="5"/>
        <v>0</v>
      </c>
      <c r="J40" s="1189">
        <f t="shared" si="6"/>
        <v>0</v>
      </c>
      <c r="K40" s="1189">
        <f t="shared" si="7"/>
        <v>0</v>
      </c>
      <c r="L40" s="1189">
        <f t="shared" si="17"/>
        <v>0</v>
      </c>
      <c r="M40" s="1189">
        <f t="shared" si="9"/>
        <v>0</v>
      </c>
      <c r="N40" s="1189">
        <f t="shared" si="10"/>
        <v>0</v>
      </c>
      <c r="O40" s="1189">
        <f t="shared" si="11"/>
        <v>0</v>
      </c>
      <c r="P40" s="1189">
        <f t="shared" si="12"/>
        <v>0</v>
      </c>
      <c r="Q40" s="1189">
        <f t="shared" si="13"/>
        <v>0</v>
      </c>
      <c r="R40" s="1189">
        <f t="shared" si="14"/>
        <v>0</v>
      </c>
      <c r="S40" s="1190" t="e">
        <f>VLOOKUP(A40,#REF!,4,FALSE)</f>
        <v>#REF!</v>
      </c>
      <c r="T40" s="1191">
        <f t="shared" si="16"/>
        <v>0</v>
      </c>
      <c r="U40" s="1191"/>
    </row>
    <row r="41" spans="1:21" ht="18" customHeight="1">
      <c r="A41" s="194" t="e">
        <f>#REF!</f>
        <v>#REF!</v>
      </c>
      <c r="B41" s="1187" t="e">
        <f>VLOOKUP($A41,#REF!,2,FALSE)</f>
        <v>#REF!</v>
      </c>
      <c r="C41" s="1188" t="e">
        <f>VLOOKUP($A41,#REF!,3,FALSE)</f>
        <v>#REF!</v>
      </c>
      <c r="D41" s="1189">
        <f t="shared" si="0"/>
        <v>0</v>
      </c>
      <c r="E41" s="1242">
        <f t="shared" si="1"/>
        <v>0</v>
      </c>
      <c r="F41" s="1189">
        <f t="shared" si="2"/>
        <v>0</v>
      </c>
      <c r="G41" s="1189">
        <f t="shared" si="3"/>
        <v>0</v>
      </c>
      <c r="H41" s="1189">
        <f t="shared" si="4"/>
        <v>0</v>
      </c>
      <c r="I41" s="1189">
        <f t="shared" si="5"/>
        <v>0</v>
      </c>
      <c r="J41" s="1189">
        <f t="shared" si="6"/>
        <v>0</v>
      </c>
      <c r="K41" s="1189">
        <f t="shared" si="7"/>
        <v>0</v>
      </c>
      <c r="L41" s="1189">
        <f t="shared" si="17"/>
        <v>0</v>
      </c>
      <c r="M41" s="1189">
        <f t="shared" si="9"/>
        <v>0</v>
      </c>
      <c r="N41" s="1189">
        <f t="shared" si="10"/>
        <v>0</v>
      </c>
      <c r="O41" s="1189">
        <f t="shared" si="11"/>
        <v>0</v>
      </c>
      <c r="P41" s="1189">
        <f t="shared" si="12"/>
        <v>0</v>
      </c>
      <c r="Q41" s="1189">
        <f t="shared" si="13"/>
        <v>0</v>
      </c>
      <c r="R41" s="1189">
        <f t="shared" si="14"/>
        <v>0</v>
      </c>
      <c r="S41" s="1190" t="e">
        <f>VLOOKUP(A41,#REF!,4,FALSE)</f>
        <v>#REF!</v>
      </c>
      <c r="T41" s="1191">
        <f t="shared" si="16"/>
        <v>0</v>
      </c>
      <c r="U41" s="1191"/>
    </row>
    <row r="42" spans="1:21" ht="18" customHeight="1">
      <c r="A42" s="194" t="e">
        <f>#REF!</f>
        <v>#REF!</v>
      </c>
      <c r="B42" s="1187" t="e">
        <f>VLOOKUP($A42,#REF!,2,FALSE)</f>
        <v>#REF!</v>
      </c>
      <c r="C42" s="1188" t="e">
        <f>VLOOKUP($A42,#REF!,3,FALSE)</f>
        <v>#REF!</v>
      </c>
      <c r="D42" s="1189">
        <f t="shared" si="0"/>
        <v>0</v>
      </c>
      <c r="E42" s="1242">
        <f t="shared" si="1"/>
        <v>0</v>
      </c>
      <c r="F42" s="1189">
        <f t="shared" si="2"/>
        <v>0</v>
      </c>
      <c r="G42" s="1189">
        <f t="shared" si="3"/>
        <v>0</v>
      </c>
      <c r="H42" s="1189">
        <f t="shared" si="4"/>
        <v>0</v>
      </c>
      <c r="I42" s="1189">
        <f t="shared" si="5"/>
        <v>0</v>
      </c>
      <c r="J42" s="1189">
        <f t="shared" si="6"/>
        <v>0</v>
      </c>
      <c r="K42" s="1189">
        <f t="shared" si="7"/>
        <v>0</v>
      </c>
      <c r="L42" s="1189">
        <f t="shared" si="17"/>
        <v>0</v>
      </c>
      <c r="M42" s="1189">
        <f t="shared" si="9"/>
        <v>0</v>
      </c>
      <c r="N42" s="1189">
        <f t="shared" si="10"/>
        <v>0</v>
      </c>
      <c r="O42" s="1189">
        <f t="shared" si="11"/>
        <v>0</v>
      </c>
      <c r="P42" s="1189">
        <f t="shared" si="12"/>
        <v>0</v>
      </c>
      <c r="Q42" s="1189">
        <f t="shared" si="13"/>
        <v>0</v>
      </c>
      <c r="R42" s="1189">
        <f t="shared" si="14"/>
        <v>0</v>
      </c>
      <c r="S42" s="1190" t="e">
        <f>VLOOKUP(A42,#REF!,4,FALSE)</f>
        <v>#REF!</v>
      </c>
      <c r="T42" s="1191">
        <f t="shared" ref="T42" si="18">SUM(D42:R42)</f>
        <v>0</v>
      </c>
      <c r="U42" s="1191"/>
    </row>
    <row r="43" spans="1:21" ht="18" customHeight="1">
      <c r="A43" s="194" t="e">
        <f>#REF!</f>
        <v>#REF!</v>
      </c>
      <c r="B43" s="1187" t="e">
        <f>VLOOKUP($A43,#REF!,2,FALSE)</f>
        <v>#REF!</v>
      </c>
      <c r="C43" s="1188" t="e">
        <f>VLOOKUP($A43,#REF!,3,FALSE)</f>
        <v>#REF!</v>
      </c>
      <c r="D43" s="1189">
        <f t="shared" si="0"/>
        <v>0</v>
      </c>
      <c r="E43" s="1242">
        <f t="shared" si="1"/>
        <v>0</v>
      </c>
      <c r="F43" s="1189">
        <f t="shared" si="2"/>
        <v>0</v>
      </c>
      <c r="G43" s="1189">
        <f t="shared" si="3"/>
        <v>0</v>
      </c>
      <c r="H43" s="1189">
        <f t="shared" si="4"/>
        <v>0</v>
      </c>
      <c r="I43" s="1189">
        <f t="shared" si="5"/>
        <v>0</v>
      </c>
      <c r="J43" s="1189">
        <f t="shared" si="6"/>
        <v>0</v>
      </c>
      <c r="K43" s="1189">
        <f t="shared" si="7"/>
        <v>0</v>
      </c>
      <c r="L43" s="1189">
        <f t="shared" si="17"/>
        <v>0</v>
      </c>
      <c r="M43" s="1189">
        <f t="shared" si="9"/>
        <v>0</v>
      </c>
      <c r="N43" s="1189">
        <f t="shared" si="10"/>
        <v>0</v>
      </c>
      <c r="O43" s="1189">
        <f t="shared" si="11"/>
        <v>0</v>
      </c>
      <c r="P43" s="1189">
        <f t="shared" si="12"/>
        <v>0</v>
      </c>
      <c r="Q43" s="1189">
        <f t="shared" si="13"/>
        <v>0</v>
      </c>
      <c r="R43" s="1189">
        <f t="shared" si="14"/>
        <v>0</v>
      </c>
      <c r="S43" s="1190" t="e">
        <f>VLOOKUP(A43,#REF!,4,FALSE)</f>
        <v>#REF!</v>
      </c>
      <c r="T43" s="1191">
        <f t="shared" ref="T43:T44" si="19">SUM(D43:R43)</f>
        <v>0</v>
      </c>
      <c r="U43" s="1191"/>
    </row>
    <row r="44" spans="1:21" ht="18" customHeight="1">
      <c r="A44" s="194" t="e">
        <f>#REF!</f>
        <v>#REF!</v>
      </c>
      <c r="B44" s="1187" t="e">
        <f>VLOOKUP($A44,#REF!,2,FALSE)</f>
        <v>#REF!</v>
      </c>
      <c r="C44" s="1188" t="e">
        <f>VLOOKUP($A44,#REF!,3,FALSE)</f>
        <v>#REF!</v>
      </c>
      <c r="D44" s="1189">
        <f t="shared" si="0"/>
        <v>0</v>
      </c>
      <c r="E44" s="1242">
        <f t="shared" si="1"/>
        <v>0</v>
      </c>
      <c r="F44" s="1189">
        <f t="shared" si="2"/>
        <v>0</v>
      </c>
      <c r="G44" s="1189">
        <f t="shared" si="3"/>
        <v>0</v>
      </c>
      <c r="H44" s="1189">
        <f t="shared" si="4"/>
        <v>0</v>
      </c>
      <c r="I44" s="1189">
        <f t="shared" si="5"/>
        <v>0</v>
      </c>
      <c r="J44" s="1189">
        <f t="shared" si="6"/>
        <v>0</v>
      </c>
      <c r="K44" s="1189">
        <f t="shared" si="7"/>
        <v>0</v>
      </c>
      <c r="L44" s="1189">
        <f t="shared" si="17"/>
        <v>0</v>
      </c>
      <c r="M44" s="1189">
        <f t="shared" si="9"/>
        <v>0</v>
      </c>
      <c r="N44" s="1189">
        <f t="shared" si="10"/>
        <v>0</v>
      </c>
      <c r="O44" s="1189">
        <f t="shared" si="11"/>
        <v>0</v>
      </c>
      <c r="P44" s="1189">
        <f t="shared" si="12"/>
        <v>0</v>
      </c>
      <c r="Q44" s="1189">
        <f t="shared" si="13"/>
        <v>0</v>
      </c>
      <c r="R44" s="1189">
        <f t="shared" si="14"/>
        <v>0</v>
      </c>
      <c r="S44" s="1190" t="e">
        <f>VLOOKUP(A44,#REF!,4,FALSE)</f>
        <v>#REF!</v>
      </c>
      <c r="T44" s="1191">
        <f t="shared" si="19"/>
        <v>0</v>
      </c>
      <c r="U44" s="1191"/>
    </row>
    <row r="45" spans="1:21" ht="18" customHeight="1">
      <c r="A45" s="194" t="e">
        <f>#REF!</f>
        <v>#REF!</v>
      </c>
      <c r="B45" s="1187" t="e">
        <f>VLOOKUP($A45,#REF!,2,FALSE)</f>
        <v>#REF!</v>
      </c>
      <c r="C45" s="1188" t="e">
        <f>VLOOKUP($A45,#REF!,3,FALSE)</f>
        <v>#REF!</v>
      </c>
      <c r="D45" s="1189">
        <f t="shared" si="0"/>
        <v>0</v>
      </c>
      <c r="E45" s="1242">
        <f t="shared" si="1"/>
        <v>0</v>
      </c>
      <c r="F45" s="1189">
        <f t="shared" si="2"/>
        <v>0</v>
      </c>
      <c r="G45" s="1189">
        <f t="shared" si="3"/>
        <v>0</v>
      </c>
      <c r="H45" s="1189">
        <f t="shared" si="4"/>
        <v>0</v>
      </c>
      <c r="I45" s="1189">
        <f t="shared" si="5"/>
        <v>0</v>
      </c>
      <c r="J45" s="1189">
        <f t="shared" si="6"/>
        <v>0</v>
      </c>
      <c r="K45" s="1189">
        <f t="shared" si="7"/>
        <v>0</v>
      </c>
      <c r="L45" s="1189">
        <f t="shared" si="17"/>
        <v>0</v>
      </c>
      <c r="M45" s="1189">
        <f t="shared" si="9"/>
        <v>0</v>
      </c>
      <c r="N45" s="1189">
        <f t="shared" si="10"/>
        <v>0</v>
      </c>
      <c r="O45" s="1189">
        <f t="shared" si="11"/>
        <v>0</v>
      </c>
      <c r="P45" s="1189">
        <f t="shared" si="12"/>
        <v>0</v>
      </c>
      <c r="Q45" s="1189">
        <f t="shared" si="13"/>
        <v>0</v>
      </c>
      <c r="R45" s="1189">
        <f t="shared" si="14"/>
        <v>0</v>
      </c>
      <c r="S45" s="1190" t="e">
        <f>VLOOKUP(A45,#REF!,4,FALSE)</f>
        <v>#REF!</v>
      </c>
      <c r="T45" s="1191">
        <f t="shared" ref="T45:T47" si="20">SUM(D45:R45)</f>
        <v>0</v>
      </c>
      <c r="U45" s="1191"/>
    </row>
    <row r="46" spans="1:21" ht="18" customHeight="1">
      <c r="A46" s="194" t="e">
        <f>#REF!</f>
        <v>#REF!</v>
      </c>
      <c r="B46" s="1187" t="e">
        <f>VLOOKUP($A46,#REF!,2,FALSE)</f>
        <v>#REF!</v>
      </c>
      <c r="C46" s="1188" t="e">
        <f>VLOOKUP($A46,#REF!,3,FALSE)</f>
        <v>#REF!</v>
      </c>
      <c r="D46" s="1189">
        <f t="shared" si="0"/>
        <v>0</v>
      </c>
      <c r="E46" s="1242">
        <f t="shared" si="1"/>
        <v>0</v>
      </c>
      <c r="F46" s="1189">
        <f t="shared" si="2"/>
        <v>0</v>
      </c>
      <c r="G46" s="1189">
        <f t="shared" si="3"/>
        <v>0</v>
      </c>
      <c r="H46" s="1189">
        <f t="shared" si="4"/>
        <v>0</v>
      </c>
      <c r="I46" s="1189">
        <f t="shared" si="5"/>
        <v>0</v>
      </c>
      <c r="J46" s="1189">
        <f t="shared" si="6"/>
        <v>0</v>
      </c>
      <c r="K46" s="1189">
        <f t="shared" si="7"/>
        <v>0</v>
      </c>
      <c r="L46" s="1189">
        <f t="shared" si="17"/>
        <v>0</v>
      </c>
      <c r="M46" s="1189">
        <f t="shared" si="9"/>
        <v>0</v>
      </c>
      <c r="N46" s="1189">
        <f t="shared" si="10"/>
        <v>0</v>
      </c>
      <c r="O46" s="1189">
        <f t="shared" si="11"/>
        <v>0</v>
      </c>
      <c r="P46" s="1189">
        <f t="shared" si="12"/>
        <v>0</v>
      </c>
      <c r="Q46" s="1189">
        <f t="shared" si="13"/>
        <v>0</v>
      </c>
      <c r="R46" s="1189">
        <f t="shared" si="14"/>
        <v>0</v>
      </c>
      <c r="S46" s="1190" t="e">
        <f>VLOOKUP(A46,#REF!,4,FALSE)</f>
        <v>#REF!</v>
      </c>
      <c r="T46" s="1191">
        <f t="shared" si="20"/>
        <v>0</v>
      </c>
      <c r="U46" s="1191"/>
    </row>
    <row r="47" spans="1:21" ht="18" customHeight="1">
      <c r="A47" s="193" t="e">
        <f>#REF!</f>
        <v>#REF!</v>
      </c>
      <c r="B47" s="1187" t="e">
        <f>VLOOKUP($A47,#REF!,2,FALSE)</f>
        <v>#REF!</v>
      </c>
      <c r="C47" s="1188" t="e">
        <f>VLOOKUP($A47,#REF!,3,FALSE)</f>
        <v>#REF!</v>
      </c>
      <c r="D47" s="1189">
        <f t="shared" si="0"/>
        <v>0</v>
      </c>
      <c r="E47" s="1242">
        <f t="shared" si="1"/>
        <v>0</v>
      </c>
      <c r="F47" s="1189">
        <f t="shared" si="2"/>
        <v>0</v>
      </c>
      <c r="G47" s="1189">
        <f t="shared" si="3"/>
        <v>0</v>
      </c>
      <c r="H47" s="1189">
        <f t="shared" si="4"/>
        <v>0</v>
      </c>
      <c r="I47" s="1189">
        <f t="shared" si="5"/>
        <v>0</v>
      </c>
      <c r="J47" s="1189">
        <f t="shared" si="6"/>
        <v>0</v>
      </c>
      <c r="K47" s="1189">
        <f t="shared" si="7"/>
        <v>0</v>
      </c>
      <c r="L47" s="1189">
        <f t="shared" si="17"/>
        <v>0</v>
      </c>
      <c r="M47" s="1189">
        <f t="shared" si="9"/>
        <v>0</v>
      </c>
      <c r="N47" s="1189">
        <f t="shared" si="10"/>
        <v>0</v>
      </c>
      <c r="O47" s="1189">
        <f t="shared" si="11"/>
        <v>0</v>
      </c>
      <c r="P47" s="1189">
        <f t="shared" si="12"/>
        <v>0</v>
      </c>
      <c r="Q47" s="1189">
        <f t="shared" si="13"/>
        <v>0</v>
      </c>
      <c r="R47" s="1189">
        <f t="shared" si="14"/>
        <v>0</v>
      </c>
      <c r="S47" s="1190" t="e">
        <f>VLOOKUP(A47,#REF!,4,FALSE)</f>
        <v>#REF!</v>
      </c>
      <c r="T47" s="1191">
        <f t="shared" si="20"/>
        <v>0</v>
      </c>
      <c r="U47" s="1191"/>
    </row>
    <row r="48" spans="1:21" ht="18" customHeight="1">
      <c r="A48" s="194" t="e">
        <f>#REF!</f>
        <v>#REF!</v>
      </c>
      <c r="B48" s="1187" t="e">
        <f>VLOOKUP($A48,#REF!,2,FALSE)</f>
        <v>#REF!</v>
      </c>
      <c r="C48" s="1188" t="e">
        <f>VLOOKUP($A48,#REF!,3,FALSE)</f>
        <v>#REF!</v>
      </c>
      <c r="D48" s="1189">
        <f>INT(IF(ISERROR(VLOOKUP($A48,신호등01,6,FALSE)),0,VLOOKUP($A48,신호등01,6,FALSE)))</f>
        <v>0</v>
      </c>
      <c r="E48" s="1242">
        <f>INT(IF(ISERROR(VLOOKUP($A48,신호등02,6,FALSE)),0,VLOOKUP($A48,신호등02,6,FALSE)))</f>
        <v>0</v>
      </c>
      <c r="F48" s="1189">
        <f>INT(IF(ISERROR(VLOOKUP($A48,신호등03,6,FALSE)),0,VLOOKUP($A48,신호등03,6,FALSE)))</f>
        <v>0</v>
      </c>
      <c r="G48" s="1189">
        <f>INT(IF(ISERROR(VLOOKUP($A48,신호등04,6,FALSE)),0,VLOOKUP($A48,신호등04,6,FALSE)))</f>
        <v>0</v>
      </c>
      <c r="H48" s="1189">
        <f>INT(IF(ISERROR(VLOOKUP($A48,신호등05,6,FALSE)),0,VLOOKUP($A48,신호등05,6,FALSE)))</f>
        <v>0</v>
      </c>
      <c r="I48" s="1189">
        <f>INT(IF(ISERROR(VLOOKUP($A48,신호등06,6,FALSE)),0,VLOOKUP($A48,신호등06,6,FALSE)))</f>
        <v>0</v>
      </c>
      <c r="J48" s="1189">
        <f>INT(IF(ISERROR(VLOOKUP($A48,신호등07,6,FALSE)),0,VLOOKUP($A48,신호등07,6,FALSE)))</f>
        <v>0</v>
      </c>
      <c r="K48" s="1189">
        <f>INT(IF(ISERROR(VLOOKUP($A48,신호등08,6,FALSE)),0,VLOOKUP($A48,신호등08,6,FALSE)))</f>
        <v>0</v>
      </c>
      <c r="L48" s="1189">
        <f>INT(IF(ISERROR(VLOOKUP($A48,신호등09,6,FALSE)),0,VLOOKUP($A48,신호등09,6,FALSE)))</f>
        <v>0</v>
      </c>
      <c r="M48" s="1189">
        <f>INT(IF(ISERROR(VLOOKUP($A48,신호등10,6,FALSE)),0,VLOOKUP($A48,신호등10,6,FALSE)))</f>
        <v>0</v>
      </c>
      <c r="N48" s="1189">
        <f>INT(IF(ISERROR(VLOOKUP($A48,신호등11,6,FALSE)),0,VLOOKUP($A48,신호등11,6,FALSE)))</f>
        <v>0</v>
      </c>
      <c r="O48" s="1189">
        <f>INT(IF(ISERROR(VLOOKUP($A48,신호등12,6,FALSE)),0,VLOOKUP($A48,신호등12,6,FALSE)))</f>
        <v>0</v>
      </c>
      <c r="P48" s="1189">
        <f>INT(IF(ISERROR(VLOOKUP($A48,신호등13,6,FALSE)),0,VLOOKUP($A48,신호등13,6,FALSE)))</f>
        <v>0</v>
      </c>
      <c r="Q48" s="1189">
        <f>INT(IF(ISERROR(VLOOKUP($A48,신호등14,6,FALSE)),0,VLOOKUP($A48,신호등14,6,FALSE)))</f>
        <v>0</v>
      </c>
      <c r="R48" s="1189">
        <f>INT(IF(ISERROR(VLOOKUP($A48,신호등15,6,FALSE)),0,VLOOKUP($A48,신호등15,6,FALSE)))</f>
        <v>0</v>
      </c>
      <c r="S48" s="1190" t="e">
        <f>VLOOKUP(A48,#REF!,4,FALSE)</f>
        <v>#REF!</v>
      </c>
      <c r="T48" s="1191">
        <f>SUM(D48:R48)</f>
        <v>0</v>
      </c>
      <c r="U48" s="1191"/>
    </row>
    <row r="49" spans="1:21" ht="18" customHeight="1">
      <c r="A49" s="193"/>
      <c r="B49" s="1187"/>
      <c r="C49" s="1188"/>
      <c r="D49" s="1189"/>
      <c r="E49" s="1189"/>
      <c r="F49" s="1189"/>
      <c r="G49" s="1189"/>
      <c r="H49" s="1189"/>
      <c r="I49" s="1189"/>
      <c r="J49" s="1189"/>
      <c r="K49" s="1189"/>
      <c r="L49" s="1189"/>
      <c r="M49" s="1189"/>
      <c r="N49" s="1189"/>
      <c r="O49" s="1189"/>
      <c r="P49" s="1189"/>
      <c r="Q49" s="1189"/>
      <c r="R49" s="1189"/>
      <c r="S49" s="1190"/>
      <c r="T49" s="1191"/>
      <c r="U49" s="1191"/>
    </row>
    <row r="50" spans="1:21" ht="18" customHeight="1">
      <c r="A50" s="194"/>
      <c r="B50" s="1187"/>
      <c r="C50" s="1188"/>
      <c r="D50" s="1189"/>
      <c r="E50" s="1189"/>
      <c r="F50" s="1189"/>
      <c r="G50" s="1189"/>
      <c r="H50" s="1189"/>
      <c r="I50" s="1189"/>
      <c r="J50" s="1189"/>
      <c r="K50" s="1189"/>
      <c r="L50" s="1189"/>
      <c r="M50" s="1189"/>
      <c r="N50" s="1189"/>
      <c r="O50" s="1189"/>
      <c r="P50" s="1189"/>
      <c r="Q50" s="1189"/>
      <c r="R50" s="1189"/>
      <c r="S50" s="1190"/>
      <c r="T50" s="1191"/>
      <c r="U50" s="1191"/>
    </row>
    <row r="51" spans="1:21" ht="18" customHeight="1">
      <c r="A51" s="194"/>
      <c r="B51" s="1187"/>
      <c r="C51" s="1188"/>
      <c r="D51" s="1189"/>
      <c r="E51" s="1189"/>
      <c r="F51" s="1189"/>
      <c r="G51" s="1189"/>
      <c r="H51" s="1189"/>
      <c r="I51" s="1189"/>
      <c r="J51" s="1189"/>
      <c r="K51" s="1189"/>
      <c r="L51" s="1189"/>
      <c r="M51" s="1189"/>
      <c r="N51" s="1189"/>
      <c r="O51" s="1189"/>
      <c r="P51" s="1189"/>
      <c r="Q51" s="1189"/>
      <c r="R51" s="1189"/>
      <c r="S51" s="1190"/>
      <c r="T51" s="1191"/>
      <c r="U51" s="1191"/>
    </row>
    <row r="52" spans="1:21" ht="18" customHeight="1">
      <c r="A52" s="194"/>
      <c r="B52" s="1187"/>
      <c r="C52" s="1188"/>
      <c r="D52" s="1189"/>
      <c r="E52" s="1189"/>
      <c r="F52" s="1189"/>
      <c r="G52" s="1189"/>
      <c r="H52" s="1189"/>
      <c r="I52" s="1189"/>
      <c r="J52" s="1189"/>
      <c r="K52" s="1189"/>
      <c r="L52" s="1189"/>
      <c r="M52" s="1189"/>
      <c r="N52" s="1189"/>
      <c r="O52" s="1189"/>
      <c r="P52" s="1189"/>
      <c r="Q52" s="1189"/>
      <c r="R52" s="1189"/>
      <c r="S52" s="1190"/>
      <c r="T52" s="1191"/>
      <c r="U52" s="1191"/>
    </row>
    <row r="53" spans="1:21" ht="18" customHeight="1">
      <c r="A53" s="194"/>
      <c r="B53" s="1187"/>
      <c r="C53" s="1188"/>
      <c r="D53" s="1189"/>
      <c r="E53" s="1189"/>
      <c r="F53" s="1189"/>
      <c r="G53" s="1189"/>
      <c r="H53" s="1189"/>
      <c r="I53" s="1189"/>
      <c r="J53" s="1189"/>
      <c r="K53" s="1189"/>
      <c r="L53" s="1189"/>
      <c r="M53" s="1189"/>
      <c r="N53" s="1189"/>
      <c r="O53" s="1189"/>
      <c r="P53" s="1189"/>
      <c r="Q53" s="1189"/>
      <c r="R53" s="1189"/>
      <c r="S53" s="1190"/>
      <c r="T53" s="1191"/>
      <c r="U53" s="1191"/>
    </row>
    <row r="54" spans="1:21" ht="18" customHeight="1">
      <c r="A54" s="194"/>
      <c r="B54" s="1187"/>
      <c r="C54" s="1188"/>
      <c r="D54" s="1189"/>
      <c r="E54" s="1189"/>
      <c r="F54" s="1189"/>
      <c r="G54" s="1189"/>
      <c r="H54" s="1189"/>
      <c r="I54" s="1189"/>
      <c r="J54" s="1189"/>
      <c r="K54" s="1189"/>
      <c r="L54" s="1189"/>
      <c r="M54" s="1189"/>
      <c r="N54" s="1189"/>
      <c r="O54" s="1189"/>
      <c r="P54" s="1189"/>
      <c r="Q54" s="1189"/>
      <c r="R54" s="1189"/>
      <c r="S54" s="1190"/>
      <c r="T54" s="1191"/>
      <c r="U54" s="1191"/>
    </row>
    <row r="55" spans="1:21" ht="18" customHeight="1">
      <c r="A55" s="193"/>
      <c r="B55" s="1187"/>
      <c r="C55" s="1188"/>
      <c r="D55" s="1189"/>
      <c r="E55" s="1189"/>
      <c r="F55" s="1189"/>
      <c r="G55" s="1189"/>
      <c r="H55" s="1189"/>
      <c r="I55" s="1189"/>
      <c r="J55" s="1189"/>
      <c r="K55" s="1189"/>
      <c r="L55" s="1189"/>
      <c r="M55" s="1189"/>
      <c r="N55" s="1189"/>
      <c r="O55" s="1189"/>
      <c r="P55" s="1189"/>
      <c r="Q55" s="1189"/>
      <c r="R55" s="1189"/>
      <c r="S55" s="1190"/>
      <c r="T55" s="1191"/>
      <c r="U55" s="1194"/>
    </row>
    <row r="56" spans="1:21" ht="18" customHeight="1">
      <c r="A56" s="193"/>
      <c r="B56" s="1187"/>
      <c r="C56" s="1188"/>
      <c r="D56" s="1189"/>
      <c r="E56" s="1189"/>
      <c r="F56" s="1189"/>
      <c r="G56" s="1189"/>
      <c r="H56" s="1189"/>
      <c r="I56" s="1189"/>
      <c r="J56" s="1189"/>
      <c r="K56" s="1189"/>
      <c r="L56" s="1189"/>
      <c r="M56" s="1189"/>
      <c r="N56" s="1189"/>
      <c r="O56" s="1189"/>
      <c r="P56" s="1189"/>
      <c r="Q56" s="1189"/>
      <c r="R56" s="1189"/>
      <c r="S56" s="1190"/>
      <c r="T56" s="1191"/>
      <c r="U56" s="1194"/>
    </row>
    <row r="57" spans="1:21" ht="18" customHeight="1">
      <c r="A57" s="194"/>
      <c r="B57" s="1187"/>
      <c r="C57" s="1188"/>
      <c r="D57" s="1189"/>
      <c r="E57" s="1189"/>
      <c r="F57" s="1189"/>
      <c r="G57" s="1189"/>
      <c r="H57" s="1189"/>
      <c r="I57" s="1189"/>
      <c r="J57" s="1189"/>
      <c r="K57" s="1189"/>
      <c r="L57" s="1189"/>
      <c r="M57" s="1189"/>
      <c r="N57" s="1189"/>
      <c r="O57" s="1189"/>
      <c r="P57" s="1189"/>
      <c r="Q57" s="1189"/>
      <c r="R57" s="1189"/>
      <c r="S57" s="1190"/>
      <c r="T57" s="1191"/>
      <c r="U57" s="1191"/>
    </row>
    <row r="58" spans="1:21" ht="18" customHeight="1">
      <c r="A58" s="194"/>
      <c r="B58" s="1187"/>
      <c r="C58" s="1188"/>
      <c r="D58" s="1189"/>
      <c r="E58" s="1189"/>
      <c r="F58" s="1189"/>
      <c r="G58" s="1189"/>
      <c r="H58" s="1189"/>
      <c r="I58" s="1189"/>
      <c r="J58" s="1189"/>
      <c r="K58" s="1189"/>
      <c r="L58" s="1189"/>
      <c r="M58" s="1189"/>
      <c r="N58" s="1189"/>
      <c r="O58" s="1189"/>
      <c r="P58" s="1189"/>
      <c r="Q58" s="1189"/>
      <c r="R58" s="1189"/>
      <c r="S58" s="1190"/>
      <c r="T58" s="1191"/>
      <c r="U58" s="1191"/>
    </row>
    <row r="59" spans="1:21" ht="18" customHeight="1">
      <c r="A59" s="194"/>
      <c r="B59" s="1187"/>
      <c r="C59" s="1188"/>
      <c r="D59" s="1189"/>
      <c r="E59" s="1189"/>
      <c r="F59" s="1189"/>
      <c r="G59" s="1189"/>
      <c r="H59" s="1189"/>
      <c r="I59" s="1189"/>
      <c r="J59" s="1189"/>
      <c r="K59" s="1189"/>
      <c r="L59" s="1189"/>
      <c r="M59" s="1189"/>
      <c r="N59" s="1189"/>
      <c r="O59" s="1189"/>
      <c r="P59" s="1189"/>
      <c r="Q59" s="1189"/>
      <c r="R59" s="1189"/>
      <c r="S59" s="1190"/>
      <c r="T59" s="1191"/>
      <c r="U59" s="1191"/>
    </row>
    <row r="60" spans="1:21" ht="18" customHeight="1">
      <c r="A60" s="194"/>
      <c r="B60" s="1187"/>
      <c r="C60" s="1188"/>
      <c r="D60" s="1189"/>
      <c r="E60" s="1189"/>
      <c r="F60" s="1189"/>
      <c r="G60" s="1189"/>
      <c r="H60" s="1189"/>
      <c r="I60" s="1189"/>
      <c r="J60" s="1189"/>
      <c r="K60" s="1189"/>
      <c r="L60" s="1189"/>
      <c r="M60" s="1189"/>
      <c r="N60" s="1189"/>
      <c r="O60" s="1189"/>
      <c r="P60" s="1189"/>
      <c r="Q60" s="1189"/>
      <c r="R60" s="1189"/>
      <c r="S60" s="1190"/>
      <c r="T60" s="1191"/>
      <c r="U60" s="1191"/>
    </row>
    <row r="61" spans="1:21" ht="18" customHeight="1">
      <c r="A61" s="194"/>
      <c r="B61" s="1187"/>
      <c r="C61" s="1188"/>
      <c r="D61" s="1189"/>
      <c r="E61" s="1189"/>
      <c r="F61" s="1189"/>
      <c r="G61" s="1189"/>
      <c r="H61" s="1189"/>
      <c r="I61" s="1189"/>
      <c r="J61" s="1189"/>
      <c r="K61" s="1189"/>
      <c r="L61" s="1189"/>
      <c r="M61" s="1189"/>
      <c r="N61" s="1189"/>
      <c r="O61" s="1189"/>
      <c r="P61" s="1189"/>
      <c r="Q61" s="1189"/>
      <c r="R61" s="1189"/>
      <c r="S61" s="1190"/>
      <c r="T61" s="1191"/>
      <c r="U61" s="1191"/>
    </row>
    <row r="62" spans="1:21" ht="18" customHeight="1">
      <c r="A62" s="194"/>
      <c r="B62" s="1187"/>
      <c r="C62" s="1188"/>
      <c r="D62" s="1189"/>
      <c r="E62" s="1189"/>
      <c r="F62" s="1189"/>
      <c r="G62" s="1189"/>
      <c r="H62" s="1189"/>
      <c r="I62" s="1189"/>
      <c r="J62" s="1189"/>
      <c r="K62" s="1189"/>
      <c r="L62" s="1189"/>
      <c r="M62" s="1189"/>
      <c r="N62" s="1189"/>
      <c r="O62" s="1189"/>
      <c r="P62" s="1189"/>
      <c r="Q62" s="1189"/>
      <c r="R62" s="1189"/>
      <c r="S62" s="1190"/>
      <c r="T62" s="1191"/>
      <c r="U62" s="1194"/>
    </row>
    <row r="63" spans="1:21">
      <c r="B63" s="803"/>
      <c r="C63" s="803"/>
      <c r="D63" s="803"/>
      <c r="E63" s="803"/>
      <c r="F63" s="803"/>
      <c r="G63" s="803"/>
      <c r="H63" s="803"/>
      <c r="I63" s="803"/>
      <c r="J63" s="803"/>
      <c r="K63" s="803"/>
      <c r="L63" s="803"/>
      <c r="M63" s="803"/>
      <c r="N63" s="803"/>
      <c r="O63" s="803"/>
      <c r="P63" s="803"/>
      <c r="Q63" s="803"/>
      <c r="R63" s="803"/>
      <c r="S63" s="803"/>
      <c r="T63" s="803"/>
      <c r="U63" s="803"/>
    </row>
    <row r="65" spans="4:18">
      <c r="D65" s="785">
        <f t="shared" ref="D65:L65" si="21">SUM(D6:D62)</f>
        <v>0</v>
      </c>
      <c r="E65" s="785">
        <f t="shared" si="21"/>
        <v>0</v>
      </c>
      <c r="F65" s="785">
        <f t="shared" si="21"/>
        <v>0</v>
      </c>
      <c r="G65" s="785">
        <f t="shared" si="21"/>
        <v>0</v>
      </c>
      <c r="H65" s="785">
        <f t="shared" si="21"/>
        <v>0</v>
      </c>
      <c r="I65" s="785">
        <f t="shared" si="21"/>
        <v>0</v>
      </c>
      <c r="J65" s="785">
        <f t="shared" si="21"/>
        <v>0</v>
      </c>
      <c r="K65" s="785">
        <f t="shared" si="21"/>
        <v>0</v>
      </c>
      <c r="L65" s="785">
        <f t="shared" si="21"/>
        <v>0</v>
      </c>
      <c r="M65" s="785"/>
      <c r="N65" s="785"/>
      <c r="O65" s="785"/>
      <c r="P65" s="785"/>
      <c r="Q65" s="785"/>
      <c r="R65" s="785">
        <f>SUM(R6:R62)</f>
        <v>0</v>
      </c>
    </row>
  </sheetData>
  <mergeCells count="7">
    <mergeCell ref="U3:U5"/>
    <mergeCell ref="D3:R3"/>
    <mergeCell ref="D4:R4"/>
    <mergeCell ref="B3:B5"/>
    <mergeCell ref="C3:C5"/>
    <mergeCell ref="S3:S5"/>
    <mergeCell ref="T3:T5"/>
  </mergeCells>
  <phoneticPr fontId="7" type="noConversion"/>
  <conditionalFormatting sqref="A1:A18 A49:A1048576">
    <cfRule type="duplicateValues" dxfId="1" priority="2"/>
  </conditionalFormatting>
  <conditionalFormatting sqref="A19:A48">
    <cfRule type="duplicateValues" dxfId="0" priority="1"/>
  </conditionalFormatting>
  <printOptions horizontalCentered="1" verticalCentered="1"/>
  <pageMargins left="0.59055118110236227" right="0.39370078740157483" top="0.78740157480314965" bottom="0.59055118110236227" header="0.59055118110236227" footer="0.23622047244094491"/>
  <pageSetup paperSize="9" scale="75" orientation="landscape" r:id="rId1"/>
  <headerFooter alignWithMargins="0">
    <oddHeader>&amp;C&amp;"굴림체,굵게"&amp;20관 급 자 재  내 역 서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6" tint="0.59999389629810485"/>
  </sheetPr>
  <dimension ref="A1:O450"/>
  <sheetViews>
    <sheetView showZeros="0" view="pageBreakPreview" topLeftCell="B1" zoomScaleSheetLayoutView="100" workbookViewId="0">
      <selection activeCell="E15" sqref="E15"/>
    </sheetView>
  </sheetViews>
  <sheetFormatPr defaultRowHeight="18" customHeight="1"/>
  <cols>
    <col min="1" max="1" width="8.88671875" style="162" hidden="1" customWidth="1"/>
    <col min="2" max="2" width="11.44140625" style="194" customWidth="1"/>
    <col min="3" max="4" width="20.77734375" style="162" customWidth="1"/>
    <col min="5" max="5" width="60.77734375" style="162" customWidth="1"/>
    <col min="6" max="7" width="4.77734375" style="162" customWidth="1"/>
    <col min="8" max="8" width="6.77734375" style="162" customWidth="1"/>
    <col min="9" max="9" width="8.88671875" style="162"/>
    <col min="10" max="10" width="10" style="162" bestFit="1" customWidth="1"/>
    <col min="11" max="11" width="16.44140625" style="162" customWidth="1"/>
    <col min="12" max="12" width="16.5546875" style="162" bestFit="1" customWidth="1"/>
    <col min="13" max="13" width="16.5546875" style="162" customWidth="1"/>
    <col min="14" max="16384" width="8.88671875" style="162"/>
  </cols>
  <sheetData>
    <row r="1" spans="2:8" ht="11.25" customHeight="1">
      <c r="C1" s="170"/>
      <c r="D1" s="170"/>
      <c r="E1" s="170"/>
      <c r="F1" s="170"/>
      <c r="G1" s="170"/>
      <c r="H1" s="170"/>
    </row>
    <row r="2" spans="2:8" ht="23.1" customHeight="1">
      <c r="C2" s="809" t="str">
        <f>원가계산서!A2</f>
        <v>2022년 경기창작센터 예술공원 조성사업(전기)</v>
      </c>
      <c r="D2" s="810"/>
      <c r="E2" s="810"/>
      <c r="F2" s="810"/>
      <c r="G2" s="810"/>
      <c r="H2" s="810"/>
    </row>
    <row r="3" spans="2:8" ht="20.100000000000001" customHeight="1">
      <c r="C3" s="811" t="s">
        <v>1302</v>
      </c>
      <c r="D3" s="812" t="s">
        <v>1298</v>
      </c>
      <c r="E3" s="812" t="s">
        <v>1303</v>
      </c>
      <c r="F3" s="812" t="s">
        <v>18</v>
      </c>
      <c r="G3" s="812" t="s">
        <v>437</v>
      </c>
      <c r="H3" s="813" t="s">
        <v>24</v>
      </c>
    </row>
    <row r="4" spans="2:8" ht="18" customHeight="1">
      <c r="C4" s="1172" t="s">
        <v>1279</v>
      </c>
      <c r="D4" s="1173"/>
      <c r="E4" s="1174"/>
      <c r="F4" s="1173"/>
      <c r="G4" s="1173"/>
      <c r="H4" s="1173"/>
    </row>
    <row r="5" spans="2:8" ht="18" customHeight="1">
      <c r="C5" s="1172" t="s">
        <v>1801</v>
      </c>
      <c r="D5" s="1173"/>
      <c r="E5" s="1174"/>
      <c r="F5" s="1174"/>
      <c r="G5" s="1173"/>
      <c r="H5" s="1173"/>
    </row>
    <row r="6" spans="2:8" ht="18" customHeight="1">
      <c r="B6" s="194" t="s">
        <v>1738</v>
      </c>
      <c r="C6" s="1175" t="s">
        <v>1739</v>
      </c>
      <c r="D6" s="1173"/>
      <c r="E6" s="1174"/>
      <c r="F6" s="1173"/>
      <c r="G6" s="1173"/>
      <c r="H6" s="1173"/>
    </row>
    <row r="7" spans="2:8" ht="18" customHeight="1">
      <c r="C7" s="1620" t="s">
        <v>1774</v>
      </c>
      <c r="D7" s="1620"/>
      <c r="E7" s="1174">
        <v>16</v>
      </c>
      <c r="F7" s="1173" t="s">
        <v>1740</v>
      </c>
      <c r="G7" s="1173">
        <f t="shared" ref="G7" si="0">TRUNC((ROUNDUP(dhTextEvaluate(E7),0)),0)</f>
        <v>16</v>
      </c>
      <c r="H7" s="1182"/>
    </row>
    <row r="8" spans="2:8" ht="18" customHeight="1">
      <c r="C8" s="1620" t="s">
        <v>1775</v>
      </c>
      <c r="D8" s="1620"/>
      <c r="E8" s="1174">
        <v>1</v>
      </c>
      <c r="F8" s="1173" t="s">
        <v>88</v>
      </c>
      <c r="G8" s="1173">
        <f t="shared" ref="G8" si="1">TRUNC((ROUNDUP(dhTextEvaluate(E8),0)),0)</f>
        <v>1</v>
      </c>
      <c r="H8" s="1173"/>
    </row>
    <row r="9" spans="2:8" ht="18" customHeight="1">
      <c r="C9" s="1180" t="s">
        <v>1767</v>
      </c>
      <c r="D9" s="1180"/>
      <c r="E9" s="1174">
        <v>1</v>
      </c>
      <c r="F9" s="1173" t="s">
        <v>1</v>
      </c>
      <c r="G9" s="1173">
        <f t="shared" ref="G9" si="2">TRUNC((ROUNDUP(dhTextEvaluate(E9),0)),0)</f>
        <v>1</v>
      </c>
      <c r="H9" s="1173"/>
    </row>
    <row r="10" spans="2:8" ht="18" customHeight="1">
      <c r="C10" s="1172"/>
      <c r="D10" s="1173"/>
      <c r="E10" s="1174"/>
      <c r="F10" s="1174"/>
      <c r="G10" s="1173"/>
      <c r="H10" s="1173"/>
    </row>
    <row r="11" spans="2:8" ht="17.45" customHeight="1">
      <c r="B11" s="194" t="e">
        <f>#REF!</f>
        <v>#REF!</v>
      </c>
      <c r="C11" s="1174" t="e">
        <f>VLOOKUP(B11,#REF!,2,FALSE)</f>
        <v>#REF!</v>
      </c>
      <c r="D11" s="1174" t="e">
        <f>VLOOKUP(B11,#REF!,3,FALSE)</f>
        <v>#REF!</v>
      </c>
      <c r="E11" s="1174">
        <f>G7+G8</f>
        <v>17</v>
      </c>
      <c r="F11" s="1173" t="e">
        <f>VLOOKUP(B11,#REF!,4,FALSE)</f>
        <v>#REF!</v>
      </c>
      <c r="G11" s="1173" t="e">
        <f t="shared" ref="G11:G13" ca="1" si="3">TRUNC((ROUNDUP(dhTextEvaluate(E11),0)),0)</f>
        <v>#NAME?</v>
      </c>
      <c r="H11" s="1173"/>
    </row>
    <row r="12" spans="2:8" ht="17.45" customHeight="1">
      <c r="B12" s="194" t="e">
        <f>#REF!</f>
        <v>#REF!</v>
      </c>
      <c r="C12" s="1174" t="e">
        <f>VLOOKUP(B12,#REF!,2,FALSE)</f>
        <v>#REF!</v>
      </c>
      <c r="D12" s="1174" t="e">
        <f>VLOOKUP(B12,#REF!,3,FALSE)</f>
        <v>#REF!</v>
      </c>
      <c r="E12" s="1174">
        <f>G7+G8</f>
        <v>17</v>
      </c>
      <c r="F12" s="1173" t="e">
        <f>VLOOKUP(B12,#REF!,4,FALSE)</f>
        <v>#REF!</v>
      </c>
      <c r="G12" s="1173" t="e">
        <f t="shared" ca="1" si="3"/>
        <v>#NAME?</v>
      </c>
      <c r="H12" s="1173"/>
    </row>
    <row r="13" spans="2:8" ht="17.45" customHeight="1">
      <c r="B13" s="194" t="e">
        <f>#REF!</f>
        <v>#REF!</v>
      </c>
      <c r="C13" s="1174" t="e">
        <f>VLOOKUP(B13,#REF!,2,FALSE)</f>
        <v>#REF!</v>
      </c>
      <c r="D13" s="1174" t="e">
        <f>VLOOKUP(B13,#REF!,3,FALSE)</f>
        <v>#REF!</v>
      </c>
      <c r="E13" s="1174">
        <f>G7+G8</f>
        <v>17</v>
      </c>
      <c r="F13" s="1173" t="e">
        <f>VLOOKUP(B13,#REF!,4,FALSE)</f>
        <v>#REF!</v>
      </c>
      <c r="G13" s="1173" t="e">
        <f t="shared" ca="1" si="3"/>
        <v>#NAME?</v>
      </c>
      <c r="H13" s="1173"/>
    </row>
    <row r="14" spans="2:8" ht="17.45" customHeight="1">
      <c r="B14" s="194" t="e">
        <f>#REF!</f>
        <v>#REF!</v>
      </c>
      <c r="C14" s="1174" t="e">
        <f>VLOOKUP(B14,#REF!,2,FALSE)</f>
        <v>#REF!</v>
      </c>
      <c r="D14" s="1174" t="e">
        <f>VLOOKUP(B14,#REF!,3,FALSE)</f>
        <v>#REF!</v>
      </c>
      <c r="E14" s="1174">
        <f>G8</f>
        <v>1</v>
      </c>
      <c r="F14" s="1173" t="e">
        <f>VLOOKUP(B14,#REF!,4,FALSE)</f>
        <v>#REF!</v>
      </c>
      <c r="G14" s="1173" t="e">
        <f t="shared" ref="G14" ca="1" si="4">TRUNC((ROUNDUP(dhTextEvaluate(E14),0)),0)</f>
        <v>#NAME?</v>
      </c>
      <c r="H14" s="1173"/>
    </row>
    <row r="15" spans="2:8" ht="17.45" customHeight="1">
      <c r="B15" s="194" t="e">
        <f>#REF!</f>
        <v>#REF!</v>
      </c>
      <c r="C15" s="1174" t="e">
        <f>VLOOKUP(B15,#REF!,2,FALSE)</f>
        <v>#REF!</v>
      </c>
      <c r="D15" s="1174" t="e">
        <f>VLOOKUP(B15,#REF!,3,FALSE)</f>
        <v>#REF!</v>
      </c>
      <c r="E15" s="1174">
        <f>G9</f>
        <v>1</v>
      </c>
      <c r="F15" s="1173" t="e">
        <f>VLOOKUP(B15,#REF!,4,FALSE)</f>
        <v>#REF!</v>
      </c>
      <c r="G15" s="1173" t="e">
        <f t="shared" ref="G15" ca="1" si="5">TRUNC((ROUNDUP(dhTextEvaluate(E15),0)),0)</f>
        <v>#NAME?</v>
      </c>
      <c r="H15" s="1173"/>
    </row>
    <row r="16" spans="2:8" ht="17.45" customHeight="1">
      <c r="B16" s="194" t="e">
        <f>#REF!</f>
        <v>#REF!</v>
      </c>
      <c r="C16" s="1174" t="e">
        <f>VLOOKUP(B16,#REF!,2,FALSE)</f>
        <v>#REF!</v>
      </c>
      <c r="D16" s="1174" t="e">
        <f>VLOOKUP(B16,#REF!,3,FALSE)</f>
        <v>#REF!</v>
      </c>
      <c r="E16" s="1174">
        <f>G9</f>
        <v>1</v>
      </c>
      <c r="F16" s="1173" t="e">
        <f>VLOOKUP(B16,#REF!,4,FALSE)</f>
        <v>#REF!</v>
      </c>
      <c r="G16" s="1173" t="e">
        <f t="shared" ref="G16" ca="1" si="6">TRUNC((ROUNDUP(dhTextEvaluate(E16),0)),0)</f>
        <v>#NAME?</v>
      </c>
      <c r="H16" s="1173"/>
    </row>
    <row r="17" spans="2:8" ht="18" customHeight="1">
      <c r="C17" s="1172"/>
      <c r="D17" s="1173"/>
      <c r="E17" s="1174"/>
      <c r="F17" s="1174"/>
      <c r="G17" s="1173"/>
      <c r="H17" s="1173"/>
    </row>
    <row r="18" spans="2:8" ht="18" customHeight="1">
      <c r="C18" s="1172"/>
      <c r="D18" s="1173"/>
      <c r="E18" s="1174"/>
      <c r="F18" s="1174"/>
      <c r="G18" s="1173"/>
      <c r="H18" s="1173"/>
    </row>
    <row r="19" spans="2:8" ht="18" customHeight="1">
      <c r="C19" s="1172"/>
      <c r="D19" s="1173"/>
      <c r="E19" s="1174"/>
      <c r="F19" s="1174"/>
      <c r="G19" s="1173"/>
      <c r="H19" s="1173"/>
    </row>
    <row r="20" spans="2:8" ht="18" customHeight="1">
      <c r="C20" s="1172"/>
      <c r="D20" s="1173"/>
      <c r="E20" s="1174"/>
      <c r="F20" s="1174"/>
      <c r="G20" s="1173"/>
      <c r="H20" s="1173"/>
    </row>
    <row r="21" spans="2:8" ht="18" customHeight="1">
      <c r="C21" s="1172"/>
      <c r="D21" s="1173"/>
      <c r="E21" s="1174"/>
      <c r="F21" s="1174"/>
      <c r="G21" s="1173"/>
      <c r="H21" s="1173"/>
    </row>
    <row r="22" spans="2:8" ht="18" customHeight="1">
      <c r="C22" s="1172"/>
      <c r="D22" s="1173"/>
      <c r="E22" s="1174"/>
      <c r="F22" s="1174"/>
      <c r="G22" s="1173"/>
      <c r="H22" s="1173"/>
    </row>
    <row r="23" spans="2:8" ht="18" customHeight="1">
      <c r="C23" s="1172"/>
      <c r="D23" s="1173"/>
      <c r="E23" s="1174"/>
      <c r="F23" s="1174"/>
      <c r="G23" s="1173"/>
      <c r="H23" s="1173"/>
    </row>
    <row r="24" spans="2:8" ht="18" customHeight="1">
      <c r="C24" s="1172"/>
      <c r="D24" s="1173"/>
      <c r="E24" s="1174"/>
      <c r="F24" s="1174"/>
      <c r="G24" s="1173"/>
      <c r="H24" s="1173"/>
    </row>
    <row r="25" spans="2:8" ht="18" customHeight="1">
      <c r="C25" s="1172"/>
      <c r="D25" s="1173"/>
      <c r="E25" s="1174"/>
      <c r="F25" s="1174"/>
      <c r="G25" s="1173"/>
      <c r="H25" s="1173"/>
    </row>
    <row r="26" spans="2:8" ht="18" customHeight="1">
      <c r="C26" s="1172"/>
      <c r="D26" s="1173"/>
      <c r="E26" s="1174"/>
      <c r="F26" s="1174"/>
      <c r="G26" s="1173"/>
      <c r="H26" s="1173"/>
    </row>
    <row r="27" spans="2:8" ht="18" customHeight="1">
      <c r="C27" s="1172"/>
      <c r="D27" s="1173"/>
      <c r="E27" s="1174"/>
      <c r="F27" s="1174"/>
      <c r="G27" s="1173"/>
      <c r="H27" s="1173"/>
    </row>
    <row r="28" spans="2:8" ht="18" customHeight="1">
      <c r="C28" s="1172"/>
      <c r="D28" s="1173"/>
      <c r="E28" s="1174"/>
      <c r="F28" s="1174"/>
      <c r="G28" s="1173"/>
      <c r="H28" s="1173"/>
    </row>
    <row r="29" spans="2:8" ht="18" customHeight="1">
      <c r="B29" s="194" t="s">
        <v>1681</v>
      </c>
      <c r="C29" s="1175" t="s">
        <v>1741</v>
      </c>
      <c r="D29" s="1173"/>
      <c r="E29" s="1174"/>
      <c r="F29" s="1173"/>
      <c r="G29" s="1173"/>
      <c r="H29" s="1173"/>
    </row>
    <row r="30" spans="2:8" ht="17.45" customHeight="1">
      <c r="C30" s="1620" t="s">
        <v>1785</v>
      </c>
      <c r="D30" s="1621"/>
      <c r="E30" s="1176">
        <v>50</v>
      </c>
      <c r="F30" s="1173" t="s">
        <v>157</v>
      </c>
      <c r="G30" s="1173">
        <f t="shared" ref="G30" si="7">TRUNC((ROUNDUP(dhTextEvaluate(E30),0)),0)</f>
        <v>50</v>
      </c>
      <c r="H30" s="1173"/>
    </row>
    <row r="31" spans="2:8" ht="17.45" customHeight="1">
      <c r="C31" s="1620" t="s">
        <v>1783</v>
      </c>
      <c r="D31" s="1620"/>
      <c r="E31" s="1176">
        <v>50</v>
      </c>
      <c r="F31" s="1173" t="s">
        <v>1784</v>
      </c>
      <c r="G31" s="1173">
        <f t="shared" ref="G31" si="8">TRUNC((ROUNDUP(dhTextEvaluate(E31),0)),0)</f>
        <v>50</v>
      </c>
      <c r="H31" s="1173"/>
    </row>
    <row r="32" spans="2:8" ht="18" customHeight="1">
      <c r="C32" s="1618" t="s">
        <v>1768</v>
      </c>
      <c r="D32" s="1618"/>
      <c r="E32" s="1176">
        <v>1</v>
      </c>
      <c r="F32" s="1173" t="s">
        <v>1674</v>
      </c>
      <c r="G32" s="1173">
        <f t="shared" ref="G32" si="9">TRUNC((ROUNDUP(dhTextEvaluate(E32),0)),0)</f>
        <v>1</v>
      </c>
      <c r="H32" s="1173"/>
    </row>
    <row r="33" spans="2:8" ht="18" customHeight="1">
      <c r="C33" s="1626"/>
      <c r="D33" s="1626"/>
      <c r="E33" s="1174"/>
      <c r="F33" s="1173"/>
      <c r="G33" s="1173"/>
      <c r="H33" s="1173"/>
    </row>
    <row r="34" spans="2:8" ht="17.45" customHeight="1">
      <c r="B34" s="194" t="e">
        <f>#REF!</f>
        <v>#REF!</v>
      </c>
      <c r="C34" s="1174" t="e">
        <f>VLOOKUP(B34,#REF!,2,FALSE)</f>
        <v>#REF!</v>
      </c>
      <c r="D34" s="1174" t="e">
        <f>VLOOKUP(B34,#REF!,3,FALSE)</f>
        <v>#REF!</v>
      </c>
      <c r="E34" s="1174">
        <f>G30</f>
        <v>50</v>
      </c>
      <c r="F34" s="1173" t="e">
        <f>VLOOKUP(B34,#REF!,4,FALSE)</f>
        <v>#REF!</v>
      </c>
      <c r="G34" s="1173" t="e">
        <f ca="1">TRUNC((ROUNDUP(dhTextEvaluate(E34),0)),0)</f>
        <v>#NAME?</v>
      </c>
      <c r="H34" s="1173"/>
    </row>
    <row r="35" spans="2:8" ht="17.45" customHeight="1">
      <c r="B35" s="194" t="e">
        <f>#REF!</f>
        <v>#REF!</v>
      </c>
      <c r="C35" s="1174" t="e">
        <f>VLOOKUP(B35,#REF!,2,FALSE)</f>
        <v>#REF!</v>
      </c>
      <c r="D35" s="1174" t="e">
        <f>VLOOKUP(B35,#REF!,3,FALSE)</f>
        <v>#REF!</v>
      </c>
      <c r="E35" s="1174" t="str">
        <f>G31&amp;"*2"</f>
        <v>50*2</v>
      </c>
      <c r="F35" s="1173" t="e">
        <f>VLOOKUP(B35,#REF!,4,FALSE)</f>
        <v>#REF!</v>
      </c>
      <c r="G35" s="1173" t="e">
        <f ca="1">TRUNC((ROUNDUP(dhTextEvaluate(E35),0)),0)</f>
        <v>#NAME?</v>
      </c>
      <c r="H35" s="1173"/>
    </row>
    <row r="36" spans="2:8" ht="18" customHeight="1">
      <c r="B36" s="194" t="e">
        <f>#REF!</f>
        <v>#REF!</v>
      </c>
      <c r="C36" s="1174" t="e">
        <f>VLOOKUP(B36,#REF!,2,FALSE)</f>
        <v>#REF!</v>
      </c>
      <c r="D36" s="1174" t="e">
        <f>VLOOKUP(B36,#REF!,3,FALSE)</f>
        <v>#REF!</v>
      </c>
      <c r="E36" s="1174">
        <f>G32</f>
        <v>1</v>
      </c>
      <c r="F36" s="1173" t="e">
        <f>VLOOKUP(B36,#REF!,4,FALSE)</f>
        <v>#REF!</v>
      </c>
      <c r="G36" s="1173" t="e">
        <f t="shared" ref="G36:G37" ca="1" si="10">TRUNC((ROUNDUP(dhTextEvaluate(E36),0)),0)</f>
        <v>#NAME?</v>
      </c>
      <c r="H36" s="1173"/>
    </row>
    <row r="37" spans="2:8" ht="18" customHeight="1">
      <c r="B37" s="194" t="e">
        <f>#REF!</f>
        <v>#REF!</v>
      </c>
      <c r="C37" s="1174" t="e">
        <f>VLOOKUP(B37,#REF!,2,FALSE)</f>
        <v>#REF!</v>
      </c>
      <c r="D37" s="1174" t="e">
        <f>VLOOKUP(B37,#REF!,3,FALSE)</f>
        <v>#REF!</v>
      </c>
      <c r="E37" s="1174">
        <f>G32</f>
        <v>1</v>
      </c>
      <c r="F37" s="1173" t="e">
        <f>VLOOKUP(B37,#REF!,4,FALSE)</f>
        <v>#REF!</v>
      </c>
      <c r="G37" s="1173" t="e">
        <f t="shared" ca="1" si="10"/>
        <v>#NAME?</v>
      </c>
      <c r="H37" s="1177"/>
    </row>
    <row r="38" spans="2:8" ht="17.45" customHeight="1">
      <c r="B38" s="193" t="e">
        <f>#REF!</f>
        <v>#REF!</v>
      </c>
      <c r="C38" s="1174" t="e">
        <f>VLOOKUP(B38,#REF!,2,FALSE)</f>
        <v>#REF!</v>
      </c>
      <c r="D38" s="1174" t="e">
        <f>VLOOKUP(B38,#REF!,3,FALSE)</f>
        <v>#REF!</v>
      </c>
      <c r="E38" s="1174">
        <f>G31</f>
        <v>50</v>
      </c>
      <c r="F38" s="1173" t="e">
        <f>VLOOKUP(B38,#REF!,4,FALSE)</f>
        <v>#REF!</v>
      </c>
      <c r="G38" s="1173" t="e">
        <f t="shared" ref="G38" ca="1" si="11">TRUNC((ROUNDUP(dhTextEvaluate(E38),0)),0)</f>
        <v>#NAME?</v>
      </c>
      <c r="H38" s="1177"/>
    </row>
    <row r="39" spans="2:8" ht="18" customHeight="1">
      <c r="C39" s="1174"/>
      <c r="D39" s="1174"/>
      <c r="E39" s="1174"/>
      <c r="F39" s="1173"/>
      <c r="G39" s="1173"/>
      <c r="H39" s="1177"/>
    </row>
    <row r="40" spans="2:8" ht="18" customHeight="1">
      <c r="C40" s="1174"/>
      <c r="D40" s="1174"/>
      <c r="E40" s="1174"/>
      <c r="F40" s="1173"/>
      <c r="G40" s="1173"/>
      <c r="H40" s="1177"/>
    </row>
    <row r="41" spans="2:8" ht="18" customHeight="1">
      <c r="C41" s="1174"/>
      <c r="D41" s="1174"/>
      <c r="E41" s="1174"/>
      <c r="F41" s="1173"/>
      <c r="G41" s="1173"/>
      <c r="H41" s="1177"/>
    </row>
    <row r="42" spans="2:8" ht="18" customHeight="1">
      <c r="C42" s="1174"/>
      <c r="D42" s="1174"/>
      <c r="E42" s="1174"/>
      <c r="F42" s="1173"/>
      <c r="G42" s="1173"/>
      <c r="H42" s="1177"/>
    </row>
    <row r="43" spans="2:8" ht="18" customHeight="1">
      <c r="C43" s="1174"/>
      <c r="D43" s="1174"/>
      <c r="E43" s="1174"/>
      <c r="F43" s="1173"/>
      <c r="G43" s="1173"/>
      <c r="H43" s="1177"/>
    </row>
    <row r="44" spans="2:8" ht="18" customHeight="1">
      <c r="C44" s="1174"/>
      <c r="D44" s="1174"/>
      <c r="E44" s="1174"/>
      <c r="F44" s="1173"/>
      <c r="G44" s="1173"/>
      <c r="H44" s="1177"/>
    </row>
    <row r="45" spans="2:8" ht="18" customHeight="1">
      <c r="C45" s="1174"/>
      <c r="D45" s="1174"/>
      <c r="E45" s="1174"/>
      <c r="F45" s="1173"/>
      <c r="G45" s="1173"/>
      <c r="H45" s="1177"/>
    </row>
    <row r="46" spans="2:8" ht="18" customHeight="1">
      <c r="C46" s="1174"/>
      <c r="D46" s="1174"/>
      <c r="E46" s="1174"/>
      <c r="F46" s="1173"/>
      <c r="G46" s="1173"/>
      <c r="H46" s="1177"/>
    </row>
    <row r="47" spans="2:8" ht="18" customHeight="1">
      <c r="C47" s="1174"/>
      <c r="D47" s="1174"/>
      <c r="E47" s="1174"/>
      <c r="F47" s="1173"/>
      <c r="G47" s="1173"/>
      <c r="H47" s="1177"/>
    </row>
    <row r="48" spans="2:8" ht="18" customHeight="1">
      <c r="C48" s="1174"/>
      <c r="D48" s="1174"/>
      <c r="E48" s="1174"/>
      <c r="F48" s="1173"/>
      <c r="G48" s="1173"/>
      <c r="H48" s="1177"/>
    </row>
    <row r="49" spans="2:15" ht="18" customHeight="1">
      <c r="C49" s="1174"/>
      <c r="D49" s="1174"/>
      <c r="E49" s="1174"/>
      <c r="F49" s="1173"/>
      <c r="G49" s="1173"/>
      <c r="H49" s="1177"/>
    </row>
    <row r="50" spans="2:15" ht="18" customHeight="1">
      <c r="C50" s="1174"/>
      <c r="D50" s="1174"/>
      <c r="E50" s="1174"/>
      <c r="F50" s="1173"/>
      <c r="G50" s="1173"/>
      <c r="H50" s="1177"/>
    </row>
    <row r="51" spans="2:15" ht="18" customHeight="1">
      <c r="C51" s="1174"/>
      <c r="D51" s="1174"/>
      <c r="E51" s="1174"/>
      <c r="F51" s="1173"/>
      <c r="G51" s="1173"/>
      <c r="H51" s="1177"/>
    </row>
    <row r="52" spans="2:15" ht="18" customHeight="1">
      <c r="C52" s="1174"/>
      <c r="D52" s="1174"/>
      <c r="E52" s="1174"/>
      <c r="F52" s="1173"/>
      <c r="G52" s="1173"/>
      <c r="H52" s="1177"/>
    </row>
    <row r="53" spans="2:15" ht="18" customHeight="1">
      <c r="C53" s="1174"/>
      <c r="D53" s="1174"/>
      <c r="E53" s="1174"/>
      <c r="F53" s="1173"/>
      <c r="G53" s="1173"/>
      <c r="H53" s="1177"/>
    </row>
    <row r="54" spans="2:15" ht="18" customHeight="1">
      <c r="B54" s="194" t="s">
        <v>1751</v>
      </c>
      <c r="C54" s="1175" t="s">
        <v>1802</v>
      </c>
      <c r="D54" s="1173"/>
      <c r="E54" s="1174"/>
      <c r="F54" s="1173"/>
      <c r="G54" s="1173"/>
      <c r="H54" s="1173"/>
    </row>
    <row r="55" spans="2:15" ht="18" customHeight="1">
      <c r="C55" s="1620" t="s">
        <v>1769</v>
      </c>
      <c r="D55" s="1621"/>
      <c r="E55" s="1174"/>
      <c r="F55" s="1173"/>
      <c r="G55" s="1173"/>
      <c r="H55" s="1173"/>
      <c r="J55" s="869"/>
      <c r="K55" s="869"/>
      <c r="L55" s="869"/>
      <c r="M55" s="869"/>
      <c r="N55" s="869"/>
      <c r="O55" s="869"/>
    </row>
    <row r="56" spans="2:15" ht="18" customHeight="1">
      <c r="C56" s="1620" t="s">
        <v>1766</v>
      </c>
      <c r="D56" s="1621"/>
      <c r="E56" s="1174" t="s">
        <v>1770</v>
      </c>
      <c r="F56" s="1173" t="s">
        <v>54</v>
      </c>
      <c r="G56" s="1179">
        <f t="shared" ref="G56" si="12">INT(ROUNDDOWN(dhTextEvaluate(E56),3))</f>
        <v>191</v>
      </c>
      <c r="H56" s="1173"/>
      <c r="J56" s="869"/>
      <c r="K56" s="869"/>
      <c r="L56" s="869"/>
      <c r="M56" s="869"/>
      <c r="N56" s="869"/>
      <c r="O56" s="869"/>
    </row>
    <row r="57" spans="2:15" ht="18" customHeight="1">
      <c r="C57" s="1620" t="s">
        <v>1742</v>
      </c>
      <c r="D57" s="1621"/>
      <c r="E57" s="1178" t="s">
        <v>1771</v>
      </c>
      <c r="F57" s="1173" t="s">
        <v>157</v>
      </c>
      <c r="G57" s="1179">
        <f t="shared" ref="G57" si="13">INT(ROUNDDOWN(dhTextEvaluate(E57),3))</f>
        <v>242</v>
      </c>
      <c r="H57" s="1173"/>
      <c r="J57" s="869"/>
      <c r="K57" s="869"/>
      <c r="L57" s="869"/>
      <c r="M57" s="869"/>
      <c r="N57" s="869"/>
      <c r="O57" s="869"/>
    </row>
    <row r="58" spans="2:15" ht="18" customHeight="1">
      <c r="C58" s="1620" t="s">
        <v>1743</v>
      </c>
      <c r="D58" s="1621"/>
      <c r="E58" s="1174" t="s">
        <v>1772</v>
      </c>
      <c r="F58" s="1173" t="s">
        <v>157</v>
      </c>
      <c r="G58" s="1179">
        <f>INT(ROUNDDOWN(dhTextEvaluate(E58),3))</f>
        <v>40</v>
      </c>
      <c r="H58" s="1173"/>
      <c r="J58" s="869"/>
      <c r="K58" s="869"/>
      <c r="L58" s="869"/>
      <c r="M58" s="869"/>
      <c r="N58" s="869"/>
      <c r="O58" s="869"/>
    </row>
    <row r="59" spans="2:15" ht="18" customHeight="1">
      <c r="C59" s="1180" t="s">
        <v>1773</v>
      </c>
      <c r="D59" s="1181"/>
      <c r="E59" s="1174">
        <v>24</v>
      </c>
      <c r="F59" s="1173" t="s">
        <v>54</v>
      </c>
      <c r="G59" s="1179">
        <f>INT(ROUNDDOWN(dhTextEvaluate(E59),3))</f>
        <v>24</v>
      </c>
      <c r="H59" s="1173"/>
      <c r="J59" s="869"/>
      <c r="K59" s="869"/>
      <c r="L59" s="869"/>
      <c r="M59" s="869"/>
      <c r="N59" s="869"/>
      <c r="O59" s="869"/>
    </row>
    <row r="60" spans="2:15" ht="18" customHeight="1">
      <c r="C60" s="1620" t="s">
        <v>1777</v>
      </c>
      <c r="D60" s="1620"/>
      <c r="E60" s="1176">
        <v>16</v>
      </c>
      <c r="F60" s="1173" t="s">
        <v>88</v>
      </c>
      <c r="G60" s="1179">
        <f t="shared" ref="G60:G67" si="14">INT(ROUNDDOWN(dhTextEvaluate(E60),3))</f>
        <v>16</v>
      </c>
      <c r="H60" s="1173"/>
    </row>
    <row r="61" spans="2:15" ht="18" customHeight="1">
      <c r="C61" s="1620" t="s">
        <v>1778</v>
      </c>
      <c r="D61" s="1620"/>
      <c r="E61" s="1176">
        <v>1</v>
      </c>
      <c r="F61" s="1173" t="s">
        <v>1</v>
      </c>
      <c r="G61" s="1179">
        <f t="shared" ref="G61:G63" si="15">INT(ROUNDDOWN(dhTextEvaluate(E61),3))</f>
        <v>1</v>
      </c>
      <c r="H61" s="1173"/>
    </row>
    <row r="62" spans="2:15" ht="18" customHeight="1">
      <c r="C62" s="1620" t="s">
        <v>1779</v>
      </c>
      <c r="D62" s="1620"/>
      <c r="E62" s="1176">
        <v>7</v>
      </c>
      <c r="F62" s="1173" t="s">
        <v>1</v>
      </c>
      <c r="G62" s="1179">
        <f t="shared" si="15"/>
        <v>7</v>
      </c>
      <c r="H62" s="1173"/>
    </row>
    <row r="63" spans="2:15" ht="18" customHeight="1">
      <c r="C63" s="1620" t="s">
        <v>1776</v>
      </c>
      <c r="D63" s="1620"/>
      <c r="E63" s="1176">
        <v>2</v>
      </c>
      <c r="F63" s="1173" t="s">
        <v>1</v>
      </c>
      <c r="G63" s="1179">
        <f t="shared" si="15"/>
        <v>2</v>
      </c>
      <c r="H63" s="1173"/>
    </row>
    <row r="64" spans="2:15" ht="18" customHeight="1">
      <c r="C64" s="1625" t="s">
        <v>1678</v>
      </c>
      <c r="D64" s="1625"/>
      <c r="E64" s="1176" t="str">
        <f>"("&amp;G60&amp;"*10)+("&amp;G61&amp;"*10)+("&amp;G61&amp;"*5)+("&amp;G6&amp;"1*10)"</f>
        <v>(16*10)+(1*10)+(1*5)+(1*10)</v>
      </c>
      <c r="F64" s="1173" t="s">
        <v>157</v>
      </c>
      <c r="G64" s="1179">
        <f t="shared" si="14"/>
        <v>185</v>
      </c>
      <c r="H64" s="1173"/>
    </row>
    <row r="65" spans="2:8" ht="18" customHeight="1">
      <c r="C65" s="1620" t="s">
        <v>1677</v>
      </c>
      <c r="D65" s="1620"/>
      <c r="E65" s="1176">
        <v>2</v>
      </c>
      <c r="F65" s="1173" t="s">
        <v>88</v>
      </c>
      <c r="G65" s="1179">
        <f t="shared" si="14"/>
        <v>2</v>
      </c>
      <c r="H65" s="1173"/>
    </row>
    <row r="66" spans="2:8" ht="18" customHeight="1">
      <c r="C66" s="1620" t="s">
        <v>1679</v>
      </c>
      <c r="D66" s="1620"/>
      <c r="E66" s="1241" t="str">
        <f>G56&amp;"+"&amp;G57&amp;"+"&amp;G58&amp;"+"&amp;G59&amp;"-"&amp;G67</f>
        <v>191+242+40+24-24</v>
      </c>
      <c r="F66" s="1173" t="s">
        <v>88</v>
      </c>
      <c r="G66" s="1179">
        <f t="shared" si="14"/>
        <v>473</v>
      </c>
      <c r="H66" s="1173"/>
    </row>
    <row r="67" spans="2:8" ht="18" customHeight="1">
      <c r="C67" s="1620" t="s">
        <v>1680</v>
      </c>
      <c r="D67" s="1620"/>
      <c r="E67" s="1178">
        <v>24</v>
      </c>
      <c r="F67" s="1173" t="s">
        <v>88</v>
      </c>
      <c r="G67" s="1179">
        <f t="shared" si="14"/>
        <v>24</v>
      </c>
      <c r="H67" s="1173"/>
    </row>
    <row r="68" spans="2:8" ht="18" customHeight="1">
      <c r="C68" s="1180"/>
      <c r="D68" s="1180"/>
      <c r="E68" s="1178"/>
      <c r="F68" s="1173"/>
      <c r="G68" s="1179"/>
      <c r="H68" s="1173"/>
    </row>
    <row r="69" spans="2:8" ht="17.100000000000001" customHeight="1">
      <c r="B69" s="194" t="e">
        <f>#REF!</f>
        <v>#REF!</v>
      </c>
      <c r="C69" s="1174" t="e">
        <f>VLOOKUP(B69,#REF!,2,FALSE)</f>
        <v>#REF!</v>
      </c>
      <c r="D69" s="1174" t="e">
        <f>VLOOKUP(B69,#REF!,3,FALSE)</f>
        <v>#REF!</v>
      </c>
      <c r="E69" s="1176">
        <f>G58</f>
        <v>40</v>
      </c>
      <c r="F69" s="1173" t="e">
        <f>VLOOKUP(B69,#REF!,4,FALSE)</f>
        <v>#REF!</v>
      </c>
      <c r="G69" s="1173" t="e">
        <f t="shared" ref="G69" ca="1" si="16">TRUNC((ROUNDUP(dhTextEvaluate(E69),0)),0)</f>
        <v>#NAME?</v>
      </c>
      <c r="H69" s="1173"/>
    </row>
    <row r="70" spans="2:8" ht="17.100000000000001" customHeight="1">
      <c r="B70" s="194" t="e">
        <f>#REF!</f>
        <v>#REF!</v>
      </c>
      <c r="C70" s="1174" t="e">
        <f>VLOOKUP(B70,#REF!,2,FALSE)</f>
        <v>#REF!</v>
      </c>
      <c r="D70" s="1174" t="e">
        <f>VLOOKUP(B70,#REF!,3,FALSE)</f>
        <v>#REF!</v>
      </c>
      <c r="E70" s="1176">
        <f>G57</f>
        <v>242</v>
      </c>
      <c r="F70" s="1173" t="e">
        <f>VLOOKUP(B70,#REF!,4,FALSE)</f>
        <v>#REF!</v>
      </c>
      <c r="G70" s="1173" t="e">
        <f t="shared" ref="G70" ca="1" si="17">TRUNC((ROUNDUP(dhTextEvaluate(E70),0)),0)</f>
        <v>#NAME?</v>
      </c>
      <c r="H70" s="1173"/>
    </row>
    <row r="71" spans="2:8" ht="17.100000000000001" customHeight="1">
      <c r="B71" s="194" t="e">
        <f>#REF!</f>
        <v>#REF!</v>
      </c>
      <c r="C71" s="1174" t="e">
        <f>VLOOKUP(B71,#REF!,2,FALSE)</f>
        <v>#REF!</v>
      </c>
      <c r="D71" s="1174" t="e">
        <f>VLOOKUP(B71,#REF!,3,FALSE)</f>
        <v>#REF!</v>
      </c>
      <c r="E71" s="1176">
        <f>G56</f>
        <v>191</v>
      </c>
      <c r="F71" s="1173" t="e">
        <f>VLOOKUP(B71,#REF!,4,FALSE)</f>
        <v>#REF!</v>
      </c>
      <c r="G71" s="1173" t="e">
        <f t="shared" ref="G71" ca="1" si="18">TRUNC((ROUNDUP(dhTextEvaluate(E71),0)),0)</f>
        <v>#NAME?</v>
      </c>
      <c r="H71" s="1173"/>
    </row>
    <row r="72" spans="2:8" ht="17.100000000000001" customHeight="1">
      <c r="B72" s="194" t="e">
        <f>#REF!</f>
        <v>#REF!</v>
      </c>
      <c r="C72" s="1174" t="e">
        <f>VLOOKUP(B72,#REF!,2,FALSE)</f>
        <v>#REF!</v>
      </c>
      <c r="D72" s="1174" t="e">
        <f>VLOOKUP(B72,#REF!,3,FALSE)</f>
        <v>#REF!</v>
      </c>
      <c r="E72" s="1176">
        <f>G59</f>
        <v>24</v>
      </c>
      <c r="F72" s="1173" t="e">
        <f>VLOOKUP(B72,#REF!,4,FALSE)</f>
        <v>#REF!</v>
      </c>
      <c r="G72" s="1173" t="e">
        <f t="shared" ref="G72" ca="1" si="19">TRUNC((ROUNDUP(dhTextEvaluate(E72),0)),0)</f>
        <v>#NAME?</v>
      </c>
      <c r="H72" s="1173"/>
    </row>
    <row r="73" spans="2:8" ht="17.100000000000001" customHeight="1">
      <c r="B73" s="194" t="e">
        <f>#REF!</f>
        <v>#REF!</v>
      </c>
      <c r="C73" s="1174" t="e">
        <f>VLOOKUP(B73,#REF!,2,FALSE)</f>
        <v>#REF!</v>
      </c>
      <c r="D73" s="1174" t="e">
        <f>VLOOKUP(B73,#REF!,3,FALSE)</f>
        <v>#REF!</v>
      </c>
      <c r="E73" s="1176">
        <f>G64</f>
        <v>185</v>
      </c>
      <c r="F73" s="1173" t="e">
        <f>VLOOKUP(B73,#REF!,4,FALSE)</f>
        <v>#REF!</v>
      </c>
      <c r="G73" s="1173" t="e">
        <f t="shared" ref="G73" ca="1" si="20">TRUNC((ROUNDUP(dhTextEvaluate(E73),0)),0)</f>
        <v>#NAME?</v>
      </c>
      <c r="H73" s="1173"/>
    </row>
    <row r="74" spans="2:8" ht="17.100000000000001" customHeight="1">
      <c r="B74" s="194" t="e">
        <f>#REF!</f>
        <v>#REF!</v>
      </c>
      <c r="C74" s="1174" t="e">
        <f>VLOOKUP(B74,#REF!,2,FALSE)</f>
        <v>#REF!</v>
      </c>
      <c r="D74" s="1174" t="e">
        <f>VLOOKUP(B74,#REF!,3,FALSE)</f>
        <v>#REF!</v>
      </c>
      <c r="E74" s="1174">
        <f>(G58)*2</f>
        <v>80</v>
      </c>
      <c r="F74" s="1173" t="e">
        <f>VLOOKUP(B74,#REF!,4,FALSE)</f>
        <v>#REF!</v>
      </c>
      <c r="G74" s="1173" t="e">
        <f t="shared" ref="G74" ca="1" si="21">TRUNC((ROUNDUP(dhTextEvaluate(E74),0)),0)</f>
        <v>#NAME?</v>
      </c>
      <c r="H74" s="1173"/>
    </row>
    <row r="75" spans="2:8" ht="17.100000000000001" customHeight="1">
      <c r="B75" s="194" t="e">
        <f>#REF!</f>
        <v>#REF!</v>
      </c>
      <c r="C75" s="1174" t="e">
        <f>VLOOKUP(B75,#REF!,2,FALSE)</f>
        <v>#REF!</v>
      </c>
      <c r="D75" s="1174" t="e">
        <f>VLOOKUP(B75,#REF!,3,FALSE)</f>
        <v>#REF!</v>
      </c>
      <c r="E75" s="1174">
        <f>(G57)*4</f>
        <v>968</v>
      </c>
      <c r="F75" s="1173" t="e">
        <f>VLOOKUP(B75,#REF!,4,FALSE)</f>
        <v>#REF!</v>
      </c>
      <c r="G75" s="1173" t="e">
        <f t="shared" ref="G75" ca="1" si="22">TRUNC((ROUNDUP(dhTextEvaluate(E75),0)),0)</f>
        <v>#NAME?</v>
      </c>
      <c r="H75" s="1173"/>
    </row>
    <row r="76" spans="2:8" ht="17.100000000000001" customHeight="1">
      <c r="B76" s="194" t="e">
        <f>#REF!</f>
        <v>#REF!</v>
      </c>
      <c r="C76" s="1174" t="e">
        <f>VLOOKUP(B76,#REF!,2,FALSE)</f>
        <v>#REF!</v>
      </c>
      <c r="D76" s="1174" t="e">
        <f>VLOOKUP(B76,#REF!,3,FALSE)</f>
        <v>#REF!</v>
      </c>
      <c r="E76" s="1174">
        <f>(G56)*4</f>
        <v>764</v>
      </c>
      <c r="F76" s="1173" t="e">
        <f>VLOOKUP(B76,#REF!,4,FALSE)</f>
        <v>#REF!</v>
      </c>
      <c r="G76" s="1173" t="e">
        <f t="shared" ref="G76" ca="1" si="23">TRUNC((ROUNDUP(dhTextEvaluate(E76),0)),0)</f>
        <v>#NAME?</v>
      </c>
      <c r="H76" s="1173"/>
    </row>
    <row r="77" spans="2:8" ht="17.100000000000001" customHeight="1">
      <c r="B77" s="194" t="e">
        <f>#REF!</f>
        <v>#REF!</v>
      </c>
      <c r="C77" s="1174" t="e">
        <f>VLOOKUP(B77,#REF!,2,FALSE)</f>
        <v>#REF!</v>
      </c>
      <c r="D77" s="1174" t="e">
        <f>VLOOKUP(B77,#REF!,3,FALSE)</f>
        <v>#REF!</v>
      </c>
      <c r="E77" s="1176">
        <f>G57+G58</f>
        <v>282</v>
      </c>
      <c r="F77" s="1173" t="e">
        <f>VLOOKUP(B77,#REF!,4,FALSE)</f>
        <v>#REF!</v>
      </c>
      <c r="G77" s="1173" t="e">
        <f t="shared" ref="G77" ca="1" si="24">TRUNC((ROUNDUP(dhTextEvaluate(E77),0)),0)</f>
        <v>#NAME?</v>
      </c>
      <c r="H77" s="1173"/>
    </row>
    <row r="78" spans="2:8" ht="17.100000000000001" customHeight="1">
      <c r="B78" s="194" t="e">
        <f>#REF!</f>
        <v>#REF!</v>
      </c>
      <c r="C78" s="1174" t="e">
        <f>VLOOKUP(B78,#REF!,2,FALSE)</f>
        <v>#REF!</v>
      </c>
      <c r="D78" s="1174" t="e">
        <f>VLOOKUP(B78,#REF!,3,FALSE)</f>
        <v>#REF!</v>
      </c>
      <c r="E78" s="1176">
        <f>G56</f>
        <v>191</v>
      </c>
      <c r="F78" s="1173" t="e">
        <f>VLOOKUP(B78,#REF!,4,FALSE)</f>
        <v>#REF!</v>
      </c>
      <c r="G78" s="1173" t="e">
        <f t="shared" ref="G78" ca="1" si="25">TRUNC((ROUNDUP(dhTextEvaluate(E78),0)),0)</f>
        <v>#NAME?</v>
      </c>
      <c r="H78" s="1173"/>
    </row>
    <row r="79" spans="2:8" ht="17.100000000000001" customHeight="1">
      <c r="B79" s="194" t="e">
        <f>#REF!</f>
        <v>#REF!</v>
      </c>
      <c r="C79" s="1174" t="e">
        <f>VLOOKUP(B79,#REF!,2,FALSE)</f>
        <v>#REF!</v>
      </c>
      <c r="D79" s="1174" t="e">
        <f>VLOOKUP(B79,#REF!,3,FALSE)</f>
        <v>#REF!</v>
      </c>
      <c r="E79" s="1176">
        <f>G60+G61+G62</f>
        <v>24</v>
      </c>
      <c r="F79" s="1173" t="e">
        <f>VLOOKUP(B79,#REF!,4,FALSE)</f>
        <v>#REF!</v>
      </c>
      <c r="G79" s="1173" t="e">
        <f t="shared" ref="G79:G80" ca="1" si="26">TRUNC((ROUNDUP(dhTextEvaluate(E79),0)),0)</f>
        <v>#NAME?</v>
      </c>
      <c r="H79" s="1173"/>
    </row>
    <row r="80" spans="2:8" ht="17.100000000000001" customHeight="1">
      <c r="B80" s="194" t="e">
        <f>#REF!</f>
        <v>#REF!</v>
      </c>
      <c r="C80" s="1174" t="e">
        <f>VLOOKUP(B80,#REF!,2,FALSE)</f>
        <v>#REF!</v>
      </c>
      <c r="D80" s="1174" t="e">
        <f>VLOOKUP(B80,#REF!,3,FALSE)</f>
        <v>#REF!</v>
      </c>
      <c r="E80" s="1176">
        <f>G62</f>
        <v>7</v>
      </c>
      <c r="F80" s="1173" t="e">
        <f>VLOOKUP(B80,#REF!,4,FALSE)</f>
        <v>#REF!</v>
      </c>
      <c r="G80" s="1173" t="e">
        <f t="shared" ca="1" si="26"/>
        <v>#NAME?</v>
      </c>
      <c r="H80" s="1173"/>
    </row>
    <row r="81" spans="2:8" ht="17.100000000000001" customHeight="1">
      <c r="B81" s="194" t="e">
        <f>#REF!</f>
        <v>#REF!</v>
      </c>
      <c r="C81" s="1174" t="e">
        <f>VLOOKUP(B81,#REF!,2,FALSE)</f>
        <v>#REF!</v>
      </c>
      <c r="D81" s="1174" t="e">
        <f>VLOOKUP(B81,#REF!,3,FALSE)</f>
        <v>#REF!</v>
      </c>
      <c r="E81" s="1176" t="e">
        <f ca="1">G79</f>
        <v>#NAME?</v>
      </c>
      <c r="F81" s="1173" t="e">
        <f>VLOOKUP(B81,#REF!,4,FALSE)</f>
        <v>#REF!</v>
      </c>
      <c r="G81" s="1173" t="e">
        <f t="shared" ref="G81" ca="1" si="27">TRUNC((ROUNDUP(dhTextEvaluate(E81),0)),0)</f>
        <v>#NAME?</v>
      </c>
      <c r="H81" s="1173"/>
    </row>
    <row r="82" spans="2:8" ht="17.100000000000001" customHeight="1">
      <c r="B82" s="194" t="e">
        <f>#REF!</f>
        <v>#REF!</v>
      </c>
      <c r="C82" s="1174" t="e">
        <f>VLOOKUP(B82,#REF!,2,FALSE)</f>
        <v>#REF!</v>
      </c>
      <c r="D82" s="1174" t="e">
        <f>VLOOKUP(B82,#REF!,3,FALSE)</f>
        <v>#REF!</v>
      </c>
      <c r="E82" s="1176">
        <f>G62</f>
        <v>7</v>
      </c>
      <c r="F82" s="1173" t="e">
        <f>VLOOKUP(B82,#REF!,4,FALSE)</f>
        <v>#REF!</v>
      </c>
      <c r="G82" s="1173" t="e">
        <f t="shared" ref="G82" ca="1" si="28">TRUNC((ROUNDUP(dhTextEvaluate(E82),0)),0)</f>
        <v>#NAME?</v>
      </c>
      <c r="H82" s="1173"/>
    </row>
    <row r="83" spans="2:8" ht="17.100000000000001" customHeight="1">
      <c r="B83" s="194" t="e">
        <f>#REF!</f>
        <v>#REF!</v>
      </c>
      <c r="C83" s="1174" t="e">
        <f>VLOOKUP(B83,#REF!,2,FALSE)</f>
        <v>#REF!</v>
      </c>
      <c r="D83" s="1174" t="e">
        <f>VLOOKUP(B83,#REF!,3,FALSE)</f>
        <v>#REF!</v>
      </c>
      <c r="E83" s="1176" t="e">
        <f ca="1">G79</f>
        <v>#NAME?</v>
      </c>
      <c r="F83" s="1173" t="e">
        <f>VLOOKUP(B83,#REF!,4,FALSE)</f>
        <v>#REF!</v>
      </c>
      <c r="G83" s="1173" t="e">
        <f t="shared" ref="G83" ca="1" si="29">TRUNC((ROUNDUP(dhTextEvaluate(E83),0)),0)</f>
        <v>#NAME?</v>
      </c>
      <c r="H83" s="1173"/>
    </row>
    <row r="84" spans="2:8" ht="17.100000000000001" customHeight="1">
      <c r="B84" s="194" t="e">
        <f>#REF!</f>
        <v>#REF!</v>
      </c>
      <c r="C84" s="1174" t="e">
        <f>VLOOKUP(B84,#REF!,2,FALSE)</f>
        <v>#REF!</v>
      </c>
      <c r="D84" s="1174" t="e">
        <f>VLOOKUP(B84,#REF!,3,FALSE)</f>
        <v>#REF!</v>
      </c>
      <c r="E84" s="1176">
        <f>G62</f>
        <v>7</v>
      </c>
      <c r="F84" s="1173" t="e">
        <f>VLOOKUP(B84,#REF!,4,FALSE)</f>
        <v>#REF!</v>
      </c>
      <c r="G84" s="1173" t="e">
        <f t="shared" ref="G84" ca="1" si="30">TRUNC((ROUNDUP(dhTextEvaluate(E84),0)),0)</f>
        <v>#NAME?</v>
      </c>
      <c r="H84" s="1173"/>
    </row>
    <row r="85" spans="2:8" ht="17.100000000000001" customHeight="1">
      <c r="B85" s="194" t="e">
        <f>#REF!</f>
        <v>#REF!</v>
      </c>
      <c r="C85" s="1174" t="e">
        <f>VLOOKUP(B85,#REF!,2,FALSE)</f>
        <v>#REF!</v>
      </c>
      <c r="D85" s="1174" t="e">
        <f>VLOOKUP(B85,#REF!,3,FALSE)</f>
        <v>#REF!</v>
      </c>
      <c r="E85" s="1176">
        <f>G60+G61</f>
        <v>17</v>
      </c>
      <c r="F85" s="1173" t="e">
        <f>VLOOKUP(B85,#REF!,4,FALSE)</f>
        <v>#REF!</v>
      </c>
      <c r="G85" s="1173" t="e">
        <f t="shared" ref="G85" ca="1" si="31">TRUNC((ROUNDUP(dhTextEvaluate(E85),0)),0)</f>
        <v>#NAME?</v>
      </c>
      <c r="H85" s="1173"/>
    </row>
    <row r="86" spans="2:8" ht="17.100000000000001" customHeight="1">
      <c r="B86" s="194" t="e">
        <f>#REF!</f>
        <v>#REF!</v>
      </c>
      <c r="C86" s="1174" t="e">
        <f>VLOOKUP(B86,#REF!,2,FALSE)</f>
        <v>#REF!</v>
      </c>
      <c r="D86" s="1174" t="e">
        <f>VLOOKUP(B86,#REF!,3,FALSE)</f>
        <v>#REF!</v>
      </c>
      <c r="E86" s="1176">
        <f>G61</f>
        <v>1</v>
      </c>
      <c r="F86" s="1173" t="e">
        <f>VLOOKUP(B86,#REF!,4,FALSE)</f>
        <v>#REF!</v>
      </c>
      <c r="G86" s="1173" t="e">
        <f t="shared" ref="G86" ca="1" si="32">TRUNC((ROUNDUP(dhTextEvaluate(E86),0)),0)</f>
        <v>#NAME?</v>
      </c>
      <c r="H86" s="1173"/>
    </row>
    <row r="87" spans="2:8" ht="17.100000000000001" customHeight="1">
      <c r="B87" s="194" t="e">
        <f>#REF!</f>
        <v>#REF!</v>
      </c>
      <c r="C87" s="1174" t="e">
        <f>VLOOKUP(B87,#REF!,2,FALSE)</f>
        <v>#REF!</v>
      </c>
      <c r="D87" s="1174" t="e">
        <f>VLOOKUP(B87,#REF!,3,FALSE)</f>
        <v>#REF!</v>
      </c>
      <c r="E87" s="1176">
        <f>G60+G61+G62</f>
        <v>24</v>
      </c>
      <c r="F87" s="1173" t="e">
        <f>VLOOKUP(B87,#REF!,4,FALSE)</f>
        <v>#REF!</v>
      </c>
      <c r="G87" s="1173" t="e">
        <f t="shared" ref="G87" ca="1" si="33">TRUNC((ROUNDUP(dhTextEvaluate(E87),0)),0)</f>
        <v>#NAME?</v>
      </c>
      <c r="H87" s="1173"/>
    </row>
    <row r="88" spans="2:8" ht="17.100000000000001" customHeight="1">
      <c r="B88" s="194" t="e">
        <f>#REF!</f>
        <v>#REF!</v>
      </c>
      <c r="C88" s="1174" t="e">
        <f>VLOOKUP(B88,#REF!,2,FALSE)</f>
        <v>#REF!</v>
      </c>
      <c r="D88" s="1174" t="e">
        <f>VLOOKUP(B88,#REF!,3,FALSE)</f>
        <v>#REF!</v>
      </c>
      <c r="E88" s="1174" t="e">
        <f ca="1">G87-2</f>
        <v>#NAME?</v>
      </c>
      <c r="F88" s="1173" t="e">
        <f>VLOOKUP(B88,#REF!,4,FALSE)</f>
        <v>#REF!</v>
      </c>
      <c r="G88" s="1173" t="e">
        <f t="shared" ref="G88" ca="1" si="34">TRUNC((ROUNDUP(dhTextEvaluate(E88),0)),0)</f>
        <v>#NAME?</v>
      </c>
      <c r="H88" s="1173"/>
    </row>
    <row r="89" spans="2:8" ht="17.100000000000001" customHeight="1">
      <c r="B89" s="194" t="e">
        <f>#REF!</f>
        <v>#REF!</v>
      </c>
      <c r="C89" s="1174" t="e">
        <f>VLOOKUP(B89,#REF!,2,FALSE)</f>
        <v>#REF!</v>
      </c>
      <c r="D89" s="1174" t="e">
        <f>VLOOKUP(B89,#REF!,3,FALSE)</f>
        <v>#REF!</v>
      </c>
      <c r="E89" s="1176">
        <f>G65</f>
        <v>2</v>
      </c>
      <c r="F89" s="1173" t="e">
        <f>VLOOKUP(B89,#REF!,4,FALSE)</f>
        <v>#REF!</v>
      </c>
      <c r="G89" s="1173" t="e">
        <f t="shared" ref="G89" ca="1" si="35">TRUNC((ROUNDUP(dhTextEvaluate(E89),0)),0)</f>
        <v>#NAME?</v>
      </c>
      <c r="H89" s="1173"/>
    </row>
    <row r="90" spans="2:8" ht="17.100000000000001" customHeight="1">
      <c r="B90" s="193" t="e">
        <f>#REF!</f>
        <v>#REF!</v>
      </c>
      <c r="C90" s="1174" t="e">
        <f>VLOOKUP(B90,#REF!,2,FALSE)</f>
        <v>#REF!</v>
      </c>
      <c r="D90" s="1174" t="e">
        <f>VLOOKUP(B90,#REF!,3,FALSE)</f>
        <v>#REF!</v>
      </c>
      <c r="E90" s="1176">
        <f>G66</f>
        <v>473</v>
      </c>
      <c r="F90" s="1173" t="e">
        <f>VLOOKUP(B90,#REF!,4,FALSE)</f>
        <v>#REF!</v>
      </c>
      <c r="G90" s="1173" t="e">
        <f t="shared" ref="G90" ca="1" si="36">TRUNC((ROUNDUP(dhTextEvaluate(E90),0)),0)</f>
        <v>#NAME?</v>
      </c>
      <c r="H90" s="1173"/>
    </row>
    <row r="91" spans="2:8" ht="17.100000000000001" customHeight="1">
      <c r="B91" s="193" t="e">
        <f>#REF!</f>
        <v>#REF!</v>
      </c>
      <c r="C91" s="1174" t="e">
        <f>VLOOKUP(B91,#REF!,2,FALSE)</f>
        <v>#REF!</v>
      </c>
      <c r="D91" s="1174" t="e">
        <f>VLOOKUP(B91,#REF!,3,FALSE)</f>
        <v>#REF!</v>
      </c>
      <c r="E91" s="1176">
        <f>G67</f>
        <v>24</v>
      </c>
      <c r="F91" s="1173" t="e">
        <f>VLOOKUP(B91,#REF!,4,FALSE)</f>
        <v>#REF!</v>
      </c>
      <c r="G91" s="1173" t="e">
        <f t="shared" ref="G91" ca="1" si="37">TRUNC((ROUNDUP(dhTextEvaluate(E91),0)),0)</f>
        <v>#NAME?</v>
      </c>
      <c r="H91" s="1173"/>
    </row>
    <row r="92" spans="2:8" ht="17.100000000000001" customHeight="1">
      <c r="B92" s="193" t="e">
        <f>#REF!</f>
        <v>#REF!</v>
      </c>
      <c r="C92" s="1174" t="e">
        <f>VLOOKUP(B92,#REF!,2,FALSE)</f>
        <v>#REF!</v>
      </c>
      <c r="D92" s="1174" t="e">
        <f>VLOOKUP(B92,#REF!,3,FALSE)</f>
        <v>#REF!</v>
      </c>
      <c r="E92" s="1176">
        <f>G63</f>
        <v>2</v>
      </c>
      <c r="F92" s="1173" t="e">
        <f>VLOOKUP(B92,#REF!,4,FALSE)</f>
        <v>#REF!</v>
      </c>
      <c r="G92" s="1173" t="e">
        <f t="shared" ref="G92" ca="1" si="38">TRUNC((ROUNDUP(dhTextEvaluate(E92),0)),0)</f>
        <v>#NAME?</v>
      </c>
      <c r="H92" s="1173"/>
    </row>
    <row r="93" spans="2:8" ht="17.100000000000001" customHeight="1">
      <c r="B93" s="193"/>
      <c r="C93" s="1174"/>
      <c r="D93" s="1174"/>
      <c r="E93" s="1176"/>
      <c r="F93" s="1173"/>
      <c r="G93" s="1173"/>
      <c r="H93" s="1173"/>
    </row>
    <row r="94" spans="2:8" ht="17.100000000000001" customHeight="1">
      <c r="B94" s="193"/>
      <c r="C94" s="1174"/>
      <c r="D94" s="1174"/>
      <c r="E94" s="1176"/>
      <c r="F94" s="1173"/>
      <c r="G94" s="1173"/>
      <c r="H94" s="1173"/>
    </row>
    <row r="95" spans="2:8" ht="17.100000000000001" customHeight="1">
      <c r="B95" s="193"/>
      <c r="C95" s="1174"/>
      <c r="D95" s="1174"/>
      <c r="E95" s="1176"/>
      <c r="F95" s="1173"/>
      <c r="G95" s="1173"/>
      <c r="H95" s="1173"/>
    </row>
    <row r="96" spans="2:8" ht="17.100000000000001" customHeight="1">
      <c r="B96" s="193"/>
      <c r="C96" s="1174"/>
      <c r="D96" s="1174"/>
      <c r="E96" s="1176"/>
      <c r="F96" s="1173"/>
      <c r="G96" s="1173"/>
      <c r="H96" s="1173"/>
    </row>
    <row r="97" spans="2:8" ht="17.100000000000001" customHeight="1">
      <c r="B97" s="193"/>
      <c r="C97" s="1174"/>
      <c r="D97" s="1174"/>
      <c r="E97" s="1176"/>
      <c r="F97" s="1173"/>
      <c r="G97" s="1173"/>
      <c r="H97" s="1173"/>
    </row>
    <row r="98" spans="2:8" ht="17.100000000000001" customHeight="1">
      <c r="B98" s="193"/>
      <c r="C98" s="1174"/>
      <c r="D98" s="1174"/>
      <c r="E98" s="1176"/>
      <c r="F98" s="1173"/>
      <c r="G98" s="1173"/>
      <c r="H98" s="1173"/>
    </row>
    <row r="99" spans="2:8" ht="17.100000000000001" customHeight="1">
      <c r="B99" s="193"/>
      <c r="C99" s="1174"/>
      <c r="D99" s="1174"/>
      <c r="E99" s="1176"/>
      <c r="F99" s="1173"/>
      <c r="G99" s="1173"/>
      <c r="H99" s="1173"/>
    </row>
    <row r="100" spans="2:8" ht="17.100000000000001" customHeight="1">
      <c r="B100" s="193"/>
      <c r="C100" s="1174"/>
      <c r="D100" s="1174"/>
      <c r="E100" s="1176"/>
      <c r="F100" s="1173"/>
      <c r="G100" s="1173"/>
      <c r="H100" s="1173"/>
    </row>
    <row r="101" spans="2:8" ht="17.100000000000001" customHeight="1">
      <c r="B101" s="193"/>
      <c r="C101" s="1174"/>
      <c r="D101" s="1174"/>
      <c r="E101" s="1176"/>
      <c r="F101" s="1173"/>
      <c r="G101" s="1173"/>
      <c r="H101" s="1173"/>
    </row>
    <row r="102" spans="2:8" ht="17.100000000000001" customHeight="1">
      <c r="B102" s="193"/>
      <c r="C102" s="1174"/>
      <c r="D102" s="1174"/>
      <c r="E102" s="1176"/>
      <c r="F102" s="1173"/>
      <c r="G102" s="1173"/>
      <c r="H102" s="1173"/>
    </row>
    <row r="103" spans="2:8" ht="17.100000000000001" customHeight="1">
      <c r="B103" s="193"/>
      <c r="C103" s="1174"/>
      <c r="D103" s="1174"/>
      <c r="E103" s="1176"/>
      <c r="F103" s="1173"/>
      <c r="G103" s="1173"/>
      <c r="H103" s="1173"/>
    </row>
    <row r="104" spans="2:8" ht="17.100000000000001" customHeight="1">
      <c r="B104" s="193"/>
      <c r="C104" s="1174"/>
      <c r="D104" s="1174"/>
      <c r="E104" s="1176"/>
      <c r="F104" s="1173"/>
      <c r="G104" s="1173"/>
      <c r="H104" s="1173"/>
    </row>
    <row r="105" spans="2:8" ht="18" customHeight="1">
      <c r="C105" s="1172" t="s">
        <v>1803</v>
      </c>
      <c r="D105" s="1173"/>
      <c r="E105" s="1174"/>
      <c r="F105" s="1174"/>
      <c r="G105" s="1173"/>
      <c r="H105" s="1173"/>
    </row>
    <row r="106" spans="2:8" ht="18" customHeight="1">
      <c r="B106" s="194" t="s">
        <v>1752</v>
      </c>
      <c r="C106" s="1172" t="s">
        <v>1744</v>
      </c>
      <c r="D106" s="1173"/>
      <c r="E106" s="1174"/>
      <c r="F106" s="1174"/>
      <c r="G106" s="1173"/>
      <c r="H106" s="1173"/>
    </row>
    <row r="107" spans="2:8" ht="18" customHeight="1">
      <c r="C107" s="1620" t="s">
        <v>1760</v>
      </c>
      <c r="D107" s="1621"/>
      <c r="E107" s="1174"/>
      <c r="F107" s="1173"/>
      <c r="G107" s="1173"/>
      <c r="H107" s="1173"/>
    </row>
    <row r="108" spans="2:8" ht="18" customHeight="1">
      <c r="C108" s="1618" t="s">
        <v>1600</v>
      </c>
      <c r="D108" s="1619"/>
      <c r="E108" s="1174" t="s">
        <v>1780</v>
      </c>
      <c r="F108" s="1173" t="s">
        <v>54</v>
      </c>
      <c r="G108" s="1173">
        <f t="shared" ref="G108:G120" si="39">TRUNC((ROUNDUP(dhTextEvaluate(E108),0)),0)</f>
        <v>69</v>
      </c>
      <c r="H108" s="1173" t="s">
        <v>901</v>
      </c>
    </row>
    <row r="109" spans="2:8" ht="18" customHeight="1">
      <c r="C109" s="1618" t="s">
        <v>1601</v>
      </c>
      <c r="D109" s="1619"/>
      <c r="E109" s="1174"/>
      <c r="F109" s="1173" t="s">
        <v>54</v>
      </c>
      <c r="G109" s="1173">
        <f t="shared" si="39"/>
        <v>0</v>
      </c>
      <c r="H109" s="1173" t="s">
        <v>901</v>
      </c>
    </row>
    <row r="110" spans="2:8" ht="18" customHeight="1">
      <c r="C110" s="1618" t="s">
        <v>1602</v>
      </c>
      <c r="D110" s="1619"/>
      <c r="E110" s="1174" t="s">
        <v>1781</v>
      </c>
      <c r="F110" s="1173" t="s">
        <v>54</v>
      </c>
      <c r="G110" s="1173">
        <f t="shared" si="39"/>
        <v>65</v>
      </c>
      <c r="H110" s="1173" t="s">
        <v>901</v>
      </c>
    </row>
    <row r="111" spans="2:8" ht="18" customHeight="1">
      <c r="C111" s="1618" t="s">
        <v>1603</v>
      </c>
      <c r="D111" s="1619"/>
      <c r="E111" s="1174"/>
      <c r="F111" s="1173" t="s">
        <v>54</v>
      </c>
      <c r="G111" s="1173">
        <f t="shared" si="39"/>
        <v>0</v>
      </c>
      <c r="H111" s="1173" t="s">
        <v>901</v>
      </c>
    </row>
    <row r="112" spans="2:8" ht="18" customHeight="1">
      <c r="C112" s="1618" t="s">
        <v>1604</v>
      </c>
      <c r="D112" s="1619"/>
      <c r="E112" s="1174"/>
      <c r="F112" s="1173" t="s">
        <v>54</v>
      </c>
      <c r="G112" s="1173">
        <f t="shared" si="39"/>
        <v>0</v>
      </c>
      <c r="H112" s="1173" t="s">
        <v>901</v>
      </c>
    </row>
    <row r="113" spans="3:8" ht="18" customHeight="1">
      <c r="C113" s="1618" t="s">
        <v>1735</v>
      </c>
      <c r="D113" s="1619"/>
      <c r="E113" s="1174">
        <v>30</v>
      </c>
      <c r="F113" s="1173" t="s">
        <v>54</v>
      </c>
      <c r="G113" s="1173">
        <f t="shared" si="39"/>
        <v>30</v>
      </c>
      <c r="H113" s="1173" t="s">
        <v>901</v>
      </c>
    </row>
    <row r="114" spans="3:8" ht="18" customHeight="1">
      <c r="C114" s="1618" t="s">
        <v>1736</v>
      </c>
      <c r="D114" s="1619"/>
      <c r="E114" s="1174"/>
      <c r="F114" s="1173" t="s">
        <v>54</v>
      </c>
      <c r="G114" s="1173">
        <f t="shared" si="39"/>
        <v>0</v>
      </c>
      <c r="H114" s="1173" t="s">
        <v>901</v>
      </c>
    </row>
    <row r="115" spans="3:8" ht="18" customHeight="1">
      <c r="C115" s="1618" t="s">
        <v>1737</v>
      </c>
      <c r="D115" s="1619"/>
      <c r="E115" s="1174"/>
      <c r="F115" s="1173" t="s">
        <v>54</v>
      </c>
      <c r="G115" s="1173">
        <f t="shared" si="39"/>
        <v>0</v>
      </c>
      <c r="H115" s="1173" t="s">
        <v>901</v>
      </c>
    </row>
    <row r="116" spans="3:8" ht="18" customHeight="1">
      <c r="C116" s="1618" t="s">
        <v>1747</v>
      </c>
      <c r="D116" s="1619"/>
      <c r="E116" s="1174"/>
      <c r="F116" s="1173" t="s">
        <v>54</v>
      </c>
      <c r="G116" s="1173">
        <f t="shared" si="39"/>
        <v>0</v>
      </c>
      <c r="H116" s="1173" t="s">
        <v>901</v>
      </c>
    </row>
    <row r="117" spans="3:8" ht="18" customHeight="1">
      <c r="C117" s="1618" t="s">
        <v>1748</v>
      </c>
      <c r="D117" s="1619"/>
      <c r="E117" s="1174"/>
      <c r="F117" s="1173" t="s">
        <v>54</v>
      </c>
      <c r="G117" s="1173">
        <f t="shared" si="39"/>
        <v>0</v>
      </c>
      <c r="H117" s="1173" t="s">
        <v>901</v>
      </c>
    </row>
    <row r="118" spans="3:8" ht="18" customHeight="1">
      <c r="C118" s="1618" t="s">
        <v>1749</v>
      </c>
      <c r="D118" s="1619"/>
      <c r="E118" s="1174"/>
      <c r="F118" s="1173" t="s">
        <v>54</v>
      </c>
      <c r="G118" s="1173">
        <f t="shared" si="39"/>
        <v>0</v>
      </c>
      <c r="H118" s="1173" t="s">
        <v>901</v>
      </c>
    </row>
    <row r="119" spans="3:8" ht="18" customHeight="1">
      <c r="C119" s="1618" t="s">
        <v>1750</v>
      </c>
      <c r="D119" s="1619"/>
      <c r="E119" s="1174">
        <v>4</v>
      </c>
      <c r="F119" s="1173" t="s">
        <v>54</v>
      </c>
      <c r="G119" s="1173">
        <f t="shared" si="39"/>
        <v>4</v>
      </c>
      <c r="H119" s="1173" t="s">
        <v>901</v>
      </c>
    </row>
    <row r="120" spans="3:8" ht="18" customHeight="1">
      <c r="C120" s="1618" t="s">
        <v>1675</v>
      </c>
      <c r="D120" s="1619"/>
      <c r="E120" s="1178" t="str">
        <f>"("&amp;G108&amp;"*1)+("&amp;G109&amp;"*2)+("&amp;G110&amp;"*3)+("&amp;G111&amp;"*4)+("&amp;G112&amp;"*5)+("&amp;G113&amp;"*6)+("&amp;G114&amp;"*7)+("&amp;G115&amp;"*8)+("&amp;G116&amp;"*9)+("&amp;G117&amp;"*10)+("&amp;G118&amp;"*11)+("&amp;G119&amp;"*12)"</f>
        <v>(69*1)+(0*2)+(65*3)+(0*4)+(0*5)+(30*6)+(0*7)+(0*8)+(0*9)+(0*10)+(0*11)+(4*12)</v>
      </c>
      <c r="F120" s="1173" t="s">
        <v>54</v>
      </c>
      <c r="G120" s="1173">
        <f t="shared" si="39"/>
        <v>492</v>
      </c>
      <c r="H120" s="1173" t="s">
        <v>901</v>
      </c>
    </row>
    <row r="121" spans="3:8" ht="18" customHeight="1">
      <c r="C121" s="1618" t="s">
        <v>1633</v>
      </c>
      <c r="D121" s="1619"/>
      <c r="E121" s="1178" t="s">
        <v>1782</v>
      </c>
      <c r="F121" s="1173" t="s">
        <v>54</v>
      </c>
      <c r="G121" s="1173">
        <f>TRUNC((ROUNDUP(dhTextEvaluate(E121),0)),0)</f>
        <v>126</v>
      </c>
      <c r="H121" s="1173" t="s">
        <v>901</v>
      </c>
    </row>
    <row r="122" spans="3:8" ht="18" customHeight="1">
      <c r="C122" s="1178"/>
      <c r="D122" s="1240"/>
      <c r="E122" s="1178"/>
      <c r="F122" s="1173"/>
      <c r="G122" s="1173"/>
      <c r="H122" s="1173"/>
    </row>
    <row r="123" spans="3:8" ht="18" customHeight="1">
      <c r="C123" s="1178"/>
      <c r="D123" s="1240"/>
      <c r="E123" s="1178"/>
      <c r="F123" s="1173"/>
      <c r="G123" s="1173"/>
      <c r="H123" s="1173"/>
    </row>
    <row r="124" spans="3:8" ht="18" customHeight="1">
      <c r="C124" s="1178"/>
      <c r="D124" s="1240"/>
      <c r="E124" s="1178"/>
      <c r="F124" s="1173"/>
      <c r="G124" s="1173"/>
      <c r="H124" s="1173"/>
    </row>
    <row r="125" spans="3:8" ht="18" customHeight="1">
      <c r="C125" s="1178"/>
      <c r="D125" s="1240"/>
      <c r="E125" s="1178"/>
      <c r="F125" s="1173"/>
      <c r="G125" s="1173"/>
      <c r="H125" s="1173"/>
    </row>
    <row r="126" spans="3:8" ht="18" customHeight="1">
      <c r="C126" s="1178"/>
      <c r="D126" s="1240"/>
      <c r="E126" s="1178"/>
      <c r="F126" s="1173"/>
      <c r="G126" s="1173"/>
      <c r="H126" s="1173"/>
    </row>
    <row r="127" spans="3:8" ht="18" customHeight="1">
      <c r="C127" s="1178"/>
      <c r="D127" s="1240"/>
      <c r="E127" s="1178"/>
      <c r="F127" s="1173"/>
      <c r="G127" s="1173"/>
      <c r="H127" s="1173"/>
    </row>
    <row r="128" spans="3:8" ht="18" customHeight="1">
      <c r="C128" s="1178"/>
      <c r="D128" s="1240"/>
      <c r="E128" s="1178"/>
      <c r="F128" s="1173"/>
      <c r="G128" s="1173"/>
      <c r="H128" s="1173"/>
    </row>
    <row r="129" spans="2:8" ht="18" customHeight="1">
      <c r="B129" s="194" t="e">
        <f>#REF!</f>
        <v>#REF!</v>
      </c>
      <c r="C129" s="1174" t="e">
        <f>VLOOKUP(B129,#REF!,2,FALSE)</f>
        <v>#REF!</v>
      </c>
      <c r="D129" s="1174" t="e">
        <f>VLOOKUP(B129,#REF!,3,FALSE)</f>
        <v>#REF!</v>
      </c>
      <c r="E129" s="1174" t="s">
        <v>1786</v>
      </c>
      <c r="F129" s="1173" t="e">
        <f>VLOOKUP(B129,#REF!,4,FALSE)</f>
        <v>#REF!</v>
      </c>
      <c r="G129" s="1173">
        <f t="shared" ref="G129:G133" si="40">TRUNC((ROUNDUP(dhTextEvaluate(E129),0)),0)</f>
        <v>69</v>
      </c>
      <c r="H129" s="1182"/>
    </row>
    <row r="130" spans="2:8" ht="18" customHeight="1">
      <c r="B130" s="194" t="e">
        <f>#REF!</f>
        <v>#REF!</v>
      </c>
      <c r="C130" s="1174" t="e">
        <f>VLOOKUP(B130,#REF!,2,FALSE)</f>
        <v>#REF!</v>
      </c>
      <c r="D130" s="1174" t="e">
        <f>VLOOKUP(B130,#REF!,3,FALSE)</f>
        <v>#REF!</v>
      </c>
      <c r="E130" s="1174">
        <f>G120+G121</f>
        <v>618</v>
      </c>
      <c r="F130" s="1173" t="e">
        <f>VLOOKUP(B130,#REF!,4,FALSE)</f>
        <v>#REF!</v>
      </c>
      <c r="G130" s="1173" t="e">
        <f t="shared" ca="1" si="40"/>
        <v>#NAME?</v>
      </c>
      <c r="H130" s="1182"/>
    </row>
    <row r="131" spans="2:8" ht="18" customHeight="1">
      <c r="B131" s="194" t="e">
        <f>#REF!</f>
        <v>#REF!</v>
      </c>
      <c r="C131" s="1174" t="e">
        <f>VLOOKUP(B131,#REF!,2,FALSE)</f>
        <v>#REF!</v>
      </c>
      <c r="D131" s="1174" t="e">
        <f>VLOOKUP(B131,#REF!,3,FALSE)</f>
        <v>#REF!</v>
      </c>
      <c r="E131" s="1174">
        <v>4</v>
      </c>
      <c r="F131" s="1173" t="e">
        <f>VLOOKUP(B131,#REF!,4,FALSE)</f>
        <v>#REF!</v>
      </c>
      <c r="G131" s="1173">
        <f t="shared" si="40"/>
        <v>4</v>
      </c>
      <c r="H131" s="1182"/>
    </row>
    <row r="132" spans="2:8" ht="18" customHeight="1">
      <c r="B132" s="194" t="e">
        <f>#REF!</f>
        <v>#REF!</v>
      </c>
      <c r="C132" s="1174" t="e">
        <f>VLOOKUP(B132,#REF!,2,FALSE)</f>
        <v>#REF!</v>
      </c>
      <c r="D132" s="1174" t="e">
        <f>VLOOKUP(B132,#REF!,3,FALSE)</f>
        <v>#REF!</v>
      </c>
      <c r="E132" s="1174">
        <v>4</v>
      </c>
      <c r="F132" s="1173" t="e">
        <f>VLOOKUP(B132,#REF!,4,FALSE)</f>
        <v>#REF!</v>
      </c>
      <c r="G132" s="1173">
        <f t="shared" si="40"/>
        <v>4</v>
      </c>
      <c r="H132" s="1182"/>
    </row>
    <row r="133" spans="2:8" ht="18" customHeight="1">
      <c r="B133" s="194" t="e">
        <f>#REF!</f>
        <v>#REF!</v>
      </c>
      <c r="C133" s="1174" t="e">
        <f>VLOOKUP(B133,#REF!,2,FALSE)</f>
        <v>#REF!</v>
      </c>
      <c r="D133" s="1174" t="e">
        <f>VLOOKUP(B133,#REF!,3,FALSE)</f>
        <v>#REF!</v>
      </c>
      <c r="E133" s="1174">
        <v>8</v>
      </c>
      <c r="F133" s="1173" t="e">
        <f>VLOOKUP(B133,#REF!,4,FALSE)</f>
        <v>#REF!</v>
      </c>
      <c r="G133" s="1173">
        <f t="shared" si="40"/>
        <v>8</v>
      </c>
      <c r="H133" s="1182"/>
    </row>
    <row r="134" spans="2:8" ht="18" customHeight="1">
      <c r="B134" s="194" t="e">
        <f>#REF!</f>
        <v>#REF!</v>
      </c>
      <c r="C134" s="1178" t="e">
        <f>VLOOKUP(B134,#REF!,2,FALSE)</f>
        <v>#REF!</v>
      </c>
      <c r="D134" s="1174" t="e">
        <f>VLOOKUP(B134,#REF!,3,FALSE)</f>
        <v>#REF!</v>
      </c>
      <c r="E134" s="1174">
        <v>6</v>
      </c>
      <c r="F134" s="1173" t="e">
        <f>VLOOKUP(B134,#REF!,4,FALSE)</f>
        <v>#REF!</v>
      </c>
      <c r="G134" s="1173">
        <f t="shared" ref="G134" si="41">TRUNC((ROUNDUP(dhTextEvaluate(E134),0)),0)</f>
        <v>6</v>
      </c>
      <c r="H134" s="1182"/>
    </row>
    <row r="135" spans="2:8" ht="18" customHeight="1">
      <c r="B135" s="194" t="e">
        <f>#REF!</f>
        <v>#REF!</v>
      </c>
      <c r="C135" s="1178" t="e">
        <f>VLOOKUP(B135,#REF!,2,FALSE)</f>
        <v>#REF!</v>
      </c>
      <c r="D135" s="1174" t="e">
        <f>VLOOKUP(B135,#REF!,3,FALSE)</f>
        <v>#REF!</v>
      </c>
      <c r="E135" s="1174">
        <v>2</v>
      </c>
      <c r="F135" s="1173" t="e">
        <f>VLOOKUP(B135,#REF!,4,FALSE)</f>
        <v>#REF!</v>
      </c>
      <c r="G135" s="1173">
        <f t="shared" ref="G135:G137" si="42">TRUNC((ROUNDUP(dhTextEvaluate(E135),0)),0)</f>
        <v>2</v>
      </c>
      <c r="H135" s="1182"/>
    </row>
    <row r="136" spans="2:8" ht="18" customHeight="1">
      <c r="B136" s="194" t="e">
        <f>#REF!</f>
        <v>#REF!</v>
      </c>
      <c r="C136" s="1178" t="e">
        <f>VLOOKUP(B136,#REF!,2,FALSE)</f>
        <v>#REF!</v>
      </c>
      <c r="D136" s="1174" t="e">
        <f>VLOOKUP(B136,#REF!,3,FALSE)</f>
        <v>#REF!</v>
      </c>
      <c r="E136" s="1174">
        <v>2</v>
      </c>
      <c r="F136" s="1173" t="e">
        <f>VLOOKUP(B136,#REF!,4,FALSE)</f>
        <v>#REF!</v>
      </c>
      <c r="G136" s="1173">
        <f t="shared" si="42"/>
        <v>2</v>
      </c>
      <c r="H136" s="1182"/>
    </row>
    <row r="137" spans="2:8" ht="18" customHeight="1">
      <c r="B137" s="194" t="e">
        <f>#REF!</f>
        <v>#REF!</v>
      </c>
      <c r="C137" s="1178" t="e">
        <f>VLOOKUP(B137,#REF!,2,FALSE)</f>
        <v>#REF!</v>
      </c>
      <c r="D137" s="1174" t="e">
        <f>VLOOKUP(B137,#REF!,3,FALSE)</f>
        <v>#REF!</v>
      </c>
      <c r="E137" s="1174">
        <v>1</v>
      </c>
      <c r="F137" s="1173" t="e">
        <f>VLOOKUP(B137,#REF!,4,FALSE)</f>
        <v>#REF!</v>
      </c>
      <c r="G137" s="1173">
        <f t="shared" si="42"/>
        <v>1</v>
      </c>
      <c r="H137" s="1182"/>
    </row>
    <row r="138" spans="2:8" ht="18" customHeight="1">
      <c r="B138" s="194" t="e">
        <f>#REF!</f>
        <v>#REF!</v>
      </c>
      <c r="C138" s="1174" t="e">
        <f>VLOOKUP(B138,#REF!,2,FALSE)</f>
        <v>#REF!</v>
      </c>
      <c r="D138" s="1174" t="e">
        <f>VLOOKUP(B138,#REF!,3,FALSE)</f>
        <v>#REF!</v>
      </c>
      <c r="E138" s="1174">
        <f>G137</f>
        <v>1</v>
      </c>
      <c r="F138" s="1173" t="e">
        <f>VLOOKUP(B138,#REF!,4,FALSE)</f>
        <v>#REF!</v>
      </c>
      <c r="G138" s="1173" t="e">
        <f t="shared" ref="G138:G140" ca="1" si="43">TRUNC((ROUNDUP(dhTextEvaluate(E138),0)),0)</f>
        <v>#NAME?</v>
      </c>
      <c r="H138" s="1173"/>
    </row>
    <row r="139" spans="2:8" ht="18" customHeight="1">
      <c r="B139" s="194" t="e">
        <f>#REF!</f>
        <v>#REF!</v>
      </c>
      <c r="C139" s="1174" t="e">
        <f>VLOOKUP(B139,#REF!,2,FALSE)</f>
        <v>#REF!</v>
      </c>
      <c r="D139" s="1174" t="e">
        <f>VLOOKUP(B139,#REF!,3,FALSE)</f>
        <v>#REF!</v>
      </c>
      <c r="E139" s="1174">
        <f>G131</f>
        <v>4</v>
      </c>
      <c r="F139" s="1173" t="e">
        <f>VLOOKUP(B139,#REF!,4,FALSE)</f>
        <v>#REF!</v>
      </c>
      <c r="G139" s="1173" t="e">
        <f t="shared" ref="G139" ca="1" si="44">TRUNC((ROUNDUP(dhTextEvaluate(E139),0)),0)</f>
        <v>#NAME?</v>
      </c>
      <c r="H139" s="1173"/>
    </row>
    <row r="140" spans="2:8" ht="18" customHeight="1">
      <c r="B140" s="194" t="e">
        <f>#REF!</f>
        <v>#REF!</v>
      </c>
      <c r="C140" s="1174" t="e">
        <f>VLOOKUP(B140,#REF!,2,FALSE)</f>
        <v>#REF!</v>
      </c>
      <c r="D140" s="1174" t="e">
        <f>VLOOKUP(B140,#REF!,3,FALSE)</f>
        <v>#REF!</v>
      </c>
      <c r="E140" s="1174">
        <f>G132</f>
        <v>4</v>
      </c>
      <c r="F140" s="1173" t="e">
        <f>VLOOKUP(B140,#REF!,4,FALSE)</f>
        <v>#REF!</v>
      </c>
      <c r="G140" s="1173" t="e">
        <f t="shared" ca="1" si="43"/>
        <v>#NAME?</v>
      </c>
      <c r="H140" s="1173"/>
    </row>
    <row r="141" spans="2:8" ht="18" customHeight="1">
      <c r="B141" s="194" t="e">
        <f>#REF!</f>
        <v>#REF!</v>
      </c>
      <c r="C141" s="1178" t="e">
        <f>VLOOKUP(B141,#REF!,2,FALSE)</f>
        <v>#REF!</v>
      </c>
      <c r="D141" s="1174" t="e">
        <f>VLOOKUP(B141,#REF!,3,FALSE)</f>
        <v>#REF!</v>
      </c>
      <c r="E141" s="1174">
        <v>1</v>
      </c>
      <c r="F141" s="1173" t="e">
        <f>VLOOKUP(B141,#REF!,4,FALSE)</f>
        <v>#REF!</v>
      </c>
      <c r="G141" s="1173">
        <f t="shared" ref="G141" si="45">TRUNC((ROUNDUP(dhTextEvaluate(E141),0)),0)</f>
        <v>1</v>
      </c>
      <c r="H141" s="1182"/>
    </row>
    <row r="142" spans="2:8" ht="18" customHeight="1">
      <c r="C142" s="1618"/>
      <c r="D142" s="1619"/>
      <c r="E142" s="1174"/>
      <c r="F142" s="1173"/>
      <c r="G142" s="1173"/>
      <c r="H142" s="1173"/>
    </row>
    <row r="143" spans="2:8" ht="18" customHeight="1">
      <c r="C143" s="1618"/>
      <c r="D143" s="1619"/>
      <c r="E143" s="1174"/>
      <c r="F143" s="1173"/>
      <c r="G143" s="1173"/>
      <c r="H143" s="1173"/>
    </row>
    <row r="144" spans="2:8" ht="18" customHeight="1">
      <c r="C144" s="1618"/>
      <c r="D144" s="1619"/>
      <c r="E144" s="1174"/>
      <c r="F144" s="1173"/>
      <c r="G144" s="1173"/>
      <c r="H144" s="1173"/>
    </row>
    <row r="145" spans="3:8" ht="18" customHeight="1">
      <c r="C145" s="1618"/>
      <c r="D145" s="1619"/>
      <c r="E145" s="1174"/>
      <c r="F145" s="1173"/>
      <c r="G145" s="1173"/>
      <c r="H145" s="1173"/>
    </row>
    <row r="146" spans="3:8" ht="18" customHeight="1">
      <c r="C146" s="1618"/>
      <c r="D146" s="1619"/>
      <c r="E146" s="1174"/>
      <c r="F146" s="1173"/>
      <c r="G146" s="1173"/>
      <c r="H146" s="1173"/>
    </row>
    <row r="147" spans="3:8" ht="18" customHeight="1">
      <c r="C147" s="1618"/>
      <c r="D147" s="1619"/>
      <c r="E147" s="1174"/>
      <c r="F147" s="1173"/>
      <c r="G147" s="1173"/>
      <c r="H147" s="1173"/>
    </row>
    <row r="148" spans="3:8" ht="18" customHeight="1">
      <c r="C148" s="1618"/>
      <c r="D148" s="1619"/>
      <c r="E148" s="1174"/>
      <c r="F148" s="1173"/>
      <c r="G148" s="1173"/>
      <c r="H148" s="1173"/>
    </row>
    <row r="149" spans="3:8" ht="18" customHeight="1">
      <c r="C149" s="1618"/>
      <c r="D149" s="1619"/>
      <c r="E149" s="1174"/>
      <c r="F149" s="1173"/>
      <c r="G149" s="1173"/>
      <c r="H149" s="1173"/>
    </row>
    <row r="150" spans="3:8" ht="18" customHeight="1">
      <c r="C150" s="1618"/>
      <c r="D150" s="1619"/>
      <c r="E150" s="1174"/>
      <c r="F150" s="1173"/>
      <c r="G150" s="1173"/>
      <c r="H150" s="1173"/>
    </row>
    <row r="151" spans="3:8" ht="18" customHeight="1">
      <c r="C151" s="1618"/>
      <c r="D151" s="1619"/>
      <c r="E151" s="1174"/>
      <c r="F151" s="1173"/>
      <c r="G151" s="1173"/>
      <c r="H151" s="1173"/>
    </row>
    <row r="152" spans="3:8" ht="18" customHeight="1">
      <c r="C152" s="1618"/>
      <c r="D152" s="1619"/>
      <c r="E152" s="1174"/>
      <c r="F152" s="1173"/>
      <c r="G152" s="1173"/>
      <c r="H152" s="1173"/>
    </row>
    <row r="153" spans="3:8" ht="18" customHeight="1">
      <c r="C153" s="1620" t="s">
        <v>1761</v>
      </c>
      <c r="D153" s="1621"/>
      <c r="E153" s="1174"/>
      <c r="F153" s="1173"/>
      <c r="G153" s="1173"/>
      <c r="H153" s="1173"/>
    </row>
    <row r="154" spans="3:8" ht="18" customHeight="1">
      <c r="C154" s="1618" t="s">
        <v>1600</v>
      </c>
      <c r="D154" s="1619"/>
      <c r="E154" s="1174" t="s">
        <v>1790</v>
      </c>
      <c r="F154" s="1173" t="s">
        <v>157</v>
      </c>
      <c r="G154" s="1173">
        <f t="shared" ref="G154:G167" si="46">TRUNC((ROUNDUP(dhTextEvaluate(E154),0)),0)</f>
        <v>41</v>
      </c>
      <c r="H154" s="1173"/>
    </row>
    <row r="155" spans="3:8" ht="18" customHeight="1">
      <c r="C155" s="1618" t="s">
        <v>1601</v>
      </c>
      <c r="D155" s="1619"/>
      <c r="E155" s="1174"/>
      <c r="F155" s="1173" t="s">
        <v>157</v>
      </c>
      <c r="G155" s="1173">
        <f t="shared" si="46"/>
        <v>0</v>
      </c>
      <c r="H155" s="1173"/>
    </row>
    <row r="156" spans="3:8" ht="18" customHeight="1">
      <c r="C156" s="1618" t="s">
        <v>1602</v>
      </c>
      <c r="D156" s="1619"/>
      <c r="E156" s="1174"/>
      <c r="F156" s="1173" t="s">
        <v>157</v>
      </c>
      <c r="G156" s="1173">
        <f t="shared" si="46"/>
        <v>0</v>
      </c>
      <c r="H156" s="1173"/>
    </row>
    <row r="157" spans="3:8" ht="18" customHeight="1">
      <c r="C157" s="1618" t="s">
        <v>1603</v>
      </c>
      <c r="D157" s="1619"/>
      <c r="E157" s="1174" t="s">
        <v>1789</v>
      </c>
      <c r="F157" s="1173" t="s">
        <v>157</v>
      </c>
      <c r="G157" s="1173">
        <f t="shared" si="46"/>
        <v>54</v>
      </c>
      <c r="H157" s="1173"/>
    </row>
    <row r="158" spans="3:8" ht="18" customHeight="1">
      <c r="C158" s="1618" t="s">
        <v>1604</v>
      </c>
      <c r="D158" s="1619"/>
      <c r="E158" s="1174"/>
      <c r="F158" s="1173" t="s">
        <v>157</v>
      </c>
      <c r="G158" s="1173">
        <f t="shared" si="46"/>
        <v>0</v>
      </c>
      <c r="H158" s="1173"/>
    </row>
    <row r="159" spans="3:8" ht="18" customHeight="1">
      <c r="C159" s="1618" t="s">
        <v>1735</v>
      </c>
      <c r="D159" s="1619"/>
      <c r="E159" s="1174"/>
      <c r="F159" s="1173" t="s">
        <v>157</v>
      </c>
      <c r="G159" s="1173">
        <f t="shared" si="46"/>
        <v>0</v>
      </c>
      <c r="H159" s="1173"/>
    </row>
    <row r="160" spans="3:8" ht="18" customHeight="1">
      <c r="C160" s="1618" t="s">
        <v>1736</v>
      </c>
      <c r="D160" s="1619"/>
      <c r="E160" s="1174"/>
      <c r="F160" s="1173" t="s">
        <v>157</v>
      </c>
      <c r="G160" s="1173">
        <f t="shared" si="46"/>
        <v>0</v>
      </c>
      <c r="H160" s="1173"/>
    </row>
    <row r="161" spans="3:8" ht="18" customHeight="1">
      <c r="C161" s="1618" t="s">
        <v>1737</v>
      </c>
      <c r="D161" s="1619"/>
      <c r="E161" s="1174" t="s">
        <v>1788</v>
      </c>
      <c r="F161" s="1173" t="s">
        <v>157</v>
      </c>
      <c r="G161" s="1173">
        <f t="shared" si="46"/>
        <v>41</v>
      </c>
      <c r="H161" s="1173"/>
    </row>
    <row r="162" spans="3:8" ht="18" customHeight="1">
      <c r="C162" s="1618" t="s">
        <v>1747</v>
      </c>
      <c r="D162" s="1619"/>
      <c r="E162" s="1174"/>
      <c r="F162" s="1173" t="s">
        <v>157</v>
      </c>
      <c r="G162" s="1173">
        <f t="shared" si="46"/>
        <v>0</v>
      </c>
      <c r="H162" s="1173"/>
    </row>
    <row r="163" spans="3:8" ht="18" customHeight="1">
      <c r="C163" s="1618" t="s">
        <v>1748</v>
      </c>
      <c r="D163" s="1619"/>
      <c r="E163" s="1174"/>
      <c r="F163" s="1173" t="s">
        <v>157</v>
      </c>
      <c r="G163" s="1173">
        <f t="shared" si="46"/>
        <v>0</v>
      </c>
      <c r="H163" s="1173"/>
    </row>
    <row r="164" spans="3:8" ht="18" customHeight="1">
      <c r="C164" s="1618" t="s">
        <v>1749</v>
      </c>
      <c r="D164" s="1619"/>
      <c r="E164" s="1174"/>
      <c r="F164" s="1173" t="s">
        <v>157</v>
      </c>
      <c r="G164" s="1173">
        <f t="shared" si="46"/>
        <v>0</v>
      </c>
      <c r="H164" s="1173"/>
    </row>
    <row r="165" spans="3:8" ht="18" customHeight="1">
      <c r="C165" s="1618" t="s">
        <v>1750</v>
      </c>
      <c r="D165" s="1619"/>
      <c r="E165" s="1174"/>
      <c r="F165" s="1173" t="s">
        <v>157</v>
      </c>
      <c r="G165" s="1173">
        <f t="shared" si="46"/>
        <v>0</v>
      </c>
      <c r="H165" s="1173"/>
    </row>
    <row r="166" spans="3:8" ht="18" customHeight="1">
      <c r="C166" s="1618" t="s">
        <v>1635</v>
      </c>
      <c r="D166" s="1619"/>
      <c r="E166" s="1174"/>
      <c r="F166" s="1173" t="s">
        <v>54</v>
      </c>
      <c r="G166" s="1173">
        <f t="shared" si="46"/>
        <v>0</v>
      </c>
      <c r="H166" s="1173"/>
    </row>
    <row r="167" spans="3:8" ht="18" customHeight="1">
      <c r="C167" s="1618" t="s">
        <v>1675</v>
      </c>
      <c r="D167" s="1619"/>
      <c r="E167" s="1178" t="str">
        <f>"("&amp;G154&amp;"*1)+("&amp;G155&amp;"*2)+("&amp;G156&amp;"*3)+("&amp;G157&amp;"*4)+("&amp;G158&amp;"*5)+("&amp;G159&amp;"*6)+("&amp;G160&amp;"*7)+("&amp;G161&amp;"*8)+("&amp;G162&amp;"*9)+("&amp;G163&amp;"*10)+("&amp;G164&amp;"*11)+("&amp;G165&amp;"*12)"</f>
        <v>(41*1)+(0*2)+(0*3)+(54*4)+(0*5)+(0*6)+(0*7)+(41*8)+(0*9)+(0*10)+(0*11)+(0*12)</v>
      </c>
      <c r="F167" s="1173" t="s">
        <v>54</v>
      </c>
      <c r="G167" s="1173">
        <f t="shared" si="46"/>
        <v>585</v>
      </c>
      <c r="H167" s="1173"/>
    </row>
    <row r="168" spans="3:8" ht="18" customHeight="1">
      <c r="C168" s="1618" t="s">
        <v>1633</v>
      </c>
      <c r="D168" s="1619"/>
      <c r="E168" s="1178" t="s">
        <v>1791</v>
      </c>
      <c r="F168" s="1173" t="s">
        <v>157</v>
      </c>
      <c r="G168" s="1173">
        <f>TRUNC((ROUNDUP(dhTextEvaluate(E168),0)),0)</f>
        <v>142</v>
      </c>
      <c r="H168" s="1173"/>
    </row>
    <row r="169" spans="3:8" ht="18" customHeight="1">
      <c r="C169" s="1620" t="s">
        <v>1746</v>
      </c>
      <c r="D169" s="1621"/>
      <c r="E169" s="1176">
        <v>50</v>
      </c>
      <c r="F169" s="1173" t="s">
        <v>157</v>
      </c>
      <c r="G169" s="1173">
        <f>TRUNC((ROUNDUP(dhTextEvaluate(E169),0)),0)</f>
        <v>50</v>
      </c>
      <c r="H169" s="1173"/>
    </row>
    <row r="170" spans="3:8" ht="18" customHeight="1">
      <c r="C170" s="1618" t="s">
        <v>1679</v>
      </c>
      <c r="D170" s="1619"/>
      <c r="E170" s="1174" t="s">
        <v>1792</v>
      </c>
      <c r="F170" s="1173" t="s">
        <v>157</v>
      </c>
      <c r="G170" s="1173">
        <f t="shared" ref="G170:G171" si="47">TRUNC((ROUNDUP(dhTextEvaluate(E170),0)),0)</f>
        <v>41</v>
      </c>
      <c r="H170" s="1173"/>
    </row>
    <row r="171" spans="3:8" ht="18" customHeight="1">
      <c r="C171" s="1618" t="s">
        <v>1680</v>
      </c>
      <c r="D171" s="1619"/>
      <c r="E171" s="1174"/>
      <c r="F171" s="1173" t="s">
        <v>157</v>
      </c>
      <c r="G171" s="1173">
        <f t="shared" si="47"/>
        <v>0</v>
      </c>
      <c r="H171" s="1173"/>
    </row>
    <row r="172" spans="3:8" ht="18" customHeight="1">
      <c r="C172" s="1180"/>
      <c r="D172" s="1181"/>
      <c r="E172" s="1174"/>
      <c r="F172" s="1173"/>
      <c r="G172" s="1173"/>
      <c r="H172" s="1173"/>
    </row>
    <row r="173" spans="3:8" ht="18" customHeight="1">
      <c r="C173" s="1180"/>
      <c r="D173" s="1181"/>
      <c r="E173" s="1174"/>
      <c r="F173" s="1173"/>
      <c r="G173" s="1173"/>
      <c r="H173" s="1173"/>
    </row>
    <row r="174" spans="3:8" ht="18" customHeight="1">
      <c r="C174" s="1180"/>
      <c r="D174" s="1181"/>
      <c r="E174" s="1174"/>
      <c r="F174" s="1173"/>
      <c r="G174" s="1173"/>
      <c r="H174" s="1173"/>
    </row>
    <row r="175" spans="3:8" ht="18" customHeight="1">
      <c r="C175" s="1180"/>
      <c r="D175" s="1181"/>
      <c r="E175" s="1174"/>
      <c r="F175" s="1173"/>
      <c r="G175" s="1173"/>
      <c r="H175" s="1173"/>
    </row>
    <row r="176" spans="3:8" ht="18" customHeight="1">
      <c r="C176" s="1180"/>
      <c r="D176" s="1181"/>
      <c r="E176" s="1174"/>
      <c r="F176" s="1173"/>
      <c r="G176" s="1173"/>
      <c r="H176" s="1173"/>
    </row>
    <row r="177" spans="2:8" customFormat="1" ht="18" customHeight="1">
      <c r="B177" s="194" t="e">
        <f>#REF!</f>
        <v>#REF!</v>
      </c>
      <c r="C177" s="1174" t="e">
        <f>VLOOKUP(B177,#REF!,2,FALSE)</f>
        <v>#REF!</v>
      </c>
      <c r="D177" s="1174" t="e">
        <f>VLOOKUP(B177,#REF!,3,FALSE)</f>
        <v>#REF!</v>
      </c>
      <c r="E177" s="1183">
        <f>G169</f>
        <v>50</v>
      </c>
      <c r="F177" s="1173" t="e">
        <f>VLOOKUP(B177,#REF!,4,FALSE)</f>
        <v>#REF!</v>
      </c>
      <c r="G177" s="1173" t="e">
        <f t="shared" ref="G177:G179" ca="1" si="48">(ROUNDDOWN(dhTextEvaluate(E177),3))</f>
        <v>#NAME?</v>
      </c>
      <c r="H177" s="1173"/>
    </row>
    <row r="178" spans="2:8" customFormat="1" ht="18" customHeight="1">
      <c r="B178" s="194" t="e">
        <f>#REF!</f>
        <v>#REF!</v>
      </c>
      <c r="C178" s="1174" t="e">
        <f>VLOOKUP(B178,#REF!,2,FALSE)</f>
        <v>#REF!</v>
      </c>
      <c r="D178" s="1174" t="e">
        <f>VLOOKUP(B178,#REF!,3,FALSE)</f>
        <v>#REF!</v>
      </c>
      <c r="E178" s="1183" t="s">
        <v>1792</v>
      </c>
      <c r="F178" s="1173" t="e">
        <f>VLOOKUP(B178,#REF!,4,FALSE)</f>
        <v>#REF!</v>
      </c>
      <c r="G178" s="1173">
        <f t="shared" si="48"/>
        <v>41</v>
      </c>
      <c r="H178" s="1173"/>
    </row>
    <row r="179" spans="2:8" customFormat="1" ht="18" customHeight="1">
      <c r="B179" s="194" t="e">
        <f>#REF!</f>
        <v>#REF!</v>
      </c>
      <c r="C179" s="1174" t="e">
        <f>VLOOKUP(B179,#REF!,2,FALSE)</f>
        <v>#REF!</v>
      </c>
      <c r="D179" s="1174" t="e">
        <f>VLOOKUP(B179,#REF!,3,FALSE)</f>
        <v>#REF!</v>
      </c>
      <c r="E179" s="1184" t="s">
        <v>1787</v>
      </c>
      <c r="F179" s="1173" t="e">
        <f>VLOOKUP(B179,#REF!,4,FALSE)</f>
        <v>#REF!</v>
      </c>
      <c r="G179" s="1173">
        <f t="shared" si="48"/>
        <v>20</v>
      </c>
      <c r="H179" s="1173"/>
    </row>
    <row r="180" spans="2:8" ht="18" customHeight="1">
      <c r="B180" s="194" t="e">
        <f>#REF!</f>
        <v>#REF!</v>
      </c>
      <c r="C180" s="1174" t="e">
        <f>VLOOKUP(B180,#REF!,2,FALSE)</f>
        <v>#REF!</v>
      </c>
      <c r="D180" s="1174" t="e">
        <f>VLOOKUP(B180,#REF!,3,FALSE)</f>
        <v>#REF!</v>
      </c>
      <c r="E180" s="1184" t="str">
        <f>G167&amp;"+"&amp;G168</f>
        <v>585+142</v>
      </c>
      <c r="F180" s="1173" t="e">
        <f>VLOOKUP(B180,#REF!,4,FALSE)</f>
        <v>#REF!</v>
      </c>
      <c r="G180" s="1173" t="e">
        <f ca="1">(ROUNDDOWN(dhTextEvaluate(E180),3))</f>
        <v>#NAME?</v>
      </c>
      <c r="H180" s="1173"/>
    </row>
    <row r="181" spans="2:8" ht="18" customHeight="1">
      <c r="B181" s="194" t="e">
        <f>#REF!</f>
        <v>#REF!</v>
      </c>
      <c r="C181" s="1174" t="e">
        <f>VLOOKUP(B181,#REF!,2,FALSE)</f>
        <v>#REF!</v>
      </c>
      <c r="D181" s="1174" t="e">
        <f>VLOOKUP(B181,#REF!,3,FALSE)</f>
        <v>#REF!</v>
      </c>
      <c r="E181" s="1174" t="str">
        <f>G169&amp;"*2"</f>
        <v>50*2</v>
      </c>
      <c r="F181" s="1173" t="e">
        <f>VLOOKUP(B181,#REF!,4,FALSE)</f>
        <v>#REF!</v>
      </c>
      <c r="G181" s="1173" t="e">
        <f ca="1">TRUNC((ROUNDUP(dhTextEvaluate(E181),0)),0)</f>
        <v>#NAME?</v>
      </c>
      <c r="H181" s="1173"/>
    </row>
    <row r="182" spans="2:8" customFormat="1" ht="18" customHeight="1">
      <c r="B182" s="193" t="e">
        <f>#REF!</f>
        <v>#REF!</v>
      </c>
      <c r="C182" s="1174" t="e">
        <f>VLOOKUP(B182,#REF!,2,FALSE)</f>
        <v>#REF!</v>
      </c>
      <c r="D182" s="1174" t="e">
        <f>VLOOKUP(B182,#REF!,3,FALSE)</f>
        <v>#REF!</v>
      </c>
      <c r="E182" s="1174">
        <f>G170</f>
        <v>41</v>
      </c>
      <c r="F182" s="1173" t="e">
        <f>VLOOKUP(B182,#REF!,4,FALSE)</f>
        <v>#REF!</v>
      </c>
      <c r="G182" s="1173" t="e">
        <f t="shared" ref="G182:G183" ca="1" si="49">(ROUNDDOWN(dhTextEvaluate(E182),3))</f>
        <v>#NAME?</v>
      </c>
      <c r="H182" s="1173"/>
    </row>
    <row r="183" spans="2:8" customFormat="1" ht="18" customHeight="1">
      <c r="B183" s="193" t="e">
        <f>#REF!</f>
        <v>#REF!</v>
      </c>
      <c r="C183" s="1174" t="e">
        <f>VLOOKUP(B183,#REF!,2,FALSE)</f>
        <v>#REF!</v>
      </c>
      <c r="D183" s="1174" t="e">
        <f>VLOOKUP(B183,#REF!,3,FALSE)</f>
        <v>#REF!</v>
      </c>
      <c r="E183" s="1174">
        <f>G171</f>
        <v>0</v>
      </c>
      <c r="F183" s="1173" t="e">
        <f>VLOOKUP(B183,#REF!,4,FALSE)</f>
        <v>#REF!</v>
      </c>
      <c r="G183" s="1173" t="e">
        <f t="shared" ca="1" si="49"/>
        <v>#NAME?</v>
      </c>
      <c r="H183" s="1173"/>
    </row>
    <row r="184" spans="2:8" ht="18" customHeight="1">
      <c r="B184" s="194" t="e">
        <f>#REF!</f>
        <v>#REF!</v>
      </c>
      <c r="C184" s="1174" t="e">
        <f>VLOOKUP(B184,#REF!,2,FALSE)</f>
        <v>#REF!</v>
      </c>
      <c r="D184" s="1174" t="e">
        <f>VLOOKUP(B184,#REF!,3,FALSE)</f>
        <v>#REF!</v>
      </c>
      <c r="E184" s="1174">
        <f>G198</f>
        <v>1</v>
      </c>
      <c r="F184" s="1173" t="e">
        <f>VLOOKUP(B184,#REF!,4,FALSE)</f>
        <v>#REF!</v>
      </c>
      <c r="G184" s="1173" t="e">
        <f t="shared" ref="G184:G187" ca="1" si="50">TRUNC((ROUNDUP(dhTextEvaluate(E184),0)),0)</f>
        <v>#NAME?</v>
      </c>
      <c r="H184" s="1173"/>
    </row>
    <row r="185" spans="2:8" ht="18" customHeight="1">
      <c r="B185" s="194" t="e">
        <f>#REF!</f>
        <v>#REF!</v>
      </c>
      <c r="C185" s="1174" t="e">
        <f>VLOOKUP(B185,#REF!,2,FALSE)</f>
        <v>#REF!</v>
      </c>
      <c r="D185" s="1174" t="e">
        <f>VLOOKUP(B185,#REF!,3,FALSE)</f>
        <v>#REF!</v>
      </c>
      <c r="E185" s="1174" t="e">
        <f ca="1">G184</f>
        <v>#NAME?</v>
      </c>
      <c r="F185" s="1173" t="e">
        <f>VLOOKUP(B185,#REF!,4,FALSE)</f>
        <v>#REF!</v>
      </c>
      <c r="G185" s="1173" t="e">
        <f t="shared" ca="1" si="50"/>
        <v>#NAME?</v>
      </c>
      <c r="H185" s="1173"/>
    </row>
    <row r="186" spans="2:8" ht="18" customHeight="1">
      <c r="B186" s="194" t="e">
        <f>#REF!</f>
        <v>#REF!</v>
      </c>
      <c r="C186" s="1174" t="e">
        <f>VLOOKUP(B186,#REF!,2,FALSE)</f>
        <v>#REF!</v>
      </c>
      <c r="D186" s="1174" t="e">
        <f>VLOOKUP(B186,#REF!,3,FALSE)</f>
        <v>#REF!</v>
      </c>
      <c r="E186" s="1174">
        <f>G191</f>
        <v>4</v>
      </c>
      <c r="F186" s="1173" t="e">
        <f>VLOOKUP(B186,#REF!,4,FALSE)</f>
        <v>#REF!</v>
      </c>
      <c r="G186" s="1173" t="e">
        <f t="shared" ref="G186" ca="1" si="51">TRUNC((ROUNDUP(dhTextEvaluate(E186),0)),0)</f>
        <v>#NAME?</v>
      </c>
      <c r="H186" s="1173"/>
    </row>
    <row r="187" spans="2:8" ht="18" customHeight="1">
      <c r="B187" s="194" t="e">
        <f>#REF!</f>
        <v>#REF!</v>
      </c>
      <c r="C187" s="1174" t="e">
        <f>VLOOKUP(B187,#REF!,2,FALSE)</f>
        <v>#REF!</v>
      </c>
      <c r="D187" s="1174" t="e">
        <f>VLOOKUP(B187,#REF!,3,FALSE)</f>
        <v>#REF!</v>
      </c>
      <c r="E187" s="1174">
        <f>G192</f>
        <v>4</v>
      </c>
      <c r="F187" s="1173" t="e">
        <f>VLOOKUP(B187,#REF!,4,FALSE)</f>
        <v>#REF!</v>
      </c>
      <c r="G187" s="1173" t="e">
        <f t="shared" ca="1" si="50"/>
        <v>#NAME?</v>
      </c>
      <c r="H187" s="1173"/>
    </row>
    <row r="188" spans="2:8" customFormat="1" ht="18" customHeight="1">
      <c r="B188" s="194" t="e">
        <f>#REF!</f>
        <v>#REF!</v>
      </c>
      <c r="C188" s="1174" t="e">
        <f>VLOOKUP(B188,#REF!,2,FALSE)</f>
        <v>#REF!</v>
      </c>
      <c r="D188" s="1174" t="e">
        <f>VLOOKUP(B188,#REF!,3,FALSE)</f>
        <v>#REF!</v>
      </c>
      <c r="E188" s="1184">
        <f>G193+G194</f>
        <v>12</v>
      </c>
      <c r="F188" s="1173" t="e">
        <f>VLOOKUP(B188,#REF!,4,FALSE)</f>
        <v>#REF!</v>
      </c>
      <c r="G188" s="1173" t="e">
        <f ca="1">(ROUNDDOWN(dhTextEvaluate(E188),3))</f>
        <v>#NAME?</v>
      </c>
      <c r="H188" s="1173"/>
    </row>
    <row r="189" spans="2:8" customFormat="1" ht="18" customHeight="1">
      <c r="B189" s="194" t="e">
        <f>#REF!</f>
        <v>#REF!</v>
      </c>
      <c r="C189" s="1174" t="e">
        <f>VLOOKUP(B189,#REF!,2,FALSE)</f>
        <v>#REF!</v>
      </c>
      <c r="D189" s="1174" t="e">
        <f>VLOOKUP(B189,#REF!,3,FALSE)</f>
        <v>#REF!</v>
      </c>
      <c r="E189" s="1184">
        <f>G193+G194</f>
        <v>12</v>
      </c>
      <c r="F189" s="1173" t="e">
        <f>VLOOKUP(B189,#REF!,4,FALSE)</f>
        <v>#REF!</v>
      </c>
      <c r="G189" s="1173" t="e">
        <f ca="1">(ROUNDDOWN(dhTextEvaluate(E189),3))</f>
        <v>#NAME?</v>
      </c>
      <c r="H189" s="1173"/>
    </row>
    <row r="190" spans="2:8" customFormat="1" ht="18" customHeight="1">
      <c r="B190" s="194" t="e">
        <f>#REF!</f>
        <v>#REF!</v>
      </c>
      <c r="C190" s="1174" t="e">
        <f>VLOOKUP(B190,#REF!,2,FALSE)</f>
        <v>#REF!</v>
      </c>
      <c r="D190" s="1174" t="e">
        <f>VLOOKUP(B190,#REF!,3,FALSE)</f>
        <v>#REF!</v>
      </c>
      <c r="E190" s="1184">
        <f>+G195</f>
        <v>6</v>
      </c>
      <c r="F190" s="1173" t="e">
        <f>VLOOKUP(B190,#REF!,4,FALSE)</f>
        <v>#REF!</v>
      </c>
      <c r="G190" s="1173" t="e">
        <f ca="1">(ROUNDDOWN(dhTextEvaluate(E190),3))</f>
        <v>#NAME?</v>
      </c>
      <c r="H190" s="1173"/>
    </row>
    <row r="191" spans="2:8" ht="18" customHeight="1">
      <c r="B191" s="194" t="e">
        <f>#REF!</f>
        <v>#REF!</v>
      </c>
      <c r="C191" s="1174" t="e">
        <f>VLOOKUP(B191,#REF!,2,FALSE)</f>
        <v>#REF!</v>
      </c>
      <c r="D191" s="1174" t="e">
        <f>VLOOKUP(B191,#REF!,3,FALSE)</f>
        <v>#REF!</v>
      </c>
      <c r="E191" s="1174">
        <v>4</v>
      </c>
      <c r="F191" s="1173" t="e">
        <f>VLOOKUP(B191,#REF!,4,FALSE)</f>
        <v>#REF!</v>
      </c>
      <c r="G191" s="1173">
        <f t="shared" ref="G191" si="52">TRUNC((ROUNDUP(dhTextEvaluate(E191),0)),0)</f>
        <v>4</v>
      </c>
      <c r="H191" s="1182"/>
    </row>
    <row r="192" spans="2:8" ht="18" customHeight="1">
      <c r="B192" s="194" t="e">
        <f>#REF!</f>
        <v>#REF!</v>
      </c>
      <c r="C192" s="1174" t="e">
        <f>VLOOKUP(B192,#REF!,2,FALSE)</f>
        <v>#REF!</v>
      </c>
      <c r="D192" s="1174" t="e">
        <f>VLOOKUP(B192,#REF!,3,FALSE)</f>
        <v>#REF!</v>
      </c>
      <c r="E192" s="1174">
        <v>4</v>
      </c>
      <c r="F192" s="1173" t="e">
        <f>VLOOKUP(B192,#REF!,4,FALSE)</f>
        <v>#REF!</v>
      </c>
      <c r="G192" s="1173">
        <f t="shared" ref="G192:G199" si="53">TRUNC((ROUNDUP(dhTextEvaluate(E192),0)),0)</f>
        <v>4</v>
      </c>
      <c r="H192" s="1182"/>
    </row>
    <row r="193" spans="2:8" ht="18" customHeight="1">
      <c r="B193" s="194" t="e">
        <f>#REF!</f>
        <v>#REF!</v>
      </c>
      <c r="C193" s="1174" t="e">
        <f>VLOOKUP(B193,#REF!,2,FALSE)</f>
        <v>#REF!</v>
      </c>
      <c r="D193" s="1174" t="e">
        <f>VLOOKUP(B193,#REF!,3,FALSE)</f>
        <v>#REF!</v>
      </c>
      <c r="E193" s="1174">
        <v>8</v>
      </c>
      <c r="F193" s="1173" t="e">
        <f>VLOOKUP(B193,#REF!,4,FALSE)</f>
        <v>#REF!</v>
      </c>
      <c r="G193" s="1173">
        <f t="shared" si="53"/>
        <v>8</v>
      </c>
      <c r="H193" s="1182"/>
    </row>
    <row r="194" spans="2:8" ht="18" customHeight="1">
      <c r="B194" s="194" t="e">
        <f>#REF!</f>
        <v>#REF!</v>
      </c>
      <c r="C194" s="1174" t="e">
        <f>VLOOKUP(B194,#REF!,2,FALSE)</f>
        <v>#REF!</v>
      </c>
      <c r="D194" s="1174" t="e">
        <f>VLOOKUP(B194,#REF!,3,FALSE)</f>
        <v>#REF!</v>
      </c>
      <c r="E194" s="1174">
        <v>4</v>
      </c>
      <c r="F194" s="1173" t="e">
        <f>VLOOKUP(B194,#REF!,4,FALSE)</f>
        <v>#REF!</v>
      </c>
      <c r="G194" s="1173">
        <f t="shared" si="53"/>
        <v>4</v>
      </c>
      <c r="H194" s="1182"/>
    </row>
    <row r="195" spans="2:8" ht="18" customHeight="1">
      <c r="B195" s="194" t="e">
        <f>#REF!</f>
        <v>#REF!</v>
      </c>
      <c r="C195" s="1178" t="e">
        <f>VLOOKUP(B195,#REF!,2,FALSE)</f>
        <v>#REF!</v>
      </c>
      <c r="D195" s="1174" t="e">
        <f>VLOOKUP(B195,#REF!,3,FALSE)</f>
        <v>#REF!</v>
      </c>
      <c r="E195" s="1174">
        <v>6</v>
      </c>
      <c r="F195" s="1173" t="e">
        <f>VLOOKUP(B195,#REF!,4,FALSE)</f>
        <v>#REF!</v>
      </c>
      <c r="G195" s="1173">
        <f t="shared" si="53"/>
        <v>6</v>
      </c>
      <c r="H195" s="1182"/>
    </row>
    <row r="196" spans="2:8" ht="18" customHeight="1">
      <c r="B196" s="194" t="e">
        <f>#REF!</f>
        <v>#REF!</v>
      </c>
      <c r="C196" s="1178" t="e">
        <f>VLOOKUP(B196,#REF!,2,FALSE)</f>
        <v>#REF!</v>
      </c>
      <c r="D196" s="1174" t="e">
        <f>VLOOKUP(B196,#REF!,3,FALSE)</f>
        <v>#REF!</v>
      </c>
      <c r="E196" s="1174">
        <v>2</v>
      </c>
      <c r="F196" s="1173" t="e">
        <f>VLOOKUP(B196,#REF!,4,FALSE)</f>
        <v>#REF!</v>
      </c>
      <c r="G196" s="1173">
        <f t="shared" si="53"/>
        <v>2</v>
      </c>
      <c r="H196" s="1182"/>
    </row>
    <row r="197" spans="2:8" ht="18" customHeight="1">
      <c r="B197" s="194" t="e">
        <f>#REF!</f>
        <v>#REF!</v>
      </c>
      <c r="C197" s="1178" t="e">
        <f>VLOOKUP(B197,#REF!,2,FALSE)</f>
        <v>#REF!</v>
      </c>
      <c r="D197" s="1174" t="e">
        <f>VLOOKUP(B197,#REF!,3,FALSE)</f>
        <v>#REF!</v>
      </c>
      <c r="E197" s="1174">
        <v>2</v>
      </c>
      <c r="F197" s="1173" t="e">
        <f>VLOOKUP(B197,#REF!,4,FALSE)</f>
        <v>#REF!</v>
      </c>
      <c r="G197" s="1173">
        <f t="shared" si="53"/>
        <v>2</v>
      </c>
      <c r="H197" s="1182"/>
    </row>
    <row r="198" spans="2:8" ht="18" customHeight="1">
      <c r="B198" s="194" t="e">
        <f>#REF!</f>
        <v>#REF!</v>
      </c>
      <c r="C198" s="1178" t="e">
        <f>VLOOKUP(B198,#REF!,2,FALSE)</f>
        <v>#REF!</v>
      </c>
      <c r="D198" s="1174" t="e">
        <f>VLOOKUP(B198,#REF!,3,FALSE)</f>
        <v>#REF!</v>
      </c>
      <c r="E198" s="1174">
        <v>1</v>
      </c>
      <c r="F198" s="1173" t="e">
        <f>VLOOKUP(B198,#REF!,4,FALSE)</f>
        <v>#REF!</v>
      </c>
      <c r="G198" s="1173">
        <f t="shared" si="53"/>
        <v>1</v>
      </c>
      <c r="H198" s="1182"/>
    </row>
    <row r="199" spans="2:8" ht="18" customHeight="1">
      <c r="B199" s="194" t="e">
        <f>#REF!</f>
        <v>#REF!</v>
      </c>
      <c r="C199" s="1178" t="e">
        <f>VLOOKUP(B199,#REF!,2,FALSE)</f>
        <v>#REF!</v>
      </c>
      <c r="D199" s="1174" t="e">
        <f>VLOOKUP(B199,#REF!,3,FALSE)</f>
        <v>#REF!</v>
      </c>
      <c r="E199" s="1174">
        <v>1</v>
      </c>
      <c r="F199" s="1173" t="e">
        <f>VLOOKUP(B199,#REF!,4,FALSE)</f>
        <v>#REF!</v>
      </c>
      <c r="G199" s="1173">
        <f t="shared" si="53"/>
        <v>1</v>
      </c>
      <c r="H199" s="1182"/>
    </row>
    <row r="200" spans="2:8" ht="18" customHeight="1">
      <c r="C200" s="1172"/>
      <c r="D200" s="1173"/>
      <c r="E200" s="1174"/>
      <c r="F200" s="1174"/>
      <c r="G200" s="1173"/>
      <c r="H200" s="1173"/>
    </row>
    <row r="201" spans="2:8" ht="18" customHeight="1">
      <c r="B201" s="194" t="s">
        <v>1765</v>
      </c>
      <c r="C201" s="1172" t="s">
        <v>1745</v>
      </c>
      <c r="D201" s="1173"/>
      <c r="E201" s="1174"/>
      <c r="F201" s="1174"/>
      <c r="G201" s="1173"/>
      <c r="H201" s="1173"/>
    </row>
    <row r="202" spans="2:8" ht="18" customHeight="1">
      <c r="C202" s="1620" t="s">
        <v>1793</v>
      </c>
      <c r="D202" s="1621"/>
      <c r="E202" s="1174"/>
      <c r="F202" s="1173"/>
      <c r="G202" s="1173"/>
      <c r="H202" s="1173"/>
    </row>
    <row r="203" spans="2:8" ht="18" customHeight="1">
      <c r="C203" s="1618" t="s">
        <v>1600</v>
      </c>
      <c r="D203" s="1619"/>
      <c r="E203" s="1174">
        <v>9</v>
      </c>
      <c r="F203" s="1173" t="s">
        <v>157</v>
      </c>
      <c r="G203" s="1173">
        <f t="shared" ref="G203:G216" si="54">TRUNC((ROUNDUP(dhTextEvaluate(E203),0)),0)</f>
        <v>9</v>
      </c>
      <c r="H203" s="1173"/>
    </row>
    <row r="204" spans="2:8" ht="18" customHeight="1">
      <c r="C204" s="1618" t="s">
        <v>1601</v>
      </c>
      <c r="D204" s="1619"/>
      <c r="E204" s="1174" t="s">
        <v>1796</v>
      </c>
      <c r="F204" s="1173" t="s">
        <v>157</v>
      </c>
      <c r="G204" s="1173">
        <f t="shared" si="54"/>
        <v>14</v>
      </c>
      <c r="H204" s="1173"/>
    </row>
    <row r="205" spans="2:8" ht="18" customHeight="1">
      <c r="C205" s="1618" t="s">
        <v>1602</v>
      </c>
      <c r="D205" s="1619"/>
      <c r="E205" s="1174">
        <v>19</v>
      </c>
      <c r="F205" s="1173" t="s">
        <v>157</v>
      </c>
      <c r="G205" s="1173">
        <f t="shared" si="54"/>
        <v>19</v>
      </c>
      <c r="H205" s="1173"/>
    </row>
    <row r="206" spans="2:8" ht="18" customHeight="1">
      <c r="C206" s="1618" t="s">
        <v>1603</v>
      </c>
      <c r="D206" s="1619"/>
      <c r="E206" s="1174">
        <v>18</v>
      </c>
      <c r="F206" s="1173" t="s">
        <v>157</v>
      </c>
      <c r="G206" s="1173">
        <f t="shared" si="54"/>
        <v>18</v>
      </c>
      <c r="H206" s="1173"/>
    </row>
    <row r="207" spans="2:8" ht="18" customHeight="1">
      <c r="C207" s="1618" t="s">
        <v>1604</v>
      </c>
      <c r="D207" s="1619"/>
      <c r="E207" s="1174"/>
      <c r="F207" s="1173" t="s">
        <v>157</v>
      </c>
      <c r="G207" s="1173">
        <f t="shared" si="54"/>
        <v>0</v>
      </c>
      <c r="H207" s="1173"/>
    </row>
    <row r="208" spans="2:8" ht="18" customHeight="1">
      <c r="C208" s="1618" t="s">
        <v>1735</v>
      </c>
      <c r="D208" s="1619"/>
      <c r="E208" s="1174" t="s">
        <v>1795</v>
      </c>
      <c r="F208" s="1173" t="s">
        <v>157</v>
      </c>
      <c r="G208" s="1173">
        <f t="shared" si="54"/>
        <v>23</v>
      </c>
      <c r="H208" s="1173"/>
    </row>
    <row r="209" spans="3:8" ht="18" customHeight="1">
      <c r="C209" s="1618" t="s">
        <v>1736</v>
      </c>
      <c r="D209" s="1619"/>
      <c r="E209" s="1174"/>
      <c r="F209" s="1173" t="s">
        <v>157</v>
      </c>
      <c r="G209" s="1173">
        <f t="shared" si="54"/>
        <v>0</v>
      </c>
      <c r="H209" s="1173"/>
    </row>
    <row r="210" spans="3:8" ht="18" customHeight="1">
      <c r="C210" s="1618" t="s">
        <v>1737</v>
      </c>
      <c r="D210" s="1619"/>
      <c r="E210" s="1174"/>
      <c r="F210" s="1173" t="s">
        <v>157</v>
      </c>
      <c r="G210" s="1173">
        <f t="shared" si="54"/>
        <v>0</v>
      </c>
      <c r="H210" s="1173"/>
    </row>
    <row r="211" spans="3:8" ht="18" customHeight="1">
      <c r="C211" s="1618" t="s">
        <v>1747</v>
      </c>
      <c r="D211" s="1619"/>
      <c r="E211" s="1174"/>
      <c r="F211" s="1173" t="s">
        <v>157</v>
      </c>
      <c r="G211" s="1173">
        <f t="shared" si="54"/>
        <v>0</v>
      </c>
      <c r="H211" s="1173"/>
    </row>
    <row r="212" spans="3:8" ht="18" customHeight="1">
      <c r="C212" s="1618" t="s">
        <v>1748</v>
      </c>
      <c r="D212" s="1619"/>
      <c r="E212" s="1174"/>
      <c r="F212" s="1173" t="s">
        <v>157</v>
      </c>
      <c r="G212" s="1173">
        <f t="shared" si="54"/>
        <v>0</v>
      </c>
      <c r="H212" s="1173"/>
    </row>
    <row r="213" spans="3:8" ht="18" customHeight="1">
      <c r="C213" s="1618" t="s">
        <v>1749</v>
      </c>
      <c r="D213" s="1619"/>
      <c r="E213" s="1174"/>
      <c r="F213" s="1173" t="s">
        <v>157</v>
      </c>
      <c r="G213" s="1173">
        <f t="shared" si="54"/>
        <v>0</v>
      </c>
      <c r="H213" s="1173"/>
    </row>
    <row r="214" spans="3:8" ht="18" customHeight="1">
      <c r="C214" s="1618" t="s">
        <v>1750</v>
      </c>
      <c r="D214" s="1619"/>
      <c r="E214" s="1174"/>
      <c r="F214" s="1173" t="s">
        <v>157</v>
      </c>
      <c r="G214" s="1173">
        <f t="shared" si="54"/>
        <v>0</v>
      </c>
      <c r="H214" s="1173"/>
    </row>
    <row r="215" spans="3:8" ht="18" customHeight="1">
      <c r="C215" s="1618" t="s">
        <v>1635</v>
      </c>
      <c r="D215" s="1619"/>
      <c r="E215" s="1174"/>
      <c r="F215" s="1173" t="s">
        <v>54</v>
      </c>
      <c r="G215" s="1173">
        <f t="shared" si="54"/>
        <v>0</v>
      </c>
      <c r="H215" s="1173"/>
    </row>
    <row r="216" spans="3:8" ht="18" customHeight="1">
      <c r="C216" s="1618" t="s">
        <v>1675</v>
      </c>
      <c r="D216" s="1619"/>
      <c r="E216" s="1178" t="str">
        <f>"("&amp;G203&amp;"*1)+("&amp;G204&amp;"*2)+("&amp;G205&amp;"*3)+("&amp;G206&amp;"*4)+("&amp;G207&amp;"*5)+("&amp;G208&amp;"*6)+("&amp;G209&amp;"*7)+("&amp;G210&amp;"*8)+("&amp;G211&amp;"*9)+("&amp;G212&amp;"*10)+("&amp;G213&amp;"*11)+("&amp;G214&amp;"*12)"</f>
        <v>(9*1)+(14*2)+(19*3)+(18*4)+(0*5)+(23*6)+(0*7)+(0*8)+(0*9)+(0*10)+(0*11)+(0*12)</v>
      </c>
      <c r="F216" s="1173" t="s">
        <v>54</v>
      </c>
      <c r="G216" s="1173">
        <f t="shared" si="54"/>
        <v>304</v>
      </c>
      <c r="H216" s="1173"/>
    </row>
    <row r="217" spans="3:8" ht="18" customHeight="1">
      <c r="C217" s="1618" t="s">
        <v>1633</v>
      </c>
      <c r="D217" s="1619"/>
      <c r="E217" s="1178" t="s">
        <v>1797</v>
      </c>
      <c r="F217" s="1173" t="s">
        <v>157</v>
      </c>
      <c r="G217" s="1173">
        <f>TRUNC((ROUNDUP(dhTextEvaluate(E217),0)),0)</f>
        <v>122</v>
      </c>
      <c r="H217" s="1173"/>
    </row>
    <row r="218" spans="3:8" ht="18" customHeight="1">
      <c r="C218" s="1620" t="s">
        <v>1746</v>
      </c>
      <c r="D218" s="1621"/>
      <c r="E218" s="1176">
        <v>50</v>
      </c>
      <c r="F218" s="1173" t="s">
        <v>157</v>
      </c>
      <c r="G218" s="1173">
        <f>TRUNC((ROUNDUP(dhTextEvaluate(E218),0)),0)</f>
        <v>50</v>
      </c>
      <c r="H218" s="1173"/>
    </row>
    <row r="219" spans="3:8" ht="18" customHeight="1">
      <c r="C219" s="1618" t="s">
        <v>1679</v>
      </c>
      <c r="D219" s="1619"/>
      <c r="E219" s="1174" t="s">
        <v>1794</v>
      </c>
      <c r="F219" s="1173" t="s">
        <v>157</v>
      </c>
      <c r="G219" s="1173">
        <f t="shared" ref="G219:G220" si="55">TRUNC((ROUNDUP(dhTextEvaluate(E219),0)),0)</f>
        <v>46</v>
      </c>
      <c r="H219" s="1173"/>
    </row>
    <row r="220" spans="3:8" ht="18" customHeight="1">
      <c r="C220" s="1618" t="s">
        <v>1680</v>
      </c>
      <c r="D220" s="1619"/>
      <c r="E220" s="1174"/>
      <c r="F220" s="1173" t="s">
        <v>157</v>
      </c>
      <c r="G220" s="1173">
        <f t="shared" si="55"/>
        <v>0</v>
      </c>
      <c r="H220" s="1173"/>
    </row>
    <row r="221" spans="3:8" ht="18" customHeight="1">
      <c r="C221" s="1180"/>
      <c r="D221" s="1181"/>
      <c r="E221" s="1174"/>
      <c r="F221" s="1173"/>
      <c r="G221" s="1173"/>
      <c r="H221" s="1173"/>
    </row>
    <row r="222" spans="3:8" ht="18" customHeight="1">
      <c r="C222" s="1180"/>
      <c r="D222" s="1181"/>
      <c r="E222" s="1174"/>
      <c r="F222" s="1173"/>
      <c r="G222" s="1173"/>
      <c r="H222" s="1173"/>
    </row>
    <row r="223" spans="3:8" ht="18" customHeight="1">
      <c r="C223" s="1180"/>
      <c r="D223" s="1181"/>
      <c r="E223" s="1174"/>
      <c r="F223" s="1173"/>
      <c r="G223" s="1173"/>
      <c r="H223" s="1173"/>
    </row>
    <row r="224" spans="3:8" ht="18" customHeight="1">
      <c r="C224" s="1180"/>
      <c r="D224" s="1181"/>
      <c r="E224" s="1174"/>
      <c r="F224" s="1173"/>
      <c r="G224" s="1173"/>
      <c r="H224" s="1173"/>
    </row>
    <row r="225" spans="2:8" customFormat="1" ht="18" customHeight="1">
      <c r="B225" s="194" t="e">
        <f>#REF!</f>
        <v>#REF!</v>
      </c>
      <c r="C225" s="1174" t="e">
        <f>VLOOKUP(B225,#REF!,2,FALSE)</f>
        <v>#REF!</v>
      </c>
      <c r="D225" s="1174" t="e">
        <f>VLOOKUP(B225,#REF!,3,FALSE)</f>
        <v>#REF!</v>
      </c>
      <c r="E225" s="1183">
        <f>G218</f>
        <v>50</v>
      </c>
      <c r="F225" s="1173" t="e">
        <f>VLOOKUP(B225,#REF!,4,FALSE)</f>
        <v>#REF!</v>
      </c>
      <c r="G225" s="1173" t="e">
        <f t="shared" ref="G225:G227" ca="1" si="56">(ROUNDDOWN(dhTextEvaluate(E225),3))</f>
        <v>#NAME?</v>
      </c>
      <c r="H225" s="1173"/>
    </row>
    <row r="226" spans="2:8" customFormat="1" ht="18" customHeight="1">
      <c r="B226" s="194" t="e">
        <f>#REF!</f>
        <v>#REF!</v>
      </c>
      <c r="C226" s="1174" t="e">
        <f>VLOOKUP(B226,#REF!,2,FALSE)</f>
        <v>#REF!</v>
      </c>
      <c r="D226" s="1174" t="e">
        <f>VLOOKUP(B226,#REF!,3,FALSE)</f>
        <v>#REF!</v>
      </c>
      <c r="E226" s="1184" t="s">
        <v>1799</v>
      </c>
      <c r="F226" s="1173" t="e">
        <f>VLOOKUP(B226,#REF!,4,FALSE)</f>
        <v>#REF!</v>
      </c>
      <c r="G226" s="1173">
        <f t="shared" si="56"/>
        <v>23</v>
      </c>
      <c r="H226" s="1173"/>
    </row>
    <row r="227" spans="2:8" customFormat="1" ht="18" customHeight="1">
      <c r="B227" s="194" t="e">
        <f>#REF!</f>
        <v>#REF!</v>
      </c>
      <c r="C227" s="1174" t="e">
        <f>VLOOKUP(B227,#REF!,2,FALSE)</f>
        <v>#REF!</v>
      </c>
      <c r="D227" s="1174" t="e">
        <f>VLOOKUP(B227,#REF!,3,FALSE)</f>
        <v>#REF!</v>
      </c>
      <c r="E227" s="1184" t="s">
        <v>1798</v>
      </c>
      <c r="F227" s="1173" t="e">
        <f>VLOOKUP(B227,#REF!,4,FALSE)</f>
        <v>#REF!</v>
      </c>
      <c r="G227" s="1173">
        <f t="shared" si="56"/>
        <v>23</v>
      </c>
      <c r="H227" s="1173"/>
    </row>
    <row r="228" spans="2:8" ht="18" customHeight="1">
      <c r="B228" s="194" t="e">
        <f>#REF!</f>
        <v>#REF!</v>
      </c>
      <c r="C228" s="1174" t="e">
        <f>VLOOKUP(B228,#REF!,2,FALSE)</f>
        <v>#REF!</v>
      </c>
      <c r="D228" s="1174" t="e">
        <f>VLOOKUP(B228,#REF!,3,FALSE)</f>
        <v>#REF!</v>
      </c>
      <c r="E228" s="1184" t="str">
        <f>G216&amp;"+"&amp;G217</f>
        <v>304+122</v>
      </c>
      <c r="F228" s="1173" t="e">
        <f>VLOOKUP(B228,#REF!,4,FALSE)</f>
        <v>#REF!</v>
      </c>
      <c r="G228" s="1173" t="e">
        <f ca="1">(ROUNDDOWN(dhTextEvaluate(E228),3))</f>
        <v>#NAME?</v>
      </c>
      <c r="H228" s="1173"/>
    </row>
    <row r="229" spans="2:8" ht="18" customHeight="1">
      <c r="B229" s="194" t="e">
        <f>#REF!</f>
        <v>#REF!</v>
      </c>
      <c r="C229" s="1174" t="e">
        <f>VLOOKUP(B229,#REF!,2,FALSE)</f>
        <v>#REF!</v>
      </c>
      <c r="D229" s="1174" t="e">
        <f>VLOOKUP(B229,#REF!,3,FALSE)</f>
        <v>#REF!</v>
      </c>
      <c r="E229" s="1174" t="str">
        <f>G218&amp;"*2"</f>
        <v>50*2</v>
      </c>
      <c r="F229" s="1173" t="e">
        <f>VLOOKUP(B229,#REF!,4,FALSE)</f>
        <v>#REF!</v>
      </c>
      <c r="G229" s="1173" t="e">
        <f ca="1">TRUNC((ROUNDUP(dhTextEvaluate(E229),0)),0)</f>
        <v>#NAME?</v>
      </c>
      <c r="H229" s="1173"/>
    </row>
    <row r="230" spans="2:8" customFormat="1" ht="18" customHeight="1">
      <c r="B230" s="193" t="e">
        <f>#REF!</f>
        <v>#REF!</v>
      </c>
      <c r="C230" s="1174" t="e">
        <f>VLOOKUP(B230,#REF!,2,FALSE)</f>
        <v>#REF!</v>
      </c>
      <c r="D230" s="1174" t="e">
        <f>VLOOKUP(B230,#REF!,3,FALSE)</f>
        <v>#REF!</v>
      </c>
      <c r="E230" s="1174">
        <f>G219</f>
        <v>46</v>
      </c>
      <c r="F230" s="1173" t="e">
        <f>VLOOKUP(B230,#REF!,4,FALSE)</f>
        <v>#REF!</v>
      </c>
      <c r="G230" s="1173" t="e">
        <f t="shared" ref="G230:G231" ca="1" si="57">(ROUNDDOWN(dhTextEvaluate(E230),3))</f>
        <v>#NAME?</v>
      </c>
      <c r="H230" s="1173"/>
    </row>
    <row r="231" spans="2:8" customFormat="1" ht="18" customHeight="1">
      <c r="B231" s="193" t="e">
        <f>#REF!</f>
        <v>#REF!</v>
      </c>
      <c r="C231" s="1174" t="e">
        <f>VLOOKUP(B231,#REF!,2,FALSE)</f>
        <v>#REF!</v>
      </c>
      <c r="D231" s="1174" t="e">
        <f>VLOOKUP(B231,#REF!,3,FALSE)</f>
        <v>#REF!</v>
      </c>
      <c r="E231" s="1174">
        <f>G220</f>
        <v>0</v>
      </c>
      <c r="F231" s="1173" t="e">
        <f>VLOOKUP(B231,#REF!,4,FALSE)</f>
        <v>#REF!</v>
      </c>
      <c r="G231" s="1173" t="e">
        <f t="shared" ca="1" si="57"/>
        <v>#NAME?</v>
      </c>
      <c r="H231" s="1173"/>
    </row>
    <row r="232" spans="2:8" ht="18" customHeight="1">
      <c r="B232" s="194" t="e">
        <f>#REF!</f>
        <v>#REF!</v>
      </c>
      <c r="C232" s="1174" t="e">
        <f>VLOOKUP(B232,#REF!,2,FALSE)</f>
        <v>#REF!</v>
      </c>
      <c r="D232" s="1174" t="e">
        <f>VLOOKUP(B232,#REF!,3,FALSE)</f>
        <v>#REF!</v>
      </c>
      <c r="E232" s="1174">
        <f>G247</f>
        <v>1</v>
      </c>
      <c r="F232" s="1173" t="e">
        <f>VLOOKUP(B232,#REF!,4,FALSE)</f>
        <v>#REF!</v>
      </c>
      <c r="G232" s="1173" t="e">
        <f t="shared" ref="G232:G233" ca="1" si="58">TRUNC((ROUNDUP(dhTextEvaluate(E232),0)),0)</f>
        <v>#NAME?</v>
      </c>
      <c r="H232" s="1173"/>
    </row>
    <row r="233" spans="2:8" ht="18" customHeight="1">
      <c r="B233" s="194" t="e">
        <f>#REF!</f>
        <v>#REF!</v>
      </c>
      <c r="C233" s="1174" t="e">
        <f>VLOOKUP(B233,#REF!,2,FALSE)</f>
        <v>#REF!</v>
      </c>
      <c r="D233" s="1174" t="e">
        <f>VLOOKUP(B233,#REF!,3,FALSE)</f>
        <v>#REF!</v>
      </c>
      <c r="E233" s="1174" t="e">
        <f ca="1">G232</f>
        <v>#NAME?</v>
      </c>
      <c r="F233" s="1173" t="e">
        <f>VLOOKUP(B233,#REF!,4,FALSE)</f>
        <v>#REF!</v>
      </c>
      <c r="G233" s="1173" t="e">
        <f t="shared" ca="1" si="58"/>
        <v>#NAME?</v>
      </c>
      <c r="H233" s="1173"/>
    </row>
    <row r="234" spans="2:8" ht="18" customHeight="1">
      <c r="B234" s="193" t="e">
        <f>#REF!</f>
        <v>#REF!</v>
      </c>
      <c r="C234" s="1174" t="e">
        <f>VLOOKUP(B234,#REF!,2,FALSE)</f>
        <v>#REF!</v>
      </c>
      <c r="D234" s="1174" t="e">
        <f>VLOOKUP(B234,#REF!,3,FALSE)</f>
        <v>#REF!</v>
      </c>
      <c r="E234" s="1174" t="e">
        <f ca="1">G232</f>
        <v>#NAME?</v>
      </c>
      <c r="F234" s="1173" t="e">
        <f>VLOOKUP(B234,#REF!,4,FALSE)</f>
        <v>#REF!</v>
      </c>
      <c r="G234" s="1173" t="e">
        <f ca="1">TRUNC((ROUNDUP(dhTextEvaluate(E234),0)),0)</f>
        <v>#NAME?</v>
      </c>
      <c r="H234" s="1177"/>
    </row>
    <row r="235" spans="2:8" ht="18" customHeight="1">
      <c r="B235" s="194" t="e">
        <f>#REF!</f>
        <v>#REF!</v>
      </c>
      <c r="C235" s="1174" t="e">
        <f>VLOOKUP(B235,#REF!,2,FALSE)</f>
        <v>#REF!</v>
      </c>
      <c r="D235" s="1174" t="e">
        <f>VLOOKUP(B235,#REF!,3,FALSE)</f>
        <v>#REF!</v>
      </c>
      <c r="E235" s="1174">
        <f>G240</f>
        <v>1</v>
      </c>
      <c r="F235" s="1173" t="e">
        <f>VLOOKUP(B235,#REF!,4,FALSE)</f>
        <v>#REF!</v>
      </c>
      <c r="G235" s="1173" t="e">
        <f t="shared" ref="G235:G236" ca="1" si="59">TRUNC((ROUNDUP(dhTextEvaluate(E235),0)),0)</f>
        <v>#NAME?</v>
      </c>
      <c r="H235" s="1173"/>
    </row>
    <row r="236" spans="2:8" ht="18" customHeight="1">
      <c r="B236" s="194" t="e">
        <f>#REF!</f>
        <v>#REF!</v>
      </c>
      <c r="C236" s="1174" t="e">
        <f>VLOOKUP(B236,#REF!,2,FALSE)</f>
        <v>#REF!</v>
      </c>
      <c r="D236" s="1174" t="e">
        <f>VLOOKUP(B236,#REF!,3,FALSE)</f>
        <v>#REF!</v>
      </c>
      <c r="E236" s="1174">
        <f>G241</f>
        <v>6</v>
      </c>
      <c r="F236" s="1173" t="e">
        <f>VLOOKUP(B236,#REF!,4,FALSE)</f>
        <v>#REF!</v>
      </c>
      <c r="G236" s="1173" t="e">
        <f t="shared" ca="1" si="59"/>
        <v>#NAME?</v>
      </c>
      <c r="H236" s="1173"/>
    </row>
    <row r="237" spans="2:8" customFormat="1" ht="18" customHeight="1">
      <c r="B237" s="194" t="e">
        <f>#REF!</f>
        <v>#REF!</v>
      </c>
      <c r="C237" s="1174" t="e">
        <f>VLOOKUP(B237,#REF!,2,FALSE)</f>
        <v>#REF!</v>
      </c>
      <c r="D237" s="1174" t="e">
        <f>VLOOKUP(B237,#REF!,3,FALSE)</f>
        <v>#REF!</v>
      </c>
      <c r="E237" s="1184">
        <f>G242</f>
        <v>4</v>
      </c>
      <c r="F237" s="1173" t="e">
        <f>VLOOKUP(B237,#REF!,4,FALSE)</f>
        <v>#REF!</v>
      </c>
      <c r="G237" s="1173" t="e">
        <f ca="1">(ROUNDDOWN(dhTextEvaluate(E237),3))</f>
        <v>#NAME?</v>
      </c>
      <c r="H237" s="1173"/>
    </row>
    <row r="238" spans="2:8" customFormat="1" ht="18" customHeight="1">
      <c r="B238" s="194" t="e">
        <f>#REF!</f>
        <v>#REF!</v>
      </c>
      <c r="C238" s="1174" t="e">
        <f>VLOOKUP(B238,#REF!,2,FALSE)</f>
        <v>#REF!</v>
      </c>
      <c r="D238" s="1174" t="e">
        <f>VLOOKUP(B238,#REF!,3,FALSE)</f>
        <v>#REF!</v>
      </c>
      <c r="E238" s="1184">
        <f>G242</f>
        <v>4</v>
      </c>
      <c r="F238" s="1173" t="e">
        <f>VLOOKUP(B238,#REF!,4,FALSE)</f>
        <v>#REF!</v>
      </c>
      <c r="G238" s="1173" t="e">
        <f ca="1">(ROUNDDOWN(dhTextEvaluate(E238),3))</f>
        <v>#NAME?</v>
      </c>
      <c r="H238" s="1173"/>
    </row>
    <row r="239" spans="2:8" customFormat="1" ht="18" customHeight="1">
      <c r="B239" s="194" t="e">
        <f>#REF!</f>
        <v>#REF!</v>
      </c>
      <c r="C239" s="1174" t="e">
        <f>VLOOKUP(B239,#REF!,2,FALSE)</f>
        <v>#REF!</v>
      </c>
      <c r="D239" s="1174" t="e">
        <f>VLOOKUP(B239,#REF!,3,FALSE)</f>
        <v>#REF!</v>
      </c>
      <c r="E239" s="1184">
        <f>G243+G244</f>
        <v>8</v>
      </c>
      <c r="F239" s="1173" t="e">
        <f>VLOOKUP(B239,#REF!,4,FALSE)</f>
        <v>#REF!</v>
      </c>
      <c r="G239" s="1173" t="e">
        <f ca="1">(ROUNDDOWN(dhTextEvaluate(E239),3))</f>
        <v>#NAME?</v>
      </c>
      <c r="H239" s="1173"/>
    </row>
    <row r="240" spans="2:8" ht="18" customHeight="1">
      <c r="B240" s="194" t="e">
        <f>#REF!</f>
        <v>#REF!</v>
      </c>
      <c r="C240" s="1174" t="e">
        <f>VLOOKUP(B240,#REF!,2,FALSE)</f>
        <v>#REF!</v>
      </c>
      <c r="D240" s="1174" t="e">
        <f>VLOOKUP(B240,#REF!,3,FALSE)</f>
        <v>#REF!</v>
      </c>
      <c r="E240" s="1174">
        <v>1</v>
      </c>
      <c r="F240" s="1173" t="e">
        <f>VLOOKUP(B240,#REF!,4,FALSE)</f>
        <v>#REF!</v>
      </c>
      <c r="G240" s="1173">
        <f t="shared" ref="G240:G248" si="60">TRUNC((ROUNDUP(dhTextEvaluate(E240),0)),0)</f>
        <v>1</v>
      </c>
      <c r="H240" s="1182" t="s">
        <v>1044</v>
      </c>
    </row>
    <row r="241" spans="2:8" ht="18" customHeight="1">
      <c r="B241" s="194" t="e">
        <f>#REF!</f>
        <v>#REF!</v>
      </c>
      <c r="C241" s="1174" t="e">
        <f>VLOOKUP(B241,#REF!,2,FALSE)</f>
        <v>#REF!</v>
      </c>
      <c r="D241" s="1174" t="e">
        <f>VLOOKUP(B241,#REF!,3,FALSE)</f>
        <v>#REF!</v>
      </c>
      <c r="E241" s="1174">
        <v>6</v>
      </c>
      <c r="F241" s="1173" t="e">
        <f>VLOOKUP(B241,#REF!,4,FALSE)</f>
        <v>#REF!</v>
      </c>
      <c r="G241" s="1173">
        <f t="shared" si="60"/>
        <v>6</v>
      </c>
      <c r="H241" s="1182" t="s">
        <v>1044</v>
      </c>
    </row>
    <row r="242" spans="2:8" ht="18" customHeight="1">
      <c r="B242" s="194" t="e">
        <f>#REF!</f>
        <v>#REF!</v>
      </c>
      <c r="C242" s="1174" t="e">
        <f>VLOOKUP(B242,#REF!,2,FALSE)</f>
        <v>#REF!</v>
      </c>
      <c r="D242" s="1174" t="e">
        <f>VLOOKUP(B242,#REF!,3,FALSE)</f>
        <v>#REF!</v>
      </c>
      <c r="E242" s="1174">
        <v>4</v>
      </c>
      <c r="F242" s="1173" t="e">
        <f>VLOOKUP(B242,#REF!,4,FALSE)</f>
        <v>#REF!</v>
      </c>
      <c r="G242" s="1173">
        <f t="shared" si="60"/>
        <v>4</v>
      </c>
      <c r="H242" s="1182" t="s">
        <v>1044</v>
      </c>
    </row>
    <row r="243" spans="2:8" ht="18" customHeight="1">
      <c r="B243" s="194" t="e">
        <f>#REF!</f>
        <v>#REF!</v>
      </c>
      <c r="C243" s="1178" t="e">
        <f>VLOOKUP(B243,#REF!,2,FALSE)</f>
        <v>#REF!</v>
      </c>
      <c r="D243" s="1174" t="e">
        <f>VLOOKUP(B243,#REF!,3,FALSE)</f>
        <v>#REF!</v>
      </c>
      <c r="E243" s="1174">
        <v>4</v>
      </c>
      <c r="F243" s="1173" t="e">
        <f>VLOOKUP(B243,#REF!,4,FALSE)</f>
        <v>#REF!</v>
      </c>
      <c r="G243" s="1173">
        <f t="shared" si="60"/>
        <v>4</v>
      </c>
      <c r="H243" s="1182" t="s">
        <v>1044</v>
      </c>
    </row>
    <row r="244" spans="2:8" ht="18" customHeight="1">
      <c r="B244" s="194" t="e">
        <f>#REF!</f>
        <v>#REF!</v>
      </c>
      <c r="C244" s="1178" t="e">
        <f>VLOOKUP(B244,#REF!,2,FALSE)</f>
        <v>#REF!</v>
      </c>
      <c r="D244" s="1174" t="e">
        <f>VLOOKUP(B244,#REF!,3,FALSE)</f>
        <v>#REF!</v>
      </c>
      <c r="E244" s="1174">
        <v>4</v>
      </c>
      <c r="F244" s="1173" t="e">
        <f>VLOOKUP(B244,#REF!,4,FALSE)</f>
        <v>#REF!</v>
      </c>
      <c r="G244" s="1173">
        <f t="shared" si="60"/>
        <v>4</v>
      </c>
      <c r="H244" s="1182" t="s">
        <v>1044</v>
      </c>
    </row>
    <row r="245" spans="2:8" ht="18" customHeight="1">
      <c r="B245" s="194" t="e">
        <f>#REF!</f>
        <v>#REF!</v>
      </c>
      <c r="C245" s="1178" t="e">
        <f>VLOOKUP(B245,#REF!,2,FALSE)</f>
        <v>#REF!</v>
      </c>
      <c r="D245" s="1174" t="e">
        <f>VLOOKUP(B245,#REF!,3,FALSE)</f>
        <v>#REF!</v>
      </c>
      <c r="E245" s="1174">
        <v>5</v>
      </c>
      <c r="F245" s="1173" t="e">
        <f>VLOOKUP(B245,#REF!,4,FALSE)</f>
        <v>#REF!</v>
      </c>
      <c r="G245" s="1173">
        <f t="shared" si="60"/>
        <v>5</v>
      </c>
      <c r="H245" s="1182" t="s">
        <v>1044</v>
      </c>
    </row>
    <row r="246" spans="2:8" ht="18" customHeight="1">
      <c r="B246" s="194" t="e">
        <f>#REF!</f>
        <v>#REF!</v>
      </c>
      <c r="C246" s="1178" t="e">
        <f>VLOOKUP(B246,#REF!,2,FALSE)</f>
        <v>#REF!</v>
      </c>
      <c r="D246" s="1174" t="e">
        <f>VLOOKUP(B246,#REF!,3,FALSE)</f>
        <v>#REF!</v>
      </c>
      <c r="E246" s="1174">
        <v>1</v>
      </c>
      <c r="F246" s="1173" t="e">
        <f>VLOOKUP(B246,#REF!,4,FALSE)</f>
        <v>#REF!</v>
      </c>
      <c r="G246" s="1173">
        <f t="shared" si="60"/>
        <v>1</v>
      </c>
      <c r="H246" s="1182" t="s">
        <v>1044</v>
      </c>
    </row>
    <row r="247" spans="2:8" ht="18" customHeight="1">
      <c r="B247" s="194" t="e">
        <f>#REF!</f>
        <v>#REF!</v>
      </c>
      <c r="C247" s="1178" t="e">
        <f>VLOOKUP(B247,#REF!,2,FALSE)</f>
        <v>#REF!</v>
      </c>
      <c r="D247" s="1174" t="e">
        <f>VLOOKUP(B247,#REF!,3,FALSE)</f>
        <v>#REF!</v>
      </c>
      <c r="E247" s="1174">
        <v>1</v>
      </c>
      <c r="F247" s="1173" t="e">
        <f>VLOOKUP(B247,#REF!,4,FALSE)</f>
        <v>#REF!</v>
      </c>
      <c r="G247" s="1173">
        <f t="shared" si="60"/>
        <v>1</v>
      </c>
      <c r="H247" s="1182" t="s">
        <v>1044</v>
      </c>
    </row>
    <row r="248" spans="2:8" ht="18" customHeight="1">
      <c r="B248" s="194" t="e">
        <f>#REF!</f>
        <v>#REF!</v>
      </c>
      <c r="C248" s="1178" t="e">
        <f>VLOOKUP(B248,#REF!,2,FALSE)</f>
        <v>#REF!</v>
      </c>
      <c r="D248" s="1174" t="e">
        <f>VLOOKUP(B248,#REF!,3,FALSE)</f>
        <v>#REF!</v>
      </c>
      <c r="E248" s="1174">
        <v>1</v>
      </c>
      <c r="F248" s="1173" t="e">
        <f>VLOOKUP(B248,#REF!,4,FALSE)</f>
        <v>#REF!</v>
      </c>
      <c r="G248" s="1173">
        <f t="shared" si="60"/>
        <v>1</v>
      </c>
      <c r="H248" s="1182" t="s">
        <v>1044</v>
      </c>
    </row>
    <row r="249" spans="2:8" ht="18" customHeight="1">
      <c r="B249" s="194" t="s">
        <v>1762</v>
      </c>
      <c r="C249" s="1172" t="s">
        <v>1763</v>
      </c>
      <c r="D249" s="1173"/>
      <c r="E249" s="1174"/>
      <c r="F249" s="1174"/>
      <c r="G249" s="1173"/>
      <c r="H249" s="1173"/>
    </row>
    <row r="250" spans="2:8" ht="18" customHeight="1">
      <c r="C250" s="1620" t="s">
        <v>1800</v>
      </c>
      <c r="D250" s="1621"/>
      <c r="E250" s="1174"/>
      <c r="F250" s="1173"/>
      <c r="G250" s="1173"/>
      <c r="H250" s="1173"/>
    </row>
    <row r="251" spans="2:8" ht="18" customHeight="1">
      <c r="C251" s="1618" t="s">
        <v>1600</v>
      </c>
      <c r="D251" s="1619"/>
      <c r="E251" s="1174">
        <v>19</v>
      </c>
      <c r="F251" s="1173" t="s">
        <v>54</v>
      </c>
      <c r="G251" s="1173">
        <f t="shared" ref="G251:G263" si="61">TRUNC((ROUNDUP(dhTextEvaluate(E251),0)),0)</f>
        <v>19</v>
      </c>
      <c r="H251" s="1173" t="s">
        <v>901</v>
      </c>
    </row>
    <row r="252" spans="2:8" ht="18" customHeight="1">
      <c r="C252" s="1618" t="s">
        <v>1601</v>
      </c>
      <c r="D252" s="1619"/>
      <c r="E252" s="1174"/>
      <c r="F252" s="1173" t="s">
        <v>54</v>
      </c>
      <c r="G252" s="1173">
        <f t="shared" si="61"/>
        <v>0</v>
      </c>
      <c r="H252" s="1173" t="s">
        <v>901</v>
      </c>
    </row>
    <row r="253" spans="2:8" ht="18" customHeight="1">
      <c r="C253" s="1618" t="s">
        <v>1602</v>
      </c>
      <c r="D253" s="1619"/>
      <c r="E253" s="1174"/>
      <c r="F253" s="1173" t="s">
        <v>54</v>
      </c>
      <c r="G253" s="1173">
        <f t="shared" si="61"/>
        <v>0</v>
      </c>
      <c r="H253" s="1173" t="s">
        <v>901</v>
      </c>
    </row>
    <row r="254" spans="2:8" ht="18" customHeight="1">
      <c r="C254" s="1618" t="s">
        <v>1603</v>
      </c>
      <c r="D254" s="1619"/>
      <c r="E254" s="1174"/>
      <c r="F254" s="1173" t="s">
        <v>54</v>
      </c>
      <c r="G254" s="1173">
        <f t="shared" si="61"/>
        <v>0</v>
      </c>
      <c r="H254" s="1173" t="s">
        <v>901</v>
      </c>
    </row>
    <row r="255" spans="2:8" ht="18" customHeight="1">
      <c r="C255" s="1618" t="s">
        <v>1604</v>
      </c>
      <c r="D255" s="1619"/>
      <c r="E255" s="1174"/>
      <c r="F255" s="1173" t="s">
        <v>54</v>
      </c>
      <c r="G255" s="1173">
        <f t="shared" si="61"/>
        <v>0</v>
      </c>
      <c r="H255" s="1173" t="s">
        <v>901</v>
      </c>
    </row>
    <row r="256" spans="2:8" ht="18" customHeight="1">
      <c r="C256" s="1618" t="s">
        <v>1735</v>
      </c>
      <c r="D256" s="1619"/>
      <c r="E256" s="1174"/>
      <c r="F256" s="1173" t="s">
        <v>54</v>
      </c>
      <c r="G256" s="1173">
        <f t="shared" si="61"/>
        <v>0</v>
      </c>
      <c r="H256" s="1173" t="s">
        <v>901</v>
      </c>
    </row>
    <row r="257" spans="2:8" ht="18" customHeight="1">
      <c r="C257" s="1618" t="s">
        <v>1736</v>
      </c>
      <c r="D257" s="1619"/>
      <c r="E257" s="1174"/>
      <c r="F257" s="1173" t="s">
        <v>54</v>
      </c>
      <c r="G257" s="1173">
        <f t="shared" si="61"/>
        <v>0</v>
      </c>
      <c r="H257" s="1173" t="s">
        <v>901</v>
      </c>
    </row>
    <row r="258" spans="2:8" ht="18" customHeight="1">
      <c r="C258" s="1618" t="s">
        <v>1737</v>
      </c>
      <c r="D258" s="1619"/>
      <c r="E258" s="1174"/>
      <c r="F258" s="1173" t="s">
        <v>54</v>
      </c>
      <c r="G258" s="1173">
        <f t="shared" si="61"/>
        <v>0</v>
      </c>
      <c r="H258" s="1173" t="s">
        <v>901</v>
      </c>
    </row>
    <row r="259" spans="2:8" ht="18" customHeight="1">
      <c r="C259" s="1618" t="s">
        <v>1747</v>
      </c>
      <c r="D259" s="1619"/>
      <c r="E259" s="1174"/>
      <c r="F259" s="1173" t="s">
        <v>54</v>
      </c>
      <c r="G259" s="1173">
        <f t="shared" si="61"/>
        <v>0</v>
      </c>
      <c r="H259" s="1173" t="s">
        <v>901</v>
      </c>
    </row>
    <row r="260" spans="2:8" ht="18" customHeight="1">
      <c r="C260" s="1618" t="s">
        <v>1748</v>
      </c>
      <c r="D260" s="1619"/>
      <c r="E260" s="1174"/>
      <c r="F260" s="1173" t="s">
        <v>54</v>
      </c>
      <c r="G260" s="1173">
        <f t="shared" si="61"/>
        <v>0</v>
      </c>
      <c r="H260" s="1173" t="s">
        <v>901</v>
      </c>
    </row>
    <row r="261" spans="2:8" ht="18" customHeight="1">
      <c r="C261" s="1618" t="s">
        <v>1749</v>
      </c>
      <c r="D261" s="1619"/>
      <c r="E261" s="1174"/>
      <c r="F261" s="1173" t="s">
        <v>54</v>
      </c>
      <c r="G261" s="1173">
        <f t="shared" si="61"/>
        <v>0</v>
      </c>
      <c r="H261" s="1173" t="s">
        <v>901</v>
      </c>
    </row>
    <row r="262" spans="2:8" ht="18" customHeight="1">
      <c r="C262" s="1618" t="s">
        <v>1750</v>
      </c>
      <c r="D262" s="1619"/>
      <c r="E262" s="1174"/>
      <c r="F262" s="1173" t="s">
        <v>54</v>
      </c>
      <c r="G262" s="1173">
        <f t="shared" si="61"/>
        <v>0</v>
      </c>
      <c r="H262" s="1173" t="s">
        <v>901</v>
      </c>
    </row>
    <row r="263" spans="2:8" ht="18" customHeight="1">
      <c r="C263" s="1618" t="s">
        <v>1675</v>
      </c>
      <c r="D263" s="1619"/>
      <c r="E263" s="1178" t="str">
        <f>"("&amp;G251&amp;"*1)+("&amp;G252&amp;"*2)+("&amp;G253&amp;"*3)+("&amp;G254&amp;"*4)+("&amp;G255&amp;"*5)+("&amp;G256&amp;"*6)+("&amp;G257&amp;"*7)+("&amp;G258&amp;"*8)+("&amp;G259&amp;"*9)+("&amp;G260&amp;"*10)+("&amp;G261&amp;"*11)+("&amp;G262&amp;"*12)"</f>
        <v>(19*1)+(0*2)+(0*3)+(0*4)+(0*5)+(0*6)+(0*7)+(0*8)+(0*9)+(0*10)+(0*11)+(0*12)</v>
      </c>
      <c r="F263" s="1173" t="s">
        <v>54</v>
      </c>
      <c r="G263" s="1173">
        <f t="shared" si="61"/>
        <v>19</v>
      </c>
      <c r="H263" s="1173" t="s">
        <v>901</v>
      </c>
    </row>
    <row r="264" spans="2:8" ht="18" customHeight="1">
      <c r="C264" s="1618" t="s">
        <v>1633</v>
      </c>
      <c r="D264" s="1619"/>
      <c r="E264" s="1178">
        <v>4</v>
      </c>
      <c r="F264" s="1173" t="s">
        <v>54</v>
      </c>
      <c r="G264" s="1173">
        <f>TRUNC((ROUNDUP(dhTextEvaluate(E264),0)),0)</f>
        <v>4</v>
      </c>
      <c r="H264" s="1173" t="s">
        <v>901</v>
      </c>
    </row>
    <row r="265" spans="2:8" ht="18" customHeight="1">
      <c r="C265" s="1178"/>
      <c r="D265" s="1240"/>
      <c r="E265" s="1178"/>
      <c r="F265" s="1173"/>
      <c r="G265" s="1173"/>
      <c r="H265" s="1173"/>
    </row>
    <row r="266" spans="2:8" ht="18" customHeight="1">
      <c r="B266" s="194" t="e">
        <f>#REF!</f>
        <v>#REF!</v>
      </c>
      <c r="C266" s="1174" t="e">
        <f>VLOOKUP(B266,#REF!,2,FALSE)</f>
        <v>#REF!</v>
      </c>
      <c r="D266" s="1174" t="e">
        <f>VLOOKUP(B266,#REF!,3,FALSE)</f>
        <v>#REF!</v>
      </c>
      <c r="E266" s="1174">
        <v>19</v>
      </c>
      <c r="F266" s="1173" t="e">
        <f>VLOOKUP(B266,#REF!,4,FALSE)</f>
        <v>#REF!</v>
      </c>
      <c r="G266" s="1173">
        <f t="shared" ref="G266:G270" si="62">TRUNC((ROUNDUP(dhTextEvaluate(E266),0)),0)</f>
        <v>19</v>
      </c>
      <c r="H266" s="1182"/>
    </row>
    <row r="267" spans="2:8" ht="18" customHeight="1">
      <c r="B267" s="194" t="e">
        <f>#REF!</f>
        <v>#REF!</v>
      </c>
      <c r="C267" s="1174" t="e">
        <f>VLOOKUP(B267,#REF!,2,FALSE)</f>
        <v>#REF!</v>
      </c>
      <c r="D267" s="1174" t="e">
        <f>VLOOKUP(B267,#REF!,3,FALSE)</f>
        <v>#REF!</v>
      </c>
      <c r="E267" s="1174">
        <f>G263+G264</f>
        <v>23</v>
      </c>
      <c r="F267" s="1173" t="e">
        <f>VLOOKUP(B267,#REF!,4,FALSE)</f>
        <v>#REF!</v>
      </c>
      <c r="G267" s="1173" t="e">
        <f t="shared" ca="1" si="62"/>
        <v>#NAME?</v>
      </c>
      <c r="H267" s="1182"/>
    </row>
    <row r="268" spans="2:8" ht="18" customHeight="1">
      <c r="B268" s="194" t="e">
        <f>#REF!</f>
        <v>#REF!</v>
      </c>
      <c r="C268" s="1174" t="e">
        <f>VLOOKUP(B268,#REF!,2,FALSE)</f>
        <v>#REF!</v>
      </c>
      <c r="D268" s="1174" t="e">
        <f>VLOOKUP(B268,#REF!,3,FALSE)</f>
        <v>#REF!</v>
      </c>
      <c r="E268" s="1174">
        <v>1</v>
      </c>
      <c r="F268" s="1173" t="e">
        <f>VLOOKUP(B268,#REF!,4,FALSE)</f>
        <v>#REF!</v>
      </c>
      <c r="G268" s="1173">
        <f t="shared" si="62"/>
        <v>1</v>
      </c>
      <c r="H268" s="1182"/>
    </row>
    <row r="269" spans="2:8" ht="18" customHeight="1">
      <c r="B269" s="194" t="e">
        <f>#REF!</f>
        <v>#REF!</v>
      </c>
      <c r="C269" s="1174" t="e">
        <f>VLOOKUP(B269,#REF!,2,FALSE)</f>
        <v>#REF!</v>
      </c>
      <c r="D269" s="1174" t="e">
        <f>VLOOKUP(B269,#REF!,3,FALSE)</f>
        <v>#REF!</v>
      </c>
      <c r="E269" s="1174">
        <v>1</v>
      </c>
      <c r="F269" s="1173" t="e">
        <f>VLOOKUP(B269,#REF!,4,FALSE)</f>
        <v>#REF!</v>
      </c>
      <c r="G269" s="1173">
        <f t="shared" si="62"/>
        <v>1</v>
      </c>
      <c r="H269" s="1182"/>
    </row>
    <row r="270" spans="2:8" ht="18" customHeight="1">
      <c r="B270" s="194" t="e">
        <f>#REF!</f>
        <v>#REF!</v>
      </c>
      <c r="C270" s="1174" t="e">
        <f>VLOOKUP(B270,#REF!,2,FALSE)</f>
        <v>#REF!</v>
      </c>
      <c r="D270" s="1174" t="e">
        <f>VLOOKUP(B270,#REF!,3,FALSE)</f>
        <v>#REF!</v>
      </c>
      <c r="E270" s="1174">
        <f>G268</f>
        <v>1</v>
      </c>
      <c r="F270" s="1173" t="e">
        <f>VLOOKUP(B270,#REF!,4,FALSE)</f>
        <v>#REF!</v>
      </c>
      <c r="G270" s="1173" t="e">
        <f t="shared" ca="1" si="62"/>
        <v>#NAME?</v>
      </c>
      <c r="H270" s="1173"/>
    </row>
    <row r="271" spans="2:8" ht="18" customHeight="1">
      <c r="C271" s="1618"/>
      <c r="D271" s="1619"/>
      <c r="E271" s="1174"/>
      <c r="F271" s="1173"/>
      <c r="G271" s="1173"/>
      <c r="H271" s="1173"/>
    </row>
    <row r="272" spans="2:8" ht="18" customHeight="1">
      <c r="C272" s="1172"/>
      <c r="D272" s="1173"/>
      <c r="E272" s="1174"/>
      <c r="F272" s="1174"/>
      <c r="G272" s="1173"/>
      <c r="H272" s="1173"/>
    </row>
    <row r="273" spans="3:8" ht="18" customHeight="1">
      <c r="C273" s="1620" t="s">
        <v>1764</v>
      </c>
      <c r="D273" s="1621"/>
      <c r="E273" s="1174"/>
      <c r="F273" s="1173"/>
      <c r="G273" s="1173"/>
      <c r="H273" s="1173"/>
    </row>
    <row r="274" spans="3:8" ht="18" customHeight="1">
      <c r="C274" s="1618" t="s">
        <v>1600</v>
      </c>
      <c r="D274" s="1619"/>
      <c r="E274" s="1174">
        <v>16</v>
      </c>
      <c r="F274" s="1173" t="s">
        <v>157</v>
      </c>
      <c r="G274" s="1173">
        <f t="shared" ref="G274:G287" si="63">TRUNC((ROUNDUP(dhTextEvaluate(E274),0)),0)</f>
        <v>16</v>
      </c>
      <c r="H274" s="1173"/>
    </row>
    <row r="275" spans="3:8" ht="18" customHeight="1">
      <c r="C275" s="1618" t="s">
        <v>1601</v>
      </c>
      <c r="D275" s="1619"/>
      <c r="E275" s="1174"/>
      <c r="F275" s="1173" t="s">
        <v>157</v>
      </c>
      <c r="G275" s="1173">
        <f t="shared" si="63"/>
        <v>0</v>
      </c>
      <c r="H275" s="1173"/>
    </row>
    <row r="276" spans="3:8" ht="18" customHeight="1">
      <c r="C276" s="1618" t="s">
        <v>1602</v>
      </c>
      <c r="D276" s="1619"/>
      <c r="E276" s="1174"/>
      <c r="F276" s="1173" t="s">
        <v>157</v>
      </c>
      <c r="G276" s="1173">
        <f t="shared" si="63"/>
        <v>0</v>
      </c>
      <c r="H276" s="1173"/>
    </row>
    <row r="277" spans="3:8" ht="18" customHeight="1">
      <c r="C277" s="1618" t="s">
        <v>1603</v>
      </c>
      <c r="D277" s="1619"/>
      <c r="E277" s="1174"/>
      <c r="F277" s="1173" t="s">
        <v>157</v>
      </c>
      <c r="G277" s="1173">
        <f t="shared" si="63"/>
        <v>0</v>
      </c>
      <c r="H277" s="1173"/>
    </row>
    <row r="278" spans="3:8" ht="18" customHeight="1">
      <c r="C278" s="1618" t="s">
        <v>1604</v>
      </c>
      <c r="D278" s="1619"/>
      <c r="E278" s="1174"/>
      <c r="F278" s="1173" t="s">
        <v>157</v>
      </c>
      <c r="G278" s="1173">
        <f t="shared" si="63"/>
        <v>0</v>
      </c>
      <c r="H278" s="1173"/>
    </row>
    <row r="279" spans="3:8" ht="18" customHeight="1">
      <c r="C279" s="1618" t="s">
        <v>1735</v>
      </c>
      <c r="D279" s="1619"/>
      <c r="E279" s="1174"/>
      <c r="F279" s="1173" t="s">
        <v>157</v>
      </c>
      <c r="G279" s="1173">
        <f t="shared" si="63"/>
        <v>0</v>
      </c>
      <c r="H279" s="1173"/>
    </row>
    <row r="280" spans="3:8" ht="18" customHeight="1">
      <c r="C280" s="1618" t="s">
        <v>1736</v>
      </c>
      <c r="D280" s="1619"/>
      <c r="E280" s="1174"/>
      <c r="F280" s="1173" t="s">
        <v>157</v>
      </c>
      <c r="G280" s="1173">
        <f t="shared" si="63"/>
        <v>0</v>
      </c>
      <c r="H280" s="1173"/>
    </row>
    <row r="281" spans="3:8" ht="18" customHeight="1">
      <c r="C281" s="1618" t="s">
        <v>1737</v>
      </c>
      <c r="D281" s="1619"/>
      <c r="E281" s="1174"/>
      <c r="F281" s="1173" t="s">
        <v>157</v>
      </c>
      <c r="G281" s="1173">
        <f t="shared" si="63"/>
        <v>0</v>
      </c>
      <c r="H281" s="1173"/>
    </row>
    <row r="282" spans="3:8" ht="18" customHeight="1">
      <c r="C282" s="1618" t="s">
        <v>1747</v>
      </c>
      <c r="D282" s="1619"/>
      <c r="E282" s="1174"/>
      <c r="F282" s="1173" t="s">
        <v>157</v>
      </c>
      <c r="G282" s="1173">
        <f t="shared" si="63"/>
        <v>0</v>
      </c>
      <c r="H282" s="1173"/>
    </row>
    <row r="283" spans="3:8" ht="18" customHeight="1">
      <c r="C283" s="1618" t="s">
        <v>1748</v>
      </c>
      <c r="D283" s="1619"/>
      <c r="E283" s="1174"/>
      <c r="F283" s="1173" t="s">
        <v>157</v>
      </c>
      <c r="G283" s="1173">
        <f t="shared" si="63"/>
        <v>0</v>
      </c>
      <c r="H283" s="1173"/>
    </row>
    <row r="284" spans="3:8" ht="18" customHeight="1">
      <c r="C284" s="1618" t="s">
        <v>1749</v>
      </c>
      <c r="D284" s="1619"/>
      <c r="E284" s="1174"/>
      <c r="F284" s="1173" t="s">
        <v>157</v>
      </c>
      <c r="G284" s="1173">
        <f t="shared" si="63"/>
        <v>0</v>
      </c>
      <c r="H284" s="1173"/>
    </row>
    <row r="285" spans="3:8" ht="18" customHeight="1">
      <c r="C285" s="1618" t="s">
        <v>1750</v>
      </c>
      <c r="D285" s="1619"/>
      <c r="E285" s="1174"/>
      <c r="F285" s="1173" t="s">
        <v>157</v>
      </c>
      <c r="G285" s="1173">
        <f t="shared" si="63"/>
        <v>0</v>
      </c>
      <c r="H285" s="1173"/>
    </row>
    <row r="286" spans="3:8" ht="18" customHeight="1">
      <c r="C286" s="1618" t="s">
        <v>1635</v>
      </c>
      <c r="D286" s="1619"/>
      <c r="E286" s="1174"/>
      <c r="F286" s="1173" t="s">
        <v>54</v>
      </c>
      <c r="G286" s="1173">
        <f t="shared" si="63"/>
        <v>0</v>
      </c>
      <c r="H286" s="1173"/>
    </row>
    <row r="287" spans="3:8" ht="18" customHeight="1">
      <c r="C287" s="1618" t="s">
        <v>1675</v>
      </c>
      <c r="D287" s="1619"/>
      <c r="E287" s="1178" t="str">
        <f>"("&amp;G274&amp;"*1)+("&amp;G275&amp;"*2)+("&amp;G276&amp;"*3)+("&amp;G277&amp;"*4)+("&amp;G278&amp;"*5)+("&amp;G279&amp;"*6)+("&amp;G280&amp;"*7)+("&amp;G281&amp;"*8)+("&amp;G282&amp;"*9)+("&amp;G283&amp;"*10)+("&amp;G284&amp;"*11)+("&amp;G285&amp;"*12)"</f>
        <v>(16*1)+(0*2)+(0*3)+(0*4)+(0*5)+(0*6)+(0*7)+(0*8)+(0*9)+(0*10)+(0*11)+(0*12)</v>
      </c>
      <c r="F287" s="1173" t="s">
        <v>54</v>
      </c>
      <c r="G287" s="1173">
        <f t="shared" si="63"/>
        <v>16</v>
      </c>
      <c r="H287" s="1173"/>
    </row>
    <row r="288" spans="3:8" ht="18" customHeight="1">
      <c r="C288" s="1618" t="s">
        <v>1633</v>
      </c>
      <c r="D288" s="1619"/>
      <c r="E288" s="1178">
        <v>4</v>
      </c>
      <c r="F288" s="1173" t="s">
        <v>157</v>
      </c>
      <c r="G288" s="1173">
        <f>TRUNC((ROUNDUP(dhTextEvaluate(E288),0)),0)</f>
        <v>4</v>
      </c>
      <c r="H288" s="1173"/>
    </row>
    <row r="289" spans="2:8" ht="18" customHeight="1">
      <c r="C289" s="1620" t="s">
        <v>1746</v>
      </c>
      <c r="D289" s="1621"/>
      <c r="E289" s="1176"/>
      <c r="F289" s="1173" t="s">
        <v>157</v>
      </c>
      <c r="G289" s="1173">
        <f>TRUNC((ROUNDUP(dhTextEvaluate(E289),0)),0)</f>
        <v>0</v>
      </c>
      <c r="H289" s="1173"/>
    </row>
    <row r="290" spans="2:8" ht="18" customHeight="1">
      <c r="C290" s="1618" t="s">
        <v>1679</v>
      </c>
      <c r="D290" s="1619"/>
      <c r="E290" s="1174">
        <v>16</v>
      </c>
      <c r="F290" s="1173" t="s">
        <v>157</v>
      </c>
      <c r="G290" s="1173">
        <f t="shared" ref="G290:G291" si="64">TRUNC((ROUNDUP(dhTextEvaluate(E290),0)),0)</f>
        <v>16</v>
      </c>
      <c r="H290" s="1173"/>
    </row>
    <row r="291" spans="2:8" ht="18" customHeight="1">
      <c r="C291" s="1618" t="s">
        <v>1680</v>
      </c>
      <c r="D291" s="1619"/>
      <c r="E291" s="1174"/>
      <c r="F291" s="1173" t="s">
        <v>157</v>
      </c>
      <c r="G291" s="1173">
        <f t="shared" si="64"/>
        <v>0</v>
      </c>
      <c r="H291" s="1173"/>
    </row>
    <row r="292" spans="2:8" ht="18" customHeight="1">
      <c r="C292" s="1180"/>
      <c r="D292" s="1181"/>
      <c r="E292" s="1174"/>
      <c r="F292" s="1173"/>
      <c r="G292" s="1173"/>
      <c r="H292" s="1173"/>
    </row>
    <row r="293" spans="2:8" ht="18" customHeight="1">
      <c r="C293" s="1180"/>
      <c r="D293" s="1181"/>
      <c r="E293" s="1174"/>
      <c r="F293" s="1173"/>
      <c r="G293" s="1173"/>
      <c r="H293" s="1173"/>
    </row>
    <row r="294" spans="2:8" ht="18" customHeight="1">
      <c r="C294" s="1180"/>
      <c r="D294" s="1181"/>
      <c r="E294" s="1174"/>
      <c r="F294" s="1173"/>
      <c r="G294" s="1173"/>
      <c r="H294" s="1173"/>
    </row>
    <row r="295" spans="2:8" ht="18" customHeight="1">
      <c r="C295" s="1180"/>
      <c r="D295" s="1181"/>
      <c r="E295" s="1174"/>
      <c r="F295" s="1173"/>
      <c r="G295" s="1173"/>
      <c r="H295" s="1173"/>
    </row>
    <row r="296" spans="2:8" ht="18" customHeight="1">
      <c r="C296" s="1180"/>
      <c r="D296" s="1181"/>
      <c r="E296" s="1174"/>
      <c r="F296" s="1173"/>
      <c r="G296" s="1173"/>
      <c r="H296" s="1173"/>
    </row>
    <row r="297" spans="2:8" customFormat="1" ht="18" customHeight="1">
      <c r="B297" s="194" t="e">
        <f>#REF!</f>
        <v>#REF!</v>
      </c>
      <c r="C297" s="1174" t="e">
        <f>VLOOKUP(B297,#REF!,2,FALSE)</f>
        <v>#REF!</v>
      </c>
      <c r="D297" s="1174" t="e">
        <f>VLOOKUP(B297,#REF!,3,FALSE)</f>
        <v>#REF!</v>
      </c>
      <c r="E297" s="1183">
        <v>16</v>
      </c>
      <c r="F297" s="1173" t="e">
        <f>VLOOKUP(B297,#REF!,4,FALSE)</f>
        <v>#REF!</v>
      </c>
      <c r="G297" s="1173">
        <f t="shared" ref="G297" si="65">(ROUNDDOWN(dhTextEvaluate(E297),3))</f>
        <v>16</v>
      </c>
      <c r="H297" s="1173"/>
    </row>
    <row r="298" spans="2:8" ht="18" customHeight="1">
      <c r="B298" s="194" t="e">
        <f>#REF!</f>
        <v>#REF!</v>
      </c>
      <c r="C298" s="1174" t="e">
        <f>VLOOKUP(B298,#REF!,2,FALSE)</f>
        <v>#REF!</v>
      </c>
      <c r="D298" s="1174" t="e">
        <f>VLOOKUP(B298,#REF!,3,FALSE)</f>
        <v>#REF!</v>
      </c>
      <c r="E298" s="1184" t="str">
        <f>G287&amp;"+"&amp;G288</f>
        <v>16+4</v>
      </c>
      <c r="F298" s="1173" t="e">
        <f>VLOOKUP(B298,#REF!,4,FALSE)</f>
        <v>#REF!</v>
      </c>
      <c r="G298" s="1173" t="e">
        <f ca="1">(ROUNDDOWN(dhTextEvaluate(E298),3))</f>
        <v>#NAME?</v>
      </c>
      <c r="H298" s="1173"/>
    </row>
    <row r="299" spans="2:8" customFormat="1" ht="18" customHeight="1">
      <c r="B299" s="193" t="e">
        <f>#REF!</f>
        <v>#REF!</v>
      </c>
      <c r="C299" s="1174" t="e">
        <f>VLOOKUP(B299,#REF!,2,FALSE)</f>
        <v>#REF!</v>
      </c>
      <c r="D299" s="1174" t="e">
        <f>VLOOKUP(B299,#REF!,3,FALSE)</f>
        <v>#REF!</v>
      </c>
      <c r="E299" s="1174">
        <f>G290</f>
        <v>16</v>
      </c>
      <c r="F299" s="1173" t="e">
        <f>VLOOKUP(B299,#REF!,4,FALSE)</f>
        <v>#REF!</v>
      </c>
      <c r="G299" s="1173" t="e">
        <f t="shared" ref="G299:G300" ca="1" si="66">(ROUNDDOWN(dhTextEvaluate(E299),3))</f>
        <v>#NAME?</v>
      </c>
      <c r="H299" s="1173"/>
    </row>
    <row r="300" spans="2:8" customFormat="1" ht="18" customHeight="1">
      <c r="B300" s="193" t="e">
        <f>#REF!</f>
        <v>#REF!</v>
      </c>
      <c r="C300" s="1174" t="e">
        <f>VLOOKUP(B300,#REF!,2,FALSE)</f>
        <v>#REF!</v>
      </c>
      <c r="D300" s="1174" t="e">
        <f>VLOOKUP(B300,#REF!,3,FALSE)</f>
        <v>#REF!</v>
      </c>
      <c r="E300" s="1174">
        <f>G291</f>
        <v>0</v>
      </c>
      <c r="F300" s="1173" t="e">
        <f>VLOOKUP(B300,#REF!,4,FALSE)</f>
        <v>#REF!</v>
      </c>
      <c r="G300" s="1173" t="e">
        <f t="shared" ca="1" si="66"/>
        <v>#NAME?</v>
      </c>
      <c r="H300" s="1173"/>
    </row>
    <row r="301" spans="2:8" ht="18" customHeight="1">
      <c r="B301" s="194" t="e">
        <f>#REF!</f>
        <v>#REF!</v>
      </c>
      <c r="C301" s="1174" t="e">
        <f>VLOOKUP(B301,#REF!,2,FALSE)</f>
        <v>#REF!</v>
      </c>
      <c r="D301" s="1174" t="e">
        <f>VLOOKUP(B301,#REF!,3,FALSE)</f>
        <v>#REF!</v>
      </c>
      <c r="E301" s="1174">
        <f>G304</f>
        <v>1</v>
      </c>
      <c r="F301" s="1173" t="e">
        <f>VLOOKUP(B301,#REF!,4,FALSE)</f>
        <v>#REF!</v>
      </c>
      <c r="G301" s="1173" t="e">
        <f t="shared" ref="G301" ca="1" si="67">TRUNC((ROUNDUP(dhTextEvaluate(E301),0)),0)</f>
        <v>#NAME?</v>
      </c>
      <c r="H301" s="1173"/>
    </row>
    <row r="302" spans="2:8" customFormat="1" ht="18" customHeight="1">
      <c r="B302" s="194" t="e">
        <f>#REF!</f>
        <v>#REF!</v>
      </c>
      <c r="C302" s="1174" t="e">
        <f>VLOOKUP(B302,#REF!,2,FALSE)</f>
        <v>#REF!</v>
      </c>
      <c r="D302" s="1174" t="e">
        <f>VLOOKUP(B302,#REF!,3,FALSE)</f>
        <v>#REF!</v>
      </c>
      <c r="E302" s="1184">
        <f>G305</f>
        <v>1</v>
      </c>
      <c r="F302" s="1173" t="e">
        <f>VLOOKUP(B302,#REF!,4,FALSE)</f>
        <v>#REF!</v>
      </c>
      <c r="G302" s="1173" t="e">
        <f ca="1">(ROUNDDOWN(dhTextEvaluate(E302),3))</f>
        <v>#NAME?</v>
      </c>
      <c r="H302" s="1173"/>
    </row>
    <row r="303" spans="2:8" customFormat="1" ht="18" customHeight="1">
      <c r="B303" s="194" t="e">
        <f>#REF!</f>
        <v>#REF!</v>
      </c>
      <c r="C303" s="1174" t="e">
        <f>VLOOKUP(B303,#REF!,2,FALSE)</f>
        <v>#REF!</v>
      </c>
      <c r="D303" s="1174" t="e">
        <f>VLOOKUP(B303,#REF!,3,FALSE)</f>
        <v>#REF!</v>
      </c>
      <c r="E303" s="1184">
        <f>G305</f>
        <v>1</v>
      </c>
      <c r="F303" s="1173" t="e">
        <f>VLOOKUP(B303,#REF!,4,FALSE)</f>
        <v>#REF!</v>
      </c>
      <c r="G303" s="1173" t="e">
        <f ca="1">(ROUNDDOWN(dhTextEvaluate(E303),3))</f>
        <v>#NAME?</v>
      </c>
      <c r="H303" s="1173"/>
    </row>
    <row r="304" spans="2:8" ht="18" customHeight="1">
      <c r="B304" s="194" t="e">
        <f>#REF!</f>
        <v>#REF!</v>
      </c>
      <c r="C304" s="1174" t="e">
        <f>VLOOKUP(B304,#REF!,2,FALSE)</f>
        <v>#REF!</v>
      </c>
      <c r="D304" s="1174" t="e">
        <f>VLOOKUP(B304,#REF!,3,FALSE)</f>
        <v>#REF!</v>
      </c>
      <c r="E304" s="1174">
        <v>1</v>
      </c>
      <c r="F304" s="1173" t="e">
        <f>VLOOKUP(B304,#REF!,4,FALSE)</f>
        <v>#REF!</v>
      </c>
      <c r="G304" s="1173">
        <f t="shared" ref="G304:G305" si="68">TRUNC((ROUNDUP(dhTextEvaluate(E304),0)),0)</f>
        <v>1</v>
      </c>
      <c r="H304" s="1182"/>
    </row>
    <row r="305" spans="2:8" ht="18" customHeight="1">
      <c r="B305" s="194" t="e">
        <f>#REF!</f>
        <v>#REF!</v>
      </c>
      <c r="C305" s="1174" t="e">
        <f>VLOOKUP(B305,#REF!,2,FALSE)</f>
        <v>#REF!</v>
      </c>
      <c r="D305" s="1174" t="e">
        <f>VLOOKUP(B305,#REF!,3,FALSE)</f>
        <v>#REF!</v>
      </c>
      <c r="E305" s="1174">
        <v>1</v>
      </c>
      <c r="F305" s="1173" t="e">
        <f>VLOOKUP(B305,#REF!,4,FALSE)</f>
        <v>#REF!</v>
      </c>
      <c r="G305" s="1173">
        <f t="shared" si="68"/>
        <v>1</v>
      </c>
      <c r="H305" s="1182"/>
    </row>
    <row r="306" spans="2:8" customFormat="1" ht="18" customHeight="1">
      <c r="B306" s="194"/>
      <c r="C306" s="1174"/>
      <c r="D306" s="1174"/>
      <c r="E306" s="1184"/>
      <c r="F306" s="1173"/>
      <c r="G306" s="1173"/>
      <c r="H306" s="1173"/>
    </row>
    <row r="307" spans="2:8" ht="18" customHeight="1">
      <c r="C307" s="1174"/>
      <c r="D307" s="1174"/>
      <c r="E307" s="1174"/>
      <c r="F307" s="1173"/>
      <c r="G307" s="1173"/>
      <c r="H307" s="1182"/>
    </row>
    <row r="308" spans="2:8" ht="18" customHeight="1">
      <c r="C308" s="1174"/>
      <c r="D308" s="1174"/>
      <c r="E308" s="1174"/>
      <c r="F308" s="1173"/>
      <c r="G308" s="1173"/>
      <c r="H308" s="1182"/>
    </row>
    <row r="309" spans="2:8" ht="18" customHeight="1">
      <c r="C309" s="1174"/>
      <c r="D309" s="1174"/>
      <c r="E309" s="1174"/>
      <c r="F309" s="1173"/>
      <c r="G309" s="1173"/>
      <c r="H309" s="1182"/>
    </row>
    <row r="310" spans="2:8" ht="18" customHeight="1">
      <c r="C310" s="1178"/>
      <c r="D310" s="1174"/>
      <c r="E310" s="1174"/>
      <c r="F310" s="1173"/>
      <c r="G310" s="1173"/>
      <c r="H310" s="1182"/>
    </row>
    <row r="311" spans="2:8" ht="18" customHeight="1">
      <c r="C311" s="1178"/>
      <c r="D311" s="1174"/>
      <c r="E311" s="1174"/>
      <c r="F311" s="1173"/>
      <c r="G311" s="1173"/>
      <c r="H311" s="1182"/>
    </row>
    <row r="312" spans="2:8" ht="18" customHeight="1">
      <c r="C312" s="1178"/>
      <c r="D312" s="1174"/>
      <c r="E312" s="1174"/>
      <c r="F312" s="1173"/>
      <c r="G312" s="1173"/>
      <c r="H312" s="1182"/>
    </row>
    <row r="313" spans="2:8" ht="18" customHeight="1">
      <c r="C313" s="1178"/>
      <c r="D313" s="1174"/>
      <c r="E313" s="1174"/>
      <c r="F313" s="1173"/>
      <c r="G313" s="1173"/>
      <c r="H313" s="1182"/>
    </row>
    <row r="314" spans="2:8" ht="18" customHeight="1">
      <c r="C314" s="1178"/>
      <c r="D314" s="1174"/>
      <c r="E314" s="1174"/>
      <c r="F314" s="1173"/>
      <c r="G314" s="1173"/>
      <c r="H314" s="1182"/>
    </row>
    <row r="315" spans="2:8" ht="18" customHeight="1">
      <c r="C315" s="1178"/>
      <c r="D315" s="1174"/>
      <c r="E315" s="1174"/>
      <c r="F315" s="1173"/>
      <c r="G315" s="1173"/>
      <c r="H315" s="1182"/>
    </row>
    <row r="316" spans="2:8" ht="18" customHeight="1">
      <c r="C316" s="1178"/>
      <c r="D316" s="1174"/>
      <c r="E316" s="1174"/>
      <c r="F316" s="1173"/>
      <c r="G316" s="1173"/>
      <c r="H316" s="1182"/>
    </row>
    <row r="317" spans="2:8" ht="18" customHeight="1">
      <c r="C317" s="1178"/>
      <c r="D317" s="1174"/>
      <c r="E317" s="1174"/>
      <c r="F317" s="1173"/>
      <c r="G317" s="1173"/>
      <c r="H317" s="1182"/>
    </row>
    <row r="318" spans="2:8" ht="18" customHeight="1">
      <c r="C318" s="1178"/>
      <c r="D318" s="1174"/>
      <c r="E318" s="1174"/>
      <c r="F318" s="1173"/>
      <c r="G318" s="1173"/>
      <c r="H318" s="1182"/>
    </row>
    <row r="319" spans="2:8" ht="18" customHeight="1">
      <c r="C319" s="1172"/>
      <c r="D319" s="1173"/>
      <c r="E319" s="1174"/>
      <c r="F319" s="1174"/>
      <c r="G319" s="1173"/>
      <c r="H319" s="1173"/>
    </row>
    <row r="320" spans="2:8" ht="18" customHeight="1">
      <c r="C320" s="1172"/>
      <c r="D320" s="1173"/>
      <c r="E320" s="1174"/>
      <c r="F320" s="1174"/>
      <c r="G320" s="1173"/>
      <c r="H320" s="1173"/>
    </row>
    <row r="321" spans="2:8" customFormat="1" ht="18" customHeight="1">
      <c r="B321" s="193"/>
      <c r="C321" s="1100"/>
      <c r="D321" s="1101"/>
      <c r="E321" s="1093"/>
      <c r="F321" s="1102"/>
      <c r="G321" s="1102"/>
      <c r="H321" s="1099"/>
    </row>
    <row r="322" spans="2:8" customFormat="1" ht="18" customHeight="1">
      <c r="B322" s="193"/>
      <c r="C322" s="414"/>
      <c r="D322" s="413"/>
      <c r="E322" s="417"/>
      <c r="F322" s="416"/>
      <c r="G322" s="416"/>
      <c r="H322" s="790"/>
    </row>
    <row r="323" spans="2:8" customFormat="1" ht="18" customHeight="1">
      <c r="B323" s="193"/>
      <c r="C323" s="414"/>
      <c r="D323" s="413"/>
      <c r="E323" s="417"/>
      <c r="F323" s="416"/>
      <c r="G323" s="416"/>
      <c r="H323" s="790"/>
    </row>
    <row r="324" spans="2:8" customFormat="1" ht="18" customHeight="1">
      <c r="B324" s="193"/>
      <c r="C324" s="414"/>
      <c r="D324" s="413"/>
      <c r="E324" s="417"/>
      <c r="F324" s="416"/>
      <c r="G324" s="416"/>
      <c r="H324" s="790"/>
    </row>
    <row r="325" spans="2:8" customFormat="1" ht="18" customHeight="1">
      <c r="B325" s="193"/>
      <c r="C325" s="414"/>
      <c r="D325" s="413"/>
      <c r="E325" s="417"/>
      <c r="F325" s="416"/>
      <c r="G325" s="416"/>
      <c r="H325" s="790"/>
    </row>
    <row r="326" spans="2:8" customFormat="1" ht="18" customHeight="1">
      <c r="B326" s="193"/>
      <c r="C326" s="414"/>
      <c r="D326" s="413"/>
      <c r="E326" s="417"/>
      <c r="F326" s="416"/>
      <c r="G326" s="416"/>
      <c r="H326" s="790"/>
    </row>
    <row r="327" spans="2:8" customFormat="1" ht="18" customHeight="1">
      <c r="B327" s="193"/>
      <c r="C327" s="876"/>
      <c r="D327" s="877"/>
      <c r="E327" s="878"/>
      <c r="F327" s="879"/>
      <c r="G327" s="879"/>
      <c r="H327" s="880"/>
    </row>
    <row r="328" spans="2:8" customFormat="1" ht="18" customHeight="1">
      <c r="B328" s="193"/>
      <c r="C328" s="876"/>
      <c r="D328" s="877"/>
      <c r="E328" s="878"/>
      <c r="F328" s="879"/>
      <c r="G328" s="879"/>
      <c r="H328" s="880"/>
    </row>
    <row r="329" spans="2:8" customFormat="1" ht="18" customHeight="1">
      <c r="B329" s="193"/>
      <c r="C329" s="876"/>
      <c r="D329" s="877"/>
      <c r="E329" s="878"/>
      <c r="F329" s="879"/>
      <c r="G329" s="879"/>
      <c r="H329" s="880"/>
    </row>
    <row r="330" spans="2:8" customFormat="1" ht="18" customHeight="1">
      <c r="B330" s="193"/>
      <c r="C330" s="876"/>
      <c r="D330" s="877"/>
      <c r="E330" s="878"/>
      <c r="F330" s="879"/>
      <c r="G330" s="879"/>
      <c r="H330" s="880"/>
    </row>
    <row r="331" spans="2:8" customFormat="1" ht="18" customHeight="1">
      <c r="B331" s="193"/>
      <c r="C331" s="870"/>
      <c r="D331" s="871"/>
      <c r="E331" s="872"/>
      <c r="F331" s="873"/>
      <c r="G331" s="873"/>
      <c r="H331" s="874"/>
    </row>
    <row r="332" spans="2:8" ht="18" customHeight="1">
      <c r="C332" s="801"/>
      <c r="D332" s="760"/>
      <c r="E332" s="745"/>
      <c r="F332" s="744"/>
      <c r="G332" s="744"/>
      <c r="H332" s="746"/>
    </row>
    <row r="333" spans="2:8" ht="18" customHeight="1">
      <c r="C333" s="756"/>
      <c r="D333" s="748"/>
      <c r="E333" s="650"/>
      <c r="F333" s="749"/>
      <c r="G333" s="749"/>
      <c r="H333" s="904"/>
    </row>
    <row r="334" spans="2:8" ht="18" customHeight="1">
      <c r="C334" s="756"/>
      <c r="D334" s="748"/>
      <c r="E334" s="650"/>
      <c r="F334" s="749"/>
      <c r="G334" s="749"/>
      <c r="H334" s="904"/>
    </row>
    <row r="335" spans="2:8" ht="18" customHeight="1">
      <c r="C335" s="756"/>
      <c r="D335" s="748"/>
      <c r="E335" s="650"/>
      <c r="F335" s="749"/>
      <c r="G335" s="749"/>
      <c r="H335" s="904"/>
    </row>
    <row r="336" spans="2:8" ht="18" customHeight="1">
      <c r="C336" s="756"/>
      <c r="D336" s="748"/>
      <c r="E336" s="650"/>
      <c r="F336" s="749"/>
      <c r="G336" s="749"/>
      <c r="H336" s="904"/>
    </row>
    <row r="337" spans="2:8" ht="18" customHeight="1">
      <c r="C337" s="756"/>
      <c r="D337" s="748"/>
      <c r="E337" s="650"/>
      <c r="F337" s="749"/>
      <c r="G337" s="749"/>
      <c r="H337" s="904"/>
    </row>
    <row r="338" spans="2:8" ht="18" customHeight="1">
      <c r="C338" s="756"/>
      <c r="D338" s="748"/>
      <c r="E338" s="650"/>
      <c r="F338" s="749"/>
      <c r="G338" s="749"/>
      <c r="H338" s="904"/>
    </row>
    <row r="339" spans="2:8" ht="18" customHeight="1">
      <c r="C339" s="756"/>
      <c r="D339" s="748"/>
      <c r="E339" s="650"/>
      <c r="F339" s="749"/>
      <c r="G339" s="749"/>
      <c r="H339" s="904"/>
    </row>
    <row r="340" spans="2:8" ht="18" customHeight="1">
      <c r="C340" s="756"/>
      <c r="D340" s="748"/>
      <c r="E340" s="650"/>
      <c r="F340" s="749"/>
      <c r="G340" s="749"/>
      <c r="H340" s="904"/>
    </row>
    <row r="341" spans="2:8" ht="18" customHeight="1">
      <c r="C341" s="756"/>
      <c r="D341" s="748"/>
      <c r="E341" s="650"/>
      <c r="F341" s="749"/>
      <c r="G341" s="749"/>
      <c r="H341" s="904"/>
    </row>
    <row r="342" spans="2:8" ht="18" customHeight="1">
      <c r="C342" s="756"/>
      <c r="D342" s="748"/>
      <c r="E342" s="650"/>
      <c r="F342" s="749"/>
      <c r="G342" s="749"/>
      <c r="H342" s="904"/>
    </row>
    <row r="343" spans="2:8" ht="18" customHeight="1">
      <c r="C343" s="756"/>
      <c r="D343" s="748"/>
      <c r="E343" s="650"/>
      <c r="F343" s="749"/>
      <c r="G343" s="749"/>
      <c r="H343" s="904"/>
    </row>
    <row r="344" spans="2:8" ht="18" customHeight="1">
      <c r="C344" s="756"/>
      <c r="D344" s="748"/>
      <c r="E344" s="650"/>
      <c r="F344" s="749"/>
      <c r="G344" s="749"/>
      <c r="H344" s="904"/>
    </row>
    <row r="345" spans="2:8" ht="18" customHeight="1">
      <c r="C345" s="756"/>
      <c r="D345" s="748"/>
      <c r="E345" s="650"/>
      <c r="F345" s="749"/>
      <c r="G345" s="749"/>
      <c r="H345" s="904"/>
    </row>
    <row r="346" spans="2:8" ht="18" customHeight="1">
      <c r="C346" s="756"/>
      <c r="D346" s="748"/>
      <c r="E346" s="650"/>
      <c r="F346" s="749"/>
      <c r="G346" s="749"/>
      <c r="H346" s="904"/>
    </row>
    <row r="347" spans="2:8" ht="18" customHeight="1">
      <c r="C347" s="756"/>
      <c r="D347" s="748"/>
      <c r="E347" s="650"/>
      <c r="F347" s="749"/>
      <c r="G347" s="749"/>
      <c r="H347" s="904"/>
    </row>
    <row r="348" spans="2:8" ht="18" customHeight="1">
      <c r="C348" s="756"/>
      <c r="D348" s="748"/>
      <c r="E348" s="650"/>
      <c r="F348" s="749"/>
      <c r="G348" s="749"/>
      <c r="H348" s="904"/>
    </row>
    <row r="349" spans="2:8" ht="18" customHeight="1">
      <c r="C349" s="756"/>
      <c r="D349" s="748"/>
      <c r="E349" s="650"/>
      <c r="F349" s="749"/>
      <c r="G349" s="749"/>
      <c r="H349" s="904"/>
    </row>
    <row r="350" spans="2:8" ht="18" customHeight="1">
      <c r="C350" s="757"/>
      <c r="D350" s="758"/>
      <c r="E350" s="753"/>
      <c r="F350" s="754"/>
      <c r="G350" s="754"/>
      <c r="H350" s="755"/>
    </row>
    <row r="351" spans="2:8" ht="18" customHeight="1">
      <c r="C351" s="743" t="s">
        <v>1045</v>
      </c>
      <c r="D351" s="744"/>
      <c r="E351" s="745"/>
      <c r="F351" s="744"/>
      <c r="G351" s="744"/>
      <c r="H351" s="746"/>
    </row>
    <row r="352" spans="2:8" ht="18" customHeight="1">
      <c r="B352" s="194" t="s">
        <v>1057</v>
      </c>
      <c r="C352" s="747" t="s">
        <v>1047</v>
      </c>
      <c r="D352" s="748"/>
      <c r="E352" s="650"/>
      <c r="F352" s="749"/>
      <c r="G352" s="749"/>
      <c r="H352" s="904"/>
    </row>
    <row r="353" spans="2:8" ht="18" customHeight="1">
      <c r="C353" s="1623" t="s">
        <v>1362</v>
      </c>
      <c r="D353" s="1624"/>
      <c r="E353" s="650" t="s">
        <v>1048</v>
      </c>
      <c r="F353" s="749" t="s">
        <v>54</v>
      </c>
      <c r="G353" s="749">
        <f>(ROUNDDOWN(dhTextEvaluate(E353),3))</f>
        <v>17</v>
      </c>
      <c r="H353" s="1622" t="s">
        <v>1044</v>
      </c>
    </row>
    <row r="354" spans="2:8" ht="18" customHeight="1">
      <c r="C354" s="1623" t="s">
        <v>1361</v>
      </c>
      <c r="D354" s="1624"/>
      <c r="E354" s="650" t="s">
        <v>1304</v>
      </c>
      <c r="F354" s="749" t="s">
        <v>54</v>
      </c>
      <c r="G354" s="749">
        <f>(ROUNDDOWN(dhTextEvaluate(E354),3))</f>
        <v>125</v>
      </c>
      <c r="H354" s="1622"/>
    </row>
    <row r="355" spans="2:8" ht="18" customHeight="1">
      <c r="C355" s="1623" t="s">
        <v>1363</v>
      </c>
      <c r="D355" s="1624"/>
      <c r="E355" s="650" t="s">
        <v>1049</v>
      </c>
      <c r="F355" s="749" t="s">
        <v>54</v>
      </c>
      <c r="G355" s="749">
        <f t="shared" ref="G355" si="69">(ROUNDDOWN(dhTextEvaluate(E355),3))</f>
        <v>159</v>
      </c>
      <c r="H355" s="1622"/>
    </row>
    <row r="356" spans="2:8" ht="18" customHeight="1">
      <c r="C356" s="750" t="s">
        <v>1043</v>
      </c>
      <c r="D356" s="650"/>
      <c r="E356" s="650" t="s">
        <v>1046</v>
      </c>
      <c r="F356" s="749" t="s">
        <v>54</v>
      </c>
      <c r="G356" s="749">
        <f>(ROUNDDOWN(dhTextEvaluate(E356),3))</f>
        <v>143</v>
      </c>
      <c r="H356" s="1622"/>
    </row>
    <row r="357" spans="2:8" ht="18" customHeight="1">
      <c r="C357" s="750"/>
      <c r="D357" s="650"/>
      <c r="E357" s="650"/>
      <c r="F357" s="749"/>
      <c r="G357" s="749"/>
      <c r="H357" s="904"/>
    </row>
    <row r="358" spans="2:8" ht="18" customHeight="1">
      <c r="B358" s="194" t="e">
        <f>#REF!</f>
        <v>#REF!</v>
      </c>
      <c r="C358" s="750" t="e">
        <f>VLOOKUP(B358,#REF!,2,FALSE)</f>
        <v>#REF!</v>
      </c>
      <c r="D358" s="650" t="e">
        <f>VLOOKUP(B358,#REF!,3,FALSE)</f>
        <v>#REF!</v>
      </c>
      <c r="E358" s="650" t="str">
        <f>G355&amp;"+"&amp;G354</f>
        <v>159+125</v>
      </c>
      <c r="F358" s="749" t="e">
        <f>VLOOKUP(B358,#REF!,4,FALSE)</f>
        <v>#REF!</v>
      </c>
      <c r="G358" s="749" t="e">
        <f t="shared" ref="G358:G359" ca="1" si="70">(ROUNDDOWN(dhTextEvaluate(E358),3))</f>
        <v>#NAME?</v>
      </c>
      <c r="H358" s="904"/>
    </row>
    <row r="359" spans="2:8" ht="18" customHeight="1">
      <c r="B359" s="194" t="e">
        <f>#REF!</f>
        <v>#REF!</v>
      </c>
      <c r="C359" s="750" t="e">
        <f>VLOOKUP(B359,#REF!,2,FALSE)</f>
        <v>#REF!</v>
      </c>
      <c r="D359" s="650" t="e">
        <f>VLOOKUP(B359,#REF!,3,FALSE)</f>
        <v>#REF!</v>
      </c>
      <c r="E359" s="650">
        <f>G353</f>
        <v>17</v>
      </c>
      <c r="F359" s="749" t="e">
        <f>VLOOKUP(B359,#REF!,4,FALSE)</f>
        <v>#REF!</v>
      </c>
      <c r="G359" s="749" t="e">
        <f t="shared" ca="1" si="70"/>
        <v>#NAME?</v>
      </c>
      <c r="H359" s="904"/>
    </row>
    <row r="360" spans="2:8" ht="18" customHeight="1">
      <c r="B360" s="194" t="e">
        <f>#REF!</f>
        <v>#REF!</v>
      </c>
      <c r="C360" s="750" t="e">
        <f>VLOOKUP(B360,#REF!,2,FALSE)</f>
        <v>#REF!</v>
      </c>
      <c r="D360" s="751" t="e">
        <f>VLOOKUP(B360,#REF!,3,FALSE)</f>
        <v>#REF!</v>
      </c>
      <c r="E360" s="650">
        <f>G356</f>
        <v>143</v>
      </c>
      <c r="F360" s="749" t="e">
        <f>VLOOKUP(B360,#REF!,4,FALSE)</f>
        <v>#REF!</v>
      </c>
      <c r="G360" s="749" t="e">
        <f ca="1">(ROUNDDOWN(dhTextEvaluate(E360),3))</f>
        <v>#NAME?</v>
      </c>
      <c r="H360" s="904"/>
    </row>
    <row r="361" spans="2:8" ht="18" customHeight="1">
      <c r="B361" s="194" t="e">
        <f>#REF!</f>
        <v>#REF!</v>
      </c>
      <c r="C361" s="750" t="e">
        <f>VLOOKUP(B361,#REF!,2,FALSE)</f>
        <v>#REF!</v>
      </c>
      <c r="D361" s="751" t="e">
        <f>VLOOKUP(B361,#REF!,3,FALSE)</f>
        <v>#REF!</v>
      </c>
      <c r="E361" s="650">
        <f>G355</f>
        <v>159</v>
      </c>
      <c r="F361" s="749" t="e">
        <f>VLOOKUP(B361,#REF!,4,FALSE)</f>
        <v>#REF!</v>
      </c>
      <c r="G361" s="749" t="e">
        <f t="shared" ref="G361:G363" ca="1" si="71">(ROUNDDOWN(dhTextEvaluate(E361),3))</f>
        <v>#NAME?</v>
      </c>
      <c r="H361" s="904"/>
    </row>
    <row r="362" spans="2:8" ht="18" customHeight="1">
      <c r="B362" s="194" t="e">
        <f>#REF!</f>
        <v>#REF!</v>
      </c>
      <c r="C362" s="750" t="e">
        <f>VLOOKUP(B362,#REF!,2,FALSE)</f>
        <v>#REF!</v>
      </c>
      <c r="D362" s="751" t="e">
        <f>VLOOKUP(B362,#REF!,3,FALSE)</f>
        <v>#REF!</v>
      </c>
      <c r="E362" s="650">
        <f>G354</f>
        <v>125</v>
      </c>
      <c r="F362" s="749" t="e">
        <f>VLOOKUP(B362,#REF!,4,FALSE)</f>
        <v>#REF!</v>
      </c>
      <c r="G362" s="749" t="e">
        <f t="shared" ca="1" si="71"/>
        <v>#NAME?</v>
      </c>
      <c r="H362" s="904"/>
    </row>
    <row r="363" spans="2:8" ht="18" customHeight="1">
      <c r="B363" s="194" t="e">
        <f>#REF!</f>
        <v>#REF!</v>
      </c>
      <c r="C363" s="750" t="e">
        <f>VLOOKUP(B363,#REF!,2,FALSE)</f>
        <v>#REF!</v>
      </c>
      <c r="D363" s="751" t="e">
        <f>VLOOKUP(B363,#REF!,3,FALSE)</f>
        <v>#REF!</v>
      </c>
      <c r="E363" s="650">
        <f>G353</f>
        <v>17</v>
      </c>
      <c r="F363" s="749" t="e">
        <f>VLOOKUP(B363,#REF!,4,FALSE)</f>
        <v>#REF!</v>
      </c>
      <c r="G363" s="749" t="e">
        <f t="shared" ca="1" si="71"/>
        <v>#NAME?</v>
      </c>
      <c r="H363" s="904"/>
    </row>
    <row r="364" spans="2:8" ht="18" customHeight="1">
      <c r="B364" s="194" t="e">
        <f>#REF!</f>
        <v>#REF!</v>
      </c>
      <c r="C364" s="759" t="e">
        <f>VLOOKUP(B364,#REF!,2,FALSE)</f>
        <v>#REF!</v>
      </c>
      <c r="D364" s="751" t="e">
        <f>VLOOKUP(B364,#REF!,3,FALSE)</f>
        <v>#REF!</v>
      </c>
      <c r="E364" s="650">
        <f>G355</f>
        <v>159</v>
      </c>
      <c r="F364" s="749" t="e">
        <f>VLOOKUP(B364,#REF!,4,FALSE)</f>
        <v>#REF!</v>
      </c>
      <c r="G364" s="749" t="e">
        <f ca="1">(ROUNDDOWN(dhTextEvaluate(E364),3))</f>
        <v>#NAME?</v>
      </c>
      <c r="H364" s="904"/>
    </row>
    <row r="365" spans="2:8" ht="18" customHeight="1">
      <c r="B365" s="194" t="e">
        <f>#REF!</f>
        <v>#REF!</v>
      </c>
      <c r="C365" s="759" t="e">
        <f>VLOOKUP(B365,#REF!,2,FALSE)</f>
        <v>#REF!</v>
      </c>
      <c r="D365" s="751" t="e">
        <f>VLOOKUP(B365,#REF!,3,FALSE)</f>
        <v>#REF!</v>
      </c>
      <c r="E365" s="650">
        <f>G354</f>
        <v>125</v>
      </c>
      <c r="F365" s="749" t="e">
        <f>VLOOKUP(B365,#REF!,4,FALSE)</f>
        <v>#REF!</v>
      </c>
      <c r="G365" s="749" t="e">
        <f ca="1">(ROUNDDOWN(dhTextEvaluate(E365),3))</f>
        <v>#NAME?</v>
      </c>
      <c r="H365" s="904"/>
    </row>
    <row r="366" spans="2:8" ht="18" customHeight="1">
      <c r="B366" s="194" t="e">
        <f>#REF!</f>
        <v>#REF!</v>
      </c>
      <c r="C366" s="759" t="e">
        <f>VLOOKUP(B366,#REF!,2,FALSE)</f>
        <v>#REF!</v>
      </c>
      <c r="D366" s="751" t="e">
        <f>VLOOKUP(B366,#REF!,3,FALSE)</f>
        <v>#REF!</v>
      </c>
      <c r="E366" s="650">
        <f>G353</f>
        <v>17</v>
      </c>
      <c r="F366" s="749" t="e">
        <f>VLOOKUP(B366,#REF!,4,FALSE)</f>
        <v>#REF!</v>
      </c>
      <c r="G366" s="749" t="e">
        <f ca="1">(ROUNDDOWN(dhTextEvaluate(E366),3))</f>
        <v>#NAME?</v>
      </c>
      <c r="H366" s="904"/>
    </row>
    <row r="367" spans="2:8" ht="18" customHeight="1">
      <c r="B367" s="194" t="e">
        <f>#REF!</f>
        <v>#REF!</v>
      </c>
      <c r="C367" s="759" t="e">
        <f>VLOOKUP(B367,#REF!,2,FALSE)</f>
        <v>#REF!</v>
      </c>
      <c r="D367" s="751" t="e">
        <f>VLOOKUP(B367,#REF!,3,FALSE)</f>
        <v>#REF!</v>
      </c>
      <c r="E367" s="650">
        <v>13</v>
      </c>
      <c r="F367" s="749" t="e">
        <f>VLOOKUP(B367,#REF!,4,FALSE)</f>
        <v>#REF!</v>
      </c>
      <c r="G367" s="749">
        <f>(ROUNDDOWN(dhTextEvaluate(E367),3))</f>
        <v>13</v>
      </c>
      <c r="H367" s="904"/>
    </row>
    <row r="368" spans="2:8" ht="18" customHeight="1">
      <c r="B368" s="194" t="e">
        <f>#REF!</f>
        <v>#REF!</v>
      </c>
      <c r="C368" s="750" t="e">
        <f>VLOOKUP(B368,#REF!,2,FALSE)</f>
        <v>#REF!</v>
      </c>
      <c r="D368" s="650" t="e">
        <f>VLOOKUP(B368,#REF!,3,FALSE)</f>
        <v>#REF!</v>
      </c>
      <c r="E368" s="650" t="e">
        <f ca="1">G369</f>
        <v>#NAME?</v>
      </c>
      <c r="F368" s="749" t="e">
        <f>VLOOKUP(B368,#REF!,4,FALSE)</f>
        <v>#REF!</v>
      </c>
      <c r="G368" s="749" t="e">
        <f t="shared" ref="G368:G370" ca="1" si="72">(ROUNDDOWN(dhTextEvaluate(E368),3))</f>
        <v>#NAME?</v>
      </c>
      <c r="H368" s="904"/>
    </row>
    <row r="369" spans="2:8" ht="18" customHeight="1">
      <c r="B369" s="194" t="e">
        <f>#REF!</f>
        <v>#REF!</v>
      </c>
      <c r="C369" s="750" t="e">
        <f>VLOOKUP(B369,#REF!,2,FALSE)</f>
        <v>#REF!</v>
      </c>
      <c r="D369" s="650" t="e">
        <f>VLOOKUP(B369,#REF!,3,FALSE)</f>
        <v>#REF!</v>
      </c>
      <c r="E369" s="650">
        <f>G367</f>
        <v>13</v>
      </c>
      <c r="F369" s="749" t="e">
        <f>VLOOKUP(B369,#REF!,4,FALSE)</f>
        <v>#REF!</v>
      </c>
      <c r="G369" s="749" t="e">
        <f t="shared" ca="1" si="72"/>
        <v>#NAME?</v>
      </c>
      <c r="H369" s="904"/>
    </row>
    <row r="370" spans="2:8" ht="18" customHeight="1">
      <c r="B370" s="194" t="e">
        <f>#REF!</f>
        <v>#REF!</v>
      </c>
      <c r="C370" s="759" t="e">
        <f>VLOOKUP(B370,#REF!,2,FALSE)</f>
        <v>#REF!</v>
      </c>
      <c r="D370" s="751" t="e">
        <f>VLOOKUP(B370,#REF!,3,FALSE)</f>
        <v>#REF!</v>
      </c>
      <c r="E370" s="650">
        <f>G367</f>
        <v>13</v>
      </c>
      <c r="F370" s="749" t="e">
        <f>VLOOKUP(B370,#REF!,4,FALSE)</f>
        <v>#REF!</v>
      </c>
      <c r="G370" s="749" t="e">
        <f t="shared" ca="1" si="72"/>
        <v>#NAME?</v>
      </c>
      <c r="H370" s="904"/>
    </row>
    <row r="371" spans="2:8" ht="18" customHeight="1">
      <c r="B371" s="194" t="e">
        <f>#REF!</f>
        <v>#REF!</v>
      </c>
      <c r="C371" s="750" t="e">
        <f>VLOOKUP(B371,#REF!,2,FALSE)</f>
        <v>#REF!</v>
      </c>
      <c r="D371" s="650" t="e">
        <f>VLOOKUP(B371,#REF!,3,FALSE)</f>
        <v>#REF!</v>
      </c>
      <c r="E371" s="650">
        <f>G367</f>
        <v>13</v>
      </c>
      <c r="F371" s="749" t="e">
        <f>VLOOKUP(B371,#REF!,4,FALSE)</f>
        <v>#REF!</v>
      </c>
      <c r="G371" s="749" t="e">
        <f ca="1">(ROUNDDOWN(dhTextEvaluate(E371),3))</f>
        <v>#NAME?</v>
      </c>
      <c r="H371" s="904"/>
    </row>
    <row r="372" spans="2:8" ht="18" customHeight="1">
      <c r="B372" s="194" t="e">
        <f>#REF!</f>
        <v>#REF!</v>
      </c>
      <c r="C372" s="750" t="e">
        <f>VLOOKUP(B372,#REF!,2,FALSE)</f>
        <v>#REF!</v>
      </c>
      <c r="D372" s="650" t="e">
        <f>VLOOKUP(B372,#REF!,3,FALSE)</f>
        <v>#REF!</v>
      </c>
      <c r="E372" s="650" t="e">
        <f ca="1">G368&amp;"*2"</f>
        <v>#NAME?</v>
      </c>
      <c r="F372" s="749" t="e">
        <f>VLOOKUP(B372,#REF!,4,FALSE)</f>
        <v>#REF!</v>
      </c>
      <c r="G372" s="749" t="e">
        <f ca="1">(ROUNDDOWN(dhTextEvaluate(E372),3))</f>
        <v>#NAME?</v>
      </c>
      <c r="H372" s="904"/>
    </row>
    <row r="373" spans="2:8" ht="18" customHeight="1">
      <c r="B373" s="194" t="e">
        <f>#REF!</f>
        <v>#REF!</v>
      </c>
      <c r="C373" s="750" t="e">
        <f>VLOOKUP(B373,#REF!,2,FALSE)</f>
        <v>#REF!</v>
      </c>
      <c r="D373" s="650" t="e">
        <f>VLOOKUP(B373,#REF!,3,FALSE)</f>
        <v>#REF!</v>
      </c>
      <c r="E373" s="650">
        <f>G367</f>
        <v>13</v>
      </c>
      <c r="F373" s="749" t="e">
        <f>VLOOKUP(B373,#REF!,4,FALSE)</f>
        <v>#REF!</v>
      </c>
      <c r="G373" s="749" t="e">
        <f ca="1">(ROUNDDOWN(dhTextEvaluate(E373),3))</f>
        <v>#NAME?</v>
      </c>
      <c r="H373" s="904"/>
    </row>
    <row r="374" spans="2:8" ht="18" customHeight="1">
      <c r="B374" s="194" t="e">
        <f>#REF!</f>
        <v>#REF!</v>
      </c>
      <c r="C374" s="750" t="e">
        <f>VLOOKUP(B374,#REF!,2,FALSE)</f>
        <v>#REF!</v>
      </c>
      <c r="D374" s="650" t="e">
        <f>VLOOKUP(B374,#REF!,3,FALSE)</f>
        <v>#REF!</v>
      </c>
      <c r="E374" s="650">
        <f>G367</f>
        <v>13</v>
      </c>
      <c r="F374" s="749" t="e">
        <f>VLOOKUP(B374,#REF!,4,FALSE)</f>
        <v>#REF!</v>
      </c>
      <c r="G374" s="749" t="e">
        <f ca="1">(ROUNDDOWN(dhTextEvaluate(E374),3))</f>
        <v>#NAME?</v>
      </c>
      <c r="H374" s="904"/>
    </row>
    <row r="375" spans="2:8" ht="18" customHeight="1">
      <c r="B375" s="194" t="e">
        <f>#REF!</f>
        <v>#REF!</v>
      </c>
      <c r="C375" s="752" t="e">
        <f>VLOOKUP(B375,#REF!,2,FALSE)</f>
        <v>#REF!</v>
      </c>
      <c r="D375" s="753" t="e">
        <f>VLOOKUP(B375,#REF!,3,FALSE)</f>
        <v>#REF!</v>
      </c>
      <c r="E375" s="753" t="str">
        <f>E374&amp;"-"&amp;1</f>
        <v>13-1</v>
      </c>
      <c r="F375" s="754" t="e">
        <f>VLOOKUP(B375,#REF!,4,FALSE)</f>
        <v>#REF!</v>
      </c>
      <c r="G375" s="754" t="e">
        <f t="shared" ref="G375" ca="1" si="73">(ROUNDDOWN(dhTextEvaluate(E375),3))</f>
        <v>#NAME?</v>
      </c>
      <c r="H375" s="755"/>
    </row>
    <row r="376" spans="2:8" ht="18" customHeight="1">
      <c r="B376" s="194" t="e">
        <f>#REF!</f>
        <v>#REF!</v>
      </c>
      <c r="C376" s="801" t="e">
        <f>VLOOKUP(B376,#REF!,2,FALSE)</f>
        <v>#REF!</v>
      </c>
      <c r="D376" s="760" t="e">
        <f>VLOOKUP(B376,#REF!,3,FALSE)</f>
        <v>#REF!</v>
      </c>
      <c r="E376" s="745" t="e">
        <f ca="1">G358&amp;"+"&amp;G359</f>
        <v>#NAME?</v>
      </c>
      <c r="F376" s="744" t="e">
        <f>VLOOKUP(B376,#REF!,4,FALSE)</f>
        <v>#REF!</v>
      </c>
      <c r="G376" s="744" t="e">
        <f ca="1">(ROUNDDOWN(dhTextEvaluate(E376),3))</f>
        <v>#NAME?</v>
      </c>
      <c r="H376" s="746"/>
    </row>
    <row r="377" spans="2:8" ht="18" customHeight="1">
      <c r="C377" s="756"/>
      <c r="D377" s="748"/>
      <c r="E377" s="650"/>
      <c r="F377" s="749"/>
      <c r="G377" s="749"/>
      <c r="H377" s="904"/>
    </row>
    <row r="378" spans="2:8" ht="18" customHeight="1">
      <c r="C378" s="756"/>
      <c r="D378" s="748"/>
      <c r="E378" s="650"/>
      <c r="F378" s="749"/>
      <c r="G378" s="749"/>
      <c r="H378" s="904"/>
    </row>
    <row r="379" spans="2:8" ht="18" customHeight="1">
      <c r="C379" s="756"/>
      <c r="D379" s="748"/>
      <c r="E379" s="650"/>
      <c r="F379" s="749"/>
      <c r="G379" s="749"/>
      <c r="H379" s="904"/>
    </row>
    <row r="380" spans="2:8" ht="18" customHeight="1">
      <c r="C380" s="756"/>
      <c r="D380" s="748"/>
      <c r="E380" s="650"/>
      <c r="F380" s="749"/>
      <c r="G380" s="749"/>
      <c r="H380" s="904"/>
    </row>
    <row r="381" spans="2:8" ht="18" customHeight="1">
      <c r="C381" s="756"/>
      <c r="D381" s="748"/>
      <c r="E381" s="650"/>
      <c r="F381" s="749"/>
      <c r="G381" s="749"/>
      <c r="H381" s="904"/>
    </row>
    <row r="382" spans="2:8" ht="18" customHeight="1">
      <c r="C382" s="756"/>
      <c r="D382" s="748"/>
      <c r="E382" s="650"/>
      <c r="F382" s="749"/>
      <c r="G382" s="749"/>
      <c r="H382" s="904"/>
    </row>
    <row r="383" spans="2:8" ht="18" customHeight="1">
      <c r="C383" s="756"/>
      <c r="D383" s="748"/>
      <c r="E383" s="650"/>
      <c r="F383" s="749"/>
      <c r="G383" s="749"/>
      <c r="H383" s="904"/>
    </row>
    <row r="384" spans="2:8" ht="18" customHeight="1">
      <c r="C384" s="756"/>
      <c r="D384" s="748"/>
      <c r="E384" s="650"/>
      <c r="F384" s="749"/>
      <c r="G384" s="749"/>
      <c r="H384" s="904"/>
    </row>
    <row r="385" spans="3:8" ht="18" customHeight="1">
      <c r="C385" s="756"/>
      <c r="D385" s="748"/>
      <c r="E385" s="650"/>
      <c r="F385" s="749"/>
      <c r="G385" s="749"/>
      <c r="H385" s="904"/>
    </row>
    <row r="386" spans="3:8" ht="18" customHeight="1">
      <c r="C386" s="756"/>
      <c r="D386" s="748"/>
      <c r="E386" s="650"/>
      <c r="F386" s="749"/>
      <c r="G386" s="749"/>
      <c r="H386" s="904"/>
    </row>
    <row r="387" spans="3:8" ht="18" customHeight="1">
      <c r="C387" s="756"/>
      <c r="D387" s="748"/>
      <c r="E387" s="650"/>
      <c r="F387" s="749"/>
      <c r="G387" s="749"/>
      <c r="H387" s="904"/>
    </row>
    <row r="388" spans="3:8" ht="18" customHeight="1">
      <c r="C388" s="756"/>
      <c r="D388" s="748"/>
      <c r="E388" s="650"/>
      <c r="F388" s="749"/>
      <c r="G388" s="749"/>
      <c r="H388" s="904"/>
    </row>
    <row r="389" spans="3:8" ht="18" customHeight="1">
      <c r="C389" s="756"/>
      <c r="D389" s="748"/>
      <c r="E389" s="650"/>
      <c r="F389" s="749"/>
      <c r="G389" s="749"/>
      <c r="H389" s="904"/>
    </row>
    <row r="390" spans="3:8" ht="18" customHeight="1">
      <c r="C390" s="756"/>
      <c r="D390" s="748"/>
      <c r="E390" s="650"/>
      <c r="F390" s="749"/>
      <c r="G390" s="749"/>
      <c r="H390" s="904"/>
    </row>
    <row r="391" spans="3:8" ht="18" customHeight="1">
      <c r="C391" s="756"/>
      <c r="D391" s="748"/>
      <c r="E391" s="650"/>
      <c r="F391" s="749"/>
      <c r="G391" s="749"/>
      <c r="H391" s="904"/>
    </row>
    <row r="392" spans="3:8" ht="18" customHeight="1">
      <c r="C392" s="756"/>
      <c r="D392" s="748"/>
      <c r="E392" s="650"/>
      <c r="F392" s="749"/>
      <c r="G392" s="749"/>
      <c r="H392" s="904"/>
    </row>
    <row r="393" spans="3:8" ht="18" customHeight="1">
      <c r="C393" s="756"/>
      <c r="D393" s="748"/>
      <c r="E393" s="650"/>
      <c r="F393" s="749"/>
      <c r="G393" s="749"/>
      <c r="H393" s="904"/>
    </row>
    <row r="394" spans="3:8" ht="18" customHeight="1">
      <c r="C394" s="756"/>
      <c r="D394" s="748"/>
      <c r="E394" s="650"/>
      <c r="F394" s="749"/>
      <c r="G394" s="749"/>
      <c r="H394" s="904"/>
    </row>
    <row r="395" spans="3:8" ht="18" customHeight="1">
      <c r="C395" s="756"/>
      <c r="D395" s="748"/>
      <c r="E395" s="650"/>
      <c r="F395" s="749"/>
      <c r="G395" s="749"/>
      <c r="H395" s="904"/>
    </row>
    <row r="396" spans="3:8" ht="18" customHeight="1">
      <c r="C396" s="756"/>
      <c r="D396" s="748"/>
      <c r="E396" s="650"/>
      <c r="F396" s="749"/>
      <c r="G396" s="749"/>
      <c r="H396" s="904"/>
    </row>
    <row r="397" spans="3:8" ht="18" customHeight="1">
      <c r="C397" s="756"/>
      <c r="D397" s="748"/>
      <c r="E397" s="650"/>
      <c r="F397" s="749"/>
      <c r="G397" s="749"/>
      <c r="H397" s="904"/>
    </row>
    <row r="398" spans="3:8" ht="18" customHeight="1">
      <c r="C398" s="756"/>
      <c r="D398" s="748"/>
      <c r="E398" s="650"/>
      <c r="F398" s="749"/>
      <c r="G398" s="749"/>
      <c r="H398" s="904"/>
    </row>
    <row r="399" spans="3:8" ht="18" customHeight="1">
      <c r="C399" s="756"/>
      <c r="D399" s="748"/>
      <c r="E399" s="650"/>
      <c r="F399" s="749"/>
      <c r="G399" s="749"/>
      <c r="H399" s="904"/>
    </row>
    <row r="400" spans="3:8" ht="18" customHeight="1">
      <c r="C400" s="757"/>
      <c r="D400" s="758"/>
      <c r="E400" s="753"/>
      <c r="F400" s="754"/>
      <c r="G400" s="754"/>
      <c r="H400" s="755"/>
    </row>
    <row r="401" spans="2:8" ht="18" customHeight="1">
      <c r="C401" s="743" t="s">
        <v>1045</v>
      </c>
      <c r="D401" s="744"/>
      <c r="E401" s="745"/>
      <c r="F401" s="744"/>
      <c r="G401" s="744"/>
      <c r="H401" s="746"/>
    </row>
    <row r="402" spans="2:8" ht="18" customHeight="1">
      <c r="B402" s="194" t="s">
        <v>1058</v>
      </c>
      <c r="C402" s="747" t="s">
        <v>1050</v>
      </c>
      <c r="D402" s="748"/>
      <c r="E402" s="650"/>
      <c r="F402" s="749"/>
      <c r="G402" s="749"/>
      <c r="H402" s="904"/>
    </row>
    <row r="403" spans="2:8" ht="18" customHeight="1">
      <c r="C403" s="1623" t="s">
        <v>1362</v>
      </c>
      <c r="D403" s="1624"/>
      <c r="E403" s="650" t="s">
        <v>1051</v>
      </c>
      <c r="F403" s="749" t="s">
        <v>54</v>
      </c>
      <c r="G403" s="749">
        <f>(ROUNDDOWN(dhTextEvaluate(E403),3))</f>
        <v>49</v>
      </c>
      <c r="H403" s="1622" t="s">
        <v>1044</v>
      </c>
    </row>
    <row r="404" spans="2:8" ht="18" customHeight="1">
      <c r="C404" s="1623" t="s">
        <v>1363</v>
      </c>
      <c r="D404" s="1624"/>
      <c r="E404" s="650" t="s">
        <v>1052</v>
      </c>
      <c r="F404" s="749" t="s">
        <v>54</v>
      </c>
      <c r="G404" s="749">
        <f t="shared" ref="G404" si="74">(ROUNDDOWN(dhTextEvaluate(E404),3))</f>
        <v>245</v>
      </c>
      <c r="H404" s="1622"/>
    </row>
    <row r="405" spans="2:8" ht="18" customHeight="1">
      <c r="C405" s="750" t="s">
        <v>1043</v>
      </c>
      <c r="D405" s="650"/>
      <c r="E405" s="650" t="s">
        <v>1053</v>
      </c>
      <c r="F405" s="749" t="s">
        <v>54</v>
      </c>
      <c r="G405" s="749">
        <f>(ROUNDDOWN(dhTextEvaluate(E405),3))</f>
        <v>264</v>
      </c>
      <c r="H405" s="1622"/>
    </row>
    <row r="406" spans="2:8" ht="18" customHeight="1">
      <c r="C406" s="750"/>
      <c r="D406" s="650"/>
      <c r="E406" s="650"/>
      <c r="F406" s="749"/>
      <c r="G406" s="749"/>
      <c r="H406" s="904"/>
    </row>
    <row r="407" spans="2:8" ht="18" customHeight="1">
      <c r="B407" s="194" t="e">
        <f>#REF!</f>
        <v>#REF!</v>
      </c>
      <c r="C407" s="750" t="e">
        <f>VLOOKUP(B407,#REF!,2,FALSE)</f>
        <v>#REF!</v>
      </c>
      <c r="D407" s="650" t="e">
        <f>VLOOKUP(B407,#REF!,3,FALSE)</f>
        <v>#REF!</v>
      </c>
      <c r="E407" s="650">
        <f>G404</f>
        <v>245</v>
      </c>
      <c r="F407" s="749" t="e">
        <f>VLOOKUP(B407,#REF!,4,FALSE)</f>
        <v>#REF!</v>
      </c>
      <c r="G407" s="749" t="e">
        <f t="shared" ref="G407:G408" ca="1" si="75">(ROUNDDOWN(dhTextEvaluate(E407),3))</f>
        <v>#NAME?</v>
      </c>
      <c r="H407" s="904"/>
    </row>
    <row r="408" spans="2:8" ht="18" customHeight="1">
      <c r="B408" s="194" t="e">
        <f>#REF!</f>
        <v>#REF!</v>
      </c>
      <c r="C408" s="750" t="e">
        <f>VLOOKUP(B408,#REF!,2,FALSE)</f>
        <v>#REF!</v>
      </c>
      <c r="D408" s="650" t="e">
        <f>VLOOKUP(B408,#REF!,3,FALSE)</f>
        <v>#REF!</v>
      </c>
      <c r="E408" s="650">
        <f>G403</f>
        <v>49</v>
      </c>
      <c r="F408" s="749" t="e">
        <f>VLOOKUP(B408,#REF!,4,FALSE)</f>
        <v>#REF!</v>
      </c>
      <c r="G408" s="749" t="e">
        <f t="shared" ca="1" si="75"/>
        <v>#NAME?</v>
      </c>
      <c r="H408" s="904"/>
    </row>
    <row r="409" spans="2:8" ht="18" customHeight="1">
      <c r="B409" s="194" t="e">
        <f>#REF!</f>
        <v>#REF!</v>
      </c>
      <c r="C409" s="750" t="e">
        <f>VLOOKUP(B409,#REF!,2,FALSE)</f>
        <v>#REF!</v>
      </c>
      <c r="D409" s="751" t="e">
        <f>VLOOKUP(B409,#REF!,3,FALSE)</f>
        <v>#REF!</v>
      </c>
      <c r="E409" s="650">
        <f>G405</f>
        <v>264</v>
      </c>
      <c r="F409" s="749" t="e">
        <f>VLOOKUP(B409,#REF!,4,FALSE)</f>
        <v>#REF!</v>
      </c>
      <c r="G409" s="749" t="e">
        <f ca="1">(ROUNDDOWN(dhTextEvaluate(E409),3))</f>
        <v>#NAME?</v>
      </c>
      <c r="H409" s="904"/>
    </row>
    <row r="410" spans="2:8" ht="18" customHeight="1">
      <c r="B410" s="194" t="e">
        <f>#REF!</f>
        <v>#REF!</v>
      </c>
      <c r="C410" s="750" t="e">
        <f>VLOOKUP(B410,#REF!,2,FALSE)</f>
        <v>#REF!</v>
      </c>
      <c r="D410" s="751" t="e">
        <f>VLOOKUP(B410,#REF!,3,FALSE)</f>
        <v>#REF!</v>
      </c>
      <c r="E410" s="650">
        <f>G404</f>
        <v>245</v>
      </c>
      <c r="F410" s="749" t="e">
        <f>VLOOKUP(B410,#REF!,4,FALSE)</f>
        <v>#REF!</v>
      </c>
      <c r="G410" s="749" t="e">
        <f t="shared" ref="G410:G411" ca="1" si="76">(ROUNDDOWN(dhTextEvaluate(E410),3))</f>
        <v>#NAME?</v>
      </c>
      <c r="H410" s="904"/>
    </row>
    <row r="411" spans="2:8" ht="18" customHeight="1">
      <c r="B411" s="194" t="e">
        <f>#REF!</f>
        <v>#REF!</v>
      </c>
      <c r="C411" s="750" t="e">
        <f>VLOOKUP(B411,#REF!,2,FALSE)</f>
        <v>#REF!</v>
      </c>
      <c r="D411" s="751" t="e">
        <f>VLOOKUP(B411,#REF!,3,FALSE)</f>
        <v>#REF!</v>
      </c>
      <c r="E411" s="650">
        <f>G403</f>
        <v>49</v>
      </c>
      <c r="F411" s="749" t="e">
        <f>VLOOKUP(B411,#REF!,4,FALSE)</f>
        <v>#REF!</v>
      </c>
      <c r="G411" s="749" t="e">
        <f t="shared" ca="1" si="76"/>
        <v>#NAME?</v>
      </c>
      <c r="H411" s="904"/>
    </row>
    <row r="412" spans="2:8" ht="18" customHeight="1">
      <c r="B412" s="194" t="e">
        <f>#REF!</f>
        <v>#REF!</v>
      </c>
      <c r="C412" s="759" t="e">
        <f>VLOOKUP(B412,#REF!,2,FALSE)</f>
        <v>#REF!</v>
      </c>
      <c r="D412" s="751" t="e">
        <f>VLOOKUP(B412,#REF!,3,FALSE)</f>
        <v>#REF!</v>
      </c>
      <c r="E412" s="650">
        <f>G404</f>
        <v>245</v>
      </c>
      <c r="F412" s="749" t="e">
        <f>VLOOKUP(B412,#REF!,4,FALSE)</f>
        <v>#REF!</v>
      </c>
      <c r="G412" s="749" t="e">
        <f ca="1">(ROUNDDOWN(dhTextEvaluate(E412),3))</f>
        <v>#NAME?</v>
      </c>
      <c r="H412" s="904"/>
    </row>
    <row r="413" spans="2:8" ht="18" customHeight="1">
      <c r="B413" s="194" t="e">
        <f>#REF!</f>
        <v>#REF!</v>
      </c>
      <c r="C413" s="759" t="e">
        <f>VLOOKUP(B413,#REF!,2,FALSE)</f>
        <v>#REF!</v>
      </c>
      <c r="D413" s="751" t="e">
        <f>VLOOKUP(B413,#REF!,3,FALSE)</f>
        <v>#REF!</v>
      </c>
      <c r="E413" s="650">
        <f>G403</f>
        <v>49</v>
      </c>
      <c r="F413" s="749" t="e">
        <f>VLOOKUP(B413,#REF!,4,FALSE)</f>
        <v>#REF!</v>
      </c>
      <c r="G413" s="749" t="e">
        <f ca="1">(ROUNDDOWN(dhTextEvaluate(E413),3))</f>
        <v>#NAME?</v>
      </c>
      <c r="H413" s="904"/>
    </row>
    <row r="414" spans="2:8" ht="18" customHeight="1">
      <c r="B414" s="194" t="e">
        <f>#REF!</f>
        <v>#REF!</v>
      </c>
      <c r="C414" s="759" t="e">
        <f>VLOOKUP(B414,#REF!,2,FALSE)</f>
        <v>#REF!</v>
      </c>
      <c r="D414" s="751" t="e">
        <f>VLOOKUP(B414,#REF!,3,FALSE)</f>
        <v>#REF!</v>
      </c>
      <c r="E414" s="650">
        <v>12</v>
      </c>
      <c r="F414" s="749" t="e">
        <f>VLOOKUP(B414,#REF!,4,FALSE)</f>
        <v>#REF!</v>
      </c>
      <c r="G414" s="749">
        <f>(ROUNDDOWN(dhTextEvaluate(E414),3))</f>
        <v>12</v>
      </c>
      <c r="H414" s="904"/>
    </row>
    <row r="415" spans="2:8" ht="18" customHeight="1">
      <c r="B415" s="194" t="e">
        <f>#REF!</f>
        <v>#REF!</v>
      </c>
      <c r="C415" s="750" t="e">
        <f>VLOOKUP(B415,#REF!,2,FALSE)</f>
        <v>#REF!</v>
      </c>
      <c r="D415" s="650" t="e">
        <f>VLOOKUP(B415,#REF!,3,FALSE)</f>
        <v>#REF!</v>
      </c>
      <c r="E415" s="650" t="e">
        <f ca="1">G416</f>
        <v>#NAME?</v>
      </c>
      <c r="F415" s="749" t="e">
        <f>VLOOKUP(B415,#REF!,4,FALSE)</f>
        <v>#REF!</v>
      </c>
      <c r="G415" s="749" t="e">
        <f t="shared" ref="G415:G417" ca="1" si="77">(ROUNDDOWN(dhTextEvaluate(E415),3))</f>
        <v>#NAME?</v>
      </c>
      <c r="H415" s="904"/>
    </row>
    <row r="416" spans="2:8" ht="18" customHeight="1">
      <c r="B416" s="194" t="e">
        <f>#REF!</f>
        <v>#REF!</v>
      </c>
      <c r="C416" s="750" t="e">
        <f>VLOOKUP(B416,#REF!,2,FALSE)</f>
        <v>#REF!</v>
      </c>
      <c r="D416" s="650" t="e">
        <f>VLOOKUP(B416,#REF!,3,FALSE)</f>
        <v>#REF!</v>
      </c>
      <c r="E416" s="650">
        <f>G414</f>
        <v>12</v>
      </c>
      <c r="F416" s="749" t="e">
        <f>VLOOKUP(B416,#REF!,4,FALSE)</f>
        <v>#REF!</v>
      </c>
      <c r="G416" s="749" t="e">
        <f t="shared" ca="1" si="77"/>
        <v>#NAME?</v>
      </c>
      <c r="H416" s="904"/>
    </row>
    <row r="417" spans="2:8" ht="18" customHeight="1">
      <c r="B417" s="194" t="e">
        <f>#REF!</f>
        <v>#REF!</v>
      </c>
      <c r="C417" s="759" t="e">
        <f>VLOOKUP(B417,#REF!,2,FALSE)</f>
        <v>#REF!</v>
      </c>
      <c r="D417" s="751" t="e">
        <f>VLOOKUP(B417,#REF!,3,FALSE)</f>
        <v>#REF!</v>
      </c>
      <c r="E417" s="650">
        <f>G414</f>
        <v>12</v>
      </c>
      <c r="F417" s="749" t="e">
        <f>VLOOKUP(B417,#REF!,4,FALSE)</f>
        <v>#REF!</v>
      </c>
      <c r="G417" s="749" t="e">
        <f t="shared" ca="1" si="77"/>
        <v>#NAME?</v>
      </c>
      <c r="H417" s="904"/>
    </row>
    <row r="418" spans="2:8" ht="18" customHeight="1">
      <c r="B418" s="194" t="e">
        <f>#REF!</f>
        <v>#REF!</v>
      </c>
      <c r="C418" s="750" t="e">
        <f>VLOOKUP(B418,#REF!,2,FALSE)</f>
        <v>#REF!</v>
      </c>
      <c r="D418" s="650" t="e">
        <f>VLOOKUP(B418,#REF!,3,FALSE)</f>
        <v>#REF!</v>
      </c>
      <c r="E418" s="650">
        <f>G414</f>
        <v>12</v>
      </c>
      <c r="F418" s="749" t="e">
        <f>VLOOKUP(B418,#REF!,4,FALSE)</f>
        <v>#REF!</v>
      </c>
      <c r="G418" s="749" t="e">
        <f ca="1">(ROUNDDOWN(dhTextEvaluate(E418),3))</f>
        <v>#NAME?</v>
      </c>
      <c r="H418" s="904"/>
    </row>
    <row r="419" spans="2:8" ht="18" customHeight="1">
      <c r="B419" s="194" t="e">
        <f>#REF!</f>
        <v>#REF!</v>
      </c>
      <c r="C419" s="750" t="e">
        <f>VLOOKUP(B419,#REF!,2,FALSE)</f>
        <v>#REF!</v>
      </c>
      <c r="D419" s="650" t="e">
        <f>VLOOKUP(B419,#REF!,3,FALSE)</f>
        <v>#REF!</v>
      </c>
      <c r="E419" s="650" t="e">
        <f ca="1">G415&amp;"*2"</f>
        <v>#NAME?</v>
      </c>
      <c r="F419" s="749" t="e">
        <f>VLOOKUP(B419,#REF!,4,FALSE)</f>
        <v>#REF!</v>
      </c>
      <c r="G419" s="749" t="e">
        <f ca="1">(ROUNDDOWN(dhTextEvaluate(E419),3))</f>
        <v>#NAME?</v>
      </c>
      <c r="H419" s="904"/>
    </row>
    <row r="420" spans="2:8" ht="18" customHeight="1">
      <c r="B420" s="194" t="e">
        <f>#REF!</f>
        <v>#REF!</v>
      </c>
      <c r="C420" s="750" t="e">
        <f>VLOOKUP(B420,#REF!,2,FALSE)</f>
        <v>#REF!</v>
      </c>
      <c r="D420" s="650" t="e">
        <f>VLOOKUP(B420,#REF!,3,FALSE)</f>
        <v>#REF!</v>
      </c>
      <c r="E420" s="650" t="str">
        <f>G414&amp;"*2"</f>
        <v>12*2</v>
      </c>
      <c r="F420" s="749" t="e">
        <f>VLOOKUP(B420,#REF!,4,FALSE)</f>
        <v>#REF!</v>
      </c>
      <c r="G420" s="749" t="e">
        <f ca="1">(ROUNDDOWN(dhTextEvaluate(E420),3))</f>
        <v>#NAME?</v>
      </c>
      <c r="H420" s="904"/>
    </row>
    <row r="421" spans="2:8" ht="18" customHeight="1">
      <c r="B421" s="194" t="e">
        <f>#REF!</f>
        <v>#REF!</v>
      </c>
      <c r="C421" s="750" t="e">
        <f>VLOOKUP(B421,#REF!,2,FALSE)</f>
        <v>#REF!</v>
      </c>
      <c r="D421" s="650" t="e">
        <f>VLOOKUP(B421,#REF!,3,FALSE)</f>
        <v>#REF!</v>
      </c>
      <c r="E421" s="650">
        <f>G414</f>
        <v>12</v>
      </c>
      <c r="F421" s="749" t="e">
        <f>VLOOKUP(B421,#REF!,4,FALSE)</f>
        <v>#REF!</v>
      </c>
      <c r="G421" s="749" t="e">
        <f ca="1">(ROUNDDOWN(dhTextEvaluate(E421),3))</f>
        <v>#NAME?</v>
      </c>
      <c r="H421" s="904"/>
    </row>
    <row r="422" spans="2:8" ht="18" customHeight="1">
      <c r="B422" s="194" t="e">
        <f>#REF!</f>
        <v>#REF!</v>
      </c>
      <c r="C422" s="750" t="e">
        <f>VLOOKUP(B422,#REF!,2,FALSE)</f>
        <v>#REF!</v>
      </c>
      <c r="D422" s="650" t="e">
        <f>VLOOKUP(B422,#REF!,3,FALSE)</f>
        <v>#REF!</v>
      </c>
      <c r="E422" s="650" t="str">
        <f>E421&amp;"-"&amp;2</f>
        <v>12-2</v>
      </c>
      <c r="F422" s="749" t="e">
        <f>VLOOKUP(B422,#REF!,4,FALSE)</f>
        <v>#REF!</v>
      </c>
      <c r="G422" s="749" t="e">
        <f t="shared" ref="G422" ca="1" si="78">(ROUNDDOWN(dhTextEvaluate(E422),3))</f>
        <v>#NAME?</v>
      </c>
      <c r="H422" s="904"/>
    </row>
    <row r="423" spans="2:8" ht="18" customHeight="1">
      <c r="B423" s="194" t="e">
        <f>#REF!</f>
        <v>#REF!</v>
      </c>
      <c r="C423" s="756" t="e">
        <f>VLOOKUP(B423,#REF!,2,FALSE)</f>
        <v>#REF!</v>
      </c>
      <c r="D423" s="748" t="e">
        <f>VLOOKUP(B423,#REF!,3,FALSE)</f>
        <v>#REF!</v>
      </c>
      <c r="E423" s="650" t="e">
        <f ca="1">G407&amp;"+"&amp;G408</f>
        <v>#NAME?</v>
      </c>
      <c r="F423" s="749" t="e">
        <f>VLOOKUP(B423,#REF!,4,FALSE)</f>
        <v>#REF!</v>
      </c>
      <c r="G423" s="749" t="e">
        <f ca="1">(ROUNDDOWN(dhTextEvaluate(E423),3))</f>
        <v>#NAME?</v>
      </c>
      <c r="H423" s="904"/>
    </row>
    <row r="424" spans="2:8" ht="18" customHeight="1">
      <c r="C424" s="756"/>
      <c r="D424" s="748"/>
      <c r="E424" s="650"/>
      <c r="F424" s="749"/>
      <c r="G424" s="749"/>
      <c r="H424" s="904"/>
    </row>
    <row r="425" spans="2:8" ht="18" customHeight="1">
      <c r="C425" s="757"/>
      <c r="D425" s="758"/>
      <c r="E425" s="753"/>
      <c r="F425" s="754"/>
      <c r="G425" s="754"/>
      <c r="H425" s="755"/>
    </row>
    <row r="426" spans="2:8" ht="18" customHeight="1">
      <c r="C426" s="743" t="s">
        <v>1045</v>
      </c>
      <c r="D426" s="744"/>
      <c r="E426" s="745"/>
      <c r="F426" s="744"/>
      <c r="G426" s="744"/>
      <c r="H426" s="746"/>
    </row>
    <row r="427" spans="2:8" ht="18" customHeight="1">
      <c r="B427" s="194" t="s">
        <v>1305</v>
      </c>
      <c r="C427" s="747" t="s">
        <v>1054</v>
      </c>
      <c r="D427" s="748"/>
      <c r="E427" s="650"/>
      <c r="F427" s="749"/>
      <c r="G427" s="749"/>
      <c r="H427" s="904"/>
    </row>
    <row r="428" spans="2:8" ht="18" customHeight="1">
      <c r="C428" s="1623" t="s">
        <v>1363</v>
      </c>
      <c r="D428" s="1624"/>
      <c r="E428" s="650" t="s">
        <v>1055</v>
      </c>
      <c r="F428" s="749" t="s">
        <v>54</v>
      </c>
      <c r="G428" s="749">
        <f t="shared" ref="G428" si="79">(ROUNDDOWN(dhTextEvaluate(E428),3))</f>
        <v>49</v>
      </c>
      <c r="H428" s="1622"/>
    </row>
    <row r="429" spans="2:8" ht="18" customHeight="1">
      <c r="C429" s="750" t="s">
        <v>1043</v>
      </c>
      <c r="D429" s="650"/>
      <c r="E429" s="650" t="s">
        <v>1056</v>
      </c>
      <c r="F429" s="749" t="s">
        <v>54</v>
      </c>
      <c r="G429" s="749">
        <f>(ROUNDDOWN(dhTextEvaluate(E429),3))</f>
        <v>16</v>
      </c>
      <c r="H429" s="1622"/>
    </row>
    <row r="430" spans="2:8" ht="18" customHeight="1">
      <c r="C430" s="750"/>
      <c r="D430" s="650"/>
      <c r="E430" s="650"/>
      <c r="F430" s="749"/>
      <c r="G430" s="749"/>
      <c r="H430" s="904"/>
    </row>
    <row r="431" spans="2:8" ht="18" customHeight="1">
      <c r="B431" s="194" t="e">
        <f>#REF!</f>
        <v>#REF!</v>
      </c>
      <c r="C431" s="750" t="e">
        <f>VLOOKUP(B431,#REF!,2,FALSE)</f>
        <v>#REF!</v>
      </c>
      <c r="D431" s="650" t="e">
        <f>VLOOKUP(B431,#REF!,3,FALSE)</f>
        <v>#REF!</v>
      </c>
      <c r="E431" s="650">
        <f>G428</f>
        <v>49</v>
      </c>
      <c r="F431" s="749" t="e">
        <f>VLOOKUP(B431,#REF!,4,FALSE)</f>
        <v>#REF!</v>
      </c>
      <c r="G431" s="749" t="e">
        <f t="shared" ref="G431" ca="1" si="80">(ROUNDDOWN(dhTextEvaluate(E431),3))</f>
        <v>#NAME?</v>
      </c>
      <c r="H431" s="904"/>
    </row>
    <row r="432" spans="2:8" ht="18" customHeight="1">
      <c r="B432" s="194" t="e">
        <f>#REF!</f>
        <v>#REF!</v>
      </c>
      <c r="C432" s="750" t="e">
        <f>VLOOKUP(B432,#REF!,2,FALSE)</f>
        <v>#REF!</v>
      </c>
      <c r="D432" s="751" t="e">
        <f>VLOOKUP(B432,#REF!,3,FALSE)</f>
        <v>#REF!</v>
      </c>
      <c r="E432" s="650">
        <f>G429</f>
        <v>16</v>
      </c>
      <c r="F432" s="749" t="e">
        <f>VLOOKUP(B432,#REF!,4,FALSE)</f>
        <v>#REF!</v>
      </c>
      <c r="G432" s="749" t="e">
        <f ca="1">(ROUNDDOWN(dhTextEvaluate(E432),3))</f>
        <v>#NAME?</v>
      </c>
      <c r="H432" s="904"/>
    </row>
    <row r="433" spans="2:8" ht="18" customHeight="1">
      <c r="B433" s="194" t="e">
        <f>#REF!</f>
        <v>#REF!</v>
      </c>
      <c r="C433" s="750" t="e">
        <f>VLOOKUP(B433,#REF!,2,FALSE)</f>
        <v>#REF!</v>
      </c>
      <c r="D433" s="751" t="e">
        <f>VLOOKUP(B433,#REF!,3,FALSE)</f>
        <v>#REF!</v>
      </c>
      <c r="E433" s="650">
        <f>G428</f>
        <v>49</v>
      </c>
      <c r="F433" s="749" t="e">
        <f>VLOOKUP(B433,#REF!,4,FALSE)</f>
        <v>#REF!</v>
      </c>
      <c r="G433" s="749" t="e">
        <f t="shared" ref="G433" ca="1" si="81">(ROUNDDOWN(dhTextEvaluate(E433),3))</f>
        <v>#NAME?</v>
      </c>
      <c r="H433" s="904"/>
    </row>
    <row r="434" spans="2:8" ht="18" customHeight="1">
      <c r="B434" s="194" t="e">
        <f>#REF!</f>
        <v>#REF!</v>
      </c>
      <c r="C434" s="759" t="e">
        <f>VLOOKUP(B434,#REF!,2,FALSE)</f>
        <v>#REF!</v>
      </c>
      <c r="D434" s="751" t="e">
        <f>VLOOKUP(B434,#REF!,3,FALSE)</f>
        <v>#REF!</v>
      </c>
      <c r="E434" s="650">
        <f>G428</f>
        <v>49</v>
      </c>
      <c r="F434" s="749" t="e">
        <f>VLOOKUP(B434,#REF!,4,FALSE)</f>
        <v>#REF!</v>
      </c>
      <c r="G434" s="749" t="e">
        <f ca="1">(ROUNDDOWN(dhTextEvaluate(E434),3))</f>
        <v>#NAME?</v>
      </c>
      <c r="H434" s="904"/>
    </row>
    <row r="435" spans="2:8" ht="18" customHeight="1">
      <c r="B435" s="194" t="e">
        <f>#REF!</f>
        <v>#REF!</v>
      </c>
      <c r="C435" s="759" t="e">
        <f>VLOOKUP(B435,#REF!,2,FALSE)</f>
        <v>#REF!</v>
      </c>
      <c r="D435" s="751" t="e">
        <f>VLOOKUP(B435,#REF!,3,FALSE)</f>
        <v>#REF!</v>
      </c>
      <c r="E435" s="650">
        <v>4</v>
      </c>
      <c r="F435" s="749" t="e">
        <f>VLOOKUP(B435,#REF!,4,FALSE)</f>
        <v>#REF!</v>
      </c>
      <c r="G435" s="749">
        <f>(ROUNDDOWN(dhTextEvaluate(E435),3))</f>
        <v>4</v>
      </c>
      <c r="H435" s="904"/>
    </row>
    <row r="436" spans="2:8" ht="18" customHeight="1">
      <c r="B436" s="194" t="e">
        <f>#REF!</f>
        <v>#REF!</v>
      </c>
      <c r="C436" s="750" t="e">
        <f>VLOOKUP(B436,#REF!,2,FALSE)</f>
        <v>#REF!</v>
      </c>
      <c r="D436" s="650" t="e">
        <f>VLOOKUP(B436,#REF!,3,FALSE)</f>
        <v>#REF!</v>
      </c>
      <c r="E436" s="650" t="e">
        <f ca="1">G437</f>
        <v>#NAME?</v>
      </c>
      <c r="F436" s="749" t="e">
        <f>VLOOKUP(B436,#REF!,4,FALSE)</f>
        <v>#REF!</v>
      </c>
      <c r="G436" s="749" t="e">
        <f t="shared" ref="G436:G437" ca="1" si="82">(ROUNDDOWN(dhTextEvaluate(E436),3))</f>
        <v>#NAME?</v>
      </c>
      <c r="H436" s="904"/>
    </row>
    <row r="437" spans="2:8" ht="18" customHeight="1">
      <c r="B437" s="194" t="e">
        <f>#REF!</f>
        <v>#REF!</v>
      </c>
      <c r="C437" s="750" t="e">
        <f>VLOOKUP(B437,#REF!,2,FALSE)</f>
        <v>#REF!</v>
      </c>
      <c r="D437" s="650" t="e">
        <f>VLOOKUP(B437,#REF!,3,FALSE)</f>
        <v>#REF!</v>
      </c>
      <c r="E437" s="650">
        <f>G435</f>
        <v>4</v>
      </c>
      <c r="F437" s="749" t="e">
        <f>VLOOKUP(B437,#REF!,4,FALSE)</f>
        <v>#REF!</v>
      </c>
      <c r="G437" s="749" t="e">
        <f t="shared" ca="1" si="82"/>
        <v>#NAME?</v>
      </c>
      <c r="H437" s="904"/>
    </row>
    <row r="438" spans="2:8" ht="18" customHeight="1">
      <c r="B438" s="194" t="e">
        <f>#REF!</f>
        <v>#REF!</v>
      </c>
      <c r="C438" s="750" t="e">
        <f>VLOOKUP(B438,#REF!,2,FALSE)</f>
        <v>#REF!</v>
      </c>
      <c r="D438" s="650" t="e">
        <f>VLOOKUP(B438,#REF!,3,FALSE)</f>
        <v>#REF!</v>
      </c>
      <c r="E438" s="650">
        <f>G435</f>
        <v>4</v>
      </c>
      <c r="F438" s="749" t="e">
        <f>VLOOKUP(B438,#REF!,4,FALSE)</f>
        <v>#REF!</v>
      </c>
      <c r="G438" s="749" t="e">
        <f ca="1">(ROUNDDOWN(dhTextEvaluate(E438),3))</f>
        <v>#NAME?</v>
      </c>
      <c r="H438" s="904"/>
    </row>
    <row r="439" spans="2:8" ht="18" customHeight="1">
      <c r="B439" s="194" t="e">
        <f>#REF!</f>
        <v>#REF!</v>
      </c>
      <c r="C439" s="750" t="e">
        <f>VLOOKUP(B439,#REF!,2,FALSE)</f>
        <v>#REF!</v>
      </c>
      <c r="D439" s="650" t="e">
        <f>VLOOKUP(B439,#REF!,3,FALSE)</f>
        <v>#REF!</v>
      </c>
      <c r="E439" s="650">
        <f>G435</f>
        <v>4</v>
      </c>
      <c r="F439" s="749" t="e">
        <f>VLOOKUP(B439,#REF!,4,FALSE)</f>
        <v>#REF!</v>
      </c>
      <c r="G439" s="749" t="e">
        <f ca="1">(ROUNDDOWN(dhTextEvaluate(E439),3))</f>
        <v>#NAME?</v>
      </c>
      <c r="H439" s="904"/>
    </row>
    <row r="440" spans="2:8" ht="18" customHeight="1">
      <c r="B440" s="194" t="e">
        <f>#REF!</f>
        <v>#REF!</v>
      </c>
      <c r="C440" s="750" t="e">
        <f>VLOOKUP(B440,#REF!,2,FALSE)</f>
        <v>#REF!</v>
      </c>
      <c r="D440" s="650" t="e">
        <f>VLOOKUP(B440,#REF!,3,FALSE)</f>
        <v>#REF!</v>
      </c>
      <c r="E440" s="650" t="str">
        <f>E439&amp;"-"&amp;2</f>
        <v>4-2</v>
      </c>
      <c r="F440" s="749" t="e">
        <f>VLOOKUP(B440,#REF!,4,FALSE)</f>
        <v>#REF!</v>
      </c>
      <c r="G440" s="749" t="e">
        <f t="shared" ref="G440" ca="1" si="83">(ROUNDDOWN(dhTextEvaluate(E440),3))</f>
        <v>#NAME?</v>
      </c>
      <c r="H440" s="904"/>
    </row>
    <row r="441" spans="2:8" ht="18" customHeight="1">
      <c r="B441" s="194" t="e">
        <f>#REF!</f>
        <v>#REF!</v>
      </c>
      <c r="C441" s="756" t="e">
        <f>VLOOKUP(B441,#REF!,2,FALSE)</f>
        <v>#REF!</v>
      </c>
      <c r="D441" s="748" t="e">
        <f>VLOOKUP(B441,#REF!,3,FALSE)</f>
        <v>#REF!</v>
      </c>
      <c r="E441" s="650" t="e">
        <f ca="1">G431</f>
        <v>#NAME?</v>
      </c>
      <c r="F441" s="749" t="e">
        <f>VLOOKUP(B441,#REF!,4,FALSE)</f>
        <v>#REF!</v>
      </c>
      <c r="G441" s="749" t="e">
        <f ca="1">(ROUNDDOWN(dhTextEvaluate(E441),3))</f>
        <v>#NAME?</v>
      </c>
      <c r="H441" s="904"/>
    </row>
    <row r="442" spans="2:8" ht="18" customHeight="1">
      <c r="C442" s="756"/>
      <c r="D442" s="748"/>
      <c r="E442" s="650"/>
      <c r="F442" s="749"/>
      <c r="G442" s="749"/>
      <c r="H442" s="904"/>
    </row>
    <row r="443" spans="2:8" ht="18" customHeight="1">
      <c r="C443" s="756"/>
      <c r="D443" s="748"/>
      <c r="E443" s="650"/>
      <c r="F443" s="749"/>
      <c r="G443" s="749"/>
      <c r="H443" s="904"/>
    </row>
    <row r="444" spans="2:8" ht="18" customHeight="1">
      <c r="C444" s="756"/>
      <c r="D444" s="748"/>
      <c r="E444" s="650"/>
      <c r="F444" s="749"/>
      <c r="G444" s="749"/>
      <c r="H444" s="904"/>
    </row>
    <row r="445" spans="2:8" ht="18" customHeight="1">
      <c r="C445" s="756"/>
      <c r="D445" s="748"/>
      <c r="E445" s="650"/>
      <c r="F445" s="749"/>
      <c r="G445" s="749"/>
      <c r="H445" s="904"/>
    </row>
    <row r="446" spans="2:8" ht="18" customHeight="1">
      <c r="C446" s="756"/>
      <c r="D446" s="748"/>
      <c r="E446" s="650"/>
      <c r="F446" s="749"/>
      <c r="G446" s="749"/>
      <c r="H446" s="904"/>
    </row>
    <row r="447" spans="2:8" ht="18" customHeight="1">
      <c r="C447" s="756"/>
      <c r="D447" s="748"/>
      <c r="E447" s="650"/>
      <c r="F447" s="749"/>
      <c r="G447" s="749"/>
      <c r="H447" s="904"/>
    </row>
    <row r="448" spans="2:8" ht="18" customHeight="1">
      <c r="C448" s="756"/>
      <c r="D448" s="748"/>
      <c r="E448" s="650"/>
      <c r="F448" s="749"/>
      <c r="G448" s="749"/>
      <c r="H448" s="904"/>
    </row>
    <row r="449" spans="3:8" ht="18" customHeight="1">
      <c r="C449" s="756"/>
      <c r="D449" s="748"/>
      <c r="E449" s="650"/>
      <c r="F449" s="749"/>
      <c r="G449" s="749"/>
      <c r="H449" s="904"/>
    </row>
    <row r="450" spans="3:8" ht="18" customHeight="1">
      <c r="C450" s="757"/>
      <c r="D450" s="758"/>
      <c r="E450" s="753"/>
      <c r="F450" s="754"/>
      <c r="G450" s="754"/>
      <c r="H450" s="755"/>
    </row>
  </sheetData>
  <mergeCells count="126">
    <mergeCell ref="C273:D273"/>
    <mergeCell ref="C274:D274"/>
    <mergeCell ref="C275:D275"/>
    <mergeCell ref="C276:D27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71:D271"/>
    <mergeCell ref="C55:D55"/>
    <mergeCell ref="C58:D58"/>
    <mergeCell ref="C57:D57"/>
    <mergeCell ref="C64:D64"/>
    <mergeCell ref="C33:D33"/>
    <mergeCell ref="C32:D32"/>
    <mergeCell ref="C60:D60"/>
    <mergeCell ref="C56:D56"/>
    <mergeCell ref="C7:D7"/>
    <mergeCell ref="C8:D8"/>
    <mergeCell ref="C30:D30"/>
    <mergeCell ref="C31:D31"/>
    <mergeCell ref="C153:D153"/>
    <mergeCell ref="C62:D62"/>
    <mergeCell ref="C154:D154"/>
    <mergeCell ref="C155:D155"/>
    <mergeCell ref="C61:D61"/>
    <mergeCell ref="C63:D63"/>
    <mergeCell ref="C67:D67"/>
    <mergeCell ref="C107:D107"/>
    <mergeCell ref="C66:D66"/>
    <mergeCell ref="C142:D142"/>
    <mergeCell ref="C143:D143"/>
    <mergeCell ref="C65:D65"/>
    <mergeCell ref="C145:D145"/>
    <mergeCell ref="C146:D146"/>
    <mergeCell ref="C147:D147"/>
    <mergeCell ref="C144:D144"/>
    <mergeCell ref="C148:D148"/>
    <mergeCell ref="C149:D149"/>
    <mergeCell ref="C150:D150"/>
    <mergeCell ref="C151:D151"/>
    <mergeCell ref="C152:D152"/>
    <mergeCell ref="C117:D117"/>
    <mergeCell ref="C118:D118"/>
    <mergeCell ref="C119:D119"/>
    <mergeCell ref="C252:D252"/>
    <mergeCell ref="C253:D253"/>
    <mergeCell ref="C254:D254"/>
    <mergeCell ref="C255:D255"/>
    <mergeCell ref="C256:D256"/>
    <mergeCell ref="C217:D217"/>
    <mergeCell ref="C218:D218"/>
    <mergeCell ref="C219:D219"/>
    <mergeCell ref="C220:D220"/>
    <mergeCell ref="C156:D156"/>
    <mergeCell ref="C157:D157"/>
    <mergeCell ref="C158:D158"/>
    <mergeCell ref="C159:D159"/>
    <mergeCell ref="C160:D160"/>
    <mergeCell ref="C161:D161"/>
    <mergeCell ref="C162:D162"/>
    <mergeCell ref="C250:D250"/>
    <mergeCell ref="C251:D251"/>
    <mergeCell ref="C215:D215"/>
    <mergeCell ref="C216:D216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H428:H429"/>
    <mergeCell ref="C353:D353"/>
    <mergeCell ref="H353:H356"/>
    <mergeCell ref="C354:D354"/>
    <mergeCell ref="C355:D355"/>
    <mergeCell ref="C403:D403"/>
    <mergeCell ref="H403:H405"/>
    <mergeCell ref="C404:D404"/>
    <mergeCell ref="C428:D428"/>
    <mergeCell ref="C288:D288"/>
    <mergeCell ref="C289:D289"/>
    <mergeCell ref="C290:D290"/>
    <mergeCell ref="C291:D291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120:D120"/>
    <mergeCell ref="C121:D121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</mergeCells>
  <phoneticPr fontId="7" type="noConversion"/>
  <printOptions horizontalCentered="1" verticalCentered="1"/>
  <pageMargins left="0.59055118110236227" right="0.39370078740157483" top="0.6692913385826772" bottom="0.59055118110236227" header="0.39370078740157483" footer="0.19685039370078741"/>
  <pageSetup paperSize="9" orientation="landscape" r:id="rId1"/>
  <headerFooter alignWithMargins="0">
    <oddHeader>&amp;C&amp;"돋움체,굵게"&amp;20&amp;U수 량 산 출 서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</sheetPr>
  <dimension ref="A1:L246"/>
  <sheetViews>
    <sheetView view="pageBreakPreview" topLeftCell="A22" zoomScale="90" workbookViewId="0">
      <selection activeCell="D32" sqref="D32"/>
    </sheetView>
  </sheetViews>
  <sheetFormatPr defaultRowHeight="13.5"/>
  <cols>
    <col min="1" max="5" width="11.109375" customWidth="1"/>
    <col min="6" max="6" width="5.6640625" customWidth="1"/>
    <col min="7" max="7" width="10" customWidth="1"/>
    <col min="8" max="12" width="11.109375" customWidth="1"/>
  </cols>
  <sheetData>
    <row r="1" spans="1:12" ht="21.95" customHeight="1">
      <c r="A1" s="1637" t="s">
        <v>1237</v>
      </c>
      <c r="B1" s="1637"/>
      <c r="C1" s="1637"/>
      <c r="D1" s="1637"/>
      <c r="E1" s="1637"/>
      <c r="F1" s="1637"/>
      <c r="G1" s="1637"/>
      <c r="H1" s="1637"/>
      <c r="I1" s="1637"/>
      <c r="J1" s="1637"/>
      <c r="K1" s="1637"/>
      <c r="L1" s="1637"/>
    </row>
    <row r="2" spans="1:12" ht="21.95" customHeight="1">
      <c r="A2" s="1637"/>
      <c r="B2" s="1637"/>
      <c r="C2" s="1637"/>
      <c r="D2" s="1637"/>
      <c r="E2" s="1637"/>
      <c r="F2" s="1637"/>
      <c r="G2" s="1637"/>
      <c r="H2" s="1637"/>
      <c r="I2" s="1637"/>
      <c r="J2" s="1637"/>
      <c r="K2" s="1637"/>
      <c r="L2" s="1637"/>
    </row>
    <row r="3" spans="1:12" ht="21.95" customHeight="1">
      <c r="A3" s="1638" t="s">
        <v>1238</v>
      </c>
      <c r="B3" s="1638"/>
      <c r="C3" s="1638"/>
      <c r="D3" s="1638"/>
      <c r="E3" s="1638"/>
      <c r="F3" s="1638"/>
      <c r="G3" s="1638"/>
      <c r="H3" s="1638"/>
      <c r="I3" s="1638"/>
      <c r="J3" s="1638"/>
      <c r="K3" s="1638"/>
      <c r="L3" s="1638"/>
    </row>
    <row r="4" spans="1:12" ht="18" customHeight="1">
      <c r="A4" s="1639" t="s">
        <v>1239</v>
      </c>
      <c r="B4" s="1639"/>
      <c r="C4" s="1639"/>
      <c r="D4" s="1639"/>
      <c r="E4" s="1639"/>
      <c r="F4" s="1639"/>
      <c r="G4" s="1639"/>
      <c r="H4" s="1639"/>
      <c r="I4" s="1639"/>
      <c r="J4" s="1639"/>
      <c r="K4" s="1639"/>
      <c r="L4" s="1639"/>
    </row>
    <row r="5" spans="1:12" ht="18" customHeight="1">
      <c r="A5" s="1628" t="s">
        <v>1240</v>
      </c>
      <c r="B5" s="1628"/>
      <c r="C5" s="1628"/>
      <c r="D5" s="1628"/>
      <c r="E5" s="1628"/>
      <c r="F5" s="1628"/>
      <c r="G5" s="1628"/>
      <c r="H5" s="1628" t="s">
        <v>1241</v>
      </c>
      <c r="I5" s="1628"/>
      <c r="J5" s="1628"/>
      <c r="K5" s="1628"/>
      <c r="L5" s="1628" t="s">
        <v>1242</v>
      </c>
    </row>
    <row r="6" spans="1:12" ht="18" customHeight="1">
      <c r="A6" s="1628"/>
      <c r="B6" s="1628"/>
      <c r="C6" s="1628"/>
      <c r="D6" s="1628"/>
      <c r="E6" s="1628"/>
      <c r="F6" s="1628"/>
      <c r="G6" s="1628"/>
      <c r="H6" s="1628" t="s">
        <v>1243</v>
      </c>
      <c r="I6" s="1628"/>
      <c r="J6" s="1628" t="s">
        <v>1244</v>
      </c>
      <c r="K6" s="1628"/>
      <c r="L6" s="1628"/>
    </row>
    <row r="7" spans="1:12" ht="18" customHeight="1">
      <c r="A7" s="1629" t="s">
        <v>1245</v>
      </c>
      <c r="B7" s="1629"/>
      <c r="C7" s="1636" t="s">
        <v>1246</v>
      </c>
      <c r="D7" s="1630"/>
      <c r="E7" s="1630"/>
      <c r="F7" s="1630"/>
      <c r="G7" s="1630"/>
      <c r="H7" s="1631">
        <v>262000</v>
      </c>
      <c r="I7" s="1631"/>
      <c r="J7" s="1631">
        <v>502000</v>
      </c>
      <c r="K7" s="1631"/>
      <c r="L7" s="761"/>
    </row>
    <row r="8" spans="1:12" ht="18" customHeight="1">
      <c r="A8" s="1629"/>
      <c r="B8" s="1629"/>
      <c r="C8" s="1630" t="s">
        <v>1247</v>
      </c>
      <c r="D8" s="1630"/>
      <c r="E8" s="1630"/>
      <c r="F8" s="1630"/>
      <c r="G8" s="1630"/>
      <c r="H8" s="1631">
        <v>104000</v>
      </c>
      <c r="I8" s="1631"/>
      <c r="J8" s="1631">
        <v>121000</v>
      </c>
      <c r="K8" s="1631"/>
      <c r="L8" s="761"/>
    </row>
    <row r="9" spans="1:12" ht="18" customHeight="1">
      <c r="A9" s="1629" t="s">
        <v>1248</v>
      </c>
      <c r="B9" s="1629"/>
      <c r="C9" s="1630" t="s">
        <v>1249</v>
      </c>
      <c r="D9" s="1630"/>
      <c r="E9" s="1630"/>
      <c r="F9" s="1630"/>
      <c r="G9" s="1630"/>
      <c r="H9" s="1631">
        <v>21000</v>
      </c>
      <c r="I9" s="1631"/>
      <c r="J9" s="1631">
        <v>44000</v>
      </c>
      <c r="K9" s="1631"/>
      <c r="L9" s="761"/>
    </row>
    <row r="10" spans="1:12" ht="18" customHeight="1">
      <c r="A10" s="1632" t="s">
        <v>1250</v>
      </c>
      <c r="B10" s="1632"/>
      <c r="C10" s="1632"/>
      <c r="D10" s="1632"/>
      <c r="E10" s="1632"/>
      <c r="F10" s="1632"/>
      <c r="G10" s="1632"/>
      <c r="H10" s="1632"/>
      <c r="I10" s="1632"/>
      <c r="J10" s="1632"/>
      <c r="K10" s="1632"/>
      <c r="L10" s="1632"/>
    </row>
    <row r="11" spans="1:12" ht="18" customHeight="1">
      <c r="A11" s="1628" t="s">
        <v>1251</v>
      </c>
      <c r="B11" s="1628"/>
      <c r="C11" s="1628"/>
      <c r="D11" s="1628"/>
      <c r="E11" s="1628"/>
      <c r="F11" s="1628"/>
      <c r="G11" s="1628"/>
      <c r="H11" s="1628" t="s">
        <v>1243</v>
      </c>
      <c r="I11" s="1628"/>
      <c r="J11" s="1628" t="s">
        <v>1244</v>
      </c>
      <c r="K11" s="1628"/>
      <c r="L11" s="1628" t="s">
        <v>1252</v>
      </c>
    </row>
    <row r="12" spans="1:12" ht="18" customHeight="1">
      <c r="A12" s="1628"/>
      <c r="B12" s="1628"/>
      <c r="C12" s="1628"/>
      <c r="D12" s="1628"/>
      <c r="E12" s="1628"/>
      <c r="F12" s="1628"/>
      <c r="G12" s="1628"/>
      <c r="H12" s="762" t="s">
        <v>1253</v>
      </c>
      <c r="I12" s="762" t="s">
        <v>1254</v>
      </c>
      <c r="J12" s="1628"/>
      <c r="K12" s="1628"/>
      <c r="L12" s="1628"/>
    </row>
    <row r="13" spans="1:12" ht="18" customHeight="1">
      <c r="A13" s="1629" t="s">
        <v>1255</v>
      </c>
      <c r="B13" s="1629"/>
      <c r="C13" s="1630" t="s">
        <v>1256</v>
      </c>
      <c r="D13" s="1630"/>
      <c r="E13" s="1630"/>
      <c r="F13" s="1630"/>
      <c r="G13" s="761" t="s">
        <v>1257</v>
      </c>
      <c r="H13" s="763">
        <v>39000</v>
      </c>
      <c r="I13" s="763">
        <v>43000</v>
      </c>
      <c r="J13" s="1631">
        <v>60000</v>
      </c>
      <c r="K13" s="1631"/>
      <c r="L13" s="761"/>
    </row>
    <row r="14" spans="1:12" ht="18" customHeight="1">
      <c r="A14" s="1629"/>
      <c r="B14" s="1629"/>
      <c r="C14" s="1630"/>
      <c r="D14" s="1630"/>
      <c r="E14" s="1630"/>
      <c r="F14" s="1630"/>
      <c r="G14" s="761" t="s">
        <v>1258</v>
      </c>
      <c r="H14" s="1631">
        <v>43000</v>
      </c>
      <c r="I14" s="1631"/>
      <c r="J14" s="1631">
        <v>110000</v>
      </c>
      <c r="K14" s="1631"/>
      <c r="L14" s="761"/>
    </row>
    <row r="15" spans="1:12" ht="18" customHeight="1">
      <c r="A15" s="1629" t="s">
        <v>1259</v>
      </c>
      <c r="B15" s="1629"/>
      <c r="C15" s="1630" t="s">
        <v>1260</v>
      </c>
      <c r="D15" s="1630"/>
      <c r="E15" s="1630"/>
      <c r="F15" s="1630"/>
      <c r="G15" s="761" t="s">
        <v>1257</v>
      </c>
      <c r="H15" s="1631">
        <v>5000</v>
      </c>
      <c r="I15" s="1631"/>
      <c r="J15" s="761" t="s">
        <v>131</v>
      </c>
      <c r="K15" s="761"/>
      <c r="L15" s="761"/>
    </row>
    <row r="16" spans="1:12" ht="18" customHeight="1">
      <c r="A16" s="1629"/>
      <c r="B16" s="1629"/>
      <c r="C16" s="1630"/>
      <c r="D16" s="1630"/>
      <c r="E16" s="1630"/>
      <c r="F16" s="1630"/>
      <c r="G16" s="761" t="s">
        <v>1258</v>
      </c>
      <c r="H16" s="1631">
        <v>10000</v>
      </c>
      <c r="I16" s="1631"/>
      <c r="J16" s="761" t="s">
        <v>131</v>
      </c>
      <c r="K16" s="761"/>
      <c r="L16" s="761"/>
    </row>
    <row r="17" spans="1:12" ht="21.95" customHeight="1">
      <c r="A17" s="1656" t="s">
        <v>1261</v>
      </c>
      <c r="B17" s="1656"/>
      <c r="C17" s="1656"/>
      <c r="D17" s="1656"/>
      <c r="E17" s="1656"/>
      <c r="F17" s="1656"/>
      <c r="G17" s="1656"/>
      <c r="H17" s="1656"/>
      <c r="I17" s="1656"/>
      <c r="J17" s="1656"/>
      <c r="K17" s="1656"/>
      <c r="L17" s="1656"/>
    </row>
    <row r="18" spans="1:12" ht="21.95" customHeight="1">
      <c r="A18" s="764"/>
      <c r="B18" s="764"/>
      <c r="C18" s="764"/>
      <c r="D18" s="764"/>
      <c r="E18" s="764"/>
      <c r="F18" s="764"/>
      <c r="G18" s="764"/>
      <c r="H18" s="764"/>
      <c r="I18" s="764"/>
      <c r="J18" s="764"/>
      <c r="K18" s="764"/>
      <c r="L18" s="764"/>
    </row>
    <row r="19" spans="1:12" ht="21.95" customHeight="1">
      <c r="A19" s="764"/>
      <c r="B19" s="764"/>
      <c r="C19" s="764"/>
      <c r="D19" s="764"/>
      <c r="E19" s="764"/>
      <c r="F19" s="764"/>
      <c r="G19" s="764"/>
      <c r="H19" s="764"/>
      <c r="I19" s="764"/>
      <c r="J19" s="764"/>
      <c r="K19" s="764"/>
      <c r="L19" s="764"/>
    </row>
    <row r="20" spans="1:12" ht="21.95" customHeight="1">
      <c r="A20" s="764"/>
      <c r="B20" s="764"/>
      <c r="C20" s="764"/>
      <c r="D20" s="764"/>
      <c r="E20" s="764"/>
      <c r="F20" s="764"/>
      <c r="G20" s="764"/>
      <c r="H20" s="764"/>
      <c r="I20" s="764"/>
      <c r="J20" s="764"/>
      <c r="K20" s="764"/>
      <c r="L20" s="764"/>
    </row>
    <row r="21" spans="1:12" ht="21.95" customHeight="1">
      <c r="A21" s="764"/>
      <c r="B21" s="764"/>
      <c r="C21" s="764"/>
      <c r="D21" s="764"/>
      <c r="E21" s="764"/>
      <c r="F21" s="764"/>
      <c r="G21" s="764"/>
      <c r="H21" s="764"/>
      <c r="I21" s="764"/>
      <c r="J21" s="764"/>
      <c r="K21" s="764"/>
      <c r="L21" s="764"/>
    </row>
    <row r="22" spans="1:12" ht="21.95" customHeight="1">
      <c r="A22" s="764"/>
      <c r="B22" s="764"/>
      <c r="C22" s="764"/>
      <c r="D22" s="764"/>
      <c r="E22" s="764"/>
      <c r="F22" s="764"/>
      <c r="G22" s="764"/>
      <c r="H22" s="764"/>
      <c r="I22" s="764"/>
      <c r="J22" s="764"/>
      <c r="K22" s="764"/>
      <c r="L22" s="764"/>
    </row>
    <row r="23" spans="1:12" ht="21.95" customHeight="1">
      <c r="A23" s="764"/>
      <c r="B23" s="764"/>
      <c r="C23" s="764"/>
      <c r="D23" s="764"/>
      <c r="E23" s="764"/>
      <c r="F23" s="764"/>
      <c r="G23" s="764"/>
      <c r="H23" s="764"/>
      <c r="I23" s="764"/>
      <c r="J23" s="764"/>
      <c r="K23" s="764"/>
      <c r="L23" s="764"/>
    </row>
    <row r="24" spans="1:12" ht="21.95" customHeight="1">
      <c r="A24" s="764"/>
      <c r="B24" s="764"/>
      <c r="C24" s="764"/>
      <c r="D24" s="764"/>
      <c r="E24" s="764"/>
      <c r="F24" s="764"/>
      <c r="G24" s="764"/>
      <c r="H24" s="764"/>
      <c r="I24" s="764"/>
      <c r="J24" s="764"/>
      <c r="K24" s="764"/>
      <c r="L24" s="764"/>
    </row>
    <row r="25" spans="1:12" ht="21.95" customHeight="1">
      <c r="A25" s="764"/>
      <c r="B25" s="764"/>
      <c r="C25" s="764"/>
      <c r="D25" s="764"/>
      <c r="E25" s="764"/>
      <c r="F25" s="764"/>
      <c r="G25" s="764"/>
      <c r="H25" s="764"/>
      <c r="I25" s="764"/>
      <c r="J25" s="764"/>
      <c r="K25" s="764"/>
      <c r="L25" s="764"/>
    </row>
    <row r="26" spans="1:12" s="765" customFormat="1" ht="20.100000000000001" customHeight="1">
      <c r="A26" s="1637" t="s">
        <v>1277</v>
      </c>
      <c r="B26" s="1637"/>
      <c r="C26" s="1637"/>
      <c r="D26" s="1637"/>
      <c r="E26" s="1637"/>
      <c r="F26" s="1637"/>
      <c r="G26" s="1637"/>
      <c r="H26" s="1637"/>
      <c r="I26" s="1637"/>
      <c r="J26" s="1637"/>
      <c r="K26" s="1637"/>
      <c r="L26" s="1637"/>
    </row>
    <row r="27" spans="1:12" s="765" customFormat="1" ht="20.100000000000001" customHeight="1">
      <c r="A27" s="1640"/>
      <c r="B27" s="1640"/>
      <c r="C27" s="1640"/>
      <c r="D27" s="1640"/>
      <c r="E27" s="1640"/>
      <c r="F27" s="1640"/>
      <c r="G27" s="1640"/>
      <c r="H27" s="1640"/>
      <c r="I27" s="1640"/>
      <c r="J27" s="1640"/>
      <c r="K27" s="1640"/>
      <c r="L27" s="1640"/>
    </row>
    <row r="28" spans="1:12" s="765" customFormat="1" ht="20.100000000000001" customHeight="1">
      <c r="A28" s="1641" t="s">
        <v>1262</v>
      </c>
      <c r="B28" s="1644" t="s">
        <v>1263</v>
      </c>
      <c r="C28" s="1644" t="s">
        <v>1264</v>
      </c>
      <c r="D28" s="1644" t="s">
        <v>1265</v>
      </c>
      <c r="E28" s="1647" t="s">
        <v>1266</v>
      </c>
      <c r="F28" s="1648"/>
      <c r="G28" s="1648"/>
      <c r="H28" s="1648"/>
      <c r="I28" s="1649"/>
      <c r="J28" s="766" t="s">
        <v>1267</v>
      </c>
      <c r="K28" s="1641" t="s">
        <v>1268</v>
      </c>
      <c r="L28" s="1641" t="s">
        <v>1269</v>
      </c>
    </row>
    <row r="29" spans="1:12" s="765" customFormat="1" ht="20.100000000000001" customHeight="1">
      <c r="A29" s="1642"/>
      <c r="B29" s="1645"/>
      <c r="C29" s="1645"/>
      <c r="D29" s="1645"/>
      <c r="E29" s="1644" t="s">
        <v>1270</v>
      </c>
      <c r="F29" s="1650" t="s">
        <v>1271</v>
      </c>
      <c r="G29" s="1651"/>
      <c r="H29" s="1652"/>
      <c r="I29" s="1644" t="s">
        <v>1272</v>
      </c>
      <c r="J29" s="1644" t="s">
        <v>1273</v>
      </c>
      <c r="K29" s="1642"/>
      <c r="L29" s="1642"/>
    </row>
    <row r="30" spans="1:12" s="765" customFormat="1" ht="20.100000000000001" customHeight="1">
      <c r="A30" s="1643"/>
      <c r="B30" s="1646"/>
      <c r="C30" s="1646"/>
      <c r="D30" s="1646"/>
      <c r="E30" s="1646"/>
      <c r="F30" s="1653"/>
      <c r="G30" s="1654"/>
      <c r="H30" s="1655"/>
      <c r="I30" s="1646"/>
      <c r="J30" s="1646"/>
      <c r="K30" s="1643"/>
      <c r="L30" s="1643"/>
    </row>
    <row r="31" spans="1:12" s="765" customFormat="1" ht="20.100000000000001" customHeight="1">
      <c r="A31" s="767">
        <v>1</v>
      </c>
      <c r="B31" s="768"/>
      <c r="C31" s="768" t="s">
        <v>1609</v>
      </c>
      <c r="D31" s="769">
        <v>5</v>
      </c>
      <c r="E31" s="770">
        <f>$H$7</f>
        <v>262000</v>
      </c>
      <c r="F31" s="769">
        <f t="shared" ref="F31" si="0">IF(D31&gt;=5,D31-5,"0")</f>
        <v>0</v>
      </c>
      <c r="G31" s="770">
        <f>$H$8</f>
        <v>104000</v>
      </c>
      <c r="H31" s="771">
        <f t="shared" ref="H31" si="1">F31*G31</f>
        <v>0</v>
      </c>
      <c r="I31" s="771">
        <f>E31+H31</f>
        <v>262000</v>
      </c>
      <c r="J31" s="770" t="str">
        <f t="shared" ref="J31" si="2">IF(B31&lt;200,"0",IF(B31&gt;=200,(B31-200)*$H$14))</f>
        <v>0</v>
      </c>
      <c r="K31" s="771">
        <f t="shared" ref="K31" si="3">I31+J31</f>
        <v>262000</v>
      </c>
      <c r="L31" s="767"/>
    </row>
    <row r="32" spans="1:12" s="765" customFormat="1" ht="20.100000000000001" customHeight="1">
      <c r="A32" s="767"/>
      <c r="B32" s="768"/>
      <c r="C32" s="768"/>
      <c r="D32" s="769"/>
      <c r="E32" s="770"/>
      <c r="F32" s="769"/>
      <c r="G32" s="770"/>
      <c r="H32" s="771"/>
      <c r="I32" s="771"/>
      <c r="J32" s="770"/>
      <c r="K32" s="771"/>
      <c r="L32" s="767"/>
    </row>
    <row r="33" spans="1:12" s="765" customFormat="1" ht="20.100000000000001" customHeight="1">
      <c r="A33" s="767"/>
      <c r="B33" s="768"/>
      <c r="C33" s="768"/>
      <c r="D33" s="769"/>
      <c r="E33" s="770"/>
      <c r="F33" s="769"/>
      <c r="G33" s="770"/>
      <c r="H33" s="771"/>
      <c r="I33" s="771"/>
      <c r="J33" s="770"/>
      <c r="K33" s="771"/>
      <c r="L33" s="767"/>
    </row>
    <row r="34" spans="1:12" s="765" customFormat="1" ht="20.100000000000001" customHeight="1">
      <c r="A34" s="767" t="s">
        <v>1274</v>
      </c>
      <c r="B34" s="772"/>
      <c r="C34" s="772"/>
      <c r="D34" s="772"/>
      <c r="E34" s="772"/>
      <c r="F34" s="772"/>
      <c r="G34" s="772"/>
      <c r="H34" s="772"/>
      <c r="I34" s="772"/>
      <c r="J34" s="773"/>
      <c r="K34" s="771">
        <f>SUM(K31:K33)</f>
        <v>262000</v>
      </c>
      <c r="L34" s="767"/>
    </row>
    <row r="35" spans="1:12" s="765" customFormat="1" ht="20.100000000000001" customHeight="1">
      <c r="A35" s="767" t="s">
        <v>1275</v>
      </c>
      <c r="B35" s="772"/>
      <c r="C35" s="772"/>
      <c r="D35" s="772"/>
      <c r="E35" s="772"/>
      <c r="F35" s="772"/>
      <c r="G35" s="772"/>
      <c r="H35" s="772"/>
      <c r="I35" s="772"/>
      <c r="J35" s="773"/>
      <c r="K35" s="771">
        <f>K34*0.1</f>
        <v>26200</v>
      </c>
      <c r="L35" s="767"/>
    </row>
    <row r="36" spans="1:12" s="765" customFormat="1" ht="20.100000000000001" customHeight="1">
      <c r="A36" s="767"/>
      <c r="B36" s="772"/>
      <c r="C36" s="772"/>
      <c r="D36" s="772"/>
      <c r="E36" s="772"/>
      <c r="F36" s="772"/>
      <c r="G36" s="772"/>
      <c r="H36" s="772"/>
      <c r="I36" s="772"/>
      <c r="J36" s="773"/>
      <c r="K36" s="771"/>
      <c r="L36" s="767"/>
    </row>
    <row r="37" spans="1:12" s="765" customFormat="1" ht="20.100000000000001" customHeight="1">
      <c r="A37" s="774" t="s">
        <v>1276</v>
      </c>
      <c r="B37" s="772"/>
      <c r="C37" s="772"/>
      <c r="D37" s="772"/>
      <c r="E37" s="772"/>
      <c r="F37" s="772"/>
      <c r="G37" s="772"/>
      <c r="H37" s="772"/>
      <c r="I37" s="772"/>
      <c r="J37" s="773"/>
      <c r="K37" s="771">
        <f>SUM(K34:K36)</f>
        <v>288200</v>
      </c>
      <c r="L37" s="774"/>
    </row>
    <row r="38" spans="1:12" s="765" customFormat="1" ht="20.100000000000001" customHeight="1">
      <c r="A38" s="774"/>
      <c r="B38" s="772"/>
      <c r="C38" s="772"/>
      <c r="D38" s="772"/>
      <c r="E38" s="772"/>
      <c r="F38" s="772"/>
      <c r="G38" s="772"/>
      <c r="H38" s="772"/>
      <c r="I38" s="772"/>
      <c r="J38" s="773"/>
      <c r="K38" s="771"/>
      <c r="L38" s="774"/>
    </row>
    <row r="39" spans="1:12" s="765" customFormat="1" ht="20.100000000000001" customHeight="1">
      <c r="A39" s="774"/>
      <c r="B39" s="772"/>
      <c r="C39" s="772"/>
      <c r="D39" s="772"/>
      <c r="E39" s="772"/>
      <c r="F39" s="772"/>
      <c r="G39" s="772"/>
      <c r="H39" s="772"/>
      <c r="I39" s="772"/>
      <c r="J39" s="773"/>
      <c r="K39" s="771"/>
      <c r="L39" s="774"/>
    </row>
    <row r="40" spans="1:12" s="765" customFormat="1" ht="20.100000000000001" customHeight="1">
      <c r="A40" s="774"/>
      <c r="B40" s="772"/>
      <c r="C40" s="772"/>
      <c r="D40" s="772"/>
      <c r="E40" s="772"/>
      <c r="F40" s="772"/>
      <c r="G40" s="772"/>
      <c r="H40" s="772"/>
      <c r="I40" s="772"/>
      <c r="J40" s="773"/>
      <c r="K40" s="771"/>
      <c r="L40" s="774"/>
    </row>
    <row r="41" spans="1:12" s="765" customFormat="1" ht="20.100000000000001" customHeight="1">
      <c r="A41" s="774"/>
      <c r="B41" s="772"/>
      <c r="C41" s="772"/>
      <c r="D41" s="772"/>
      <c r="E41" s="772"/>
      <c r="F41" s="772"/>
      <c r="G41" s="772"/>
      <c r="H41" s="772"/>
      <c r="I41" s="772"/>
      <c r="J41" s="773"/>
      <c r="K41" s="771"/>
      <c r="L41" s="774"/>
    </row>
    <row r="42" spans="1:12" s="765" customFormat="1" ht="20.100000000000001" customHeight="1">
      <c r="A42" s="774"/>
      <c r="B42" s="772"/>
      <c r="C42" s="772"/>
      <c r="D42" s="772"/>
      <c r="E42" s="772"/>
      <c r="F42" s="772"/>
      <c r="G42" s="772"/>
      <c r="H42" s="772"/>
      <c r="I42" s="772"/>
      <c r="J42" s="773"/>
      <c r="K42" s="771"/>
      <c r="L42" s="774"/>
    </row>
    <row r="43" spans="1:12" s="765" customFormat="1" ht="20.100000000000001" customHeight="1">
      <c r="A43" s="774"/>
      <c r="B43" s="772"/>
      <c r="C43" s="772"/>
      <c r="D43" s="772"/>
      <c r="E43" s="772"/>
      <c r="F43" s="772"/>
      <c r="G43" s="772"/>
      <c r="H43" s="772"/>
      <c r="I43" s="772"/>
      <c r="J43" s="773"/>
      <c r="K43" s="771"/>
      <c r="L43" s="774"/>
    </row>
    <row r="44" spans="1:12" s="765" customFormat="1" ht="20.100000000000001" customHeight="1">
      <c r="A44" s="774"/>
      <c r="B44" s="772"/>
      <c r="C44" s="772"/>
      <c r="D44" s="772"/>
      <c r="E44" s="772"/>
      <c r="F44" s="772"/>
      <c r="G44" s="772"/>
      <c r="H44" s="772"/>
      <c r="I44" s="772"/>
      <c r="J44" s="773"/>
      <c r="K44" s="771"/>
      <c r="L44" s="774"/>
    </row>
    <row r="45" spans="1:12" s="765" customFormat="1" ht="20.100000000000001" customHeight="1">
      <c r="A45" s="774"/>
      <c r="B45" s="772"/>
      <c r="C45" s="772"/>
      <c r="D45" s="772"/>
      <c r="E45" s="772"/>
      <c r="F45" s="772"/>
      <c r="G45" s="772"/>
      <c r="H45" s="772"/>
      <c r="I45" s="772"/>
      <c r="J45" s="773"/>
      <c r="K45" s="771"/>
      <c r="L45" s="774"/>
    </row>
    <row r="46" spans="1:12" s="765" customFormat="1" ht="20.100000000000001" customHeight="1">
      <c r="A46" s="774"/>
      <c r="B46" s="772"/>
      <c r="C46" s="772"/>
      <c r="D46" s="772"/>
      <c r="E46" s="772"/>
      <c r="F46" s="772"/>
      <c r="G46" s="772"/>
      <c r="H46" s="772"/>
      <c r="I46" s="772"/>
      <c r="J46" s="773"/>
      <c r="K46" s="771"/>
      <c r="L46" s="774"/>
    </row>
    <row r="47" spans="1:12" s="765" customFormat="1" ht="20.100000000000001" customHeight="1">
      <c r="A47" s="774"/>
      <c r="B47" s="772"/>
      <c r="C47" s="772"/>
      <c r="D47" s="772"/>
      <c r="E47" s="772"/>
      <c r="F47" s="772"/>
      <c r="G47" s="772"/>
      <c r="H47" s="772"/>
      <c r="I47" s="772"/>
      <c r="J47" s="773"/>
      <c r="K47" s="771"/>
      <c r="L47" s="774"/>
    </row>
    <row r="48" spans="1:12" s="765" customFormat="1" ht="20.100000000000001" customHeight="1">
      <c r="A48" s="774"/>
      <c r="B48" s="772"/>
      <c r="C48" s="772"/>
      <c r="D48" s="772"/>
      <c r="E48" s="772"/>
      <c r="F48" s="772"/>
      <c r="G48" s="772"/>
      <c r="H48" s="772"/>
      <c r="I48" s="772"/>
      <c r="J48" s="773"/>
      <c r="K48" s="771"/>
      <c r="L48" s="774"/>
    </row>
    <row r="49" spans="1:12" ht="21.95" hidden="1" customHeight="1">
      <c r="A49" s="764"/>
      <c r="B49" s="764"/>
      <c r="C49" s="764"/>
      <c r="D49" s="764"/>
      <c r="E49" s="764"/>
      <c r="F49" s="764"/>
      <c r="G49" s="764"/>
      <c r="H49" s="764"/>
      <c r="I49" s="764"/>
      <c r="J49" s="764"/>
      <c r="K49" s="764"/>
      <c r="L49" s="764"/>
    </row>
    <row r="50" spans="1:12" ht="21.95" hidden="1" customHeight="1">
      <c r="A50" s="764"/>
      <c r="B50" s="764"/>
      <c r="C50" s="764"/>
      <c r="D50" s="764"/>
      <c r="E50" s="764"/>
      <c r="F50" s="764"/>
      <c r="G50" s="764"/>
      <c r="H50" s="764"/>
      <c r="I50" s="764"/>
      <c r="J50" s="764"/>
      <c r="K50" s="764"/>
      <c r="L50" s="764"/>
    </row>
    <row r="51" spans="1:12" ht="21.95" hidden="1" customHeight="1">
      <c r="A51" s="24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 ht="21.95" hidden="1" customHeight="1">
      <c r="A52" s="24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</row>
    <row r="53" spans="1:12" ht="21.95" hidden="1" customHeight="1">
      <c r="A53" s="24"/>
      <c r="B53" s="25"/>
      <c r="C53" s="25"/>
      <c r="D53" s="25"/>
      <c r="E53" s="21"/>
      <c r="F53" s="25"/>
      <c r="G53" s="25"/>
      <c r="H53" s="25"/>
      <c r="I53" s="25"/>
      <c r="J53" s="25"/>
      <c r="K53" s="25"/>
      <c r="L53" s="25"/>
    </row>
    <row r="54" spans="1:12" ht="9.75" hidden="1" customHeight="1">
      <c r="A54" s="24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  <row r="55" spans="1:12" ht="21.95" hidden="1" customHeight="1">
      <c r="A55" s="24"/>
      <c r="B55" s="25"/>
      <c r="C55" s="174"/>
      <c r="D55" s="25"/>
      <c r="E55" s="25"/>
      <c r="F55" s="1634"/>
      <c r="G55" s="1634"/>
      <c r="H55" s="25"/>
      <c r="I55" s="25"/>
      <c r="J55" s="25"/>
      <c r="K55" s="25"/>
      <c r="L55" s="25"/>
    </row>
    <row r="56" spans="1:12" ht="9.75" hidden="1" customHeight="1">
      <c r="A56" s="24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</row>
    <row r="57" spans="1:12" ht="21.95" hidden="1" customHeight="1">
      <c r="A57" s="24"/>
      <c r="B57" s="25"/>
      <c r="C57" s="174"/>
      <c r="D57" s="25"/>
      <c r="E57" s="25"/>
      <c r="F57" s="1634"/>
      <c r="G57" s="1634"/>
      <c r="H57" s="25"/>
      <c r="I57" s="25"/>
      <c r="J57" s="25"/>
      <c r="K57" s="25"/>
      <c r="L57" s="25"/>
    </row>
    <row r="58" spans="1:12" ht="9.75" hidden="1" customHeight="1">
      <c r="A58" s="24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</row>
    <row r="59" spans="1:12" ht="21.95" hidden="1" customHeight="1">
      <c r="A59" s="24"/>
      <c r="B59" s="25"/>
      <c r="C59" s="174"/>
      <c r="D59" s="25"/>
      <c r="E59" s="25"/>
      <c r="F59" s="25"/>
      <c r="G59" s="25"/>
      <c r="H59" s="25"/>
      <c r="I59" s="25"/>
      <c r="J59" s="25"/>
      <c r="K59" s="25"/>
      <c r="L59" s="742"/>
    </row>
    <row r="60" spans="1:12" ht="21.95" hidden="1" customHeight="1">
      <c r="A60" s="24"/>
      <c r="B60" s="25"/>
      <c r="C60" s="174"/>
      <c r="D60" s="25"/>
      <c r="E60" s="25"/>
      <c r="F60" s="25"/>
      <c r="G60" s="25"/>
      <c r="H60" s="1634"/>
      <c r="I60" s="1634"/>
      <c r="J60" s="25"/>
      <c r="K60" s="25"/>
      <c r="L60" s="25"/>
    </row>
    <row r="61" spans="1:12" ht="21.95" hidden="1" customHeight="1">
      <c r="A61" s="2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</row>
    <row r="62" spans="1:12" ht="9.75" hidden="1" customHeight="1">
      <c r="A62" s="24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ht="21.95" hidden="1" customHeight="1">
      <c r="A63" s="24"/>
      <c r="B63" s="25"/>
      <c r="C63" s="25"/>
      <c r="D63" s="25"/>
      <c r="E63" s="25"/>
      <c r="F63" s="25"/>
      <c r="G63" s="25"/>
      <c r="H63" s="1635"/>
      <c r="I63" s="1635"/>
      <c r="J63" s="26"/>
      <c r="K63" s="25"/>
      <c r="L63" s="25"/>
    </row>
    <row r="64" spans="1:12" ht="21.95" hidden="1" customHeight="1">
      <c r="A64" s="24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ht="21.95" hidden="1" customHeight="1">
      <c r="A65" s="24"/>
      <c r="B65" s="25"/>
      <c r="C65" s="25"/>
      <c r="D65" s="25"/>
      <c r="E65" s="1633"/>
      <c r="F65" s="1627"/>
      <c r="G65" s="25"/>
      <c r="H65" s="25"/>
      <c r="I65" s="174"/>
      <c r="J65" s="25"/>
      <c r="K65" s="25"/>
      <c r="L65" s="25"/>
    </row>
    <row r="66" spans="1:12" ht="21.95" hidden="1" customHeight="1">
      <c r="A66" s="24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</row>
    <row r="67" spans="1:12" ht="21.95" hidden="1" customHeight="1">
      <c r="A67" s="24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</row>
    <row r="68" spans="1:12" ht="21.95" hidden="1" customHeight="1">
      <c r="A68" s="2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</row>
    <row r="69" spans="1:12" ht="21.95" hidden="1" customHeight="1">
      <c r="A69" s="24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</row>
    <row r="70" spans="1:12" ht="21.95" hidden="1" customHeight="1">
      <c r="A70" s="2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</row>
    <row r="71" spans="1:12" ht="21.95" hidden="1" customHeight="1">
      <c r="A71" s="172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</row>
    <row r="72" spans="1:12" ht="21.95" hidden="1" customHeight="1">
      <c r="A72" s="2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</row>
    <row r="73" spans="1:12" ht="21.95" hidden="1" customHeight="1">
      <c r="A73" s="2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</row>
    <row r="74" spans="1:12" ht="21.95" hidden="1" customHeight="1">
      <c r="A74" s="2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</row>
    <row r="75" spans="1:12" ht="21.95" hidden="1" customHeight="1">
      <c r="A75" s="24"/>
      <c r="B75" s="25"/>
      <c r="C75" s="25"/>
      <c r="D75" s="25"/>
      <c r="E75" s="21"/>
      <c r="F75" s="25"/>
      <c r="G75" s="25"/>
      <c r="H75" s="25"/>
      <c r="I75" s="25"/>
      <c r="J75" s="25"/>
      <c r="K75" s="25"/>
      <c r="L75" s="25"/>
    </row>
    <row r="76" spans="1:12" ht="9.75" hidden="1" customHeight="1">
      <c r="A76" s="24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</row>
    <row r="77" spans="1:12" ht="21.95" hidden="1" customHeight="1">
      <c r="A77" s="24"/>
      <c r="B77" s="25"/>
      <c r="C77" s="174"/>
      <c r="D77" s="25"/>
      <c r="E77" s="25"/>
      <c r="F77" s="1634"/>
      <c r="G77" s="1634"/>
      <c r="H77" s="25"/>
      <c r="I77" s="25"/>
      <c r="J77" s="25"/>
      <c r="K77" s="25"/>
      <c r="L77" s="25"/>
    </row>
    <row r="78" spans="1:12" ht="9.75" hidden="1" customHeight="1">
      <c r="A78" s="24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</row>
    <row r="79" spans="1:12" ht="21.95" hidden="1" customHeight="1">
      <c r="A79" s="24"/>
      <c r="B79" s="25"/>
      <c r="C79" s="174"/>
      <c r="D79" s="25"/>
      <c r="E79" s="25"/>
      <c r="F79" s="1634"/>
      <c r="G79" s="1634"/>
      <c r="H79" s="25"/>
      <c r="I79" s="25"/>
      <c r="J79" s="25"/>
      <c r="K79" s="25"/>
      <c r="L79" s="25"/>
    </row>
    <row r="80" spans="1:12" ht="9.75" hidden="1" customHeight="1">
      <c r="A80" s="24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</row>
    <row r="81" spans="1:12" ht="21.95" hidden="1" customHeight="1">
      <c r="A81" s="24"/>
      <c r="B81" s="25"/>
      <c r="C81" s="174"/>
      <c r="D81" s="25"/>
      <c r="E81" s="25"/>
      <c r="F81" s="25"/>
      <c r="G81" s="25"/>
      <c r="H81" s="25"/>
      <c r="I81" s="25"/>
      <c r="J81" s="25"/>
      <c r="K81" s="25"/>
      <c r="L81" s="742"/>
    </row>
    <row r="82" spans="1:12" ht="21.95" hidden="1" customHeight="1">
      <c r="A82" s="24"/>
      <c r="B82" s="25"/>
      <c r="C82" s="174"/>
      <c r="D82" s="25"/>
      <c r="E82" s="25"/>
      <c r="F82" s="25"/>
      <c r="G82" s="25"/>
      <c r="H82" s="1634"/>
      <c r="I82" s="1634"/>
      <c r="J82" s="25"/>
      <c r="K82" s="25"/>
      <c r="L82" s="25"/>
    </row>
    <row r="83" spans="1:12" ht="21.95" hidden="1" customHeight="1">
      <c r="A83" s="24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</row>
    <row r="84" spans="1:12" ht="9.75" hidden="1" customHeight="1">
      <c r="A84" s="24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</row>
    <row r="85" spans="1:12" ht="21.95" hidden="1" customHeight="1">
      <c r="A85" s="24"/>
      <c r="B85" s="25"/>
      <c r="C85" s="25"/>
      <c r="D85" s="25"/>
      <c r="E85" s="25"/>
      <c r="F85" s="25"/>
      <c r="G85" s="25"/>
      <c r="H85" s="1635"/>
      <c r="I85" s="1635"/>
      <c r="J85" s="26"/>
      <c r="K85" s="25"/>
      <c r="L85" s="25"/>
    </row>
    <row r="86" spans="1:12" ht="21.95" hidden="1" customHeight="1">
      <c r="A86" s="24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</row>
    <row r="87" spans="1:12" ht="21.95" hidden="1" customHeight="1">
      <c r="A87" s="24"/>
      <c r="B87" s="25"/>
      <c r="C87" s="25"/>
      <c r="D87" s="25"/>
      <c r="E87" s="1633"/>
      <c r="F87" s="1627"/>
      <c r="G87" s="25"/>
      <c r="H87" s="25"/>
      <c r="I87" s="174"/>
      <c r="J87" s="25"/>
      <c r="K87" s="25"/>
      <c r="L87" s="25"/>
    </row>
    <row r="88" spans="1:12" ht="21.95" hidden="1" customHeight="1">
      <c r="A88" s="24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</row>
    <row r="89" spans="1:12" ht="21.95" hidden="1" customHeight="1">
      <c r="A89" s="24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</row>
    <row r="90" spans="1:12" ht="21.95" hidden="1" customHeight="1">
      <c r="A90" s="24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</row>
    <row r="91" spans="1:12" ht="21.95" hidden="1" customHeight="1">
      <c r="A91" s="24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</row>
    <row r="92" spans="1:12" ht="21.95" hidden="1" customHeight="1">
      <c r="A92" s="2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</row>
    <row r="93" spans="1:12" ht="21.95" hidden="1" customHeight="1">
      <c r="A93" s="172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</row>
    <row r="94" spans="1:12" ht="21.95" hidden="1" customHeight="1">
      <c r="A94" s="22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</row>
    <row r="95" spans="1:12" ht="21.95" hidden="1" customHeight="1">
      <c r="A95" s="24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</row>
    <row r="96" spans="1:12" ht="21.95" hidden="1" customHeight="1">
      <c r="A96" s="24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</row>
    <row r="97" spans="1:12" ht="21.95" hidden="1" customHeight="1">
      <c r="A97" s="24"/>
      <c r="B97" s="25"/>
      <c r="C97" s="25"/>
      <c r="D97" s="25"/>
      <c r="E97" s="21"/>
      <c r="F97" s="25"/>
      <c r="G97" s="25"/>
      <c r="H97" s="25"/>
      <c r="I97" s="25"/>
      <c r="J97" s="25"/>
      <c r="K97" s="25"/>
      <c r="L97" s="25"/>
    </row>
    <row r="98" spans="1:12" ht="9.75" hidden="1" customHeight="1">
      <c r="A98" s="24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</row>
    <row r="99" spans="1:12" ht="21.95" hidden="1" customHeight="1">
      <c r="A99" s="24"/>
      <c r="B99" s="25"/>
      <c r="C99" s="174"/>
      <c r="D99" s="25"/>
      <c r="E99" s="25"/>
      <c r="F99" s="1634"/>
      <c r="G99" s="1634"/>
      <c r="H99" s="25"/>
      <c r="I99" s="25"/>
      <c r="J99" s="25"/>
      <c r="K99" s="25"/>
      <c r="L99" s="25"/>
    </row>
    <row r="100" spans="1:12" ht="9.75" hidden="1" customHeight="1">
      <c r="A100" s="24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</row>
    <row r="101" spans="1:12" ht="21.95" hidden="1" customHeight="1">
      <c r="A101" s="24"/>
      <c r="B101" s="25"/>
      <c r="C101" s="174"/>
      <c r="D101" s="25"/>
      <c r="E101" s="25"/>
      <c r="F101" s="1634"/>
      <c r="G101" s="1634"/>
      <c r="H101" s="25"/>
      <c r="I101" s="25"/>
      <c r="J101" s="25"/>
      <c r="K101" s="25"/>
      <c r="L101" s="25"/>
    </row>
    <row r="102" spans="1:12" ht="9.75" hidden="1" customHeight="1">
      <c r="A102" s="24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</row>
    <row r="103" spans="1:12" ht="21.95" hidden="1" customHeight="1">
      <c r="A103" s="24"/>
      <c r="B103" s="25"/>
      <c r="C103" s="174"/>
      <c r="D103" s="25"/>
      <c r="E103" s="25"/>
      <c r="F103" s="25"/>
      <c r="G103" s="25"/>
      <c r="H103" s="25"/>
      <c r="I103" s="25"/>
      <c r="J103" s="25"/>
      <c r="K103" s="25"/>
      <c r="L103" s="742"/>
    </row>
    <row r="104" spans="1:12" ht="21.95" hidden="1" customHeight="1">
      <c r="A104" s="24"/>
      <c r="B104" s="25"/>
      <c r="C104" s="174"/>
      <c r="D104" s="25"/>
      <c r="E104" s="25"/>
      <c r="F104" s="25"/>
      <c r="G104" s="25"/>
      <c r="H104" s="1634"/>
      <c r="I104" s="1634"/>
      <c r="J104" s="25"/>
      <c r="K104" s="25"/>
      <c r="L104" s="25"/>
    </row>
    <row r="105" spans="1:12" ht="21.95" hidden="1" customHeight="1">
      <c r="A105" s="24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</row>
    <row r="106" spans="1:12" ht="9.75" hidden="1" customHeight="1">
      <c r="A106" s="24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</row>
    <row r="107" spans="1:12" ht="21.95" hidden="1" customHeight="1">
      <c r="A107" s="24"/>
      <c r="B107" s="25"/>
      <c r="C107" s="25"/>
      <c r="D107" s="25"/>
      <c r="E107" s="25"/>
      <c r="F107" s="25"/>
      <c r="G107" s="25"/>
      <c r="H107" s="1635"/>
      <c r="I107" s="1635"/>
      <c r="J107" s="26"/>
      <c r="K107" s="25"/>
      <c r="L107" s="25"/>
    </row>
    <row r="108" spans="1:12" ht="21.95" hidden="1" customHeight="1">
      <c r="A108" s="24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</row>
    <row r="109" spans="1:12" ht="21.95" hidden="1" customHeight="1">
      <c r="A109" s="24"/>
      <c r="B109" s="25"/>
      <c r="C109" s="25"/>
      <c r="D109" s="25"/>
      <c r="E109" s="1633"/>
      <c r="F109" s="1627"/>
      <c r="G109" s="25"/>
      <c r="H109" s="25"/>
      <c r="I109" s="174"/>
      <c r="J109" s="25"/>
      <c r="K109" s="25"/>
      <c r="L109" s="25"/>
    </row>
    <row r="110" spans="1:12" ht="21.95" hidden="1" customHeight="1">
      <c r="A110" s="24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</row>
    <row r="111" spans="1:12" ht="21.95" hidden="1" customHeight="1">
      <c r="A111" s="24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</row>
    <row r="112" spans="1:12" ht="21.95" hidden="1" customHeight="1">
      <c r="A112" s="24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</row>
    <row r="113" spans="1:12" ht="21.95" hidden="1" customHeight="1">
      <c r="A113" s="24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</row>
    <row r="114" spans="1:12" ht="21.95" hidden="1" customHeight="1">
      <c r="A114" s="2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</row>
    <row r="115" spans="1:12" ht="21.95" hidden="1" customHeight="1">
      <c r="A115" s="172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</row>
    <row r="116" spans="1:12" ht="21.95" hidden="1" customHeight="1">
      <c r="A116" s="22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</row>
    <row r="117" spans="1:12" ht="21.95" hidden="1" customHeight="1">
      <c r="A117" s="24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</row>
    <row r="118" spans="1:12" ht="21.95" hidden="1" customHeight="1">
      <c r="A118" s="24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</row>
    <row r="119" spans="1:12" ht="21.95" hidden="1" customHeight="1">
      <c r="A119" s="24"/>
      <c r="B119" s="25"/>
      <c r="C119" s="25"/>
      <c r="D119" s="25"/>
      <c r="E119" s="21"/>
      <c r="F119" s="25"/>
      <c r="G119" s="25"/>
      <c r="H119" s="25"/>
      <c r="I119" s="25"/>
      <c r="J119" s="25"/>
      <c r="K119" s="25"/>
      <c r="L119" s="25"/>
    </row>
    <row r="120" spans="1:12" ht="9.75" hidden="1" customHeight="1">
      <c r="A120" s="24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</row>
    <row r="121" spans="1:12" ht="21.95" hidden="1" customHeight="1">
      <c r="A121" s="24"/>
      <c r="B121" s="25"/>
      <c r="C121" s="174"/>
      <c r="D121" s="25"/>
      <c r="E121" s="25"/>
      <c r="F121" s="1634"/>
      <c r="G121" s="1634"/>
      <c r="H121" s="25"/>
      <c r="I121" s="25"/>
      <c r="J121" s="25"/>
      <c r="K121" s="25"/>
      <c r="L121" s="25"/>
    </row>
    <row r="122" spans="1:12" ht="9.75" hidden="1" customHeight="1">
      <c r="A122" s="24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</row>
    <row r="123" spans="1:12" ht="21.95" hidden="1" customHeight="1">
      <c r="A123" s="24"/>
      <c r="B123" s="25"/>
      <c r="C123" s="174"/>
      <c r="D123" s="25"/>
      <c r="E123" s="25"/>
      <c r="F123" s="1634"/>
      <c r="G123" s="1634"/>
      <c r="H123" s="25"/>
      <c r="I123" s="25"/>
      <c r="J123" s="25"/>
      <c r="K123" s="25"/>
      <c r="L123" s="25"/>
    </row>
    <row r="124" spans="1:12" ht="9.75" hidden="1" customHeight="1">
      <c r="A124" s="24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</row>
    <row r="125" spans="1:12" ht="21.95" hidden="1" customHeight="1">
      <c r="A125" s="24"/>
      <c r="B125" s="25"/>
      <c r="C125" s="174"/>
      <c r="D125" s="25"/>
      <c r="E125" s="25"/>
      <c r="F125" s="25"/>
      <c r="G125" s="25"/>
      <c r="H125" s="25"/>
      <c r="I125" s="25"/>
      <c r="J125" s="25"/>
      <c r="K125" s="25"/>
      <c r="L125" s="742"/>
    </row>
    <row r="126" spans="1:12" ht="21.95" hidden="1" customHeight="1">
      <c r="A126" s="24"/>
      <c r="B126" s="25"/>
      <c r="C126" s="174"/>
      <c r="D126" s="25"/>
      <c r="E126" s="25"/>
      <c r="F126" s="25"/>
      <c r="G126" s="25"/>
      <c r="H126" s="1634"/>
      <c r="I126" s="1634"/>
      <c r="J126" s="25"/>
      <c r="K126" s="25"/>
      <c r="L126" s="25"/>
    </row>
    <row r="127" spans="1:12" ht="21.95" hidden="1" customHeight="1">
      <c r="A127" s="24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</row>
    <row r="128" spans="1:12" ht="9.75" hidden="1" customHeight="1">
      <c r="A128" s="24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</row>
    <row r="129" spans="1:12" ht="21.95" hidden="1" customHeight="1">
      <c r="A129" s="24"/>
      <c r="B129" s="25"/>
      <c r="C129" s="25"/>
      <c r="D129" s="25"/>
      <c r="E129" s="25"/>
      <c r="F129" s="25"/>
      <c r="G129" s="25"/>
      <c r="H129" s="1635"/>
      <c r="I129" s="1635"/>
      <c r="J129" s="26"/>
      <c r="K129" s="25"/>
      <c r="L129" s="25"/>
    </row>
    <row r="130" spans="1:12" ht="21.95" hidden="1" customHeight="1">
      <c r="A130" s="24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</row>
    <row r="131" spans="1:12" ht="21.95" hidden="1" customHeight="1">
      <c r="A131" s="24"/>
      <c r="B131" s="25"/>
      <c r="C131" s="25"/>
      <c r="D131" s="25"/>
      <c r="E131" s="1633"/>
      <c r="F131" s="1627"/>
      <c r="G131" s="25"/>
      <c r="H131" s="25"/>
      <c r="I131" s="174"/>
      <c r="J131" s="25"/>
      <c r="K131" s="25"/>
      <c r="L131" s="25"/>
    </row>
    <row r="132" spans="1:12" ht="21.95" hidden="1" customHeight="1">
      <c r="A132" s="2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</row>
    <row r="133" spans="1:12" ht="21.95" hidden="1" customHeight="1">
      <c r="A133" s="2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</row>
    <row r="134" spans="1:12" ht="21.95" hidden="1" customHeight="1">
      <c r="A134" s="24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</row>
    <row r="135" spans="1:12" ht="21.95" hidden="1" customHeight="1">
      <c r="A135" s="24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</row>
    <row r="136" spans="1:12" ht="21.95" hidden="1" customHeight="1">
      <c r="A136" s="2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</row>
    <row r="137" spans="1:12" ht="21.95" hidden="1" customHeight="1">
      <c r="A137" s="172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</row>
    <row r="138" spans="1:12" ht="21.95" hidden="1" customHeight="1">
      <c r="A138" s="22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</row>
    <row r="139" spans="1:12" ht="21.95" hidden="1" customHeight="1">
      <c r="A139" s="24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</row>
    <row r="140" spans="1:12" ht="21.95" hidden="1" customHeight="1">
      <c r="A140" s="24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</row>
    <row r="141" spans="1:12" ht="21.95" hidden="1" customHeight="1">
      <c r="A141" s="24"/>
      <c r="B141" s="25"/>
      <c r="C141" s="25"/>
      <c r="D141" s="25"/>
      <c r="E141" s="21"/>
      <c r="F141" s="25"/>
      <c r="G141" s="25"/>
      <c r="H141" s="25"/>
      <c r="I141" s="25"/>
      <c r="J141" s="25"/>
      <c r="K141" s="25"/>
      <c r="L141" s="25"/>
    </row>
    <row r="142" spans="1:12" ht="9.75" hidden="1" customHeight="1">
      <c r="A142" s="24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</row>
    <row r="143" spans="1:12" ht="21.95" hidden="1" customHeight="1">
      <c r="A143" s="24"/>
      <c r="B143" s="25"/>
      <c r="C143" s="174"/>
      <c r="D143" s="25"/>
      <c r="E143" s="25"/>
      <c r="F143" s="1634"/>
      <c r="G143" s="1634"/>
      <c r="H143" s="25"/>
      <c r="I143" s="25"/>
      <c r="J143" s="25"/>
      <c r="K143" s="25"/>
      <c r="L143" s="25"/>
    </row>
    <row r="144" spans="1:12" ht="9.75" hidden="1" customHeight="1">
      <c r="A144" s="24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</row>
    <row r="145" spans="1:12" ht="21.95" hidden="1" customHeight="1">
      <c r="A145" s="24"/>
      <c r="B145" s="25"/>
      <c r="C145" s="174"/>
      <c r="D145" s="25"/>
      <c r="E145" s="25"/>
      <c r="F145" s="1634"/>
      <c r="G145" s="1634"/>
      <c r="H145" s="25"/>
      <c r="I145" s="25"/>
      <c r="J145" s="25"/>
      <c r="K145" s="25"/>
      <c r="L145" s="25"/>
    </row>
    <row r="146" spans="1:12" ht="9.75" hidden="1" customHeight="1">
      <c r="A146" s="24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</row>
    <row r="147" spans="1:12" ht="21.95" hidden="1" customHeight="1">
      <c r="A147" s="24"/>
      <c r="B147" s="25"/>
      <c r="C147" s="174"/>
      <c r="D147" s="25"/>
      <c r="E147" s="25"/>
      <c r="F147" s="25"/>
      <c r="G147" s="25"/>
      <c r="H147" s="25"/>
      <c r="I147" s="25"/>
      <c r="J147" s="25"/>
      <c r="K147" s="25"/>
      <c r="L147" s="742"/>
    </row>
    <row r="148" spans="1:12" ht="21.95" hidden="1" customHeight="1">
      <c r="A148" s="24"/>
      <c r="B148" s="25"/>
      <c r="C148" s="174"/>
      <c r="D148" s="25"/>
      <c r="E148" s="25"/>
      <c r="F148" s="25"/>
      <c r="G148" s="25"/>
      <c r="H148" s="1634"/>
      <c r="I148" s="1634"/>
      <c r="J148" s="25"/>
      <c r="K148" s="25"/>
      <c r="L148" s="25"/>
    </row>
    <row r="149" spans="1:12" ht="21.95" hidden="1" customHeight="1">
      <c r="A149" s="24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</row>
    <row r="150" spans="1:12" ht="9.75" hidden="1" customHeight="1">
      <c r="A150" s="2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</row>
    <row r="151" spans="1:12" ht="21.95" hidden="1" customHeight="1">
      <c r="A151" s="24"/>
      <c r="B151" s="25"/>
      <c r="C151" s="25"/>
      <c r="D151" s="25"/>
      <c r="E151" s="25"/>
      <c r="F151" s="25"/>
      <c r="G151" s="25"/>
      <c r="H151" s="1635"/>
      <c r="I151" s="1635"/>
      <c r="J151" s="26"/>
      <c r="K151" s="25"/>
      <c r="L151" s="25"/>
    </row>
    <row r="152" spans="1:12" ht="21.95" hidden="1" customHeight="1">
      <c r="A152" s="24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</row>
    <row r="153" spans="1:12" ht="21.95" hidden="1" customHeight="1">
      <c r="A153" s="24"/>
      <c r="B153" s="25"/>
      <c r="C153" s="25"/>
      <c r="D153" s="25"/>
      <c r="E153" s="1633"/>
      <c r="F153" s="1627"/>
      <c r="G153" s="25"/>
      <c r="H153" s="25"/>
      <c r="I153" s="174"/>
      <c r="J153" s="25"/>
      <c r="K153" s="25"/>
      <c r="L153" s="25"/>
    </row>
    <row r="154" spans="1:12" ht="21.95" hidden="1" customHeight="1">
      <c r="A154" s="24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</row>
    <row r="155" spans="1:12" ht="21.95" hidden="1" customHeight="1">
      <c r="A155" s="2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</row>
    <row r="156" spans="1:12" ht="21.95" hidden="1" customHeight="1">
      <c r="A156" s="24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</row>
    <row r="157" spans="1:12" ht="21.95" hidden="1" customHeight="1">
      <c r="A157" s="24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</row>
    <row r="158" spans="1:12" ht="21.95" hidden="1" customHeight="1">
      <c r="A158" s="2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</row>
    <row r="159" spans="1:12" ht="21.95" hidden="1" customHeight="1">
      <c r="A159" s="172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</row>
    <row r="160" spans="1:12" ht="21.95" hidden="1" customHeight="1">
      <c r="A160" s="22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</row>
    <row r="161" spans="1:12" ht="21.95" hidden="1" customHeight="1">
      <c r="A161" s="24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</row>
    <row r="162" spans="1:12" ht="21.95" hidden="1" customHeight="1">
      <c r="A162" s="24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</row>
    <row r="163" spans="1:12" ht="21.95" hidden="1" customHeight="1">
      <c r="A163" s="24"/>
      <c r="B163" s="25"/>
      <c r="C163" s="25"/>
      <c r="D163" s="25"/>
      <c r="E163" s="21"/>
      <c r="F163" s="25"/>
      <c r="G163" s="25"/>
      <c r="H163" s="25"/>
      <c r="I163" s="25"/>
      <c r="J163" s="25"/>
      <c r="K163" s="25"/>
      <c r="L163" s="25"/>
    </row>
    <row r="164" spans="1:12" ht="9.75" hidden="1" customHeight="1">
      <c r="A164" s="24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</row>
    <row r="165" spans="1:12" ht="21.95" hidden="1" customHeight="1">
      <c r="A165" s="24"/>
      <c r="B165" s="25"/>
      <c r="C165" s="174"/>
      <c r="D165" s="25"/>
      <c r="E165" s="25"/>
      <c r="F165" s="1634"/>
      <c r="G165" s="1634"/>
      <c r="H165" s="25"/>
      <c r="I165" s="25"/>
      <c r="J165" s="25"/>
      <c r="K165" s="25"/>
      <c r="L165" s="25"/>
    </row>
    <row r="166" spans="1:12" ht="9.75" hidden="1" customHeight="1">
      <c r="A166" s="24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</row>
    <row r="167" spans="1:12" ht="21.95" hidden="1" customHeight="1">
      <c r="A167" s="24"/>
      <c r="B167" s="25"/>
      <c r="C167" s="174"/>
      <c r="D167" s="25"/>
      <c r="E167" s="25"/>
      <c r="F167" s="1634"/>
      <c r="G167" s="1634"/>
      <c r="H167" s="25"/>
      <c r="I167" s="25"/>
      <c r="J167" s="25"/>
      <c r="K167" s="25"/>
      <c r="L167" s="25"/>
    </row>
    <row r="168" spans="1:12" ht="9.75" hidden="1" customHeight="1">
      <c r="A168" s="24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</row>
    <row r="169" spans="1:12" ht="21.95" hidden="1" customHeight="1">
      <c r="A169" s="24"/>
      <c r="B169" s="25"/>
      <c r="C169" s="174"/>
      <c r="D169" s="25"/>
      <c r="E169" s="25"/>
      <c r="F169" s="25"/>
      <c r="G169" s="25"/>
      <c r="H169" s="25"/>
      <c r="I169" s="25"/>
      <c r="J169" s="25"/>
      <c r="K169" s="25"/>
      <c r="L169" s="742"/>
    </row>
    <row r="170" spans="1:12" ht="21.95" hidden="1" customHeight="1">
      <c r="A170" s="24"/>
      <c r="B170" s="25"/>
      <c r="C170" s="174"/>
      <c r="D170" s="25"/>
      <c r="E170" s="25"/>
      <c r="F170" s="25"/>
      <c r="G170" s="25"/>
      <c r="H170" s="1634"/>
      <c r="I170" s="1634"/>
      <c r="J170" s="25"/>
      <c r="K170" s="25"/>
      <c r="L170" s="25"/>
    </row>
    <row r="171" spans="1:12" ht="21.95" hidden="1" customHeight="1">
      <c r="A171" s="24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</row>
    <row r="172" spans="1:12" ht="9.75" hidden="1" customHeight="1">
      <c r="A172" s="24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</row>
    <row r="173" spans="1:12" ht="21.95" hidden="1" customHeight="1">
      <c r="A173" s="24"/>
      <c r="B173" s="25"/>
      <c r="C173" s="25"/>
      <c r="D173" s="25"/>
      <c r="E173" s="25"/>
      <c r="F173" s="25"/>
      <c r="G173" s="25"/>
      <c r="H173" s="1635"/>
      <c r="I173" s="1635"/>
      <c r="J173" s="26"/>
      <c r="K173" s="25"/>
      <c r="L173" s="25"/>
    </row>
    <row r="174" spans="1:12" ht="21.95" hidden="1" customHeight="1">
      <c r="A174" s="24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</row>
    <row r="175" spans="1:12" ht="21.95" hidden="1" customHeight="1">
      <c r="A175" s="24"/>
      <c r="B175" s="25"/>
      <c r="C175" s="25"/>
      <c r="D175" s="25"/>
      <c r="E175" s="1633"/>
      <c r="F175" s="1627"/>
      <c r="G175" s="25"/>
      <c r="H175" s="25"/>
      <c r="I175" s="174"/>
      <c r="J175" s="25"/>
      <c r="K175" s="25"/>
      <c r="L175" s="25"/>
    </row>
    <row r="176" spans="1:12" ht="21.95" hidden="1" customHeight="1">
      <c r="A176" s="24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</row>
    <row r="177" spans="1:12" ht="21.95" hidden="1" customHeight="1">
      <c r="A177" s="24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</row>
    <row r="178" spans="1:12" ht="21.95" hidden="1" customHeight="1">
      <c r="A178" s="24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</row>
    <row r="179" spans="1:12" ht="21.95" hidden="1" customHeight="1">
      <c r="A179" s="24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</row>
    <row r="180" spans="1:12" ht="21.95" hidden="1" customHeight="1">
      <c r="A180" s="2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</row>
    <row r="181" spans="1:12" ht="21.95" hidden="1" customHeight="1">
      <c r="A181" s="172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</row>
    <row r="182" spans="1:12" ht="21.95" hidden="1" customHeight="1">
      <c r="A182" s="22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</row>
    <row r="183" spans="1:12" ht="21.95" hidden="1" customHeight="1">
      <c r="A183" s="24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</row>
    <row r="184" spans="1:12" ht="21.95" hidden="1" customHeight="1">
      <c r="A184" s="24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</row>
    <row r="185" spans="1:12" ht="21.95" hidden="1" customHeight="1">
      <c r="A185" s="24"/>
      <c r="B185" s="25"/>
      <c r="C185" s="25"/>
      <c r="D185" s="25"/>
      <c r="E185" s="21"/>
      <c r="F185" s="25"/>
      <c r="G185" s="25"/>
      <c r="H185" s="25"/>
      <c r="I185" s="25"/>
      <c r="J185" s="25"/>
      <c r="K185" s="25"/>
      <c r="L185" s="25"/>
    </row>
    <row r="186" spans="1:12" ht="9.75" hidden="1" customHeight="1">
      <c r="A186" s="2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</row>
    <row r="187" spans="1:12" ht="21.95" hidden="1" customHeight="1">
      <c r="A187" s="24"/>
      <c r="B187" s="25"/>
      <c r="C187" s="174"/>
      <c r="D187" s="25"/>
      <c r="E187" s="25"/>
      <c r="F187" s="1634"/>
      <c r="G187" s="1634"/>
      <c r="H187" s="25"/>
      <c r="I187" s="25"/>
      <c r="J187" s="25"/>
      <c r="K187" s="25"/>
      <c r="L187" s="25"/>
    </row>
    <row r="188" spans="1:12" ht="9.75" hidden="1" customHeight="1">
      <c r="A188" s="24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</row>
    <row r="189" spans="1:12" ht="21.95" hidden="1" customHeight="1">
      <c r="A189" s="24"/>
      <c r="B189" s="25"/>
      <c r="C189" s="174"/>
      <c r="D189" s="25"/>
      <c r="E189" s="25"/>
      <c r="F189" s="1634"/>
      <c r="G189" s="1634"/>
      <c r="H189" s="25"/>
      <c r="I189" s="25"/>
      <c r="J189" s="25"/>
      <c r="K189" s="25"/>
      <c r="L189" s="25"/>
    </row>
    <row r="190" spans="1:12" ht="9.75" hidden="1" customHeight="1">
      <c r="A190" s="24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</row>
    <row r="191" spans="1:12" ht="21.95" hidden="1" customHeight="1">
      <c r="A191" s="24"/>
      <c r="B191" s="25"/>
      <c r="C191" s="174"/>
      <c r="D191" s="25"/>
      <c r="E191" s="25"/>
      <c r="F191" s="25"/>
      <c r="G191" s="25"/>
      <c r="H191" s="25"/>
      <c r="I191" s="25"/>
      <c r="J191" s="25"/>
      <c r="K191" s="25"/>
      <c r="L191" s="742"/>
    </row>
    <row r="192" spans="1:12" ht="21.95" hidden="1" customHeight="1">
      <c r="A192" s="24"/>
      <c r="B192" s="25"/>
      <c r="C192" s="174"/>
      <c r="D192" s="25"/>
      <c r="E192" s="25"/>
      <c r="F192" s="25"/>
      <c r="G192" s="25"/>
      <c r="H192" s="1634"/>
      <c r="I192" s="1634"/>
      <c r="J192" s="25"/>
      <c r="K192" s="25"/>
      <c r="L192" s="25"/>
    </row>
    <row r="193" spans="1:12" ht="21.95" hidden="1" customHeight="1">
      <c r="A193" s="24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</row>
    <row r="194" spans="1:12" ht="9.75" hidden="1" customHeight="1">
      <c r="A194" s="24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</row>
    <row r="195" spans="1:12" ht="21.95" hidden="1" customHeight="1">
      <c r="A195" s="24"/>
      <c r="B195" s="25"/>
      <c r="C195" s="25"/>
      <c r="D195" s="25"/>
      <c r="E195" s="25"/>
      <c r="F195" s="25"/>
      <c r="G195" s="25"/>
      <c r="H195" s="1635"/>
      <c r="I195" s="1635"/>
      <c r="J195" s="26"/>
      <c r="K195" s="25"/>
      <c r="L195" s="25"/>
    </row>
    <row r="196" spans="1:12" ht="21.95" hidden="1" customHeight="1">
      <c r="A196" s="24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</row>
    <row r="197" spans="1:12" ht="21.95" hidden="1" customHeight="1">
      <c r="A197" s="24"/>
      <c r="B197" s="25"/>
      <c r="C197" s="25"/>
      <c r="D197" s="25"/>
      <c r="E197" s="1633"/>
      <c r="F197" s="1627"/>
      <c r="G197" s="25"/>
      <c r="H197" s="25"/>
      <c r="I197" s="174"/>
      <c r="J197" s="25"/>
      <c r="K197" s="25"/>
      <c r="L197" s="25"/>
    </row>
    <row r="198" spans="1:12" ht="21.95" hidden="1" customHeight="1">
      <c r="A198" s="24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</row>
    <row r="199" spans="1:12" ht="21.95" hidden="1" customHeight="1">
      <c r="A199" s="24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</row>
    <row r="200" spans="1:12" ht="21.95" hidden="1" customHeight="1">
      <c r="A200" s="24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</row>
    <row r="201" spans="1:12" ht="21.95" hidden="1" customHeight="1">
      <c r="A201" s="24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</row>
    <row r="202" spans="1:12" ht="21.95" hidden="1" customHeight="1">
      <c r="A202" s="2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</row>
    <row r="203" spans="1:12" ht="21.95" hidden="1" customHeight="1">
      <c r="A203" s="172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</row>
    <row r="204" spans="1:12" ht="21.95" hidden="1" customHeight="1">
      <c r="A204" s="22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</row>
    <row r="205" spans="1:12" ht="21.95" hidden="1" customHeight="1">
      <c r="A205" s="24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</row>
    <row r="206" spans="1:12" ht="21.95" hidden="1" customHeight="1">
      <c r="A206" s="24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</row>
    <row r="207" spans="1:12" ht="21.95" hidden="1" customHeight="1">
      <c r="A207" s="24"/>
      <c r="B207" s="25"/>
      <c r="C207" s="25"/>
      <c r="D207" s="25"/>
      <c r="E207" s="21"/>
      <c r="F207" s="25"/>
      <c r="G207" s="25"/>
      <c r="H207" s="25"/>
      <c r="I207" s="25"/>
      <c r="J207" s="25"/>
      <c r="K207" s="25"/>
      <c r="L207" s="25"/>
    </row>
    <row r="208" spans="1:12" ht="9.75" hidden="1" customHeight="1">
      <c r="A208" s="24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</row>
    <row r="209" spans="1:12" ht="21.95" hidden="1" customHeight="1">
      <c r="A209" s="24"/>
      <c r="B209" s="25"/>
      <c r="C209" s="174"/>
      <c r="D209" s="25"/>
      <c r="E209" s="25"/>
      <c r="F209" s="1634"/>
      <c r="G209" s="1634"/>
      <c r="H209" s="25"/>
      <c r="I209" s="25"/>
      <c r="J209" s="25"/>
      <c r="K209" s="25"/>
      <c r="L209" s="25"/>
    </row>
    <row r="210" spans="1:12" ht="9.75" hidden="1" customHeight="1">
      <c r="A210" s="24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</row>
    <row r="211" spans="1:12" ht="21.95" hidden="1" customHeight="1">
      <c r="A211" s="24"/>
      <c r="B211" s="25"/>
      <c r="C211" s="174"/>
      <c r="D211" s="25"/>
      <c r="E211" s="25"/>
      <c r="F211" s="1634"/>
      <c r="G211" s="1634"/>
      <c r="H211" s="25"/>
      <c r="I211" s="25"/>
      <c r="J211" s="25"/>
      <c r="K211" s="25"/>
      <c r="L211" s="25"/>
    </row>
    <row r="212" spans="1:12" ht="9.75" hidden="1" customHeight="1">
      <c r="A212" s="24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</row>
    <row r="213" spans="1:12" ht="21.95" hidden="1" customHeight="1">
      <c r="A213" s="24"/>
      <c r="B213" s="25"/>
      <c r="C213" s="174"/>
      <c r="D213" s="25"/>
      <c r="E213" s="25"/>
      <c r="F213" s="25"/>
      <c r="G213" s="25"/>
      <c r="H213" s="25"/>
      <c r="I213" s="25"/>
      <c r="J213" s="25"/>
      <c r="K213" s="25"/>
      <c r="L213" s="742"/>
    </row>
    <row r="214" spans="1:12" ht="21.95" hidden="1" customHeight="1">
      <c r="A214" s="24"/>
      <c r="B214" s="25"/>
      <c r="C214" s="174"/>
      <c r="D214" s="25"/>
      <c r="E214" s="25"/>
      <c r="F214" s="25"/>
      <c r="G214" s="25"/>
      <c r="H214" s="1634"/>
      <c r="I214" s="1634"/>
      <c r="J214" s="25"/>
      <c r="K214" s="25"/>
      <c r="L214" s="25"/>
    </row>
    <row r="215" spans="1:12" ht="21.95" hidden="1" customHeight="1">
      <c r="A215" s="24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</row>
    <row r="216" spans="1:12" ht="9.75" hidden="1" customHeight="1">
      <c r="A216" s="24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</row>
    <row r="217" spans="1:12" ht="21.95" hidden="1" customHeight="1">
      <c r="A217" s="24"/>
      <c r="B217" s="25"/>
      <c r="C217" s="25"/>
      <c r="D217" s="25"/>
      <c r="E217" s="25"/>
      <c r="F217" s="25"/>
      <c r="G217" s="25"/>
      <c r="H217" s="1635"/>
      <c r="I217" s="1635"/>
      <c r="J217" s="26"/>
      <c r="K217" s="25"/>
      <c r="L217" s="25"/>
    </row>
    <row r="218" spans="1:12" ht="21.95" hidden="1" customHeight="1">
      <c r="A218" s="24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</row>
    <row r="219" spans="1:12" ht="21.95" hidden="1" customHeight="1">
      <c r="A219" s="24"/>
      <c r="B219" s="25"/>
      <c r="C219" s="25"/>
      <c r="D219" s="25"/>
      <c r="E219" s="1633"/>
      <c r="F219" s="1627"/>
      <c r="G219" s="25"/>
      <c r="H219" s="25"/>
      <c r="I219" s="174"/>
      <c r="J219" s="25"/>
      <c r="K219" s="25"/>
      <c r="L219" s="25"/>
    </row>
    <row r="220" spans="1:12" ht="21.95" hidden="1" customHeight="1">
      <c r="A220" s="24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</row>
    <row r="221" spans="1:12" ht="21.95" hidden="1" customHeight="1">
      <c r="A221" s="24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</row>
    <row r="222" spans="1:12" ht="21.95" hidden="1" customHeight="1">
      <c r="A222" s="24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</row>
    <row r="223" spans="1:12" ht="21.95" hidden="1" customHeight="1">
      <c r="A223" s="24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</row>
    <row r="224" spans="1:12" ht="21.95" hidden="1" customHeight="1">
      <c r="A224" s="2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</row>
    <row r="225" spans="1:12" ht="21.95" hidden="1" customHeight="1">
      <c r="A225" s="172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</row>
    <row r="226" spans="1:12" ht="21.95" hidden="1" customHeight="1">
      <c r="A226" s="22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</row>
    <row r="227" spans="1:12" ht="21.95" hidden="1" customHeight="1">
      <c r="A227" s="24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</row>
    <row r="228" spans="1:12" ht="21.95" hidden="1" customHeight="1">
      <c r="A228" s="24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</row>
    <row r="229" spans="1:12" ht="21.95" hidden="1" customHeight="1">
      <c r="A229" s="24"/>
      <c r="B229" s="25"/>
      <c r="C229" s="25"/>
      <c r="D229" s="25"/>
      <c r="E229" s="21"/>
      <c r="F229" s="25"/>
      <c r="G229" s="25"/>
      <c r="H229" s="25"/>
      <c r="I229" s="25"/>
      <c r="J229" s="25"/>
      <c r="K229" s="25"/>
      <c r="L229" s="25"/>
    </row>
    <row r="230" spans="1:12" ht="9.75" hidden="1" customHeight="1">
      <c r="A230" s="24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</row>
    <row r="231" spans="1:12" ht="21.95" hidden="1" customHeight="1">
      <c r="A231" s="24"/>
      <c r="B231" s="25"/>
      <c r="C231" s="174"/>
      <c r="D231" s="25"/>
      <c r="E231" s="25"/>
      <c r="F231" s="1634"/>
      <c r="G231" s="1634"/>
      <c r="H231" s="25"/>
      <c r="I231" s="25"/>
      <c r="J231" s="25"/>
      <c r="K231" s="25"/>
      <c r="L231" s="25"/>
    </row>
    <row r="232" spans="1:12" ht="9.75" hidden="1" customHeight="1">
      <c r="A232" s="24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</row>
    <row r="233" spans="1:12" ht="21.95" hidden="1" customHeight="1">
      <c r="A233" s="24"/>
      <c r="B233" s="25"/>
      <c r="C233" s="174"/>
      <c r="D233" s="25"/>
      <c r="E233" s="25"/>
      <c r="F233" s="1634"/>
      <c r="G233" s="1634"/>
      <c r="H233" s="25"/>
      <c r="I233" s="25"/>
      <c r="J233" s="25"/>
      <c r="K233" s="25"/>
      <c r="L233" s="25"/>
    </row>
    <row r="234" spans="1:12" ht="9.75" hidden="1" customHeight="1">
      <c r="A234" s="24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</row>
    <row r="235" spans="1:12" ht="21.95" hidden="1" customHeight="1">
      <c r="A235" s="24"/>
      <c r="B235" s="25"/>
      <c r="C235" s="174"/>
      <c r="D235" s="25"/>
      <c r="E235" s="25"/>
      <c r="F235" s="25"/>
      <c r="G235" s="25"/>
      <c r="H235" s="25"/>
      <c r="I235" s="25"/>
      <c r="J235" s="25"/>
      <c r="K235" s="25"/>
      <c r="L235" s="742"/>
    </row>
    <row r="236" spans="1:12" ht="21.95" hidden="1" customHeight="1">
      <c r="A236" s="24"/>
      <c r="B236" s="25"/>
      <c r="C236" s="174"/>
      <c r="D236" s="25"/>
      <c r="E236" s="25"/>
      <c r="F236" s="25"/>
      <c r="G236" s="25"/>
      <c r="H236" s="1634"/>
      <c r="I236" s="1634"/>
      <c r="J236" s="25"/>
      <c r="K236" s="25"/>
      <c r="L236" s="25"/>
    </row>
    <row r="237" spans="1:12" ht="21.95" hidden="1" customHeight="1">
      <c r="A237" s="24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</row>
    <row r="238" spans="1:12" ht="9.75" hidden="1" customHeight="1">
      <c r="A238" s="24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</row>
    <row r="239" spans="1:12" ht="21.95" hidden="1" customHeight="1">
      <c r="A239" s="24"/>
      <c r="B239" s="25"/>
      <c r="C239" s="25"/>
      <c r="D239" s="25"/>
      <c r="E239" s="25"/>
      <c r="F239" s="25"/>
      <c r="G239" s="25"/>
      <c r="H239" s="1635"/>
      <c r="I239" s="1635"/>
      <c r="J239" s="26"/>
      <c r="K239" s="25"/>
      <c r="L239" s="25"/>
    </row>
    <row r="240" spans="1:12" ht="21.95" hidden="1" customHeight="1">
      <c r="A240" s="24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</row>
    <row r="241" spans="1:12" ht="21.95" hidden="1" customHeight="1">
      <c r="A241" s="24"/>
      <c r="B241" s="25"/>
      <c r="C241" s="25"/>
      <c r="D241" s="25"/>
      <c r="E241" s="1633"/>
      <c r="F241" s="1627"/>
      <c r="G241" s="25"/>
      <c r="H241" s="25"/>
      <c r="I241" s="174"/>
      <c r="J241" s="25"/>
      <c r="K241" s="25"/>
      <c r="L241" s="25"/>
    </row>
    <row r="242" spans="1:12" ht="21.95" hidden="1" customHeight="1">
      <c r="A242" s="24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</row>
    <row r="243" spans="1:12" ht="21.95" hidden="1" customHeight="1">
      <c r="A243" s="24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</row>
    <row r="244" spans="1:12" ht="21.95" hidden="1" customHeight="1">
      <c r="A244" s="24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</row>
    <row r="245" spans="1:12" ht="21.95" hidden="1" customHeight="1">
      <c r="A245" s="24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</row>
    <row r="246" spans="1:12" ht="21.95" hidden="1" customHeight="1">
      <c r="A246" s="2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</row>
  </sheetData>
  <mergeCells count="91">
    <mergeCell ref="A15:B16"/>
    <mergeCell ref="C15:F16"/>
    <mergeCell ref="H16:I16"/>
    <mergeCell ref="A17:L17"/>
    <mergeCell ref="H15:I15"/>
    <mergeCell ref="A26:L27"/>
    <mergeCell ref="A28:A30"/>
    <mergeCell ref="B28:B30"/>
    <mergeCell ref="C28:C30"/>
    <mergeCell ref="D28:D30"/>
    <mergeCell ref="E28:I28"/>
    <mergeCell ref="K28:K30"/>
    <mergeCell ref="L28:L30"/>
    <mergeCell ref="E29:E30"/>
    <mergeCell ref="F29:H30"/>
    <mergeCell ref="I29:I30"/>
    <mergeCell ref="J29:J30"/>
    <mergeCell ref="A1:L2"/>
    <mergeCell ref="A3:L3"/>
    <mergeCell ref="A4:L4"/>
    <mergeCell ref="A5:G6"/>
    <mergeCell ref="H5:K5"/>
    <mergeCell ref="L5:L6"/>
    <mergeCell ref="H6:I6"/>
    <mergeCell ref="J6:K6"/>
    <mergeCell ref="A7:B8"/>
    <mergeCell ref="C7:G7"/>
    <mergeCell ref="H7:I7"/>
    <mergeCell ref="J7:K7"/>
    <mergeCell ref="C8:G8"/>
    <mergeCell ref="H8:I8"/>
    <mergeCell ref="J8:K8"/>
    <mergeCell ref="E241:F241"/>
    <mergeCell ref="F231:G231"/>
    <mergeCell ref="F233:G233"/>
    <mergeCell ref="H236:I236"/>
    <mergeCell ref="H239:I239"/>
    <mergeCell ref="E219:F219"/>
    <mergeCell ref="F209:G209"/>
    <mergeCell ref="F211:G211"/>
    <mergeCell ref="H214:I214"/>
    <mergeCell ref="H217:I217"/>
    <mergeCell ref="E153:F153"/>
    <mergeCell ref="F143:G143"/>
    <mergeCell ref="F145:G145"/>
    <mergeCell ref="H148:I148"/>
    <mergeCell ref="H151:I151"/>
    <mergeCell ref="E197:F197"/>
    <mergeCell ref="F187:G187"/>
    <mergeCell ref="F189:G189"/>
    <mergeCell ref="H192:I192"/>
    <mergeCell ref="H195:I195"/>
    <mergeCell ref="E175:F175"/>
    <mergeCell ref="F165:G165"/>
    <mergeCell ref="F167:G167"/>
    <mergeCell ref="H170:I170"/>
    <mergeCell ref="H173:I173"/>
    <mergeCell ref="E131:F131"/>
    <mergeCell ref="F121:G121"/>
    <mergeCell ref="F123:G123"/>
    <mergeCell ref="H126:I126"/>
    <mergeCell ref="H129:I129"/>
    <mergeCell ref="E109:F109"/>
    <mergeCell ref="F99:G99"/>
    <mergeCell ref="F101:G101"/>
    <mergeCell ref="H104:I104"/>
    <mergeCell ref="H107:I107"/>
    <mergeCell ref="E87:F87"/>
    <mergeCell ref="F77:G77"/>
    <mergeCell ref="F79:G79"/>
    <mergeCell ref="H82:I82"/>
    <mergeCell ref="H85:I85"/>
    <mergeCell ref="E65:F65"/>
    <mergeCell ref="F55:G55"/>
    <mergeCell ref="F57:G57"/>
    <mergeCell ref="H60:I60"/>
    <mergeCell ref="H63:I63"/>
    <mergeCell ref="A9:B9"/>
    <mergeCell ref="C9:G9"/>
    <mergeCell ref="H9:I9"/>
    <mergeCell ref="J9:K9"/>
    <mergeCell ref="A10:L10"/>
    <mergeCell ref="A11:G12"/>
    <mergeCell ref="H11:I11"/>
    <mergeCell ref="J11:K12"/>
    <mergeCell ref="L11:L12"/>
    <mergeCell ref="A13:B14"/>
    <mergeCell ref="C13:F14"/>
    <mergeCell ref="J13:K13"/>
    <mergeCell ref="H14:I14"/>
    <mergeCell ref="J14:K14"/>
  </mergeCells>
  <phoneticPr fontId="7" type="noConversion"/>
  <printOptions horizontalCentered="1" verticalCentered="1"/>
  <pageMargins left="0.47244094488188981" right="0.35433070866141736" top="0.78740157480314965" bottom="0.98425196850393704" header="0.39370078740157483" footer="0.51181102362204722"/>
  <pageSetup paperSize="9" scale="95" orientation="landscape" r:id="rId1"/>
  <headerFooter alignWithMargins="0">
    <oddHeader>&amp;C&amp;"돋움체,굵게"&amp;20&amp;U한 전 수 용 비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A743"/>
  <sheetViews>
    <sheetView view="pageBreakPreview" topLeftCell="A123" zoomScaleSheetLayoutView="100" workbookViewId="0">
      <selection activeCell="AC132" sqref="AC132"/>
    </sheetView>
  </sheetViews>
  <sheetFormatPr defaultRowHeight="13.5"/>
  <cols>
    <col min="1" max="27" width="3.21875" customWidth="1"/>
  </cols>
  <sheetData>
    <row r="1" spans="1:27" ht="31.5" hidden="1" customHeight="1">
      <c r="A1" s="1692" t="s">
        <v>1344</v>
      </c>
      <c r="B1" s="1692"/>
      <c r="C1" s="1692"/>
      <c r="D1" s="1692"/>
      <c r="E1" s="1692"/>
      <c r="F1" s="1692"/>
      <c r="G1" s="1692"/>
      <c r="H1" s="1692"/>
      <c r="I1" s="1692"/>
      <c r="J1" s="1692"/>
      <c r="K1" s="1692"/>
      <c r="L1" s="1692"/>
      <c r="M1" s="1692"/>
      <c r="N1" s="1692"/>
      <c r="O1" s="1692"/>
      <c r="P1" s="1692"/>
      <c r="Q1" s="1692"/>
      <c r="R1" s="1692"/>
      <c r="S1" s="1692"/>
      <c r="T1" s="1692"/>
      <c r="U1" s="1692"/>
      <c r="V1" s="1692"/>
      <c r="W1" s="1692"/>
      <c r="X1" s="1692"/>
      <c r="Y1" s="1692"/>
      <c r="Z1" s="1692"/>
      <c r="AA1" s="1692"/>
    </row>
    <row r="2" spans="1:27" ht="16.5" hidden="1" customHeight="1"/>
    <row r="3" spans="1:27" ht="16.5" hidden="1" customHeight="1"/>
    <row r="4" spans="1:27" ht="16.5" hidden="1" customHeight="1"/>
    <row r="5" spans="1:27" ht="16.5" hidden="1" customHeight="1"/>
    <row r="6" spans="1:27" ht="16.5" hidden="1" customHeight="1"/>
    <row r="7" spans="1:27" ht="16.5" hidden="1" customHeight="1"/>
    <row r="8" spans="1:27" ht="16.5" hidden="1" customHeight="1"/>
    <row r="9" spans="1:27" ht="16.5" hidden="1" customHeight="1"/>
    <row r="10" spans="1:27" ht="16.5" hidden="1" customHeight="1"/>
    <row r="11" spans="1:27" ht="16.5" hidden="1" customHeight="1"/>
    <row r="12" spans="1:27" ht="16.5" hidden="1" customHeight="1"/>
    <row r="13" spans="1:27" ht="16.5" hidden="1" customHeight="1">
      <c r="E13" t="s">
        <v>1360</v>
      </c>
    </row>
    <row r="14" spans="1:27" ht="16.5" hidden="1" customHeight="1"/>
    <row r="15" spans="1:27" ht="16.5" hidden="1" customHeight="1"/>
    <row r="16" spans="1:27" ht="16.5" hidden="1" customHeight="1"/>
    <row r="17" spans="2:27" ht="16.5" hidden="1" customHeight="1"/>
    <row r="18" spans="2:27" ht="16.5" hidden="1" customHeight="1"/>
    <row r="19" spans="2:27" ht="16.5" hidden="1" customHeight="1"/>
    <row r="20" spans="2:27" ht="16.5" hidden="1" customHeight="1"/>
    <row r="21" spans="2:27" ht="16.5" hidden="1" customHeight="1"/>
    <row r="22" spans="2:27" ht="22.5" hidden="1" customHeight="1">
      <c r="B22" s="1693" t="s">
        <v>1172</v>
      </c>
      <c r="C22" s="1694"/>
      <c r="D22" s="1695">
        <v>0.5</v>
      </c>
      <c r="E22" s="1696"/>
      <c r="F22" s="1697"/>
      <c r="G22" s="1698"/>
      <c r="H22" s="1699"/>
      <c r="I22" s="1700"/>
      <c r="J22" s="1696"/>
      <c r="K22" s="1696"/>
      <c r="L22" s="1701"/>
      <c r="M22" s="1699"/>
      <c r="N22" s="1697"/>
      <c r="O22" s="1698"/>
      <c r="P22" s="1699"/>
      <c r="Q22" s="1700"/>
      <c r="R22" s="1696"/>
      <c r="S22" s="1696"/>
      <c r="T22" s="1701"/>
      <c r="U22" s="1699"/>
      <c r="V22" s="1697"/>
      <c r="W22" s="1698"/>
      <c r="X22" s="1699"/>
      <c r="Y22" s="1700"/>
    </row>
    <row r="23" spans="2:27" ht="22.5" hidden="1" customHeight="1">
      <c r="B23" s="1684" t="s">
        <v>1173</v>
      </c>
      <c r="C23" s="1690"/>
      <c r="D23" s="1682">
        <f>SUM(H23,L23,P23,T23,X23)</f>
        <v>1.25</v>
      </c>
      <c r="E23" s="1683"/>
      <c r="F23" s="1684" t="s">
        <v>1174</v>
      </c>
      <c r="G23" s="1685"/>
      <c r="H23" s="1690">
        <v>0.05</v>
      </c>
      <c r="I23" s="1691"/>
      <c r="J23" s="1690" t="s">
        <v>1175</v>
      </c>
      <c r="K23" s="1690"/>
      <c r="L23" s="1682">
        <v>0.1</v>
      </c>
      <c r="M23" s="1683"/>
      <c r="N23" s="1684" t="s">
        <v>1176</v>
      </c>
      <c r="O23" s="1685"/>
      <c r="P23" s="1683">
        <v>0.3</v>
      </c>
      <c r="Q23" s="1686"/>
      <c r="R23" s="1690" t="s">
        <v>1177</v>
      </c>
      <c r="S23" s="1690"/>
      <c r="T23" s="1682">
        <v>0.45</v>
      </c>
      <c r="U23" s="1683"/>
      <c r="V23" s="1684" t="s">
        <v>1178</v>
      </c>
      <c r="W23" s="1685"/>
      <c r="X23" s="1683">
        <v>0.35</v>
      </c>
      <c r="Y23" s="1686"/>
    </row>
    <row r="24" spans="2:27" ht="22.5" hidden="1" customHeight="1"/>
    <row r="25" spans="2:27" ht="22.5" hidden="1" customHeight="1">
      <c r="B25" s="1687" t="s">
        <v>1179</v>
      </c>
      <c r="C25" s="1688"/>
      <c r="D25" s="1688"/>
      <c r="E25" s="1688"/>
      <c r="F25" s="1688"/>
      <c r="G25" s="1688" t="s">
        <v>1180</v>
      </c>
      <c r="H25" s="1688"/>
      <c r="I25" s="1688"/>
      <c r="J25" s="1688" t="s">
        <v>1181</v>
      </c>
      <c r="K25" s="1688"/>
      <c r="L25" s="1688"/>
      <c r="M25" s="1688"/>
      <c r="N25" s="1688"/>
      <c r="O25" s="1688"/>
      <c r="P25" s="1688"/>
      <c r="Q25" s="1688"/>
      <c r="R25" s="1688"/>
      <c r="S25" s="1688"/>
      <c r="T25" s="1688"/>
      <c r="U25" s="1688" t="s">
        <v>1182</v>
      </c>
      <c r="V25" s="1688"/>
      <c r="W25" s="1688" t="s">
        <v>1183</v>
      </c>
      <c r="X25" s="1688"/>
      <c r="Y25" s="1688"/>
      <c r="Z25" s="1688" t="s">
        <v>1184</v>
      </c>
      <c r="AA25" s="1689"/>
    </row>
    <row r="26" spans="2:27" ht="19.5" hidden="1" customHeight="1">
      <c r="B26" s="1661" t="s">
        <v>1185</v>
      </c>
      <c r="C26" s="1658"/>
      <c r="D26" s="1658"/>
      <c r="E26" s="1658"/>
      <c r="F26" s="1658"/>
      <c r="G26" s="1658"/>
      <c r="H26" s="1658"/>
      <c r="I26" s="1658"/>
      <c r="J26" s="1678">
        <v>1</v>
      </c>
      <c r="K26" s="1679"/>
      <c r="L26" s="667" t="s">
        <v>1186</v>
      </c>
      <c r="M26" s="1679">
        <v>2</v>
      </c>
      <c r="N26" s="1679"/>
      <c r="O26" s="667"/>
      <c r="P26" s="668"/>
      <c r="Q26" s="668"/>
      <c r="R26" s="668"/>
      <c r="S26" s="668"/>
      <c r="T26" s="669"/>
      <c r="U26" s="1657" t="s">
        <v>1187</v>
      </c>
      <c r="V26" s="1657"/>
      <c r="W26" s="1658">
        <f>J26*M26</f>
        <v>2</v>
      </c>
      <c r="X26" s="1658"/>
      <c r="Y26" s="1658"/>
      <c r="Z26" s="1658"/>
      <c r="AA26" s="1659"/>
    </row>
    <row r="27" spans="2:27" ht="19.5" hidden="1" customHeight="1">
      <c r="B27" s="1661" t="s">
        <v>1188</v>
      </c>
      <c r="C27" s="1658"/>
      <c r="D27" s="1658"/>
      <c r="E27" s="1658"/>
      <c r="F27" s="1658"/>
      <c r="G27" s="1658"/>
      <c r="H27" s="1658"/>
      <c r="I27" s="1658"/>
      <c r="J27" s="1681">
        <f>H23+L23</f>
        <v>0.15000000000000002</v>
      </c>
      <c r="K27" s="1680"/>
      <c r="L27" s="667" t="s">
        <v>1186</v>
      </c>
      <c r="M27" s="1679">
        <f>D22</f>
        <v>0.5</v>
      </c>
      <c r="N27" s="1679"/>
      <c r="O27" s="667" t="s">
        <v>1186</v>
      </c>
      <c r="P27" s="1679">
        <v>1</v>
      </c>
      <c r="Q27" s="1679"/>
      <c r="R27" s="668"/>
      <c r="S27" s="668"/>
      <c r="T27" s="669"/>
      <c r="U27" s="1657" t="s">
        <v>1189</v>
      </c>
      <c r="V27" s="1657"/>
      <c r="W27" s="1658">
        <f>J27*M27*P27</f>
        <v>7.5000000000000011E-2</v>
      </c>
      <c r="X27" s="1658"/>
      <c r="Y27" s="1658"/>
      <c r="Z27" s="1658"/>
      <c r="AA27" s="1659"/>
    </row>
    <row r="28" spans="2:27" ht="19.5" hidden="1" customHeight="1">
      <c r="B28" s="1661" t="s">
        <v>1190</v>
      </c>
      <c r="C28" s="1658"/>
      <c r="D28" s="1658"/>
      <c r="E28" s="1658"/>
      <c r="F28" s="1658"/>
      <c r="G28" s="1658"/>
      <c r="H28" s="1658"/>
      <c r="I28" s="1658"/>
      <c r="J28" s="1678">
        <f>D22</f>
        <v>0.5</v>
      </c>
      <c r="K28" s="1679"/>
      <c r="L28" s="667" t="s">
        <v>1191</v>
      </c>
      <c r="M28" s="1680">
        <f>D23-H23-L23</f>
        <v>1.0999999999999999</v>
      </c>
      <c r="N28" s="1680"/>
      <c r="O28" s="667" t="s">
        <v>1192</v>
      </c>
      <c r="P28" s="1679">
        <v>1</v>
      </c>
      <c r="Q28" s="1679"/>
      <c r="R28" s="668"/>
      <c r="S28" s="668"/>
      <c r="T28" s="669"/>
      <c r="U28" s="1657" t="s">
        <v>1193</v>
      </c>
      <c r="V28" s="1657"/>
      <c r="W28" s="1658">
        <f>J28*M28*P28</f>
        <v>0.54999999999999993</v>
      </c>
      <c r="X28" s="1658"/>
      <c r="Y28" s="1658"/>
      <c r="Z28" s="1658"/>
      <c r="AA28" s="1659"/>
    </row>
    <row r="29" spans="2:27" ht="19.5" hidden="1" customHeight="1">
      <c r="B29" s="1661" t="s">
        <v>1194</v>
      </c>
      <c r="C29" s="1658"/>
      <c r="D29" s="1658"/>
      <c r="E29" s="1658"/>
      <c r="F29" s="1658"/>
      <c r="G29" s="1658"/>
      <c r="H29" s="1658"/>
      <c r="I29" s="1658"/>
      <c r="J29" s="1678">
        <f>D22</f>
        <v>0.5</v>
      </c>
      <c r="K29" s="1679"/>
      <c r="L29" s="667" t="s">
        <v>1186</v>
      </c>
      <c r="M29" s="1680">
        <f>X23</f>
        <v>0.35</v>
      </c>
      <c r="N29" s="1679"/>
      <c r="O29" s="667" t="s">
        <v>1186</v>
      </c>
      <c r="P29" s="1679">
        <v>1</v>
      </c>
      <c r="Q29" s="1679"/>
      <c r="R29" s="668"/>
      <c r="S29" s="668"/>
      <c r="T29" s="669"/>
      <c r="U29" s="1657" t="s">
        <v>1189</v>
      </c>
      <c r="V29" s="1657"/>
      <c r="W29" s="1658">
        <f>J29*M29*P29</f>
        <v>0.17499999999999999</v>
      </c>
      <c r="X29" s="1658"/>
      <c r="Y29" s="1658"/>
      <c r="Z29" s="1658"/>
      <c r="AA29" s="1659"/>
    </row>
    <row r="30" spans="2:27" ht="19.5" hidden="1" customHeight="1">
      <c r="B30" s="1661" t="s">
        <v>1195</v>
      </c>
      <c r="C30" s="1658"/>
      <c r="D30" s="1658"/>
      <c r="E30" s="1658"/>
      <c r="F30" s="1658"/>
      <c r="G30" s="1658"/>
      <c r="H30" s="1658"/>
      <c r="I30" s="1658"/>
      <c r="J30" s="1678">
        <f>D22</f>
        <v>0.5</v>
      </c>
      <c r="K30" s="1679"/>
      <c r="L30" s="667" t="s">
        <v>1186</v>
      </c>
      <c r="M30" s="1680">
        <f>T23</f>
        <v>0.45</v>
      </c>
      <c r="N30" s="1680"/>
      <c r="O30" s="667" t="s">
        <v>1186</v>
      </c>
      <c r="P30" s="1679">
        <v>1</v>
      </c>
      <c r="Q30" s="1679"/>
      <c r="R30" s="668"/>
      <c r="S30" s="668"/>
      <c r="T30" s="669"/>
      <c r="U30" s="1657" t="s">
        <v>1189</v>
      </c>
      <c r="V30" s="1657"/>
      <c r="W30" s="1658">
        <f>J30*M30*P30</f>
        <v>0.22500000000000001</v>
      </c>
      <c r="X30" s="1658"/>
      <c r="Y30" s="1658"/>
      <c r="Z30" s="1658"/>
      <c r="AA30" s="1659"/>
    </row>
    <row r="31" spans="2:27" ht="19.5" hidden="1" customHeight="1">
      <c r="B31" s="1661" t="s">
        <v>1196</v>
      </c>
      <c r="C31" s="1658"/>
      <c r="D31" s="1658"/>
      <c r="E31" s="1658"/>
      <c r="F31" s="1658"/>
      <c r="G31" s="1658"/>
      <c r="H31" s="1658"/>
      <c r="I31" s="1658"/>
      <c r="J31" s="1678">
        <f>D22</f>
        <v>0.5</v>
      </c>
      <c r="K31" s="1679"/>
      <c r="L31" s="667" t="s">
        <v>1186</v>
      </c>
      <c r="M31" s="1680">
        <f>P23</f>
        <v>0.3</v>
      </c>
      <c r="N31" s="1679"/>
      <c r="O31" s="667" t="s">
        <v>1197</v>
      </c>
      <c r="P31" s="1679">
        <v>1</v>
      </c>
      <c r="Q31" s="1679"/>
      <c r="R31" s="668"/>
      <c r="S31" s="668"/>
      <c r="T31" s="669"/>
      <c r="U31" s="1657" t="s">
        <v>1198</v>
      </c>
      <c r="V31" s="1657"/>
      <c r="W31" s="1658">
        <f>J31*M31*P31</f>
        <v>0.15</v>
      </c>
      <c r="X31" s="1658"/>
      <c r="Y31" s="1658"/>
      <c r="Z31" s="1658"/>
      <c r="AA31" s="1659"/>
    </row>
    <row r="32" spans="2:27" ht="19.5" hidden="1" customHeight="1">
      <c r="B32" s="1661" t="s">
        <v>1199</v>
      </c>
      <c r="C32" s="1658"/>
      <c r="D32" s="1658"/>
      <c r="E32" s="1658"/>
      <c r="F32" s="1658"/>
      <c r="G32" s="1658"/>
      <c r="H32" s="1658"/>
      <c r="I32" s="1658"/>
      <c r="J32" s="1678">
        <f>D22</f>
        <v>0.5</v>
      </c>
      <c r="K32" s="1679"/>
      <c r="L32" s="667" t="s">
        <v>1200</v>
      </c>
      <c r="M32" s="1679">
        <v>1</v>
      </c>
      <c r="N32" s="1679"/>
      <c r="O32" s="667" t="s">
        <v>1186</v>
      </c>
      <c r="P32" s="1679">
        <v>1</v>
      </c>
      <c r="Q32" s="1679"/>
      <c r="R32" s="668"/>
      <c r="S32" s="668"/>
      <c r="T32" s="669"/>
      <c r="U32" s="1657" t="s">
        <v>1189</v>
      </c>
      <c r="V32" s="1657"/>
      <c r="W32" s="1658">
        <f>J32*M32/100</f>
        <v>5.0000000000000001E-3</v>
      </c>
      <c r="X32" s="1658"/>
      <c r="Y32" s="1658"/>
      <c r="Z32" s="1658"/>
      <c r="AA32" s="1659"/>
    </row>
    <row r="33" spans="1:27" ht="19.5" hidden="1" customHeight="1">
      <c r="B33" s="1661" t="s">
        <v>1202</v>
      </c>
      <c r="C33" s="1658"/>
      <c r="D33" s="1658"/>
      <c r="E33" s="1658"/>
      <c r="F33" s="1658"/>
      <c r="G33" s="1658"/>
      <c r="H33" s="1658"/>
      <c r="I33" s="1658"/>
      <c r="J33" s="1678">
        <f>D22</f>
        <v>0.5</v>
      </c>
      <c r="K33" s="1679"/>
      <c r="L33" s="667" t="s">
        <v>1200</v>
      </c>
      <c r="M33" s="1679">
        <v>1</v>
      </c>
      <c r="N33" s="1679"/>
      <c r="O33" s="670"/>
      <c r="P33" s="1679"/>
      <c r="Q33" s="1679"/>
      <c r="R33" s="668"/>
      <c r="S33" s="668"/>
      <c r="T33" s="669"/>
      <c r="U33" s="1657" t="s">
        <v>1201</v>
      </c>
      <c r="V33" s="1657"/>
      <c r="W33" s="1658">
        <f>J33*M33</f>
        <v>0.5</v>
      </c>
      <c r="X33" s="1658"/>
      <c r="Y33" s="1658"/>
      <c r="Z33" s="1658"/>
      <c r="AA33" s="1659"/>
    </row>
    <row r="34" spans="1:27" s="931" customFormat="1" ht="19.5" hidden="1" customHeight="1">
      <c r="B34" s="1668" t="s">
        <v>1490</v>
      </c>
      <c r="C34" s="1669"/>
      <c r="D34" s="1669"/>
      <c r="E34" s="1669"/>
      <c r="F34" s="1669"/>
      <c r="G34" s="1669" t="s">
        <v>1491</v>
      </c>
      <c r="H34" s="1669"/>
      <c r="I34" s="1669"/>
      <c r="J34" s="1670">
        <f>D22</f>
        <v>0.5</v>
      </c>
      <c r="K34" s="1671"/>
      <c r="L34" s="932" t="s">
        <v>1492</v>
      </c>
      <c r="M34" s="1672">
        <f>L23</f>
        <v>0.1</v>
      </c>
      <c r="N34" s="1671"/>
      <c r="O34" s="932" t="s">
        <v>1492</v>
      </c>
      <c r="P34" s="1671">
        <v>1</v>
      </c>
      <c r="Q34" s="1671"/>
      <c r="R34" s="932" t="s">
        <v>1492</v>
      </c>
      <c r="S34" s="1671">
        <v>2.3199999999999998</v>
      </c>
      <c r="T34" s="1671"/>
      <c r="U34" s="1673" t="s">
        <v>1494</v>
      </c>
      <c r="V34" s="1673"/>
      <c r="W34" s="1669">
        <f>J34*M34*P34*S34</f>
        <v>0.11599999999999999</v>
      </c>
      <c r="X34" s="1669"/>
      <c r="Y34" s="1669"/>
      <c r="Z34" s="1669"/>
      <c r="AA34" s="1674"/>
    </row>
    <row r="35" spans="1:27" ht="19.5" hidden="1" customHeight="1">
      <c r="B35" s="1661" t="s">
        <v>1204</v>
      </c>
      <c r="C35" s="1658"/>
      <c r="D35" s="1658"/>
      <c r="E35" s="1658"/>
      <c r="F35" s="1658"/>
      <c r="G35" s="1658"/>
      <c r="H35" s="1658"/>
      <c r="I35" s="1658"/>
      <c r="J35" s="1678">
        <f>D22</f>
        <v>0.5</v>
      </c>
      <c r="K35" s="1679"/>
      <c r="L35" s="667" t="s">
        <v>1200</v>
      </c>
      <c r="M35" s="1679">
        <v>1</v>
      </c>
      <c r="N35" s="1679"/>
      <c r="O35" s="670"/>
      <c r="P35" s="1679"/>
      <c r="Q35" s="1679"/>
      <c r="R35" s="668"/>
      <c r="S35" s="668"/>
      <c r="T35" s="669"/>
      <c r="U35" s="1657" t="s">
        <v>1201</v>
      </c>
      <c r="V35" s="1657"/>
      <c r="W35" s="1658">
        <f>J35*M35</f>
        <v>0.5</v>
      </c>
      <c r="X35" s="1658"/>
      <c r="Y35" s="1658"/>
      <c r="Z35" s="1658"/>
      <c r="AA35" s="1659"/>
    </row>
    <row r="36" spans="1:27" ht="19.5" hidden="1" customHeight="1">
      <c r="B36" s="1661" t="s">
        <v>1205</v>
      </c>
      <c r="C36" s="1658"/>
      <c r="D36" s="1658"/>
      <c r="E36" s="1658"/>
      <c r="F36" s="1658"/>
      <c r="G36" s="1658"/>
      <c r="H36" s="1658"/>
      <c r="I36" s="1658"/>
      <c r="J36" s="1678">
        <f>D22</f>
        <v>0.5</v>
      </c>
      <c r="K36" s="1679"/>
      <c r="L36" s="667" t="s">
        <v>1207</v>
      </c>
      <c r="M36" s="1679">
        <v>1</v>
      </c>
      <c r="N36" s="1679"/>
      <c r="O36" s="670"/>
      <c r="P36" s="1679"/>
      <c r="Q36" s="1679"/>
      <c r="R36" s="668"/>
      <c r="S36" s="668"/>
      <c r="T36" s="669"/>
      <c r="U36" s="1657" t="s">
        <v>1208</v>
      </c>
      <c r="V36" s="1657"/>
      <c r="W36" s="1658">
        <f>J36*M36</f>
        <v>0.5</v>
      </c>
      <c r="X36" s="1658"/>
      <c r="Y36" s="1658"/>
      <c r="Z36" s="1658"/>
      <c r="AA36" s="1659"/>
    </row>
    <row r="37" spans="1:27" s="931" customFormat="1" ht="19.5" hidden="1" customHeight="1">
      <c r="B37" s="1668" t="s">
        <v>1495</v>
      </c>
      <c r="C37" s="1669"/>
      <c r="D37" s="1669"/>
      <c r="E37" s="1669"/>
      <c r="F37" s="1669"/>
      <c r="G37" s="1669" t="s">
        <v>1496</v>
      </c>
      <c r="H37" s="1669"/>
      <c r="I37" s="1669"/>
      <c r="J37" s="1670">
        <f>D22</f>
        <v>0.5</v>
      </c>
      <c r="K37" s="1671"/>
      <c r="L37" s="932" t="s">
        <v>1492</v>
      </c>
      <c r="M37" s="1671">
        <f>H23</f>
        <v>0.05</v>
      </c>
      <c r="N37" s="1671"/>
      <c r="O37" s="932" t="s">
        <v>1492</v>
      </c>
      <c r="P37" s="1671">
        <v>1</v>
      </c>
      <c r="Q37" s="1671"/>
      <c r="R37" s="932" t="s">
        <v>1492</v>
      </c>
      <c r="S37" s="1671">
        <v>2.34</v>
      </c>
      <c r="T37" s="1671"/>
      <c r="U37" s="1673" t="s">
        <v>1493</v>
      </c>
      <c r="V37" s="1673"/>
      <c r="W37" s="1669">
        <f>J37*M37*P37*S37</f>
        <v>5.8499999999999996E-2</v>
      </c>
      <c r="X37" s="1669"/>
      <c r="Y37" s="1669"/>
      <c r="Z37" s="1669"/>
      <c r="AA37" s="1674"/>
    </row>
    <row r="38" spans="1:27" ht="19.5" hidden="1" customHeight="1">
      <c r="B38" s="1661" t="s">
        <v>1209</v>
      </c>
      <c r="C38" s="1658"/>
      <c r="D38" s="1658"/>
      <c r="E38" s="1658"/>
      <c r="F38" s="1658"/>
      <c r="G38" s="1658"/>
      <c r="H38" s="1658"/>
      <c r="I38" s="1658"/>
      <c r="J38" s="1678">
        <v>1</v>
      </c>
      <c r="K38" s="1679"/>
      <c r="L38" s="667"/>
      <c r="M38" s="668"/>
      <c r="N38" s="668"/>
      <c r="O38" s="667"/>
      <c r="P38" s="668"/>
      <c r="Q38" s="668"/>
      <c r="R38" s="668"/>
      <c r="S38" s="668"/>
      <c r="T38" s="669"/>
      <c r="U38" s="1657" t="s">
        <v>1210</v>
      </c>
      <c r="V38" s="1657"/>
      <c r="W38" s="1658">
        <f>J38</f>
        <v>1</v>
      </c>
      <c r="X38" s="1658"/>
      <c r="Y38" s="1658"/>
      <c r="Z38" s="1658"/>
      <c r="AA38" s="1659"/>
    </row>
    <row r="39" spans="1:27" ht="19.5" hidden="1" customHeight="1">
      <c r="B39" s="1661" t="s">
        <v>1211</v>
      </c>
      <c r="C39" s="1658"/>
      <c r="D39" s="1658"/>
      <c r="E39" s="1658"/>
      <c r="F39" s="1658"/>
      <c r="G39" s="1658"/>
      <c r="H39" s="1658"/>
      <c r="I39" s="1658"/>
      <c r="J39" s="1678">
        <f>W28</f>
        <v>0.54999999999999993</v>
      </c>
      <c r="K39" s="1679"/>
      <c r="L39" s="670" t="s">
        <v>1212</v>
      </c>
      <c r="M39" s="1679">
        <f>W30</f>
        <v>0.22500000000000001</v>
      </c>
      <c r="N39" s="1679"/>
      <c r="O39" s="667"/>
      <c r="P39" s="668"/>
      <c r="Q39" s="668"/>
      <c r="R39" s="668"/>
      <c r="S39" s="668"/>
      <c r="T39" s="669"/>
      <c r="U39" s="1657" t="s">
        <v>1189</v>
      </c>
      <c r="V39" s="1657"/>
      <c r="W39" s="1658">
        <f>J39-M39</f>
        <v>0.32499999999999996</v>
      </c>
      <c r="X39" s="1658"/>
      <c r="Y39" s="1658"/>
      <c r="Z39" s="1658"/>
      <c r="AA39" s="1659"/>
    </row>
    <row r="40" spans="1:27" ht="19.5" hidden="1" customHeight="1">
      <c r="B40" s="1662" t="s">
        <v>1213</v>
      </c>
      <c r="C40" s="1663"/>
      <c r="D40" s="1663"/>
      <c r="E40" s="1663"/>
      <c r="F40" s="1663"/>
      <c r="G40" s="1663"/>
      <c r="H40" s="1663"/>
      <c r="I40" s="1663"/>
      <c r="J40" s="1675">
        <f>D22</f>
        <v>0.5</v>
      </c>
      <c r="K40" s="1676"/>
      <c r="L40" s="671" t="s">
        <v>1186</v>
      </c>
      <c r="M40" s="1677">
        <f>H23+L23</f>
        <v>0.15000000000000002</v>
      </c>
      <c r="N40" s="1676"/>
      <c r="O40" s="671" t="s">
        <v>1186</v>
      </c>
      <c r="P40" s="1676">
        <v>2.35</v>
      </c>
      <c r="Q40" s="1676"/>
      <c r="R40" s="672"/>
      <c r="S40" s="672"/>
      <c r="T40" s="673"/>
      <c r="U40" s="1664" t="s">
        <v>1214</v>
      </c>
      <c r="V40" s="1664"/>
      <c r="W40" s="1663">
        <f>J40*M40*P40</f>
        <v>0.17625000000000005</v>
      </c>
      <c r="X40" s="1663"/>
      <c r="Y40" s="1663"/>
      <c r="Z40" s="1663"/>
      <c r="AA40" s="1665"/>
    </row>
    <row r="41" spans="1:27" ht="31.5" hidden="1" customHeight="1">
      <c r="A41" s="1692" t="s">
        <v>1345</v>
      </c>
      <c r="B41" s="1692"/>
      <c r="C41" s="1692"/>
      <c r="D41" s="1692"/>
      <c r="E41" s="1692"/>
      <c r="F41" s="1692"/>
      <c r="G41" s="1692"/>
      <c r="H41" s="1692"/>
      <c r="I41" s="1692"/>
      <c r="J41" s="1692"/>
      <c r="K41" s="1692"/>
      <c r="L41" s="1692"/>
      <c r="M41" s="1692"/>
      <c r="N41" s="1692"/>
      <c r="O41" s="1692"/>
      <c r="P41" s="1692"/>
      <c r="Q41" s="1692"/>
      <c r="R41" s="1692"/>
      <c r="S41" s="1692"/>
      <c r="T41" s="1692"/>
      <c r="U41" s="1692"/>
      <c r="V41" s="1692"/>
      <c r="W41" s="1692"/>
      <c r="X41" s="1692"/>
      <c r="Y41" s="1692"/>
      <c r="Z41" s="1692"/>
      <c r="AA41" s="1692"/>
    </row>
    <row r="42" spans="1:27" ht="16.5" hidden="1" customHeight="1"/>
    <row r="43" spans="1:27" ht="16.5" hidden="1" customHeight="1"/>
    <row r="44" spans="1:27" ht="16.5" hidden="1" customHeight="1"/>
    <row r="45" spans="1:27" ht="16.5" hidden="1" customHeight="1"/>
    <row r="46" spans="1:27" ht="16.5" hidden="1" customHeight="1"/>
    <row r="47" spans="1:27" ht="16.5" hidden="1" customHeight="1"/>
    <row r="48" spans="1:27" ht="16.5" hidden="1" customHeight="1"/>
    <row r="49" spans="2:25" ht="16.5" hidden="1" customHeight="1"/>
    <row r="50" spans="2:25" ht="16.5" hidden="1" customHeight="1"/>
    <row r="51" spans="2:25" ht="16.5" hidden="1" customHeight="1"/>
    <row r="52" spans="2:25" ht="16.5" hidden="1" customHeight="1"/>
    <row r="53" spans="2:25" ht="16.5" hidden="1" customHeight="1"/>
    <row r="54" spans="2:25" ht="16.5" hidden="1" customHeight="1"/>
    <row r="55" spans="2:25" ht="16.5" hidden="1" customHeight="1"/>
    <row r="56" spans="2:25" ht="16.5" hidden="1" customHeight="1"/>
    <row r="57" spans="2:25" ht="16.5" hidden="1" customHeight="1"/>
    <row r="58" spans="2:25" ht="16.5" hidden="1" customHeight="1"/>
    <row r="59" spans="2:25" ht="16.5" hidden="1" customHeight="1"/>
    <row r="60" spans="2:25" ht="16.5" hidden="1" customHeight="1"/>
    <row r="61" spans="2:25" ht="16.5" hidden="1" customHeight="1"/>
    <row r="62" spans="2:25" ht="22.5" hidden="1" customHeight="1">
      <c r="B62" s="1693" t="s">
        <v>1172</v>
      </c>
      <c r="C62" s="1694"/>
      <c r="D62" s="1695">
        <v>0.5</v>
      </c>
      <c r="E62" s="1696"/>
      <c r="F62" s="1697"/>
      <c r="G62" s="1698"/>
      <c r="H62" s="1699"/>
      <c r="I62" s="1700"/>
      <c r="J62" s="1696"/>
      <c r="K62" s="1696"/>
      <c r="L62" s="1701"/>
      <c r="M62" s="1699"/>
      <c r="N62" s="1697"/>
      <c r="O62" s="1698"/>
      <c r="P62" s="1699"/>
      <c r="Q62" s="1700"/>
      <c r="R62" s="1696"/>
      <c r="S62" s="1696"/>
      <c r="T62" s="1701"/>
      <c r="U62" s="1699"/>
      <c r="V62" s="1697"/>
      <c r="W62" s="1698"/>
      <c r="X62" s="1699"/>
      <c r="Y62" s="1700"/>
    </row>
    <row r="63" spans="2:25" ht="22.5" hidden="1" customHeight="1">
      <c r="B63" s="1684" t="s">
        <v>1173</v>
      </c>
      <c r="C63" s="1690"/>
      <c r="D63" s="1682">
        <f>SUM(H63,L63,P63,T63,X63)</f>
        <v>0.65</v>
      </c>
      <c r="E63" s="1683"/>
      <c r="F63" s="1684" t="s">
        <v>1174</v>
      </c>
      <c r="G63" s="1685"/>
      <c r="H63" s="1690">
        <v>0.05</v>
      </c>
      <c r="I63" s="1691"/>
      <c r="J63" s="1690" t="s">
        <v>1175</v>
      </c>
      <c r="K63" s="1690"/>
      <c r="L63" s="1682">
        <v>0.15</v>
      </c>
      <c r="M63" s="1683"/>
      <c r="N63" s="1684" t="s">
        <v>1176</v>
      </c>
      <c r="O63" s="1685"/>
      <c r="P63" s="1683">
        <v>0.15</v>
      </c>
      <c r="Q63" s="1686"/>
      <c r="R63" s="1690" t="s">
        <v>1177</v>
      </c>
      <c r="S63" s="1690"/>
      <c r="T63" s="1682">
        <v>0.15</v>
      </c>
      <c r="U63" s="1683"/>
      <c r="V63" s="1684" t="s">
        <v>1178</v>
      </c>
      <c r="W63" s="1685"/>
      <c r="X63" s="1683">
        <v>0.15</v>
      </c>
      <c r="Y63" s="1686"/>
    </row>
    <row r="64" spans="2:25" ht="22.5" hidden="1" customHeight="1"/>
    <row r="65" spans="2:27" ht="22.5" hidden="1" customHeight="1">
      <c r="B65" s="1687" t="s">
        <v>1179</v>
      </c>
      <c r="C65" s="1688"/>
      <c r="D65" s="1688"/>
      <c r="E65" s="1688"/>
      <c r="F65" s="1688"/>
      <c r="G65" s="1688" t="s">
        <v>1180</v>
      </c>
      <c r="H65" s="1688"/>
      <c r="I65" s="1688"/>
      <c r="J65" s="1688" t="s">
        <v>1181</v>
      </c>
      <c r="K65" s="1688"/>
      <c r="L65" s="1688"/>
      <c r="M65" s="1688"/>
      <c r="N65" s="1688"/>
      <c r="O65" s="1688"/>
      <c r="P65" s="1688"/>
      <c r="Q65" s="1688"/>
      <c r="R65" s="1688"/>
      <c r="S65" s="1688"/>
      <c r="T65" s="1688"/>
      <c r="U65" s="1688" t="s">
        <v>1182</v>
      </c>
      <c r="V65" s="1688"/>
      <c r="W65" s="1688" t="s">
        <v>1183</v>
      </c>
      <c r="X65" s="1688"/>
      <c r="Y65" s="1688"/>
      <c r="Z65" s="1688" t="s">
        <v>1184</v>
      </c>
      <c r="AA65" s="1689"/>
    </row>
    <row r="66" spans="2:27" ht="22.5" hidden="1" customHeight="1">
      <c r="B66" s="1661" t="s">
        <v>1185</v>
      </c>
      <c r="C66" s="1658"/>
      <c r="D66" s="1658"/>
      <c r="E66" s="1658"/>
      <c r="F66" s="1658"/>
      <c r="G66" s="1658"/>
      <c r="H66" s="1658"/>
      <c r="I66" s="1658"/>
      <c r="J66" s="1678">
        <v>1</v>
      </c>
      <c r="K66" s="1679"/>
      <c r="L66" s="667" t="s">
        <v>1186</v>
      </c>
      <c r="M66" s="1679">
        <v>2</v>
      </c>
      <c r="N66" s="1679"/>
      <c r="O66" s="667"/>
      <c r="P66" s="668"/>
      <c r="Q66" s="668"/>
      <c r="R66" s="668"/>
      <c r="S66" s="668"/>
      <c r="T66" s="669"/>
      <c r="U66" s="1657" t="s">
        <v>1187</v>
      </c>
      <c r="V66" s="1657"/>
      <c r="W66" s="1658">
        <f>J66*M66</f>
        <v>2</v>
      </c>
      <c r="X66" s="1658"/>
      <c r="Y66" s="1658"/>
      <c r="Z66" s="1658"/>
      <c r="AA66" s="1659"/>
    </row>
    <row r="67" spans="2:27" ht="22.5" hidden="1" customHeight="1">
      <c r="B67" s="1661" t="s">
        <v>1188</v>
      </c>
      <c r="C67" s="1658"/>
      <c r="D67" s="1658"/>
      <c r="E67" s="1658"/>
      <c r="F67" s="1658"/>
      <c r="G67" s="1658"/>
      <c r="H67" s="1658"/>
      <c r="I67" s="1658"/>
      <c r="J67" s="1681">
        <f>H63+L63</f>
        <v>0.2</v>
      </c>
      <c r="K67" s="1680"/>
      <c r="L67" s="667" t="s">
        <v>1186</v>
      </c>
      <c r="M67" s="1679">
        <f>D62</f>
        <v>0.5</v>
      </c>
      <c r="N67" s="1679"/>
      <c r="O67" s="667" t="s">
        <v>1186</v>
      </c>
      <c r="P67" s="1679">
        <v>1</v>
      </c>
      <c r="Q67" s="1679"/>
      <c r="R67" s="668"/>
      <c r="S67" s="668"/>
      <c r="T67" s="669"/>
      <c r="U67" s="1657" t="s">
        <v>1189</v>
      </c>
      <c r="V67" s="1657"/>
      <c r="W67" s="1658">
        <f>J67*M67*P67</f>
        <v>0.1</v>
      </c>
      <c r="X67" s="1658"/>
      <c r="Y67" s="1658"/>
      <c r="Z67" s="1658"/>
      <c r="AA67" s="1659"/>
    </row>
    <row r="68" spans="2:27" ht="22.5" hidden="1" customHeight="1">
      <c r="B68" s="1661" t="s">
        <v>1190</v>
      </c>
      <c r="C68" s="1658"/>
      <c r="D68" s="1658"/>
      <c r="E68" s="1658"/>
      <c r="F68" s="1658"/>
      <c r="G68" s="1658"/>
      <c r="H68" s="1658"/>
      <c r="I68" s="1658"/>
      <c r="J68" s="1678">
        <f>D62</f>
        <v>0.5</v>
      </c>
      <c r="K68" s="1679"/>
      <c r="L68" s="667" t="s">
        <v>1186</v>
      </c>
      <c r="M68" s="1680">
        <f>D63-H63-L63</f>
        <v>0.44999999999999996</v>
      </c>
      <c r="N68" s="1680"/>
      <c r="O68" s="667" t="s">
        <v>1192</v>
      </c>
      <c r="P68" s="1679">
        <v>1</v>
      </c>
      <c r="Q68" s="1679"/>
      <c r="R68" s="668"/>
      <c r="S68" s="668"/>
      <c r="T68" s="669"/>
      <c r="U68" s="1657" t="s">
        <v>1189</v>
      </c>
      <c r="V68" s="1657"/>
      <c r="W68" s="1658">
        <f>J68*M68*P68</f>
        <v>0.22499999999999998</v>
      </c>
      <c r="X68" s="1658"/>
      <c r="Y68" s="1658"/>
      <c r="Z68" s="1658"/>
      <c r="AA68" s="1659"/>
    </row>
    <row r="69" spans="2:27" ht="22.5" hidden="1" customHeight="1">
      <c r="B69" s="1661" t="s">
        <v>1194</v>
      </c>
      <c r="C69" s="1658"/>
      <c r="D69" s="1658"/>
      <c r="E69" s="1658"/>
      <c r="F69" s="1658"/>
      <c r="G69" s="1658"/>
      <c r="H69" s="1658"/>
      <c r="I69" s="1658"/>
      <c r="J69" s="1678">
        <f>D62</f>
        <v>0.5</v>
      </c>
      <c r="K69" s="1679"/>
      <c r="L69" s="667" t="s">
        <v>1186</v>
      </c>
      <c r="M69" s="1680">
        <f>X63</f>
        <v>0.15</v>
      </c>
      <c r="N69" s="1679"/>
      <c r="O69" s="667" t="s">
        <v>1186</v>
      </c>
      <c r="P69" s="1679">
        <v>1</v>
      </c>
      <c r="Q69" s="1679"/>
      <c r="R69" s="668"/>
      <c r="S69" s="668"/>
      <c r="T69" s="669"/>
      <c r="U69" s="1657" t="s">
        <v>1189</v>
      </c>
      <c r="V69" s="1657"/>
      <c r="W69" s="1658">
        <f>J69*M69*P69</f>
        <v>7.4999999999999997E-2</v>
      </c>
      <c r="X69" s="1658"/>
      <c r="Y69" s="1658"/>
      <c r="Z69" s="1658"/>
      <c r="AA69" s="1659"/>
    </row>
    <row r="70" spans="2:27" ht="22.5" hidden="1" customHeight="1">
      <c r="B70" s="1661" t="s">
        <v>1195</v>
      </c>
      <c r="C70" s="1658"/>
      <c r="D70" s="1658"/>
      <c r="E70" s="1658"/>
      <c r="F70" s="1658"/>
      <c r="G70" s="1658"/>
      <c r="H70" s="1658"/>
      <c r="I70" s="1658"/>
      <c r="J70" s="1678">
        <f>D62</f>
        <v>0.5</v>
      </c>
      <c r="K70" s="1679"/>
      <c r="L70" s="667" t="s">
        <v>1186</v>
      </c>
      <c r="M70" s="1680">
        <f>T63</f>
        <v>0.15</v>
      </c>
      <c r="N70" s="1680"/>
      <c r="O70" s="667" t="s">
        <v>1186</v>
      </c>
      <c r="P70" s="1679">
        <v>1</v>
      </c>
      <c r="Q70" s="1679"/>
      <c r="R70" s="668"/>
      <c r="S70" s="668"/>
      <c r="T70" s="669"/>
      <c r="U70" s="1657" t="s">
        <v>1189</v>
      </c>
      <c r="V70" s="1657"/>
      <c r="W70" s="1658">
        <f>J70*M70*P70</f>
        <v>7.4999999999999997E-2</v>
      </c>
      <c r="X70" s="1658"/>
      <c r="Y70" s="1658"/>
      <c r="Z70" s="1658"/>
      <c r="AA70" s="1659"/>
    </row>
    <row r="71" spans="2:27" ht="22.5" hidden="1" customHeight="1">
      <c r="B71" s="1661" t="s">
        <v>1196</v>
      </c>
      <c r="C71" s="1658"/>
      <c r="D71" s="1658"/>
      <c r="E71" s="1658"/>
      <c r="F71" s="1658"/>
      <c r="G71" s="1658"/>
      <c r="H71" s="1658"/>
      <c r="I71" s="1658"/>
      <c r="J71" s="1678">
        <f>D62</f>
        <v>0.5</v>
      </c>
      <c r="K71" s="1679"/>
      <c r="L71" s="667" t="s">
        <v>1186</v>
      </c>
      <c r="M71" s="1680">
        <f>P63</f>
        <v>0.15</v>
      </c>
      <c r="N71" s="1679"/>
      <c r="O71" s="667" t="s">
        <v>1186</v>
      </c>
      <c r="P71" s="1679">
        <v>1</v>
      </c>
      <c r="Q71" s="1679"/>
      <c r="R71" s="668"/>
      <c r="S71" s="668"/>
      <c r="T71" s="669"/>
      <c r="U71" s="1657" t="s">
        <v>1189</v>
      </c>
      <c r="V71" s="1657"/>
      <c r="W71" s="1658">
        <f>J71*M71*P71</f>
        <v>7.4999999999999997E-2</v>
      </c>
      <c r="X71" s="1658"/>
      <c r="Y71" s="1658"/>
      <c r="Z71" s="1658"/>
      <c r="AA71" s="1659"/>
    </row>
    <row r="72" spans="2:27" ht="22.5" hidden="1" customHeight="1">
      <c r="B72" s="1661" t="s">
        <v>1199</v>
      </c>
      <c r="C72" s="1658"/>
      <c r="D72" s="1658"/>
      <c r="E72" s="1658"/>
      <c r="F72" s="1658"/>
      <c r="G72" s="1658"/>
      <c r="H72" s="1658"/>
      <c r="I72" s="1658"/>
      <c r="J72" s="1678">
        <f>D62</f>
        <v>0.5</v>
      </c>
      <c r="K72" s="1679"/>
      <c r="L72" s="667" t="s">
        <v>1186</v>
      </c>
      <c r="M72" s="1679">
        <v>1</v>
      </c>
      <c r="N72" s="1679"/>
      <c r="O72" s="667" t="s">
        <v>1186</v>
      </c>
      <c r="P72" s="1679">
        <v>1</v>
      </c>
      <c r="Q72" s="1679"/>
      <c r="R72" s="668"/>
      <c r="S72" s="668"/>
      <c r="T72" s="669"/>
      <c r="U72" s="1657" t="s">
        <v>1189</v>
      </c>
      <c r="V72" s="1657"/>
      <c r="W72" s="1658">
        <f>J72*M72/100</f>
        <v>5.0000000000000001E-3</v>
      </c>
      <c r="X72" s="1658"/>
      <c r="Y72" s="1658"/>
      <c r="Z72" s="1658"/>
      <c r="AA72" s="1659"/>
    </row>
    <row r="73" spans="2:27" ht="22.5" hidden="1" customHeight="1">
      <c r="B73" s="1661" t="s">
        <v>1202</v>
      </c>
      <c r="C73" s="1658"/>
      <c r="D73" s="1658"/>
      <c r="E73" s="1658"/>
      <c r="F73" s="1658"/>
      <c r="G73" s="1658" t="s">
        <v>1203</v>
      </c>
      <c r="H73" s="1658"/>
      <c r="I73" s="1658"/>
      <c r="J73" s="1678">
        <f>D62</f>
        <v>0.5</v>
      </c>
      <c r="K73" s="1679"/>
      <c r="L73" s="667" t="s">
        <v>1186</v>
      </c>
      <c r="M73" s="1679">
        <v>2</v>
      </c>
      <c r="N73" s="1679"/>
      <c r="O73" s="670"/>
      <c r="P73" s="1679"/>
      <c r="Q73" s="1679"/>
      <c r="R73" s="668"/>
      <c r="S73" s="668"/>
      <c r="T73" s="669"/>
      <c r="U73" s="1657" t="s">
        <v>1201</v>
      </c>
      <c r="V73" s="1657"/>
      <c r="W73" s="1658">
        <f>J73*M73</f>
        <v>1</v>
      </c>
      <c r="X73" s="1658"/>
      <c r="Y73" s="1658"/>
      <c r="Z73" s="1658"/>
      <c r="AA73" s="1659"/>
    </row>
    <row r="74" spans="2:27" ht="22.5" hidden="1" customHeight="1">
      <c r="B74" s="1661" t="s">
        <v>1204</v>
      </c>
      <c r="C74" s="1658"/>
      <c r="D74" s="1658"/>
      <c r="E74" s="1658"/>
      <c r="F74" s="1658"/>
      <c r="G74" s="1658"/>
      <c r="H74" s="1658"/>
      <c r="I74" s="1658"/>
      <c r="J74" s="1678">
        <f>D62</f>
        <v>0.5</v>
      </c>
      <c r="K74" s="1679"/>
      <c r="L74" s="667" t="s">
        <v>1186</v>
      </c>
      <c r="M74" s="1679">
        <v>2</v>
      </c>
      <c r="N74" s="1679"/>
      <c r="O74" s="670"/>
      <c r="P74" s="1679"/>
      <c r="Q74" s="1679"/>
      <c r="R74" s="668"/>
      <c r="S74" s="668"/>
      <c r="T74" s="669"/>
      <c r="U74" s="1657" t="s">
        <v>1235</v>
      </c>
      <c r="V74" s="1657"/>
      <c r="W74" s="1658">
        <f>J74*M74</f>
        <v>1</v>
      </c>
      <c r="X74" s="1658"/>
      <c r="Y74" s="1658"/>
      <c r="Z74" s="1658"/>
      <c r="AA74" s="1659"/>
    </row>
    <row r="75" spans="2:27" ht="22.5" hidden="1" customHeight="1">
      <c r="B75" s="1661" t="s">
        <v>1205</v>
      </c>
      <c r="C75" s="1658"/>
      <c r="D75" s="1658"/>
      <c r="E75" s="1658"/>
      <c r="F75" s="1658"/>
      <c r="G75" s="1658" t="s">
        <v>1206</v>
      </c>
      <c r="H75" s="1658"/>
      <c r="I75" s="1658"/>
      <c r="J75" s="1678">
        <f>D62</f>
        <v>0.5</v>
      </c>
      <c r="K75" s="1679"/>
      <c r="L75" s="667" t="s">
        <v>1186</v>
      </c>
      <c r="M75" s="1679">
        <v>1</v>
      </c>
      <c r="N75" s="1679"/>
      <c r="O75" s="670"/>
      <c r="P75" s="1679"/>
      <c r="Q75" s="1679"/>
      <c r="R75" s="668"/>
      <c r="S75" s="668"/>
      <c r="T75" s="669"/>
      <c r="U75" s="1657" t="s">
        <v>1201</v>
      </c>
      <c r="V75" s="1657"/>
      <c r="W75" s="1658">
        <f>J75*M75</f>
        <v>0.5</v>
      </c>
      <c r="X75" s="1658"/>
      <c r="Y75" s="1658"/>
      <c r="Z75" s="1658"/>
      <c r="AA75" s="1659"/>
    </row>
    <row r="76" spans="2:27" ht="22.5" hidden="1" customHeight="1">
      <c r="B76" s="1661" t="s">
        <v>1209</v>
      </c>
      <c r="C76" s="1658"/>
      <c r="D76" s="1658"/>
      <c r="E76" s="1658"/>
      <c r="F76" s="1658"/>
      <c r="G76" s="1658"/>
      <c r="H76" s="1658"/>
      <c r="I76" s="1658"/>
      <c r="J76" s="1678">
        <v>1</v>
      </c>
      <c r="K76" s="1679"/>
      <c r="L76" s="667"/>
      <c r="M76" s="668"/>
      <c r="N76" s="668"/>
      <c r="O76" s="667"/>
      <c r="P76" s="668"/>
      <c r="Q76" s="668"/>
      <c r="R76" s="668"/>
      <c r="S76" s="668"/>
      <c r="T76" s="669"/>
      <c r="U76" s="1657" t="s">
        <v>1187</v>
      </c>
      <c r="V76" s="1657"/>
      <c r="W76" s="1658">
        <f>J76</f>
        <v>1</v>
      </c>
      <c r="X76" s="1658"/>
      <c r="Y76" s="1658"/>
      <c r="Z76" s="1658"/>
      <c r="AA76" s="1659"/>
    </row>
    <row r="77" spans="2:27" ht="22.5" hidden="1" customHeight="1">
      <c r="B77" s="1661" t="s">
        <v>1211</v>
      </c>
      <c r="C77" s="1658"/>
      <c r="D77" s="1658"/>
      <c r="E77" s="1658"/>
      <c r="F77" s="1658"/>
      <c r="G77" s="1658"/>
      <c r="H77" s="1658"/>
      <c r="I77" s="1658"/>
      <c r="J77" s="1678">
        <f>W68</f>
        <v>0.22499999999999998</v>
      </c>
      <c r="K77" s="1679"/>
      <c r="L77" s="670" t="s">
        <v>1212</v>
      </c>
      <c r="M77" s="1679">
        <f>W70</f>
        <v>7.4999999999999997E-2</v>
      </c>
      <c r="N77" s="1679"/>
      <c r="O77" s="667"/>
      <c r="P77" s="668"/>
      <c r="Q77" s="668"/>
      <c r="R77" s="668"/>
      <c r="S77" s="668"/>
      <c r="T77" s="669"/>
      <c r="U77" s="1657" t="s">
        <v>1189</v>
      </c>
      <c r="V77" s="1657"/>
      <c r="W77" s="1658">
        <f>J77-M77</f>
        <v>0.14999999999999997</v>
      </c>
      <c r="X77" s="1658"/>
      <c r="Y77" s="1658"/>
      <c r="Z77" s="1658"/>
      <c r="AA77" s="1659"/>
    </row>
    <row r="78" spans="2:27" ht="22.5" hidden="1" customHeight="1">
      <c r="B78" s="1662" t="s">
        <v>1213</v>
      </c>
      <c r="C78" s="1663"/>
      <c r="D78" s="1663"/>
      <c r="E78" s="1663"/>
      <c r="F78" s="1663"/>
      <c r="G78" s="1663"/>
      <c r="H78" s="1663"/>
      <c r="I78" s="1663"/>
      <c r="J78" s="1675">
        <f>D62</f>
        <v>0.5</v>
      </c>
      <c r="K78" s="1676"/>
      <c r="L78" s="671" t="s">
        <v>1186</v>
      </c>
      <c r="M78" s="1677">
        <f>H63+L63</f>
        <v>0.2</v>
      </c>
      <c r="N78" s="1676"/>
      <c r="O78" s="671" t="s">
        <v>1186</v>
      </c>
      <c r="P78" s="1676">
        <v>2.35</v>
      </c>
      <c r="Q78" s="1676"/>
      <c r="R78" s="672"/>
      <c r="S78" s="672"/>
      <c r="T78" s="673"/>
      <c r="U78" s="1664" t="s">
        <v>1214</v>
      </c>
      <c r="V78" s="1664"/>
      <c r="W78" s="1663">
        <f>J78*M78*P78</f>
        <v>0.23500000000000001</v>
      </c>
      <c r="X78" s="1663"/>
      <c r="Y78" s="1663"/>
      <c r="Z78" s="1663"/>
      <c r="AA78" s="1665"/>
    </row>
    <row r="79" spans="2:27" ht="22.5" hidden="1" customHeight="1">
      <c r="J79" s="196"/>
      <c r="K79" s="196"/>
      <c r="L79" s="196"/>
      <c r="M79" s="933"/>
      <c r="N79" s="196"/>
      <c r="O79" s="196"/>
      <c r="P79" s="196"/>
      <c r="Q79" s="196"/>
      <c r="U79" s="196"/>
      <c r="V79" s="196"/>
    </row>
    <row r="80" spans="2:27" ht="22.5" hidden="1" customHeight="1">
      <c r="J80" s="196"/>
      <c r="K80" s="196"/>
      <c r="L80" s="196"/>
      <c r="M80" s="933"/>
      <c r="N80" s="196"/>
      <c r="O80" s="196"/>
      <c r="P80" s="196"/>
      <c r="Q80" s="196"/>
      <c r="U80" s="196"/>
      <c r="V80" s="196"/>
    </row>
    <row r="81" spans="1:27" ht="31.5" hidden="1" customHeight="1">
      <c r="A81" s="1692" t="s">
        <v>1344</v>
      </c>
      <c r="B81" s="1692"/>
      <c r="C81" s="1692"/>
      <c r="D81" s="1692"/>
      <c r="E81" s="1692"/>
      <c r="F81" s="1692"/>
      <c r="G81" s="1692"/>
      <c r="H81" s="1692"/>
      <c r="I81" s="1692"/>
      <c r="J81" s="1692"/>
      <c r="K81" s="1692"/>
      <c r="L81" s="1692"/>
      <c r="M81" s="1692"/>
      <c r="N81" s="1692"/>
      <c r="O81" s="1692"/>
      <c r="P81" s="1692"/>
      <c r="Q81" s="1692"/>
      <c r="R81" s="1692"/>
      <c r="S81" s="1692"/>
      <c r="T81" s="1692"/>
      <c r="U81" s="1692"/>
      <c r="V81" s="1692"/>
      <c r="W81" s="1692"/>
      <c r="X81" s="1692"/>
      <c r="Y81" s="1692"/>
      <c r="Z81" s="1692"/>
      <c r="AA81" s="1692"/>
    </row>
    <row r="82" spans="1:27" ht="16.5" hidden="1" customHeight="1"/>
    <row r="83" spans="1:27" ht="16.5" hidden="1" customHeight="1"/>
    <row r="84" spans="1:27" ht="16.5" hidden="1" customHeight="1"/>
    <row r="85" spans="1:27" ht="16.5" hidden="1" customHeight="1"/>
    <row r="86" spans="1:27" ht="16.5" hidden="1" customHeight="1"/>
    <row r="87" spans="1:27" ht="16.5" hidden="1" customHeight="1"/>
    <row r="88" spans="1:27" ht="16.5" hidden="1" customHeight="1"/>
    <row r="89" spans="1:27" ht="16.5" hidden="1" customHeight="1"/>
    <row r="90" spans="1:27" ht="16.5" hidden="1" customHeight="1"/>
    <row r="91" spans="1:27" ht="16.5" hidden="1" customHeight="1"/>
    <row r="92" spans="1:27" ht="16.5" hidden="1" customHeight="1"/>
    <row r="93" spans="1:27" ht="16.5" hidden="1" customHeight="1">
      <c r="E93" t="s">
        <v>1360</v>
      </c>
    </row>
    <row r="94" spans="1:27" ht="16.5" hidden="1" customHeight="1"/>
    <row r="95" spans="1:27" ht="16.5" hidden="1" customHeight="1"/>
    <row r="96" spans="1:27" ht="16.5" hidden="1" customHeight="1"/>
    <row r="97" spans="2:27" ht="16.5" hidden="1" customHeight="1"/>
    <row r="98" spans="2:27" ht="16.5" hidden="1" customHeight="1"/>
    <row r="99" spans="2:27" ht="16.5" hidden="1" customHeight="1"/>
    <row r="100" spans="2:27" ht="16.5" hidden="1" customHeight="1"/>
    <row r="101" spans="2:27" ht="16.5" hidden="1" customHeight="1"/>
    <row r="102" spans="2:27" ht="22.5" hidden="1" customHeight="1">
      <c r="B102" s="1693" t="s">
        <v>1172</v>
      </c>
      <c r="C102" s="1694"/>
      <c r="D102" s="1695">
        <v>0.5</v>
      </c>
      <c r="E102" s="1696"/>
      <c r="F102" s="1697"/>
      <c r="G102" s="1698"/>
      <c r="H102" s="1699"/>
      <c r="I102" s="1700"/>
      <c r="J102" s="1696"/>
      <c r="K102" s="1696"/>
      <c r="L102" s="1701"/>
      <c r="M102" s="1699"/>
      <c r="N102" s="1697"/>
      <c r="O102" s="1698"/>
      <c r="P102" s="1699"/>
      <c r="Q102" s="1700"/>
      <c r="R102" s="1696"/>
      <c r="S102" s="1696"/>
      <c r="T102" s="1701"/>
      <c r="U102" s="1699"/>
      <c r="V102" s="1697"/>
      <c r="W102" s="1698"/>
      <c r="X102" s="1699"/>
      <c r="Y102" s="1700"/>
    </row>
    <row r="103" spans="2:27" ht="22.5" hidden="1" customHeight="1">
      <c r="B103" s="1684" t="s">
        <v>1173</v>
      </c>
      <c r="C103" s="1690"/>
      <c r="D103" s="1682">
        <v>0.65</v>
      </c>
      <c r="E103" s="1683"/>
      <c r="F103" s="1684" t="s">
        <v>1174</v>
      </c>
      <c r="G103" s="1685"/>
      <c r="H103" s="1690">
        <v>0.05</v>
      </c>
      <c r="I103" s="1691"/>
      <c r="J103" s="1690" t="s">
        <v>1175</v>
      </c>
      <c r="K103" s="1690"/>
      <c r="L103" s="1682">
        <v>0.1</v>
      </c>
      <c r="M103" s="1683"/>
      <c r="N103" s="1684" t="s">
        <v>1176</v>
      </c>
      <c r="O103" s="1685"/>
      <c r="P103" s="1683">
        <v>0.3</v>
      </c>
      <c r="Q103" s="1686"/>
      <c r="R103" s="1690" t="s">
        <v>1177</v>
      </c>
      <c r="S103" s="1690"/>
      <c r="T103" s="1682">
        <v>0.45</v>
      </c>
      <c r="U103" s="1683"/>
      <c r="V103" s="1684" t="s">
        <v>1178</v>
      </c>
      <c r="W103" s="1685"/>
      <c r="X103" s="1683">
        <v>0.35</v>
      </c>
      <c r="Y103" s="1686"/>
    </row>
    <row r="104" spans="2:27" ht="22.5" hidden="1" customHeight="1"/>
    <row r="105" spans="2:27" ht="22.5" hidden="1" customHeight="1">
      <c r="B105" s="1687" t="s">
        <v>1179</v>
      </c>
      <c r="C105" s="1688"/>
      <c r="D105" s="1688"/>
      <c r="E105" s="1688"/>
      <c r="F105" s="1688"/>
      <c r="G105" s="1688" t="s">
        <v>1180</v>
      </c>
      <c r="H105" s="1688"/>
      <c r="I105" s="1688"/>
      <c r="J105" s="1688" t="s">
        <v>1181</v>
      </c>
      <c r="K105" s="1688"/>
      <c r="L105" s="1688"/>
      <c r="M105" s="1688"/>
      <c r="N105" s="1688"/>
      <c r="O105" s="1688"/>
      <c r="P105" s="1688"/>
      <c r="Q105" s="1688"/>
      <c r="R105" s="1688"/>
      <c r="S105" s="1688"/>
      <c r="T105" s="1688"/>
      <c r="U105" s="1688" t="s">
        <v>1182</v>
      </c>
      <c r="V105" s="1688"/>
      <c r="W105" s="1688" t="s">
        <v>1183</v>
      </c>
      <c r="X105" s="1688"/>
      <c r="Y105" s="1688"/>
      <c r="Z105" s="1688" t="s">
        <v>1184</v>
      </c>
      <c r="AA105" s="1689"/>
    </row>
    <row r="106" spans="2:27" ht="19.5" hidden="1" customHeight="1">
      <c r="B106" s="1661" t="s">
        <v>1185</v>
      </c>
      <c r="C106" s="1658"/>
      <c r="D106" s="1658"/>
      <c r="E106" s="1658"/>
      <c r="F106" s="1658"/>
      <c r="G106" s="1658"/>
      <c r="H106" s="1658"/>
      <c r="I106" s="1658"/>
      <c r="J106" s="1678">
        <v>1</v>
      </c>
      <c r="K106" s="1679"/>
      <c r="L106" s="667" t="s">
        <v>1186</v>
      </c>
      <c r="M106" s="1679">
        <v>2</v>
      </c>
      <c r="N106" s="1679"/>
      <c r="O106" s="667"/>
      <c r="P106" s="668"/>
      <c r="Q106" s="668"/>
      <c r="R106" s="668"/>
      <c r="S106" s="668"/>
      <c r="T106" s="669"/>
      <c r="U106" s="1657" t="s">
        <v>1187</v>
      </c>
      <c r="V106" s="1657"/>
      <c r="W106" s="1658">
        <f>J106*M106</f>
        <v>2</v>
      </c>
      <c r="X106" s="1658"/>
      <c r="Y106" s="1658"/>
      <c r="Z106" s="1658"/>
      <c r="AA106" s="1659"/>
    </row>
    <row r="107" spans="2:27" ht="19.5" hidden="1" customHeight="1">
      <c r="B107" s="1661" t="s">
        <v>1188</v>
      </c>
      <c r="C107" s="1658"/>
      <c r="D107" s="1658"/>
      <c r="E107" s="1658"/>
      <c r="F107" s="1658"/>
      <c r="G107" s="1658"/>
      <c r="H107" s="1658"/>
      <c r="I107" s="1658"/>
      <c r="J107" s="1681">
        <f>H103+L103</f>
        <v>0.15000000000000002</v>
      </c>
      <c r="K107" s="1680"/>
      <c r="L107" s="667" t="s">
        <v>1186</v>
      </c>
      <c r="M107" s="1679">
        <f>D102</f>
        <v>0.5</v>
      </c>
      <c r="N107" s="1679"/>
      <c r="O107" s="667" t="s">
        <v>1186</v>
      </c>
      <c r="P107" s="1679">
        <v>1</v>
      </c>
      <c r="Q107" s="1679"/>
      <c r="R107" s="668"/>
      <c r="S107" s="668"/>
      <c r="T107" s="669"/>
      <c r="U107" s="1657" t="s">
        <v>1189</v>
      </c>
      <c r="V107" s="1657"/>
      <c r="W107" s="1658">
        <f>J107*M107*P107</f>
        <v>7.5000000000000011E-2</v>
      </c>
      <c r="X107" s="1658"/>
      <c r="Y107" s="1658"/>
      <c r="Z107" s="1658"/>
      <c r="AA107" s="1659"/>
    </row>
    <row r="108" spans="2:27" ht="19.5" hidden="1" customHeight="1">
      <c r="B108" s="1661" t="s">
        <v>1190</v>
      </c>
      <c r="C108" s="1658"/>
      <c r="D108" s="1658"/>
      <c r="E108" s="1658"/>
      <c r="F108" s="1658"/>
      <c r="G108" s="1658"/>
      <c r="H108" s="1658"/>
      <c r="I108" s="1658"/>
      <c r="J108" s="1678">
        <f>D102</f>
        <v>0.5</v>
      </c>
      <c r="K108" s="1679"/>
      <c r="L108" s="667" t="s">
        <v>1191</v>
      </c>
      <c r="M108" s="1680">
        <f>D103-H103-L103</f>
        <v>0.5</v>
      </c>
      <c r="N108" s="1680"/>
      <c r="O108" s="667" t="s">
        <v>1192</v>
      </c>
      <c r="P108" s="1679">
        <v>1</v>
      </c>
      <c r="Q108" s="1679"/>
      <c r="R108" s="668"/>
      <c r="S108" s="668"/>
      <c r="T108" s="669"/>
      <c r="U108" s="1657" t="s">
        <v>1193</v>
      </c>
      <c r="V108" s="1657"/>
      <c r="W108" s="1658">
        <f>J108*M108*P108</f>
        <v>0.25</v>
      </c>
      <c r="X108" s="1658"/>
      <c r="Y108" s="1658"/>
      <c r="Z108" s="1658"/>
      <c r="AA108" s="1659"/>
    </row>
    <row r="109" spans="2:27" ht="19.5" hidden="1" customHeight="1">
      <c r="B109" s="1661" t="s">
        <v>1194</v>
      </c>
      <c r="C109" s="1658"/>
      <c r="D109" s="1658"/>
      <c r="E109" s="1658"/>
      <c r="F109" s="1658"/>
      <c r="G109" s="1658"/>
      <c r="H109" s="1658"/>
      <c r="I109" s="1658"/>
      <c r="J109" s="1678">
        <f>D102</f>
        <v>0.5</v>
      </c>
      <c r="K109" s="1679"/>
      <c r="L109" s="667" t="s">
        <v>1186</v>
      </c>
      <c r="M109" s="1680">
        <f>X103</f>
        <v>0.35</v>
      </c>
      <c r="N109" s="1679"/>
      <c r="O109" s="667" t="s">
        <v>1186</v>
      </c>
      <c r="P109" s="1679">
        <v>1</v>
      </c>
      <c r="Q109" s="1679"/>
      <c r="R109" s="668"/>
      <c r="S109" s="668"/>
      <c r="T109" s="669"/>
      <c r="U109" s="1657" t="s">
        <v>1189</v>
      </c>
      <c r="V109" s="1657"/>
      <c r="W109" s="1658">
        <f>J109*M109*P109</f>
        <v>0.17499999999999999</v>
      </c>
      <c r="X109" s="1658"/>
      <c r="Y109" s="1658"/>
      <c r="Z109" s="1658"/>
      <c r="AA109" s="1659"/>
    </row>
    <row r="110" spans="2:27" ht="19.5" hidden="1" customHeight="1">
      <c r="B110" s="1661" t="s">
        <v>1195</v>
      </c>
      <c r="C110" s="1658"/>
      <c r="D110" s="1658"/>
      <c r="E110" s="1658"/>
      <c r="F110" s="1658"/>
      <c r="G110" s="1658"/>
      <c r="H110" s="1658"/>
      <c r="I110" s="1658"/>
      <c r="J110" s="1678">
        <f>D102</f>
        <v>0.5</v>
      </c>
      <c r="K110" s="1679"/>
      <c r="L110" s="667" t="s">
        <v>1186</v>
      </c>
      <c r="M110" s="1680">
        <f>T103</f>
        <v>0.45</v>
      </c>
      <c r="N110" s="1680"/>
      <c r="O110" s="667" t="s">
        <v>1186</v>
      </c>
      <c r="P110" s="1679">
        <v>1</v>
      </c>
      <c r="Q110" s="1679"/>
      <c r="R110" s="668"/>
      <c r="S110" s="668"/>
      <c r="T110" s="669"/>
      <c r="U110" s="1657" t="s">
        <v>1189</v>
      </c>
      <c r="V110" s="1657"/>
      <c r="W110" s="1658">
        <f>J110*M110*P110</f>
        <v>0.22500000000000001</v>
      </c>
      <c r="X110" s="1658"/>
      <c r="Y110" s="1658"/>
      <c r="Z110" s="1658"/>
      <c r="AA110" s="1659"/>
    </row>
    <row r="111" spans="2:27" ht="19.5" hidden="1" customHeight="1">
      <c r="B111" s="1661" t="s">
        <v>1196</v>
      </c>
      <c r="C111" s="1658"/>
      <c r="D111" s="1658"/>
      <c r="E111" s="1658"/>
      <c r="F111" s="1658"/>
      <c r="G111" s="1658"/>
      <c r="H111" s="1658"/>
      <c r="I111" s="1658"/>
      <c r="J111" s="1678">
        <f>D102</f>
        <v>0.5</v>
      </c>
      <c r="K111" s="1679"/>
      <c r="L111" s="667" t="s">
        <v>1186</v>
      </c>
      <c r="M111" s="1680">
        <f>P103</f>
        <v>0.3</v>
      </c>
      <c r="N111" s="1679"/>
      <c r="O111" s="667" t="s">
        <v>1197</v>
      </c>
      <c r="P111" s="1679">
        <v>1</v>
      </c>
      <c r="Q111" s="1679"/>
      <c r="R111" s="668"/>
      <c r="S111" s="668"/>
      <c r="T111" s="669"/>
      <c r="U111" s="1657" t="s">
        <v>1198</v>
      </c>
      <c r="V111" s="1657"/>
      <c r="W111" s="1658">
        <f>J111*M111*P111</f>
        <v>0.15</v>
      </c>
      <c r="X111" s="1658"/>
      <c r="Y111" s="1658"/>
      <c r="Z111" s="1658"/>
      <c r="AA111" s="1659"/>
    </row>
    <row r="112" spans="2:27" ht="19.5" hidden="1" customHeight="1">
      <c r="B112" s="1661" t="s">
        <v>1199</v>
      </c>
      <c r="C112" s="1658"/>
      <c r="D112" s="1658"/>
      <c r="E112" s="1658"/>
      <c r="F112" s="1658"/>
      <c r="G112" s="1658"/>
      <c r="H112" s="1658"/>
      <c r="I112" s="1658"/>
      <c r="J112" s="1678">
        <f>D102</f>
        <v>0.5</v>
      </c>
      <c r="K112" s="1679"/>
      <c r="L112" s="667" t="s">
        <v>1200</v>
      </c>
      <c r="M112" s="1679">
        <v>1</v>
      </c>
      <c r="N112" s="1679"/>
      <c r="O112" s="667" t="s">
        <v>1186</v>
      </c>
      <c r="P112" s="1679">
        <v>1</v>
      </c>
      <c r="Q112" s="1679"/>
      <c r="R112" s="668"/>
      <c r="S112" s="668"/>
      <c r="T112" s="669"/>
      <c r="U112" s="1657" t="s">
        <v>1189</v>
      </c>
      <c r="V112" s="1657"/>
      <c r="W112" s="1658">
        <f>J112*M112/100</f>
        <v>5.0000000000000001E-3</v>
      </c>
      <c r="X112" s="1658"/>
      <c r="Y112" s="1658"/>
      <c r="Z112" s="1658"/>
      <c r="AA112" s="1659"/>
    </row>
    <row r="113" spans="1:27" ht="19.5" hidden="1" customHeight="1">
      <c r="B113" s="1661" t="s">
        <v>1202</v>
      </c>
      <c r="C113" s="1658"/>
      <c r="D113" s="1658"/>
      <c r="E113" s="1658"/>
      <c r="F113" s="1658"/>
      <c r="G113" s="1658"/>
      <c r="H113" s="1658"/>
      <c r="I113" s="1658"/>
      <c r="J113" s="1678">
        <f>D102</f>
        <v>0.5</v>
      </c>
      <c r="K113" s="1679"/>
      <c r="L113" s="667" t="s">
        <v>1200</v>
      </c>
      <c r="M113" s="1679">
        <v>1</v>
      </c>
      <c r="N113" s="1679"/>
      <c r="O113" s="670"/>
      <c r="P113" s="1679"/>
      <c r="Q113" s="1679"/>
      <c r="R113" s="668"/>
      <c r="S113" s="668"/>
      <c r="T113" s="669"/>
      <c r="U113" s="1657" t="s">
        <v>1201</v>
      </c>
      <c r="V113" s="1657"/>
      <c r="W113" s="1658">
        <f>J113*M113</f>
        <v>0.5</v>
      </c>
      <c r="X113" s="1658"/>
      <c r="Y113" s="1658"/>
      <c r="Z113" s="1658"/>
      <c r="AA113" s="1659"/>
    </row>
    <row r="114" spans="1:27" s="931" customFormat="1" ht="19.5" hidden="1" customHeight="1">
      <c r="B114" s="1668" t="s">
        <v>1490</v>
      </c>
      <c r="C114" s="1669"/>
      <c r="D114" s="1669"/>
      <c r="E114" s="1669"/>
      <c r="F114" s="1669"/>
      <c r="G114" s="1669" t="s">
        <v>1491</v>
      </c>
      <c r="H114" s="1669"/>
      <c r="I114" s="1669"/>
      <c r="J114" s="1670">
        <f>D102</f>
        <v>0.5</v>
      </c>
      <c r="K114" s="1671"/>
      <c r="L114" s="932" t="s">
        <v>1492</v>
      </c>
      <c r="M114" s="1672">
        <f>L103</f>
        <v>0.1</v>
      </c>
      <c r="N114" s="1671"/>
      <c r="O114" s="932" t="s">
        <v>1492</v>
      </c>
      <c r="P114" s="1671">
        <v>1</v>
      </c>
      <c r="Q114" s="1671"/>
      <c r="R114" s="932" t="s">
        <v>1492</v>
      </c>
      <c r="S114" s="1671">
        <v>2.3199999999999998</v>
      </c>
      <c r="T114" s="1671"/>
      <c r="U114" s="1673" t="s">
        <v>1494</v>
      </c>
      <c r="V114" s="1673"/>
      <c r="W114" s="1669">
        <f>J114*M114*P114*S114</f>
        <v>0.11599999999999999</v>
      </c>
      <c r="X114" s="1669"/>
      <c r="Y114" s="1669"/>
      <c r="Z114" s="1669"/>
      <c r="AA114" s="1674"/>
    </row>
    <row r="115" spans="1:27" ht="19.5" hidden="1" customHeight="1">
      <c r="B115" s="1661" t="s">
        <v>1204</v>
      </c>
      <c r="C115" s="1658"/>
      <c r="D115" s="1658"/>
      <c r="E115" s="1658"/>
      <c r="F115" s="1658"/>
      <c r="G115" s="1658"/>
      <c r="H115" s="1658"/>
      <c r="I115" s="1658"/>
      <c r="J115" s="1678">
        <f>D102</f>
        <v>0.5</v>
      </c>
      <c r="K115" s="1679"/>
      <c r="L115" s="667" t="s">
        <v>1200</v>
      </c>
      <c r="M115" s="1679">
        <v>1</v>
      </c>
      <c r="N115" s="1679"/>
      <c r="O115" s="670"/>
      <c r="P115" s="1679"/>
      <c r="Q115" s="1679"/>
      <c r="R115" s="668"/>
      <c r="S115" s="668"/>
      <c r="T115" s="669"/>
      <c r="U115" s="1657" t="s">
        <v>1201</v>
      </c>
      <c r="V115" s="1657"/>
      <c r="W115" s="1658">
        <f>J115*M115</f>
        <v>0.5</v>
      </c>
      <c r="X115" s="1658"/>
      <c r="Y115" s="1658"/>
      <c r="Z115" s="1658"/>
      <c r="AA115" s="1659"/>
    </row>
    <row r="116" spans="1:27" ht="19.5" hidden="1" customHeight="1">
      <c r="B116" s="1661" t="s">
        <v>1205</v>
      </c>
      <c r="C116" s="1658"/>
      <c r="D116" s="1658"/>
      <c r="E116" s="1658"/>
      <c r="F116" s="1658"/>
      <c r="G116" s="1658"/>
      <c r="H116" s="1658"/>
      <c r="I116" s="1658"/>
      <c r="J116" s="1678">
        <f>D102</f>
        <v>0.5</v>
      </c>
      <c r="K116" s="1679"/>
      <c r="L116" s="667" t="s">
        <v>1207</v>
      </c>
      <c r="M116" s="1679">
        <v>1</v>
      </c>
      <c r="N116" s="1679"/>
      <c r="O116" s="670"/>
      <c r="P116" s="1679"/>
      <c r="Q116" s="1679"/>
      <c r="R116" s="668"/>
      <c r="S116" s="668"/>
      <c r="T116" s="669"/>
      <c r="U116" s="1657" t="s">
        <v>1208</v>
      </c>
      <c r="V116" s="1657"/>
      <c r="W116" s="1658">
        <f>J116*M116</f>
        <v>0.5</v>
      </c>
      <c r="X116" s="1658"/>
      <c r="Y116" s="1658"/>
      <c r="Z116" s="1658"/>
      <c r="AA116" s="1659"/>
    </row>
    <row r="117" spans="1:27" s="931" customFormat="1" ht="19.5" hidden="1" customHeight="1">
      <c r="B117" s="1668" t="s">
        <v>1495</v>
      </c>
      <c r="C117" s="1669"/>
      <c r="D117" s="1669"/>
      <c r="E117" s="1669"/>
      <c r="F117" s="1669"/>
      <c r="G117" s="1669" t="s">
        <v>1496</v>
      </c>
      <c r="H117" s="1669"/>
      <c r="I117" s="1669"/>
      <c r="J117" s="1670">
        <f>D102</f>
        <v>0.5</v>
      </c>
      <c r="K117" s="1671"/>
      <c r="L117" s="932" t="s">
        <v>1492</v>
      </c>
      <c r="M117" s="1671">
        <f>H103</f>
        <v>0.05</v>
      </c>
      <c r="N117" s="1671"/>
      <c r="O117" s="932" t="s">
        <v>1492</v>
      </c>
      <c r="P117" s="1671">
        <v>1</v>
      </c>
      <c r="Q117" s="1671"/>
      <c r="R117" s="932" t="s">
        <v>1492</v>
      </c>
      <c r="S117" s="1671">
        <v>2.34</v>
      </c>
      <c r="T117" s="1671"/>
      <c r="U117" s="1673" t="s">
        <v>1493</v>
      </c>
      <c r="V117" s="1673"/>
      <c r="W117" s="1669">
        <f>J117*M117*P117*S117</f>
        <v>5.8499999999999996E-2</v>
      </c>
      <c r="X117" s="1669"/>
      <c r="Y117" s="1669"/>
      <c r="Z117" s="1669"/>
      <c r="AA117" s="1674"/>
    </row>
    <row r="118" spans="1:27" ht="19.5" hidden="1" customHeight="1">
      <c r="B118" s="1661" t="s">
        <v>1209</v>
      </c>
      <c r="C118" s="1658"/>
      <c r="D118" s="1658"/>
      <c r="E118" s="1658"/>
      <c r="F118" s="1658"/>
      <c r="G118" s="1658"/>
      <c r="H118" s="1658"/>
      <c r="I118" s="1658"/>
      <c r="J118" s="1678">
        <v>1</v>
      </c>
      <c r="K118" s="1679"/>
      <c r="L118" s="667"/>
      <c r="M118" s="668"/>
      <c r="N118" s="668"/>
      <c r="O118" s="667"/>
      <c r="P118" s="668"/>
      <c r="Q118" s="668"/>
      <c r="R118" s="668"/>
      <c r="S118" s="668"/>
      <c r="T118" s="669"/>
      <c r="U118" s="1657" t="s">
        <v>1210</v>
      </c>
      <c r="V118" s="1657"/>
      <c r="W118" s="1658">
        <f>J118</f>
        <v>1</v>
      </c>
      <c r="X118" s="1658"/>
      <c r="Y118" s="1658"/>
      <c r="Z118" s="1658"/>
      <c r="AA118" s="1659"/>
    </row>
    <row r="119" spans="1:27" ht="19.5" hidden="1" customHeight="1">
      <c r="B119" s="1661" t="s">
        <v>1211</v>
      </c>
      <c r="C119" s="1658"/>
      <c r="D119" s="1658"/>
      <c r="E119" s="1658"/>
      <c r="F119" s="1658"/>
      <c r="G119" s="1658"/>
      <c r="H119" s="1658"/>
      <c r="I119" s="1658"/>
      <c r="J119" s="1678">
        <f>W108</f>
        <v>0.25</v>
      </c>
      <c r="K119" s="1679"/>
      <c r="L119" s="670" t="s">
        <v>1212</v>
      </c>
      <c r="M119" s="1679">
        <f>W110</f>
        <v>0.22500000000000001</v>
      </c>
      <c r="N119" s="1679"/>
      <c r="O119" s="667"/>
      <c r="P119" s="668"/>
      <c r="Q119" s="668"/>
      <c r="R119" s="668"/>
      <c r="S119" s="668"/>
      <c r="T119" s="669"/>
      <c r="U119" s="1657" t="s">
        <v>1189</v>
      </c>
      <c r="V119" s="1657"/>
      <c r="W119" s="1658">
        <f>J119-M119</f>
        <v>2.4999999999999994E-2</v>
      </c>
      <c r="X119" s="1658"/>
      <c r="Y119" s="1658"/>
      <c r="Z119" s="1658"/>
      <c r="AA119" s="1659"/>
    </row>
    <row r="120" spans="1:27" ht="19.5" hidden="1" customHeight="1">
      <c r="B120" s="1662" t="s">
        <v>1213</v>
      </c>
      <c r="C120" s="1663"/>
      <c r="D120" s="1663"/>
      <c r="E120" s="1663"/>
      <c r="F120" s="1663"/>
      <c r="G120" s="1663"/>
      <c r="H120" s="1663"/>
      <c r="I120" s="1663"/>
      <c r="J120" s="1675">
        <f>D102</f>
        <v>0.5</v>
      </c>
      <c r="K120" s="1676"/>
      <c r="L120" s="671" t="s">
        <v>1186</v>
      </c>
      <c r="M120" s="1677">
        <f>H103+L103</f>
        <v>0.15000000000000002</v>
      </c>
      <c r="N120" s="1676"/>
      <c r="O120" s="671" t="s">
        <v>1186</v>
      </c>
      <c r="P120" s="1676">
        <v>2.35</v>
      </c>
      <c r="Q120" s="1676"/>
      <c r="R120" s="672"/>
      <c r="S120" s="672"/>
      <c r="T120" s="673"/>
      <c r="U120" s="1664" t="s">
        <v>1214</v>
      </c>
      <c r="V120" s="1664"/>
      <c r="W120" s="1663">
        <f>J120*M120*P120</f>
        <v>0.17625000000000005</v>
      </c>
      <c r="X120" s="1663"/>
      <c r="Y120" s="1663"/>
      <c r="Z120" s="1663"/>
      <c r="AA120" s="1665"/>
    </row>
    <row r="121" spans="1:27" ht="19.5" hidden="1" customHeight="1">
      <c r="J121" s="196"/>
      <c r="K121" s="196"/>
      <c r="L121" s="196"/>
      <c r="M121" s="933"/>
      <c r="N121" s="196"/>
      <c r="O121" s="196"/>
      <c r="P121" s="196"/>
      <c r="Q121" s="196"/>
      <c r="U121" s="196"/>
      <c r="V121" s="196"/>
    </row>
    <row r="122" spans="1:27" ht="19.5" hidden="1" customHeight="1">
      <c r="J122" s="196"/>
      <c r="K122" s="196"/>
      <c r="L122" s="196"/>
      <c r="M122" s="933"/>
      <c r="N122" s="196"/>
      <c r="O122" s="196"/>
      <c r="P122" s="196"/>
      <c r="Q122" s="196"/>
      <c r="U122" s="196"/>
      <c r="V122" s="196"/>
    </row>
    <row r="123" spans="1:27" ht="31.5" customHeight="1">
      <c r="A123" s="1692" t="s">
        <v>1215</v>
      </c>
      <c r="B123" s="1692"/>
      <c r="C123" s="1692"/>
      <c r="D123" s="1692"/>
      <c r="E123" s="1692"/>
      <c r="F123" s="1692"/>
      <c r="G123" s="1692"/>
      <c r="H123" s="1692"/>
      <c r="I123" s="1692"/>
      <c r="J123" s="1692"/>
      <c r="K123" s="1692"/>
      <c r="L123" s="1692"/>
      <c r="M123" s="1692"/>
      <c r="N123" s="1692"/>
      <c r="O123" s="1692"/>
      <c r="P123" s="1692"/>
      <c r="Q123" s="1692"/>
      <c r="R123" s="1692"/>
      <c r="S123" s="1692"/>
      <c r="T123" s="1692"/>
      <c r="U123" s="1692"/>
      <c r="V123" s="1692"/>
      <c r="W123" s="1692"/>
      <c r="X123" s="1692"/>
      <c r="Y123" s="1692"/>
      <c r="Z123" s="1692"/>
      <c r="AA123" s="1692"/>
    </row>
    <row r="124" spans="1:27" ht="16.5" customHeight="1"/>
    <row r="125" spans="1:27" ht="16.5" customHeight="1"/>
    <row r="126" spans="1:27" ht="16.5" customHeight="1"/>
    <row r="127" spans="1:27" ht="16.5" customHeight="1"/>
    <row r="128" spans="1:27" ht="16.5" customHeight="1"/>
    <row r="129" spans="2:25" ht="16.5" customHeight="1"/>
    <row r="130" spans="2:25" ht="16.5" customHeight="1"/>
    <row r="131" spans="2:25" ht="16.5" customHeight="1"/>
    <row r="132" spans="2:25" ht="16.5" customHeight="1"/>
    <row r="133" spans="2:25" ht="16.5" customHeight="1"/>
    <row r="134" spans="2:25" ht="16.5" customHeight="1"/>
    <row r="135" spans="2:25" ht="16.5" customHeight="1"/>
    <row r="136" spans="2:25" ht="16.5" customHeight="1"/>
    <row r="137" spans="2:25" ht="16.5" customHeight="1"/>
    <row r="138" spans="2:25" ht="16.5" customHeight="1"/>
    <row r="139" spans="2:25" ht="16.5" customHeight="1"/>
    <row r="140" spans="2:25" ht="16.5" customHeight="1"/>
    <row r="141" spans="2:25" ht="16.5" customHeight="1"/>
    <row r="142" spans="2:25" ht="16.5" customHeight="1"/>
    <row r="143" spans="2:25" ht="16.5" customHeight="1"/>
    <row r="144" spans="2:25" ht="22.5" customHeight="1">
      <c r="B144" s="1684" t="s">
        <v>1216</v>
      </c>
      <c r="C144" s="1685"/>
      <c r="D144" s="1702">
        <v>0.5</v>
      </c>
      <c r="E144" s="1691"/>
      <c r="F144" s="1684" t="s">
        <v>1172</v>
      </c>
      <c r="G144" s="1685"/>
      <c r="H144" s="1682">
        <v>0.4</v>
      </c>
      <c r="I144" s="1686"/>
      <c r="J144" s="1684"/>
      <c r="K144" s="1685"/>
      <c r="L144" s="1682"/>
      <c r="M144" s="1686"/>
      <c r="N144" s="1684"/>
      <c r="O144" s="1685"/>
      <c r="P144" s="1682"/>
      <c r="Q144" s="1686"/>
      <c r="R144" s="1684"/>
      <c r="S144" s="1685"/>
      <c r="T144" s="1682"/>
      <c r="U144" s="1686"/>
      <c r="V144" s="1684"/>
      <c r="W144" s="1685"/>
      <c r="X144" s="1682"/>
      <c r="Y144" s="1686"/>
    </row>
    <row r="145" spans="2:27" ht="22.5" customHeight="1">
      <c r="B145" s="1684" t="s">
        <v>1173</v>
      </c>
      <c r="C145" s="1685"/>
      <c r="D145" s="1682">
        <f>SUM(H145,L145,P145,T145,X145)</f>
        <v>0.64999999999999991</v>
      </c>
      <c r="E145" s="1686"/>
      <c r="F145" s="1684" t="s">
        <v>1174</v>
      </c>
      <c r="G145" s="1685"/>
      <c r="H145" s="1702">
        <v>0.06</v>
      </c>
      <c r="I145" s="1691"/>
      <c r="J145" s="1684" t="s">
        <v>1175</v>
      </c>
      <c r="K145" s="1685"/>
      <c r="L145" s="1682">
        <v>0.04</v>
      </c>
      <c r="M145" s="1686"/>
      <c r="N145" s="1684" t="s">
        <v>1176</v>
      </c>
      <c r="O145" s="1685"/>
      <c r="P145" s="1682">
        <v>0.25</v>
      </c>
      <c r="Q145" s="1686"/>
      <c r="R145" s="1684" t="s">
        <v>1177</v>
      </c>
      <c r="S145" s="1685"/>
      <c r="T145" s="1682">
        <v>0.3</v>
      </c>
      <c r="U145" s="1686"/>
      <c r="V145" s="1684"/>
      <c r="W145" s="1685"/>
      <c r="X145" s="1682"/>
      <c r="Y145" s="1686"/>
    </row>
    <row r="146" spans="2:27" ht="22.5" customHeight="1"/>
    <row r="147" spans="2:27" ht="22.5" customHeight="1">
      <c r="B147" s="1703" t="s">
        <v>1179</v>
      </c>
      <c r="C147" s="1666"/>
      <c r="D147" s="1666"/>
      <c r="E147" s="1666"/>
      <c r="F147" s="1666"/>
      <c r="G147" s="1666" t="s">
        <v>1180</v>
      </c>
      <c r="H147" s="1666"/>
      <c r="I147" s="1666"/>
      <c r="J147" s="1666" t="s">
        <v>1181</v>
      </c>
      <c r="K147" s="1666"/>
      <c r="L147" s="1666"/>
      <c r="M147" s="1666"/>
      <c r="N147" s="1666"/>
      <c r="O147" s="1666"/>
      <c r="P147" s="1666"/>
      <c r="Q147" s="1666"/>
      <c r="R147" s="1666"/>
      <c r="S147" s="1666"/>
      <c r="T147" s="1666"/>
      <c r="U147" s="1666" t="s">
        <v>1182</v>
      </c>
      <c r="V147" s="1666"/>
      <c r="W147" s="1666" t="s">
        <v>1183</v>
      </c>
      <c r="X147" s="1666"/>
      <c r="Y147" s="1666"/>
      <c r="Z147" s="1666" t="s">
        <v>1184</v>
      </c>
      <c r="AA147" s="1667"/>
    </row>
    <row r="148" spans="2:27" ht="19.5" customHeight="1">
      <c r="B148" s="1661" t="s">
        <v>1217</v>
      </c>
      <c r="C148" s="1658"/>
      <c r="D148" s="1658"/>
      <c r="E148" s="1658"/>
      <c r="F148" s="1658"/>
      <c r="G148" s="1658"/>
      <c r="H148" s="1658"/>
      <c r="I148" s="1658"/>
      <c r="J148" s="1657">
        <v>1</v>
      </c>
      <c r="K148" s="1657"/>
      <c r="L148" s="1110" t="s">
        <v>1186</v>
      </c>
      <c r="M148" s="1657">
        <v>1</v>
      </c>
      <c r="N148" s="1657"/>
      <c r="O148" s="1110"/>
      <c r="P148" s="1109"/>
      <c r="Q148" s="1109"/>
      <c r="R148" s="1110"/>
      <c r="S148" s="1109"/>
      <c r="T148" s="1109"/>
      <c r="U148" s="1657" t="s">
        <v>1218</v>
      </c>
      <c r="V148" s="1657"/>
      <c r="W148" s="1658">
        <v>1</v>
      </c>
      <c r="X148" s="1658"/>
      <c r="Y148" s="1658"/>
      <c r="Z148" s="1658"/>
      <c r="AA148" s="1659"/>
    </row>
    <row r="149" spans="2:27" ht="19.5" customHeight="1">
      <c r="B149" s="1661" t="s">
        <v>1219</v>
      </c>
      <c r="C149" s="1658"/>
      <c r="D149" s="1658"/>
      <c r="E149" s="1658"/>
      <c r="F149" s="1658"/>
      <c r="G149" s="1658"/>
      <c r="H149" s="1658"/>
      <c r="I149" s="1658"/>
      <c r="J149" s="1657">
        <v>1</v>
      </c>
      <c r="K149" s="1657"/>
      <c r="L149" s="1110" t="s">
        <v>1186</v>
      </c>
      <c r="M149" s="1657">
        <v>1</v>
      </c>
      <c r="N149" s="1657"/>
      <c r="O149" s="1110"/>
      <c r="P149" s="1109"/>
      <c r="Q149" s="1109"/>
      <c r="R149" s="1110"/>
      <c r="S149" s="1109"/>
      <c r="T149" s="1109"/>
      <c r="U149" s="1657" t="s">
        <v>1218</v>
      </c>
      <c r="V149" s="1657"/>
      <c r="W149" s="1658">
        <v>1</v>
      </c>
      <c r="X149" s="1658"/>
      <c r="Y149" s="1658"/>
      <c r="Z149" s="1658"/>
      <c r="AA149" s="1659"/>
    </row>
    <row r="150" spans="2:27" ht="19.5" customHeight="1">
      <c r="B150" s="1661" t="s">
        <v>1220</v>
      </c>
      <c r="C150" s="1658"/>
      <c r="D150" s="1658"/>
      <c r="E150" s="1658"/>
      <c r="F150" s="1658"/>
      <c r="G150" s="1658"/>
      <c r="H150" s="1658"/>
      <c r="I150" s="1658"/>
      <c r="J150" s="1657">
        <f>H145</f>
        <v>0.06</v>
      </c>
      <c r="K150" s="1657"/>
      <c r="L150" s="1110" t="s">
        <v>1186</v>
      </c>
      <c r="M150" s="1657">
        <f>H144</f>
        <v>0.4</v>
      </c>
      <c r="N150" s="1657"/>
      <c r="O150" s="1110" t="s">
        <v>1221</v>
      </c>
      <c r="P150" s="1657">
        <f>T145</f>
        <v>0.3</v>
      </c>
      <c r="Q150" s="1657"/>
      <c r="R150" s="1110" t="s">
        <v>1186</v>
      </c>
      <c r="S150" s="1657">
        <f>H144</f>
        <v>0.4</v>
      </c>
      <c r="T150" s="1657"/>
      <c r="U150" s="1657" t="s">
        <v>1189</v>
      </c>
      <c r="V150" s="1657"/>
      <c r="W150" s="1658">
        <f>(J150*M150)+(P150*S150)</f>
        <v>0.14399999999999999</v>
      </c>
      <c r="X150" s="1658"/>
      <c r="Y150" s="1658"/>
      <c r="Z150" s="1658"/>
      <c r="AA150" s="1659"/>
    </row>
    <row r="151" spans="2:27" ht="19.5" customHeight="1">
      <c r="B151" s="1661" t="s">
        <v>1190</v>
      </c>
      <c r="C151" s="1658"/>
      <c r="D151" s="1658"/>
      <c r="E151" s="1658"/>
      <c r="F151" s="1658"/>
      <c r="G151" s="1658"/>
      <c r="H151" s="1658"/>
      <c r="I151" s="1658"/>
      <c r="J151" s="1657">
        <f>D145-H145</f>
        <v>0.58999999999999986</v>
      </c>
      <c r="K151" s="1657"/>
      <c r="L151" s="1110" t="s">
        <v>1186</v>
      </c>
      <c r="M151" s="1660">
        <f>H144</f>
        <v>0.4</v>
      </c>
      <c r="N151" s="1660"/>
      <c r="O151" s="1110" t="s">
        <v>1186</v>
      </c>
      <c r="P151" s="1657">
        <v>1</v>
      </c>
      <c r="Q151" s="1657"/>
      <c r="R151" s="1110"/>
      <c r="S151" s="1109"/>
      <c r="T151" s="1109"/>
      <c r="U151" s="1657" t="s">
        <v>1189</v>
      </c>
      <c r="V151" s="1657"/>
      <c r="W151" s="1658">
        <f>J151*M151*P151</f>
        <v>0.23599999999999996</v>
      </c>
      <c r="X151" s="1658"/>
      <c r="Y151" s="1658"/>
      <c r="Z151" s="1658"/>
      <c r="AA151" s="1659"/>
    </row>
    <row r="152" spans="2:27" ht="19.5" customHeight="1">
      <c r="B152" s="1661" t="s">
        <v>1195</v>
      </c>
      <c r="C152" s="1658"/>
      <c r="D152" s="1658"/>
      <c r="E152" s="1658"/>
      <c r="F152" s="1658"/>
      <c r="G152" s="1658"/>
      <c r="H152" s="1658"/>
      <c r="I152" s="1658"/>
      <c r="J152" s="1657">
        <f>P145</f>
        <v>0.25</v>
      </c>
      <c r="K152" s="1657"/>
      <c r="L152" s="1110" t="s">
        <v>1186</v>
      </c>
      <c r="M152" s="1660">
        <f>H144</f>
        <v>0.4</v>
      </c>
      <c r="N152" s="1660"/>
      <c r="O152" s="1110" t="s">
        <v>1186</v>
      </c>
      <c r="P152" s="1657">
        <v>1</v>
      </c>
      <c r="Q152" s="1657"/>
      <c r="R152" s="1110"/>
      <c r="S152" s="1109"/>
      <c r="T152" s="1109"/>
      <c r="U152" s="1657" t="s">
        <v>1189</v>
      </c>
      <c r="V152" s="1657"/>
      <c r="W152" s="1658">
        <f>J152*M152*P152</f>
        <v>0.1</v>
      </c>
      <c r="X152" s="1658"/>
      <c r="Y152" s="1658"/>
      <c r="Z152" s="1658"/>
      <c r="AA152" s="1659"/>
    </row>
    <row r="153" spans="2:27" ht="19.5" customHeight="1">
      <c r="B153" s="1661" t="s">
        <v>1211</v>
      </c>
      <c r="C153" s="1658"/>
      <c r="D153" s="1658"/>
      <c r="E153" s="1658"/>
      <c r="F153" s="1658"/>
      <c r="G153" s="1658"/>
      <c r="H153" s="1658"/>
      <c r="I153" s="1658"/>
      <c r="J153" s="1657">
        <f>W151</f>
        <v>0.23599999999999996</v>
      </c>
      <c r="K153" s="1657"/>
      <c r="L153" s="1110" t="s">
        <v>1212</v>
      </c>
      <c r="M153" s="1660">
        <f>W152</f>
        <v>0.1</v>
      </c>
      <c r="N153" s="1660"/>
      <c r="O153" s="1110"/>
      <c r="P153" s="1109"/>
      <c r="Q153" s="1109"/>
      <c r="R153" s="1110"/>
      <c r="S153" s="1109"/>
      <c r="T153" s="1109"/>
      <c r="U153" s="1657" t="s">
        <v>1189</v>
      </c>
      <c r="V153" s="1657"/>
      <c r="W153" s="1658">
        <f>J153-M153</f>
        <v>0.13599999999999995</v>
      </c>
      <c r="X153" s="1658"/>
      <c r="Y153" s="1658"/>
      <c r="Z153" s="1658"/>
      <c r="AA153" s="1659"/>
    </row>
    <row r="154" spans="2:27" ht="19.5" customHeight="1">
      <c r="B154" s="1661" t="s">
        <v>1222</v>
      </c>
      <c r="C154" s="1658"/>
      <c r="D154" s="1658"/>
      <c r="E154" s="1658"/>
      <c r="F154" s="1658"/>
      <c r="G154" s="1658"/>
      <c r="H154" s="1658"/>
      <c r="I154" s="1658"/>
      <c r="J154" s="1657">
        <v>1</v>
      </c>
      <c r="K154" s="1657"/>
      <c r="L154" s="1110"/>
      <c r="M154" s="1109"/>
      <c r="N154" s="1109"/>
      <c r="O154" s="1112"/>
      <c r="P154" s="1109"/>
      <c r="Q154" s="1109"/>
      <c r="R154" s="1109"/>
      <c r="S154" s="1109"/>
      <c r="T154" s="1109"/>
      <c r="U154" s="1657" t="s">
        <v>1187</v>
      </c>
      <c r="V154" s="1657"/>
      <c r="W154" s="1658">
        <f>J154</f>
        <v>1</v>
      </c>
      <c r="X154" s="1658"/>
      <c r="Y154" s="1658"/>
      <c r="Z154" s="1658"/>
      <c r="AA154" s="1659"/>
    </row>
    <row r="155" spans="2:27" ht="19.5" customHeight="1">
      <c r="B155" s="1661" t="s">
        <v>1498</v>
      </c>
      <c r="C155" s="1658"/>
      <c r="D155" s="1658"/>
      <c r="E155" s="1658"/>
      <c r="F155" s="1658"/>
      <c r="G155" s="1704">
        <v>0.2</v>
      </c>
      <c r="H155" s="1704"/>
      <c r="I155" s="1704"/>
      <c r="J155" s="1657" t="s">
        <v>1499</v>
      </c>
      <c r="K155" s="1657"/>
      <c r="L155" s="1110" t="s">
        <v>1605</v>
      </c>
      <c r="M155" s="1706">
        <f>G155</f>
        <v>0.2</v>
      </c>
      <c r="N155" s="1706"/>
      <c r="O155" s="1110" t="s">
        <v>1606</v>
      </c>
      <c r="P155" s="1657"/>
      <c r="Q155" s="1657"/>
      <c r="R155" s="1110"/>
      <c r="S155" s="1657"/>
      <c r="T155" s="1657"/>
      <c r="U155" s="1657" t="s">
        <v>1607</v>
      </c>
      <c r="V155" s="1657"/>
      <c r="W155" s="1705">
        <f>M155</f>
        <v>0.2</v>
      </c>
      <c r="X155" s="1705"/>
      <c r="Y155" s="1705"/>
      <c r="Z155" s="1658"/>
      <c r="AA155" s="1659"/>
    </row>
    <row r="156" spans="2:27" ht="19.5" customHeight="1">
      <c r="B156" s="1661" t="s">
        <v>1213</v>
      </c>
      <c r="C156" s="1658"/>
      <c r="D156" s="1658"/>
      <c r="E156" s="1658"/>
      <c r="F156" s="1658"/>
      <c r="G156" s="1658"/>
      <c r="H156" s="1658"/>
      <c r="I156" s="1658"/>
      <c r="J156" s="1660">
        <f>H144</f>
        <v>0.4</v>
      </c>
      <c r="K156" s="1657"/>
      <c r="L156" s="1110" t="s">
        <v>1186</v>
      </c>
      <c r="M156" s="1660">
        <f>H145</f>
        <v>0.06</v>
      </c>
      <c r="N156" s="1657"/>
      <c r="O156" s="1110" t="s">
        <v>1186</v>
      </c>
      <c r="P156" s="1657">
        <v>2.35</v>
      </c>
      <c r="Q156" s="1657"/>
      <c r="R156" s="1109"/>
      <c r="S156" s="1109"/>
      <c r="T156" s="1109"/>
      <c r="U156" s="1657" t="s">
        <v>1214</v>
      </c>
      <c r="V156" s="1657"/>
      <c r="W156" s="1658">
        <f>J156*M156*P156</f>
        <v>5.6400000000000006E-2</v>
      </c>
      <c r="X156" s="1658"/>
      <c r="Y156" s="1658"/>
      <c r="Z156" s="1658"/>
      <c r="AA156" s="1659"/>
    </row>
    <row r="157" spans="2:27" ht="19.5" customHeight="1">
      <c r="B157" s="1661"/>
      <c r="C157" s="1658"/>
      <c r="D157" s="1658"/>
      <c r="E157" s="1658"/>
      <c r="F157" s="1658"/>
      <c r="G157" s="1658"/>
      <c r="H157" s="1658"/>
      <c r="I157" s="1658"/>
      <c r="J157" s="1109"/>
      <c r="K157" s="1109"/>
      <c r="L157" s="1110"/>
      <c r="M157" s="1109"/>
      <c r="N157" s="1109"/>
      <c r="O157" s="1112"/>
      <c r="P157" s="1109"/>
      <c r="Q157" s="1109"/>
      <c r="R157" s="1109"/>
      <c r="S157" s="1109"/>
      <c r="T157" s="1109"/>
      <c r="U157" s="1657"/>
      <c r="V157" s="1657"/>
      <c r="W157" s="1658"/>
      <c r="X157" s="1658"/>
      <c r="Y157" s="1658"/>
      <c r="Z157" s="1658"/>
      <c r="AA157" s="1659"/>
    </row>
    <row r="158" spans="2:27" ht="19.5" customHeight="1">
      <c r="B158" s="1108"/>
      <c r="C158" s="1109"/>
      <c r="D158" s="1109"/>
      <c r="E158" s="1109"/>
      <c r="F158" s="1109"/>
      <c r="G158" s="1109"/>
      <c r="H158" s="1109"/>
      <c r="I158" s="1109"/>
      <c r="J158" s="1109"/>
      <c r="K158" s="1109"/>
      <c r="L158" s="1110"/>
      <c r="M158" s="1109"/>
      <c r="N158" s="1109"/>
      <c r="O158" s="1112"/>
      <c r="P158" s="1109"/>
      <c r="Q158" s="1109"/>
      <c r="R158" s="1109"/>
      <c r="S158" s="1109"/>
      <c r="T158" s="1109"/>
      <c r="U158" s="1110"/>
      <c r="V158" s="1110"/>
      <c r="W158" s="1109"/>
      <c r="X158" s="1109"/>
      <c r="Y158" s="1109"/>
      <c r="Z158" s="1109"/>
      <c r="AA158" s="1111"/>
    </row>
    <row r="159" spans="2:27" ht="19.5" customHeight="1">
      <c r="B159" s="1661"/>
      <c r="C159" s="1658"/>
      <c r="D159" s="1658"/>
      <c r="E159" s="1658"/>
      <c r="F159" s="1658"/>
      <c r="G159" s="1658"/>
      <c r="H159" s="1658"/>
      <c r="I159" s="1658"/>
      <c r="J159" s="1109"/>
      <c r="K159" s="1109"/>
      <c r="L159" s="1110"/>
      <c r="M159" s="1109"/>
      <c r="N159" s="1109"/>
      <c r="O159" s="1112"/>
      <c r="P159" s="1109"/>
      <c r="Q159" s="1109"/>
      <c r="R159" s="1109"/>
      <c r="S159" s="1109"/>
      <c r="T159" s="1109"/>
      <c r="U159" s="1657"/>
      <c r="V159" s="1657"/>
      <c r="W159" s="1658"/>
      <c r="X159" s="1658"/>
      <c r="Y159" s="1658"/>
      <c r="Z159" s="1658"/>
      <c r="AA159" s="1659"/>
    </row>
    <row r="160" spans="2:27" ht="19.5" customHeight="1">
      <c r="B160" s="1661"/>
      <c r="C160" s="1658"/>
      <c r="D160" s="1658"/>
      <c r="E160" s="1658"/>
      <c r="F160" s="1658"/>
      <c r="G160" s="1658"/>
      <c r="H160" s="1658"/>
      <c r="I160" s="1658"/>
      <c r="J160" s="1109"/>
      <c r="K160" s="1109"/>
      <c r="L160" s="1110"/>
      <c r="M160" s="1109"/>
      <c r="N160" s="1109"/>
      <c r="O160" s="1112"/>
      <c r="P160" s="1109"/>
      <c r="Q160" s="1109"/>
      <c r="R160" s="1109"/>
      <c r="S160" s="1109"/>
      <c r="T160" s="1109"/>
      <c r="U160" s="1657"/>
      <c r="V160" s="1657"/>
      <c r="W160" s="1658"/>
      <c r="X160" s="1658"/>
      <c r="Y160" s="1658"/>
      <c r="Z160" s="1658"/>
      <c r="AA160" s="1659"/>
    </row>
    <row r="161" spans="1:27" ht="19.5" customHeight="1">
      <c r="B161" s="1661"/>
      <c r="C161" s="1658"/>
      <c r="D161" s="1658"/>
      <c r="E161" s="1658"/>
      <c r="F161" s="1658"/>
      <c r="G161" s="1658"/>
      <c r="H161" s="1658"/>
      <c r="I161" s="1658"/>
      <c r="J161" s="1109"/>
      <c r="K161" s="1109"/>
      <c r="L161" s="1110"/>
      <c r="M161" s="1109"/>
      <c r="N161" s="1109"/>
      <c r="O161" s="1110"/>
      <c r="P161" s="1109"/>
      <c r="Q161" s="1109"/>
      <c r="R161" s="1109"/>
      <c r="S161" s="1109"/>
      <c r="T161" s="1109"/>
      <c r="U161" s="1657"/>
      <c r="V161" s="1657"/>
      <c r="W161" s="1658"/>
      <c r="X161" s="1658"/>
      <c r="Y161" s="1658"/>
      <c r="Z161" s="1658"/>
      <c r="AA161" s="1659"/>
    </row>
    <row r="162" spans="1:27" ht="19.5" customHeight="1">
      <c r="B162" s="1662"/>
      <c r="C162" s="1663"/>
      <c r="D162" s="1663"/>
      <c r="E162" s="1663"/>
      <c r="F162" s="1663"/>
      <c r="G162" s="1663"/>
      <c r="H162" s="1663"/>
      <c r="I162" s="1663"/>
      <c r="J162" s="1106"/>
      <c r="K162" s="1106"/>
      <c r="L162" s="1113"/>
      <c r="M162" s="1106"/>
      <c r="N162" s="1106"/>
      <c r="O162" s="1107"/>
      <c r="P162" s="1106"/>
      <c r="Q162" s="1106"/>
      <c r="R162" s="1106"/>
      <c r="S162" s="1106"/>
      <c r="T162" s="1106"/>
      <c r="U162" s="1664"/>
      <c r="V162" s="1664"/>
      <c r="W162" s="1663"/>
      <c r="X162" s="1663"/>
      <c r="Y162" s="1663"/>
      <c r="Z162" s="1663"/>
      <c r="AA162" s="1665"/>
    </row>
    <row r="163" spans="1:27" ht="19.5" hidden="1" customHeight="1">
      <c r="A163" s="1692" t="s">
        <v>1215</v>
      </c>
      <c r="B163" s="1692"/>
      <c r="C163" s="1692"/>
      <c r="D163" s="1692"/>
      <c r="E163" s="1692"/>
      <c r="F163" s="1692"/>
      <c r="G163" s="1692"/>
      <c r="H163" s="1692"/>
      <c r="I163" s="1692"/>
      <c r="J163" s="1692"/>
      <c r="K163" s="1692"/>
      <c r="L163" s="1692"/>
      <c r="M163" s="1692"/>
      <c r="N163" s="1692"/>
      <c r="O163" s="1692"/>
      <c r="P163" s="1692"/>
      <c r="Q163" s="1692"/>
      <c r="R163" s="1692"/>
      <c r="S163" s="1692"/>
      <c r="T163" s="1692"/>
      <c r="U163" s="1692"/>
      <c r="V163" s="1692"/>
      <c r="W163" s="1692"/>
      <c r="X163" s="1692"/>
      <c r="Y163" s="1692"/>
      <c r="Z163" s="1692"/>
      <c r="AA163" s="1692"/>
    </row>
    <row r="164" spans="1:27" ht="19.5" hidden="1" customHeight="1"/>
    <row r="165" spans="1:27" ht="19.5" hidden="1" customHeight="1"/>
    <row r="166" spans="1:27" ht="19.5" hidden="1" customHeight="1"/>
    <row r="167" spans="1:27" ht="19.5" hidden="1" customHeight="1"/>
    <row r="168" spans="1:27" ht="19.5" hidden="1" customHeight="1"/>
    <row r="169" spans="1:27" ht="19.5" hidden="1" customHeight="1"/>
    <row r="170" spans="1:27" ht="19.5" hidden="1" customHeight="1"/>
    <row r="171" spans="1:27" ht="19.5" hidden="1" customHeight="1"/>
    <row r="172" spans="1:27" ht="19.5" hidden="1" customHeight="1"/>
    <row r="173" spans="1:27" ht="19.5" hidden="1" customHeight="1"/>
    <row r="174" spans="1:27" ht="19.5" hidden="1" customHeight="1"/>
    <row r="175" spans="1:27" ht="19.5" hidden="1" customHeight="1"/>
    <row r="176" spans="1:27" ht="19.5" hidden="1" customHeight="1"/>
    <row r="177" spans="2:27" ht="19.5" hidden="1" customHeight="1"/>
    <row r="178" spans="2:27" ht="19.5" hidden="1" customHeight="1"/>
    <row r="179" spans="2:27" ht="19.5" hidden="1" customHeight="1"/>
    <row r="180" spans="2:27" ht="19.5" hidden="1" customHeight="1"/>
    <row r="181" spans="2:27" ht="19.5" hidden="1" customHeight="1"/>
    <row r="182" spans="2:27" ht="19.5" hidden="1" customHeight="1"/>
    <row r="183" spans="2:27" ht="19.5" hidden="1" customHeight="1"/>
    <row r="184" spans="2:27" ht="19.5" hidden="1" customHeight="1">
      <c r="B184" s="1684" t="s">
        <v>1216</v>
      </c>
      <c r="C184" s="1685"/>
      <c r="D184" s="1702">
        <v>0.5</v>
      </c>
      <c r="E184" s="1691"/>
      <c r="F184" s="1684" t="s">
        <v>1172</v>
      </c>
      <c r="G184" s="1685"/>
      <c r="H184" s="1682">
        <v>0.4</v>
      </c>
      <c r="I184" s="1686"/>
      <c r="J184" s="1684"/>
      <c r="K184" s="1685"/>
      <c r="L184" s="1682"/>
      <c r="M184" s="1686"/>
      <c r="N184" s="1684"/>
      <c r="O184" s="1685"/>
      <c r="P184" s="1682"/>
      <c r="Q184" s="1686"/>
      <c r="R184" s="1684"/>
      <c r="S184" s="1685"/>
      <c r="T184" s="1682"/>
      <c r="U184" s="1686"/>
      <c r="V184" s="1684"/>
      <c r="W184" s="1685"/>
      <c r="X184" s="1682"/>
      <c r="Y184" s="1686"/>
    </row>
    <row r="185" spans="2:27" ht="19.5" hidden="1" customHeight="1">
      <c r="B185" s="1684" t="s">
        <v>1173</v>
      </c>
      <c r="C185" s="1685"/>
      <c r="D185" s="1682">
        <v>1.25</v>
      </c>
      <c r="E185" s="1686"/>
      <c r="F185" s="1684" t="s">
        <v>1174</v>
      </c>
      <c r="G185" s="1685"/>
      <c r="H185" s="1702">
        <v>0.06</v>
      </c>
      <c r="I185" s="1691"/>
      <c r="J185" s="1684" t="s">
        <v>1175</v>
      </c>
      <c r="K185" s="1685"/>
      <c r="L185" s="1682">
        <v>0.04</v>
      </c>
      <c r="M185" s="1686"/>
      <c r="N185" s="1684" t="s">
        <v>1176</v>
      </c>
      <c r="O185" s="1685"/>
      <c r="P185" s="1682">
        <v>0.25</v>
      </c>
      <c r="Q185" s="1686"/>
      <c r="R185" s="1684" t="s">
        <v>1177</v>
      </c>
      <c r="S185" s="1685"/>
      <c r="T185" s="1682">
        <v>0.3</v>
      </c>
      <c r="U185" s="1686"/>
      <c r="V185" s="1684"/>
      <c r="W185" s="1685"/>
      <c r="X185" s="1682"/>
      <c r="Y185" s="1686"/>
    </row>
    <row r="186" spans="2:27" ht="19.5" hidden="1" customHeight="1"/>
    <row r="187" spans="2:27" ht="19.5" hidden="1" customHeight="1">
      <c r="B187" s="1703" t="s">
        <v>1179</v>
      </c>
      <c r="C187" s="1666"/>
      <c r="D187" s="1666"/>
      <c r="E187" s="1666"/>
      <c r="F187" s="1666"/>
      <c r="G187" s="1666" t="s">
        <v>1180</v>
      </c>
      <c r="H187" s="1666"/>
      <c r="I187" s="1666"/>
      <c r="J187" s="1666" t="s">
        <v>1181</v>
      </c>
      <c r="K187" s="1666"/>
      <c r="L187" s="1666"/>
      <c r="M187" s="1666"/>
      <c r="N187" s="1666"/>
      <c r="O187" s="1666"/>
      <c r="P187" s="1666"/>
      <c r="Q187" s="1666"/>
      <c r="R187" s="1666"/>
      <c r="S187" s="1666"/>
      <c r="T187" s="1666"/>
      <c r="U187" s="1666" t="s">
        <v>1182</v>
      </c>
      <c r="V187" s="1666"/>
      <c r="W187" s="1666" t="s">
        <v>1183</v>
      </c>
      <c r="X187" s="1666"/>
      <c r="Y187" s="1666"/>
      <c r="Z187" s="1666" t="s">
        <v>1184</v>
      </c>
      <c r="AA187" s="1667"/>
    </row>
    <row r="188" spans="2:27" ht="19.5" hidden="1" customHeight="1">
      <c r="B188" s="1661" t="s">
        <v>1217</v>
      </c>
      <c r="C188" s="1658"/>
      <c r="D188" s="1658"/>
      <c r="E188" s="1658"/>
      <c r="F188" s="1658"/>
      <c r="G188" s="1658"/>
      <c r="H188" s="1658"/>
      <c r="I188" s="1658"/>
      <c r="J188" s="1657">
        <v>1</v>
      </c>
      <c r="K188" s="1657"/>
      <c r="L188" s="1110" t="s">
        <v>1186</v>
      </c>
      <c r="M188" s="1657">
        <v>1</v>
      </c>
      <c r="N188" s="1657"/>
      <c r="O188" s="1110"/>
      <c r="P188" s="1109"/>
      <c r="Q188" s="1109"/>
      <c r="R188" s="1110"/>
      <c r="S188" s="1109"/>
      <c r="T188" s="1109"/>
      <c r="U188" s="1657" t="s">
        <v>1218</v>
      </c>
      <c r="V188" s="1657"/>
      <c r="W188" s="1658">
        <v>1</v>
      </c>
      <c r="X188" s="1658"/>
      <c r="Y188" s="1658"/>
      <c r="Z188" s="1658"/>
      <c r="AA188" s="1659"/>
    </row>
    <row r="189" spans="2:27" ht="19.5" hidden="1" customHeight="1">
      <c r="B189" s="1661" t="s">
        <v>1219</v>
      </c>
      <c r="C189" s="1658"/>
      <c r="D189" s="1658"/>
      <c r="E189" s="1658"/>
      <c r="F189" s="1658"/>
      <c r="G189" s="1658"/>
      <c r="H189" s="1658"/>
      <c r="I189" s="1658"/>
      <c r="J189" s="1657">
        <v>1</v>
      </c>
      <c r="K189" s="1657"/>
      <c r="L189" s="1110" t="s">
        <v>1186</v>
      </c>
      <c r="M189" s="1657">
        <v>1</v>
      </c>
      <c r="N189" s="1657"/>
      <c r="O189" s="1110"/>
      <c r="P189" s="1109"/>
      <c r="Q189" s="1109"/>
      <c r="R189" s="1110"/>
      <c r="S189" s="1109"/>
      <c r="T189" s="1109"/>
      <c r="U189" s="1657" t="s">
        <v>1218</v>
      </c>
      <c r="V189" s="1657"/>
      <c r="W189" s="1658">
        <v>1</v>
      </c>
      <c r="X189" s="1658"/>
      <c r="Y189" s="1658"/>
      <c r="Z189" s="1658"/>
      <c r="AA189" s="1659"/>
    </row>
    <row r="190" spans="2:27" ht="19.5" hidden="1" customHeight="1">
      <c r="B190" s="1661" t="s">
        <v>1220</v>
      </c>
      <c r="C190" s="1658"/>
      <c r="D190" s="1658"/>
      <c r="E190" s="1658"/>
      <c r="F190" s="1658"/>
      <c r="G190" s="1658"/>
      <c r="H190" s="1658"/>
      <c r="I190" s="1658"/>
      <c r="J190" s="1657">
        <f>H185</f>
        <v>0.06</v>
      </c>
      <c r="K190" s="1657"/>
      <c r="L190" s="1110" t="s">
        <v>1186</v>
      </c>
      <c r="M190" s="1657">
        <f>H184</f>
        <v>0.4</v>
      </c>
      <c r="N190" s="1657"/>
      <c r="O190" s="1110" t="s">
        <v>1221</v>
      </c>
      <c r="P190" s="1657">
        <f>T185</f>
        <v>0.3</v>
      </c>
      <c r="Q190" s="1657"/>
      <c r="R190" s="1110" t="s">
        <v>1186</v>
      </c>
      <c r="S190" s="1657">
        <f>H184</f>
        <v>0.4</v>
      </c>
      <c r="T190" s="1657"/>
      <c r="U190" s="1657" t="s">
        <v>1189</v>
      </c>
      <c r="V190" s="1657"/>
      <c r="W190" s="1658">
        <f>(J190*M190)+(P190*S190)</f>
        <v>0.14399999999999999</v>
      </c>
      <c r="X190" s="1658"/>
      <c r="Y190" s="1658"/>
      <c r="Z190" s="1658"/>
      <c r="AA190" s="1659"/>
    </row>
    <row r="191" spans="2:27" ht="19.5" hidden="1" customHeight="1">
      <c r="B191" s="1661" t="s">
        <v>1190</v>
      </c>
      <c r="C191" s="1658"/>
      <c r="D191" s="1658"/>
      <c r="E191" s="1658"/>
      <c r="F191" s="1658"/>
      <c r="G191" s="1658"/>
      <c r="H191" s="1658"/>
      <c r="I191" s="1658"/>
      <c r="J191" s="1657">
        <f>D185-H185</f>
        <v>1.19</v>
      </c>
      <c r="K191" s="1657"/>
      <c r="L191" s="1110" t="s">
        <v>1186</v>
      </c>
      <c r="M191" s="1660">
        <f>H184</f>
        <v>0.4</v>
      </c>
      <c r="N191" s="1660"/>
      <c r="O191" s="1110" t="s">
        <v>1186</v>
      </c>
      <c r="P191" s="1657">
        <v>1</v>
      </c>
      <c r="Q191" s="1657"/>
      <c r="R191" s="1110"/>
      <c r="S191" s="1109"/>
      <c r="T191" s="1109"/>
      <c r="U191" s="1657" t="s">
        <v>1189</v>
      </c>
      <c r="V191" s="1657"/>
      <c r="W191" s="1658">
        <f>J191*M191*P191</f>
        <v>0.47599999999999998</v>
      </c>
      <c r="X191" s="1658"/>
      <c r="Y191" s="1658"/>
      <c r="Z191" s="1658"/>
      <c r="AA191" s="1659"/>
    </row>
    <row r="192" spans="2:27" ht="19.5" hidden="1" customHeight="1">
      <c r="B192" s="1661" t="s">
        <v>1195</v>
      </c>
      <c r="C192" s="1658"/>
      <c r="D192" s="1658"/>
      <c r="E192" s="1658"/>
      <c r="F192" s="1658"/>
      <c r="G192" s="1658"/>
      <c r="H192" s="1658"/>
      <c r="I192" s="1658"/>
      <c r="J192" s="1657">
        <f>P185</f>
        <v>0.25</v>
      </c>
      <c r="K192" s="1657"/>
      <c r="L192" s="1110" t="s">
        <v>1186</v>
      </c>
      <c r="M192" s="1660">
        <f>H184</f>
        <v>0.4</v>
      </c>
      <c r="N192" s="1660"/>
      <c r="O192" s="1110" t="s">
        <v>1186</v>
      </c>
      <c r="P192" s="1657">
        <v>1</v>
      </c>
      <c r="Q192" s="1657"/>
      <c r="R192" s="1110"/>
      <c r="S192" s="1109"/>
      <c r="T192" s="1109"/>
      <c r="U192" s="1657" t="s">
        <v>1189</v>
      </c>
      <c r="V192" s="1657"/>
      <c r="W192" s="1658">
        <f>J192*M192*P192</f>
        <v>0.1</v>
      </c>
      <c r="X192" s="1658"/>
      <c r="Y192" s="1658"/>
      <c r="Z192" s="1658"/>
      <c r="AA192" s="1659"/>
    </row>
    <row r="193" spans="1:27" ht="19.5" hidden="1" customHeight="1">
      <c r="B193" s="1661" t="s">
        <v>1211</v>
      </c>
      <c r="C193" s="1658"/>
      <c r="D193" s="1658"/>
      <c r="E193" s="1658"/>
      <c r="F193" s="1658"/>
      <c r="G193" s="1658"/>
      <c r="H193" s="1658"/>
      <c r="I193" s="1658"/>
      <c r="J193" s="1657">
        <f>W191</f>
        <v>0.47599999999999998</v>
      </c>
      <c r="K193" s="1657"/>
      <c r="L193" s="1110" t="s">
        <v>1212</v>
      </c>
      <c r="M193" s="1660">
        <f>W192</f>
        <v>0.1</v>
      </c>
      <c r="N193" s="1660"/>
      <c r="O193" s="1110"/>
      <c r="P193" s="1109"/>
      <c r="Q193" s="1109"/>
      <c r="R193" s="1110"/>
      <c r="S193" s="1109"/>
      <c r="T193" s="1109"/>
      <c r="U193" s="1657" t="s">
        <v>1189</v>
      </c>
      <c r="V193" s="1657"/>
      <c r="W193" s="1658">
        <f>J193-M193</f>
        <v>0.376</v>
      </c>
      <c r="X193" s="1658"/>
      <c r="Y193" s="1658"/>
      <c r="Z193" s="1658"/>
      <c r="AA193" s="1659"/>
    </row>
    <row r="194" spans="1:27" ht="19.5" hidden="1" customHeight="1">
      <c r="B194" s="1661" t="s">
        <v>1222</v>
      </c>
      <c r="C194" s="1658"/>
      <c r="D194" s="1658"/>
      <c r="E194" s="1658"/>
      <c r="F194" s="1658"/>
      <c r="G194" s="1658"/>
      <c r="H194" s="1658"/>
      <c r="I194" s="1658"/>
      <c r="J194" s="1657">
        <v>1</v>
      </c>
      <c r="K194" s="1657"/>
      <c r="L194" s="1110"/>
      <c r="M194" s="1109"/>
      <c r="N194" s="1109"/>
      <c r="O194" s="1112"/>
      <c r="P194" s="1109"/>
      <c r="Q194" s="1109"/>
      <c r="R194" s="1109"/>
      <c r="S194" s="1109"/>
      <c r="T194" s="1109"/>
      <c r="U194" s="1657" t="s">
        <v>1187</v>
      </c>
      <c r="V194" s="1657"/>
      <c r="W194" s="1658">
        <f>J194</f>
        <v>1</v>
      </c>
      <c r="X194" s="1658"/>
      <c r="Y194" s="1658"/>
      <c r="Z194" s="1658"/>
      <c r="AA194" s="1659"/>
    </row>
    <row r="195" spans="1:27" ht="19.5" hidden="1" customHeight="1">
      <c r="B195" s="1661" t="s">
        <v>1498</v>
      </c>
      <c r="C195" s="1658"/>
      <c r="D195" s="1658"/>
      <c r="E195" s="1658"/>
      <c r="F195" s="1658"/>
      <c r="G195" s="1704">
        <v>0.2</v>
      </c>
      <c r="H195" s="1704"/>
      <c r="I195" s="1704"/>
      <c r="J195" s="1657" t="s">
        <v>1499</v>
      </c>
      <c r="K195" s="1657"/>
      <c r="L195" s="1110" t="s">
        <v>1605</v>
      </c>
      <c r="M195" s="1706">
        <f>G195</f>
        <v>0.2</v>
      </c>
      <c r="N195" s="1706"/>
      <c r="O195" s="1110" t="s">
        <v>1606</v>
      </c>
      <c r="P195" s="1657"/>
      <c r="Q195" s="1657"/>
      <c r="R195" s="1110"/>
      <c r="S195" s="1657"/>
      <c r="T195" s="1657"/>
      <c r="U195" s="1657" t="s">
        <v>1607</v>
      </c>
      <c r="V195" s="1657"/>
      <c r="W195" s="1705">
        <f>M195</f>
        <v>0.2</v>
      </c>
      <c r="X195" s="1705"/>
      <c r="Y195" s="1705"/>
      <c r="Z195" s="1658"/>
      <c r="AA195" s="1659"/>
    </row>
    <row r="196" spans="1:27" ht="19.5" hidden="1" customHeight="1">
      <c r="B196" s="1661" t="s">
        <v>1213</v>
      </c>
      <c r="C196" s="1658"/>
      <c r="D196" s="1658"/>
      <c r="E196" s="1658"/>
      <c r="F196" s="1658"/>
      <c r="G196" s="1658"/>
      <c r="H196" s="1658"/>
      <c r="I196" s="1658"/>
      <c r="J196" s="1660">
        <f>H184</f>
        <v>0.4</v>
      </c>
      <c r="K196" s="1657"/>
      <c r="L196" s="1110" t="s">
        <v>1186</v>
      </c>
      <c r="M196" s="1660">
        <f>H185</f>
        <v>0.06</v>
      </c>
      <c r="N196" s="1657"/>
      <c r="O196" s="1110" t="s">
        <v>1186</v>
      </c>
      <c r="P196" s="1657">
        <v>2.35</v>
      </c>
      <c r="Q196" s="1657"/>
      <c r="R196" s="1109"/>
      <c r="S196" s="1109"/>
      <c r="T196" s="1109"/>
      <c r="U196" s="1657" t="s">
        <v>1214</v>
      </c>
      <c r="V196" s="1657"/>
      <c r="W196" s="1658">
        <f>J196*M196*P196</f>
        <v>5.6400000000000006E-2</v>
      </c>
      <c r="X196" s="1658"/>
      <c r="Y196" s="1658"/>
      <c r="Z196" s="1658"/>
      <c r="AA196" s="1659"/>
    </row>
    <row r="197" spans="1:27" ht="19.5" hidden="1" customHeight="1">
      <c r="B197" s="1661"/>
      <c r="C197" s="1658"/>
      <c r="D197" s="1658"/>
      <c r="E197" s="1658"/>
      <c r="F197" s="1658"/>
      <c r="G197" s="1658"/>
      <c r="H197" s="1658"/>
      <c r="I197" s="1658"/>
      <c r="J197" s="1109"/>
      <c r="K197" s="1109"/>
      <c r="L197" s="1110"/>
      <c r="M197" s="1109"/>
      <c r="N197" s="1109"/>
      <c r="O197" s="1112"/>
      <c r="P197" s="1109"/>
      <c r="Q197" s="1109"/>
      <c r="R197" s="1109"/>
      <c r="S197" s="1109"/>
      <c r="T197" s="1109"/>
      <c r="U197" s="1657"/>
      <c r="V197" s="1657"/>
      <c r="W197" s="1658"/>
      <c r="X197" s="1658"/>
      <c r="Y197" s="1658"/>
      <c r="Z197" s="1658"/>
      <c r="AA197" s="1659"/>
    </row>
    <row r="198" spans="1:27" ht="19.5" hidden="1" customHeight="1">
      <c r="B198" s="1661"/>
      <c r="C198" s="1658"/>
      <c r="D198" s="1658"/>
      <c r="E198" s="1658"/>
      <c r="F198" s="1658"/>
      <c r="G198" s="1658"/>
      <c r="H198" s="1658"/>
      <c r="I198" s="1658"/>
      <c r="J198" s="1109"/>
      <c r="K198" s="1109"/>
      <c r="L198" s="1110"/>
      <c r="M198" s="1109"/>
      <c r="N198" s="1109"/>
      <c r="O198" s="1112"/>
      <c r="P198" s="1109"/>
      <c r="Q198" s="1109"/>
      <c r="R198" s="1109"/>
      <c r="S198" s="1109"/>
      <c r="T198" s="1109"/>
      <c r="U198" s="1657"/>
      <c r="V198" s="1657"/>
      <c r="W198" s="1658"/>
      <c r="X198" s="1658"/>
      <c r="Y198" s="1658"/>
      <c r="Z198" s="1658"/>
      <c r="AA198" s="1659"/>
    </row>
    <row r="199" spans="1:27" ht="19.5" hidden="1" customHeight="1">
      <c r="B199" s="1661"/>
      <c r="C199" s="1658"/>
      <c r="D199" s="1658"/>
      <c r="E199" s="1658"/>
      <c r="F199" s="1658"/>
      <c r="G199" s="1658"/>
      <c r="H199" s="1658"/>
      <c r="I199" s="1658"/>
      <c r="J199" s="1109"/>
      <c r="K199" s="1109"/>
      <c r="L199" s="1110"/>
      <c r="M199" s="1109"/>
      <c r="N199" s="1109"/>
      <c r="O199" s="1112"/>
      <c r="P199" s="1109"/>
      <c r="Q199" s="1109"/>
      <c r="R199" s="1109"/>
      <c r="S199" s="1109"/>
      <c r="T199" s="1109"/>
      <c r="U199" s="1657"/>
      <c r="V199" s="1657"/>
      <c r="W199" s="1658"/>
      <c r="X199" s="1658"/>
      <c r="Y199" s="1658"/>
      <c r="Z199" s="1658"/>
      <c r="AA199" s="1659"/>
    </row>
    <row r="200" spans="1:27" ht="19.5" hidden="1" customHeight="1">
      <c r="B200" s="1662"/>
      <c r="C200" s="1663"/>
      <c r="D200" s="1663"/>
      <c r="E200" s="1663"/>
      <c r="F200" s="1663"/>
      <c r="G200" s="1663"/>
      <c r="H200" s="1663"/>
      <c r="I200" s="1663"/>
      <c r="J200" s="1106"/>
      <c r="K200" s="1106"/>
      <c r="L200" s="1107"/>
      <c r="M200" s="1106"/>
      <c r="N200" s="1106"/>
      <c r="O200" s="1107"/>
      <c r="P200" s="1106"/>
      <c r="Q200" s="1106"/>
      <c r="R200" s="1106"/>
      <c r="S200" s="1106"/>
      <c r="T200" s="1106"/>
      <c r="U200" s="1664"/>
      <c r="V200" s="1664"/>
      <c r="W200" s="1663"/>
      <c r="X200" s="1663"/>
      <c r="Y200" s="1663"/>
      <c r="Z200" s="1663"/>
      <c r="AA200" s="1665"/>
    </row>
    <row r="201" spans="1:27" ht="19.5" customHeight="1">
      <c r="B201" s="1719"/>
      <c r="C201" s="1720"/>
      <c r="D201" s="1720"/>
      <c r="E201" s="1720"/>
      <c r="F201" s="1721"/>
      <c r="G201" s="1722"/>
      <c r="H201" s="1720"/>
      <c r="I201" s="1721"/>
      <c r="J201" s="1089"/>
      <c r="K201" s="1090"/>
      <c r="L201" s="1091"/>
      <c r="M201" s="1090"/>
      <c r="N201" s="1090"/>
      <c r="O201" s="1085"/>
      <c r="P201" s="1090"/>
      <c r="Q201" s="1090"/>
      <c r="R201" s="1090"/>
      <c r="S201" s="1090"/>
      <c r="T201" s="1092"/>
      <c r="U201" s="1702"/>
      <c r="V201" s="1685"/>
      <c r="W201" s="1722"/>
      <c r="X201" s="1720"/>
      <c r="Y201" s="1721"/>
      <c r="Z201" s="1722"/>
      <c r="AA201" s="1723"/>
    </row>
    <row r="202" spans="1:27" ht="19.5" customHeight="1">
      <c r="B202" s="1078"/>
      <c r="F202" s="1079"/>
      <c r="G202" s="1080"/>
      <c r="I202" s="1079"/>
      <c r="J202" s="1080"/>
      <c r="L202" s="1081"/>
      <c r="O202" s="196"/>
      <c r="T202" s="1079"/>
      <c r="U202" s="1082"/>
      <c r="V202" s="1083"/>
      <c r="W202" s="1080"/>
      <c r="Y202" s="1079"/>
      <c r="Z202" s="1080"/>
      <c r="AA202" s="1084"/>
    </row>
    <row r="203" spans="1:27" ht="19.5" customHeight="1">
      <c r="B203" s="1069"/>
      <c r="C203" s="1070"/>
      <c r="D203" s="1070"/>
      <c r="E203" s="1070"/>
      <c r="F203" s="1071"/>
      <c r="G203" s="1072"/>
      <c r="H203" s="1070"/>
      <c r="I203" s="1071"/>
      <c r="J203" s="1072"/>
      <c r="K203" s="1070"/>
      <c r="L203" s="1073"/>
      <c r="M203" s="1070"/>
      <c r="N203" s="1070"/>
      <c r="O203" s="1074"/>
      <c r="P203" s="1070"/>
      <c r="Q203" s="1070"/>
      <c r="R203" s="1070"/>
      <c r="S203" s="1070"/>
      <c r="T203" s="1071"/>
      <c r="U203" s="1075"/>
      <c r="V203" s="1076"/>
      <c r="W203" s="1072"/>
      <c r="X203" s="1070"/>
      <c r="Y203" s="1071"/>
      <c r="Z203" s="1072"/>
      <c r="AA203" s="1077"/>
    </row>
    <row r="204" spans="1:27" ht="19.5" customHeight="1">
      <c r="B204" s="1069"/>
      <c r="C204" s="1070"/>
      <c r="D204" s="1070"/>
      <c r="E204" s="1070"/>
      <c r="F204" s="1071"/>
      <c r="G204" s="1072"/>
      <c r="H204" s="1070"/>
      <c r="I204" s="1071"/>
      <c r="J204" s="1072"/>
      <c r="K204" s="1070"/>
      <c r="L204" s="1073"/>
      <c r="M204" s="1070"/>
      <c r="N204" s="1070"/>
      <c r="O204" s="1074"/>
      <c r="P204" s="1070"/>
      <c r="Q204" s="1070"/>
      <c r="R204" s="1070"/>
      <c r="S204" s="1070"/>
      <c r="T204" s="1071"/>
      <c r="U204" s="1075"/>
      <c r="V204" s="1076"/>
      <c r="W204" s="1072"/>
      <c r="X204" s="1070"/>
      <c r="Y204" s="1071"/>
      <c r="Z204" s="1072"/>
      <c r="AA204" s="1077"/>
    </row>
    <row r="205" spans="1:27" ht="19.5" customHeight="1">
      <c r="B205" s="1069"/>
      <c r="C205" s="1070"/>
      <c r="D205" s="1070"/>
      <c r="E205" s="1070"/>
      <c r="F205" s="1071"/>
      <c r="G205" s="1072"/>
      <c r="H205" s="1070"/>
      <c r="I205" s="1071"/>
      <c r="J205" s="1072"/>
      <c r="K205" s="1070"/>
      <c r="L205" s="1073"/>
      <c r="M205" s="1070"/>
      <c r="N205" s="1070"/>
      <c r="O205" s="1074"/>
      <c r="P205" s="1070"/>
      <c r="Q205" s="1070"/>
      <c r="R205" s="1070"/>
      <c r="S205" s="1070"/>
      <c r="T205" s="1071"/>
      <c r="U205" s="1075"/>
      <c r="V205" s="1076"/>
      <c r="W205" s="1072"/>
      <c r="X205" s="1070"/>
      <c r="Y205" s="1071"/>
      <c r="Z205" s="1072"/>
      <c r="AA205" s="1077"/>
    </row>
    <row r="206" spans="1:27" ht="19.5" customHeight="1">
      <c r="B206" s="1707"/>
      <c r="C206" s="1708"/>
      <c r="D206" s="1708"/>
      <c r="E206" s="1708"/>
      <c r="F206" s="1709"/>
      <c r="G206" s="1710"/>
      <c r="H206" s="1708"/>
      <c r="I206" s="1709"/>
      <c r="J206" s="674"/>
      <c r="K206" s="672"/>
      <c r="L206" s="671"/>
      <c r="M206" s="675"/>
      <c r="N206" s="672"/>
      <c r="O206" s="671"/>
      <c r="P206" s="672"/>
      <c r="Q206" s="672"/>
      <c r="R206" s="672"/>
      <c r="S206" s="672"/>
      <c r="T206" s="673"/>
      <c r="U206" s="1675"/>
      <c r="V206" s="1711"/>
      <c r="W206" s="1710"/>
      <c r="X206" s="1708"/>
      <c r="Y206" s="1709"/>
      <c r="Z206" s="1710"/>
      <c r="AA206" s="1712"/>
    </row>
    <row r="207" spans="1:27" ht="31.5" customHeight="1">
      <c r="A207" s="1692" t="s">
        <v>1515</v>
      </c>
      <c r="B207" s="1692"/>
      <c r="C207" s="1692"/>
      <c r="D207" s="1692"/>
      <c r="E207" s="1692"/>
      <c r="F207" s="1692"/>
      <c r="G207" s="1692"/>
      <c r="H207" s="1692"/>
      <c r="I207" s="1692"/>
      <c r="J207" s="1692"/>
      <c r="K207" s="1692"/>
      <c r="L207" s="1692"/>
      <c r="M207" s="1692"/>
      <c r="N207" s="1692"/>
      <c r="O207" s="1692"/>
      <c r="P207" s="1692"/>
      <c r="Q207" s="1692"/>
      <c r="R207" s="1692"/>
      <c r="S207" s="1692"/>
      <c r="T207" s="1692"/>
      <c r="U207" s="1692"/>
      <c r="V207" s="1692"/>
      <c r="W207" s="1692"/>
      <c r="X207" s="1692"/>
      <c r="Y207" s="1692"/>
      <c r="Z207" s="1692"/>
      <c r="AA207" s="1692"/>
    </row>
    <row r="208" spans="1:27" ht="16.5" customHeight="1">
      <c r="A208" t="s">
        <v>1516</v>
      </c>
    </row>
    <row r="209" spans="5:5" ht="16.5" customHeight="1"/>
    <row r="210" spans="5:5" ht="16.5" customHeight="1"/>
    <row r="211" spans="5:5" ht="16.5" customHeight="1"/>
    <row r="212" spans="5:5" ht="16.5" customHeight="1"/>
    <row r="213" spans="5:5" ht="16.5" customHeight="1"/>
    <row r="214" spans="5:5" ht="16.5" customHeight="1"/>
    <row r="215" spans="5:5" ht="16.5" customHeight="1"/>
    <row r="216" spans="5:5" ht="16.5" customHeight="1"/>
    <row r="217" spans="5:5" ht="16.5" customHeight="1"/>
    <row r="218" spans="5:5" ht="16.5" customHeight="1"/>
    <row r="219" spans="5:5" ht="16.5" customHeight="1">
      <c r="E219" t="s">
        <v>451</v>
      </c>
    </row>
    <row r="220" spans="5:5" ht="16.5" customHeight="1"/>
    <row r="221" spans="5:5" ht="16.5" customHeight="1"/>
    <row r="222" spans="5:5" ht="16.5" customHeight="1"/>
    <row r="223" spans="5:5" ht="16.5" customHeight="1"/>
    <row r="224" spans="5:5" ht="16.5" customHeight="1"/>
    <row r="225" spans="2:27" ht="16.5" customHeight="1"/>
    <row r="226" spans="2:27" ht="16.5" customHeight="1"/>
    <row r="227" spans="2:27" ht="16.5" customHeight="1"/>
    <row r="228" spans="2:27" ht="22.5" customHeight="1">
      <c r="B228" s="1693" t="s">
        <v>1172</v>
      </c>
      <c r="C228" s="1694"/>
      <c r="D228" s="1695">
        <v>1.4</v>
      </c>
      <c r="E228" s="1696"/>
      <c r="F228" s="1697"/>
      <c r="G228" s="1698"/>
      <c r="H228" s="1699"/>
      <c r="I228" s="1700"/>
      <c r="J228" s="1696"/>
      <c r="K228" s="1696"/>
      <c r="L228" s="1701"/>
      <c r="M228" s="1699"/>
      <c r="N228" s="1697"/>
      <c r="O228" s="1698"/>
      <c r="P228" s="1699"/>
      <c r="Q228" s="1700"/>
      <c r="R228" s="1696"/>
      <c r="S228" s="1696"/>
      <c r="T228" s="1701"/>
      <c r="U228" s="1699"/>
      <c r="V228" s="1697"/>
      <c r="W228" s="1698"/>
      <c r="X228" s="1699"/>
      <c r="Y228" s="1700"/>
    </row>
    <row r="229" spans="2:27" ht="22.5" customHeight="1">
      <c r="B229" s="1684" t="s">
        <v>1173</v>
      </c>
      <c r="C229" s="1690"/>
      <c r="D229" s="1682">
        <f>SUM(H229,L229,P229,T229,X229)</f>
        <v>1.4299999999999997</v>
      </c>
      <c r="E229" s="1683"/>
      <c r="F229" s="1684" t="s">
        <v>1174</v>
      </c>
      <c r="G229" s="1685"/>
      <c r="H229" s="1690">
        <f>0.18+0.05</f>
        <v>0.22999999999999998</v>
      </c>
      <c r="I229" s="1691"/>
      <c r="J229" s="1690" t="s">
        <v>1175</v>
      </c>
      <c r="K229" s="1690"/>
      <c r="L229" s="1682">
        <v>0.1</v>
      </c>
      <c r="M229" s="1683"/>
      <c r="N229" s="1684" t="s">
        <v>1176</v>
      </c>
      <c r="O229" s="1685"/>
      <c r="P229" s="1683">
        <v>0.3</v>
      </c>
      <c r="Q229" s="1686"/>
      <c r="R229" s="1690" t="s">
        <v>1177</v>
      </c>
      <c r="S229" s="1690"/>
      <c r="T229" s="1682">
        <v>0.45</v>
      </c>
      <c r="U229" s="1683"/>
      <c r="V229" s="1684" t="s">
        <v>1178</v>
      </c>
      <c r="W229" s="1685"/>
      <c r="X229" s="1683">
        <v>0.35</v>
      </c>
      <c r="Y229" s="1686"/>
    </row>
    <row r="230" spans="2:27" ht="22.5" customHeight="1"/>
    <row r="231" spans="2:27" ht="22.5" customHeight="1">
      <c r="B231" s="1687" t="s">
        <v>1179</v>
      </c>
      <c r="C231" s="1688"/>
      <c r="D231" s="1688"/>
      <c r="E231" s="1688"/>
      <c r="F231" s="1688"/>
      <c r="G231" s="1688" t="s">
        <v>1180</v>
      </c>
      <c r="H231" s="1688"/>
      <c r="I231" s="1688"/>
      <c r="J231" s="1688" t="s">
        <v>1181</v>
      </c>
      <c r="K231" s="1688"/>
      <c r="L231" s="1688"/>
      <c r="M231" s="1688"/>
      <c r="N231" s="1688"/>
      <c r="O231" s="1688"/>
      <c r="P231" s="1688"/>
      <c r="Q231" s="1688"/>
      <c r="R231" s="1688"/>
      <c r="S231" s="1688"/>
      <c r="T231" s="1688"/>
      <c r="U231" s="1688" t="s">
        <v>1182</v>
      </c>
      <c r="V231" s="1688"/>
      <c r="W231" s="1688" t="s">
        <v>1183</v>
      </c>
      <c r="X231" s="1688"/>
      <c r="Y231" s="1688"/>
      <c r="Z231" s="1688" t="s">
        <v>1184</v>
      </c>
      <c r="AA231" s="1689"/>
    </row>
    <row r="232" spans="2:27" ht="19.5" customHeight="1">
      <c r="B232" s="1661" t="s">
        <v>1185</v>
      </c>
      <c r="C232" s="1658"/>
      <c r="D232" s="1658"/>
      <c r="E232" s="1658"/>
      <c r="F232" s="1658"/>
      <c r="G232" s="1658"/>
      <c r="H232" s="1658"/>
      <c r="I232" s="1658"/>
      <c r="J232" s="1678">
        <v>1</v>
      </c>
      <c r="K232" s="1679"/>
      <c r="L232" s="667" t="s">
        <v>1186</v>
      </c>
      <c r="M232" s="1679">
        <v>2</v>
      </c>
      <c r="N232" s="1679"/>
      <c r="O232" s="667"/>
      <c r="P232" s="668"/>
      <c r="Q232" s="668"/>
      <c r="R232" s="668"/>
      <c r="S232" s="668"/>
      <c r="T232" s="669"/>
      <c r="U232" s="1657" t="s">
        <v>1187</v>
      </c>
      <c r="V232" s="1657"/>
      <c r="W232" s="1658">
        <f>J232*M232</f>
        <v>2</v>
      </c>
      <c r="X232" s="1658"/>
      <c r="Y232" s="1658"/>
      <c r="Z232" s="1658"/>
      <c r="AA232" s="1659"/>
    </row>
    <row r="233" spans="2:27" ht="19.5" customHeight="1">
      <c r="B233" s="1661" t="s">
        <v>1188</v>
      </c>
      <c r="C233" s="1658"/>
      <c r="D233" s="1658"/>
      <c r="E233" s="1658"/>
      <c r="F233" s="1658"/>
      <c r="G233" s="1658"/>
      <c r="H233" s="1658"/>
      <c r="I233" s="1658"/>
      <c r="J233" s="1681">
        <f>H229+L229</f>
        <v>0.32999999999999996</v>
      </c>
      <c r="K233" s="1680"/>
      <c r="L233" s="667" t="s">
        <v>1186</v>
      </c>
      <c r="M233" s="1679">
        <f>D228</f>
        <v>1.4</v>
      </c>
      <c r="N233" s="1679"/>
      <c r="O233" s="667" t="s">
        <v>1186</v>
      </c>
      <c r="P233" s="1679">
        <v>1</v>
      </c>
      <c r="Q233" s="1679"/>
      <c r="R233" s="668"/>
      <c r="S233" s="668"/>
      <c r="T233" s="669"/>
      <c r="U233" s="1657" t="s">
        <v>1189</v>
      </c>
      <c r="V233" s="1657"/>
      <c r="W233" s="1658">
        <f>J233*M233*P233</f>
        <v>0.46199999999999991</v>
      </c>
      <c r="X233" s="1658"/>
      <c r="Y233" s="1658"/>
      <c r="Z233" s="1658"/>
      <c r="AA233" s="1659"/>
    </row>
    <row r="234" spans="2:27" ht="19.5" customHeight="1">
      <c r="B234" s="1661" t="s">
        <v>1190</v>
      </c>
      <c r="C234" s="1658"/>
      <c r="D234" s="1658"/>
      <c r="E234" s="1658"/>
      <c r="F234" s="1658"/>
      <c r="G234" s="1658"/>
      <c r="H234" s="1658"/>
      <c r="I234" s="1658"/>
      <c r="J234" s="1678">
        <f>D228</f>
        <v>1.4</v>
      </c>
      <c r="K234" s="1679"/>
      <c r="L234" s="667" t="s">
        <v>1186</v>
      </c>
      <c r="M234" s="1680">
        <f>D229-H229-L229</f>
        <v>1.0999999999999996</v>
      </c>
      <c r="N234" s="1680"/>
      <c r="O234" s="667" t="s">
        <v>1192</v>
      </c>
      <c r="P234" s="1679">
        <v>1</v>
      </c>
      <c r="Q234" s="1679"/>
      <c r="R234" s="668"/>
      <c r="S234" s="668"/>
      <c r="T234" s="669"/>
      <c r="U234" s="1657" t="s">
        <v>1189</v>
      </c>
      <c r="V234" s="1657"/>
      <c r="W234" s="1658">
        <f>J234*M234*P234</f>
        <v>1.5399999999999994</v>
      </c>
      <c r="X234" s="1658"/>
      <c r="Y234" s="1658"/>
      <c r="Z234" s="1658"/>
      <c r="AA234" s="1659"/>
    </row>
    <row r="235" spans="2:27" ht="19.5" customHeight="1">
      <c r="B235" s="1661" t="s">
        <v>1194</v>
      </c>
      <c r="C235" s="1658"/>
      <c r="D235" s="1658"/>
      <c r="E235" s="1658"/>
      <c r="F235" s="1658"/>
      <c r="G235" s="1658"/>
      <c r="H235" s="1658"/>
      <c r="I235" s="1658"/>
      <c r="J235" s="1678">
        <f>D228</f>
        <v>1.4</v>
      </c>
      <c r="K235" s="1679"/>
      <c r="L235" s="667" t="s">
        <v>1186</v>
      </c>
      <c r="M235" s="1680">
        <f>X229</f>
        <v>0.35</v>
      </c>
      <c r="N235" s="1679"/>
      <c r="O235" s="667" t="s">
        <v>1186</v>
      </c>
      <c r="P235" s="1679">
        <v>1</v>
      </c>
      <c r="Q235" s="1679"/>
      <c r="R235" s="668"/>
      <c r="S235" s="668"/>
      <c r="T235" s="669"/>
      <c r="U235" s="1657" t="s">
        <v>1189</v>
      </c>
      <c r="V235" s="1657"/>
      <c r="W235" s="1658">
        <f>J235*M235*P235</f>
        <v>0.48999999999999994</v>
      </c>
      <c r="X235" s="1658"/>
      <c r="Y235" s="1658"/>
      <c r="Z235" s="1658"/>
      <c r="AA235" s="1659"/>
    </row>
    <row r="236" spans="2:27" ht="19.5" customHeight="1">
      <c r="B236" s="1661" t="s">
        <v>1195</v>
      </c>
      <c r="C236" s="1658"/>
      <c r="D236" s="1658"/>
      <c r="E236" s="1658"/>
      <c r="F236" s="1658"/>
      <c r="G236" s="1658"/>
      <c r="H236" s="1658"/>
      <c r="I236" s="1658"/>
      <c r="J236" s="1678">
        <f>D228</f>
        <v>1.4</v>
      </c>
      <c r="K236" s="1679"/>
      <c r="L236" s="667" t="s">
        <v>1186</v>
      </c>
      <c r="M236" s="1680">
        <f>T229</f>
        <v>0.45</v>
      </c>
      <c r="N236" s="1680"/>
      <c r="O236" s="667" t="s">
        <v>1186</v>
      </c>
      <c r="P236" s="1679">
        <v>1</v>
      </c>
      <c r="Q236" s="1679"/>
      <c r="R236" s="668"/>
      <c r="S236" s="668"/>
      <c r="T236" s="669"/>
      <c r="U236" s="1657" t="s">
        <v>1189</v>
      </c>
      <c r="V236" s="1657"/>
      <c r="W236" s="1658">
        <f>J236*M236*P236</f>
        <v>0.63</v>
      </c>
      <c r="X236" s="1658"/>
      <c r="Y236" s="1658"/>
      <c r="Z236" s="1658"/>
      <c r="AA236" s="1659"/>
    </row>
    <row r="237" spans="2:27" ht="19.5" customHeight="1">
      <c r="B237" s="1661" t="s">
        <v>1196</v>
      </c>
      <c r="C237" s="1658"/>
      <c r="D237" s="1658"/>
      <c r="E237" s="1658"/>
      <c r="F237" s="1658"/>
      <c r="G237" s="1658"/>
      <c r="H237" s="1658"/>
      <c r="I237" s="1658"/>
      <c r="J237" s="1678">
        <f>D228</f>
        <v>1.4</v>
      </c>
      <c r="K237" s="1679"/>
      <c r="L237" s="667" t="s">
        <v>1186</v>
      </c>
      <c r="M237" s="1680">
        <f>P229</f>
        <v>0.3</v>
      </c>
      <c r="N237" s="1679"/>
      <c r="O237" s="667" t="s">
        <v>1186</v>
      </c>
      <c r="P237" s="1679">
        <v>1</v>
      </c>
      <c r="Q237" s="1679"/>
      <c r="R237" s="668"/>
      <c r="S237" s="668"/>
      <c r="T237" s="669"/>
      <c r="U237" s="1657" t="s">
        <v>1189</v>
      </c>
      <c r="V237" s="1657"/>
      <c r="W237" s="1658">
        <f>J237*M237*P237</f>
        <v>0.42</v>
      </c>
      <c r="X237" s="1658"/>
      <c r="Y237" s="1658"/>
      <c r="Z237" s="1658"/>
      <c r="AA237" s="1659"/>
    </row>
    <row r="238" spans="2:27" ht="19.5" customHeight="1">
      <c r="B238" s="1661" t="s">
        <v>1199</v>
      </c>
      <c r="C238" s="1658"/>
      <c r="D238" s="1658"/>
      <c r="E238" s="1658"/>
      <c r="F238" s="1658"/>
      <c r="G238" s="1658"/>
      <c r="H238" s="1658"/>
      <c r="I238" s="1658"/>
      <c r="J238" s="1678">
        <f>D228</f>
        <v>1.4</v>
      </c>
      <c r="K238" s="1679"/>
      <c r="L238" s="667" t="s">
        <v>1186</v>
      </c>
      <c r="M238" s="1679">
        <v>1</v>
      </c>
      <c r="N238" s="1679"/>
      <c r="O238" s="667" t="s">
        <v>1186</v>
      </c>
      <c r="P238" s="1679">
        <v>1</v>
      </c>
      <c r="Q238" s="1679"/>
      <c r="R238" s="668"/>
      <c r="S238" s="668"/>
      <c r="T238" s="669"/>
      <c r="U238" s="1657" t="s">
        <v>1189</v>
      </c>
      <c r="V238" s="1657"/>
      <c r="W238" s="1658">
        <f>J238*M238/100</f>
        <v>1.3999999999999999E-2</v>
      </c>
      <c r="X238" s="1658"/>
      <c r="Y238" s="1658"/>
      <c r="Z238" s="1658"/>
      <c r="AA238" s="1659"/>
    </row>
    <row r="239" spans="2:27" ht="19.5" customHeight="1">
      <c r="B239" s="1661" t="s">
        <v>1202</v>
      </c>
      <c r="C239" s="1658"/>
      <c r="D239" s="1658"/>
      <c r="E239" s="1658"/>
      <c r="F239" s="1658"/>
      <c r="G239" s="1658"/>
      <c r="H239" s="1658"/>
      <c r="I239" s="1658"/>
      <c r="J239" s="1678">
        <f>D228</f>
        <v>1.4</v>
      </c>
      <c r="K239" s="1679"/>
      <c r="L239" s="667" t="s">
        <v>1186</v>
      </c>
      <c r="M239" s="1679">
        <v>1</v>
      </c>
      <c r="N239" s="1679"/>
      <c r="O239" s="670"/>
      <c r="P239" s="1679"/>
      <c r="Q239" s="1679"/>
      <c r="R239" s="668"/>
      <c r="S239" s="668"/>
      <c r="T239" s="669"/>
      <c r="U239" s="1657" t="s">
        <v>1201</v>
      </c>
      <c r="V239" s="1657"/>
      <c r="W239" s="1658">
        <f>J239*M239</f>
        <v>1.4</v>
      </c>
      <c r="X239" s="1658"/>
      <c r="Y239" s="1658"/>
      <c r="Z239" s="1658"/>
      <c r="AA239" s="1659"/>
    </row>
    <row r="240" spans="2:27" s="931" customFormat="1" ht="19.5" hidden="1" customHeight="1">
      <c r="B240" s="1668" t="s">
        <v>1490</v>
      </c>
      <c r="C240" s="1669"/>
      <c r="D240" s="1669"/>
      <c r="E240" s="1669"/>
      <c r="F240" s="1669"/>
      <c r="G240" s="1669" t="s">
        <v>1491</v>
      </c>
      <c r="H240" s="1669"/>
      <c r="I240" s="1669"/>
      <c r="J240" s="1670">
        <f>D228</f>
        <v>1.4</v>
      </c>
      <c r="K240" s="1671"/>
      <c r="L240" s="932" t="s">
        <v>1186</v>
      </c>
      <c r="M240" s="1672">
        <f>L229</f>
        <v>0.1</v>
      </c>
      <c r="N240" s="1671"/>
      <c r="O240" s="932" t="s">
        <v>1186</v>
      </c>
      <c r="P240" s="1671">
        <v>1</v>
      </c>
      <c r="Q240" s="1671"/>
      <c r="R240" s="932" t="s">
        <v>1186</v>
      </c>
      <c r="S240" s="1671">
        <v>2.3199999999999998</v>
      </c>
      <c r="T240" s="1671"/>
      <c r="U240" s="1673" t="s">
        <v>1214</v>
      </c>
      <c r="V240" s="1673"/>
      <c r="W240" s="1669">
        <f>J240*M240*P240*S240</f>
        <v>0.32479999999999992</v>
      </c>
      <c r="X240" s="1669"/>
      <c r="Y240" s="1669"/>
      <c r="Z240" s="1669"/>
      <c r="AA240" s="1674"/>
    </row>
    <row r="241" spans="1:27" ht="19.5" customHeight="1">
      <c r="B241" s="1661" t="s">
        <v>1204</v>
      </c>
      <c r="C241" s="1658"/>
      <c r="D241" s="1658"/>
      <c r="E241" s="1658"/>
      <c r="F241" s="1658"/>
      <c r="G241" s="1658"/>
      <c r="H241" s="1658"/>
      <c r="I241" s="1658"/>
      <c r="J241" s="1678">
        <f>D228</f>
        <v>1.4</v>
      </c>
      <c r="K241" s="1679"/>
      <c r="L241" s="667" t="s">
        <v>1186</v>
      </c>
      <c r="M241" s="1679">
        <v>1</v>
      </c>
      <c r="N241" s="1679"/>
      <c r="O241" s="670"/>
      <c r="P241" s="1679"/>
      <c r="Q241" s="1679"/>
      <c r="R241" s="668"/>
      <c r="S241" s="668"/>
      <c r="T241" s="669"/>
      <c r="U241" s="1657" t="s">
        <v>1201</v>
      </c>
      <c r="V241" s="1657"/>
      <c r="W241" s="1658">
        <f>J241*M241</f>
        <v>1.4</v>
      </c>
      <c r="X241" s="1658"/>
      <c r="Y241" s="1658"/>
      <c r="Z241" s="1658"/>
      <c r="AA241" s="1659"/>
    </row>
    <row r="242" spans="1:27" ht="19.5" customHeight="1">
      <c r="B242" s="1661" t="s">
        <v>1205</v>
      </c>
      <c r="C242" s="1658"/>
      <c r="D242" s="1658"/>
      <c r="E242" s="1658"/>
      <c r="F242" s="1658"/>
      <c r="G242" s="1658"/>
      <c r="H242" s="1658"/>
      <c r="I242" s="1658"/>
      <c r="J242" s="1678">
        <f>D228</f>
        <v>1.4</v>
      </c>
      <c r="K242" s="1679"/>
      <c r="L242" s="667" t="s">
        <v>1186</v>
      </c>
      <c r="M242" s="1679">
        <v>1</v>
      </c>
      <c r="N242" s="1679"/>
      <c r="O242" s="670"/>
      <c r="P242" s="1679"/>
      <c r="Q242" s="1679"/>
      <c r="R242" s="668"/>
      <c r="S242" s="668"/>
      <c r="T242" s="669"/>
      <c r="U242" s="1657" t="s">
        <v>1201</v>
      </c>
      <c r="V242" s="1657"/>
      <c r="W242" s="1658">
        <f>J242*M242</f>
        <v>1.4</v>
      </c>
      <c r="X242" s="1658"/>
      <c r="Y242" s="1658"/>
      <c r="Z242" s="1658"/>
      <c r="AA242" s="1659"/>
    </row>
    <row r="243" spans="1:27" s="931" customFormat="1" ht="19.5" hidden="1" customHeight="1">
      <c r="B243" s="1668" t="s">
        <v>1495</v>
      </c>
      <c r="C243" s="1669"/>
      <c r="D243" s="1669"/>
      <c r="E243" s="1669"/>
      <c r="F243" s="1669"/>
      <c r="G243" s="1669" t="s">
        <v>1206</v>
      </c>
      <c r="H243" s="1669"/>
      <c r="I243" s="1669"/>
      <c r="J243" s="1670">
        <f>D228</f>
        <v>1.4</v>
      </c>
      <c r="K243" s="1671"/>
      <c r="L243" s="932" t="s">
        <v>1186</v>
      </c>
      <c r="M243" s="1671">
        <f>H229</f>
        <v>0.22999999999999998</v>
      </c>
      <c r="N243" s="1671"/>
      <c r="O243" s="932" t="s">
        <v>1186</v>
      </c>
      <c r="P243" s="1671">
        <v>1</v>
      </c>
      <c r="Q243" s="1671"/>
      <c r="R243" s="932" t="s">
        <v>1186</v>
      </c>
      <c r="S243" s="1671">
        <v>2.34</v>
      </c>
      <c r="T243" s="1671"/>
      <c r="U243" s="1673" t="s">
        <v>1214</v>
      </c>
      <c r="V243" s="1673"/>
      <c r="W243" s="1669">
        <f>J243*M243*P243*S243</f>
        <v>0.75347999999999982</v>
      </c>
      <c r="X243" s="1669"/>
      <c r="Y243" s="1669"/>
      <c r="Z243" s="1669"/>
      <c r="AA243" s="1674"/>
    </row>
    <row r="244" spans="1:27" ht="19.5" customHeight="1">
      <c r="B244" s="1661" t="s">
        <v>1209</v>
      </c>
      <c r="C244" s="1658"/>
      <c r="D244" s="1658"/>
      <c r="E244" s="1658"/>
      <c r="F244" s="1658"/>
      <c r="G244" s="1658"/>
      <c r="H244" s="1658"/>
      <c r="I244" s="1658"/>
      <c r="J244" s="1678">
        <v>1</v>
      </c>
      <c r="K244" s="1679"/>
      <c r="L244" s="667"/>
      <c r="M244" s="668"/>
      <c r="N244" s="668"/>
      <c r="O244" s="667"/>
      <c r="P244" s="668"/>
      <c r="Q244" s="668"/>
      <c r="R244" s="668"/>
      <c r="S244" s="668"/>
      <c r="T244" s="669"/>
      <c r="U244" s="1657" t="s">
        <v>1187</v>
      </c>
      <c r="V244" s="1657"/>
      <c r="W244" s="1658">
        <f>J244</f>
        <v>1</v>
      </c>
      <c r="X244" s="1658"/>
      <c r="Y244" s="1658"/>
      <c r="Z244" s="1658"/>
      <c r="AA244" s="1659"/>
    </row>
    <row r="245" spans="1:27" ht="19.5" customHeight="1">
      <c r="B245" s="1661" t="s">
        <v>1211</v>
      </c>
      <c r="C245" s="1658"/>
      <c r="D245" s="1658"/>
      <c r="E245" s="1658"/>
      <c r="F245" s="1658"/>
      <c r="G245" s="1658"/>
      <c r="H245" s="1658"/>
      <c r="I245" s="1658"/>
      <c r="J245" s="1678">
        <f>W234</f>
        <v>1.5399999999999994</v>
      </c>
      <c r="K245" s="1679"/>
      <c r="L245" s="670" t="s">
        <v>1212</v>
      </c>
      <c r="M245" s="1679">
        <f>W236</f>
        <v>0.63</v>
      </c>
      <c r="N245" s="1679"/>
      <c r="O245" s="667"/>
      <c r="P245" s="668"/>
      <c r="Q245" s="668"/>
      <c r="R245" s="668"/>
      <c r="S245" s="668"/>
      <c r="T245" s="669"/>
      <c r="U245" s="1657" t="s">
        <v>1189</v>
      </c>
      <c r="V245" s="1657"/>
      <c r="W245" s="1658">
        <f>J245-M245</f>
        <v>0.90999999999999936</v>
      </c>
      <c r="X245" s="1658"/>
      <c r="Y245" s="1658"/>
      <c r="Z245" s="1658"/>
      <c r="AA245" s="1659"/>
    </row>
    <row r="246" spans="1:27" ht="19.5" customHeight="1">
      <c r="B246" s="1662" t="s">
        <v>1213</v>
      </c>
      <c r="C246" s="1663"/>
      <c r="D246" s="1663"/>
      <c r="E246" s="1663"/>
      <c r="F246" s="1663"/>
      <c r="G246" s="1663"/>
      <c r="H246" s="1663"/>
      <c r="I246" s="1663"/>
      <c r="J246" s="1675">
        <f>D228</f>
        <v>1.4</v>
      </c>
      <c r="K246" s="1676"/>
      <c r="L246" s="671" t="s">
        <v>1186</v>
      </c>
      <c r="M246" s="1677">
        <f>H229+L229</f>
        <v>0.32999999999999996</v>
      </c>
      <c r="N246" s="1676"/>
      <c r="O246" s="671" t="s">
        <v>1186</v>
      </c>
      <c r="P246" s="1676">
        <v>2.35</v>
      </c>
      <c r="Q246" s="1676"/>
      <c r="R246" s="672"/>
      <c r="S246" s="672"/>
      <c r="T246" s="673"/>
      <c r="U246" s="1664" t="s">
        <v>1214</v>
      </c>
      <c r="V246" s="1664"/>
      <c r="W246" s="1663">
        <f>J246*M246*P246</f>
        <v>1.0856999999999999</v>
      </c>
      <c r="X246" s="1663"/>
      <c r="Y246" s="1663"/>
      <c r="Z246" s="1663"/>
      <c r="AA246" s="1665"/>
    </row>
    <row r="247" spans="1:27" ht="19.5" customHeight="1">
      <c r="J247" s="196"/>
      <c r="K247" s="196"/>
      <c r="L247" s="196"/>
      <c r="M247" s="933"/>
      <c r="N247" s="196"/>
      <c r="O247" s="196"/>
      <c r="P247" s="196"/>
      <c r="Q247" s="196"/>
      <c r="U247" s="196"/>
      <c r="V247" s="196"/>
    </row>
    <row r="248" spans="1:27" ht="31.5" customHeight="1">
      <c r="A248" s="1692" t="s">
        <v>1223</v>
      </c>
      <c r="B248" s="1692"/>
      <c r="C248" s="1692"/>
      <c r="D248" s="1692"/>
      <c r="E248" s="1692"/>
      <c r="F248" s="1692"/>
      <c r="G248" s="1692"/>
      <c r="H248" s="1692"/>
      <c r="I248" s="1692"/>
      <c r="J248" s="1692"/>
      <c r="K248" s="1692"/>
      <c r="L248" s="1692"/>
      <c r="M248" s="1692"/>
      <c r="N248" s="1692"/>
      <c r="O248" s="1692"/>
      <c r="P248" s="1692"/>
      <c r="Q248" s="1692"/>
      <c r="R248" s="1692"/>
      <c r="S248" s="1692"/>
      <c r="T248" s="1692"/>
      <c r="U248" s="1692"/>
      <c r="V248" s="1692"/>
      <c r="W248" s="1692"/>
      <c r="X248" s="1692"/>
      <c r="Y248" s="1692"/>
      <c r="Z248" s="1692"/>
      <c r="AA248" s="1692"/>
    </row>
    <row r="249" spans="1:27" ht="16.5" customHeight="1"/>
    <row r="250" spans="1:27" ht="16.5" customHeight="1"/>
    <row r="251" spans="1:27" ht="16.5" customHeight="1"/>
    <row r="252" spans="1:27" ht="16.5" customHeight="1"/>
    <row r="253" spans="1:27" ht="16.5" customHeight="1"/>
    <row r="254" spans="1:27" ht="16.5" customHeight="1"/>
    <row r="255" spans="1:27" ht="16.5" customHeight="1"/>
    <row r="256" spans="1:27" ht="16.5" customHeight="1"/>
    <row r="257" spans="2:27" ht="16.5" customHeight="1"/>
    <row r="258" spans="2:27" ht="16.5" customHeight="1"/>
    <row r="259" spans="2:27" ht="16.5" customHeight="1"/>
    <row r="260" spans="2:27" ht="16.5" customHeight="1"/>
    <row r="261" spans="2:27" ht="16.5" customHeight="1"/>
    <row r="262" spans="2:27" ht="16.5" customHeight="1"/>
    <row r="263" spans="2:27" ht="16.5" customHeight="1"/>
    <row r="264" spans="2:27" ht="16.5" customHeight="1"/>
    <row r="265" spans="2:27" ht="16.5" customHeight="1"/>
    <row r="266" spans="2:27" ht="16.5" customHeight="1"/>
    <row r="267" spans="2:27" ht="16.5" customHeight="1"/>
    <row r="268" spans="2:27" ht="16.5" customHeight="1"/>
    <row r="269" spans="2:27" ht="22.5" customHeight="1">
      <c r="B269" s="1693" t="s">
        <v>1172</v>
      </c>
      <c r="C269" s="1694"/>
      <c r="D269" s="1695">
        <v>0.5</v>
      </c>
      <c r="E269" s="1696"/>
      <c r="F269" s="1697"/>
      <c r="G269" s="1698"/>
      <c r="H269" s="1699"/>
      <c r="I269" s="1700"/>
      <c r="J269" s="1696"/>
      <c r="K269" s="1696"/>
      <c r="L269" s="1701"/>
      <c r="M269" s="1699"/>
      <c r="N269" s="1697"/>
      <c r="O269" s="1698"/>
      <c r="P269" s="1699"/>
      <c r="Q269" s="1700"/>
      <c r="R269" s="1696"/>
      <c r="S269" s="1696"/>
      <c r="T269" s="1701"/>
      <c r="U269" s="1699"/>
      <c r="V269" s="1697"/>
      <c r="W269" s="1698"/>
      <c r="X269" s="1699"/>
      <c r="Y269" s="1700"/>
    </row>
    <row r="270" spans="2:27" ht="22.5" customHeight="1">
      <c r="B270" s="1684" t="s">
        <v>1173</v>
      </c>
      <c r="C270" s="1690"/>
      <c r="D270" s="1682">
        <f>SUM(H270,L270,P270,T270,X270)</f>
        <v>0.65</v>
      </c>
      <c r="E270" s="1683"/>
      <c r="F270" s="1684" t="s">
        <v>1174</v>
      </c>
      <c r="G270" s="1685"/>
      <c r="H270" s="1683">
        <v>0.2</v>
      </c>
      <c r="I270" s="1686"/>
      <c r="J270" s="1690" t="s">
        <v>1175</v>
      </c>
      <c r="K270" s="1690"/>
      <c r="L270" s="1682">
        <v>0.2</v>
      </c>
      <c r="M270" s="1683"/>
      <c r="N270" s="1684" t="s">
        <v>1176</v>
      </c>
      <c r="O270" s="1685"/>
      <c r="P270" s="1683">
        <v>0</v>
      </c>
      <c r="Q270" s="1686"/>
      <c r="R270" s="1690" t="s">
        <v>1177</v>
      </c>
      <c r="S270" s="1690"/>
      <c r="T270" s="1682">
        <v>0.25</v>
      </c>
      <c r="U270" s="1683"/>
      <c r="V270" s="1684"/>
      <c r="W270" s="1685"/>
      <c r="X270" s="1683"/>
      <c r="Y270" s="1686"/>
    </row>
    <row r="271" spans="2:27" ht="22.5" customHeight="1"/>
    <row r="272" spans="2:27" ht="22.5" customHeight="1">
      <c r="B272" s="1687" t="s">
        <v>1179</v>
      </c>
      <c r="C272" s="1688"/>
      <c r="D272" s="1688"/>
      <c r="E272" s="1688"/>
      <c r="F272" s="1688"/>
      <c r="G272" s="1688" t="s">
        <v>1180</v>
      </c>
      <c r="H272" s="1688"/>
      <c r="I272" s="1688"/>
      <c r="J272" s="1688" t="s">
        <v>1181</v>
      </c>
      <c r="K272" s="1688"/>
      <c r="L272" s="1688"/>
      <c r="M272" s="1688"/>
      <c r="N272" s="1688"/>
      <c r="O272" s="1688"/>
      <c r="P272" s="1688"/>
      <c r="Q272" s="1688"/>
      <c r="R272" s="1688"/>
      <c r="S272" s="1688"/>
      <c r="T272" s="1688"/>
      <c r="U272" s="1688" t="s">
        <v>1182</v>
      </c>
      <c r="V272" s="1688"/>
      <c r="W272" s="1688" t="s">
        <v>1183</v>
      </c>
      <c r="X272" s="1688"/>
      <c r="Y272" s="1688"/>
      <c r="Z272" s="1688" t="s">
        <v>1184</v>
      </c>
      <c r="AA272" s="1689"/>
    </row>
    <row r="273" spans="2:27" ht="19.5" customHeight="1">
      <c r="B273" s="1661" t="s">
        <v>1224</v>
      </c>
      <c r="C273" s="1658"/>
      <c r="D273" s="1658"/>
      <c r="E273" s="1658"/>
      <c r="F273" s="1658"/>
      <c r="G273" s="1658"/>
      <c r="H273" s="1658"/>
      <c r="I273" s="1658"/>
      <c r="J273" s="1678">
        <v>1</v>
      </c>
      <c r="K273" s="1679"/>
      <c r="L273" s="667" t="s">
        <v>1186</v>
      </c>
      <c r="M273" s="1679">
        <v>2</v>
      </c>
      <c r="N273" s="1679"/>
      <c r="O273" s="667"/>
      <c r="P273" s="668"/>
      <c r="Q273" s="668"/>
      <c r="R273" s="668"/>
      <c r="S273" s="668"/>
      <c r="T273" s="669"/>
      <c r="U273" s="1657" t="s">
        <v>1187</v>
      </c>
      <c r="V273" s="1657"/>
      <c r="W273" s="1658">
        <f>J273*M273</f>
        <v>2</v>
      </c>
      <c r="X273" s="1658"/>
      <c r="Y273" s="1658"/>
      <c r="Z273" s="1658"/>
      <c r="AA273" s="1659"/>
    </row>
    <row r="274" spans="2:27" ht="19.5" customHeight="1">
      <c r="B274" s="1661" t="s">
        <v>1225</v>
      </c>
      <c r="C274" s="1658"/>
      <c r="D274" s="1658"/>
      <c r="E274" s="1658"/>
      <c r="F274" s="1658"/>
      <c r="G274" s="1658"/>
      <c r="H274" s="1658"/>
      <c r="I274" s="1658"/>
      <c r="J274" s="1681">
        <f>H270+L270</f>
        <v>0.4</v>
      </c>
      <c r="K274" s="1680"/>
      <c r="L274" s="667" t="s">
        <v>1186</v>
      </c>
      <c r="M274" s="1679">
        <f>D269</f>
        <v>0.5</v>
      </c>
      <c r="N274" s="1679"/>
      <c r="O274" s="667" t="s">
        <v>1186</v>
      </c>
      <c r="P274" s="1679">
        <v>1</v>
      </c>
      <c r="Q274" s="1679"/>
      <c r="R274" s="668"/>
      <c r="S274" s="668"/>
      <c r="T274" s="669"/>
      <c r="U274" s="1657" t="s">
        <v>1189</v>
      </c>
      <c r="V274" s="1657"/>
      <c r="W274" s="1658">
        <f t="shared" ref="W274:W279" si="0">J274*M274*P274</f>
        <v>0.2</v>
      </c>
      <c r="X274" s="1658"/>
      <c r="Y274" s="1658"/>
      <c r="Z274" s="1658"/>
      <c r="AA274" s="1659"/>
    </row>
    <row r="275" spans="2:27" ht="19.5" customHeight="1">
      <c r="B275" s="1661" t="s">
        <v>1190</v>
      </c>
      <c r="C275" s="1658"/>
      <c r="D275" s="1658"/>
      <c r="E275" s="1658"/>
      <c r="F275" s="1658"/>
      <c r="G275" s="1658"/>
      <c r="H275" s="1658"/>
      <c r="I275" s="1658"/>
      <c r="J275" s="1678">
        <f>D269</f>
        <v>0.5</v>
      </c>
      <c r="K275" s="1679"/>
      <c r="L275" s="667" t="s">
        <v>1186</v>
      </c>
      <c r="M275" s="1680">
        <f>D270-H270</f>
        <v>0.45</v>
      </c>
      <c r="N275" s="1680"/>
      <c r="O275" s="667" t="s">
        <v>1226</v>
      </c>
      <c r="P275" s="1679">
        <v>1</v>
      </c>
      <c r="Q275" s="1679"/>
      <c r="R275" s="668"/>
      <c r="S275" s="668"/>
      <c r="T275" s="669"/>
      <c r="U275" s="1657" t="s">
        <v>1189</v>
      </c>
      <c r="V275" s="1657"/>
      <c r="W275" s="1658">
        <f t="shared" si="0"/>
        <v>0.22500000000000001</v>
      </c>
      <c r="X275" s="1658"/>
      <c r="Y275" s="1658"/>
      <c r="Z275" s="1658"/>
      <c r="AA275" s="1659"/>
    </row>
    <row r="276" spans="2:27" ht="19.5" customHeight="1">
      <c r="B276" s="1661" t="s">
        <v>1220</v>
      </c>
      <c r="C276" s="1658"/>
      <c r="D276" s="1658"/>
      <c r="E276" s="1658"/>
      <c r="F276" s="1658"/>
      <c r="G276" s="1658"/>
      <c r="H276" s="1658"/>
      <c r="I276" s="1658"/>
      <c r="J276" s="1678">
        <f>D269</f>
        <v>0.5</v>
      </c>
      <c r="K276" s="1679"/>
      <c r="L276" s="667" t="s">
        <v>1186</v>
      </c>
      <c r="M276" s="1680">
        <f>T270</f>
        <v>0.25</v>
      </c>
      <c r="N276" s="1679"/>
      <c r="O276" s="667" t="s">
        <v>1186</v>
      </c>
      <c r="P276" s="1679">
        <v>1</v>
      </c>
      <c r="Q276" s="1679"/>
      <c r="R276" s="668"/>
      <c r="S276" s="668"/>
      <c r="T276" s="669"/>
      <c r="U276" s="1657" t="s">
        <v>1189</v>
      </c>
      <c r="V276" s="1657"/>
      <c r="W276" s="1658">
        <f t="shared" si="0"/>
        <v>0.125</v>
      </c>
      <c r="X276" s="1658"/>
      <c r="Y276" s="1658"/>
      <c r="Z276" s="1658"/>
      <c r="AA276" s="1659"/>
    </row>
    <row r="277" spans="2:27" ht="19.5" customHeight="1">
      <c r="B277" s="1661" t="s">
        <v>1195</v>
      </c>
      <c r="C277" s="1658"/>
      <c r="D277" s="1658"/>
      <c r="E277" s="1658"/>
      <c r="F277" s="1658"/>
      <c r="G277" s="1658"/>
      <c r="H277" s="1658"/>
      <c r="I277" s="1658"/>
      <c r="J277" s="1678">
        <f>D269</f>
        <v>0.5</v>
      </c>
      <c r="K277" s="1679"/>
      <c r="L277" s="667" t="s">
        <v>1186</v>
      </c>
      <c r="M277" s="1680">
        <f>P270</f>
        <v>0</v>
      </c>
      <c r="N277" s="1680"/>
      <c r="O277" s="667" t="s">
        <v>1186</v>
      </c>
      <c r="P277" s="1679">
        <v>1</v>
      </c>
      <c r="Q277" s="1679"/>
      <c r="R277" s="668"/>
      <c r="S277" s="668"/>
      <c r="T277" s="669"/>
      <c r="U277" s="1657" t="s">
        <v>1189</v>
      </c>
      <c r="V277" s="1657"/>
      <c r="W277" s="1658">
        <f t="shared" si="0"/>
        <v>0</v>
      </c>
      <c r="X277" s="1658"/>
      <c r="Y277" s="1658"/>
      <c r="Z277" s="1658"/>
      <c r="AA277" s="1659"/>
    </row>
    <row r="278" spans="2:27" ht="19.5" customHeight="1">
      <c r="B278" s="1661" t="s">
        <v>1196</v>
      </c>
      <c r="C278" s="1658"/>
      <c r="D278" s="1658"/>
      <c r="E278" s="1658"/>
      <c r="F278" s="1658"/>
      <c r="G278" s="1658"/>
      <c r="H278" s="1658"/>
      <c r="I278" s="1658"/>
      <c r="J278" s="1678">
        <f>D269</f>
        <v>0.5</v>
      </c>
      <c r="K278" s="1679"/>
      <c r="L278" s="667" t="s">
        <v>1186</v>
      </c>
      <c r="M278" s="1680">
        <f>L270</f>
        <v>0.2</v>
      </c>
      <c r="N278" s="1679"/>
      <c r="O278" s="667" t="s">
        <v>1186</v>
      </c>
      <c r="P278" s="1679">
        <v>1</v>
      </c>
      <c r="Q278" s="1679"/>
      <c r="R278" s="668"/>
      <c r="S278" s="668"/>
      <c r="T278" s="669"/>
      <c r="U278" s="1657" t="s">
        <v>1189</v>
      </c>
      <c r="V278" s="1657"/>
      <c r="W278" s="1658">
        <f t="shared" si="0"/>
        <v>0.1</v>
      </c>
      <c r="X278" s="1658"/>
      <c r="Y278" s="1658"/>
      <c r="Z278" s="1658"/>
      <c r="AA278" s="1659"/>
    </row>
    <row r="279" spans="2:27" ht="19.5" customHeight="1">
      <c r="B279" s="1661" t="s">
        <v>1227</v>
      </c>
      <c r="C279" s="1658"/>
      <c r="D279" s="1658"/>
      <c r="E279" s="1658"/>
      <c r="F279" s="1658"/>
      <c r="G279" s="1658"/>
      <c r="H279" s="1658"/>
      <c r="I279" s="1658"/>
      <c r="J279" s="1678">
        <f>D269</f>
        <v>0.5</v>
      </c>
      <c r="K279" s="1679"/>
      <c r="L279" s="667" t="s">
        <v>1186</v>
      </c>
      <c r="M279" s="1680">
        <f>H270</f>
        <v>0.2</v>
      </c>
      <c r="N279" s="1679"/>
      <c r="O279" s="667" t="s">
        <v>1186</v>
      </c>
      <c r="P279" s="1679">
        <v>1</v>
      </c>
      <c r="Q279" s="1679"/>
      <c r="R279" s="668"/>
      <c r="S279" s="668"/>
      <c r="T279" s="669"/>
      <c r="U279" s="1657" t="s">
        <v>1189</v>
      </c>
      <c r="V279" s="1657"/>
      <c r="W279" s="1658">
        <f t="shared" si="0"/>
        <v>0.1</v>
      </c>
      <c r="X279" s="1658"/>
      <c r="Y279" s="1658"/>
      <c r="Z279" s="1658"/>
      <c r="AA279" s="1659"/>
    </row>
    <row r="280" spans="2:27" ht="19.5" customHeight="1">
      <c r="B280" s="1717"/>
      <c r="C280" s="1714"/>
      <c r="D280" s="1714"/>
      <c r="E280" s="1714"/>
      <c r="F280" s="1715"/>
      <c r="G280" s="1713"/>
      <c r="H280" s="1714"/>
      <c r="I280" s="1715"/>
      <c r="J280" s="1678"/>
      <c r="K280" s="1679"/>
      <c r="L280" s="667"/>
      <c r="M280" s="1679"/>
      <c r="N280" s="1679"/>
      <c r="O280" s="670"/>
      <c r="P280" s="1679"/>
      <c r="Q280" s="1679"/>
      <c r="R280" s="668"/>
      <c r="S280" s="668"/>
      <c r="T280" s="669"/>
      <c r="U280" s="1678"/>
      <c r="V280" s="1718"/>
      <c r="W280" s="1713"/>
      <c r="X280" s="1714"/>
      <c r="Y280" s="1715"/>
      <c r="Z280" s="1713"/>
      <c r="AA280" s="1716"/>
    </row>
    <row r="281" spans="2:27" ht="19.5" customHeight="1">
      <c r="B281" s="1717"/>
      <c r="C281" s="1714"/>
      <c r="D281" s="1714"/>
      <c r="E281" s="1714"/>
      <c r="F281" s="1715"/>
      <c r="G281" s="1713"/>
      <c r="H281" s="1714"/>
      <c r="I281" s="1715"/>
      <c r="J281" s="1678"/>
      <c r="K281" s="1679"/>
      <c r="L281" s="667"/>
      <c r="M281" s="1679"/>
      <c r="N281" s="1679"/>
      <c r="O281" s="670"/>
      <c r="P281" s="1679"/>
      <c r="Q281" s="1679"/>
      <c r="R281" s="668"/>
      <c r="S281" s="668"/>
      <c r="T281" s="669"/>
      <c r="U281" s="1678"/>
      <c r="V281" s="1718"/>
      <c r="W281" s="1713"/>
      <c r="X281" s="1714"/>
      <c r="Y281" s="1715"/>
      <c r="Z281" s="1713"/>
      <c r="AA281" s="1716"/>
    </row>
    <row r="282" spans="2:27" ht="19.5" customHeight="1">
      <c r="B282" s="1717"/>
      <c r="C282" s="1714"/>
      <c r="D282" s="1714"/>
      <c r="E282" s="1714"/>
      <c r="F282" s="1715"/>
      <c r="G282" s="1713"/>
      <c r="H282" s="1714"/>
      <c r="I282" s="1715"/>
      <c r="J282" s="1678"/>
      <c r="K282" s="1679"/>
      <c r="L282" s="667"/>
      <c r="M282" s="1679"/>
      <c r="N282" s="1679"/>
      <c r="O282" s="670"/>
      <c r="P282" s="1679"/>
      <c r="Q282" s="1679"/>
      <c r="R282" s="668"/>
      <c r="S282" s="668"/>
      <c r="T282" s="669"/>
      <c r="U282" s="1678"/>
      <c r="V282" s="1718"/>
      <c r="W282" s="1713"/>
      <c r="X282" s="1714"/>
      <c r="Y282" s="1715"/>
      <c r="Z282" s="1713"/>
      <c r="AA282" s="1716"/>
    </row>
    <row r="283" spans="2:27" ht="19.5" customHeight="1">
      <c r="B283" s="1661" t="s">
        <v>1222</v>
      </c>
      <c r="C283" s="1658"/>
      <c r="D283" s="1658"/>
      <c r="E283" s="1658"/>
      <c r="F283" s="1658"/>
      <c r="G283" s="1658"/>
      <c r="H283" s="1658"/>
      <c r="I283" s="1658"/>
      <c r="J283" s="1678">
        <v>1</v>
      </c>
      <c r="K283" s="1679"/>
      <c r="L283" s="667"/>
      <c r="M283" s="668"/>
      <c r="N283" s="668"/>
      <c r="O283" s="667"/>
      <c r="P283" s="668"/>
      <c r="Q283" s="668"/>
      <c r="R283" s="668"/>
      <c r="S283" s="668"/>
      <c r="T283" s="669"/>
      <c r="U283" s="1657" t="s">
        <v>1187</v>
      </c>
      <c r="V283" s="1657"/>
      <c r="W283" s="1658">
        <f>J283</f>
        <v>1</v>
      </c>
      <c r="X283" s="1658"/>
      <c r="Y283" s="1658"/>
      <c r="Z283" s="1658"/>
      <c r="AA283" s="1659"/>
    </row>
    <row r="284" spans="2:27" ht="19.5" customHeight="1">
      <c r="B284" s="1661" t="s">
        <v>1211</v>
      </c>
      <c r="C284" s="1658"/>
      <c r="D284" s="1658"/>
      <c r="E284" s="1658"/>
      <c r="F284" s="1658"/>
      <c r="G284" s="1658"/>
      <c r="H284" s="1658"/>
      <c r="I284" s="1658"/>
      <c r="J284" s="1678">
        <f>W275</f>
        <v>0.22500000000000001</v>
      </c>
      <c r="K284" s="1679"/>
      <c r="L284" s="670" t="s">
        <v>1212</v>
      </c>
      <c r="M284" s="1679">
        <f>W277</f>
        <v>0</v>
      </c>
      <c r="N284" s="1679"/>
      <c r="O284" s="667"/>
      <c r="P284" s="668"/>
      <c r="Q284" s="668"/>
      <c r="R284" s="668"/>
      <c r="S284" s="668"/>
      <c r="T284" s="669"/>
      <c r="U284" s="1657" t="s">
        <v>1189</v>
      </c>
      <c r="V284" s="1657"/>
      <c r="W284" s="1658">
        <f>J284-M284</f>
        <v>0.22500000000000001</v>
      </c>
      <c r="X284" s="1658"/>
      <c r="Y284" s="1658"/>
      <c r="Z284" s="1658"/>
      <c r="AA284" s="1659"/>
    </row>
    <row r="285" spans="2:27" ht="19.5" customHeight="1">
      <c r="B285" s="1661" t="s">
        <v>1213</v>
      </c>
      <c r="C285" s="1658"/>
      <c r="D285" s="1658"/>
      <c r="E285" s="1658"/>
      <c r="F285" s="1658"/>
      <c r="G285" s="1658"/>
      <c r="H285" s="1658"/>
      <c r="I285" s="1658"/>
      <c r="J285" s="1678">
        <f>D269</f>
        <v>0.5</v>
      </c>
      <c r="K285" s="1679"/>
      <c r="L285" s="667" t="s">
        <v>1186</v>
      </c>
      <c r="M285" s="1680">
        <f>H270</f>
        <v>0.2</v>
      </c>
      <c r="N285" s="1679"/>
      <c r="O285" s="667" t="s">
        <v>1186</v>
      </c>
      <c r="P285" s="1679">
        <v>2.2999999999999998</v>
      </c>
      <c r="Q285" s="1679"/>
      <c r="R285" s="668"/>
      <c r="S285" s="668"/>
      <c r="T285" s="669"/>
      <c r="U285" s="1657" t="s">
        <v>1214</v>
      </c>
      <c r="V285" s="1657"/>
      <c r="W285" s="1658">
        <f>J285*M285*P285</f>
        <v>0.22999999999999998</v>
      </c>
      <c r="X285" s="1658"/>
      <c r="Y285" s="1658"/>
      <c r="Z285" s="1658"/>
      <c r="AA285" s="1659"/>
    </row>
    <row r="286" spans="2:27" ht="19.5" customHeight="1">
      <c r="B286" s="1661"/>
      <c r="C286" s="1658"/>
      <c r="D286" s="1658"/>
      <c r="E286" s="1658"/>
      <c r="F286" s="1658"/>
      <c r="G286" s="1658"/>
      <c r="H286" s="1658"/>
      <c r="I286" s="1658"/>
      <c r="J286" s="1678"/>
      <c r="K286" s="1679"/>
      <c r="L286" s="667"/>
      <c r="M286" s="1680"/>
      <c r="N286" s="1679"/>
      <c r="O286" s="667"/>
      <c r="P286" s="1679"/>
      <c r="Q286" s="1679"/>
      <c r="R286" s="668"/>
      <c r="S286" s="668"/>
      <c r="T286" s="669"/>
      <c r="U286" s="1657"/>
      <c r="V286" s="1657"/>
      <c r="W286" s="1658"/>
      <c r="X286" s="1658"/>
      <c r="Y286" s="1658"/>
      <c r="Z286" s="1658"/>
      <c r="AA286" s="1659"/>
    </row>
    <row r="287" spans="2:27" ht="19.5" customHeight="1">
      <c r="B287" s="1662"/>
      <c r="C287" s="1663"/>
      <c r="D287" s="1663"/>
      <c r="E287" s="1663"/>
      <c r="F287" s="1663"/>
      <c r="G287" s="1663"/>
      <c r="H287" s="1663"/>
      <c r="I287" s="1663"/>
      <c r="J287" s="1675"/>
      <c r="K287" s="1676"/>
      <c r="L287" s="671"/>
      <c r="M287" s="1677"/>
      <c r="N287" s="1676"/>
      <c r="O287" s="671"/>
      <c r="P287" s="1676"/>
      <c r="Q287" s="1676"/>
      <c r="R287" s="672"/>
      <c r="S287" s="672"/>
      <c r="T287" s="673"/>
      <c r="U287" s="1664"/>
      <c r="V287" s="1664"/>
      <c r="W287" s="1663"/>
      <c r="X287" s="1663"/>
      <c r="Y287" s="1663"/>
      <c r="Z287" s="1663"/>
      <c r="AA287" s="1665"/>
    </row>
    <row r="288" spans="2:27" ht="16.5" customHeight="1">
      <c r="B288" s="803"/>
      <c r="C288" s="803"/>
      <c r="D288" s="803"/>
      <c r="E288" s="803"/>
      <c r="F288" s="803"/>
      <c r="G288" s="803"/>
      <c r="H288" s="803"/>
      <c r="I288" s="803"/>
      <c r="J288" s="803"/>
      <c r="K288" s="803"/>
      <c r="L288" s="803"/>
      <c r="M288" s="803"/>
      <c r="N288" s="803"/>
      <c r="O288" s="803"/>
      <c r="P288" s="803"/>
      <c r="Q288" s="803"/>
      <c r="R288" s="803"/>
      <c r="S288" s="803"/>
      <c r="T288" s="803"/>
      <c r="U288" s="803"/>
      <c r="V288" s="803"/>
      <c r="W288" s="803"/>
      <c r="X288" s="803"/>
      <c r="Y288" s="803"/>
      <c r="Z288" s="803"/>
      <c r="AA288" s="803"/>
    </row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</sheetData>
  <mergeCells count="980">
    <mergeCell ref="B200:F200"/>
    <mergeCell ref="G200:I200"/>
    <mergeCell ref="U200:V200"/>
    <mergeCell ref="W200:Y200"/>
    <mergeCell ref="Z200:AA200"/>
    <mergeCell ref="B201:F201"/>
    <mergeCell ref="G201:I201"/>
    <mergeCell ref="U201:V201"/>
    <mergeCell ref="W201:Y201"/>
    <mergeCell ref="Z201:AA201"/>
    <mergeCell ref="B198:F198"/>
    <mergeCell ref="G198:I198"/>
    <mergeCell ref="U198:V198"/>
    <mergeCell ref="W198:Y198"/>
    <mergeCell ref="Z198:AA198"/>
    <mergeCell ref="B199:F199"/>
    <mergeCell ref="G199:I199"/>
    <mergeCell ref="U199:V199"/>
    <mergeCell ref="W199:Y199"/>
    <mergeCell ref="Z199:AA199"/>
    <mergeCell ref="B196:F196"/>
    <mergeCell ref="G196:I196"/>
    <mergeCell ref="U196:V196"/>
    <mergeCell ref="W196:Y196"/>
    <mergeCell ref="Z196:AA196"/>
    <mergeCell ref="B197:F197"/>
    <mergeCell ref="G197:I197"/>
    <mergeCell ref="U197:V197"/>
    <mergeCell ref="W197:Y197"/>
    <mergeCell ref="Z197:AA197"/>
    <mergeCell ref="B195:F195"/>
    <mergeCell ref="G195:I195"/>
    <mergeCell ref="J195:K195"/>
    <mergeCell ref="M195:N195"/>
    <mergeCell ref="P195:Q195"/>
    <mergeCell ref="S195:T195"/>
    <mergeCell ref="U195:V195"/>
    <mergeCell ref="W195:Y195"/>
    <mergeCell ref="Z195:AA195"/>
    <mergeCell ref="B193:F193"/>
    <mergeCell ref="G193:I193"/>
    <mergeCell ref="J193:K193"/>
    <mergeCell ref="M193:N193"/>
    <mergeCell ref="U193:V193"/>
    <mergeCell ref="W193:Y193"/>
    <mergeCell ref="Z193:AA193"/>
    <mergeCell ref="B194:F194"/>
    <mergeCell ref="G194:I194"/>
    <mergeCell ref="J194:K194"/>
    <mergeCell ref="U194:V194"/>
    <mergeCell ref="W194:Y194"/>
    <mergeCell ref="Z194:AA194"/>
    <mergeCell ref="B191:F191"/>
    <mergeCell ref="G191:I191"/>
    <mergeCell ref="J191:K191"/>
    <mergeCell ref="M191:N191"/>
    <mergeCell ref="P191:Q191"/>
    <mergeCell ref="U191:V191"/>
    <mergeCell ref="W191:Y191"/>
    <mergeCell ref="Z191:AA191"/>
    <mergeCell ref="B192:F192"/>
    <mergeCell ref="G192:I192"/>
    <mergeCell ref="J192:K192"/>
    <mergeCell ref="M192:N192"/>
    <mergeCell ref="P192:Q192"/>
    <mergeCell ref="U192:V192"/>
    <mergeCell ref="W192:Y192"/>
    <mergeCell ref="Z192:AA192"/>
    <mergeCell ref="B189:F189"/>
    <mergeCell ref="G189:I189"/>
    <mergeCell ref="J189:K189"/>
    <mergeCell ref="M189:N189"/>
    <mergeCell ref="U189:V189"/>
    <mergeCell ref="W189:Y189"/>
    <mergeCell ref="Z189:AA189"/>
    <mergeCell ref="B190:F190"/>
    <mergeCell ref="G190:I190"/>
    <mergeCell ref="J190:K190"/>
    <mergeCell ref="M190:N190"/>
    <mergeCell ref="P190:Q190"/>
    <mergeCell ref="S190:T190"/>
    <mergeCell ref="U190:V190"/>
    <mergeCell ref="W190:Y190"/>
    <mergeCell ref="Z190:AA190"/>
    <mergeCell ref="B188:F188"/>
    <mergeCell ref="G188:I188"/>
    <mergeCell ref="J188:K188"/>
    <mergeCell ref="M188:N188"/>
    <mergeCell ref="U188:V188"/>
    <mergeCell ref="W188:Y188"/>
    <mergeCell ref="Z188:AA188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T185:U185"/>
    <mergeCell ref="B246:F246"/>
    <mergeCell ref="G246:I246"/>
    <mergeCell ref="J246:K246"/>
    <mergeCell ref="M246:N246"/>
    <mergeCell ref="P246:Q246"/>
    <mergeCell ref="U246:V246"/>
    <mergeCell ref="W246:Y246"/>
    <mergeCell ref="Z246:AA246"/>
    <mergeCell ref="B244:F244"/>
    <mergeCell ref="G244:I244"/>
    <mergeCell ref="J244:K244"/>
    <mergeCell ref="U244:V244"/>
    <mergeCell ref="W244:Y244"/>
    <mergeCell ref="Z244:AA244"/>
    <mergeCell ref="B245:F245"/>
    <mergeCell ref="G245:I245"/>
    <mergeCell ref="J245:K245"/>
    <mergeCell ref="M245:N245"/>
    <mergeCell ref="U245:V245"/>
    <mergeCell ref="W245:Y245"/>
    <mergeCell ref="Z245:AA245"/>
    <mergeCell ref="B243:F243"/>
    <mergeCell ref="G243:I243"/>
    <mergeCell ref="J243:K243"/>
    <mergeCell ref="M243:N243"/>
    <mergeCell ref="P243:Q243"/>
    <mergeCell ref="S243:T243"/>
    <mergeCell ref="U243:V243"/>
    <mergeCell ref="W243:Y243"/>
    <mergeCell ref="Z243:AA243"/>
    <mergeCell ref="B241:F241"/>
    <mergeCell ref="G241:I241"/>
    <mergeCell ref="J241:K241"/>
    <mergeCell ref="M241:N241"/>
    <mergeCell ref="P241:Q241"/>
    <mergeCell ref="U241:V241"/>
    <mergeCell ref="W241:Y241"/>
    <mergeCell ref="Z241:AA241"/>
    <mergeCell ref="B242:F242"/>
    <mergeCell ref="G242:I242"/>
    <mergeCell ref="J242:K242"/>
    <mergeCell ref="M242:N242"/>
    <mergeCell ref="P242:Q242"/>
    <mergeCell ref="U242:V242"/>
    <mergeCell ref="W242:Y242"/>
    <mergeCell ref="Z242:AA242"/>
    <mergeCell ref="B240:F240"/>
    <mergeCell ref="G240:I240"/>
    <mergeCell ref="J240:K240"/>
    <mergeCell ref="M240:N240"/>
    <mergeCell ref="P240:Q240"/>
    <mergeCell ref="S240:T240"/>
    <mergeCell ref="U240:V240"/>
    <mergeCell ref="W240:Y240"/>
    <mergeCell ref="Z240:AA240"/>
    <mergeCell ref="B238:F238"/>
    <mergeCell ref="G238:I238"/>
    <mergeCell ref="J238:K238"/>
    <mergeCell ref="M238:N238"/>
    <mergeCell ref="P238:Q238"/>
    <mergeCell ref="U238:V238"/>
    <mergeCell ref="W238:Y238"/>
    <mergeCell ref="Z238:AA238"/>
    <mergeCell ref="B239:F239"/>
    <mergeCell ref="G239:I239"/>
    <mergeCell ref="J239:K239"/>
    <mergeCell ref="M239:N239"/>
    <mergeCell ref="P239:Q239"/>
    <mergeCell ref="U239:V239"/>
    <mergeCell ref="W239:Y239"/>
    <mergeCell ref="Z239:AA239"/>
    <mergeCell ref="B236:F236"/>
    <mergeCell ref="G236:I236"/>
    <mergeCell ref="J236:K236"/>
    <mergeCell ref="M236:N236"/>
    <mergeCell ref="P236:Q236"/>
    <mergeCell ref="U236:V236"/>
    <mergeCell ref="W236:Y236"/>
    <mergeCell ref="Z236:AA236"/>
    <mergeCell ref="B237:F237"/>
    <mergeCell ref="G237:I237"/>
    <mergeCell ref="J237:K237"/>
    <mergeCell ref="M237:N237"/>
    <mergeCell ref="P237:Q237"/>
    <mergeCell ref="U237:V237"/>
    <mergeCell ref="W237:Y237"/>
    <mergeCell ref="Z237:AA237"/>
    <mergeCell ref="B234:F234"/>
    <mergeCell ref="G234:I234"/>
    <mergeCell ref="J234:K234"/>
    <mergeCell ref="M234:N234"/>
    <mergeCell ref="P234:Q234"/>
    <mergeCell ref="U234:V234"/>
    <mergeCell ref="W234:Y234"/>
    <mergeCell ref="Z234:AA234"/>
    <mergeCell ref="B235:F235"/>
    <mergeCell ref="G235:I235"/>
    <mergeCell ref="J235:K235"/>
    <mergeCell ref="M235:N235"/>
    <mergeCell ref="P235:Q235"/>
    <mergeCell ref="U235:V235"/>
    <mergeCell ref="W235:Y235"/>
    <mergeCell ref="Z235:AA235"/>
    <mergeCell ref="B232:F232"/>
    <mergeCell ref="G232:I232"/>
    <mergeCell ref="J232:K232"/>
    <mergeCell ref="M232:N232"/>
    <mergeCell ref="U232:V232"/>
    <mergeCell ref="W232:Y232"/>
    <mergeCell ref="Z232:AA232"/>
    <mergeCell ref="B233:F233"/>
    <mergeCell ref="G233:I233"/>
    <mergeCell ref="J233:K233"/>
    <mergeCell ref="M233:N233"/>
    <mergeCell ref="P233:Q233"/>
    <mergeCell ref="U233:V233"/>
    <mergeCell ref="W233:Y233"/>
    <mergeCell ref="Z233:AA233"/>
    <mergeCell ref="T229:U229"/>
    <mergeCell ref="V229:W229"/>
    <mergeCell ref="X229:Y229"/>
    <mergeCell ref="B231:F231"/>
    <mergeCell ref="G231:I231"/>
    <mergeCell ref="J231:T231"/>
    <mergeCell ref="U231:V231"/>
    <mergeCell ref="W231:Y231"/>
    <mergeCell ref="Z231:AA231"/>
    <mergeCell ref="B229:C229"/>
    <mergeCell ref="D229:E229"/>
    <mergeCell ref="F229:G229"/>
    <mergeCell ref="H229:I229"/>
    <mergeCell ref="J229:K229"/>
    <mergeCell ref="L229:M229"/>
    <mergeCell ref="N229:O229"/>
    <mergeCell ref="P229:Q229"/>
    <mergeCell ref="R229:S229"/>
    <mergeCell ref="A207:AA207"/>
    <mergeCell ref="B228:C228"/>
    <mergeCell ref="D228:E228"/>
    <mergeCell ref="F228:G228"/>
    <mergeCell ref="H228:I228"/>
    <mergeCell ref="J228:K228"/>
    <mergeCell ref="L228:M228"/>
    <mergeCell ref="N228:O228"/>
    <mergeCell ref="P228:Q228"/>
    <mergeCell ref="R228:S228"/>
    <mergeCell ref="T228:U228"/>
    <mergeCell ref="V228:W228"/>
    <mergeCell ref="X228:Y228"/>
    <mergeCell ref="Z284:AA284"/>
    <mergeCell ref="B285:F285"/>
    <mergeCell ref="G285:I285"/>
    <mergeCell ref="J285:K285"/>
    <mergeCell ref="M285:N285"/>
    <mergeCell ref="P285:Q285"/>
    <mergeCell ref="U285:V285"/>
    <mergeCell ref="W285:Y285"/>
    <mergeCell ref="Z285:AA285"/>
    <mergeCell ref="B284:F284"/>
    <mergeCell ref="G284:I284"/>
    <mergeCell ref="J284:K284"/>
    <mergeCell ref="M284:N284"/>
    <mergeCell ref="U284:V284"/>
    <mergeCell ref="W284:Y284"/>
    <mergeCell ref="W282:Y282"/>
    <mergeCell ref="Z282:AA282"/>
    <mergeCell ref="B283:F283"/>
    <mergeCell ref="G283:I283"/>
    <mergeCell ref="J283:K283"/>
    <mergeCell ref="U283:V283"/>
    <mergeCell ref="W283:Y283"/>
    <mergeCell ref="Z283:AA283"/>
    <mergeCell ref="B282:F282"/>
    <mergeCell ref="G282:I282"/>
    <mergeCell ref="J282:K282"/>
    <mergeCell ref="M282:N282"/>
    <mergeCell ref="P282:Q282"/>
    <mergeCell ref="U282:V282"/>
    <mergeCell ref="W280:Y280"/>
    <mergeCell ref="Z280:AA280"/>
    <mergeCell ref="B281:F281"/>
    <mergeCell ref="G281:I281"/>
    <mergeCell ref="J281:K281"/>
    <mergeCell ref="M281:N281"/>
    <mergeCell ref="P281:Q281"/>
    <mergeCell ref="U281:V281"/>
    <mergeCell ref="W281:Y281"/>
    <mergeCell ref="Z281:AA281"/>
    <mergeCell ref="B280:F280"/>
    <mergeCell ref="G280:I280"/>
    <mergeCell ref="J280:K280"/>
    <mergeCell ref="M280:N280"/>
    <mergeCell ref="P280:Q280"/>
    <mergeCell ref="U280:V280"/>
    <mergeCell ref="W278:Y278"/>
    <mergeCell ref="Z278:AA278"/>
    <mergeCell ref="B279:F279"/>
    <mergeCell ref="G279:I279"/>
    <mergeCell ref="J279:K279"/>
    <mergeCell ref="M279:N279"/>
    <mergeCell ref="P279:Q279"/>
    <mergeCell ref="U279:V279"/>
    <mergeCell ref="W279:Y279"/>
    <mergeCell ref="Z279:AA279"/>
    <mergeCell ref="B278:F278"/>
    <mergeCell ref="G278:I278"/>
    <mergeCell ref="J278:K278"/>
    <mergeCell ref="M278:N278"/>
    <mergeCell ref="P278:Q278"/>
    <mergeCell ref="U278:V278"/>
    <mergeCell ref="W276:Y276"/>
    <mergeCell ref="Z276:AA276"/>
    <mergeCell ref="B277:F277"/>
    <mergeCell ref="G277:I277"/>
    <mergeCell ref="J277:K277"/>
    <mergeCell ref="M277:N277"/>
    <mergeCell ref="P277:Q277"/>
    <mergeCell ref="U277:V277"/>
    <mergeCell ref="W277:Y277"/>
    <mergeCell ref="Z277:AA277"/>
    <mergeCell ref="B276:F276"/>
    <mergeCell ref="G276:I276"/>
    <mergeCell ref="J276:K276"/>
    <mergeCell ref="M276:N276"/>
    <mergeCell ref="P276:Q276"/>
    <mergeCell ref="U276:V276"/>
    <mergeCell ref="W272:Y272"/>
    <mergeCell ref="W274:Y274"/>
    <mergeCell ref="Z274:AA274"/>
    <mergeCell ref="B275:F275"/>
    <mergeCell ref="G275:I275"/>
    <mergeCell ref="J275:K275"/>
    <mergeCell ref="M275:N275"/>
    <mergeCell ref="P275:Q275"/>
    <mergeCell ref="U275:V275"/>
    <mergeCell ref="W275:Y275"/>
    <mergeCell ref="Z275:AA275"/>
    <mergeCell ref="B274:F274"/>
    <mergeCell ref="G274:I274"/>
    <mergeCell ref="J274:K274"/>
    <mergeCell ref="M274:N274"/>
    <mergeCell ref="P274:Q274"/>
    <mergeCell ref="U274:V274"/>
    <mergeCell ref="B270:C270"/>
    <mergeCell ref="D270:E270"/>
    <mergeCell ref="F270:G270"/>
    <mergeCell ref="H270:I270"/>
    <mergeCell ref="J270:K270"/>
    <mergeCell ref="L270:M270"/>
    <mergeCell ref="N270:O270"/>
    <mergeCell ref="Z272:AA272"/>
    <mergeCell ref="B273:F273"/>
    <mergeCell ref="G273:I273"/>
    <mergeCell ref="J273:K273"/>
    <mergeCell ref="M273:N273"/>
    <mergeCell ref="U273:V273"/>
    <mergeCell ref="W273:Y273"/>
    <mergeCell ref="Z273:AA273"/>
    <mergeCell ref="P270:Q270"/>
    <mergeCell ref="R270:S270"/>
    <mergeCell ref="T270:U270"/>
    <mergeCell ref="V270:W270"/>
    <mergeCell ref="X270:Y270"/>
    <mergeCell ref="B272:F272"/>
    <mergeCell ref="G272:I272"/>
    <mergeCell ref="J272:T272"/>
    <mergeCell ref="U272:V272"/>
    <mergeCell ref="A248:AA248"/>
    <mergeCell ref="B269:C269"/>
    <mergeCell ref="D269:E269"/>
    <mergeCell ref="F269:G269"/>
    <mergeCell ref="H269:I269"/>
    <mergeCell ref="J269:K269"/>
    <mergeCell ref="L269:M269"/>
    <mergeCell ref="N269:O269"/>
    <mergeCell ref="P269:Q269"/>
    <mergeCell ref="R269:S269"/>
    <mergeCell ref="T269:U269"/>
    <mergeCell ref="V269:W269"/>
    <mergeCell ref="X269:Y269"/>
    <mergeCell ref="B206:F206"/>
    <mergeCell ref="G206:I206"/>
    <mergeCell ref="U206:V206"/>
    <mergeCell ref="W206:Y206"/>
    <mergeCell ref="Z206:AA206"/>
    <mergeCell ref="A163:AA163"/>
    <mergeCell ref="B184:C184"/>
    <mergeCell ref="D184:E184"/>
    <mergeCell ref="F184:G184"/>
    <mergeCell ref="H184:I184"/>
    <mergeCell ref="J184:K184"/>
    <mergeCell ref="L184:M184"/>
    <mergeCell ref="N184:O184"/>
    <mergeCell ref="P184:Q184"/>
    <mergeCell ref="R184:S184"/>
    <mergeCell ref="T184:U184"/>
    <mergeCell ref="V184:W184"/>
    <mergeCell ref="X184:Y184"/>
    <mergeCell ref="B185:C185"/>
    <mergeCell ref="V185:W185"/>
    <mergeCell ref="X185:Y185"/>
    <mergeCell ref="B187:F187"/>
    <mergeCell ref="G187:I187"/>
    <mergeCell ref="J187:T187"/>
    <mergeCell ref="B155:F155"/>
    <mergeCell ref="G155:I155"/>
    <mergeCell ref="U155:V155"/>
    <mergeCell ref="W155:Y155"/>
    <mergeCell ref="Z155:AA155"/>
    <mergeCell ref="B159:F159"/>
    <mergeCell ref="G159:I159"/>
    <mergeCell ref="U159:V159"/>
    <mergeCell ref="W159:Y159"/>
    <mergeCell ref="Z159:AA159"/>
    <mergeCell ref="B156:F156"/>
    <mergeCell ref="G156:I156"/>
    <mergeCell ref="U156:V156"/>
    <mergeCell ref="W156:Y156"/>
    <mergeCell ref="Z156:AA156"/>
    <mergeCell ref="J155:K155"/>
    <mergeCell ref="M155:N155"/>
    <mergeCell ref="P155:Q155"/>
    <mergeCell ref="S155:T155"/>
    <mergeCell ref="J156:K156"/>
    <mergeCell ref="M156:N156"/>
    <mergeCell ref="P156:Q156"/>
    <mergeCell ref="B157:F157"/>
    <mergeCell ref="G157:I157"/>
    <mergeCell ref="Z153:AA153"/>
    <mergeCell ref="B154:F154"/>
    <mergeCell ref="G154:I154"/>
    <mergeCell ref="J154:K154"/>
    <mergeCell ref="U154:V154"/>
    <mergeCell ref="W154:Y154"/>
    <mergeCell ref="Z154:AA154"/>
    <mergeCell ref="B153:F153"/>
    <mergeCell ref="G153:I153"/>
    <mergeCell ref="J153:K153"/>
    <mergeCell ref="M153:N153"/>
    <mergeCell ref="U153:V153"/>
    <mergeCell ref="W153:Y153"/>
    <mergeCell ref="W151:Y151"/>
    <mergeCell ref="Z151:AA151"/>
    <mergeCell ref="B152:F152"/>
    <mergeCell ref="G152:I152"/>
    <mergeCell ref="J152:K152"/>
    <mergeCell ref="M152:N152"/>
    <mergeCell ref="P152:Q152"/>
    <mergeCell ref="U152:V152"/>
    <mergeCell ref="W152:Y152"/>
    <mergeCell ref="Z152:AA152"/>
    <mergeCell ref="B151:F151"/>
    <mergeCell ref="G151:I151"/>
    <mergeCell ref="J151:K151"/>
    <mergeCell ref="M151:N151"/>
    <mergeCell ref="P151:Q151"/>
    <mergeCell ref="U151:V151"/>
    <mergeCell ref="W147:Y147"/>
    <mergeCell ref="Z149:AA149"/>
    <mergeCell ref="B150:F150"/>
    <mergeCell ref="G150:I150"/>
    <mergeCell ref="J150:K150"/>
    <mergeCell ref="M150:N150"/>
    <mergeCell ref="P150:Q150"/>
    <mergeCell ref="S150:T150"/>
    <mergeCell ref="U150:V150"/>
    <mergeCell ref="W150:Y150"/>
    <mergeCell ref="Z150:AA150"/>
    <mergeCell ref="B149:F149"/>
    <mergeCell ref="G149:I149"/>
    <mergeCell ref="J149:K149"/>
    <mergeCell ref="M149:N149"/>
    <mergeCell ref="U149:V149"/>
    <mergeCell ref="W149:Y149"/>
    <mergeCell ref="B145:C145"/>
    <mergeCell ref="D145:E145"/>
    <mergeCell ref="F145:G145"/>
    <mergeCell ref="H145:I145"/>
    <mergeCell ref="J145:K145"/>
    <mergeCell ref="L145:M145"/>
    <mergeCell ref="N145:O145"/>
    <mergeCell ref="Z147:AA147"/>
    <mergeCell ref="B148:F148"/>
    <mergeCell ref="G148:I148"/>
    <mergeCell ref="J148:K148"/>
    <mergeCell ref="M148:N148"/>
    <mergeCell ref="U148:V148"/>
    <mergeCell ref="W148:Y148"/>
    <mergeCell ref="Z148:AA148"/>
    <mergeCell ref="P145:Q145"/>
    <mergeCell ref="R145:S145"/>
    <mergeCell ref="T145:U145"/>
    <mergeCell ref="V145:W145"/>
    <mergeCell ref="X145:Y145"/>
    <mergeCell ref="B147:F147"/>
    <mergeCell ref="G147:I147"/>
    <mergeCell ref="J147:T147"/>
    <mergeCell ref="U147:V147"/>
    <mergeCell ref="A123:AA123"/>
    <mergeCell ref="B144:C144"/>
    <mergeCell ref="D144:E144"/>
    <mergeCell ref="F144:G144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39:AA39"/>
    <mergeCell ref="B40:F40"/>
    <mergeCell ref="G40:I40"/>
    <mergeCell ref="J40:K40"/>
    <mergeCell ref="M40:N40"/>
    <mergeCell ref="P40:Q40"/>
    <mergeCell ref="U40:V40"/>
    <mergeCell ref="W40:Y40"/>
    <mergeCell ref="Z40:AA40"/>
    <mergeCell ref="B39:F39"/>
    <mergeCell ref="G39:I39"/>
    <mergeCell ref="J39:K39"/>
    <mergeCell ref="M39:N39"/>
    <mergeCell ref="U39:V39"/>
    <mergeCell ref="W39:Y39"/>
    <mergeCell ref="B38:F38"/>
    <mergeCell ref="G38:I38"/>
    <mergeCell ref="J38:K38"/>
    <mergeCell ref="U38:V38"/>
    <mergeCell ref="W38:Y38"/>
    <mergeCell ref="Z38:AA38"/>
    <mergeCell ref="B36:F36"/>
    <mergeCell ref="G36:I36"/>
    <mergeCell ref="J36:K36"/>
    <mergeCell ref="M36:N36"/>
    <mergeCell ref="P36:Q36"/>
    <mergeCell ref="U36:V36"/>
    <mergeCell ref="W33:Y33"/>
    <mergeCell ref="Z33:AA33"/>
    <mergeCell ref="B35:F35"/>
    <mergeCell ref="G35:I35"/>
    <mergeCell ref="J35:K35"/>
    <mergeCell ref="M35:N35"/>
    <mergeCell ref="P35:Q35"/>
    <mergeCell ref="U35:V35"/>
    <mergeCell ref="W35:Y35"/>
    <mergeCell ref="Z35:AA35"/>
    <mergeCell ref="B33:F33"/>
    <mergeCell ref="G33:I33"/>
    <mergeCell ref="J33:K33"/>
    <mergeCell ref="M33:N33"/>
    <mergeCell ref="P33:Q33"/>
    <mergeCell ref="U33:V33"/>
    <mergeCell ref="B34:F34"/>
    <mergeCell ref="G34:I34"/>
    <mergeCell ref="J34:K34"/>
    <mergeCell ref="M34:N34"/>
    <mergeCell ref="P34:Q34"/>
    <mergeCell ref="S34:T34"/>
    <mergeCell ref="U34:V34"/>
    <mergeCell ref="W34:Y34"/>
    <mergeCell ref="W31:Y31"/>
    <mergeCell ref="Z31:AA31"/>
    <mergeCell ref="B32:F32"/>
    <mergeCell ref="G32:I32"/>
    <mergeCell ref="J32:K32"/>
    <mergeCell ref="M32:N32"/>
    <mergeCell ref="P32:Q32"/>
    <mergeCell ref="U32:V32"/>
    <mergeCell ref="W32:Y32"/>
    <mergeCell ref="Z32:AA32"/>
    <mergeCell ref="B31:F31"/>
    <mergeCell ref="G31:I31"/>
    <mergeCell ref="J31:K31"/>
    <mergeCell ref="M31:N31"/>
    <mergeCell ref="P31:Q31"/>
    <mergeCell ref="U31:V31"/>
    <mergeCell ref="W29:Y29"/>
    <mergeCell ref="Z29:AA29"/>
    <mergeCell ref="B30:F30"/>
    <mergeCell ref="G30:I30"/>
    <mergeCell ref="J30:K30"/>
    <mergeCell ref="M30:N30"/>
    <mergeCell ref="P30:Q30"/>
    <mergeCell ref="U30:V30"/>
    <mergeCell ref="W30:Y30"/>
    <mergeCell ref="Z30:AA30"/>
    <mergeCell ref="B29:F29"/>
    <mergeCell ref="G29:I29"/>
    <mergeCell ref="J29:K29"/>
    <mergeCell ref="M29:N29"/>
    <mergeCell ref="P29:Q29"/>
    <mergeCell ref="U29:V29"/>
    <mergeCell ref="W25:Y25"/>
    <mergeCell ref="W27:Y27"/>
    <mergeCell ref="Z27:AA27"/>
    <mergeCell ref="B28:F28"/>
    <mergeCell ref="G28:I28"/>
    <mergeCell ref="J28:K28"/>
    <mergeCell ref="M28:N28"/>
    <mergeCell ref="P28:Q28"/>
    <mergeCell ref="U28:V28"/>
    <mergeCell ref="W28:Y28"/>
    <mergeCell ref="Z28:AA28"/>
    <mergeCell ref="B27:F27"/>
    <mergeCell ref="G27:I27"/>
    <mergeCell ref="J27:K27"/>
    <mergeCell ref="M27:N27"/>
    <mergeCell ref="P27:Q27"/>
    <mergeCell ref="U27:V27"/>
    <mergeCell ref="B23:C23"/>
    <mergeCell ref="D23:E23"/>
    <mergeCell ref="F23:G23"/>
    <mergeCell ref="H23:I23"/>
    <mergeCell ref="J23:K23"/>
    <mergeCell ref="L23:M23"/>
    <mergeCell ref="N23:O23"/>
    <mergeCell ref="Z25:AA25"/>
    <mergeCell ref="B26:F26"/>
    <mergeCell ref="G26:I26"/>
    <mergeCell ref="J26:K26"/>
    <mergeCell ref="M26:N26"/>
    <mergeCell ref="U26:V26"/>
    <mergeCell ref="W26:Y26"/>
    <mergeCell ref="Z26:AA26"/>
    <mergeCell ref="P23:Q23"/>
    <mergeCell ref="R23:S23"/>
    <mergeCell ref="T23:U23"/>
    <mergeCell ref="V23:W23"/>
    <mergeCell ref="X23:Y23"/>
    <mergeCell ref="B25:F25"/>
    <mergeCell ref="G25:I25"/>
    <mergeCell ref="J25:T25"/>
    <mergeCell ref="U25:V25"/>
    <mergeCell ref="A1:AA1"/>
    <mergeCell ref="B22:C22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A41:AA41"/>
    <mergeCell ref="B62:C62"/>
    <mergeCell ref="D62:E62"/>
    <mergeCell ref="F62:G62"/>
    <mergeCell ref="H62:I62"/>
    <mergeCell ref="J62:K62"/>
    <mergeCell ref="L62:M62"/>
    <mergeCell ref="N62:O62"/>
    <mergeCell ref="P62:Q62"/>
    <mergeCell ref="R62:S62"/>
    <mergeCell ref="T62:U62"/>
    <mergeCell ref="V62:W62"/>
    <mergeCell ref="X62:Y62"/>
    <mergeCell ref="T63:U63"/>
    <mergeCell ref="V63:W63"/>
    <mergeCell ref="X63:Y63"/>
    <mergeCell ref="B65:F65"/>
    <mergeCell ref="G65:I65"/>
    <mergeCell ref="J65:T65"/>
    <mergeCell ref="U65:V65"/>
    <mergeCell ref="W65:Y65"/>
    <mergeCell ref="Z65:AA65"/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B66:F66"/>
    <mergeCell ref="G66:I66"/>
    <mergeCell ref="J66:K66"/>
    <mergeCell ref="M66:N66"/>
    <mergeCell ref="U66:V66"/>
    <mergeCell ref="W66:Y66"/>
    <mergeCell ref="Z66:AA66"/>
    <mergeCell ref="B67:F67"/>
    <mergeCell ref="G67:I67"/>
    <mergeCell ref="J67:K67"/>
    <mergeCell ref="M67:N67"/>
    <mergeCell ref="P67:Q67"/>
    <mergeCell ref="U67:V67"/>
    <mergeCell ref="W67:Y67"/>
    <mergeCell ref="Z67:AA67"/>
    <mergeCell ref="B68:F68"/>
    <mergeCell ref="G68:I68"/>
    <mergeCell ref="J68:K68"/>
    <mergeCell ref="M68:N68"/>
    <mergeCell ref="P68:Q68"/>
    <mergeCell ref="U68:V68"/>
    <mergeCell ref="W68:Y68"/>
    <mergeCell ref="Z68:AA68"/>
    <mergeCell ref="B69:F69"/>
    <mergeCell ref="G69:I69"/>
    <mergeCell ref="J69:K69"/>
    <mergeCell ref="M69:N69"/>
    <mergeCell ref="P69:Q69"/>
    <mergeCell ref="U69:V69"/>
    <mergeCell ref="W69:Y69"/>
    <mergeCell ref="Z69:AA69"/>
    <mergeCell ref="B70:F70"/>
    <mergeCell ref="G70:I70"/>
    <mergeCell ref="J70:K70"/>
    <mergeCell ref="M70:N70"/>
    <mergeCell ref="P70:Q70"/>
    <mergeCell ref="U70:V70"/>
    <mergeCell ref="W70:Y70"/>
    <mergeCell ref="Z70:AA70"/>
    <mergeCell ref="B71:F71"/>
    <mergeCell ref="G71:I71"/>
    <mergeCell ref="J71:K71"/>
    <mergeCell ref="M71:N71"/>
    <mergeCell ref="P71:Q71"/>
    <mergeCell ref="U71:V71"/>
    <mergeCell ref="W71:Y71"/>
    <mergeCell ref="Z71:AA71"/>
    <mergeCell ref="B72:F72"/>
    <mergeCell ref="G72:I72"/>
    <mergeCell ref="J72:K72"/>
    <mergeCell ref="M72:N72"/>
    <mergeCell ref="P72:Q72"/>
    <mergeCell ref="U72:V72"/>
    <mergeCell ref="W72:Y72"/>
    <mergeCell ref="Z72:AA72"/>
    <mergeCell ref="B73:F73"/>
    <mergeCell ref="G73:I73"/>
    <mergeCell ref="J73:K73"/>
    <mergeCell ref="M73:N73"/>
    <mergeCell ref="P73:Q73"/>
    <mergeCell ref="U73:V73"/>
    <mergeCell ref="W73:Y73"/>
    <mergeCell ref="Z73:AA73"/>
    <mergeCell ref="B74:F74"/>
    <mergeCell ref="G74:I74"/>
    <mergeCell ref="J74:K74"/>
    <mergeCell ref="M74:N74"/>
    <mergeCell ref="P74:Q74"/>
    <mergeCell ref="U74:V74"/>
    <mergeCell ref="W74:Y74"/>
    <mergeCell ref="Z74:AA74"/>
    <mergeCell ref="B75:F75"/>
    <mergeCell ref="G75:I75"/>
    <mergeCell ref="J75:K75"/>
    <mergeCell ref="M75:N75"/>
    <mergeCell ref="P75:Q75"/>
    <mergeCell ref="U75:V75"/>
    <mergeCell ref="W75:Y75"/>
    <mergeCell ref="Z75:AA75"/>
    <mergeCell ref="B78:F78"/>
    <mergeCell ref="G78:I78"/>
    <mergeCell ref="J78:K78"/>
    <mergeCell ref="M78:N78"/>
    <mergeCell ref="P78:Q78"/>
    <mergeCell ref="U78:V78"/>
    <mergeCell ref="W78:Y78"/>
    <mergeCell ref="Z78:AA78"/>
    <mergeCell ref="B76:F76"/>
    <mergeCell ref="G76:I76"/>
    <mergeCell ref="J76:K76"/>
    <mergeCell ref="U76:V76"/>
    <mergeCell ref="W76:Y76"/>
    <mergeCell ref="Z76:AA76"/>
    <mergeCell ref="B77:F77"/>
    <mergeCell ref="G77:I77"/>
    <mergeCell ref="J77:K77"/>
    <mergeCell ref="M77:N77"/>
    <mergeCell ref="U77:V77"/>
    <mergeCell ref="W77:Y77"/>
    <mergeCell ref="Z77:AA77"/>
    <mergeCell ref="Z34:AA34"/>
    <mergeCell ref="B37:F37"/>
    <mergeCell ref="G37:I37"/>
    <mergeCell ref="J37:K37"/>
    <mergeCell ref="M37:N37"/>
    <mergeCell ref="P37:Q37"/>
    <mergeCell ref="S37:T37"/>
    <mergeCell ref="U37:V37"/>
    <mergeCell ref="W37:Y37"/>
    <mergeCell ref="Z37:AA37"/>
    <mergeCell ref="W36:Y36"/>
    <mergeCell ref="Z36:AA36"/>
    <mergeCell ref="B286:F286"/>
    <mergeCell ref="G286:I286"/>
    <mergeCell ref="J286:K286"/>
    <mergeCell ref="M286:N286"/>
    <mergeCell ref="P286:Q286"/>
    <mergeCell ref="U286:V286"/>
    <mergeCell ref="W286:Y286"/>
    <mergeCell ref="Z286:AA286"/>
    <mergeCell ref="B287:F287"/>
    <mergeCell ref="G287:I287"/>
    <mergeCell ref="J287:K287"/>
    <mergeCell ref="M287:N287"/>
    <mergeCell ref="P287:Q287"/>
    <mergeCell ref="U287:V287"/>
    <mergeCell ref="W287:Y287"/>
    <mergeCell ref="Z287:AA287"/>
    <mergeCell ref="A81:AA81"/>
    <mergeCell ref="B102:C102"/>
    <mergeCell ref="D102:E102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T103:U103"/>
    <mergeCell ref="V103:W103"/>
    <mergeCell ref="X103:Y103"/>
    <mergeCell ref="B105:F105"/>
    <mergeCell ref="G105:I105"/>
    <mergeCell ref="J105:T105"/>
    <mergeCell ref="U105:V105"/>
    <mergeCell ref="W105:Y105"/>
    <mergeCell ref="Z105:AA105"/>
    <mergeCell ref="B103:C103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B106:F106"/>
    <mergeCell ref="G106:I106"/>
    <mergeCell ref="J106:K106"/>
    <mergeCell ref="M106:N106"/>
    <mergeCell ref="U106:V106"/>
    <mergeCell ref="W106:Y106"/>
    <mergeCell ref="Z106:AA106"/>
    <mergeCell ref="B107:F107"/>
    <mergeCell ref="G107:I107"/>
    <mergeCell ref="J107:K107"/>
    <mergeCell ref="M107:N107"/>
    <mergeCell ref="P107:Q107"/>
    <mergeCell ref="U107:V107"/>
    <mergeCell ref="W107:Y107"/>
    <mergeCell ref="Z107:AA107"/>
    <mergeCell ref="B108:F108"/>
    <mergeCell ref="G108:I108"/>
    <mergeCell ref="J108:K108"/>
    <mergeCell ref="M108:N108"/>
    <mergeCell ref="P108:Q108"/>
    <mergeCell ref="U108:V108"/>
    <mergeCell ref="W108:Y108"/>
    <mergeCell ref="Z108:AA108"/>
    <mergeCell ref="B109:F109"/>
    <mergeCell ref="G109:I109"/>
    <mergeCell ref="J109:K109"/>
    <mergeCell ref="M109:N109"/>
    <mergeCell ref="P109:Q109"/>
    <mergeCell ref="U109:V109"/>
    <mergeCell ref="W109:Y109"/>
    <mergeCell ref="Z109:AA109"/>
    <mergeCell ref="B110:F110"/>
    <mergeCell ref="G110:I110"/>
    <mergeCell ref="J110:K110"/>
    <mergeCell ref="M110:N110"/>
    <mergeCell ref="P110:Q110"/>
    <mergeCell ref="U110:V110"/>
    <mergeCell ref="W110:Y110"/>
    <mergeCell ref="Z110:AA110"/>
    <mergeCell ref="B111:F111"/>
    <mergeCell ref="G111:I111"/>
    <mergeCell ref="J111:K111"/>
    <mergeCell ref="M111:N111"/>
    <mergeCell ref="P111:Q111"/>
    <mergeCell ref="U111:V111"/>
    <mergeCell ref="W111:Y111"/>
    <mergeCell ref="Z111:AA111"/>
    <mergeCell ref="B112:F112"/>
    <mergeCell ref="G112:I112"/>
    <mergeCell ref="J112:K112"/>
    <mergeCell ref="M112:N112"/>
    <mergeCell ref="P112:Q112"/>
    <mergeCell ref="U112:V112"/>
    <mergeCell ref="W112:Y112"/>
    <mergeCell ref="Z112:AA112"/>
    <mergeCell ref="B113:F113"/>
    <mergeCell ref="G113:I113"/>
    <mergeCell ref="J113:K113"/>
    <mergeCell ref="M113:N113"/>
    <mergeCell ref="P113:Q113"/>
    <mergeCell ref="U113:V113"/>
    <mergeCell ref="W113:Y113"/>
    <mergeCell ref="Z113:AA113"/>
    <mergeCell ref="J115:K115"/>
    <mergeCell ref="M115:N115"/>
    <mergeCell ref="P115:Q115"/>
    <mergeCell ref="U115:V115"/>
    <mergeCell ref="W115:Y115"/>
    <mergeCell ref="Z115:AA115"/>
    <mergeCell ref="B116:F116"/>
    <mergeCell ref="G116:I116"/>
    <mergeCell ref="J116:K116"/>
    <mergeCell ref="M116:N116"/>
    <mergeCell ref="P116:Q116"/>
    <mergeCell ref="U116:V116"/>
    <mergeCell ref="W116:Y116"/>
    <mergeCell ref="Z116:AA116"/>
    <mergeCell ref="B115:F115"/>
    <mergeCell ref="G115:I115"/>
    <mergeCell ref="B117:F117"/>
    <mergeCell ref="G117:I117"/>
    <mergeCell ref="J117:K117"/>
    <mergeCell ref="M117:N117"/>
    <mergeCell ref="P117:Q117"/>
    <mergeCell ref="S117:T117"/>
    <mergeCell ref="U117:V117"/>
    <mergeCell ref="W117:Y117"/>
    <mergeCell ref="Z117:AA117"/>
    <mergeCell ref="B120:F120"/>
    <mergeCell ref="G120:I120"/>
    <mergeCell ref="J120:K120"/>
    <mergeCell ref="M120:N120"/>
    <mergeCell ref="P120:Q120"/>
    <mergeCell ref="U120:V120"/>
    <mergeCell ref="W120:Y120"/>
    <mergeCell ref="Z120:AA120"/>
    <mergeCell ref="B118:F118"/>
    <mergeCell ref="G118:I118"/>
    <mergeCell ref="J118:K118"/>
    <mergeCell ref="U118:V118"/>
    <mergeCell ref="W118:Y118"/>
    <mergeCell ref="Z118:AA118"/>
    <mergeCell ref="B119:F119"/>
    <mergeCell ref="G119:I119"/>
    <mergeCell ref="J119:K119"/>
    <mergeCell ref="M119:N119"/>
    <mergeCell ref="U119:V119"/>
    <mergeCell ref="W119:Y119"/>
    <mergeCell ref="Z119:AA119"/>
    <mergeCell ref="B114:F114"/>
    <mergeCell ref="G114:I114"/>
    <mergeCell ref="J114:K114"/>
    <mergeCell ref="M114:N114"/>
    <mergeCell ref="P114:Q114"/>
    <mergeCell ref="S114:T114"/>
    <mergeCell ref="U114:V114"/>
    <mergeCell ref="W114:Y114"/>
    <mergeCell ref="Z114:AA114"/>
    <mergeCell ref="U157:V157"/>
    <mergeCell ref="W157:Y157"/>
    <mergeCell ref="Z157:AA157"/>
    <mergeCell ref="J196:K196"/>
    <mergeCell ref="M196:N196"/>
    <mergeCell ref="P196:Q196"/>
    <mergeCell ref="B160:F160"/>
    <mergeCell ref="G160:I160"/>
    <mergeCell ref="U160:V160"/>
    <mergeCell ref="W160:Y160"/>
    <mergeCell ref="Z160:AA160"/>
    <mergeCell ref="B161:F161"/>
    <mergeCell ref="G161:I161"/>
    <mergeCell ref="U161:V161"/>
    <mergeCell ref="W161:Y161"/>
    <mergeCell ref="Z161:AA161"/>
    <mergeCell ref="B162:F162"/>
    <mergeCell ref="G162:I162"/>
    <mergeCell ref="U162:V162"/>
    <mergeCell ref="W162:Y162"/>
    <mergeCell ref="Z162:AA162"/>
    <mergeCell ref="U187:V187"/>
    <mergeCell ref="W187:Y187"/>
    <mergeCell ref="Z187:AA187"/>
  </mergeCells>
  <phoneticPr fontId="7" type="noConversion"/>
  <pageMargins left="0.15748031496062992" right="0.15748031496062992" top="0.82677165354330717" bottom="0.39370078740157483" header="0.31496062992125984" footer="0.23622047244094491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utoCAD.Drawing.19" shapeId="384001" r:id="rId4">
          <objectPr defaultSize="0" autoPict="0" r:id="rId5">
            <anchor moveWithCells="1" sizeWithCells="1">
              <from>
                <xdr:col>2</xdr:col>
                <xdr:colOff>209550</xdr:colOff>
                <xdr:row>1</xdr:row>
                <xdr:rowOff>114300</xdr:rowOff>
              </from>
              <to>
                <xdr:col>25</xdr:col>
                <xdr:colOff>38100</xdr:colOff>
                <xdr:row>20</xdr:row>
                <xdr:rowOff>19050</xdr:rowOff>
              </to>
            </anchor>
          </objectPr>
        </oleObject>
      </mc:Choice>
      <mc:Fallback>
        <oleObject progId="AutoCAD.Drawing.19" shapeId="384001" r:id="rId4"/>
      </mc:Fallback>
    </mc:AlternateContent>
    <mc:AlternateContent xmlns:mc="http://schemas.openxmlformats.org/markup-compatibility/2006">
      <mc:Choice Requires="x14">
        <oleObject progId="AutoCAD.Drawing.19" shapeId="384002" r:id="rId6">
          <objectPr defaultSize="0" autoPict="0" r:id="rId7">
            <anchor moveWithCells="1" sizeWithCells="1">
              <from>
                <xdr:col>2</xdr:col>
                <xdr:colOff>104775</xdr:colOff>
                <xdr:row>123</xdr:row>
                <xdr:rowOff>38100</xdr:rowOff>
              </from>
              <to>
                <xdr:col>24</xdr:col>
                <xdr:colOff>200025</xdr:colOff>
                <xdr:row>142</xdr:row>
                <xdr:rowOff>152400</xdr:rowOff>
              </to>
            </anchor>
          </objectPr>
        </oleObject>
      </mc:Choice>
      <mc:Fallback>
        <oleObject progId="AutoCAD.Drawing.19" shapeId="384002" r:id="rId6"/>
      </mc:Fallback>
    </mc:AlternateContent>
    <mc:AlternateContent xmlns:mc="http://schemas.openxmlformats.org/markup-compatibility/2006">
      <mc:Choice Requires="x14">
        <oleObject progId="AutoCAD.Drawing.19" shapeId="384003" r:id="rId8">
          <objectPr defaultSize="0" autoPict="0" r:id="rId5">
            <anchor moveWithCells="1" sizeWithCells="1">
              <from>
                <xdr:col>2</xdr:col>
                <xdr:colOff>152400</xdr:colOff>
                <xdr:row>41</xdr:row>
                <xdr:rowOff>38100</xdr:rowOff>
              </from>
              <to>
                <xdr:col>24</xdr:col>
                <xdr:colOff>266700</xdr:colOff>
                <xdr:row>60</xdr:row>
                <xdr:rowOff>190500</xdr:rowOff>
              </to>
            </anchor>
          </objectPr>
        </oleObject>
      </mc:Choice>
      <mc:Fallback>
        <oleObject progId="AutoCAD.Drawing.19" shapeId="384003" r:id="rId8"/>
      </mc:Fallback>
    </mc:AlternateContent>
    <mc:AlternateContent xmlns:mc="http://schemas.openxmlformats.org/markup-compatibility/2006">
      <mc:Choice Requires="x14">
        <oleObject progId="AutoCAD.Drawing.19" shapeId="384004" r:id="rId9">
          <objectPr defaultSize="0" autoPict="0" r:id="rId5">
            <anchor moveWithCells="1" sizeWithCells="1">
              <from>
                <xdr:col>2</xdr:col>
                <xdr:colOff>209550</xdr:colOff>
                <xdr:row>207</xdr:row>
                <xdr:rowOff>114300</xdr:rowOff>
              </from>
              <to>
                <xdr:col>25</xdr:col>
                <xdr:colOff>38100</xdr:colOff>
                <xdr:row>226</xdr:row>
                <xdr:rowOff>19050</xdr:rowOff>
              </to>
            </anchor>
          </objectPr>
        </oleObject>
      </mc:Choice>
      <mc:Fallback>
        <oleObject progId="AutoCAD.Drawing.19" shapeId="384004" r:id="rId9"/>
      </mc:Fallback>
    </mc:AlternateContent>
    <mc:AlternateContent xmlns:mc="http://schemas.openxmlformats.org/markup-compatibility/2006">
      <mc:Choice Requires="x14">
        <oleObject progId="AutoCAD.Drawing.19" shapeId="384007" r:id="rId10">
          <objectPr defaultSize="0" autoPict="0" r:id="rId5">
            <anchor moveWithCells="1" sizeWithCells="1">
              <from>
                <xdr:col>2</xdr:col>
                <xdr:colOff>209550</xdr:colOff>
                <xdr:row>81</xdr:row>
                <xdr:rowOff>114300</xdr:rowOff>
              </from>
              <to>
                <xdr:col>25</xdr:col>
                <xdr:colOff>38100</xdr:colOff>
                <xdr:row>100</xdr:row>
                <xdr:rowOff>19050</xdr:rowOff>
              </to>
            </anchor>
          </objectPr>
        </oleObject>
      </mc:Choice>
      <mc:Fallback>
        <oleObject progId="AutoCAD.Drawing.19" shapeId="384007" r:id="rId10"/>
      </mc:Fallback>
    </mc:AlternateContent>
    <mc:AlternateContent xmlns:mc="http://schemas.openxmlformats.org/markup-compatibility/2006">
      <mc:Choice Requires="x14">
        <oleObject progId="AutoCAD.Drawing.19" shapeId="384008" r:id="rId11">
          <objectPr defaultSize="0" autoPict="0" r:id="rId7">
            <anchor moveWithCells="1" sizeWithCells="1">
              <from>
                <xdr:col>2</xdr:col>
                <xdr:colOff>104775</xdr:colOff>
                <xdr:row>163</xdr:row>
                <xdr:rowOff>38100</xdr:rowOff>
              </from>
              <to>
                <xdr:col>24</xdr:col>
                <xdr:colOff>200025</xdr:colOff>
                <xdr:row>182</xdr:row>
                <xdr:rowOff>152400</xdr:rowOff>
              </to>
            </anchor>
          </objectPr>
        </oleObject>
      </mc:Choice>
      <mc:Fallback>
        <oleObject progId="AutoCAD.Drawing.19" shapeId="384008" r:id="rId1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view="pageBreakPreview" zoomScaleNormal="130" zoomScaleSheetLayoutView="100" workbookViewId="0">
      <selection activeCell="P17" sqref="P17"/>
    </sheetView>
  </sheetViews>
  <sheetFormatPr defaultRowHeight="13.5"/>
  <cols>
    <col min="1" max="1" width="11.6640625" style="1366" customWidth="1"/>
    <col min="2" max="2" width="8" style="1366" customWidth="1"/>
    <col min="3" max="11" width="9.77734375" style="1366" customWidth="1"/>
    <col min="12" max="12" width="6.88671875" style="1366" customWidth="1"/>
    <col min="13" max="13" width="8.88671875" style="1366" hidden="1" customWidth="1"/>
    <col min="14" max="16384" width="8.88671875" style="1366"/>
  </cols>
  <sheetData>
    <row r="1" spans="1:12" ht="24.95" customHeight="1">
      <c r="A1" s="1388"/>
      <c r="B1" s="1388"/>
      <c r="C1" s="1388"/>
      <c r="D1" s="1388"/>
      <c r="E1" s="1388"/>
      <c r="F1" s="1388"/>
      <c r="G1" s="1388"/>
      <c r="H1" s="1388"/>
      <c r="I1" s="1388"/>
      <c r="J1" s="1388"/>
      <c r="K1" s="1388"/>
      <c r="L1" s="1388"/>
    </row>
    <row r="2" spans="1:12" ht="24.95" customHeight="1">
      <c r="A2" s="1491" t="s">
        <v>1856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</row>
    <row r="3" spans="1:12" ht="24.95" customHeight="1">
      <c r="A3" s="1389"/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8"/>
    </row>
    <row r="4" spans="1:12" ht="24.95" customHeight="1" thickBot="1">
      <c r="A4" s="1390" t="str">
        <f>'설계설명서 (2)'!C4</f>
        <v>2022년 경기창작센터 예술공원 조성사업(전기)</v>
      </c>
      <c r="B4" s="1391"/>
      <c r="C4" s="1391"/>
      <c r="D4" s="1392"/>
      <c r="E4" s="1392"/>
      <c r="F4" s="1392"/>
      <c r="G4" s="1392"/>
      <c r="H4" s="1392"/>
      <c r="I4" s="1392"/>
      <c r="J4" s="1392"/>
      <c r="K4" s="1392"/>
      <c r="L4" s="1392"/>
    </row>
    <row r="5" spans="1:12" ht="51.75" customHeight="1" thickBot="1">
      <c r="A5" s="1493" t="s">
        <v>1709</v>
      </c>
      <c r="B5" s="1495" t="s">
        <v>1710</v>
      </c>
      <c r="C5" s="1497" t="s">
        <v>1857</v>
      </c>
      <c r="D5" s="1497"/>
      <c r="E5" s="1497"/>
      <c r="F5" s="1497"/>
      <c r="G5" s="1497"/>
      <c r="H5" s="1497"/>
      <c r="I5" s="1497"/>
      <c r="J5" s="1497"/>
      <c r="K5" s="1497"/>
      <c r="L5" s="1493" t="s">
        <v>1858</v>
      </c>
    </row>
    <row r="6" spans="1:12" ht="51.75" customHeight="1">
      <c r="A6" s="1494"/>
      <c r="B6" s="1496"/>
      <c r="C6" s="1498" t="s">
        <v>1859</v>
      </c>
      <c r="D6" s="1499"/>
      <c r="E6" s="1500"/>
      <c r="F6" s="1501" t="s">
        <v>1860</v>
      </c>
      <c r="G6" s="1499"/>
      <c r="H6" s="1500"/>
      <c r="I6" s="1501" t="s">
        <v>1861</v>
      </c>
      <c r="J6" s="1499"/>
      <c r="K6" s="1500"/>
      <c r="L6" s="1494"/>
    </row>
    <row r="7" spans="1:12" ht="69.95" customHeight="1">
      <c r="A7" s="1394" t="s">
        <v>1834</v>
      </c>
      <c r="B7" s="1395">
        <v>1</v>
      </c>
      <c r="C7" s="1396"/>
      <c r="D7" s="1397"/>
      <c r="E7" s="1398"/>
      <c r="F7" s="1399"/>
      <c r="G7" s="1398"/>
      <c r="H7" s="1400"/>
      <c r="I7" s="1399"/>
      <c r="J7" s="1398"/>
      <c r="K7" s="1400"/>
      <c r="L7" s="1393"/>
    </row>
    <row r="8" spans="1:12" ht="45.75" customHeight="1" thickBot="1">
      <c r="A8" s="1401" t="s">
        <v>48</v>
      </c>
      <c r="B8" s="1402">
        <f>SUM(B7:B7)</f>
        <v>1</v>
      </c>
      <c r="C8" s="1403"/>
      <c r="D8" s="1404"/>
      <c r="E8" s="1405"/>
      <c r="F8" s="1406"/>
      <c r="G8" s="1407"/>
      <c r="H8" s="1408"/>
      <c r="I8" s="1406"/>
      <c r="J8" s="1407"/>
      <c r="K8" s="1408"/>
      <c r="L8" s="1401"/>
    </row>
    <row r="9" spans="1:12" ht="35.1" customHeight="1">
      <c r="A9" s="1409"/>
      <c r="B9" s="1410"/>
      <c r="C9" s="1410"/>
      <c r="D9" s="1410"/>
      <c r="E9" s="1410"/>
      <c r="F9" s="1410"/>
      <c r="G9" s="1410"/>
      <c r="H9" s="1410"/>
      <c r="I9" s="1410"/>
      <c r="J9" s="1410"/>
      <c r="K9" s="1410"/>
      <c r="L9" s="1409"/>
    </row>
    <row r="10" spans="1:12" ht="24.95" customHeight="1">
      <c r="A10" s="1411"/>
      <c r="B10" s="1411"/>
      <c r="C10" s="1411"/>
      <c r="D10" s="1411"/>
      <c r="E10" s="1411"/>
      <c r="F10" s="1411"/>
      <c r="G10" s="1411"/>
      <c r="H10" s="1411"/>
      <c r="I10" s="1411"/>
      <c r="J10" s="1411"/>
      <c r="K10" s="1411"/>
      <c r="L10" s="1411"/>
    </row>
    <row r="11" spans="1:12" ht="24.95" customHeight="1">
      <c r="A11" s="1411"/>
      <c r="B11" s="1411"/>
      <c r="C11" s="1411"/>
      <c r="D11" s="1411"/>
      <c r="E11" s="1411"/>
      <c r="F11" s="1411"/>
      <c r="G11" s="1411"/>
      <c r="H11" s="1411"/>
      <c r="I11" s="1411"/>
      <c r="J11" s="1411"/>
      <c r="K11" s="1411"/>
      <c r="L11" s="1411"/>
    </row>
    <row r="12" spans="1:12" ht="24.95" customHeight="1">
      <c r="A12" s="1411"/>
      <c r="B12" s="1411"/>
      <c r="C12" s="1411"/>
      <c r="D12" s="1411"/>
      <c r="E12" s="1411"/>
      <c r="F12" s="1411"/>
      <c r="G12" s="1411"/>
      <c r="H12" s="1411"/>
      <c r="I12" s="1411"/>
      <c r="J12" s="1411"/>
      <c r="K12" s="1411"/>
      <c r="L12" s="1411"/>
    </row>
    <row r="13" spans="1:12" ht="24.95" customHeight="1">
      <c r="A13" s="1411"/>
      <c r="B13" s="1411"/>
      <c r="C13" s="1411"/>
      <c r="D13" s="1411"/>
      <c r="E13" s="1411"/>
      <c r="F13" s="1411"/>
      <c r="G13" s="1411"/>
      <c r="H13" s="1411"/>
      <c r="I13" s="1411"/>
      <c r="J13" s="1411"/>
      <c r="K13" s="1411"/>
      <c r="L13" s="1411"/>
    </row>
    <row r="14" spans="1:12" ht="24.95" customHeight="1"/>
    <row r="15" spans="1:12" ht="24.95" customHeight="1"/>
    <row r="16" spans="1:12" ht="24.95" customHeight="1"/>
    <row r="17" ht="24.95" customHeight="1"/>
    <row r="18" ht="24.95" customHeight="1"/>
    <row r="19" ht="24.95" customHeight="1"/>
    <row r="20" ht="24.95" customHeight="1"/>
    <row r="21" ht="24.95" customHeight="1"/>
    <row r="22" ht="24.95" customHeight="1"/>
    <row r="23" ht="24.95" customHeight="1"/>
    <row r="24" ht="24.95" customHeight="1"/>
    <row r="25" ht="24.95" customHeight="1"/>
    <row r="26" ht="24.95" customHeight="1"/>
    <row r="27" ht="24.95" customHeight="1"/>
    <row r="28" ht="24.95" customHeight="1"/>
    <row r="29" ht="24.95" customHeight="1"/>
    <row r="30" ht="24.95" customHeight="1"/>
    <row r="31" ht="24.95" customHeight="1"/>
    <row r="32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</sheetData>
  <mergeCells count="8">
    <mergeCell ref="A2:L2"/>
    <mergeCell ref="A5:A6"/>
    <mergeCell ref="B5:B6"/>
    <mergeCell ref="C5:K5"/>
    <mergeCell ref="L5:L6"/>
    <mergeCell ref="C6:E6"/>
    <mergeCell ref="F6:H6"/>
    <mergeCell ref="I6:K6"/>
  </mergeCells>
  <phoneticPr fontId="7" type="noConversion"/>
  <printOptions horizontalCentered="1"/>
  <pageMargins left="0.78740157480314965" right="0.39370078740157483" top="0.39370078740157483" bottom="0.39370078740157483" header="0.39370078740157483" footer="0.39370078740157483"/>
  <pageSetup paperSize="9" scale="9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T1955"/>
  <sheetViews>
    <sheetView view="pageBreakPreview" topLeftCell="A84" zoomScaleSheetLayoutView="100" workbookViewId="0">
      <selection activeCell="D194" sqref="D194"/>
    </sheetView>
  </sheetViews>
  <sheetFormatPr defaultRowHeight="13.5"/>
  <cols>
    <col min="1" max="5" width="8.77734375" customWidth="1"/>
    <col min="6" max="6" width="4.77734375" customWidth="1"/>
    <col min="7" max="7" width="8.88671875" customWidth="1"/>
    <col min="8" max="12" width="5.77734375" customWidth="1"/>
    <col min="13" max="13" width="6.77734375" style="187" customWidth="1"/>
    <col min="14" max="15" width="5.77734375" customWidth="1"/>
    <col min="16" max="16" width="7.21875" customWidth="1"/>
    <col min="17" max="17" width="4.44140625" customWidth="1"/>
    <col min="18" max="18" width="8"/>
    <col min="19" max="19" width="8.33203125" bestFit="1" customWidth="1"/>
  </cols>
  <sheetData>
    <row r="1" spans="1:17" ht="24.95" hidden="1" customHeight="1">
      <c r="A1" s="952" t="s">
        <v>454</v>
      </c>
      <c r="B1" s="1746" t="s">
        <v>1570</v>
      </c>
      <c r="C1" s="1746"/>
      <c r="D1" s="1747" t="s">
        <v>1571</v>
      </c>
      <c r="E1" s="1747"/>
      <c r="F1" s="1747"/>
      <c r="G1" s="1747"/>
      <c r="H1" s="953" t="s">
        <v>154</v>
      </c>
      <c r="I1" s="953"/>
      <c r="J1" s="953"/>
      <c r="K1" s="953"/>
      <c r="L1" s="954"/>
      <c r="M1" s="955"/>
      <c r="N1" s="956"/>
      <c r="O1" s="956"/>
      <c r="P1" s="956"/>
      <c r="Q1" s="957"/>
    </row>
    <row r="2" spans="1:17" ht="15" hidden="1" customHeight="1">
      <c r="A2" s="958"/>
      <c r="B2" s="959"/>
      <c r="C2" s="959"/>
      <c r="D2" s="959"/>
      <c r="E2" s="960"/>
      <c r="F2" s="961"/>
      <c r="G2" s="962"/>
      <c r="H2" s="963"/>
      <c r="I2" s="963" t="s">
        <v>1572</v>
      </c>
      <c r="J2" s="963" t="s">
        <v>1573</v>
      </c>
      <c r="K2" s="963" t="s">
        <v>1574</v>
      </c>
      <c r="L2" s="964" t="s">
        <v>1575</v>
      </c>
      <c r="M2" s="965" t="s">
        <v>1576</v>
      </c>
      <c r="N2" s="964"/>
      <c r="O2" s="964"/>
      <c r="P2" s="966" t="s">
        <v>1577</v>
      </c>
      <c r="Q2" s="967"/>
    </row>
    <row r="3" spans="1:17" ht="15" hidden="1" customHeight="1">
      <c r="A3" s="54"/>
      <c r="B3" s="1748">
        <f>B16+(0.3*(E8)*2)</f>
        <v>1160</v>
      </c>
      <c r="C3" s="1748"/>
      <c r="D3" s="363"/>
      <c r="E3" s="58"/>
      <c r="F3" s="55"/>
      <c r="G3" s="968" t="s">
        <v>1578</v>
      </c>
      <c r="H3" s="969"/>
      <c r="I3" s="969" t="s">
        <v>1579</v>
      </c>
      <c r="J3" s="970"/>
      <c r="K3" s="970"/>
      <c r="L3" s="56"/>
      <c r="M3" s="971"/>
      <c r="N3" s="281"/>
      <c r="O3" s="960"/>
      <c r="P3" s="972"/>
      <c r="Q3" s="973"/>
    </row>
    <row r="4" spans="1:17" ht="15" hidden="1" customHeight="1">
      <c r="A4" s="54"/>
      <c r="B4" s="1739">
        <v>600</v>
      </c>
      <c r="C4" s="1739"/>
      <c r="D4" s="58"/>
      <c r="E4" s="58"/>
      <c r="F4" s="55"/>
      <c r="G4" s="295" t="s">
        <v>1580</v>
      </c>
      <c r="H4" s="281">
        <f>B18/1000</f>
        <v>1.1599999999999999</v>
      </c>
      <c r="I4" s="281"/>
      <c r="J4" s="281"/>
      <c r="K4" s="281" t="s">
        <v>1581</v>
      </c>
      <c r="L4" s="281">
        <f>B3/1000</f>
        <v>1.1599999999999999</v>
      </c>
      <c r="M4" s="281"/>
      <c r="N4" s="281" t="s">
        <v>1582</v>
      </c>
      <c r="O4" s="273">
        <f>E8/1000</f>
        <v>0.6</v>
      </c>
      <c r="P4" s="62"/>
      <c r="Q4" s="63"/>
    </row>
    <row r="5" spans="1:17" ht="15" hidden="1" customHeight="1">
      <c r="A5" s="54"/>
      <c r="B5" s="363"/>
      <c r="C5" s="363"/>
      <c r="D5" s="58"/>
      <c r="E5" s="292"/>
      <c r="F5" s="64"/>
      <c r="G5" s="295" t="s">
        <v>1583</v>
      </c>
      <c r="H5" s="281">
        <f>B31/1000</f>
        <v>0.8</v>
      </c>
      <c r="I5" s="281"/>
      <c r="J5" s="281"/>
      <c r="K5" s="281" t="s">
        <v>1584</v>
      </c>
      <c r="L5" s="281">
        <f>B16/1000</f>
        <v>0.8</v>
      </c>
      <c r="M5" s="281"/>
      <c r="N5" s="281"/>
      <c r="O5" s="281"/>
      <c r="P5" s="65"/>
      <c r="Q5" s="63"/>
    </row>
    <row r="6" spans="1:17" ht="15" hidden="1" customHeight="1">
      <c r="A6" s="54"/>
      <c r="B6" s="363"/>
      <c r="C6" s="363"/>
      <c r="D6" s="58"/>
      <c r="E6" s="292"/>
      <c r="F6" s="64"/>
      <c r="G6" s="295" t="s">
        <v>1585</v>
      </c>
      <c r="H6" s="281"/>
      <c r="I6" s="281"/>
      <c r="J6" s="281"/>
      <c r="K6" s="281"/>
      <c r="L6" s="281"/>
      <c r="M6" s="281"/>
      <c r="N6" s="281"/>
      <c r="O6" s="281"/>
      <c r="P6" s="974">
        <f>ROUNDDOWN(O4/6*((2*H4+L4)*H5+(2*L4+H4)*L5),2)</f>
        <v>0.55000000000000004</v>
      </c>
      <c r="Q6" s="975" t="s">
        <v>91</v>
      </c>
    </row>
    <row r="7" spans="1:17" ht="15" hidden="1" customHeight="1">
      <c r="A7" s="54"/>
      <c r="C7" s="363"/>
      <c r="D7" s="285"/>
      <c r="E7" s="292"/>
      <c r="F7" s="292"/>
      <c r="G7" s="976" t="s">
        <v>1586</v>
      </c>
      <c r="H7" s="977"/>
      <c r="I7" s="977" t="s">
        <v>1587</v>
      </c>
      <c r="J7" s="977"/>
      <c r="K7" s="977"/>
      <c r="L7" s="977"/>
      <c r="M7" s="977"/>
      <c r="N7" s="977"/>
      <c r="O7" s="978"/>
      <c r="P7" s="972"/>
      <c r="Q7" s="979"/>
    </row>
    <row r="8" spans="1:17" ht="15" hidden="1" customHeight="1">
      <c r="A8" s="54"/>
      <c r="B8" s="1739" t="s">
        <v>1013</v>
      </c>
      <c r="C8" s="1739"/>
      <c r="D8" s="58"/>
      <c r="E8" s="288">
        <v>600</v>
      </c>
      <c r="F8" s="288"/>
      <c r="G8" s="295" t="s">
        <v>1580</v>
      </c>
      <c r="H8" s="281">
        <f>B4/1000</f>
        <v>0.6</v>
      </c>
      <c r="I8" s="281"/>
      <c r="J8" s="281"/>
      <c r="K8" s="281" t="s">
        <v>1581</v>
      </c>
      <c r="L8" s="281">
        <f>B19/1000</f>
        <v>0.6</v>
      </c>
      <c r="M8" s="281"/>
      <c r="N8" s="281" t="s">
        <v>1582</v>
      </c>
      <c r="O8" s="273">
        <f>E8/1000</f>
        <v>0.6</v>
      </c>
      <c r="P8" s="68">
        <f>ROUNDDOWN(H8*L8*O8,2)</f>
        <v>0.21</v>
      </c>
      <c r="Q8" s="69" t="s">
        <v>1588</v>
      </c>
    </row>
    <row r="9" spans="1:17" ht="15" hidden="1" customHeight="1">
      <c r="A9" s="54"/>
      <c r="B9" s="363"/>
      <c r="C9" s="363"/>
      <c r="D9" s="58"/>
      <c r="E9" s="292"/>
      <c r="F9" s="292"/>
      <c r="G9" s="295"/>
      <c r="H9" s="281"/>
      <c r="I9" s="281"/>
      <c r="J9" s="281"/>
      <c r="K9" s="281"/>
      <c r="L9" s="281"/>
      <c r="M9" s="281"/>
      <c r="N9" s="281"/>
      <c r="O9" s="273"/>
      <c r="P9" s="68">
        <f>ROUNDDOWN(H9*L9*O9,2)</f>
        <v>0</v>
      </c>
      <c r="Q9" s="69" t="s">
        <v>1589</v>
      </c>
    </row>
    <row r="10" spans="1:17" ht="15" hidden="1" customHeight="1">
      <c r="A10" s="54"/>
      <c r="B10" s="363"/>
      <c r="C10" s="363"/>
      <c r="D10" s="287"/>
      <c r="E10" s="292"/>
      <c r="F10" s="292"/>
      <c r="G10" s="295"/>
      <c r="H10" s="281"/>
      <c r="I10" s="281"/>
      <c r="J10" s="281"/>
      <c r="K10" s="281"/>
      <c r="L10" s="281"/>
      <c r="M10" s="281"/>
      <c r="N10" s="281"/>
      <c r="O10" s="273"/>
      <c r="P10" s="68"/>
      <c r="Q10" s="69"/>
    </row>
    <row r="11" spans="1:17" ht="15" hidden="1" customHeight="1">
      <c r="A11" s="54"/>
      <c r="B11" s="363"/>
      <c r="C11" s="363"/>
      <c r="D11" s="58"/>
      <c r="E11" s="292"/>
      <c r="F11" s="292"/>
      <c r="G11" s="278"/>
      <c r="H11" s="279"/>
      <c r="I11" s="279"/>
      <c r="J11" s="279"/>
      <c r="K11" s="285"/>
      <c r="L11" s="279"/>
      <c r="M11" s="280"/>
      <c r="N11" s="281"/>
      <c r="O11" s="271"/>
      <c r="P11" s="68"/>
      <c r="Q11" s="69"/>
    </row>
    <row r="12" spans="1:17" ht="15" hidden="1" customHeight="1">
      <c r="A12" s="54"/>
      <c r="B12" s="363"/>
      <c r="C12" s="363"/>
      <c r="D12" s="58"/>
      <c r="E12" s="292"/>
      <c r="F12" s="292"/>
      <c r="G12" s="980" t="s">
        <v>1590</v>
      </c>
      <c r="H12" s="981"/>
      <c r="I12" s="981"/>
      <c r="J12" s="981"/>
      <c r="K12" s="981"/>
      <c r="L12" s="982"/>
      <c r="M12" s="981"/>
      <c r="N12" s="983"/>
      <c r="O12" s="984"/>
      <c r="P12" s="974">
        <f>SUM(P8:P11)</f>
        <v>0.21</v>
      </c>
      <c r="Q12" s="975" t="s">
        <v>91</v>
      </c>
    </row>
    <row r="13" spans="1:17" ht="15" hidden="1" customHeight="1">
      <c r="A13" s="54"/>
      <c r="B13" s="1739">
        <v>600</v>
      </c>
      <c r="C13" s="1739"/>
      <c r="D13" s="58"/>
      <c r="E13" s="292"/>
      <c r="F13" s="64"/>
      <c r="G13" s="968" t="s">
        <v>1591</v>
      </c>
      <c r="H13" s="985"/>
      <c r="I13" s="986" t="s">
        <v>1592</v>
      </c>
      <c r="J13" s="986" t="s">
        <v>1593</v>
      </c>
      <c r="K13" s="987" t="s">
        <v>1594</v>
      </c>
      <c r="L13" s="72"/>
      <c r="M13" s="986"/>
      <c r="N13" s="988"/>
      <c r="O13" s="988"/>
      <c r="P13" s="989"/>
      <c r="Q13" s="979"/>
    </row>
    <row r="14" spans="1:17" ht="15" hidden="1" customHeight="1">
      <c r="A14" s="54"/>
      <c r="B14" s="290">
        <v>100</v>
      </c>
      <c r="C14" s="291">
        <v>100</v>
      </c>
      <c r="D14" s="58"/>
      <c r="E14" s="56"/>
      <c r="F14" s="71"/>
      <c r="G14" s="990"/>
      <c r="H14" s="991"/>
      <c r="I14" s="991" t="s">
        <v>179</v>
      </c>
      <c r="J14" s="991">
        <f>P6</f>
        <v>0.55000000000000004</v>
      </c>
      <c r="K14" s="991" t="s">
        <v>182</v>
      </c>
      <c r="L14" s="992">
        <f>P16</f>
        <v>0.21</v>
      </c>
      <c r="M14" s="993"/>
      <c r="N14" s="994"/>
      <c r="O14" s="995"/>
      <c r="P14" s="996">
        <f>ROUNDDOWN(J14-L14,2)</f>
        <v>0.34</v>
      </c>
      <c r="Q14" s="975" t="s">
        <v>91</v>
      </c>
    </row>
    <row r="15" spans="1:17" ht="15" hidden="1" customHeight="1">
      <c r="A15" s="54"/>
      <c r="B15" s="363"/>
      <c r="C15" s="294"/>
      <c r="D15" s="58"/>
      <c r="E15" s="292"/>
      <c r="F15" s="64"/>
      <c r="G15" s="968" t="s">
        <v>183</v>
      </c>
      <c r="H15" s="985"/>
      <c r="I15" s="985" t="s">
        <v>184</v>
      </c>
      <c r="J15" s="986"/>
      <c r="K15" s="987" t="s">
        <v>185</v>
      </c>
      <c r="L15" s="985"/>
      <c r="M15" s="985"/>
      <c r="N15" s="997"/>
      <c r="O15" s="998"/>
      <c r="P15" s="972"/>
      <c r="Q15" s="979"/>
    </row>
    <row r="16" spans="1:17" ht="15" hidden="1" customHeight="1">
      <c r="A16" s="80"/>
      <c r="B16" s="1739">
        <f>B14+B13+C14</f>
        <v>800</v>
      </c>
      <c r="C16" s="1739"/>
      <c r="D16" s="58"/>
      <c r="E16" s="292"/>
      <c r="F16" s="64"/>
      <c r="G16" s="999"/>
      <c r="H16" s="1000"/>
      <c r="I16" s="1001" t="s">
        <v>184</v>
      </c>
      <c r="J16" s="1000"/>
      <c r="K16" s="1000"/>
      <c r="L16" s="981">
        <f>P8</f>
        <v>0.21</v>
      </c>
      <c r="M16" s="981"/>
      <c r="N16" s="981"/>
      <c r="O16" s="1002"/>
      <c r="P16" s="996">
        <f>ROUNDDOWN(L16+N16,2)</f>
        <v>0.21</v>
      </c>
      <c r="Q16" s="55" t="s">
        <v>91</v>
      </c>
    </row>
    <row r="17" spans="1:20" ht="15" hidden="1" customHeight="1">
      <c r="A17" s="54"/>
      <c r="B17" s="294"/>
      <c r="C17" s="363"/>
      <c r="D17" s="58"/>
      <c r="E17" s="292"/>
      <c r="F17" s="64"/>
      <c r="G17" s="1003" t="s">
        <v>186</v>
      </c>
      <c r="H17" s="985"/>
      <c r="I17" s="985"/>
      <c r="J17" s="985"/>
      <c r="K17" s="985"/>
      <c r="L17" s="971"/>
      <c r="M17" s="1004"/>
      <c r="N17" s="998"/>
      <c r="O17" s="1005"/>
      <c r="P17" s="972"/>
      <c r="Q17" s="979"/>
    </row>
    <row r="18" spans="1:20" ht="15" hidden="1" customHeight="1">
      <c r="A18" s="54"/>
      <c r="B18" s="1749">
        <f>B31+(0.3*(E23)*2)</f>
        <v>1160</v>
      </c>
      <c r="C18" s="1749"/>
      <c r="D18" s="58"/>
      <c r="E18" s="292"/>
      <c r="F18" s="64"/>
      <c r="G18" s="1006" t="s">
        <v>366</v>
      </c>
      <c r="H18" s="175">
        <f>B4/1000</f>
        <v>0.6</v>
      </c>
      <c r="I18" s="1007" t="s">
        <v>188</v>
      </c>
      <c r="J18" s="1008">
        <f>B28/1000</f>
        <v>0.6</v>
      </c>
      <c r="K18" s="1009" t="s">
        <v>378</v>
      </c>
      <c r="L18" s="86" t="s">
        <v>190</v>
      </c>
      <c r="M18" s="1010">
        <f>E8/1000</f>
        <v>0.6</v>
      </c>
      <c r="N18" s="1011"/>
      <c r="O18" s="1012"/>
      <c r="P18" s="1013">
        <f>(B4+B19)*2*E8/1000000</f>
        <v>1.44</v>
      </c>
      <c r="Q18" s="975" t="s">
        <v>192</v>
      </c>
      <c r="T18">
        <f>0.75*0.85*2+0.45*0.85*2</f>
        <v>2.04</v>
      </c>
    </row>
    <row r="19" spans="1:20" ht="15" hidden="1" customHeight="1">
      <c r="A19" s="54"/>
      <c r="B19" s="1739">
        <v>600</v>
      </c>
      <c r="C19" s="1739"/>
      <c r="D19" s="58"/>
      <c r="E19" s="292"/>
      <c r="F19" s="64"/>
      <c r="G19" s="1014"/>
      <c r="H19" s="1015"/>
      <c r="I19" s="1015"/>
      <c r="J19" s="1015"/>
      <c r="K19" s="1015"/>
      <c r="L19" s="1016"/>
      <c r="M19" s="1004"/>
      <c r="N19" s="998"/>
      <c r="O19" s="998"/>
      <c r="P19" s="1017"/>
      <c r="Q19" s="961"/>
    </row>
    <row r="20" spans="1:20" ht="15" hidden="1" customHeight="1">
      <c r="A20" s="54"/>
      <c r="B20" s="363"/>
      <c r="C20" s="363"/>
      <c r="D20" s="58"/>
      <c r="E20" s="292"/>
      <c r="F20" s="64"/>
      <c r="G20" s="1018"/>
      <c r="H20" s="1019"/>
      <c r="I20" s="993"/>
      <c r="J20" s="1020"/>
      <c r="K20" s="1021"/>
      <c r="L20" s="56"/>
      <c r="M20" s="982"/>
      <c r="N20" s="1012"/>
      <c r="O20" s="1012"/>
      <c r="P20" s="996"/>
      <c r="Q20" s="69"/>
    </row>
    <row r="21" spans="1:20" ht="15" hidden="1" customHeight="1">
      <c r="A21" s="54"/>
      <c r="B21" s="363"/>
      <c r="C21" s="363"/>
      <c r="D21" s="95"/>
      <c r="E21" s="292"/>
      <c r="F21" s="64"/>
      <c r="G21" s="1014"/>
      <c r="H21" s="1015"/>
      <c r="I21" s="1015"/>
      <c r="J21" s="1015"/>
      <c r="K21" s="1015"/>
      <c r="L21" s="1022"/>
      <c r="M21" s="1023"/>
      <c r="N21" s="1022"/>
      <c r="O21" s="960"/>
      <c r="P21" s="972"/>
      <c r="Q21" s="979"/>
    </row>
    <row r="22" spans="1:20" ht="15" hidden="1" customHeight="1">
      <c r="A22" s="96"/>
      <c r="B22" s="363"/>
      <c r="C22" s="363"/>
      <c r="D22" s="291"/>
      <c r="E22" s="292"/>
      <c r="F22" s="64"/>
      <c r="G22" s="1024"/>
      <c r="H22" s="983"/>
      <c r="I22" s="983"/>
      <c r="J22" s="983"/>
      <c r="K22" s="983"/>
      <c r="L22" s="1025"/>
      <c r="M22" s="991"/>
      <c r="N22" s="1025"/>
      <c r="O22" s="1025"/>
      <c r="P22" s="1026"/>
      <c r="Q22" s="1027"/>
    </row>
    <row r="23" spans="1:20" ht="15" hidden="1" customHeight="1">
      <c r="A23" s="54"/>
      <c r="B23" s="1739" t="s">
        <v>1014</v>
      </c>
      <c r="C23" s="1739"/>
      <c r="E23" s="288">
        <v>600</v>
      </c>
      <c r="F23" s="463"/>
      <c r="G23" s="1014" t="s">
        <v>1595</v>
      </c>
      <c r="H23" s="101"/>
      <c r="I23" s="101"/>
      <c r="J23" s="101"/>
      <c r="K23" s="101"/>
      <c r="L23" s="58"/>
      <c r="M23" s="178"/>
      <c r="N23" s="292"/>
      <c r="O23" s="292"/>
      <c r="P23" s="1028"/>
      <c r="Q23" s="1029"/>
    </row>
    <row r="24" spans="1:20" ht="15" hidden="1" customHeight="1">
      <c r="A24" s="54"/>
      <c r="B24" s="363"/>
      <c r="D24" s="95"/>
      <c r="E24" s="292"/>
      <c r="F24" s="64"/>
      <c r="G24" s="1030"/>
      <c r="H24" s="1031"/>
      <c r="I24" s="1031"/>
      <c r="J24" s="1031"/>
      <c r="K24" s="1031"/>
      <c r="L24" s="1032">
        <v>1</v>
      </c>
      <c r="M24" s="1033"/>
      <c r="N24" s="1025"/>
      <c r="O24" s="1002"/>
      <c r="P24" s="1034">
        <f>L24</f>
        <v>1</v>
      </c>
      <c r="Q24" s="1027" t="s">
        <v>1497</v>
      </c>
    </row>
    <row r="25" spans="1:20" ht="15" hidden="1" customHeight="1">
      <c r="A25" s="54"/>
      <c r="B25" s="290"/>
      <c r="C25" s="363"/>
      <c r="D25" s="287"/>
      <c r="E25" s="292"/>
      <c r="F25" s="64"/>
      <c r="G25" s="968" t="s">
        <v>381</v>
      </c>
      <c r="H25" s="101" t="s">
        <v>1596</v>
      </c>
      <c r="I25" s="970"/>
      <c r="J25" s="970"/>
      <c r="K25" s="970"/>
      <c r="L25" s="960"/>
      <c r="M25" s="971"/>
      <c r="N25" s="998"/>
      <c r="O25" s="998"/>
      <c r="P25" s="972"/>
      <c r="Q25" s="973"/>
    </row>
    <row r="26" spans="1:20" ht="15" hidden="1" customHeight="1">
      <c r="A26" s="54"/>
      <c r="B26" s="363"/>
      <c r="C26" s="363"/>
      <c r="E26" s="58"/>
      <c r="F26" s="55"/>
      <c r="G26" s="999"/>
      <c r="H26" s="1035"/>
      <c r="I26" s="1035"/>
      <c r="J26" s="1035"/>
      <c r="K26" s="1035"/>
      <c r="L26" s="1002">
        <v>1</v>
      </c>
      <c r="M26" s="991"/>
      <c r="N26" s="1002"/>
      <c r="O26" s="1002"/>
      <c r="P26" s="1034">
        <f>L26</f>
        <v>1</v>
      </c>
      <c r="Q26" s="1036" t="s">
        <v>54</v>
      </c>
    </row>
    <row r="27" spans="1:20" ht="15" hidden="1" customHeight="1">
      <c r="A27" s="54"/>
      <c r="B27" s="363"/>
      <c r="C27" s="363"/>
      <c r="D27" s="95"/>
      <c r="E27" s="58"/>
      <c r="F27" s="55"/>
      <c r="G27" s="968" t="s">
        <v>1597</v>
      </c>
      <c r="H27" s="1037"/>
      <c r="I27" s="1037"/>
      <c r="J27" s="1037"/>
      <c r="K27" s="1037"/>
      <c r="L27" s="1038"/>
      <c r="M27" s="1039"/>
      <c r="N27" s="1038"/>
      <c r="O27" s="1038"/>
      <c r="P27" s="1040"/>
      <c r="Q27" s="1041"/>
    </row>
    <row r="28" spans="1:20" ht="15" hidden="1" customHeight="1">
      <c r="A28" s="54"/>
      <c r="B28" s="1739">
        <v>600</v>
      </c>
      <c r="C28" s="1739"/>
      <c r="D28" s="58"/>
      <c r="E28" s="58"/>
      <c r="F28" s="55"/>
      <c r="G28" s="1042"/>
      <c r="H28" s="1043"/>
      <c r="I28" s="1043"/>
      <c r="J28" s="1043"/>
      <c r="K28" s="1043"/>
      <c r="L28" s="1002">
        <v>3</v>
      </c>
      <c r="M28" s="1044"/>
      <c r="N28" s="1045"/>
      <c r="O28" s="1045"/>
      <c r="P28" s="1034">
        <f>L28</f>
        <v>3</v>
      </c>
      <c r="Q28" s="1036" t="s">
        <v>54</v>
      </c>
    </row>
    <row r="29" spans="1:20" ht="15" hidden="1" customHeight="1">
      <c r="A29" s="54"/>
      <c r="B29" s="290">
        <v>100</v>
      </c>
      <c r="C29" s="291">
        <v>100</v>
      </c>
      <c r="D29" s="363"/>
      <c r="E29" s="58"/>
      <c r="F29" s="55"/>
      <c r="G29" s="1046" t="s">
        <v>1598</v>
      </c>
      <c r="H29" s="970"/>
      <c r="I29" s="970"/>
      <c r="J29" s="970"/>
      <c r="K29" s="970"/>
      <c r="L29" s="960"/>
      <c r="M29" s="971"/>
      <c r="N29" s="998"/>
      <c r="O29" s="998"/>
      <c r="P29" s="972"/>
      <c r="Q29" s="973"/>
    </row>
    <row r="30" spans="1:20" ht="15" hidden="1" customHeight="1">
      <c r="A30" s="54"/>
      <c r="B30" s="363"/>
      <c r="C30" s="363"/>
      <c r="E30" s="58"/>
      <c r="F30" s="58"/>
      <c r="G30" s="999"/>
      <c r="H30" s="1035"/>
      <c r="I30" s="1035"/>
      <c r="J30" s="1035"/>
      <c r="K30" s="1035"/>
      <c r="L30" s="1002">
        <v>3</v>
      </c>
      <c r="M30" s="991"/>
      <c r="N30" s="1002"/>
      <c r="O30" s="1002"/>
      <c r="P30" s="1034">
        <f>ROUNDDOWN(dhTextEvaluate(L30),2)</f>
        <v>3</v>
      </c>
      <c r="Q30" s="1036" t="s">
        <v>154</v>
      </c>
    </row>
    <row r="31" spans="1:20" ht="15" hidden="1" customHeight="1">
      <c r="A31" s="54"/>
      <c r="B31" s="1739">
        <f>B29+B28+C29</f>
        <v>800</v>
      </c>
      <c r="C31" s="1739"/>
      <c r="D31" s="58"/>
      <c r="E31" s="363"/>
      <c r="F31" s="363"/>
      <c r="G31" s="972"/>
      <c r="H31" s="970"/>
      <c r="I31" s="1047"/>
      <c r="J31" s="1047"/>
      <c r="K31" s="1047"/>
      <c r="L31" s="1047"/>
      <c r="M31" s="960"/>
      <c r="N31" s="971"/>
      <c r="O31" s="961"/>
      <c r="P31" s="972"/>
      <c r="Q31" s="961"/>
    </row>
    <row r="32" spans="1:20" ht="15" hidden="1" customHeight="1">
      <c r="A32" s="1048"/>
      <c r="B32" s="1049"/>
      <c r="C32" s="1012"/>
      <c r="D32" s="1012"/>
      <c r="E32" s="1002"/>
      <c r="F32" s="1002"/>
      <c r="G32" s="999"/>
      <c r="H32" s="1035"/>
      <c r="I32" s="1035"/>
      <c r="J32" s="1035"/>
      <c r="K32" s="1035"/>
      <c r="L32" s="1002"/>
      <c r="M32" s="981"/>
      <c r="N32" s="1002"/>
      <c r="O32" s="1050"/>
      <c r="P32" s="1034"/>
      <c r="Q32" s="1036"/>
    </row>
    <row r="33" spans="1:17" ht="24.95" customHeight="1">
      <c r="A33" s="49" t="s">
        <v>1684</v>
      </c>
      <c r="B33" s="1738" t="s">
        <v>1685</v>
      </c>
      <c r="C33" s="1738"/>
      <c r="D33" s="1736" t="s">
        <v>1686</v>
      </c>
      <c r="E33" s="1736"/>
      <c r="F33" s="1737"/>
      <c r="G33" s="1736"/>
      <c r="H33" s="50" t="s">
        <v>455</v>
      </c>
      <c r="I33" s="50"/>
      <c r="J33" s="50"/>
      <c r="K33" s="50"/>
      <c r="L33" s="51"/>
      <c r="M33" s="177"/>
      <c r="N33" s="52"/>
      <c r="O33" s="52"/>
      <c r="P33" s="52"/>
      <c r="Q33" s="53"/>
    </row>
    <row r="34" spans="1:17" ht="15" customHeight="1">
      <c r="A34" s="638"/>
      <c r="B34" s="639"/>
      <c r="C34" s="639"/>
      <c r="D34" s="639"/>
      <c r="E34" s="641"/>
      <c r="F34" s="451"/>
      <c r="G34" s="420"/>
      <c r="H34" s="421"/>
      <c r="I34" s="421" t="s">
        <v>456</v>
      </c>
      <c r="J34" s="421" t="s">
        <v>457</v>
      </c>
      <c r="K34" s="421" t="s">
        <v>458</v>
      </c>
      <c r="L34" s="422" t="s">
        <v>459</v>
      </c>
      <c r="M34" s="423" t="s">
        <v>460</v>
      </c>
      <c r="N34" s="422"/>
      <c r="O34" s="422"/>
      <c r="P34" s="424" t="s">
        <v>461</v>
      </c>
      <c r="Q34" s="425"/>
    </row>
    <row r="35" spans="1:17" ht="15" customHeight="1">
      <c r="A35" s="54"/>
      <c r="B35" s="1739">
        <f>B48+(0.3*(D42)*2)</f>
        <v>1070</v>
      </c>
      <c r="C35" s="1739"/>
      <c r="D35" s="363"/>
      <c r="E35" s="58"/>
      <c r="F35" s="55"/>
      <c r="G35" s="426" t="s">
        <v>462</v>
      </c>
      <c r="H35" s="427"/>
      <c r="I35" s="427" t="s">
        <v>463</v>
      </c>
      <c r="J35" s="428"/>
      <c r="K35" s="428"/>
      <c r="L35" s="56"/>
      <c r="M35" s="429"/>
      <c r="N35" s="281"/>
      <c r="O35" s="430"/>
      <c r="P35" s="431"/>
      <c r="Q35" s="432"/>
    </row>
    <row r="36" spans="1:17" ht="15" customHeight="1">
      <c r="A36" s="54"/>
      <c r="B36" s="1739">
        <v>450</v>
      </c>
      <c r="C36" s="1739"/>
      <c r="D36" s="58"/>
      <c r="E36" s="58"/>
      <c r="F36" s="55"/>
      <c r="G36" s="295" t="s">
        <v>519</v>
      </c>
      <c r="H36" s="281">
        <f>B50/1000</f>
        <v>1.37</v>
      </c>
      <c r="I36" s="281"/>
      <c r="J36" s="281"/>
      <c r="K36" s="281" t="s">
        <v>520</v>
      </c>
      <c r="L36" s="281">
        <f>B35/1000</f>
        <v>1.07</v>
      </c>
      <c r="M36" s="281"/>
      <c r="N36" s="281" t="s">
        <v>518</v>
      </c>
      <c r="O36" s="281">
        <f>(D41+D42)/1000</f>
        <v>0.7</v>
      </c>
      <c r="P36" s="62"/>
      <c r="Q36" s="63"/>
    </row>
    <row r="37" spans="1:17" ht="15" customHeight="1">
      <c r="A37" s="54"/>
      <c r="B37" s="363"/>
      <c r="C37" s="363"/>
      <c r="D37" s="58"/>
      <c r="E37" s="292"/>
      <c r="F37" s="64"/>
      <c r="G37" s="295" t="s">
        <v>521</v>
      </c>
      <c r="H37" s="281">
        <f>B63/1000</f>
        <v>0.95</v>
      </c>
      <c r="I37" s="281"/>
      <c r="J37" s="281"/>
      <c r="K37" s="281" t="s">
        <v>522</v>
      </c>
      <c r="L37" s="281">
        <f>B48/1000</f>
        <v>0.65</v>
      </c>
      <c r="M37" s="281"/>
      <c r="N37" s="281"/>
      <c r="O37" s="281"/>
      <c r="P37" s="65"/>
      <c r="Q37" s="63"/>
    </row>
    <row r="38" spans="1:17" ht="15" customHeight="1">
      <c r="A38" s="54"/>
      <c r="B38" s="363"/>
      <c r="C38" s="363"/>
      <c r="D38" s="58"/>
      <c r="E38" s="292"/>
      <c r="F38" s="64"/>
      <c r="G38" s="295" t="s">
        <v>523</v>
      </c>
      <c r="H38" s="281"/>
      <c r="I38" s="281"/>
      <c r="J38" s="281"/>
      <c r="K38" s="281"/>
      <c r="L38" s="281"/>
      <c r="M38" s="281"/>
      <c r="N38" s="281"/>
      <c r="O38" s="281"/>
      <c r="P38" s="66">
        <f>ROUNDDOWN(O36/6*((2*H36+L36)*H37+(2*L36+H36)*L37),2)</f>
        <v>0.68</v>
      </c>
      <c r="Q38" s="67" t="s">
        <v>91</v>
      </c>
    </row>
    <row r="39" spans="1:17" ht="15" customHeight="1">
      <c r="A39" s="54"/>
      <c r="C39" s="363"/>
      <c r="D39" s="285">
        <v>300</v>
      </c>
      <c r="E39" s="292"/>
      <c r="F39" s="292"/>
      <c r="G39" s="433" t="s">
        <v>466</v>
      </c>
      <c r="H39" s="434"/>
      <c r="I39" s="434" t="s">
        <v>467</v>
      </c>
      <c r="J39" s="434"/>
      <c r="K39" s="434"/>
      <c r="L39" s="434"/>
      <c r="M39" s="434"/>
      <c r="N39" s="434"/>
      <c r="O39" s="435"/>
      <c r="P39" s="431"/>
      <c r="Q39" s="436"/>
    </row>
    <row r="40" spans="1:17" ht="15" customHeight="1">
      <c r="A40" s="54"/>
      <c r="B40" s="1739" t="s">
        <v>1013</v>
      </c>
      <c r="C40" s="1739"/>
      <c r="D40" s="58"/>
      <c r="E40" s="288">
        <v>1000</v>
      </c>
      <c r="F40" s="288"/>
      <c r="G40" s="295" t="s">
        <v>519</v>
      </c>
      <c r="H40" s="281">
        <f>B36/1000</f>
        <v>0.45</v>
      </c>
      <c r="I40" s="281"/>
      <c r="J40" s="281"/>
      <c r="K40" s="281" t="s">
        <v>520</v>
      </c>
      <c r="L40" s="281">
        <f>B51/1000</f>
        <v>0.75</v>
      </c>
      <c r="M40" s="281"/>
      <c r="N40" s="281" t="s">
        <v>468</v>
      </c>
      <c r="O40" s="273">
        <f>E40/1000</f>
        <v>1</v>
      </c>
      <c r="P40" s="68">
        <f>ROUNDDOWN(H40*L40*O40,2)</f>
        <v>0.33</v>
      </c>
      <c r="Q40" s="69" t="s">
        <v>469</v>
      </c>
    </row>
    <row r="41" spans="1:17" ht="15" customHeight="1">
      <c r="A41" s="54"/>
      <c r="B41" s="363"/>
      <c r="C41" s="363"/>
      <c r="D41" s="58"/>
      <c r="E41" s="292"/>
      <c r="F41" s="292"/>
      <c r="G41" s="295"/>
      <c r="H41" s="281"/>
      <c r="I41" s="281"/>
      <c r="J41" s="281"/>
      <c r="K41" s="281"/>
      <c r="L41" s="281"/>
      <c r="M41" s="281"/>
      <c r="N41" s="281"/>
      <c r="O41" s="273"/>
      <c r="P41" s="68">
        <f>ROUNDDOWN(H41*L41*O41,2)</f>
        <v>0</v>
      </c>
      <c r="Q41" s="69" t="s">
        <v>470</v>
      </c>
    </row>
    <row r="42" spans="1:17" ht="15" customHeight="1">
      <c r="A42" s="54"/>
      <c r="B42" s="363"/>
      <c r="C42" s="363"/>
      <c r="D42" s="287">
        <v>700</v>
      </c>
      <c r="E42" s="292"/>
      <c r="F42" s="292"/>
      <c r="G42" s="295"/>
      <c r="H42" s="281"/>
      <c r="I42" s="281"/>
      <c r="J42" s="281"/>
      <c r="K42" s="281"/>
      <c r="L42" s="281"/>
      <c r="M42" s="281"/>
      <c r="N42" s="281"/>
      <c r="O42" s="273"/>
      <c r="P42" s="68"/>
      <c r="Q42" s="69"/>
    </row>
    <row r="43" spans="1:17" ht="15" customHeight="1">
      <c r="A43" s="54"/>
      <c r="B43" s="363"/>
      <c r="C43" s="363"/>
      <c r="D43" s="58"/>
      <c r="E43" s="292"/>
      <c r="F43" s="292"/>
      <c r="G43" s="278"/>
      <c r="H43" s="279"/>
      <c r="I43" s="279"/>
      <c r="J43" s="279"/>
      <c r="K43" s="285"/>
      <c r="L43" s="279"/>
      <c r="M43" s="280"/>
      <c r="N43" s="281"/>
      <c r="O43" s="271"/>
      <c r="P43" s="68"/>
      <c r="Q43" s="69"/>
    </row>
    <row r="44" spans="1:17" ht="15" customHeight="1">
      <c r="A44" s="54"/>
      <c r="B44" s="363"/>
      <c r="C44" s="363"/>
      <c r="D44" s="58"/>
      <c r="E44" s="292"/>
      <c r="F44" s="292"/>
      <c r="G44" s="282" t="s">
        <v>471</v>
      </c>
      <c r="H44" s="283"/>
      <c r="I44" s="283"/>
      <c r="J44" s="283"/>
      <c r="K44" s="283"/>
      <c r="L44" s="284"/>
      <c r="M44" s="283"/>
      <c r="N44" s="286"/>
      <c r="O44" s="274"/>
      <c r="P44" s="66">
        <f>SUM(P40:P43)</f>
        <v>0.33</v>
      </c>
      <c r="Q44" s="67" t="s">
        <v>91</v>
      </c>
    </row>
    <row r="45" spans="1:17" ht="15" customHeight="1">
      <c r="A45" s="54"/>
      <c r="B45" s="1739">
        <v>450</v>
      </c>
      <c r="C45" s="1739"/>
      <c r="D45" s="58"/>
      <c r="E45" s="292"/>
      <c r="F45" s="64"/>
      <c r="G45" s="426" t="s">
        <v>472</v>
      </c>
      <c r="H45" s="437"/>
      <c r="I45" s="438" t="s">
        <v>473</v>
      </c>
      <c r="J45" s="438" t="s">
        <v>474</v>
      </c>
      <c r="K45" s="439" t="s">
        <v>475</v>
      </c>
      <c r="L45" s="72"/>
      <c r="M45" s="438"/>
      <c r="N45" s="440"/>
      <c r="O45" s="440"/>
      <c r="P45" s="441"/>
      <c r="Q45" s="436"/>
    </row>
    <row r="46" spans="1:17" ht="15" customHeight="1">
      <c r="A46" s="54"/>
      <c r="B46" s="290">
        <v>100</v>
      </c>
      <c r="C46" s="291">
        <v>100</v>
      </c>
      <c r="D46" s="58"/>
      <c r="E46" s="56"/>
      <c r="F46" s="71"/>
      <c r="G46" s="73"/>
      <c r="H46" s="74"/>
      <c r="I46" s="74" t="s">
        <v>473</v>
      </c>
      <c r="J46" s="74">
        <f>P38</f>
        <v>0.68</v>
      </c>
      <c r="K46" s="74" t="s">
        <v>476</v>
      </c>
      <c r="L46" s="75">
        <f>P48</f>
        <v>0.33</v>
      </c>
      <c r="M46" s="76"/>
      <c r="N46" s="77"/>
      <c r="O46" s="78"/>
      <c r="P46" s="79">
        <f>ROUNDDOWN(J46-L46,2)</f>
        <v>0.35</v>
      </c>
      <c r="Q46" s="67" t="s">
        <v>91</v>
      </c>
    </row>
    <row r="47" spans="1:17" ht="15" customHeight="1">
      <c r="A47" s="54"/>
      <c r="B47" s="363"/>
      <c r="C47" s="294"/>
      <c r="D47" s="58"/>
      <c r="E47" s="292"/>
      <c r="F47" s="64"/>
      <c r="G47" s="426" t="s">
        <v>477</v>
      </c>
      <c r="H47" s="437"/>
      <c r="I47" s="437" t="s">
        <v>478</v>
      </c>
      <c r="J47" s="438"/>
      <c r="K47" s="439" t="s">
        <v>479</v>
      </c>
      <c r="L47" s="437"/>
      <c r="M47" s="437"/>
      <c r="N47" s="442"/>
      <c r="O47" s="443"/>
      <c r="P47" s="431"/>
      <c r="Q47" s="436"/>
    </row>
    <row r="48" spans="1:17" ht="15" customHeight="1">
      <c r="A48" s="80"/>
      <c r="B48" s="1739">
        <f>B46+B45+C46</f>
        <v>650</v>
      </c>
      <c r="C48" s="1739"/>
      <c r="D48" s="58"/>
      <c r="E48" s="292"/>
      <c r="F48" s="64"/>
      <c r="G48" s="289"/>
      <c r="H48" s="81"/>
      <c r="I48" s="82" t="s">
        <v>478</v>
      </c>
      <c r="J48" s="81"/>
      <c r="K48" s="81"/>
      <c r="L48" s="283">
        <f>P40</f>
        <v>0.33</v>
      </c>
      <c r="M48" s="283"/>
      <c r="N48" s="283"/>
      <c r="O48" s="276"/>
      <c r="P48" s="79">
        <f>ROUNDDOWN(L48+N48,2)</f>
        <v>0.33</v>
      </c>
      <c r="Q48" s="55" t="s">
        <v>91</v>
      </c>
    </row>
    <row r="49" spans="1:20" ht="15" customHeight="1">
      <c r="A49" s="54"/>
      <c r="B49" s="294"/>
      <c r="C49" s="363"/>
      <c r="D49" s="58"/>
      <c r="E49" s="292"/>
      <c r="F49" s="64"/>
      <c r="G49" s="444" t="s">
        <v>480</v>
      </c>
      <c r="H49" s="437"/>
      <c r="I49" s="437"/>
      <c r="J49" s="437"/>
      <c r="K49" s="437"/>
      <c r="L49" s="429"/>
      <c r="M49" s="445"/>
      <c r="N49" s="443"/>
      <c r="O49" s="446"/>
      <c r="P49" s="431"/>
      <c r="Q49" s="436"/>
    </row>
    <row r="50" spans="1:20" ht="15" customHeight="1">
      <c r="A50" s="54"/>
      <c r="B50" s="1739">
        <f>B63+(0.3*(D42)*2)</f>
        <v>1370</v>
      </c>
      <c r="C50" s="1739"/>
      <c r="D50" s="58"/>
      <c r="E50" s="292"/>
      <c r="F50" s="64"/>
      <c r="G50" s="83" t="s">
        <v>481</v>
      </c>
      <c r="H50" s="175">
        <f>B36/1000</f>
        <v>0.45</v>
      </c>
      <c r="I50" s="84" t="s">
        <v>482</v>
      </c>
      <c r="J50" s="176">
        <f>B60/1000</f>
        <v>0.75</v>
      </c>
      <c r="K50" s="85" t="s">
        <v>483</v>
      </c>
      <c r="L50" s="86" t="s">
        <v>484</v>
      </c>
      <c r="M50" s="87">
        <f>E40/1000</f>
        <v>1</v>
      </c>
      <c r="N50" s="88"/>
      <c r="O50" s="89"/>
      <c r="P50" s="90">
        <f>(B36+B51)*2*E40/1000000</f>
        <v>2.4</v>
      </c>
      <c r="Q50" s="67" t="s">
        <v>485</v>
      </c>
      <c r="T50">
        <f>0.75*0.85*2+0.45*0.85*2</f>
        <v>2.04</v>
      </c>
    </row>
    <row r="51" spans="1:20" ht="15" customHeight="1">
      <c r="A51" s="54"/>
      <c r="B51" s="1739">
        <v>750</v>
      </c>
      <c r="C51" s="1739"/>
      <c r="D51" s="58"/>
      <c r="E51" s="292"/>
      <c r="F51" s="64"/>
      <c r="G51" s="447"/>
      <c r="H51" s="448"/>
      <c r="I51" s="448"/>
      <c r="J51" s="448"/>
      <c r="K51" s="448"/>
      <c r="L51" s="449"/>
      <c r="M51" s="445"/>
      <c r="N51" s="443"/>
      <c r="O51" s="443"/>
      <c r="P51" s="450"/>
      <c r="Q51" s="451"/>
    </row>
    <row r="52" spans="1:20" ht="15" customHeight="1">
      <c r="A52" s="54"/>
      <c r="B52" s="363"/>
      <c r="C52" s="363"/>
      <c r="D52" s="58"/>
      <c r="E52" s="292"/>
      <c r="F52" s="64"/>
      <c r="G52" s="91"/>
      <c r="H52" s="92"/>
      <c r="I52" s="76"/>
      <c r="J52" s="93"/>
      <c r="K52" s="94"/>
      <c r="L52" s="56"/>
      <c r="M52" s="284"/>
      <c r="N52" s="89"/>
      <c r="O52" s="89"/>
      <c r="P52" s="79"/>
      <c r="Q52" s="69"/>
    </row>
    <row r="53" spans="1:20" ht="15" customHeight="1">
      <c r="A53" s="54"/>
      <c r="B53" s="363"/>
      <c r="C53" s="363"/>
      <c r="D53" s="95"/>
      <c r="E53" s="292"/>
      <c r="F53" s="64"/>
      <c r="G53" s="447"/>
      <c r="H53" s="448"/>
      <c r="I53" s="448"/>
      <c r="J53" s="448"/>
      <c r="K53" s="448"/>
      <c r="L53" s="452"/>
      <c r="M53" s="453"/>
      <c r="N53" s="452"/>
      <c r="O53" s="430"/>
      <c r="P53" s="431"/>
      <c r="Q53" s="436"/>
    </row>
    <row r="54" spans="1:20" ht="15" customHeight="1">
      <c r="A54" s="96"/>
      <c r="B54" s="363"/>
      <c r="C54" s="363"/>
      <c r="D54" s="291">
        <v>300</v>
      </c>
      <c r="E54" s="292"/>
      <c r="F54" s="64"/>
      <c r="G54" s="97"/>
      <c r="H54" s="286"/>
      <c r="I54" s="286"/>
      <c r="J54" s="286"/>
      <c r="K54" s="286"/>
      <c r="L54" s="98"/>
      <c r="M54" s="74"/>
      <c r="N54" s="98"/>
      <c r="O54" s="98"/>
      <c r="P54" s="99"/>
      <c r="Q54" s="100"/>
    </row>
    <row r="55" spans="1:20" ht="15" customHeight="1">
      <c r="A55" s="54"/>
      <c r="B55" s="1739" t="s">
        <v>1014</v>
      </c>
      <c r="C55" s="1739"/>
      <c r="E55" s="288">
        <v>1000</v>
      </c>
      <c r="F55" s="463"/>
      <c r="G55" s="447" t="s">
        <v>486</v>
      </c>
      <c r="H55" s="101"/>
      <c r="I55" s="101" t="s">
        <v>487</v>
      </c>
      <c r="J55" s="101"/>
      <c r="K55" s="101"/>
      <c r="L55" s="58"/>
      <c r="M55" s="178"/>
      <c r="N55" s="292"/>
      <c r="O55" s="292"/>
      <c r="P55" s="454"/>
      <c r="Q55" s="455"/>
    </row>
    <row r="56" spans="1:20" ht="15" customHeight="1">
      <c r="A56" s="54"/>
      <c r="B56" s="363"/>
      <c r="D56" s="95"/>
      <c r="E56" s="292"/>
      <c r="F56" s="64"/>
      <c r="G56" s="102"/>
      <c r="H56" s="103"/>
      <c r="I56" s="103"/>
      <c r="J56" s="103"/>
      <c r="K56" s="103"/>
      <c r="L56" s="104"/>
      <c r="M56" s="179"/>
      <c r="N56" s="98"/>
      <c r="O56" s="276"/>
      <c r="P56" s="105">
        <v>4</v>
      </c>
      <c r="Q56" s="100" t="s">
        <v>488</v>
      </c>
    </row>
    <row r="57" spans="1:20" ht="15" customHeight="1">
      <c r="A57" s="54"/>
      <c r="B57" s="290"/>
      <c r="C57" s="363"/>
      <c r="D57" s="287">
        <v>700</v>
      </c>
      <c r="E57" s="292"/>
      <c r="F57" s="64"/>
      <c r="G57" s="426" t="s">
        <v>489</v>
      </c>
      <c r="H57" s="101" t="s">
        <v>490</v>
      </c>
      <c r="I57" s="428"/>
      <c r="J57" s="428"/>
      <c r="K57" s="428"/>
      <c r="L57" s="430"/>
      <c r="M57" s="429"/>
      <c r="N57" s="443"/>
      <c r="O57" s="443"/>
      <c r="P57" s="431"/>
      <c r="Q57" s="432"/>
    </row>
    <row r="58" spans="1:20" ht="15" customHeight="1">
      <c r="A58" s="54"/>
      <c r="B58" s="363"/>
      <c r="C58" s="363"/>
      <c r="E58" s="58"/>
      <c r="F58" s="55"/>
      <c r="G58" s="289"/>
      <c r="H58" s="275"/>
      <c r="I58" s="275"/>
      <c r="J58" s="275"/>
      <c r="K58" s="275"/>
      <c r="L58" s="276">
        <v>1</v>
      </c>
      <c r="M58" s="74"/>
      <c r="N58" s="276"/>
      <c r="O58" s="276"/>
      <c r="P58" s="293">
        <f>L58</f>
        <v>1</v>
      </c>
      <c r="Q58" s="277" t="s">
        <v>491</v>
      </c>
    </row>
    <row r="59" spans="1:20" ht="15" customHeight="1">
      <c r="A59" s="54"/>
      <c r="B59" s="363"/>
      <c r="C59" s="363"/>
      <c r="D59" s="95"/>
      <c r="E59" s="58"/>
      <c r="F59" s="55"/>
      <c r="G59" s="426" t="s">
        <v>492</v>
      </c>
      <c r="H59" s="456"/>
      <c r="I59" s="456"/>
      <c r="J59" s="456"/>
      <c r="K59" s="456"/>
      <c r="L59" s="457"/>
      <c r="M59" s="458"/>
      <c r="N59" s="457"/>
      <c r="O59" s="457"/>
      <c r="P59" s="459"/>
      <c r="Q59" s="460"/>
    </row>
    <row r="60" spans="1:20" ht="15" customHeight="1">
      <c r="A60" s="54"/>
      <c r="B60" s="1739">
        <v>750</v>
      </c>
      <c r="C60" s="1739"/>
      <c r="D60" s="58"/>
      <c r="E60" s="58"/>
      <c r="F60" s="55"/>
      <c r="G60" s="106"/>
      <c r="H60" s="107"/>
      <c r="I60" s="107"/>
      <c r="J60" s="107"/>
      <c r="K60" s="107"/>
      <c r="L60" s="276">
        <v>3</v>
      </c>
      <c r="M60" s="180"/>
      <c r="N60" s="108"/>
      <c r="O60" s="108"/>
      <c r="P60" s="293">
        <f>L60</f>
        <v>3</v>
      </c>
      <c r="Q60" s="277" t="s">
        <v>491</v>
      </c>
    </row>
    <row r="61" spans="1:20" ht="15" customHeight="1">
      <c r="A61" s="54"/>
      <c r="B61" s="290">
        <v>100</v>
      </c>
      <c r="C61" s="291">
        <v>100</v>
      </c>
      <c r="D61" s="363"/>
      <c r="E61" s="58"/>
      <c r="F61" s="55"/>
      <c r="G61" s="461" t="s">
        <v>493</v>
      </c>
      <c r="H61" s="428"/>
      <c r="I61" s="428"/>
      <c r="J61" s="428"/>
      <c r="K61" s="428"/>
      <c r="L61" s="430"/>
      <c r="M61" s="429"/>
      <c r="N61" s="443"/>
      <c r="O61" s="443"/>
      <c r="P61" s="431"/>
      <c r="Q61" s="432"/>
    </row>
    <row r="62" spans="1:20" ht="15" customHeight="1">
      <c r="A62" s="54"/>
      <c r="B62" s="363"/>
      <c r="C62" s="363"/>
      <c r="E62" s="58"/>
      <c r="F62" s="58"/>
      <c r="G62" s="289"/>
      <c r="H62" s="275"/>
      <c r="I62" s="275"/>
      <c r="J62" s="275"/>
      <c r="K62" s="275"/>
      <c r="L62" s="276">
        <v>3</v>
      </c>
      <c r="M62" s="74"/>
      <c r="N62" s="276"/>
      <c r="O62" s="276"/>
      <c r="P62" s="293">
        <f>ROUNDDOWN(dhTextEvaluate(L62),2)</f>
        <v>3</v>
      </c>
      <c r="Q62" s="277" t="s">
        <v>494</v>
      </c>
    </row>
    <row r="63" spans="1:20" ht="15" customHeight="1">
      <c r="A63" s="54"/>
      <c r="B63" s="1739">
        <f>B61+B60+C61</f>
        <v>950</v>
      </c>
      <c r="C63" s="1739"/>
      <c r="D63" s="58"/>
      <c r="E63" s="363"/>
      <c r="F63" s="363"/>
      <c r="G63" s="431"/>
      <c r="H63" s="428"/>
      <c r="I63" s="462"/>
      <c r="J63" s="462"/>
      <c r="K63" s="462"/>
      <c r="L63" s="462"/>
      <c r="M63" s="430"/>
      <c r="N63" s="429"/>
      <c r="O63" s="451"/>
      <c r="P63" s="431"/>
      <c r="Q63" s="451"/>
    </row>
    <row r="64" spans="1:20" ht="15" customHeight="1">
      <c r="A64" s="109"/>
      <c r="B64" s="640"/>
      <c r="C64" s="89"/>
      <c r="D64" s="89"/>
      <c r="E64" s="276"/>
      <c r="F64" s="276"/>
      <c r="G64" s="289"/>
      <c r="H64" s="275"/>
      <c r="I64" s="275"/>
      <c r="J64" s="275"/>
      <c r="K64" s="275"/>
      <c r="L64" s="276"/>
      <c r="M64" s="283"/>
      <c r="N64" s="276"/>
      <c r="O64" s="270"/>
      <c r="P64" s="293"/>
      <c r="Q64" s="277"/>
    </row>
    <row r="65" spans="1:17" ht="24.95" customHeight="1">
      <c r="A65" s="367" t="s">
        <v>1036</v>
      </c>
      <c r="B65" s="1726" t="s">
        <v>1026</v>
      </c>
      <c r="C65" s="1726"/>
      <c r="D65" s="1726" t="s">
        <v>1027</v>
      </c>
      <c r="E65" s="1726"/>
      <c r="F65" s="419"/>
      <c r="G65" s="368"/>
      <c r="H65" s="369" t="s">
        <v>495</v>
      </c>
      <c r="I65" s="369"/>
      <c r="J65" s="369"/>
      <c r="K65" s="369"/>
      <c r="L65" s="370"/>
      <c r="M65" s="371"/>
      <c r="N65" s="372"/>
      <c r="O65" s="372"/>
      <c r="P65" s="372"/>
      <c r="Q65" s="373"/>
    </row>
    <row r="66" spans="1:17" ht="15" customHeight="1">
      <c r="A66" s="364"/>
      <c r="B66" s="365"/>
      <c r="C66" s="272"/>
      <c r="D66" s="365"/>
      <c r="E66" s="430"/>
      <c r="F66" s="430"/>
      <c r="G66" s="420"/>
      <c r="H66" s="464"/>
      <c r="I66" s="464" t="s">
        <v>496</v>
      </c>
      <c r="J66" s="464" t="s">
        <v>497</v>
      </c>
      <c r="K66" s="464" t="s">
        <v>498</v>
      </c>
      <c r="L66" s="465" t="s">
        <v>499</v>
      </c>
      <c r="M66" s="466" t="s">
        <v>500</v>
      </c>
      <c r="N66" s="465"/>
      <c r="O66" s="465"/>
      <c r="P66" s="424" t="s">
        <v>501</v>
      </c>
      <c r="Q66" s="425"/>
    </row>
    <row r="67" spans="1:17" ht="15" customHeight="1">
      <c r="A67" s="54"/>
      <c r="B67" s="363"/>
      <c r="C67" s="363"/>
      <c r="D67" s="363"/>
      <c r="E67" s="58"/>
      <c r="F67" s="58"/>
      <c r="G67" s="426" t="s">
        <v>502</v>
      </c>
      <c r="H67" s="427" t="s">
        <v>166</v>
      </c>
      <c r="I67" s="427"/>
      <c r="J67" s="428"/>
      <c r="K67" s="428"/>
      <c r="L67" s="56"/>
      <c r="M67" s="429"/>
      <c r="N67" s="430"/>
      <c r="O67" s="430"/>
      <c r="P67" s="431"/>
      <c r="Q67" s="432"/>
    </row>
    <row r="68" spans="1:17" ht="15" customHeight="1">
      <c r="A68" s="54"/>
      <c r="B68" s="363"/>
      <c r="C68" s="363"/>
      <c r="D68" s="363"/>
      <c r="E68" s="58"/>
      <c r="F68" s="58"/>
      <c r="G68" s="278" t="s">
        <v>503</v>
      </c>
      <c r="H68" s="279">
        <f>B70/1000</f>
        <v>1.27</v>
      </c>
      <c r="I68" s="279"/>
      <c r="J68" s="279"/>
      <c r="K68" s="59" t="s">
        <v>504</v>
      </c>
      <c r="L68" s="60">
        <f>B86/1000</f>
        <v>0.85</v>
      </c>
      <c r="M68" s="280"/>
      <c r="N68" s="281" t="s">
        <v>464</v>
      </c>
      <c r="O68" s="61">
        <f>D78/1000</f>
        <v>0.7</v>
      </c>
      <c r="P68" s="62"/>
      <c r="Q68" s="63"/>
    </row>
    <row r="69" spans="1:17" ht="15" customHeight="1">
      <c r="A69" s="54"/>
      <c r="B69" s="57"/>
      <c r="C69" s="57"/>
      <c r="D69" s="363"/>
      <c r="E69" s="292"/>
      <c r="F69" s="292"/>
      <c r="G69" s="278" t="s">
        <v>465</v>
      </c>
      <c r="H69" s="279">
        <f>B70/1000</f>
        <v>1.27</v>
      </c>
      <c r="I69" s="279"/>
      <c r="J69" s="279"/>
      <c r="K69" s="59" t="s">
        <v>505</v>
      </c>
      <c r="L69" s="60">
        <f>B86/1000</f>
        <v>0.85</v>
      </c>
      <c r="M69" s="280"/>
      <c r="N69" s="56"/>
      <c r="O69" s="58"/>
      <c r="P69" s="65"/>
      <c r="Q69" s="63"/>
    </row>
    <row r="70" spans="1:17" ht="15" customHeight="1">
      <c r="A70" s="54"/>
      <c r="B70" s="57">
        <f>B86+(0.3*D78)*2</f>
        <v>1270</v>
      </c>
      <c r="C70" s="57"/>
      <c r="D70" s="363"/>
      <c r="E70" s="292"/>
      <c r="F70" s="292"/>
      <c r="G70" s="282" t="s">
        <v>506</v>
      </c>
      <c r="H70" s="283"/>
      <c r="I70" s="283"/>
      <c r="J70" s="283"/>
      <c r="K70" s="283"/>
      <c r="L70" s="284"/>
      <c r="M70" s="283"/>
      <c r="N70" s="276"/>
      <c r="O70" s="276"/>
      <c r="P70" s="66">
        <f>ROUNDDOWN(O68/6*((2*H68+L68)*H69+(2*L68+H68)*L69),2)</f>
        <v>0.79</v>
      </c>
      <c r="Q70" s="67" t="s">
        <v>91</v>
      </c>
    </row>
    <row r="71" spans="1:17" ht="15" customHeight="1">
      <c r="A71" s="54"/>
      <c r="B71" s="57"/>
      <c r="C71" s="57"/>
      <c r="D71" s="363"/>
      <c r="E71" s="292"/>
      <c r="F71" s="292"/>
      <c r="G71" s="426" t="s">
        <v>507</v>
      </c>
      <c r="H71" s="467" t="s">
        <v>197</v>
      </c>
      <c r="I71" s="467"/>
      <c r="J71" s="437"/>
      <c r="K71" s="437"/>
      <c r="L71" s="437"/>
      <c r="M71" s="467"/>
      <c r="N71" s="427"/>
      <c r="O71" s="427"/>
      <c r="P71" s="431"/>
      <c r="Q71" s="436"/>
    </row>
    <row r="72" spans="1:17" ht="15" customHeight="1">
      <c r="A72" s="54"/>
      <c r="B72" s="57">
        <v>420</v>
      </c>
      <c r="C72" s="57"/>
      <c r="D72" s="58"/>
      <c r="E72" s="292"/>
      <c r="F72" s="292"/>
      <c r="G72" s="278" t="s">
        <v>503</v>
      </c>
      <c r="H72" s="279">
        <f>B83/1000</f>
        <v>0.65</v>
      </c>
      <c r="I72" s="279"/>
      <c r="J72" s="279"/>
      <c r="K72" s="59" t="s">
        <v>508</v>
      </c>
      <c r="L72" s="279">
        <f>B72/1000</f>
        <v>0.42</v>
      </c>
      <c r="M72" s="280"/>
      <c r="N72" s="281" t="s">
        <v>464</v>
      </c>
      <c r="O72" s="61">
        <f>O68</f>
        <v>0.7</v>
      </c>
      <c r="P72" s="68"/>
      <c r="Q72" s="69"/>
    </row>
    <row r="73" spans="1:17" ht="15" customHeight="1">
      <c r="A73" s="54"/>
      <c r="B73" s="57"/>
      <c r="C73" s="57"/>
      <c r="D73" s="58"/>
      <c r="E73" s="292"/>
      <c r="F73" s="292"/>
      <c r="G73" s="278" t="s">
        <v>170</v>
      </c>
      <c r="H73" s="279">
        <f>B83/1000</f>
        <v>0.65</v>
      </c>
      <c r="I73" s="279"/>
      <c r="J73" s="279"/>
      <c r="K73" s="59" t="s">
        <v>84</v>
      </c>
      <c r="L73" s="279">
        <f>B72/1000</f>
        <v>0.42</v>
      </c>
      <c r="M73" s="280"/>
      <c r="N73" s="281"/>
      <c r="O73" s="61"/>
      <c r="P73" s="68"/>
      <c r="Q73" s="69"/>
    </row>
    <row r="74" spans="1:17" ht="15" customHeight="1">
      <c r="A74" s="54"/>
      <c r="B74" s="363"/>
      <c r="C74" s="363"/>
      <c r="D74" s="58"/>
      <c r="E74" s="292"/>
      <c r="F74" s="292"/>
      <c r="G74" s="278" t="s">
        <v>177</v>
      </c>
      <c r="H74" s="279"/>
      <c r="I74" s="279"/>
      <c r="J74" s="279"/>
      <c r="K74" s="285"/>
      <c r="L74" s="279"/>
      <c r="M74" s="280"/>
      <c r="N74" s="281"/>
      <c r="O74" s="61"/>
      <c r="P74" s="68">
        <f>ROUNDDOWN(O72/6*((2*H72+L72)*H73+(2*L72+H72)*L73),2)</f>
        <v>0.2</v>
      </c>
      <c r="Q74" s="69" t="s">
        <v>91</v>
      </c>
    </row>
    <row r="75" spans="1:17" ht="15" customHeight="1">
      <c r="A75" s="54"/>
      <c r="B75" s="363"/>
      <c r="C75" s="363"/>
      <c r="D75" s="58"/>
      <c r="E75" s="292"/>
      <c r="F75" s="292"/>
      <c r="G75" s="111" t="s">
        <v>975</v>
      </c>
      <c r="H75" s="279"/>
      <c r="I75" s="279" t="s">
        <v>179</v>
      </c>
      <c r="J75" s="279" t="s">
        <v>180</v>
      </c>
      <c r="K75" s="285" t="s">
        <v>181</v>
      </c>
      <c r="L75" s="279"/>
      <c r="M75" s="280"/>
      <c r="N75" s="281"/>
      <c r="O75" s="61"/>
      <c r="P75" s="68"/>
      <c r="Q75" s="69"/>
    </row>
    <row r="76" spans="1:17" ht="15" customHeight="1">
      <c r="A76" s="54"/>
      <c r="B76" s="363"/>
      <c r="C76" s="363"/>
      <c r="D76" s="58"/>
      <c r="E76" s="292"/>
      <c r="F76" s="292"/>
      <c r="G76" s="282"/>
      <c r="H76" s="283"/>
      <c r="I76" s="283"/>
      <c r="J76" s="283"/>
      <c r="K76" s="283"/>
      <c r="L76" s="284" t="s">
        <v>198</v>
      </c>
      <c r="M76" s="283" t="s">
        <v>524</v>
      </c>
      <c r="N76" s="286"/>
      <c r="O76" s="70"/>
      <c r="P76" s="66">
        <f>P70-P78</f>
        <v>0.59000000000000008</v>
      </c>
      <c r="Q76" s="67" t="s">
        <v>91</v>
      </c>
    </row>
    <row r="77" spans="1:17" ht="15" customHeight="1">
      <c r="A77" s="54"/>
      <c r="B77" s="363"/>
      <c r="C77" s="363"/>
      <c r="D77" s="58"/>
      <c r="E77" s="56"/>
      <c r="F77" s="56"/>
      <c r="G77" s="426" t="s">
        <v>1003</v>
      </c>
      <c r="H77" s="437"/>
      <c r="I77" s="438" t="s">
        <v>509</v>
      </c>
      <c r="J77" s="438" t="s">
        <v>510</v>
      </c>
      <c r="K77" s="439"/>
      <c r="L77" s="72"/>
      <c r="M77" s="438"/>
      <c r="N77" s="440"/>
      <c r="O77" s="440"/>
      <c r="P77" s="441"/>
      <c r="Q77" s="436"/>
    </row>
    <row r="78" spans="1:17" ht="15" customHeight="1">
      <c r="A78" s="54" t="s">
        <v>201</v>
      </c>
      <c r="B78" s="363"/>
      <c r="C78" s="363"/>
      <c r="D78" s="58">
        <v>700</v>
      </c>
      <c r="E78" s="292"/>
      <c r="F78" s="292"/>
      <c r="G78" s="73"/>
      <c r="H78" s="74"/>
      <c r="I78" s="74"/>
      <c r="J78" s="74"/>
      <c r="K78" s="74"/>
      <c r="L78" s="75"/>
      <c r="M78" s="76"/>
      <c r="N78" s="77"/>
      <c r="O78" s="78"/>
      <c r="P78" s="79">
        <f>P74</f>
        <v>0.2</v>
      </c>
      <c r="Q78" s="67" t="s">
        <v>91</v>
      </c>
    </row>
    <row r="79" spans="1:17" ht="15" customHeight="1">
      <c r="A79" s="54"/>
      <c r="B79" s="294"/>
      <c r="C79" s="294"/>
      <c r="D79" s="58"/>
      <c r="E79" s="292"/>
      <c r="F79" s="292"/>
      <c r="G79" s="557" t="s">
        <v>511</v>
      </c>
      <c r="H79" s="558"/>
      <c r="I79" s="558"/>
      <c r="J79" s="559"/>
      <c r="K79" s="560"/>
      <c r="L79" s="558"/>
      <c r="M79" s="558"/>
      <c r="N79" s="561"/>
      <c r="O79" s="562"/>
      <c r="P79" s="563"/>
      <c r="Q79" s="564"/>
    </row>
    <row r="80" spans="1:17" ht="15" customHeight="1">
      <c r="A80" s="80"/>
      <c r="B80" s="363"/>
      <c r="C80" s="363"/>
      <c r="D80" s="58"/>
      <c r="E80" s="288"/>
      <c r="F80" s="288"/>
      <c r="G80" s="565" t="s">
        <v>187</v>
      </c>
      <c r="H80" s="566">
        <f>B72/1000</f>
        <v>0.42</v>
      </c>
      <c r="I80" s="567" t="s">
        <v>512</v>
      </c>
      <c r="J80" s="566">
        <f>B83/1000</f>
        <v>0.65</v>
      </c>
      <c r="K80" s="566" t="s">
        <v>189</v>
      </c>
      <c r="L80" s="568" t="s">
        <v>190</v>
      </c>
      <c r="M80" s="568">
        <f>D78/1000</f>
        <v>0.7</v>
      </c>
      <c r="N80" s="568" t="s">
        <v>191</v>
      </c>
      <c r="O80" s="569">
        <v>4</v>
      </c>
      <c r="P80" s="570">
        <f>((0.6+1)/2)*1*4</f>
        <v>3.2</v>
      </c>
      <c r="Q80" s="571" t="s">
        <v>192</v>
      </c>
    </row>
    <row r="81" spans="1:17" ht="15" customHeight="1">
      <c r="A81" s="54"/>
      <c r="B81" s="363"/>
      <c r="C81" s="363"/>
      <c r="D81" s="285"/>
      <c r="E81" s="292"/>
      <c r="F81" s="292"/>
      <c r="G81" s="572"/>
      <c r="H81" s="558"/>
      <c r="I81" s="558"/>
      <c r="J81" s="558"/>
      <c r="K81" s="558"/>
      <c r="L81" s="573"/>
      <c r="M81" s="574"/>
      <c r="N81" s="562"/>
      <c r="O81" s="575"/>
      <c r="P81" s="563"/>
      <c r="Q81" s="564"/>
    </row>
    <row r="82" spans="1:17" ht="15" customHeight="1">
      <c r="A82" s="54"/>
      <c r="B82" s="363"/>
      <c r="C82" s="363"/>
      <c r="D82" s="58"/>
      <c r="E82" s="292"/>
      <c r="F82" s="292"/>
      <c r="G82" s="576"/>
      <c r="H82" s="577"/>
      <c r="I82" s="578"/>
      <c r="J82" s="579"/>
      <c r="K82" s="580"/>
      <c r="L82" s="581"/>
      <c r="M82" s="582"/>
      <c r="N82" s="583"/>
      <c r="O82" s="584"/>
      <c r="P82" s="585"/>
      <c r="Q82" s="586"/>
    </row>
    <row r="83" spans="1:17" ht="15" customHeight="1">
      <c r="A83" s="54"/>
      <c r="B83" s="1739">
        <v>650</v>
      </c>
      <c r="C83" s="1739"/>
      <c r="D83" s="58"/>
      <c r="E83" s="292"/>
      <c r="F83" s="292"/>
      <c r="G83" s="587"/>
      <c r="H83" s="588"/>
      <c r="I83" s="588"/>
      <c r="J83" s="588"/>
      <c r="K83" s="588"/>
      <c r="L83" s="589"/>
      <c r="M83" s="574"/>
      <c r="N83" s="562"/>
      <c r="O83" s="562"/>
      <c r="P83" s="590"/>
      <c r="Q83" s="591"/>
    </row>
    <row r="84" spans="1:17" ht="15" customHeight="1">
      <c r="A84" s="54"/>
      <c r="B84" s="290">
        <v>100</v>
      </c>
      <c r="C84" s="291">
        <v>100</v>
      </c>
      <c r="D84" s="287"/>
      <c r="E84" s="292"/>
      <c r="F84" s="292"/>
      <c r="G84" s="592"/>
      <c r="H84" s="583"/>
      <c r="I84" s="582"/>
      <c r="J84" s="593"/>
      <c r="K84" s="594"/>
      <c r="L84" s="595"/>
      <c r="M84" s="1249"/>
      <c r="N84" s="584"/>
      <c r="O84" s="584"/>
      <c r="P84" s="570"/>
      <c r="Q84" s="597"/>
    </row>
    <row r="85" spans="1:17" ht="15" customHeight="1">
      <c r="A85" s="54"/>
      <c r="B85" s="363"/>
      <c r="C85" s="363"/>
      <c r="D85" s="58"/>
      <c r="E85" s="292"/>
      <c r="F85" s="292"/>
      <c r="G85" s="587" t="s">
        <v>193</v>
      </c>
      <c r="H85" s="588"/>
      <c r="I85" s="588" t="s">
        <v>194</v>
      </c>
      <c r="J85" s="588"/>
      <c r="K85" s="588"/>
      <c r="L85" s="598"/>
      <c r="M85" s="1250"/>
      <c r="N85" s="598"/>
      <c r="O85" s="600"/>
      <c r="P85" s="563"/>
      <c r="Q85" s="564"/>
    </row>
    <row r="86" spans="1:17" ht="15" customHeight="1">
      <c r="A86" s="96"/>
      <c r="B86" s="1739">
        <f>B83+B84+C84</f>
        <v>850</v>
      </c>
      <c r="C86" s="1739"/>
      <c r="D86" s="58"/>
      <c r="E86" s="292"/>
      <c r="F86" s="292"/>
      <c r="G86" s="601"/>
      <c r="H86" s="602"/>
      <c r="I86" s="602"/>
      <c r="J86" s="602"/>
      <c r="K86" s="602"/>
      <c r="L86" s="603"/>
      <c r="M86" s="1251"/>
      <c r="N86" s="603"/>
      <c r="O86" s="603"/>
      <c r="P86" s="604">
        <v>4</v>
      </c>
      <c r="Q86" s="605" t="s">
        <v>195</v>
      </c>
    </row>
    <row r="87" spans="1:17" ht="15" customHeight="1">
      <c r="A87" s="54"/>
      <c r="B87" s="57"/>
      <c r="C87" s="363"/>
      <c r="D87" s="58"/>
      <c r="E87" s="292"/>
      <c r="F87" s="292"/>
      <c r="G87" s="587" t="s">
        <v>513</v>
      </c>
      <c r="H87" s="606"/>
      <c r="I87" s="606"/>
      <c r="J87" s="606"/>
      <c r="K87" s="606"/>
      <c r="L87" s="607"/>
      <c r="M87" s="1252"/>
      <c r="N87" s="608"/>
      <c r="O87" s="608"/>
      <c r="P87" s="609"/>
      <c r="Q87" s="610"/>
    </row>
    <row r="88" spans="1:17" ht="15" customHeight="1">
      <c r="A88" s="54"/>
      <c r="B88" s="57"/>
      <c r="C88" s="57"/>
      <c r="D88" s="58"/>
      <c r="E88" s="292"/>
      <c r="F88" s="292"/>
      <c r="G88" s="611"/>
      <c r="H88" s="612"/>
      <c r="I88" s="612"/>
      <c r="J88" s="612"/>
      <c r="K88" s="612"/>
      <c r="L88" s="1253">
        <v>3</v>
      </c>
      <c r="M88" s="1254"/>
      <c r="N88" s="603"/>
      <c r="O88" s="569"/>
      <c r="P88" s="614">
        <f>ROUNDDOWN(dhTextEvaluate(L88),2)</f>
        <v>3</v>
      </c>
      <c r="Q88" s="605" t="s">
        <v>491</v>
      </c>
    </row>
    <row r="89" spans="1:17" ht="15" customHeight="1">
      <c r="A89" s="54"/>
      <c r="B89" s="290"/>
      <c r="C89" s="291"/>
      <c r="D89" s="95"/>
      <c r="E89" s="292"/>
      <c r="F89" s="292"/>
      <c r="G89" s="557" t="s">
        <v>514</v>
      </c>
      <c r="H89" s="606"/>
      <c r="I89" s="615"/>
      <c r="J89" s="615"/>
      <c r="K89" s="615"/>
      <c r="L89" s="600"/>
      <c r="M89" s="573"/>
      <c r="N89" s="562"/>
      <c r="O89" s="562"/>
      <c r="P89" s="563"/>
      <c r="Q89" s="616"/>
    </row>
    <row r="90" spans="1:17" ht="15" customHeight="1">
      <c r="A90" s="54"/>
      <c r="B90" s="57"/>
      <c r="C90" s="57"/>
      <c r="D90" s="95"/>
      <c r="E90" s="58"/>
      <c r="F90" s="58"/>
      <c r="G90" s="565"/>
      <c r="H90" s="617"/>
      <c r="I90" s="617"/>
      <c r="J90" s="617"/>
      <c r="K90" s="617"/>
      <c r="L90" s="569">
        <v>3</v>
      </c>
      <c r="M90" s="1251"/>
      <c r="N90" s="569"/>
      <c r="O90" s="569"/>
      <c r="P90" s="618">
        <f>L90</f>
        <v>3</v>
      </c>
      <c r="Q90" s="619" t="s">
        <v>491</v>
      </c>
    </row>
    <row r="91" spans="1:17" ht="15" customHeight="1">
      <c r="A91" s="54"/>
      <c r="B91" s="57"/>
      <c r="C91" s="57"/>
      <c r="D91" s="95"/>
      <c r="E91" s="58"/>
      <c r="F91" s="58"/>
      <c r="G91" s="557" t="s">
        <v>515</v>
      </c>
      <c r="H91" s="561"/>
      <c r="I91" s="561"/>
      <c r="J91" s="561"/>
      <c r="K91" s="561"/>
      <c r="L91" s="562"/>
      <c r="M91" s="620"/>
      <c r="N91" s="562"/>
      <c r="O91" s="562"/>
      <c r="P91" s="621"/>
      <c r="Q91" s="622"/>
    </row>
    <row r="92" spans="1:17" ht="15" customHeight="1">
      <c r="A92" s="54"/>
      <c r="B92" s="57"/>
      <c r="C92" s="57"/>
      <c r="D92" s="95"/>
      <c r="E92" s="58"/>
      <c r="F92" s="58"/>
      <c r="G92" s="623"/>
      <c r="H92" s="624"/>
      <c r="I92" s="624"/>
      <c r="J92" s="624"/>
      <c r="K92" s="624"/>
      <c r="L92" s="569">
        <v>1</v>
      </c>
      <c r="M92" s="1255"/>
      <c r="N92" s="625"/>
      <c r="O92" s="625"/>
      <c r="P92" s="618">
        <f>ROUNDDOWN(dhTextEvaluate(L92),2)</f>
        <v>1</v>
      </c>
      <c r="Q92" s="619" t="s">
        <v>494</v>
      </c>
    </row>
    <row r="93" spans="1:17" ht="15" customHeight="1">
      <c r="A93" s="54"/>
      <c r="B93" s="57"/>
      <c r="C93" s="57"/>
      <c r="D93" s="58"/>
      <c r="E93" s="58"/>
      <c r="F93" s="58"/>
      <c r="G93" s="626"/>
      <c r="H93" s="627"/>
      <c r="I93" s="627"/>
      <c r="J93" s="627"/>
      <c r="K93" s="627"/>
      <c r="L93" s="628"/>
      <c r="M93" s="1256"/>
      <c r="N93" s="629"/>
      <c r="O93" s="629"/>
      <c r="P93" s="630"/>
      <c r="Q93" s="631"/>
    </row>
    <row r="94" spans="1:17" ht="15" customHeight="1">
      <c r="A94" s="54"/>
      <c r="B94" s="363"/>
      <c r="C94" s="363"/>
      <c r="D94" s="363"/>
      <c r="E94" s="58"/>
      <c r="F94" s="58"/>
      <c r="G94" s="632"/>
      <c r="H94" s="633"/>
      <c r="I94" s="633"/>
      <c r="J94" s="633"/>
      <c r="K94" s="633"/>
      <c r="L94" s="634"/>
      <c r="M94" s="1257"/>
      <c r="N94" s="634"/>
      <c r="O94" s="634"/>
      <c r="P94" s="636"/>
      <c r="Q94" s="637"/>
    </row>
    <row r="95" spans="1:17" ht="15" customHeight="1">
      <c r="A95" s="54"/>
      <c r="B95" s="363"/>
      <c r="C95" s="363"/>
      <c r="D95" s="58"/>
      <c r="E95" s="58"/>
      <c r="F95" s="58"/>
      <c r="G95" s="1258"/>
      <c r="H95" s="1259"/>
      <c r="I95" s="1259"/>
      <c r="J95" s="1259"/>
      <c r="K95" s="1259"/>
      <c r="L95" s="628"/>
      <c r="M95" s="1256"/>
      <c r="N95" s="628"/>
      <c r="O95" s="628"/>
      <c r="P95" s="630"/>
      <c r="Q95" s="631"/>
    </row>
    <row r="96" spans="1:17" ht="15" customHeight="1">
      <c r="A96" s="109"/>
      <c r="B96" s="89"/>
      <c r="C96" s="89"/>
      <c r="D96" s="89"/>
      <c r="E96" s="276"/>
      <c r="F96" s="276"/>
      <c r="G96" s="632"/>
      <c r="H96" s="633"/>
      <c r="I96" s="633"/>
      <c r="J96" s="633"/>
      <c r="K96" s="633"/>
      <c r="L96" s="634"/>
      <c r="M96" s="1260"/>
      <c r="N96" s="634"/>
      <c r="O96" s="1261"/>
      <c r="P96" s="636"/>
      <c r="Q96" s="637"/>
    </row>
    <row r="97" spans="1:17" ht="24.95" hidden="1" customHeight="1">
      <c r="A97" s="367" t="s">
        <v>1020</v>
      </c>
      <c r="B97" s="1726" t="s">
        <v>1019</v>
      </c>
      <c r="C97" s="1726"/>
      <c r="D97" s="1726" t="s">
        <v>1024</v>
      </c>
      <c r="E97" s="1726"/>
      <c r="F97" s="419"/>
      <c r="G97" s="368"/>
      <c r="H97" s="369" t="s">
        <v>495</v>
      </c>
      <c r="I97" s="369"/>
      <c r="J97" s="369"/>
      <c r="K97" s="369"/>
      <c r="L97" s="370"/>
      <c r="M97" s="371"/>
      <c r="N97" s="372"/>
      <c r="O97" s="372"/>
      <c r="P97" s="372"/>
      <c r="Q97" s="373"/>
    </row>
    <row r="98" spans="1:17" ht="15" hidden="1" customHeight="1">
      <c r="A98" s="364"/>
      <c r="B98" s="365"/>
      <c r="C98" s="272"/>
      <c r="D98" s="365"/>
      <c r="E98" s="430"/>
      <c r="F98" s="430"/>
      <c r="G98" s="420"/>
      <c r="H98" s="464"/>
      <c r="I98" s="464" t="s">
        <v>496</v>
      </c>
      <c r="J98" s="464" t="s">
        <v>160</v>
      </c>
      <c r="K98" s="464" t="s">
        <v>498</v>
      </c>
      <c r="L98" s="465" t="s">
        <v>499</v>
      </c>
      <c r="M98" s="466" t="s">
        <v>500</v>
      </c>
      <c r="N98" s="465"/>
      <c r="O98" s="465"/>
      <c r="P98" s="424" t="s">
        <v>48</v>
      </c>
      <c r="Q98" s="425"/>
    </row>
    <row r="99" spans="1:17" ht="15" hidden="1" customHeight="1">
      <c r="A99" s="54"/>
      <c r="B99" s="363"/>
      <c r="C99" s="363"/>
      <c r="D99" s="363"/>
      <c r="E99" s="58"/>
      <c r="F99" s="58"/>
      <c r="G99" s="426" t="s">
        <v>502</v>
      </c>
      <c r="H99" s="427" t="s">
        <v>166</v>
      </c>
      <c r="I99" s="427"/>
      <c r="J99" s="428"/>
      <c r="K99" s="428"/>
      <c r="L99" s="56"/>
      <c r="M99" s="429"/>
      <c r="N99" s="430"/>
      <c r="O99" s="430"/>
      <c r="P99" s="431"/>
      <c r="Q99" s="432"/>
    </row>
    <row r="100" spans="1:17" ht="15" hidden="1" customHeight="1">
      <c r="A100" s="54"/>
      <c r="B100" s="363"/>
      <c r="C100" s="363"/>
      <c r="D100" s="363"/>
      <c r="E100" s="58"/>
      <c r="F100" s="58"/>
      <c r="G100" s="278" t="s">
        <v>503</v>
      </c>
      <c r="H100" s="279">
        <f>B102/1000</f>
        <v>1.58</v>
      </c>
      <c r="I100" s="279"/>
      <c r="J100" s="279"/>
      <c r="K100" s="59" t="s">
        <v>504</v>
      </c>
      <c r="L100" s="60">
        <f>B118/1000</f>
        <v>1.1000000000000001</v>
      </c>
      <c r="M100" s="280"/>
      <c r="N100" s="281" t="s">
        <v>464</v>
      </c>
      <c r="O100" s="61">
        <f>D110/1000</f>
        <v>0.8</v>
      </c>
      <c r="P100" s="62"/>
      <c r="Q100" s="63"/>
    </row>
    <row r="101" spans="1:17" ht="15" hidden="1" customHeight="1">
      <c r="A101" s="54"/>
      <c r="B101" s="57"/>
      <c r="C101" s="57"/>
      <c r="D101" s="363"/>
      <c r="E101" s="292"/>
      <c r="F101" s="292"/>
      <c r="G101" s="278" t="s">
        <v>465</v>
      </c>
      <c r="H101" s="279">
        <f>B102/1000</f>
        <v>1.58</v>
      </c>
      <c r="I101" s="279"/>
      <c r="J101" s="279"/>
      <c r="K101" s="59" t="s">
        <v>505</v>
      </c>
      <c r="L101" s="60">
        <f>B118/1000</f>
        <v>1.1000000000000001</v>
      </c>
      <c r="M101" s="280"/>
      <c r="N101" s="56"/>
      <c r="O101" s="58"/>
      <c r="P101" s="65"/>
      <c r="Q101" s="63"/>
    </row>
    <row r="102" spans="1:17" ht="15" hidden="1" customHeight="1">
      <c r="A102" s="54"/>
      <c r="B102" s="57">
        <f>B118+(0.3*D110)*2</f>
        <v>1580</v>
      </c>
      <c r="C102" s="57"/>
      <c r="D102" s="363"/>
      <c r="E102" s="292"/>
      <c r="F102" s="292"/>
      <c r="G102" s="282" t="s">
        <v>506</v>
      </c>
      <c r="H102" s="283"/>
      <c r="I102" s="283"/>
      <c r="J102" s="283"/>
      <c r="K102" s="283"/>
      <c r="L102" s="284"/>
      <c r="M102" s="283"/>
      <c r="N102" s="276"/>
      <c r="O102" s="276"/>
      <c r="P102" s="66">
        <f>ROUNDDOWN(O100/6*((2*H100+L100)*H101+(2*L100+H100)*L101),2)</f>
        <v>1.45</v>
      </c>
      <c r="Q102" s="67" t="s">
        <v>91</v>
      </c>
    </row>
    <row r="103" spans="1:17" ht="15" hidden="1" customHeight="1">
      <c r="A103" s="54"/>
      <c r="B103" s="57"/>
      <c r="C103" s="57"/>
      <c r="D103" s="363"/>
      <c r="E103" s="292"/>
      <c r="F103" s="292"/>
      <c r="G103" s="426" t="s">
        <v>507</v>
      </c>
      <c r="H103" s="467" t="s">
        <v>197</v>
      </c>
      <c r="I103" s="467"/>
      <c r="J103" s="437"/>
      <c r="K103" s="437"/>
      <c r="L103" s="437"/>
      <c r="M103" s="467"/>
      <c r="N103" s="427"/>
      <c r="O103" s="427"/>
      <c r="P103" s="431"/>
      <c r="Q103" s="436"/>
    </row>
    <row r="104" spans="1:17" ht="15" hidden="1" customHeight="1">
      <c r="A104" s="54"/>
      <c r="B104" s="57">
        <v>500</v>
      </c>
      <c r="C104" s="57"/>
      <c r="D104" s="58"/>
      <c r="E104" s="292"/>
      <c r="F104" s="292"/>
      <c r="G104" s="278" t="s">
        <v>503</v>
      </c>
      <c r="H104" s="279">
        <f>B115/1000</f>
        <v>0.9</v>
      </c>
      <c r="I104" s="279"/>
      <c r="J104" s="279"/>
      <c r="K104" s="59" t="s">
        <v>508</v>
      </c>
      <c r="L104" s="279">
        <f>B104/1000</f>
        <v>0.5</v>
      </c>
      <c r="M104" s="280"/>
      <c r="N104" s="281" t="s">
        <v>464</v>
      </c>
      <c r="O104" s="61">
        <f>O100</f>
        <v>0.8</v>
      </c>
      <c r="P104" s="68"/>
      <c r="Q104" s="69"/>
    </row>
    <row r="105" spans="1:17" ht="15" hidden="1" customHeight="1">
      <c r="A105" s="54"/>
      <c r="B105" s="57"/>
      <c r="C105" s="57"/>
      <c r="D105" s="58"/>
      <c r="E105" s="292"/>
      <c r="F105" s="292"/>
      <c r="G105" s="278" t="s">
        <v>38</v>
      </c>
      <c r="H105" s="279">
        <f>B115/1000</f>
        <v>0.9</v>
      </c>
      <c r="I105" s="279"/>
      <c r="J105" s="279"/>
      <c r="K105" s="59" t="s">
        <v>84</v>
      </c>
      <c r="L105" s="279">
        <f>B104/1000</f>
        <v>0.5</v>
      </c>
      <c r="M105" s="280"/>
      <c r="N105" s="281"/>
      <c r="O105" s="61"/>
      <c r="P105" s="68"/>
      <c r="Q105" s="69"/>
    </row>
    <row r="106" spans="1:17" ht="15" hidden="1" customHeight="1">
      <c r="A106" s="54"/>
      <c r="B106" s="363"/>
      <c r="C106" s="363"/>
      <c r="D106" s="58"/>
      <c r="E106" s="292"/>
      <c r="F106" s="292"/>
      <c r="G106" s="278" t="s">
        <v>177</v>
      </c>
      <c r="H106" s="279"/>
      <c r="I106" s="279"/>
      <c r="J106" s="279"/>
      <c r="K106" s="285"/>
      <c r="L106" s="279"/>
      <c r="M106" s="280"/>
      <c r="N106" s="281"/>
      <c r="O106" s="61"/>
      <c r="P106" s="68">
        <f>ROUNDDOWN(O104/6*((2*H104+L104)*H105+(2*L104+H104)*L105),2)</f>
        <v>0.4</v>
      </c>
      <c r="Q106" s="69" t="s">
        <v>91</v>
      </c>
    </row>
    <row r="107" spans="1:17" ht="15" hidden="1" customHeight="1">
      <c r="A107" s="54"/>
      <c r="B107" s="363"/>
      <c r="C107" s="363"/>
      <c r="D107" s="58"/>
      <c r="E107" s="292"/>
      <c r="F107" s="292"/>
      <c r="G107" s="111" t="s">
        <v>975</v>
      </c>
      <c r="H107" s="279"/>
      <c r="I107" s="279" t="s">
        <v>179</v>
      </c>
      <c r="J107" s="279" t="s">
        <v>180</v>
      </c>
      <c r="K107" s="285" t="s">
        <v>181</v>
      </c>
      <c r="L107" s="279"/>
      <c r="M107" s="280"/>
      <c r="N107" s="281"/>
      <c r="O107" s="61"/>
      <c r="P107" s="68"/>
      <c r="Q107" s="69"/>
    </row>
    <row r="108" spans="1:17" ht="15" hidden="1" customHeight="1">
      <c r="A108" s="54"/>
      <c r="B108" s="363"/>
      <c r="C108" s="363"/>
      <c r="D108" s="58"/>
      <c r="E108" s="292"/>
      <c r="F108" s="292"/>
      <c r="G108" s="282"/>
      <c r="H108" s="283"/>
      <c r="I108" s="283"/>
      <c r="J108" s="283"/>
      <c r="K108" s="283"/>
      <c r="L108" s="284" t="s">
        <v>198</v>
      </c>
      <c r="M108" s="283" t="s">
        <v>524</v>
      </c>
      <c r="N108" s="286"/>
      <c r="O108" s="70"/>
      <c r="P108" s="66">
        <f>P102-P110</f>
        <v>1.0499999999999998</v>
      </c>
      <c r="Q108" s="67" t="s">
        <v>91</v>
      </c>
    </row>
    <row r="109" spans="1:17" ht="15" hidden="1" customHeight="1">
      <c r="A109" s="54"/>
      <c r="B109" s="363"/>
      <c r="C109" s="363"/>
      <c r="D109" s="58"/>
      <c r="E109" s="56"/>
      <c r="F109" s="56"/>
      <c r="G109" s="426" t="s">
        <v>1003</v>
      </c>
      <c r="H109" s="437"/>
      <c r="I109" s="438" t="s">
        <v>509</v>
      </c>
      <c r="J109" s="438" t="s">
        <v>510</v>
      </c>
      <c r="K109" s="439"/>
      <c r="L109" s="72"/>
      <c r="M109" s="438"/>
      <c r="N109" s="440"/>
      <c r="O109" s="440"/>
      <c r="P109" s="441"/>
      <c r="Q109" s="436"/>
    </row>
    <row r="110" spans="1:17" ht="15" hidden="1" customHeight="1">
      <c r="A110" s="54" t="s">
        <v>201</v>
      </c>
      <c r="B110" s="363"/>
      <c r="C110" s="363"/>
      <c r="D110" s="58">
        <v>800</v>
      </c>
      <c r="E110" s="292"/>
      <c r="F110" s="292"/>
      <c r="G110" s="73"/>
      <c r="H110" s="74"/>
      <c r="I110" s="74"/>
      <c r="J110" s="74"/>
      <c r="K110" s="74"/>
      <c r="L110" s="75"/>
      <c r="M110" s="76"/>
      <c r="N110" s="77"/>
      <c r="O110" s="78"/>
      <c r="P110" s="79">
        <f>P106</f>
        <v>0.4</v>
      </c>
      <c r="Q110" s="67" t="s">
        <v>91</v>
      </c>
    </row>
    <row r="111" spans="1:17" ht="15" hidden="1" customHeight="1">
      <c r="A111" s="54"/>
      <c r="B111" s="294"/>
      <c r="C111" s="294"/>
      <c r="D111" s="58"/>
      <c r="E111" s="292"/>
      <c r="F111" s="292"/>
      <c r="G111" s="468" t="s">
        <v>186</v>
      </c>
      <c r="H111" s="469"/>
      <c r="I111" s="469"/>
      <c r="J111" s="470"/>
      <c r="K111" s="471"/>
      <c r="L111" s="469"/>
      <c r="M111" s="469"/>
      <c r="N111" s="472"/>
      <c r="O111" s="473"/>
      <c r="P111" s="474"/>
      <c r="Q111" s="475"/>
    </row>
    <row r="112" spans="1:17" ht="15" hidden="1" customHeight="1">
      <c r="A112" s="80"/>
      <c r="B112" s="363"/>
      <c r="C112" s="363"/>
      <c r="D112" s="58"/>
      <c r="E112" s="288"/>
      <c r="F112" s="288"/>
      <c r="G112" s="112" t="s">
        <v>187</v>
      </c>
      <c r="H112" s="113">
        <f>B104/1000</f>
        <v>0.5</v>
      </c>
      <c r="I112" s="114" t="s">
        <v>512</v>
      </c>
      <c r="J112" s="113">
        <f>B115/1000</f>
        <v>0.9</v>
      </c>
      <c r="K112" s="113" t="s">
        <v>189</v>
      </c>
      <c r="L112" s="115" t="s">
        <v>190</v>
      </c>
      <c r="M112" s="115">
        <f>D110/1000</f>
        <v>0.8</v>
      </c>
      <c r="N112" s="115" t="s">
        <v>191</v>
      </c>
      <c r="O112" s="116">
        <v>4</v>
      </c>
      <c r="P112" s="117">
        <f>((0.6+1)/2)*1*4</f>
        <v>3.2</v>
      </c>
      <c r="Q112" s="118" t="s">
        <v>192</v>
      </c>
    </row>
    <row r="113" spans="1:17" ht="15" hidden="1" customHeight="1">
      <c r="A113" s="54"/>
      <c r="B113" s="363"/>
      <c r="C113" s="363"/>
      <c r="D113" s="285"/>
      <c r="E113" s="292"/>
      <c r="F113" s="292"/>
      <c r="G113" s="476"/>
      <c r="H113" s="469"/>
      <c r="I113" s="469"/>
      <c r="J113" s="469"/>
      <c r="K113" s="469"/>
      <c r="L113" s="477"/>
      <c r="M113" s="478"/>
      <c r="N113" s="473"/>
      <c r="O113" s="479"/>
      <c r="P113" s="474"/>
      <c r="Q113" s="475"/>
    </row>
    <row r="114" spans="1:17" ht="15" hidden="1" customHeight="1">
      <c r="A114" s="54"/>
      <c r="B114" s="363"/>
      <c r="C114" s="363"/>
      <c r="D114" s="58"/>
      <c r="E114" s="292"/>
      <c r="F114" s="292"/>
      <c r="G114" s="119"/>
      <c r="H114" s="120"/>
      <c r="I114" s="121"/>
      <c r="J114" s="122"/>
      <c r="K114" s="123"/>
      <c r="L114" s="124"/>
      <c r="M114" s="125"/>
      <c r="N114" s="126"/>
      <c r="O114" s="127"/>
      <c r="P114" s="128"/>
      <c r="Q114" s="129"/>
    </row>
    <row r="115" spans="1:17" ht="15" hidden="1" customHeight="1">
      <c r="A115" s="54"/>
      <c r="B115" s="1739">
        <v>900</v>
      </c>
      <c r="C115" s="1739"/>
      <c r="D115" s="58"/>
      <c r="E115" s="292"/>
      <c r="F115" s="292"/>
      <c r="G115" s="480"/>
      <c r="H115" s="481"/>
      <c r="I115" s="481"/>
      <c r="J115" s="481"/>
      <c r="K115" s="481"/>
      <c r="L115" s="482"/>
      <c r="M115" s="478"/>
      <c r="N115" s="473"/>
      <c r="O115" s="473"/>
      <c r="P115" s="483"/>
      <c r="Q115" s="484"/>
    </row>
    <row r="116" spans="1:17" ht="15" hidden="1" customHeight="1">
      <c r="A116" s="54"/>
      <c r="B116" s="290">
        <v>100</v>
      </c>
      <c r="C116" s="291">
        <v>100</v>
      </c>
      <c r="D116" s="287"/>
      <c r="E116" s="292"/>
      <c r="F116" s="292"/>
      <c r="G116" s="130"/>
      <c r="H116" s="126"/>
      <c r="I116" s="125"/>
      <c r="J116" s="131"/>
      <c r="K116" s="132"/>
      <c r="L116" s="133"/>
      <c r="M116" s="181"/>
      <c r="N116" s="127"/>
      <c r="O116" s="127"/>
      <c r="P116" s="117"/>
      <c r="Q116" s="134"/>
    </row>
    <row r="117" spans="1:17" ht="15" hidden="1" customHeight="1">
      <c r="A117" s="54"/>
      <c r="B117" s="363"/>
      <c r="C117" s="363"/>
      <c r="D117" s="58"/>
      <c r="E117" s="292"/>
      <c r="F117" s="292"/>
      <c r="G117" s="480" t="s">
        <v>193</v>
      </c>
      <c r="H117" s="481"/>
      <c r="I117" s="481" t="s">
        <v>3</v>
      </c>
      <c r="J117" s="481"/>
      <c r="K117" s="481"/>
      <c r="L117" s="485"/>
      <c r="M117" s="486"/>
      <c r="N117" s="485"/>
      <c r="O117" s="487"/>
      <c r="P117" s="474"/>
      <c r="Q117" s="475"/>
    </row>
    <row r="118" spans="1:17" ht="15" hidden="1" customHeight="1">
      <c r="A118" s="96"/>
      <c r="B118" s="1739">
        <f>B115+B116+C116</f>
        <v>1100</v>
      </c>
      <c r="C118" s="1739"/>
      <c r="D118" s="58"/>
      <c r="E118" s="292"/>
      <c r="F118" s="292"/>
      <c r="G118" s="135"/>
      <c r="H118" s="136"/>
      <c r="I118" s="136"/>
      <c r="J118" s="136"/>
      <c r="K118" s="136"/>
      <c r="L118" s="137"/>
      <c r="M118" s="182"/>
      <c r="N118" s="137"/>
      <c r="O118" s="137"/>
      <c r="P118" s="138">
        <v>4</v>
      </c>
      <c r="Q118" s="139" t="s">
        <v>195</v>
      </c>
    </row>
    <row r="119" spans="1:17" ht="15" hidden="1" customHeight="1">
      <c r="A119" s="54"/>
      <c r="B119" s="57"/>
      <c r="C119" s="363"/>
      <c r="D119" s="58"/>
      <c r="E119" s="292"/>
      <c r="F119" s="292"/>
      <c r="G119" s="480" t="s">
        <v>513</v>
      </c>
      <c r="H119" s="140"/>
      <c r="I119" s="140"/>
      <c r="J119" s="140"/>
      <c r="K119" s="140"/>
      <c r="L119" s="141"/>
      <c r="M119" s="183"/>
      <c r="N119" s="142"/>
      <c r="O119" s="142"/>
      <c r="P119" s="488"/>
      <c r="Q119" s="489"/>
    </row>
    <row r="120" spans="1:17" ht="15" hidden="1" customHeight="1">
      <c r="A120" s="54"/>
      <c r="B120" s="57"/>
      <c r="C120" s="57"/>
      <c r="D120" s="58"/>
      <c r="E120" s="292"/>
      <c r="F120" s="292"/>
      <c r="G120" s="143"/>
      <c r="H120" s="144"/>
      <c r="I120" s="144"/>
      <c r="J120" s="144"/>
      <c r="K120" s="144"/>
      <c r="L120" s="145">
        <v>3</v>
      </c>
      <c r="M120" s="184"/>
      <c r="N120" s="137"/>
      <c r="O120" s="116"/>
      <c r="P120" s="146">
        <f>ROUNDDOWN(dhTextEvaluate(L120),2)</f>
        <v>3</v>
      </c>
      <c r="Q120" s="139" t="s">
        <v>491</v>
      </c>
    </row>
    <row r="121" spans="1:17" ht="15" hidden="1" customHeight="1">
      <c r="A121" s="54"/>
      <c r="B121" s="290"/>
      <c r="C121" s="291"/>
      <c r="D121" s="95"/>
      <c r="E121" s="292"/>
      <c r="F121" s="292"/>
      <c r="G121" s="468" t="s">
        <v>514</v>
      </c>
      <c r="H121" s="140"/>
      <c r="I121" s="490"/>
      <c r="J121" s="490"/>
      <c r="K121" s="490"/>
      <c r="L121" s="487"/>
      <c r="M121" s="477"/>
      <c r="N121" s="473"/>
      <c r="O121" s="473"/>
      <c r="P121" s="474"/>
      <c r="Q121" s="491"/>
    </row>
    <row r="122" spans="1:17" ht="15" hidden="1" customHeight="1">
      <c r="A122" s="54"/>
      <c r="B122" s="57"/>
      <c r="C122" s="57"/>
      <c r="D122" s="95"/>
      <c r="E122" s="58"/>
      <c r="F122" s="58"/>
      <c r="G122" s="112"/>
      <c r="H122" s="147"/>
      <c r="I122" s="147"/>
      <c r="J122" s="147"/>
      <c r="K122" s="147"/>
      <c r="L122" s="116">
        <v>3</v>
      </c>
      <c r="M122" s="182"/>
      <c r="N122" s="116"/>
      <c r="O122" s="116"/>
      <c r="P122" s="148">
        <f>L122</f>
        <v>3</v>
      </c>
      <c r="Q122" s="149" t="s">
        <v>491</v>
      </c>
    </row>
    <row r="123" spans="1:17" ht="15" hidden="1" customHeight="1">
      <c r="A123" s="54"/>
      <c r="B123" s="57"/>
      <c r="C123" s="57"/>
      <c r="D123" s="95"/>
      <c r="E123" s="58"/>
      <c r="F123" s="58"/>
      <c r="G123" s="468" t="s">
        <v>361</v>
      </c>
      <c r="H123" s="472"/>
      <c r="I123" s="472"/>
      <c r="J123" s="472"/>
      <c r="K123" s="472"/>
      <c r="L123" s="473"/>
      <c r="M123" s="492"/>
      <c r="N123" s="473"/>
      <c r="O123" s="473"/>
      <c r="P123" s="493"/>
      <c r="Q123" s="494"/>
    </row>
    <row r="124" spans="1:17" ht="15" hidden="1" customHeight="1">
      <c r="A124" s="54"/>
      <c r="B124" s="57"/>
      <c r="C124" s="57"/>
      <c r="D124" s="95"/>
      <c r="E124" s="58"/>
      <c r="F124" s="58"/>
      <c r="G124" s="150"/>
      <c r="H124" s="151"/>
      <c r="I124" s="151"/>
      <c r="J124" s="151"/>
      <c r="K124" s="151"/>
      <c r="L124" s="116">
        <v>1</v>
      </c>
      <c r="M124" s="185"/>
      <c r="N124" s="152"/>
      <c r="O124" s="152"/>
      <c r="P124" s="148">
        <f>ROUNDDOWN(dhTextEvaluate(L124),2)</f>
        <v>1</v>
      </c>
      <c r="Q124" s="149" t="s">
        <v>154</v>
      </c>
    </row>
    <row r="125" spans="1:17" ht="15" hidden="1" customHeight="1">
      <c r="A125" s="54"/>
      <c r="B125" s="57"/>
      <c r="C125" s="57"/>
      <c r="D125" s="58"/>
      <c r="E125" s="58"/>
      <c r="F125" s="58"/>
      <c r="G125" s="495"/>
      <c r="H125" s="496"/>
      <c r="I125" s="496"/>
      <c r="J125" s="496"/>
      <c r="K125" s="496"/>
      <c r="L125" s="497"/>
      <c r="M125" s="498"/>
      <c r="N125" s="499"/>
      <c r="O125" s="499"/>
      <c r="P125" s="500"/>
      <c r="Q125" s="501"/>
    </row>
    <row r="126" spans="1:17" ht="15" hidden="1" customHeight="1">
      <c r="A126" s="54"/>
      <c r="B126" s="363"/>
      <c r="C126" s="363"/>
      <c r="D126" s="363"/>
      <c r="E126" s="58"/>
      <c r="F126" s="58"/>
      <c r="G126" s="153"/>
      <c r="H126" s="154"/>
      <c r="I126" s="154"/>
      <c r="J126" s="154"/>
      <c r="K126" s="154"/>
      <c r="L126" s="155"/>
      <c r="M126" s="186"/>
      <c r="N126" s="155"/>
      <c r="O126" s="155"/>
      <c r="P126" s="156"/>
      <c r="Q126" s="157"/>
    </row>
    <row r="127" spans="1:17" ht="15" hidden="1" customHeight="1">
      <c r="A127" s="54"/>
      <c r="B127" s="363"/>
      <c r="C127" s="363"/>
      <c r="D127" s="58"/>
      <c r="E127" s="58"/>
      <c r="F127" s="58"/>
      <c r="G127" s="426"/>
      <c r="H127" s="462"/>
      <c r="I127" s="462"/>
      <c r="J127" s="462"/>
      <c r="K127" s="462"/>
      <c r="L127" s="430"/>
      <c r="M127" s="429"/>
      <c r="N127" s="430"/>
      <c r="O127" s="430"/>
      <c r="P127" s="431"/>
      <c r="Q127" s="432"/>
    </row>
    <row r="128" spans="1:17" ht="15" hidden="1" customHeight="1">
      <c r="A128" s="109"/>
      <c r="B128" s="89"/>
      <c r="C128" s="89"/>
      <c r="D128" s="89"/>
      <c r="E128" s="276"/>
      <c r="F128" s="276"/>
      <c r="G128" s="289"/>
      <c r="H128" s="275"/>
      <c r="I128" s="275"/>
      <c r="J128" s="275"/>
      <c r="K128" s="275"/>
      <c r="L128" s="276"/>
      <c r="M128" s="283"/>
      <c r="N128" s="276"/>
      <c r="O128" s="110"/>
      <c r="P128" s="293"/>
      <c r="Q128" s="277"/>
    </row>
    <row r="129" spans="1:17" ht="24.95" hidden="1" customHeight="1">
      <c r="A129" s="367" t="s">
        <v>1021</v>
      </c>
      <c r="B129" s="1726" t="s">
        <v>450</v>
      </c>
      <c r="C129" s="1726"/>
      <c r="D129" s="1727" t="s">
        <v>1025</v>
      </c>
      <c r="E129" s="1727"/>
      <c r="F129" s="1728"/>
      <c r="G129" s="1727"/>
      <c r="H129" s="369" t="s">
        <v>154</v>
      </c>
      <c r="I129" s="369"/>
      <c r="J129" s="369"/>
      <c r="K129" s="369"/>
      <c r="L129" s="370"/>
      <c r="M129" s="372"/>
      <c r="N129" s="372"/>
      <c r="O129" s="372"/>
      <c r="P129" s="372"/>
      <c r="Q129" s="373"/>
    </row>
    <row r="130" spans="1:17" ht="15" hidden="1" customHeight="1">
      <c r="A130" s="54"/>
      <c r="B130" s="363"/>
      <c r="C130" s="365"/>
      <c r="D130" s="363"/>
      <c r="E130" s="58"/>
      <c r="F130" s="451"/>
      <c r="G130" s="420"/>
      <c r="H130" s="464"/>
      <c r="I130" s="464" t="s">
        <v>159</v>
      </c>
      <c r="J130" s="464" t="s">
        <v>160</v>
      </c>
      <c r="K130" s="464" t="s">
        <v>161</v>
      </c>
      <c r="L130" s="465" t="s">
        <v>162</v>
      </c>
      <c r="M130" s="465" t="s">
        <v>163</v>
      </c>
      <c r="N130" s="465"/>
      <c r="O130" s="465"/>
      <c r="P130" s="424" t="s">
        <v>48</v>
      </c>
      <c r="Q130" s="425"/>
    </row>
    <row r="131" spans="1:17" ht="15" hidden="1" customHeight="1">
      <c r="A131" s="54"/>
      <c r="B131" s="363"/>
      <c r="C131" s="363"/>
      <c r="D131" s="363"/>
      <c r="E131" s="58"/>
      <c r="F131" s="55"/>
      <c r="G131" s="426" t="s">
        <v>165</v>
      </c>
      <c r="H131" s="427" t="s">
        <v>166</v>
      </c>
      <c r="I131" s="427"/>
      <c r="J131" s="428"/>
      <c r="K131" s="428"/>
      <c r="L131" s="56"/>
      <c r="M131" s="430"/>
      <c r="N131" s="430"/>
      <c r="O131" s="430"/>
      <c r="P131" s="431"/>
      <c r="Q131" s="432"/>
    </row>
    <row r="132" spans="1:17" ht="15" hidden="1" customHeight="1">
      <c r="A132" s="54"/>
      <c r="B132" s="57"/>
      <c r="C132" s="57"/>
      <c r="D132" s="58"/>
      <c r="E132" s="58"/>
      <c r="F132" s="55"/>
      <c r="G132" s="278" t="s">
        <v>167</v>
      </c>
      <c r="H132" s="279">
        <f>B134/1000</f>
        <v>1.47</v>
      </c>
      <c r="I132" s="279"/>
      <c r="J132" s="279"/>
      <c r="K132" s="59" t="s">
        <v>940</v>
      </c>
      <c r="L132" s="60">
        <f>B150/1000</f>
        <v>1.05</v>
      </c>
      <c r="M132" s="280"/>
      <c r="N132" s="281" t="s">
        <v>169</v>
      </c>
      <c r="O132" s="61">
        <f>D142/1000</f>
        <v>0.7</v>
      </c>
      <c r="P132" s="62"/>
      <c r="Q132" s="63"/>
    </row>
    <row r="133" spans="1:17" ht="15" hidden="1" customHeight="1">
      <c r="A133" s="54"/>
      <c r="B133" s="57"/>
      <c r="C133" s="57"/>
      <c r="D133" s="58"/>
      <c r="E133" s="292"/>
      <c r="F133" s="64"/>
      <c r="G133" s="278" t="s">
        <v>38</v>
      </c>
      <c r="H133" s="279">
        <f>B134/1000</f>
        <v>1.47</v>
      </c>
      <c r="I133" s="279"/>
      <c r="J133" s="279"/>
      <c r="K133" s="59" t="s">
        <v>171</v>
      </c>
      <c r="L133" s="60">
        <f>B150/1000</f>
        <v>1.05</v>
      </c>
      <c r="M133" s="280"/>
      <c r="N133" s="56"/>
      <c r="O133" s="58"/>
      <c r="P133" s="65"/>
      <c r="Q133" s="63"/>
    </row>
    <row r="134" spans="1:17" ht="15" hidden="1" customHeight="1">
      <c r="A134" s="54"/>
      <c r="B134" s="57">
        <f>B150+(0.3*D142)*2</f>
        <v>1470</v>
      </c>
      <c r="C134" s="57"/>
      <c r="D134" s="58"/>
      <c r="E134" s="292"/>
      <c r="F134" s="64"/>
      <c r="G134" s="282" t="s">
        <v>172</v>
      </c>
      <c r="H134" s="283"/>
      <c r="I134" s="283"/>
      <c r="J134" s="283"/>
      <c r="K134" s="283"/>
      <c r="L134" s="284"/>
      <c r="M134" s="283"/>
      <c r="N134" s="276"/>
      <c r="O134" s="276"/>
      <c r="P134" s="66">
        <f>ROUNDDOWN(O132/6*((2*H132+L132)*H133+(2*L132+H132)*L133),2)</f>
        <v>1.1200000000000001</v>
      </c>
      <c r="Q134" s="67" t="s">
        <v>91</v>
      </c>
    </row>
    <row r="135" spans="1:17" ht="15" hidden="1" customHeight="1">
      <c r="A135" s="54"/>
      <c r="B135" s="57"/>
      <c r="C135" s="57"/>
      <c r="D135" s="58"/>
      <c r="E135" s="292"/>
      <c r="F135" s="64"/>
      <c r="G135" s="426" t="s">
        <v>173</v>
      </c>
      <c r="H135" s="467" t="s">
        <v>197</v>
      </c>
      <c r="I135" s="467"/>
      <c r="J135" s="437"/>
      <c r="K135" s="437"/>
      <c r="L135" s="437"/>
      <c r="M135" s="467"/>
      <c r="N135" s="427"/>
      <c r="O135" s="427"/>
      <c r="P135" s="431"/>
      <c r="Q135" s="436"/>
    </row>
    <row r="136" spans="1:17" ht="15" hidden="1" customHeight="1">
      <c r="A136" s="54"/>
      <c r="B136" s="57">
        <v>500</v>
      </c>
      <c r="C136" s="57"/>
      <c r="D136" s="58"/>
      <c r="E136" s="292"/>
      <c r="F136" s="64"/>
      <c r="G136" s="278" t="s">
        <v>167</v>
      </c>
      <c r="H136" s="279">
        <f>B147/1000</f>
        <v>0.85</v>
      </c>
      <c r="I136" s="279"/>
      <c r="J136" s="279"/>
      <c r="K136" s="59" t="s">
        <v>508</v>
      </c>
      <c r="L136" s="279">
        <f>B136/1000</f>
        <v>0.5</v>
      </c>
      <c r="M136" s="280"/>
      <c r="N136" s="281" t="s">
        <v>169</v>
      </c>
      <c r="O136" s="61">
        <f>O132</f>
        <v>0.7</v>
      </c>
      <c r="P136" s="68"/>
      <c r="Q136" s="69"/>
    </row>
    <row r="137" spans="1:17" ht="15" hidden="1" customHeight="1">
      <c r="A137" s="54"/>
      <c r="B137" s="363"/>
      <c r="C137" s="363"/>
      <c r="D137" s="58"/>
      <c r="E137" s="292"/>
      <c r="F137" s="64"/>
      <c r="G137" s="278" t="s">
        <v>38</v>
      </c>
      <c r="H137" s="279">
        <f>B147/1000</f>
        <v>0.85</v>
      </c>
      <c r="I137" s="279"/>
      <c r="J137" s="279"/>
      <c r="K137" s="59" t="s">
        <v>84</v>
      </c>
      <c r="L137" s="279">
        <f>B136/1000</f>
        <v>0.5</v>
      </c>
      <c r="M137" s="280"/>
      <c r="N137" s="281"/>
      <c r="O137" s="61"/>
      <c r="P137" s="68"/>
      <c r="Q137" s="69"/>
    </row>
    <row r="138" spans="1:17" ht="15" hidden="1" customHeight="1">
      <c r="A138" s="54"/>
      <c r="B138" s="363"/>
      <c r="C138" s="363"/>
      <c r="D138" s="58"/>
      <c r="E138" s="292"/>
      <c r="F138" s="64"/>
      <c r="G138" s="278" t="s">
        <v>177</v>
      </c>
      <c r="H138" s="279"/>
      <c r="I138" s="279"/>
      <c r="J138" s="279"/>
      <c r="K138" s="285"/>
      <c r="L138" s="279"/>
      <c r="M138" s="280"/>
      <c r="N138" s="281"/>
      <c r="O138" s="61"/>
      <c r="P138" s="68">
        <f>ROUNDDOWN(O136/6*((2*H136+L136)*H137+(2*L136+H136)*L137),2)</f>
        <v>0.32</v>
      </c>
      <c r="Q138" s="69" t="s">
        <v>91</v>
      </c>
    </row>
    <row r="139" spans="1:17" ht="15" hidden="1" customHeight="1">
      <c r="A139" s="54"/>
      <c r="B139" s="363"/>
      <c r="C139" s="363"/>
      <c r="D139" s="58"/>
      <c r="E139" s="292"/>
      <c r="F139" s="64"/>
      <c r="G139" s="111" t="s">
        <v>1004</v>
      </c>
      <c r="H139" s="279"/>
      <c r="I139" s="279" t="s">
        <v>941</v>
      </c>
      <c r="J139" s="279" t="s">
        <v>942</v>
      </c>
      <c r="K139" s="285" t="s">
        <v>943</v>
      </c>
      <c r="L139" s="279"/>
      <c r="M139" s="280"/>
      <c r="N139" s="281"/>
      <c r="O139" s="61"/>
      <c r="P139" s="68"/>
      <c r="Q139" s="69"/>
    </row>
    <row r="140" spans="1:17" ht="15" hidden="1" customHeight="1">
      <c r="A140" s="54"/>
      <c r="B140" s="363"/>
      <c r="C140" s="363"/>
      <c r="D140" s="285"/>
      <c r="E140" s="292"/>
      <c r="F140" s="64"/>
      <c r="G140" s="282"/>
      <c r="H140" s="283"/>
      <c r="I140" s="283"/>
      <c r="J140" s="283"/>
      <c r="K140" s="283"/>
      <c r="L140" s="284" t="s">
        <v>944</v>
      </c>
      <c r="M140" s="283" t="s">
        <v>945</v>
      </c>
      <c r="N140" s="286"/>
      <c r="O140" s="70"/>
      <c r="P140" s="66">
        <f>P134-P138</f>
        <v>0.8</v>
      </c>
      <c r="Q140" s="67" t="s">
        <v>91</v>
      </c>
    </row>
    <row r="141" spans="1:17" ht="15" hidden="1" customHeight="1">
      <c r="A141" s="54"/>
      <c r="B141" s="363"/>
      <c r="C141" s="363"/>
      <c r="D141" s="58"/>
      <c r="E141" s="56"/>
      <c r="F141" s="71"/>
      <c r="G141" s="426" t="s">
        <v>1005</v>
      </c>
      <c r="H141" s="437"/>
      <c r="I141" s="438" t="s">
        <v>946</v>
      </c>
      <c r="J141" s="438" t="s">
        <v>947</v>
      </c>
      <c r="K141" s="439"/>
      <c r="L141" s="72"/>
      <c r="M141" s="438"/>
      <c r="N141" s="440"/>
      <c r="O141" s="440"/>
      <c r="P141" s="441"/>
      <c r="Q141" s="436"/>
    </row>
    <row r="142" spans="1:17" ht="15" hidden="1" customHeight="1">
      <c r="A142" s="54" t="s">
        <v>948</v>
      </c>
      <c r="B142" s="1729"/>
      <c r="C142" s="1729"/>
      <c r="D142" s="58">
        <v>700</v>
      </c>
      <c r="E142" s="292"/>
      <c r="F142" s="64"/>
      <c r="G142" s="73"/>
      <c r="H142" s="74"/>
      <c r="I142" s="74"/>
      <c r="J142" s="74"/>
      <c r="K142" s="74"/>
      <c r="L142" s="75"/>
      <c r="M142" s="76"/>
      <c r="N142" s="77"/>
      <c r="O142" s="78"/>
      <c r="P142" s="79">
        <f>P138</f>
        <v>0.32</v>
      </c>
      <c r="Q142" s="67" t="s">
        <v>91</v>
      </c>
    </row>
    <row r="143" spans="1:17" ht="15" hidden="1" customHeight="1">
      <c r="A143" s="54"/>
      <c r="B143" s="363"/>
      <c r="C143" s="363"/>
      <c r="D143" s="58"/>
      <c r="E143" s="292"/>
      <c r="F143" s="64"/>
      <c r="G143" s="468" t="s">
        <v>949</v>
      </c>
      <c r="H143" s="469"/>
      <c r="I143" s="469"/>
      <c r="J143" s="470"/>
      <c r="K143" s="471"/>
      <c r="L143" s="469"/>
      <c r="M143" s="469"/>
      <c r="N143" s="472"/>
      <c r="O143" s="473"/>
      <c r="P143" s="474"/>
      <c r="Q143" s="475"/>
    </row>
    <row r="144" spans="1:17" ht="15" hidden="1" customHeight="1">
      <c r="A144" s="80"/>
      <c r="B144" s="363"/>
      <c r="C144" s="363"/>
      <c r="D144" s="287"/>
      <c r="E144" s="288"/>
      <c r="F144" s="463"/>
      <c r="G144" s="112" t="s">
        <v>950</v>
      </c>
      <c r="H144" s="113">
        <f>B136/1000</f>
        <v>0.5</v>
      </c>
      <c r="I144" s="114" t="s">
        <v>951</v>
      </c>
      <c r="J144" s="113">
        <f>B147/1000</f>
        <v>0.85</v>
      </c>
      <c r="K144" s="113" t="s">
        <v>952</v>
      </c>
      <c r="L144" s="115" t="s">
        <v>953</v>
      </c>
      <c r="M144" s="115">
        <f>D142/1000</f>
        <v>0.7</v>
      </c>
      <c r="N144" s="115" t="s">
        <v>954</v>
      </c>
      <c r="O144" s="116">
        <v>4</v>
      </c>
      <c r="P144" s="117">
        <f>((0.6+1)/2)*1*4</f>
        <v>3.2</v>
      </c>
      <c r="Q144" s="118" t="s">
        <v>955</v>
      </c>
    </row>
    <row r="145" spans="1:17" ht="15" hidden="1" customHeight="1">
      <c r="A145" s="54"/>
      <c r="B145" s="363"/>
      <c r="C145" s="363"/>
      <c r="D145" s="58"/>
      <c r="E145" s="292"/>
      <c r="F145" s="64"/>
      <c r="G145" s="476"/>
      <c r="H145" s="469"/>
      <c r="I145" s="469"/>
      <c r="J145" s="469"/>
      <c r="K145" s="469"/>
      <c r="L145" s="477"/>
      <c r="M145" s="478"/>
      <c r="N145" s="473"/>
      <c r="O145" s="479"/>
      <c r="P145" s="474"/>
      <c r="Q145" s="475"/>
    </row>
    <row r="146" spans="1:17" ht="15" hidden="1" customHeight="1">
      <c r="A146" s="54"/>
      <c r="B146" s="363"/>
      <c r="C146" s="363"/>
      <c r="D146" s="58"/>
      <c r="E146" s="292"/>
      <c r="F146" s="64"/>
      <c r="G146" s="119"/>
      <c r="H146" s="120"/>
      <c r="I146" s="121"/>
      <c r="J146" s="122"/>
      <c r="K146" s="123"/>
      <c r="L146" s="124"/>
      <c r="M146" s="125"/>
      <c r="N146" s="126"/>
      <c r="O146" s="127"/>
      <c r="P146" s="128"/>
      <c r="Q146" s="129"/>
    </row>
    <row r="147" spans="1:17" ht="15" hidden="1" customHeight="1">
      <c r="A147" s="54"/>
      <c r="B147" s="291">
        <v>850</v>
      </c>
      <c r="C147" s="363"/>
      <c r="D147" s="58"/>
      <c r="E147" s="292"/>
      <c r="F147" s="64"/>
      <c r="G147" s="480"/>
      <c r="H147" s="481"/>
      <c r="I147" s="481"/>
      <c r="J147" s="481"/>
      <c r="K147" s="481"/>
      <c r="L147" s="482"/>
      <c r="M147" s="473"/>
      <c r="N147" s="473"/>
      <c r="O147" s="473"/>
      <c r="P147" s="483"/>
      <c r="Q147" s="484"/>
    </row>
    <row r="148" spans="1:17" ht="15" hidden="1" customHeight="1">
      <c r="A148" s="54"/>
      <c r="B148" s="363">
        <v>100</v>
      </c>
      <c r="C148" s="363">
        <v>100</v>
      </c>
      <c r="D148" s="58"/>
      <c r="E148" s="292"/>
      <c r="F148" s="64"/>
      <c r="G148" s="130"/>
      <c r="H148" s="126"/>
      <c r="I148" s="125"/>
      <c r="J148" s="131"/>
      <c r="K148" s="132"/>
      <c r="L148" s="133"/>
      <c r="M148" s="410"/>
      <c r="N148" s="127"/>
      <c r="O148" s="127"/>
      <c r="P148" s="117"/>
      <c r="Q148" s="134"/>
    </row>
    <row r="149" spans="1:17" ht="15" hidden="1" customHeight="1">
      <c r="A149" s="54"/>
      <c r="B149" s="57"/>
      <c r="C149" s="57"/>
      <c r="D149" s="95"/>
      <c r="E149" s="292"/>
      <c r="F149" s="64"/>
      <c r="G149" s="480" t="s">
        <v>956</v>
      </c>
      <c r="H149" s="481"/>
      <c r="I149" s="481" t="s">
        <v>957</v>
      </c>
      <c r="J149" s="481"/>
      <c r="K149" s="481"/>
      <c r="L149" s="485"/>
      <c r="M149" s="502"/>
      <c r="N149" s="485"/>
      <c r="O149" s="487"/>
      <c r="P149" s="474"/>
      <c r="Q149" s="475"/>
    </row>
    <row r="150" spans="1:17" ht="15" hidden="1" customHeight="1">
      <c r="A150" s="96"/>
      <c r="B150" s="291">
        <f>B147+B148+C148</f>
        <v>1050</v>
      </c>
      <c r="C150" s="291"/>
      <c r="D150" s="95"/>
      <c r="E150" s="292"/>
      <c r="F150" s="64"/>
      <c r="G150" s="135"/>
      <c r="H150" s="136"/>
      <c r="I150" s="136"/>
      <c r="J150" s="136"/>
      <c r="K150" s="136"/>
      <c r="L150" s="137"/>
      <c r="M150" s="137"/>
      <c r="N150" s="137"/>
      <c r="O150" s="137"/>
      <c r="P150" s="138">
        <v>4</v>
      </c>
      <c r="Q150" s="139" t="s">
        <v>958</v>
      </c>
    </row>
    <row r="151" spans="1:17" ht="15" hidden="1" customHeight="1">
      <c r="A151" s="54"/>
      <c r="B151" s="57"/>
      <c r="C151" s="57"/>
      <c r="D151" s="95"/>
      <c r="E151" s="292"/>
      <c r="F151" s="64"/>
      <c r="G151" s="480" t="s">
        <v>959</v>
      </c>
      <c r="H151" s="140"/>
      <c r="I151" s="140"/>
      <c r="J151" s="140"/>
      <c r="K151" s="140"/>
      <c r="L151" s="141"/>
      <c r="M151" s="142"/>
      <c r="N151" s="142"/>
      <c r="O151" s="142"/>
      <c r="P151" s="488"/>
      <c r="Q151" s="489"/>
    </row>
    <row r="152" spans="1:17" ht="15" hidden="1" customHeight="1">
      <c r="A152" s="54"/>
      <c r="B152" s="290"/>
      <c r="C152" s="291"/>
      <c r="D152" s="95"/>
      <c r="E152" s="292"/>
      <c r="F152" s="64"/>
      <c r="G152" s="143"/>
      <c r="H152" s="144"/>
      <c r="I152" s="144"/>
      <c r="J152" s="144"/>
      <c r="K152" s="144"/>
      <c r="L152" s="145">
        <v>3</v>
      </c>
      <c r="M152" s="411"/>
      <c r="N152" s="137"/>
      <c r="O152" s="116"/>
      <c r="P152" s="146">
        <f>ROUNDDOWN(dhTextEvaluate(L152),2)</f>
        <v>3</v>
      </c>
      <c r="Q152" s="139" t="s">
        <v>960</v>
      </c>
    </row>
    <row r="153" spans="1:17" ht="15" hidden="1" customHeight="1">
      <c r="A153" s="54"/>
      <c r="B153" s="57"/>
      <c r="C153" s="57"/>
      <c r="D153" s="58"/>
      <c r="E153" s="292"/>
      <c r="F153" s="64"/>
      <c r="G153" s="468" t="s">
        <v>961</v>
      </c>
      <c r="H153" s="140"/>
      <c r="I153" s="490"/>
      <c r="J153" s="490"/>
      <c r="K153" s="490"/>
      <c r="L153" s="487"/>
      <c r="M153" s="487"/>
      <c r="N153" s="473"/>
      <c r="O153" s="473"/>
      <c r="P153" s="474"/>
      <c r="Q153" s="491"/>
    </row>
    <row r="154" spans="1:17" ht="15" hidden="1" customHeight="1">
      <c r="A154" s="54"/>
      <c r="B154" s="57"/>
      <c r="C154" s="57"/>
      <c r="D154" s="363"/>
      <c r="E154" s="58"/>
      <c r="F154" s="55"/>
      <c r="G154" s="112"/>
      <c r="H154" s="147"/>
      <c r="I154" s="147"/>
      <c r="J154" s="147"/>
      <c r="K154" s="147"/>
      <c r="L154" s="116">
        <v>3</v>
      </c>
      <c r="M154" s="137"/>
      <c r="N154" s="116"/>
      <c r="O154" s="116"/>
      <c r="P154" s="148">
        <f>L154</f>
        <v>3</v>
      </c>
      <c r="Q154" s="149" t="s">
        <v>960</v>
      </c>
    </row>
    <row r="155" spans="1:17" ht="15" hidden="1" customHeight="1">
      <c r="A155" s="54"/>
      <c r="B155" s="57"/>
      <c r="C155" s="57"/>
      <c r="D155" s="58"/>
      <c r="E155" s="58"/>
      <c r="F155" s="55"/>
      <c r="G155" s="468" t="s">
        <v>962</v>
      </c>
      <c r="H155" s="472"/>
      <c r="I155" s="472"/>
      <c r="J155" s="472"/>
      <c r="K155" s="472"/>
      <c r="L155" s="473"/>
      <c r="M155" s="492"/>
      <c r="N155" s="473"/>
      <c r="O155" s="473"/>
      <c r="P155" s="493"/>
      <c r="Q155" s="494"/>
    </row>
    <row r="156" spans="1:17" ht="15" hidden="1" customHeight="1">
      <c r="A156" s="54"/>
      <c r="B156" s="57"/>
      <c r="C156" s="57"/>
      <c r="D156" s="363"/>
      <c r="E156" s="58"/>
      <c r="F156" s="55"/>
      <c r="G156" s="150"/>
      <c r="H156" s="151"/>
      <c r="I156" s="151"/>
      <c r="J156" s="151"/>
      <c r="K156" s="151"/>
      <c r="L156" s="116">
        <v>1</v>
      </c>
      <c r="M156" s="152"/>
      <c r="N156" s="152"/>
      <c r="O156" s="152"/>
      <c r="P156" s="148">
        <f>ROUNDDOWN(dhTextEvaluate(L156),2)</f>
        <v>1</v>
      </c>
      <c r="Q156" s="149" t="s">
        <v>963</v>
      </c>
    </row>
    <row r="157" spans="1:17" ht="15" hidden="1" customHeight="1">
      <c r="A157" s="54"/>
      <c r="B157" s="363"/>
      <c r="C157" s="363"/>
      <c r="D157" s="363"/>
      <c r="E157" s="58"/>
      <c r="F157" s="55"/>
      <c r="G157" s="495"/>
      <c r="H157" s="496"/>
      <c r="I157" s="496"/>
      <c r="J157" s="496"/>
      <c r="K157" s="496"/>
      <c r="L157" s="497"/>
      <c r="M157" s="497"/>
      <c r="N157" s="499"/>
      <c r="O157" s="499"/>
      <c r="P157" s="500"/>
      <c r="Q157" s="501"/>
    </row>
    <row r="158" spans="1:17" ht="15" hidden="1" customHeight="1">
      <c r="A158" s="54"/>
      <c r="B158" s="363"/>
      <c r="C158" s="363"/>
      <c r="D158" s="363"/>
      <c r="E158" s="58"/>
      <c r="F158" s="55"/>
      <c r="G158" s="153"/>
      <c r="H158" s="154"/>
      <c r="I158" s="154"/>
      <c r="J158" s="154"/>
      <c r="K158" s="154"/>
      <c r="L158" s="155"/>
      <c r="M158" s="412"/>
      <c r="N158" s="155"/>
      <c r="O158" s="155"/>
      <c r="P158" s="156"/>
      <c r="Q158" s="157"/>
    </row>
    <row r="159" spans="1:17" ht="15" hidden="1" customHeight="1">
      <c r="A159" s="54"/>
      <c r="B159" s="363"/>
      <c r="C159" s="363"/>
      <c r="D159" s="363"/>
      <c r="E159" s="58"/>
      <c r="F159" s="55"/>
      <c r="G159" s="426"/>
      <c r="H159" s="462"/>
      <c r="I159" s="462"/>
      <c r="J159" s="462"/>
      <c r="K159" s="462"/>
      <c r="L159" s="430"/>
      <c r="M159" s="430"/>
      <c r="N159" s="430"/>
      <c r="O159" s="430"/>
      <c r="P159" s="431"/>
      <c r="Q159" s="432"/>
    </row>
    <row r="160" spans="1:17" ht="15" hidden="1" customHeight="1">
      <c r="A160" s="109"/>
      <c r="B160" s="89"/>
      <c r="C160" s="89"/>
      <c r="D160" s="89"/>
      <c r="E160" s="276"/>
      <c r="F160" s="67"/>
      <c r="G160" s="289"/>
      <c r="H160" s="275"/>
      <c r="I160" s="275"/>
      <c r="J160" s="275"/>
      <c r="K160" s="275"/>
      <c r="L160" s="276"/>
      <c r="M160" s="276"/>
      <c r="N160" s="276"/>
      <c r="O160" s="110"/>
      <c r="P160" s="293"/>
      <c r="Q160" s="277"/>
    </row>
    <row r="161" spans="1:17" ht="24.95" hidden="1" customHeight="1">
      <c r="A161" s="556" t="s">
        <v>1022</v>
      </c>
      <c r="B161" s="1726" t="s">
        <v>1011</v>
      </c>
      <c r="C161" s="1726"/>
      <c r="D161" s="1727" t="s">
        <v>1010</v>
      </c>
      <c r="E161" s="1727"/>
      <c r="F161" s="1728"/>
      <c r="G161" s="1727"/>
      <c r="H161" s="369" t="s">
        <v>154</v>
      </c>
      <c r="I161" s="369"/>
      <c r="J161" s="369"/>
      <c r="K161" s="369"/>
      <c r="L161" s="370"/>
      <c r="M161" s="372"/>
      <c r="N161" s="372"/>
      <c r="O161" s="372"/>
      <c r="P161" s="372"/>
      <c r="Q161" s="373"/>
    </row>
    <row r="162" spans="1:17" ht="15" hidden="1" customHeight="1">
      <c r="A162" s="54"/>
      <c r="B162" s="363"/>
      <c r="C162" s="365"/>
      <c r="D162" s="363"/>
      <c r="E162" s="58"/>
      <c r="F162" s="451"/>
      <c r="G162" s="420"/>
      <c r="H162" s="464"/>
      <c r="I162" s="464" t="s">
        <v>159</v>
      </c>
      <c r="J162" s="464" t="s">
        <v>160</v>
      </c>
      <c r="K162" s="464" t="s">
        <v>161</v>
      </c>
      <c r="L162" s="465" t="s">
        <v>162</v>
      </c>
      <c r="M162" s="465" t="s">
        <v>163</v>
      </c>
      <c r="N162" s="465"/>
      <c r="O162" s="465"/>
      <c r="P162" s="424" t="s">
        <v>48</v>
      </c>
      <c r="Q162" s="425"/>
    </row>
    <row r="163" spans="1:17" ht="15" hidden="1" customHeight="1">
      <c r="A163" s="54"/>
      <c r="B163" s="363"/>
      <c r="C163" s="363"/>
      <c r="D163" s="363"/>
      <c r="E163" s="58"/>
      <c r="F163" s="55"/>
      <c r="G163" s="426" t="s">
        <v>165</v>
      </c>
      <c r="H163" s="427" t="s">
        <v>166</v>
      </c>
      <c r="I163" s="427"/>
      <c r="J163" s="428"/>
      <c r="K163" s="428"/>
      <c r="L163" s="56"/>
      <c r="M163" s="430"/>
      <c r="N163" s="430"/>
      <c r="O163" s="430"/>
      <c r="P163" s="431"/>
      <c r="Q163" s="432"/>
    </row>
    <row r="164" spans="1:17" ht="15" hidden="1" customHeight="1">
      <c r="A164" s="54"/>
      <c r="B164" s="57"/>
      <c r="C164" s="57"/>
      <c r="D164" s="58"/>
      <c r="E164" s="58"/>
      <c r="F164" s="55"/>
      <c r="G164" s="278" t="s">
        <v>167</v>
      </c>
      <c r="H164" s="279">
        <f>B166/1000</f>
        <v>1.29</v>
      </c>
      <c r="I164" s="279"/>
      <c r="J164" s="279"/>
      <c r="K164" s="59" t="s">
        <v>168</v>
      </c>
      <c r="L164" s="60">
        <f>B182/1000</f>
        <v>0.9</v>
      </c>
      <c r="M164" s="280"/>
      <c r="N164" s="281" t="s">
        <v>169</v>
      </c>
      <c r="O164" s="61">
        <f>D174/1000</f>
        <v>0.65</v>
      </c>
      <c r="P164" s="62"/>
      <c r="Q164" s="63"/>
    </row>
    <row r="165" spans="1:17" ht="15" hidden="1" customHeight="1">
      <c r="A165" s="54"/>
      <c r="B165" s="57"/>
      <c r="C165" s="57"/>
      <c r="D165" s="58"/>
      <c r="E165" s="292"/>
      <c r="F165" s="64"/>
      <c r="G165" s="278" t="s">
        <v>38</v>
      </c>
      <c r="H165" s="279">
        <f>B166/1000</f>
        <v>1.29</v>
      </c>
      <c r="I165" s="279"/>
      <c r="J165" s="279"/>
      <c r="K165" s="59" t="s">
        <v>171</v>
      </c>
      <c r="L165" s="60">
        <f>B182/1000</f>
        <v>0.9</v>
      </c>
      <c r="M165" s="280"/>
      <c r="N165" s="56"/>
      <c r="O165" s="58"/>
      <c r="P165" s="65"/>
      <c r="Q165" s="63"/>
    </row>
    <row r="166" spans="1:17" ht="15" hidden="1" customHeight="1">
      <c r="A166" s="54"/>
      <c r="B166" s="57">
        <f>B182+(0.3*D174)*2</f>
        <v>1290</v>
      </c>
      <c r="C166" s="57"/>
      <c r="D166" s="58"/>
      <c r="E166" s="292"/>
      <c r="F166" s="64"/>
      <c r="G166" s="282" t="s">
        <v>172</v>
      </c>
      <c r="H166" s="283"/>
      <c r="I166" s="283"/>
      <c r="J166" s="283"/>
      <c r="K166" s="283"/>
      <c r="L166" s="284"/>
      <c r="M166" s="283"/>
      <c r="N166" s="276"/>
      <c r="O166" s="276"/>
      <c r="P166" s="66">
        <f>ROUNDDOWN(O164/6*((2*H164+L164)*H165+(2*L164+H164)*L165),2)</f>
        <v>0.78</v>
      </c>
      <c r="Q166" s="67" t="s">
        <v>91</v>
      </c>
    </row>
    <row r="167" spans="1:17" ht="15" hidden="1" customHeight="1">
      <c r="A167" s="54"/>
      <c r="B167" s="57"/>
      <c r="C167" s="57"/>
      <c r="D167" s="58"/>
      <c r="E167" s="292"/>
      <c r="F167" s="64"/>
      <c r="G167" s="426" t="s">
        <v>173</v>
      </c>
      <c r="H167" s="467" t="s">
        <v>197</v>
      </c>
      <c r="I167" s="467"/>
      <c r="J167" s="437"/>
      <c r="K167" s="437"/>
      <c r="L167" s="437"/>
      <c r="M167" s="467"/>
      <c r="N167" s="427"/>
      <c r="O167" s="427"/>
      <c r="P167" s="431"/>
      <c r="Q167" s="436"/>
    </row>
    <row r="168" spans="1:17" ht="15" hidden="1" customHeight="1">
      <c r="A168" s="54"/>
      <c r="B168" s="57">
        <v>400</v>
      </c>
      <c r="C168" s="57"/>
      <c r="D168" s="58"/>
      <c r="E168" s="292"/>
      <c r="F168" s="64"/>
      <c r="G168" s="278" t="s">
        <v>167</v>
      </c>
      <c r="H168" s="279">
        <f>B179/1000</f>
        <v>0.7</v>
      </c>
      <c r="I168" s="279"/>
      <c r="J168" s="279"/>
      <c r="K168" s="59" t="s">
        <v>508</v>
      </c>
      <c r="L168" s="279">
        <f>B168/1000</f>
        <v>0.4</v>
      </c>
      <c r="M168" s="280"/>
      <c r="N168" s="281" t="s">
        <v>169</v>
      </c>
      <c r="O168" s="61">
        <f>O164</f>
        <v>0.65</v>
      </c>
      <c r="P168" s="68"/>
      <c r="Q168" s="69"/>
    </row>
    <row r="169" spans="1:17" ht="15" hidden="1" customHeight="1">
      <c r="A169" s="54"/>
      <c r="B169" s="363"/>
      <c r="C169" s="363"/>
      <c r="D169" s="58"/>
      <c r="E169" s="292"/>
      <c r="F169" s="64"/>
      <c r="G169" s="278" t="s">
        <v>38</v>
      </c>
      <c r="H169" s="279">
        <f>B179/1000</f>
        <v>0.7</v>
      </c>
      <c r="I169" s="279"/>
      <c r="J169" s="279"/>
      <c r="K169" s="59" t="s">
        <v>84</v>
      </c>
      <c r="L169" s="279">
        <f>B168/1000</f>
        <v>0.4</v>
      </c>
      <c r="M169" s="280"/>
      <c r="N169" s="281"/>
      <c r="O169" s="61"/>
      <c r="P169" s="68"/>
      <c r="Q169" s="69"/>
    </row>
    <row r="170" spans="1:17" ht="15" hidden="1" customHeight="1">
      <c r="A170" s="54"/>
      <c r="B170" s="363"/>
      <c r="C170" s="363"/>
      <c r="D170" s="58"/>
      <c r="E170" s="292"/>
      <c r="F170" s="64"/>
      <c r="G170" s="278" t="s">
        <v>177</v>
      </c>
      <c r="H170" s="279"/>
      <c r="I170" s="279"/>
      <c r="J170" s="279"/>
      <c r="K170" s="285"/>
      <c r="L170" s="279"/>
      <c r="M170" s="280"/>
      <c r="N170" s="281"/>
      <c r="O170" s="61"/>
      <c r="P170" s="68">
        <f>ROUNDDOWN(O168/6*((2*H168+L168)*H169+(2*L168+H168)*L169),2)</f>
        <v>0.2</v>
      </c>
      <c r="Q170" s="69" t="s">
        <v>91</v>
      </c>
    </row>
    <row r="171" spans="1:17" ht="15" hidden="1" customHeight="1">
      <c r="A171" s="54"/>
      <c r="B171" s="363"/>
      <c r="C171" s="363"/>
      <c r="D171" s="58"/>
      <c r="E171" s="292"/>
      <c r="F171" s="64"/>
      <c r="G171" s="111" t="s">
        <v>1004</v>
      </c>
      <c r="H171" s="279"/>
      <c r="I171" s="279" t="s">
        <v>179</v>
      </c>
      <c r="J171" s="279" t="s">
        <v>180</v>
      </c>
      <c r="K171" s="285" t="s">
        <v>181</v>
      </c>
      <c r="L171" s="279"/>
      <c r="M171" s="280"/>
      <c r="N171" s="281"/>
      <c r="O171" s="61"/>
      <c r="P171" s="68"/>
      <c r="Q171" s="69"/>
    </row>
    <row r="172" spans="1:17" ht="15" hidden="1" customHeight="1">
      <c r="A172" s="54"/>
      <c r="B172" s="363"/>
      <c r="C172" s="363"/>
      <c r="D172" s="285"/>
      <c r="E172" s="292"/>
      <c r="F172" s="64"/>
      <c r="G172" s="282"/>
      <c r="H172" s="283"/>
      <c r="I172" s="283"/>
      <c r="J172" s="283"/>
      <c r="K172" s="283"/>
      <c r="L172" s="284" t="s">
        <v>198</v>
      </c>
      <c r="M172" s="283" t="s">
        <v>199</v>
      </c>
      <c r="N172" s="286"/>
      <c r="O172" s="70"/>
      <c r="P172" s="66">
        <f>P166-P170</f>
        <v>0.58000000000000007</v>
      </c>
      <c r="Q172" s="67" t="s">
        <v>91</v>
      </c>
    </row>
    <row r="173" spans="1:17" ht="15" hidden="1" customHeight="1">
      <c r="A173" s="54"/>
      <c r="B173" s="363"/>
      <c r="C173" s="363"/>
      <c r="D173" s="58"/>
      <c r="E173" s="56"/>
      <c r="F173" s="71"/>
      <c r="G173" s="426" t="s">
        <v>1005</v>
      </c>
      <c r="H173" s="437"/>
      <c r="I173" s="438" t="s">
        <v>184</v>
      </c>
      <c r="J173" s="438" t="s">
        <v>207</v>
      </c>
      <c r="K173" s="439"/>
      <c r="L173" s="72"/>
      <c r="M173" s="438"/>
      <c r="N173" s="440"/>
      <c r="O173" s="440"/>
      <c r="P173" s="441"/>
      <c r="Q173" s="436"/>
    </row>
    <row r="174" spans="1:17" ht="15" hidden="1" customHeight="1">
      <c r="A174" s="54" t="s">
        <v>201</v>
      </c>
      <c r="B174" s="1729"/>
      <c r="C174" s="1729"/>
      <c r="D174" s="58">
        <v>650</v>
      </c>
      <c r="E174" s="292"/>
      <c r="F174" s="64"/>
      <c r="G174" s="73"/>
      <c r="H174" s="74"/>
      <c r="I174" s="74"/>
      <c r="J174" s="74"/>
      <c r="K174" s="74"/>
      <c r="L174" s="75"/>
      <c r="M174" s="76"/>
      <c r="N174" s="77"/>
      <c r="O174" s="78"/>
      <c r="P174" s="79">
        <f>P170</f>
        <v>0.2</v>
      </c>
      <c r="Q174" s="67" t="s">
        <v>91</v>
      </c>
    </row>
    <row r="175" spans="1:17" ht="15" hidden="1" customHeight="1">
      <c r="A175" s="54"/>
      <c r="B175" s="363"/>
      <c r="C175" s="363"/>
      <c r="D175" s="58"/>
      <c r="E175" s="292"/>
      <c r="F175" s="64"/>
      <c r="G175" s="557" t="s">
        <v>186</v>
      </c>
      <c r="H175" s="558"/>
      <c r="I175" s="558"/>
      <c r="J175" s="559"/>
      <c r="K175" s="560"/>
      <c r="L175" s="558"/>
      <c r="M175" s="558"/>
      <c r="N175" s="561"/>
      <c r="O175" s="562"/>
      <c r="P175" s="563"/>
      <c r="Q175" s="564"/>
    </row>
    <row r="176" spans="1:17" ht="15" hidden="1" customHeight="1">
      <c r="A176" s="80"/>
      <c r="B176" s="363"/>
      <c r="C176" s="363"/>
      <c r="D176" s="287"/>
      <c r="E176" s="288"/>
      <c r="F176" s="463"/>
      <c r="G176" s="565" t="s">
        <v>187</v>
      </c>
      <c r="H176" s="566">
        <f>B168/1000</f>
        <v>0.4</v>
      </c>
      <c r="I176" s="567" t="s">
        <v>512</v>
      </c>
      <c r="J176" s="566">
        <f>B179/1000</f>
        <v>0.7</v>
      </c>
      <c r="K176" s="566" t="s">
        <v>189</v>
      </c>
      <c r="L176" s="568" t="s">
        <v>190</v>
      </c>
      <c r="M176" s="568">
        <f>D174/1000</f>
        <v>0.65</v>
      </c>
      <c r="N176" s="568" t="s">
        <v>191</v>
      </c>
      <c r="O176" s="569">
        <v>4</v>
      </c>
      <c r="P176" s="570">
        <f>((0.4+0.7)/2)*0.65*4</f>
        <v>1.4300000000000002</v>
      </c>
      <c r="Q176" s="571" t="s">
        <v>192</v>
      </c>
    </row>
    <row r="177" spans="1:17" ht="15" hidden="1" customHeight="1">
      <c r="A177" s="54"/>
      <c r="B177" s="363"/>
      <c r="C177" s="363"/>
      <c r="D177" s="58"/>
      <c r="E177" s="292"/>
      <c r="F177" s="64"/>
      <c r="G177" s="572"/>
      <c r="H177" s="558"/>
      <c r="I177" s="558"/>
      <c r="J177" s="558"/>
      <c r="K177" s="558"/>
      <c r="L177" s="573"/>
      <c r="M177" s="574"/>
      <c r="N177" s="562"/>
      <c r="O177" s="575"/>
      <c r="P177" s="563"/>
      <c r="Q177" s="564"/>
    </row>
    <row r="178" spans="1:17" ht="15" hidden="1" customHeight="1">
      <c r="A178" s="54"/>
      <c r="B178" s="363"/>
      <c r="C178" s="363"/>
      <c r="D178" s="58"/>
      <c r="E178" s="292"/>
      <c r="F178" s="64"/>
      <c r="G178" s="576"/>
      <c r="H178" s="577"/>
      <c r="I178" s="578"/>
      <c r="J178" s="579"/>
      <c r="K178" s="580"/>
      <c r="L178" s="581"/>
      <c r="M178" s="582"/>
      <c r="N178" s="583"/>
      <c r="O178" s="584"/>
      <c r="P178" s="585"/>
      <c r="Q178" s="586"/>
    </row>
    <row r="179" spans="1:17" ht="15" hidden="1" customHeight="1">
      <c r="A179" s="54"/>
      <c r="B179" s="291">
        <v>700</v>
      </c>
      <c r="C179" s="363"/>
      <c r="D179" s="58"/>
      <c r="E179" s="292"/>
      <c r="F179" s="64"/>
      <c r="G179" s="587"/>
      <c r="H179" s="588"/>
      <c r="I179" s="588"/>
      <c r="J179" s="588"/>
      <c r="K179" s="588"/>
      <c r="L179" s="589"/>
      <c r="M179" s="562"/>
      <c r="N179" s="562"/>
      <c r="O179" s="562"/>
      <c r="P179" s="590"/>
      <c r="Q179" s="591"/>
    </row>
    <row r="180" spans="1:17" ht="15" hidden="1" customHeight="1">
      <c r="A180" s="54"/>
      <c r="B180" s="363">
        <v>100</v>
      </c>
      <c r="C180" s="363">
        <v>100</v>
      </c>
      <c r="D180" s="58"/>
      <c r="E180" s="292"/>
      <c r="F180" s="64"/>
      <c r="G180" s="592"/>
      <c r="H180" s="583"/>
      <c r="I180" s="582"/>
      <c r="J180" s="593"/>
      <c r="K180" s="594"/>
      <c r="L180" s="595"/>
      <c r="M180" s="596"/>
      <c r="N180" s="584"/>
      <c r="O180" s="584"/>
      <c r="P180" s="570"/>
      <c r="Q180" s="597"/>
    </row>
    <row r="181" spans="1:17" ht="15" hidden="1" customHeight="1">
      <c r="A181" s="54"/>
      <c r="B181" s="57"/>
      <c r="C181" s="57"/>
      <c r="D181" s="95"/>
      <c r="E181" s="292"/>
      <c r="F181" s="64"/>
      <c r="G181" s="587" t="s">
        <v>193</v>
      </c>
      <c r="H181" s="588"/>
      <c r="I181" s="588" t="s">
        <v>3</v>
      </c>
      <c r="J181" s="588"/>
      <c r="K181" s="588"/>
      <c r="L181" s="598"/>
      <c r="M181" s="599"/>
      <c r="N181" s="598"/>
      <c r="O181" s="600"/>
      <c r="P181" s="563"/>
      <c r="Q181" s="564"/>
    </row>
    <row r="182" spans="1:17" ht="15" hidden="1" customHeight="1">
      <c r="A182" s="96"/>
      <c r="B182" s="291">
        <f>B179+B180+C180</f>
        <v>900</v>
      </c>
      <c r="C182" s="291"/>
      <c r="D182" s="95"/>
      <c r="E182" s="292"/>
      <c r="F182" s="64"/>
      <c r="G182" s="601"/>
      <c r="H182" s="602"/>
      <c r="I182" s="602"/>
      <c r="J182" s="602"/>
      <c r="K182" s="602"/>
      <c r="L182" s="603"/>
      <c r="M182" s="603"/>
      <c r="N182" s="603"/>
      <c r="O182" s="603"/>
      <c r="P182" s="604">
        <v>4</v>
      </c>
      <c r="Q182" s="605" t="s">
        <v>1</v>
      </c>
    </row>
    <row r="183" spans="1:17" ht="15" hidden="1" customHeight="1">
      <c r="A183" s="54"/>
      <c r="B183" s="57"/>
      <c r="C183" s="57"/>
      <c r="D183" s="95"/>
      <c r="E183" s="292"/>
      <c r="F183" s="64"/>
      <c r="G183" s="587" t="s">
        <v>1008</v>
      </c>
      <c r="H183" s="606"/>
      <c r="I183" s="606"/>
      <c r="J183" s="606"/>
      <c r="K183" s="606"/>
      <c r="L183" s="607"/>
      <c r="M183" s="608"/>
      <c r="N183" s="608"/>
      <c r="O183" s="608"/>
      <c r="P183" s="609"/>
      <c r="Q183" s="610"/>
    </row>
    <row r="184" spans="1:17" ht="15" hidden="1" customHeight="1">
      <c r="A184" s="54"/>
      <c r="B184" s="290"/>
      <c r="C184" s="291"/>
      <c r="D184" s="95"/>
      <c r="E184" s="292"/>
      <c r="F184" s="64"/>
      <c r="G184" s="611"/>
      <c r="H184" s="612"/>
      <c r="I184" s="612"/>
      <c r="J184" s="612"/>
      <c r="K184" s="612"/>
      <c r="L184" s="569">
        <v>3</v>
      </c>
      <c r="M184" s="613"/>
      <c r="N184" s="603"/>
      <c r="O184" s="569"/>
      <c r="P184" s="614">
        <f>ROUNDDOWN(dhTextEvaluate(L184),2)</f>
        <v>3</v>
      </c>
      <c r="Q184" s="605" t="s">
        <v>54</v>
      </c>
    </row>
    <row r="185" spans="1:17" ht="15" hidden="1" customHeight="1">
      <c r="A185" s="54"/>
      <c r="B185" s="57"/>
      <c r="C185" s="57"/>
      <c r="D185" s="58"/>
      <c r="E185" s="292"/>
      <c r="F185" s="64"/>
      <c r="G185" s="557" t="s">
        <v>1009</v>
      </c>
      <c r="H185" s="606"/>
      <c r="I185" s="615"/>
      <c r="J185" s="615"/>
      <c r="K185" s="615"/>
      <c r="L185" s="600"/>
      <c r="M185" s="600"/>
      <c r="N185" s="562"/>
      <c r="O185" s="562"/>
      <c r="P185" s="563"/>
      <c r="Q185" s="616"/>
    </row>
    <row r="186" spans="1:17" ht="15" hidden="1" customHeight="1">
      <c r="A186" s="54"/>
      <c r="B186" s="57"/>
      <c r="C186" s="57"/>
      <c r="D186" s="363"/>
      <c r="E186" s="58"/>
      <c r="F186" s="55"/>
      <c r="G186" s="565"/>
      <c r="H186" s="617"/>
      <c r="I186" s="617"/>
      <c r="J186" s="617"/>
      <c r="K186" s="617"/>
      <c r="L186" s="569">
        <v>3</v>
      </c>
      <c r="M186" s="603"/>
      <c r="N186" s="569"/>
      <c r="O186" s="569"/>
      <c r="P186" s="618">
        <f>L186</f>
        <v>3</v>
      </c>
      <c r="Q186" s="619" t="s">
        <v>54</v>
      </c>
    </row>
    <row r="187" spans="1:17" ht="15" hidden="1" customHeight="1">
      <c r="A187" s="54"/>
      <c r="B187" s="57"/>
      <c r="C187" s="57"/>
      <c r="D187" s="58"/>
      <c r="E187" s="58"/>
      <c r="F187" s="55"/>
      <c r="G187" s="557" t="s">
        <v>361</v>
      </c>
      <c r="H187" s="561"/>
      <c r="I187" s="561"/>
      <c r="J187" s="561"/>
      <c r="K187" s="561"/>
      <c r="L187" s="562"/>
      <c r="M187" s="620"/>
      <c r="N187" s="562"/>
      <c r="O187" s="562"/>
      <c r="P187" s="621"/>
      <c r="Q187" s="622"/>
    </row>
    <row r="188" spans="1:17" ht="15" hidden="1" customHeight="1">
      <c r="A188" s="54"/>
      <c r="B188" s="57"/>
      <c r="C188" s="57"/>
      <c r="D188" s="363"/>
      <c r="E188" s="58"/>
      <c r="F188" s="55"/>
      <c r="G188" s="623"/>
      <c r="H188" s="624"/>
      <c r="I188" s="624"/>
      <c r="J188" s="624"/>
      <c r="K188" s="624"/>
      <c r="L188" s="569">
        <v>1</v>
      </c>
      <c r="M188" s="625"/>
      <c r="N188" s="625"/>
      <c r="O188" s="625"/>
      <c r="P188" s="618">
        <f>ROUNDDOWN(dhTextEvaluate(L188),2)</f>
        <v>1</v>
      </c>
      <c r="Q188" s="619" t="s">
        <v>154</v>
      </c>
    </row>
    <row r="189" spans="1:17" ht="15" hidden="1" customHeight="1">
      <c r="A189" s="54"/>
      <c r="B189" s="363"/>
      <c r="C189" s="363"/>
      <c r="D189" s="363"/>
      <c r="E189" s="58"/>
      <c r="F189" s="55"/>
      <c r="G189" s="626"/>
      <c r="H189" s="627"/>
      <c r="I189" s="627"/>
      <c r="J189" s="627"/>
      <c r="K189" s="627"/>
      <c r="L189" s="628"/>
      <c r="M189" s="628"/>
      <c r="N189" s="629"/>
      <c r="O189" s="629"/>
      <c r="P189" s="630"/>
      <c r="Q189" s="631"/>
    </row>
    <row r="190" spans="1:17" ht="15" hidden="1" customHeight="1">
      <c r="A190" s="54"/>
      <c r="B190" s="363"/>
      <c r="C190" s="363"/>
      <c r="D190" s="363"/>
      <c r="E190" s="58"/>
      <c r="F190" s="55"/>
      <c r="G190" s="632"/>
      <c r="H190" s="633"/>
      <c r="I190" s="633"/>
      <c r="J190" s="633"/>
      <c r="K190" s="633"/>
      <c r="L190" s="634"/>
      <c r="M190" s="635"/>
      <c r="N190" s="634"/>
      <c r="O190" s="634"/>
      <c r="P190" s="636"/>
      <c r="Q190" s="637"/>
    </row>
    <row r="191" spans="1:17" ht="15" hidden="1" customHeight="1">
      <c r="A191" s="54"/>
      <c r="B191" s="363"/>
      <c r="C191" s="363"/>
      <c r="D191" s="363"/>
      <c r="E191" s="58"/>
      <c r="F191" s="55"/>
      <c r="G191" s="426"/>
      <c r="H191" s="462"/>
      <c r="I191" s="462"/>
      <c r="J191" s="462"/>
      <c r="K191" s="462"/>
      <c r="L191" s="430"/>
      <c r="M191" s="430"/>
      <c r="N191" s="430"/>
      <c r="O191" s="430"/>
      <c r="P191" s="431"/>
      <c r="Q191" s="432"/>
    </row>
    <row r="192" spans="1:17" ht="15" hidden="1" customHeight="1">
      <c r="A192" s="109"/>
      <c r="B192" s="89"/>
      <c r="C192" s="89"/>
      <c r="D192" s="89"/>
      <c r="E192" s="276"/>
      <c r="F192" s="67"/>
      <c r="G192" s="289"/>
      <c r="H192" s="275"/>
      <c r="I192" s="275"/>
      <c r="J192" s="275"/>
      <c r="K192" s="275"/>
      <c r="L192" s="276"/>
      <c r="M192" s="276"/>
      <c r="N192" s="276"/>
      <c r="O192" s="110"/>
      <c r="P192" s="293"/>
      <c r="Q192" s="277"/>
    </row>
    <row r="193" spans="1:17" ht="24.95" customHeight="1">
      <c r="A193" s="503" t="s">
        <v>1023</v>
      </c>
      <c r="B193" s="1740" t="s">
        <v>988</v>
      </c>
      <c r="C193" s="1740"/>
      <c r="D193" s="1741" t="s">
        <v>1812</v>
      </c>
      <c r="E193" s="1741"/>
      <c r="F193" s="1741"/>
      <c r="G193" s="1741"/>
      <c r="H193" s="504" t="s">
        <v>987</v>
      </c>
      <c r="I193" s="504"/>
      <c r="J193" s="504"/>
      <c r="K193" s="504"/>
      <c r="L193" s="505"/>
      <c r="M193" s="506"/>
      <c r="N193" s="506"/>
      <c r="O193" s="506"/>
      <c r="P193" s="506"/>
      <c r="Q193" s="507"/>
    </row>
    <row r="194" spans="1:17" ht="15" customHeight="1">
      <c r="A194" s="508"/>
      <c r="B194" s="509"/>
      <c r="C194" s="510"/>
      <c r="D194" s="510"/>
      <c r="E194" s="510"/>
      <c r="F194" s="511"/>
      <c r="G194" s="512"/>
      <c r="H194" s="512"/>
      <c r="I194" s="512" t="s">
        <v>989</v>
      </c>
      <c r="J194" s="512" t="s">
        <v>990</v>
      </c>
      <c r="K194" s="512" t="s">
        <v>991</v>
      </c>
      <c r="L194" s="513" t="s">
        <v>992</v>
      </c>
      <c r="M194" s="513" t="s">
        <v>993</v>
      </c>
      <c r="N194" s="513"/>
      <c r="O194" s="513"/>
      <c r="P194" s="514" t="s">
        <v>994</v>
      </c>
      <c r="Q194" s="515"/>
    </row>
    <row r="195" spans="1:17" ht="15" customHeight="1">
      <c r="A195" s="508"/>
      <c r="B195" s="509"/>
      <c r="C195" s="510"/>
      <c r="D195" s="510"/>
      <c r="E195" s="510"/>
      <c r="F195" s="511"/>
      <c r="G195" s="1262" t="s">
        <v>995</v>
      </c>
      <c r="H195" s="1263"/>
      <c r="I195" s="1263" t="s">
        <v>996</v>
      </c>
      <c r="J195" s="1264"/>
      <c r="K195" s="1264"/>
      <c r="L195" s="1265"/>
      <c r="M195" s="1266"/>
      <c r="N195" s="1266"/>
      <c r="O195" s="1266"/>
      <c r="P195" s="1267"/>
      <c r="Q195" s="1268"/>
    </row>
    <row r="196" spans="1:17" ht="15" customHeight="1">
      <c r="A196" s="508"/>
      <c r="B196" s="1731">
        <f>B218+(0.3*(E207)*2)</f>
        <v>680</v>
      </c>
      <c r="C196" s="1731"/>
      <c r="D196" s="1731"/>
      <c r="E196" s="516"/>
      <c r="F196" s="511"/>
      <c r="G196" s="1269" t="s">
        <v>969</v>
      </c>
      <c r="H196" s="1270">
        <f>B196/1000</f>
        <v>0.68</v>
      </c>
      <c r="I196" s="1270"/>
      <c r="J196" s="1270"/>
      <c r="K196" s="1271" t="s">
        <v>970</v>
      </c>
      <c r="L196" s="1272">
        <f>B218/1000</f>
        <v>0.5</v>
      </c>
      <c r="M196" s="1273"/>
      <c r="N196" s="1274" t="s">
        <v>971</v>
      </c>
      <c r="O196" s="1275">
        <f>(E207)/1000</f>
        <v>0.3</v>
      </c>
      <c r="P196" s="1276"/>
      <c r="Q196" s="1277"/>
    </row>
    <row r="197" spans="1:17" ht="15" customHeight="1">
      <c r="A197" s="508"/>
      <c r="B197" s="517"/>
      <c r="C197" s="518"/>
      <c r="D197" s="519"/>
      <c r="E197" s="516"/>
      <c r="F197" s="520"/>
      <c r="G197" s="1269" t="s">
        <v>997</v>
      </c>
      <c r="H197" s="1270">
        <f>B198/1000</f>
        <v>0.68</v>
      </c>
      <c r="I197" s="1270"/>
      <c r="J197" s="1270"/>
      <c r="K197" s="1271" t="s">
        <v>998</v>
      </c>
      <c r="L197" s="1272">
        <f>B220/1000</f>
        <v>0.5</v>
      </c>
      <c r="M197" s="1273"/>
      <c r="N197" s="1265"/>
      <c r="O197" s="1278"/>
      <c r="P197" s="1279"/>
      <c r="Q197" s="1277"/>
    </row>
    <row r="198" spans="1:17" ht="15" customHeight="1">
      <c r="A198" s="508"/>
      <c r="B198" s="1733">
        <f>B220+(0.3*(E207)*2)</f>
        <v>680</v>
      </c>
      <c r="C198" s="1734"/>
      <c r="D198" s="1735"/>
      <c r="E198" s="516"/>
      <c r="F198" s="520"/>
      <c r="G198" s="1280" t="s">
        <v>966</v>
      </c>
      <c r="H198" s="1281"/>
      <c r="I198" s="1281"/>
      <c r="J198" s="1281"/>
      <c r="K198" s="1281"/>
      <c r="L198" s="1282"/>
      <c r="M198" s="1281"/>
      <c r="N198" s="1283"/>
      <c r="O198" s="1283"/>
      <c r="P198" s="1284">
        <f>ROUNDDOWN(O196/6*((2*H196+L196)*H197+(2*L196+H196)*L197),2)</f>
        <v>0.1</v>
      </c>
      <c r="Q198" s="1285" t="s">
        <v>91</v>
      </c>
    </row>
    <row r="199" spans="1:17" ht="15" customHeight="1">
      <c r="A199" s="508"/>
      <c r="B199" s="521"/>
      <c r="C199" s="522"/>
      <c r="D199" s="519"/>
      <c r="E199" s="516"/>
      <c r="F199" s="520"/>
      <c r="G199" s="1262" t="s">
        <v>967</v>
      </c>
      <c r="H199" s="1286"/>
      <c r="I199" s="1286" t="s">
        <v>968</v>
      </c>
      <c r="J199" s="1287"/>
      <c r="K199" s="1287"/>
      <c r="L199" s="1287"/>
      <c r="M199" s="1286"/>
      <c r="N199" s="1263"/>
      <c r="O199" s="1263"/>
      <c r="P199" s="1267"/>
      <c r="Q199" s="1288"/>
    </row>
    <row r="200" spans="1:17" ht="15" customHeight="1">
      <c r="A200" s="508"/>
      <c r="B200" s="523"/>
      <c r="C200" s="510">
        <v>300</v>
      </c>
      <c r="D200" s="524"/>
      <c r="E200" s="516"/>
      <c r="F200" s="520"/>
      <c r="G200" s="1269" t="s">
        <v>969</v>
      </c>
      <c r="H200" s="1270">
        <f>C200/1000</f>
        <v>0.3</v>
      </c>
      <c r="I200" s="1270"/>
      <c r="J200" s="1270"/>
      <c r="K200" s="1271" t="s">
        <v>970</v>
      </c>
      <c r="L200" s="1270">
        <f>C215/1000</f>
        <v>0.3</v>
      </c>
      <c r="M200" s="1273"/>
      <c r="N200" s="1274" t="s">
        <v>971</v>
      </c>
      <c r="O200" s="1275">
        <f>E207/1000</f>
        <v>0.3</v>
      </c>
      <c r="P200" s="1289">
        <f>ROUNDDOWN(H200*L200*O200,2)</f>
        <v>0.02</v>
      </c>
      <c r="Q200" s="1290" t="s">
        <v>972</v>
      </c>
    </row>
    <row r="201" spans="1:17" ht="15" customHeight="1">
      <c r="A201" s="508"/>
      <c r="B201" s="525"/>
      <c r="C201" s="526"/>
      <c r="D201" s="527"/>
      <c r="E201" s="516"/>
      <c r="F201" s="520"/>
      <c r="G201" s="1269"/>
      <c r="H201" s="1270"/>
      <c r="I201" s="1270"/>
      <c r="J201" s="1270"/>
      <c r="K201" s="1271"/>
      <c r="L201" s="1270"/>
      <c r="M201" s="1273"/>
      <c r="N201" s="1274"/>
      <c r="O201" s="1275"/>
      <c r="P201" s="1289">
        <f>ROUNDDOWN(H201*L201*O201,2)</f>
        <v>0</v>
      </c>
      <c r="Q201" s="1290" t="s">
        <v>973</v>
      </c>
    </row>
    <row r="202" spans="1:17" ht="15" customHeight="1">
      <c r="A202" s="508"/>
      <c r="B202" s="525"/>
      <c r="C202" s="528"/>
      <c r="D202" s="527"/>
      <c r="E202" s="516"/>
      <c r="F202" s="520"/>
      <c r="G202" s="1269"/>
      <c r="H202" s="1270"/>
      <c r="I202" s="1270"/>
      <c r="J202" s="1270"/>
      <c r="K202" s="1291"/>
      <c r="L202" s="1270"/>
      <c r="M202" s="1273"/>
      <c r="N202" s="1274"/>
      <c r="O202" s="1275"/>
      <c r="P202" s="1289"/>
      <c r="Q202" s="1290"/>
    </row>
    <row r="203" spans="1:17" ht="15" customHeight="1">
      <c r="A203" s="508"/>
      <c r="B203" s="525"/>
      <c r="C203" s="528"/>
      <c r="D203" s="527"/>
      <c r="E203" s="516"/>
      <c r="F203" s="520"/>
      <c r="G203" s="1269"/>
      <c r="H203" s="1270"/>
      <c r="I203" s="1270"/>
      <c r="J203" s="1270"/>
      <c r="K203" s="1291"/>
      <c r="L203" s="1270"/>
      <c r="M203" s="1273"/>
      <c r="N203" s="1274"/>
      <c r="O203" s="1275"/>
      <c r="P203" s="1289"/>
      <c r="Q203" s="1290"/>
    </row>
    <row r="204" spans="1:17" ht="15" customHeight="1">
      <c r="A204" s="508"/>
      <c r="B204" s="525"/>
      <c r="C204" s="528"/>
      <c r="D204" s="527"/>
      <c r="E204" s="529"/>
      <c r="F204" s="520"/>
      <c r="G204" s="1280" t="s">
        <v>974</v>
      </c>
      <c r="H204" s="1281"/>
      <c r="I204" s="1281"/>
      <c r="J204" s="1281"/>
      <c r="K204" s="1281"/>
      <c r="L204" s="1282"/>
      <c r="M204" s="1281"/>
      <c r="N204" s="1292"/>
      <c r="O204" s="1293"/>
      <c r="P204" s="1284">
        <f>SUM(P200:P203)</f>
        <v>0.02</v>
      </c>
      <c r="Q204" s="1285" t="s">
        <v>91</v>
      </c>
    </row>
    <row r="205" spans="1:17" ht="15" customHeight="1">
      <c r="A205" s="508"/>
      <c r="B205" s="525"/>
      <c r="C205" s="528"/>
      <c r="D205" s="527"/>
      <c r="E205" s="516"/>
      <c r="F205" s="530"/>
      <c r="G205" s="1262" t="s">
        <v>975</v>
      </c>
      <c r="H205" s="1287"/>
      <c r="I205" s="1294" t="s">
        <v>999</v>
      </c>
      <c r="J205" s="1294" t="s">
        <v>1000</v>
      </c>
      <c r="K205" s="1295" t="s">
        <v>1001</v>
      </c>
      <c r="L205" s="1296"/>
      <c r="M205" s="1294"/>
      <c r="N205" s="1297"/>
      <c r="O205" s="1297"/>
      <c r="P205" s="1298"/>
      <c r="Q205" s="1288"/>
    </row>
    <row r="206" spans="1:17" ht="15" customHeight="1" thickBot="1">
      <c r="A206" s="531"/>
      <c r="B206" s="1742"/>
      <c r="C206" s="1742"/>
      <c r="D206" s="1742"/>
      <c r="E206" s="532"/>
      <c r="F206" s="533"/>
      <c r="G206" s="1299"/>
      <c r="H206" s="1300"/>
      <c r="I206" s="1300" t="s">
        <v>999</v>
      </c>
      <c r="J206" s="1300">
        <f>P198</f>
        <v>0.1</v>
      </c>
      <c r="K206" s="1300" t="s">
        <v>1002</v>
      </c>
      <c r="L206" s="1301">
        <f>P208</f>
        <v>0</v>
      </c>
      <c r="M206" s="1302"/>
      <c r="N206" s="1303"/>
      <c r="O206" s="1304"/>
      <c r="P206" s="1305">
        <f>ROUNDDOWN(J206-L206,2)</f>
        <v>0.1</v>
      </c>
      <c r="Q206" s="1285" t="s">
        <v>91</v>
      </c>
    </row>
    <row r="207" spans="1:17" ht="15" customHeight="1">
      <c r="A207" s="508"/>
      <c r="B207" s="534"/>
      <c r="C207" s="535"/>
      <c r="D207" s="536"/>
      <c r="E207" s="1743">
        <v>300</v>
      </c>
      <c r="F207" s="1724">
        <f>E204+E206+E207</f>
        <v>300</v>
      </c>
      <c r="G207" s="1262"/>
      <c r="H207" s="1287"/>
      <c r="I207" s="1287"/>
      <c r="J207" s="1294"/>
      <c r="K207" s="1295"/>
      <c r="L207" s="1287"/>
      <c r="M207" s="1287"/>
      <c r="N207" s="1306"/>
      <c r="O207" s="1307"/>
      <c r="P207" s="1267"/>
      <c r="Q207" s="1288"/>
    </row>
    <row r="208" spans="1:17" ht="15" customHeight="1">
      <c r="A208" s="537"/>
      <c r="B208" s="534"/>
      <c r="C208" s="538"/>
      <c r="D208" s="536"/>
      <c r="E208" s="1744"/>
      <c r="F208" s="1725"/>
      <c r="G208" s="1308"/>
      <c r="H208" s="1309"/>
      <c r="I208" s="1310"/>
      <c r="J208" s="1309"/>
      <c r="K208" s="1309"/>
      <c r="L208" s="1281"/>
      <c r="M208" s="1281"/>
      <c r="N208" s="1281"/>
      <c r="O208" s="1283"/>
      <c r="P208" s="1305"/>
      <c r="Q208" s="1311"/>
    </row>
    <row r="209" spans="1:17" ht="15" customHeight="1">
      <c r="A209" s="508"/>
      <c r="B209" s="534"/>
      <c r="C209" s="538"/>
      <c r="D209" s="536"/>
      <c r="E209" s="1744"/>
      <c r="F209" s="1725"/>
      <c r="G209" s="1312" t="s">
        <v>976</v>
      </c>
      <c r="H209" s="1287"/>
      <c r="I209" s="1287"/>
      <c r="J209" s="1287"/>
      <c r="K209" s="1287"/>
      <c r="L209" s="1313"/>
      <c r="M209" s="1314"/>
      <c r="N209" s="1307"/>
      <c r="O209" s="1315"/>
      <c r="P209" s="1267"/>
      <c r="Q209" s="1288"/>
    </row>
    <row r="210" spans="1:17" ht="15" customHeight="1">
      <c r="A210" s="508"/>
      <c r="B210" s="534"/>
      <c r="C210" s="538"/>
      <c r="D210" s="536"/>
      <c r="E210" s="1744"/>
      <c r="F210" s="1725"/>
      <c r="G210" s="1316" t="s">
        <v>977</v>
      </c>
      <c r="H210" s="1317">
        <f>C200/1000</f>
        <v>0.3</v>
      </c>
      <c r="I210" s="1318" t="s">
        <v>978</v>
      </c>
      <c r="J210" s="1319">
        <f>C215/1000</f>
        <v>0.3</v>
      </c>
      <c r="K210" s="1320" t="s">
        <v>979</v>
      </c>
      <c r="L210" s="1321" t="s">
        <v>980</v>
      </c>
      <c r="M210" s="1322">
        <f>F207/1000</f>
        <v>0.3</v>
      </c>
      <c r="N210" s="1323" t="s">
        <v>981</v>
      </c>
      <c r="O210" s="1324">
        <v>4</v>
      </c>
      <c r="P210" s="1325">
        <f>((H210+J210)/2)*M210*O210</f>
        <v>0.36</v>
      </c>
      <c r="Q210" s="1285" t="s">
        <v>982</v>
      </c>
    </row>
    <row r="211" spans="1:17" ht="15" customHeight="1" thickBot="1">
      <c r="A211" s="508"/>
      <c r="B211" s="539"/>
      <c r="C211" s="540"/>
      <c r="D211" s="541"/>
      <c r="E211" s="1745"/>
      <c r="F211" s="1725"/>
      <c r="G211" s="1326"/>
      <c r="H211" s="1327"/>
      <c r="I211" s="1327"/>
      <c r="J211" s="1327"/>
      <c r="K211" s="1327"/>
      <c r="L211" s="1328"/>
      <c r="M211" s="1307"/>
      <c r="N211" s="1307"/>
      <c r="O211" s="1307"/>
      <c r="P211" s="1329"/>
      <c r="Q211" s="1330"/>
    </row>
    <row r="212" spans="1:17" ht="15" customHeight="1">
      <c r="A212" s="508"/>
      <c r="B212" s="542"/>
      <c r="C212" s="543"/>
      <c r="D212" s="544"/>
      <c r="E212" s="516"/>
      <c r="F212" s="520"/>
      <c r="G212" s="1331"/>
      <c r="H212" s="1332"/>
      <c r="I212" s="1302"/>
      <c r="J212" s="1333"/>
      <c r="K212" s="1334"/>
      <c r="L212" s="1265"/>
      <c r="M212" s="1335"/>
      <c r="N212" s="1324"/>
      <c r="O212" s="1324"/>
      <c r="P212" s="1305"/>
      <c r="Q212" s="1290"/>
    </row>
    <row r="213" spans="1:17" ht="15" customHeight="1">
      <c r="A213" s="508"/>
      <c r="B213" s="545">
        <v>100</v>
      </c>
      <c r="C213" s="546">
        <v>300</v>
      </c>
      <c r="D213" s="547">
        <v>100</v>
      </c>
      <c r="E213" s="548"/>
      <c r="F213" s="520"/>
      <c r="G213" s="1326"/>
      <c r="H213" s="1327"/>
      <c r="I213" s="1327"/>
      <c r="J213" s="1327"/>
      <c r="K213" s="1327"/>
      <c r="L213" s="1336"/>
      <c r="M213" s="1337"/>
      <c r="N213" s="1336"/>
      <c r="O213" s="1266"/>
      <c r="P213" s="1267"/>
      <c r="Q213" s="1288"/>
    </row>
    <row r="214" spans="1:17" ht="15" customHeight="1">
      <c r="A214" s="549"/>
      <c r="B214" s="550"/>
      <c r="C214" s="551"/>
      <c r="D214" s="528"/>
      <c r="E214" s="548"/>
      <c r="F214" s="520"/>
      <c r="G214" s="1338"/>
      <c r="H214" s="1292"/>
      <c r="I214" s="1292"/>
      <c r="J214" s="1292"/>
      <c r="K214" s="1292"/>
      <c r="L214" s="1339"/>
      <c r="M214" s="1339"/>
      <c r="N214" s="1339"/>
      <c r="O214" s="1339"/>
      <c r="P214" s="1340"/>
      <c r="Q214" s="1341"/>
    </row>
    <row r="215" spans="1:17" ht="15" customHeight="1">
      <c r="A215" s="508"/>
      <c r="B215" s="545">
        <v>100</v>
      </c>
      <c r="C215" s="546">
        <v>300</v>
      </c>
      <c r="D215" s="547">
        <v>100</v>
      </c>
      <c r="E215" s="548"/>
      <c r="F215" s="520"/>
      <c r="G215" s="1326"/>
      <c r="H215" s="1342"/>
      <c r="I215" s="1342"/>
      <c r="J215" s="1342"/>
      <c r="K215" s="1342"/>
      <c r="L215" s="1278"/>
      <c r="M215" s="1343"/>
      <c r="N215" s="1343"/>
      <c r="O215" s="1343"/>
      <c r="P215" s="1344"/>
      <c r="Q215" s="1345"/>
    </row>
    <row r="216" spans="1:17" ht="15" customHeight="1">
      <c r="A216" s="508"/>
      <c r="B216" s="521"/>
      <c r="C216" s="552"/>
      <c r="D216" s="553"/>
      <c r="E216" s="548"/>
      <c r="F216" s="520"/>
      <c r="G216" s="1346"/>
      <c r="H216" s="1347"/>
      <c r="I216" s="1347"/>
      <c r="J216" s="1347"/>
      <c r="K216" s="1347"/>
      <c r="L216" s="1348"/>
      <c r="M216" s="1349"/>
      <c r="N216" s="1339"/>
      <c r="O216" s="1283"/>
      <c r="P216" s="1350"/>
      <c r="Q216" s="1341"/>
    </row>
    <row r="217" spans="1:17" ht="15" customHeight="1">
      <c r="A217" s="508"/>
      <c r="B217" s="1730"/>
      <c r="C217" s="1731"/>
      <c r="D217" s="1732"/>
      <c r="E217" s="516"/>
      <c r="F217" s="520"/>
      <c r="G217" s="1262" t="s">
        <v>983</v>
      </c>
      <c r="H217" s="1342"/>
      <c r="I217" s="1342" t="s">
        <v>984</v>
      </c>
      <c r="J217" s="1264"/>
      <c r="K217" s="1264"/>
      <c r="L217" s="1266"/>
      <c r="M217" s="1266"/>
      <c r="N217" s="1307"/>
      <c r="O217" s="1307"/>
      <c r="P217" s="1267"/>
      <c r="Q217" s="1268"/>
    </row>
    <row r="218" spans="1:17" ht="15" customHeight="1">
      <c r="A218" s="508"/>
      <c r="B218" s="1733">
        <f>B213+C213+D213</f>
        <v>500</v>
      </c>
      <c r="C218" s="1734"/>
      <c r="D218" s="1735"/>
      <c r="E218" s="510"/>
      <c r="F218" s="511"/>
      <c r="G218" s="1308"/>
      <c r="H218" s="1351"/>
      <c r="I218" s="1351"/>
      <c r="J218" s="1351"/>
      <c r="K218" s="1351"/>
      <c r="L218" s="1283">
        <v>3</v>
      </c>
      <c r="M218" s="1339"/>
      <c r="N218" s="1283"/>
      <c r="O218" s="1283"/>
      <c r="P218" s="1352">
        <f>L218</f>
        <v>3</v>
      </c>
      <c r="Q218" s="1353" t="s">
        <v>985</v>
      </c>
    </row>
    <row r="219" spans="1:17" ht="15" customHeight="1">
      <c r="A219" s="508"/>
      <c r="B219" s="554"/>
      <c r="C219" s="552"/>
      <c r="D219" s="555"/>
      <c r="E219" s="516"/>
      <c r="F219" s="511"/>
      <c r="G219" s="557" t="s">
        <v>986</v>
      </c>
      <c r="H219" s="1354"/>
      <c r="I219" s="1354"/>
      <c r="J219" s="1354"/>
      <c r="K219" s="1354"/>
      <c r="L219" s="1355"/>
      <c r="M219" s="1356"/>
      <c r="N219" s="1355"/>
      <c r="O219" s="1355"/>
      <c r="P219" s="621"/>
      <c r="Q219" s="622"/>
    </row>
    <row r="220" spans="1:17" ht="15" customHeight="1">
      <c r="A220" s="508"/>
      <c r="B220" s="1733">
        <f>B215+C215+D215</f>
        <v>500</v>
      </c>
      <c r="C220" s="1734"/>
      <c r="D220" s="1735"/>
      <c r="E220" s="510"/>
      <c r="F220" s="511"/>
      <c r="G220" s="623"/>
      <c r="H220" s="624"/>
      <c r="I220" s="624"/>
      <c r="J220" s="624"/>
      <c r="K220" s="624"/>
      <c r="L220" s="569">
        <v>1</v>
      </c>
      <c r="M220" s="625"/>
      <c r="N220" s="625"/>
      <c r="O220" s="625"/>
      <c r="P220" s="618">
        <f>ROUNDDOWN(dhTextEvaluate(L220),2)</f>
        <v>1</v>
      </c>
      <c r="Q220" s="619" t="s">
        <v>987</v>
      </c>
    </row>
    <row r="221" spans="1:17" ht="15" customHeight="1">
      <c r="A221" s="508"/>
      <c r="B221" s="509"/>
      <c r="C221" s="510"/>
      <c r="D221" s="510"/>
      <c r="E221" s="510"/>
      <c r="F221" s="511"/>
      <c r="G221" s="626"/>
      <c r="H221" s="1357"/>
      <c r="I221" s="1357"/>
      <c r="J221" s="1357"/>
      <c r="K221" s="1357"/>
      <c r="L221" s="1358"/>
      <c r="M221" s="1358"/>
      <c r="N221" s="1359"/>
      <c r="O221" s="1359"/>
      <c r="P221" s="630"/>
      <c r="Q221" s="631"/>
    </row>
    <row r="222" spans="1:17" ht="15" customHeight="1">
      <c r="A222" s="508"/>
      <c r="B222" s="509"/>
      <c r="C222" s="510"/>
      <c r="D222" s="510"/>
      <c r="E222" s="510"/>
      <c r="F222" s="516"/>
      <c r="G222" s="632"/>
      <c r="H222" s="633"/>
      <c r="I222" s="633"/>
      <c r="J222" s="633"/>
      <c r="K222" s="633"/>
      <c r="L222" s="634"/>
      <c r="M222" s="635"/>
      <c r="N222" s="634"/>
      <c r="O222" s="634"/>
      <c r="P222" s="636"/>
      <c r="Q222" s="637"/>
    </row>
    <row r="223" spans="1:17" ht="15" customHeight="1">
      <c r="A223" s="54"/>
      <c r="B223" s="363"/>
      <c r="C223" s="363"/>
      <c r="D223" s="363"/>
      <c r="E223" s="363"/>
      <c r="F223" s="55"/>
      <c r="G223" s="1258"/>
      <c r="H223" s="1360"/>
      <c r="I223" s="1360"/>
      <c r="J223" s="1360"/>
      <c r="K223" s="1360"/>
      <c r="L223" s="1358"/>
      <c r="M223" s="1358"/>
      <c r="N223" s="1358"/>
      <c r="O223" s="1358"/>
      <c r="P223" s="630"/>
      <c r="Q223" s="631"/>
    </row>
    <row r="224" spans="1:17" ht="15" customHeight="1">
      <c r="A224" s="109"/>
      <c r="B224" s="89"/>
      <c r="C224" s="89"/>
      <c r="D224" s="89"/>
      <c r="E224" s="89"/>
      <c r="F224" s="276"/>
      <c r="G224" s="632"/>
      <c r="H224" s="633"/>
      <c r="I224" s="633"/>
      <c r="J224" s="633"/>
      <c r="K224" s="633"/>
      <c r="L224" s="634"/>
      <c r="M224" s="634"/>
      <c r="N224" s="634"/>
      <c r="O224" s="1261"/>
      <c r="P224" s="636"/>
      <c r="Q224" s="637"/>
    </row>
    <row r="225" spans="1:17" ht="24.95" customHeight="1">
      <c r="A225" s="367" t="s">
        <v>75</v>
      </c>
      <c r="B225" s="1726" t="s">
        <v>398</v>
      </c>
      <c r="C225" s="1726"/>
      <c r="D225" s="1727" t="s">
        <v>399</v>
      </c>
      <c r="E225" s="1727"/>
      <c r="F225" s="1728"/>
      <c r="G225" s="1727"/>
      <c r="H225" s="369" t="s">
        <v>154</v>
      </c>
      <c r="I225" s="369"/>
      <c r="J225" s="369"/>
      <c r="K225" s="369"/>
      <c r="L225" s="370"/>
      <c r="M225" s="372"/>
      <c r="N225" s="372"/>
      <c r="O225" s="372"/>
      <c r="P225" s="372"/>
      <c r="Q225" s="373"/>
    </row>
    <row r="226" spans="1:17" ht="15" customHeight="1">
      <c r="A226" s="54"/>
      <c r="B226" s="363"/>
      <c r="C226" s="365"/>
      <c r="D226" s="363"/>
      <c r="E226" s="58"/>
      <c r="F226" s="451"/>
      <c r="G226" s="420"/>
      <c r="H226" s="464"/>
      <c r="I226" s="464" t="s">
        <v>159</v>
      </c>
      <c r="J226" s="464" t="s">
        <v>160</v>
      </c>
      <c r="K226" s="464" t="s">
        <v>161</v>
      </c>
      <c r="L226" s="465" t="s">
        <v>162</v>
      </c>
      <c r="M226" s="465" t="s">
        <v>163</v>
      </c>
      <c r="N226" s="465"/>
      <c r="O226" s="465"/>
      <c r="P226" s="424" t="s">
        <v>48</v>
      </c>
      <c r="Q226" s="425"/>
    </row>
    <row r="227" spans="1:17" ht="15" customHeight="1">
      <c r="A227" s="54"/>
      <c r="B227" s="363"/>
      <c r="C227" s="363"/>
      <c r="D227" s="363"/>
      <c r="E227" s="58"/>
      <c r="F227" s="55"/>
      <c r="G227" s="426" t="s">
        <v>165</v>
      </c>
      <c r="H227" s="427" t="s">
        <v>166</v>
      </c>
      <c r="I227" s="427"/>
      <c r="J227" s="428"/>
      <c r="K227" s="428"/>
      <c r="L227" s="56"/>
      <c r="M227" s="430"/>
      <c r="N227" s="430"/>
      <c r="O227" s="430"/>
      <c r="P227" s="431"/>
      <c r="Q227" s="432"/>
    </row>
    <row r="228" spans="1:17" ht="15" customHeight="1">
      <c r="A228" s="54"/>
      <c r="B228" s="57"/>
      <c r="C228" s="57"/>
      <c r="D228" s="58"/>
      <c r="E228" s="58"/>
      <c r="F228" s="55"/>
      <c r="G228" s="278" t="s">
        <v>167</v>
      </c>
      <c r="H228" s="279">
        <f>B230/1000</f>
        <v>1.42</v>
      </c>
      <c r="I228" s="279"/>
      <c r="J228" s="279"/>
      <c r="K228" s="59" t="s">
        <v>168</v>
      </c>
      <c r="L228" s="60">
        <f>B246/1000</f>
        <v>1</v>
      </c>
      <c r="M228" s="280"/>
      <c r="N228" s="281" t="s">
        <v>169</v>
      </c>
      <c r="O228" s="61">
        <f>D238/1000</f>
        <v>0.7</v>
      </c>
      <c r="P228" s="62"/>
      <c r="Q228" s="63"/>
    </row>
    <row r="229" spans="1:17" ht="15" customHeight="1">
      <c r="A229" s="54"/>
      <c r="B229" s="57"/>
      <c r="C229" s="57"/>
      <c r="D229" s="58"/>
      <c r="E229" s="292"/>
      <c r="F229" s="64"/>
      <c r="G229" s="278" t="s">
        <v>38</v>
      </c>
      <c r="H229" s="279">
        <f>B230/1000</f>
        <v>1.42</v>
      </c>
      <c r="I229" s="279"/>
      <c r="J229" s="279"/>
      <c r="K229" s="59" t="s">
        <v>171</v>
      </c>
      <c r="L229" s="60">
        <f>B246/1000</f>
        <v>1</v>
      </c>
      <c r="M229" s="280"/>
      <c r="N229" s="56"/>
      <c r="O229" s="58"/>
      <c r="P229" s="65"/>
      <c r="Q229" s="63"/>
    </row>
    <row r="230" spans="1:17" ht="15" customHeight="1">
      <c r="A230" s="54"/>
      <c r="B230" s="57">
        <f>B246+(0.3*D238)*2</f>
        <v>1420</v>
      </c>
      <c r="C230" s="57"/>
      <c r="D230" s="58"/>
      <c r="E230" s="292"/>
      <c r="F230" s="64"/>
      <c r="G230" s="282" t="s">
        <v>172</v>
      </c>
      <c r="H230" s="283"/>
      <c r="I230" s="283"/>
      <c r="J230" s="283"/>
      <c r="K230" s="283"/>
      <c r="L230" s="284"/>
      <c r="M230" s="283"/>
      <c r="N230" s="276"/>
      <c r="O230" s="276"/>
      <c r="P230" s="66">
        <f>ROUNDDOWN(O228/6*((2*H228+L228)*H229+(2*L228+H228)*L229),2)</f>
        <v>1.03</v>
      </c>
      <c r="Q230" s="67" t="s">
        <v>91</v>
      </c>
    </row>
    <row r="231" spans="1:17" ht="15" customHeight="1">
      <c r="A231" s="54"/>
      <c r="B231" s="57"/>
      <c r="C231" s="57"/>
      <c r="D231" s="58"/>
      <c r="E231" s="292"/>
      <c r="F231" s="64"/>
      <c r="G231" s="426" t="s">
        <v>173</v>
      </c>
      <c r="H231" s="467" t="s">
        <v>197</v>
      </c>
      <c r="I231" s="467"/>
      <c r="J231" s="437"/>
      <c r="K231" s="437"/>
      <c r="L231" s="437"/>
      <c r="M231" s="467"/>
      <c r="N231" s="427"/>
      <c r="O231" s="427"/>
      <c r="P231" s="431"/>
      <c r="Q231" s="436"/>
    </row>
    <row r="232" spans="1:17" ht="15" customHeight="1">
      <c r="A232" s="54"/>
      <c r="B232" s="57">
        <v>500</v>
      </c>
      <c r="C232" s="57"/>
      <c r="D232" s="58"/>
      <c r="E232" s="292"/>
      <c r="F232" s="64"/>
      <c r="G232" s="278" t="s">
        <v>167</v>
      </c>
      <c r="H232" s="279">
        <f>B243/1000</f>
        <v>0.8</v>
      </c>
      <c r="I232" s="279"/>
      <c r="J232" s="279"/>
      <c r="K232" s="59" t="s">
        <v>508</v>
      </c>
      <c r="L232" s="279">
        <f>B232/1000</f>
        <v>0.5</v>
      </c>
      <c r="M232" s="280"/>
      <c r="N232" s="281" t="s">
        <v>169</v>
      </c>
      <c r="O232" s="61">
        <f>O228</f>
        <v>0.7</v>
      </c>
      <c r="P232" s="68"/>
      <c r="Q232" s="69"/>
    </row>
    <row r="233" spans="1:17" ht="15" customHeight="1">
      <c r="A233" s="54"/>
      <c r="B233" s="363"/>
      <c r="C233" s="363"/>
      <c r="D233" s="58"/>
      <c r="E233" s="292"/>
      <c r="F233" s="64"/>
      <c r="G233" s="278" t="s">
        <v>38</v>
      </c>
      <c r="H233" s="279">
        <f>B243/1000</f>
        <v>0.8</v>
      </c>
      <c r="I233" s="279"/>
      <c r="J233" s="279"/>
      <c r="K233" s="59" t="s">
        <v>84</v>
      </c>
      <c r="L233" s="279">
        <f>B232/1000</f>
        <v>0.5</v>
      </c>
      <c r="M233" s="280"/>
      <c r="N233" s="281"/>
      <c r="O233" s="61"/>
      <c r="P233" s="68"/>
      <c r="Q233" s="69"/>
    </row>
    <row r="234" spans="1:17" ht="15" customHeight="1">
      <c r="A234" s="54"/>
      <c r="B234" s="363"/>
      <c r="C234" s="363"/>
      <c r="D234" s="58"/>
      <c r="E234" s="292"/>
      <c r="F234" s="64"/>
      <c r="G234" s="278" t="s">
        <v>177</v>
      </c>
      <c r="H234" s="279"/>
      <c r="I234" s="279"/>
      <c r="J234" s="279"/>
      <c r="K234" s="285"/>
      <c r="L234" s="279"/>
      <c r="M234" s="280"/>
      <c r="N234" s="281"/>
      <c r="O234" s="61"/>
      <c r="P234" s="68">
        <f>ROUNDDOWN(O232/6*((2*H232+L232)*H233+(2*L232+H232)*L233),2)</f>
        <v>0.3</v>
      </c>
      <c r="Q234" s="69" t="s">
        <v>91</v>
      </c>
    </row>
    <row r="235" spans="1:17" ht="15" customHeight="1">
      <c r="A235" s="54"/>
      <c r="B235" s="363"/>
      <c r="C235" s="363"/>
      <c r="D235" s="58"/>
      <c r="E235" s="292"/>
      <c r="F235" s="64"/>
      <c r="G235" s="111" t="s">
        <v>1004</v>
      </c>
      <c r="H235" s="279"/>
      <c r="I235" s="279" t="s">
        <v>179</v>
      </c>
      <c r="J235" s="279" t="s">
        <v>180</v>
      </c>
      <c r="K235" s="285" t="s">
        <v>943</v>
      </c>
      <c r="L235" s="279"/>
      <c r="M235" s="280"/>
      <c r="N235" s="281"/>
      <c r="O235" s="61"/>
      <c r="P235" s="68"/>
      <c r="Q235" s="69"/>
    </row>
    <row r="236" spans="1:17" ht="15" customHeight="1">
      <c r="A236" s="54"/>
      <c r="B236" s="363"/>
      <c r="C236" s="363"/>
      <c r="D236" s="285"/>
      <c r="E236" s="292"/>
      <c r="F236" s="64"/>
      <c r="G236" s="282"/>
      <c r="H236" s="283"/>
      <c r="I236" s="283"/>
      <c r="J236" s="283"/>
      <c r="K236" s="283"/>
      <c r="L236" s="284" t="s">
        <v>198</v>
      </c>
      <c r="M236" s="283" t="s">
        <v>199</v>
      </c>
      <c r="N236" s="286"/>
      <c r="O236" s="70"/>
      <c r="P236" s="66">
        <f>P230-P234</f>
        <v>0.73</v>
      </c>
      <c r="Q236" s="67" t="s">
        <v>91</v>
      </c>
    </row>
    <row r="237" spans="1:17" ht="15" customHeight="1">
      <c r="A237" s="54"/>
      <c r="B237" s="363"/>
      <c r="C237" s="363"/>
      <c r="D237" s="58"/>
      <c r="E237" s="56"/>
      <c r="F237" s="71"/>
      <c r="G237" s="426" t="s">
        <v>183</v>
      </c>
      <c r="H237" s="437"/>
      <c r="I237" s="438" t="s">
        <v>946</v>
      </c>
      <c r="J237" s="438" t="s">
        <v>207</v>
      </c>
      <c r="K237" s="439"/>
      <c r="L237" s="72"/>
      <c r="M237" s="438"/>
      <c r="N237" s="440"/>
      <c r="O237" s="440"/>
      <c r="P237" s="441"/>
      <c r="Q237" s="436"/>
    </row>
    <row r="238" spans="1:17" ht="15" customHeight="1">
      <c r="A238" s="54" t="s">
        <v>201</v>
      </c>
      <c r="B238" s="1729"/>
      <c r="C238" s="1729"/>
      <c r="D238" s="58">
        <v>700</v>
      </c>
      <c r="E238" s="292"/>
      <c r="F238" s="64"/>
      <c r="G238" s="73"/>
      <c r="H238" s="74"/>
      <c r="I238" s="74"/>
      <c r="J238" s="74"/>
      <c r="K238" s="74"/>
      <c r="L238" s="75"/>
      <c r="M238" s="76"/>
      <c r="N238" s="77"/>
      <c r="O238" s="78"/>
      <c r="P238" s="79">
        <f>P234</f>
        <v>0.3</v>
      </c>
      <c r="Q238" s="67" t="s">
        <v>91</v>
      </c>
    </row>
    <row r="239" spans="1:17" ht="15" customHeight="1">
      <c r="A239" s="54"/>
      <c r="B239" s="363"/>
      <c r="C239" s="363"/>
      <c r="D239" s="58"/>
      <c r="E239" s="292"/>
      <c r="F239" s="64"/>
      <c r="G239" s="468" t="s">
        <v>949</v>
      </c>
      <c r="H239" s="469"/>
      <c r="I239" s="469"/>
      <c r="J239" s="470"/>
      <c r="K239" s="471"/>
      <c r="L239" s="469"/>
      <c r="M239" s="469"/>
      <c r="N239" s="472"/>
      <c r="O239" s="473"/>
      <c r="P239" s="474"/>
      <c r="Q239" s="475"/>
    </row>
    <row r="240" spans="1:17" ht="15" customHeight="1">
      <c r="A240" s="80"/>
      <c r="B240" s="363"/>
      <c r="C240" s="363"/>
      <c r="D240" s="287"/>
      <c r="E240" s="288"/>
      <c r="F240" s="463"/>
      <c r="G240" s="112" t="s">
        <v>187</v>
      </c>
      <c r="H240" s="113">
        <f>B232/1000</f>
        <v>0.5</v>
      </c>
      <c r="I240" s="114" t="s">
        <v>512</v>
      </c>
      <c r="J240" s="113">
        <f>B243/1000</f>
        <v>0.8</v>
      </c>
      <c r="K240" s="113" t="s">
        <v>189</v>
      </c>
      <c r="L240" s="115" t="s">
        <v>953</v>
      </c>
      <c r="M240" s="115">
        <f>D238/1000</f>
        <v>0.7</v>
      </c>
      <c r="N240" s="115" t="s">
        <v>954</v>
      </c>
      <c r="O240" s="116">
        <v>4</v>
      </c>
      <c r="P240" s="117">
        <f>((0.6+1)/2)*1*4</f>
        <v>3.2</v>
      </c>
      <c r="Q240" s="118" t="s">
        <v>192</v>
      </c>
    </row>
    <row r="241" spans="1:17" ht="15" customHeight="1">
      <c r="A241" s="54"/>
      <c r="B241" s="363"/>
      <c r="C241" s="363"/>
      <c r="D241" s="58"/>
      <c r="E241" s="292"/>
      <c r="F241" s="64"/>
      <c r="G241" s="476"/>
      <c r="H241" s="469"/>
      <c r="I241" s="469"/>
      <c r="J241" s="469"/>
      <c r="K241" s="469"/>
      <c r="L241" s="477"/>
      <c r="M241" s="478"/>
      <c r="N241" s="473"/>
      <c r="O241" s="479"/>
      <c r="P241" s="474"/>
      <c r="Q241" s="475"/>
    </row>
    <row r="242" spans="1:17" ht="15" customHeight="1">
      <c r="A242" s="54"/>
      <c r="B242" s="363"/>
      <c r="C242" s="363"/>
      <c r="D242" s="58"/>
      <c r="E242" s="292"/>
      <c r="F242" s="64"/>
      <c r="G242" s="119"/>
      <c r="H242" s="120"/>
      <c r="I242" s="121"/>
      <c r="J242" s="122"/>
      <c r="K242" s="123"/>
      <c r="L242" s="124"/>
      <c r="M242" s="125"/>
      <c r="N242" s="126"/>
      <c r="O242" s="127"/>
      <c r="P242" s="128"/>
      <c r="Q242" s="129"/>
    </row>
    <row r="243" spans="1:17" ht="15" customHeight="1">
      <c r="A243" s="54"/>
      <c r="B243" s="291">
        <v>800</v>
      </c>
      <c r="C243" s="363"/>
      <c r="D243" s="58"/>
      <c r="E243" s="292"/>
      <c r="F243" s="64"/>
      <c r="G243" s="480"/>
      <c r="H243" s="481"/>
      <c r="I243" s="481"/>
      <c r="J243" s="481"/>
      <c r="K243" s="481"/>
      <c r="L243" s="482"/>
      <c r="M243" s="473"/>
      <c r="N243" s="473"/>
      <c r="O243" s="473"/>
      <c r="P243" s="483"/>
      <c r="Q243" s="484"/>
    </row>
    <row r="244" spans="1:17" ht="15" customHeight="1">
      <c r="A244" s="54"/>
      <c r="B244" s="363">
        <v>100</v>
      </c>
      <c r="C244" s="363">
        <v>100</v>
      </c>
      <c r="D244" s="58"/>
      <c r="E244" s="292"/>
      <c r="F244" s="64"/>
      <c r="G244" s="130"/>
      <c r="H244" s="126"/>
      <c r="I244" s="125"/>
      <c r="J244" s="131"/>
      <c r="K244" s="132"/>
      <c r="L244" s="133"/>
      <c r="M244" s="410"/>
      <c r="N244" s="127"/>
      <c r="O244" s="127"/>
      <c r="P244" s="117"/>
      <c r="Q244" s="134"/>
    </row>
    <row r="245" spans="1:17" ht="15" customHeight="1">
      <c r="A245" s="54"/>
      <c r="B245" s="57"/>
      <c r="C245" s="57"/>
      <c r="D245" s="95"/>
      <c r="E245" s="292"/>
      <c r="F245" s="64"/>
      <c r="G245" s="480" t="s">
        <v>193</v>
      </c>
      <c r="H245" s="481"/>
      <c r="I245" s="481" t="s">
        <v>957</v>
      </c>
      <c r="J245" s="481"/>
      <c r="K245" s="481"/>
      <c r="L245" s="485"/>
      <c r="M245" s="502"/>
      <c r="N245" s="485"/>
      <c r="O245" s="487"/>
      <c r="P245" s="474"/>
      <c r="Q245" s="475"/>
    </row>
    <row r="246" spans="1:17" ht="15" customHeight="1">
      <c r="A246" s="96"/>
      <c r="B246" s="291">
        <f>B243+B244+C244</f>
        <v>1000</v>
      </c>
      <c r="C246" s="291"/>
      <c r="D246" s="95"/>
      <c r="E246" s="292"/>
      <c r="F246" s="64"/>
      <c r="G246" s="135"/>
      <c r="H246" s="136"/>
      <c r="I246" s="136"/>
      <c r="J246" s="136"/>
      <c r="K246" s="136"/>
      <c r="L246" s="137"/>
      <c r="M246" s="137"/>
      <c r="N246" s="137"/>
      <c r="O246" s="137"/>
      <c r="P246" s="138">
        <v>4</v>
      </c>
      <c r="Q246" s="139" t="s">
        <v>1</v>
      </c>
    </row>
    <row r="247" spans="1:17" ht="15" customHeight="1">
      <c r="A247" s="54"/>
      <c r="B247" s="57"/>
      <c r="C247" s="57"/>
      <c r="D247" s="95"/>
      <c r="E247" s="292"/>
      <c r="F247" s="64"/>
      <c r="G247" s="480" t="s">
        <v>513</v>
      </c>
      <c r="H247" s="140"/>
      <c r="I247" s="140"/>
      <c r="J247" s="140"/>
      <c r="K247" s="140"/>
      <c r="L247" s="141"/>
      <c r="M247" s="142"/>
      <c r="N247" s="142"/>
      <c r="O247" s="142"/>
      <c r="P247" s="488"/>
      <c r="Q247" s="489"/>
    </row>
    <row r="248" spans="1:17" ht="15" customHeight="1">
      <c r="A248" s="54"/>
      <c r="B248" s="290"/>
      <c r="C248" s="291"/>
      <c r="D248" s="95"/>
      <c r="E248" s="292"/>
      <c r="F248" s="64"/>
      <c r="G248" s="143"/>
      <c r="H248" s="144"/>
      <c r="I248" s="144"/>
      <c r="J248" s="144"/>
      <c r="K248" s="144"/>
      <c r="L248" s="145">
        <v>3</v>
      </c>
      <c r="M248" s="411"/>
      <c r="N248" s="137"/>
      <c r="O248" s="116"/>
      <c r="P248" s="146">
        <f>ROUNDDOWN(dhTextEvaluate(L248),2)</f>
        <v>3</v>
      </c>
      <c r="Q248" s="139" t="s">
        <v>54</v>
      </c>
    </row>
    <row r="249" spans="1:17" ht="15" customHeight="1">
      <c r="A249" s="54"/>
      <c r="B249" s="57"/>
      <c r="C249" s="57"/>
      <c r="D249" s="58"/>
      <c r="E249" s="292"/>
      <c r="F249" s="64"/>
      <c r="G249" s="468" t="s">
        <v>71</v>
      </c>
      <c r="H249" s="140"/>
      <c r="I249" s="490"/>
      <c r="J249" s="490"/>
      <c r="K249" s="490"/>
      <c r="L249" s="487"/>
      <c r="M249" s="487"/>
      <c r="N249" s="473"/>
      <c r="O249" s="473"/>
      <c r="P249" s="474"/>
      <c r="Q249" s="491"/>
    </row>
    <row r="250" spans="1:17" ht="15" customHeight="1">
      <c r="A250" s="54"/>
      <c r="B250" s="57"/>
      <c r="C250" s="57"/>
      <c r="D250" s="363"/>
      <c r="E250" s="58"/>
      <c r="F250" s="55"/>
      <c r="G250" s="112"/>
      <c r="H250" s="147"/>
      <c r="I250" s="147"/>
      <c r="J250" s="147"/>
      <c r="K250" s="147"/>
      <c r="L250" s="116">
        <v>3</v>
      </c>
      <c r="M250" s="137"/>
      <c r="N250" s="116"/>
      <c r="O250" s="116"/>
      <c r="P250" s="148">
        <f>L250</f>
        <v>3</v>
      </c>
      <c r="Q250" s="149" t="s">
        <v>54</v>
      </c>
    </row>
    <row r="251" spans="1:17" ht="15" customHeight="1">
      <c r="A251" s="54"/>
      <c r="B251" s="57"/>
      <c r="C251" s="57"/>
      <c r="D251" s="58"/>
      <c r="E251" s="58"/>
      <c r="F251" s="55"/>
      <c r="G251" s="468" t="s">
        <v>361</v>
      </c>
      <c r="H251" s="472"/>
      <c r="I251" s="472"/>
      <c r="J251" s="472"/>
      <c r="K251" s="472"/>
      <c r="L251" s="473"/>
      <c r="M251" s="492"/>
      <c r="N251" s="473"/>
      <c r="O251" s="473"/>
      <c r="P251" s="493"/>
      <c r="Q251" s="494"/>
    </row>
    <row r="252" spans="1:17" ht="15" customHeight="1">
      <c r="A252" s="54"/>
      <c r="B252" s="57"/>
      <c r="C252" s="57"/>
      <c r="D252" s="363"/>
      <c r="E252" s="58"/>
      <c r="F252" s="55"/>
      <c r="G252" s="150"/>
      <c r="H252" s="151"/>
      <c r="I252" s="151"/>
      <c r="J252" s="151"/>
      <c r="K252" s="151"/>
      <c r="L252" s="116">
        <v>1</v>
      </c>
      <c r="M252" s="152"/>
      <c r="N252" s="152"/>
      <c r="O252" s="152"/>
      <c r="P252" s="148">
        <f>ROUNDDOWN(dhTextEvaluate(L252),2)</f>
        <v>1</v>
      </c>
      <c r="Q252" s="149" t="s">
        <v>963</v>
      </c>
    </row>
    <row r="253" spans="1:17" ht="15" customHeight="1">
      <c r="A253" s="54"/>
      <c r="B253" s="363"/>
      <c r="C253" s="363"/>
      <c r="D253" s="363"/>
      <c r="E253" s="58"/>
      <c r="F253" s="55"/>
      <c r="G253" s="495"/>
      <c r="H253" s="496"/>
      <c r="I253" s="496"/>
      <c r="J253" s="496"/>
      <c r="K253" s="496"/>
      <c r="L253" s="497"/>
      <c r="M253" s="497"/>
      <c r="N253" s="499"/>
      <c r="O253" s="499"/>
      <c r="P253" s="500"/>
      <c r="Q253" s="501"/>
    </row>
    <row r="254" spans="1:17" ht="15" customHeight="1">
      <c r="A254" s="54"/>
      <c r="B254" s="363"/>
      <c r="C254" s="363"/>
      <c r="D254" s="363"/>
      <c r="E254" s="58"/>
      <c r="F254" s="55"/>
      <c r="G254" s="153"/>
      <c r="H254" s="154"/>
      <c r="I254" s="154"/>
      <c r="J254" s="154"/>
      <c r="K254" s="154"/>
      <c r="L254" s="155"/>
      <c r="M254" s="412"/>
      <c r="N254" s="155"/>
      <c r="O254" s="155"/>
      <c r="P254" s="156"/>
      <c r="Q254" s="157"/>
    </row>
    <row r="255" spans="1:17" ht="15" customHeight="1">
      <c r="A255" s="54"/>
      <c r="B255" s="363"/>
      <c r="C255" s="363"/>
      <c r="D255" s="363"/>
      <c r="E255" s="58"/>
      <c r="F255" s="55"/>
      <c r="G255" s="426"/>
      <c r="H255" s="462"/>
      <c r="I255" s="462"/>
      <c r="J255" s="462"/>
      <c r="K255" s="462"/>
      <c r="L255" s="430"/>
      <c r="M255" s="430"/>
      <c r="N255" s="430"/>
      <c r="O255" s="430"/>
      <c r="P255" s="431"/>
      <c r="Q255" s="432"/>
    </row>
    <row r="256" spans="1:17" ht="15" customHeight="1">
      <c r="A256" s="109"/>
      <c r="B256" s="89"/>
      <c r="C256" s="89"/>
      <c r="D256" s="89"/>
      <c r="E256" s="276"/>
      <c r="F256" s="67"/>
      <c r="G256" s="289"/>
      <c r="H256" s="275"/>
      <c r="I256" s="275"/>
      <c r="J256" s="275"/>
      <c r="K256" s="275"/>
      <c r="L256" s="276"/>
      <c r="M256" s="276"/>
      <c r="N256" s="276"/>
      <c r="O256" s="110"/>
      <c r="P256" s="293"/>
      <c r="Q256" s="277"/>
    </row>
    <row r="257" spans="1:17" ht="24.95" customHeight="1">
      <c r="A257" t="s">
        <v>365</v>
      </c>
      <c r="H257" t="s">
        <v>158</v>
      </c>
      <c r="M257" s="1627"/>
      <c r="N257" s="1627"/>
      <c r="O257" s="1627"/>
      <c r="P257" s="1627"/>
      <c r="Q257" s="1627"/>
    </row>
    <row r="258" spans="1:17" ht="15" customHeight="1">
      <c r="B258" t="s">
        <v>151</v>
      </c>
      <c r="I258" t="s">
        <v>159</v>
      </c>
      <c r="J258" t="s">
        <v>160</v>
      </c>
      <c r="K258" t="s">
        <v>161</v>
      </c>
      <c r="L258" t="s">
        <v>162</v>
      </c>
      <c r="M258" s="187" t="s">
        <v>163</v>
      </c>
      <c r="P258" t="s">
        <v>164</v>
      </c>
    </row>
    <row r="259" spans="1:17" ht="15" customHeight="1">
      <c r="G259" t="s">
        <v>165</v>
      </c>
      <c r="H259" t="s">
        <v>166</v>
      </c>
    </row>
    <row r="260" spans="1:17" ht="15" customHeight="1">
      <c r="G260" t="s">
        <v>167</v>
      </c>
      <c r="H260">
        <f>B263/1000</f>
        <v>2.2999999999999998</v>
      </c>
      <c r="K260" t="s">
        <v>168</v>
      </c>
      <c r="L260">
        <f>B279/1000</f>
        <v>1.4</v>
      </c>
      <c r="N260" t="s">
        <v>169</v>
      </c>
      <c r="O260">
        <f>D274/1000</f>
        <v>1.5</v>
      </c>
    </row>
    <row r="261" spans="1:17" ht="15" customHeight="1">
      <c r="D261" t="s">
        <v>360</v>
      </c>
      <c r="G261" t="s">
        <v>170</v>
      </c>
      <c r="H261">
        <f>B263/1000</f>
        <v>2.2999999999999998</v>
      </c>
      <c r="K261" t="s">
        <v>171</v>
      </c>
      <c r="L261">
        <f>B279/1000</f>
        <v>1.4</v>
      </c>
    </row>
    <row r="262" spans="1:17" ht="15" customHeight="1">
      <c r="G262" t="s">
        <v>172</v>
      </c>
      <c r="P262">
        <f>ROUNDDOWN(O260/6*((2*H260+L260)*H261+(2*L260+H260)*L261),2)</f>
        <v>5.23</v>
      </c>
      <c r="Q262" t="s">
        <v>91</v>
      </c>
    </row>
    <row r="263" spans="1:17" ht="15" customHeight="1">
      <c r="B263">
        <f>B279+(0.3*D274)*2</f>
        <v>2300</v>
      </c>
      <c r="G263" t="s">
        <v>173</v>
      </c>
      <c r="H263" t="s">
        <v>197</v>
      </c>
    </row>
    <row r="264" spans="1:17" ht="15" customHeight="1">
      <c r="G264" t="s">
        <v>167</v>
      </c>
      <c r="H264">
        <f>B276/1000</f>
        <v>1.2</v>
      </c>
      <c r="K264" t="s">
        <v>83</v>
      </c>
      <c r="L264">
        <f>B265/1000</f>
        <v>0.7</v>
      </c>
      <c r="N264" t="s">
        <v>169</v>
      </c>
      <c r="O264">
        <f>O260</f>
        <v>1.5</v>
      </c>
    </row>
    <row r="265" spans="1:17" ht="15" customHeight="1">
      <c r="B265">
        <v>700</v>
      </c>
      <c r="G265" t="s">
        <v>170</v>
      </c>
      <c r="H265">
        <f>B276/1000</f>
        <v>1.2</v>
      </c>
      <c r="K265" t="s">
        <v>84</v>
      </c>
      <c r="L265">
        <f>B265/1000</f>
        <v>0.7</v>
      </c>
    </row>
    <row r="266" spans="1:17" ht="15" customHeight="1">
      <c r="G266" t="s">
        <v>177</v>
      </c>
      <c r="P266">
        <f>ROUNDDOWN(O264/6*((2*H264+L264)*H265+(2*L264+H264)*L265),2)</f>
        <v>1.38</v>
      </c>
      <c r="Q266" t="s">
        <v>91</v>
      </c>
    </row>
    <row r="267" spans="1:17" ht="15" customHeight="1">
      <c r="G267" t="s">
        <v>178</v>
      </c>
      <c r="I267" t="s">
        <v>179</v>
      </c>
      <c r="J267" t="s">
        <v>180</v>
      </c>
      <c r="K267" t="s">
        <v>181</v>
      </c>
    </row>
    <row r="268" spans="1:17" ht="15" customHeight="1">
      <c r="L268" t="s">
        <v>198</v>
      </c>
      <c r="M268" s="187" t="s">
        <v>199</v>
      </c>
      <c r="P268">
        <f>P262-P266</f>
        <v>3.8500000000000005</v>
      </c>
      <c r="Q268" t="s">
        <v>91</v>
      </c>
    </row>
    <row r="269" spans="1:17" ht="15" customHeight="1">
      <c r="G269" t="s">
        <v>183</v>
      </c>
      <c r="I269" t="s">
        <v>184</v>
      </c>
      <c r="J269" t="s">
        <v>200</v>
      </c>
    </row>
    <row r="270" spans="1:17" ht="15" customHeight="1">
      <c r="A270" t="s">
        <v>201</v>
      </c>
      <c r="P270">
        <f>P266</f>
        <v>1.38</v>
      </c>
      <c r="Q270" t="s">
        <v>91</v>
      </c>
    </row>
    <row r="271" spans="1:17" ht="15" customHeight="1">
      <c r="G271" t="s">
        <v>186</v>
      </c>
    </row>
    <row r="272" spans="1:17" ht="15" customHeight="1">
      <c r="G272" t="s">
        <v>187</v>
      </c>
      <c r="H272">
        <f>B265/1000</f>
        <v>0.7</v>
      </c>
      <c r="I272" t="s">
        <v>188</v>
      </c>
      <c r="J272">
        <f>B276/1000</f>
        <v>1.2</v>
      </c>
      <c r="K272" t="s">
        <v>189</v>
      </c>
      <c r="L272" t="s">
        <v>190</v>
      </c>
      <c r="M272" s="187">
        <f>D274/1000</f>
        <v>1.5</v>
      </c>
      <c r="N272" t="s">
        <v>191</v>
      </c>
      <c r="O272">
        <v>4</v>
      </c>
      <c r="P272">
        <f>((0.7+1.2)/2)*1.5*4</f>
        <v>5.6999999999999993</v>
      </c>
      <c r="Q272" t="s">
        <v>192</v>
      </c>
    </row>
    <row r="273" spans="2:17" ht="15" customHeight="1"/>
    <row r="274" spans="2:17" ht="15" customHeight="1">
      <c r="D274">
        <v>1500</v>
      </c>
    </row>
    <row r="275" spans="2:17" ht="15" customHeight="1"/>
    <row r="276" spans="2:17" ht="15" customHeight="1">
      <c r="B276">
        <v>1200</v>
      </c>
    </row>
    <row r="277" spans="2:17" ht="15" customHeight="1">
      <c r="B277">
        <v>100</v>
      </c>
      <c r="C277">
        <v>100</v>
      </c>
      <c r="G277" t="s">
        <v>193</v>
      </c>
      <c r="I277" t="s">
        <v>156</v>
      </c>
    </row>
    <row r="278" spans="2:17" ht="15" customHeight="1">
      <c r="P278">
        <v>8</v>
      </c>
      <c r="Q278" t="s">
        <v>195</v>
      </c>
    </row>
    <row r="279" spans="2:17" ht="15" customHeight="1">
      <c r="B279">
        <f>B276+B277+C277</f>
        <v>1400</v>
      </c>
      <c r="G279" t="s">
        <v>362</v>
      </c>
    </row>
    <row r="280" spans="2:17" ht="15" customHeight="1">
      <c r="L280">
        <v>3</v>
      </c>
      <c r="P280">
        <f>ROUNDDOWN(dhTextEvaluate(L280),2)</f>
        <v>3</v>
      </c>
      <c r="Q280" t="s">
        <v>196</v>
      </c>
    </row>
    <row r="281" spans="2:17" ht="15" customHeight="1">
      <c r="G281" t="s">
        <v>363</v>
      </c>
    </row>
    <row r="282" spans="2:17" ht="15" customHeight="1">
      <c r="L282">
        <v>3</v>
      </c>
      <c r="P282">
        <f>L282</f>
        <v>3</v>
      </c>
      <c r="Q282" t="s">
        <v>196</v>
      </c>
    </row>
    <row r="283" spans="2:17" ht="15" customHeight="1">
      <c r="G283" t="s">
        <v>361</v>
      </c>
    </row>
    <row r="284" spans="2:17" ht="15" customHeight="1">
      <c r="L284">
        <v>1</v>
      </c>
      <c r="P284">
        <f>ROUNDDOWN(dhTextEvaluate(L284),2)</f>
        <v>1</v>
      </c>
      <c r="Q284" t="s">
        <v>158</v>
      </c>
    </row>
    <row r="285" spans="2:17" ht="15" customHeight="1"/>
    <row r="286" spans="2:17" ht="15" customHeight="1"/>
    <row r="287" spans="2:17" ht="15" customHeight="1"/>
    <row r="288" spans="2:17" ht="15" customHeight="1"/>
    <row r="289" spans="1:17" ht="24.95" customHeight="1">
      <c r="A289" t="s">
        <v>209</v>
      </c>
      <c r="H289" t="s">
        <v>158</v>
      </c>
    </row>
    <row r="290" spans="1:17" ht="15" customHeight="1">
      <c r="B290" t="s">
        <v>210</v>
      </c>
      <c r="I290" t="s">
        <v>159</v>
      </c>
      <c r="J290" t="s">
        <v>160</v>
      </c>
      <c r="K290" t="s">
        <v>161</v>
      </c>
      <c r="L290" t="s">
        <v>162</v>
      </c>
      <c r="M290" s="187" t="s">
        <v>163</v>
      </c>
      <c r="P290" t="s">
        <v>164</v>
      </c>
    </row>
    <row r="291" spans="1:17" ht="15" customHeight="1">
      <c r="G291" t="s">
        <v>165</v>
      </c>
      <c r="I291" t="s">
        <v>166</v>
      </c>
    </row>
    <row r="292" spans="1:17" ht="15" customHeight="1">
      <c r="G292" t="s">
        <v>167</v>
      </c>
      <c r="H292">
        <f>B295/1000</f>
        <v>1.2</v>
      </c>
      <c r="K292" t="s">
        <v>168</v>
      </c>
      <c r="L292">
        <f>B293/1000</f>
        <v>1.2</v>
      </c>
      <c r="N292" t="s">
        <v>169</v>
      </c>
      <c r="O292">
        <f>(D306+D308)/1000</f>
        <v>1</v>
      </c>
    </row>
    <row r="293" spans="1:17" ht="15" customHeight="1">
      <c r="B293">
        <f>B317+(0.3*(D308)*2)</f>
        <v>1200</v>
      </c>
      <c r="D293" t="s">
        <v>211</v>
      </c>
      <c r="G293" t="s">
        <v>170</v>
      </c>
      <c r="H293">
        <f>B315/1000</f>
        <v>0.6</v>
      </c>
      <c r="K293" t="s">
        <v>171</v>
      </c>
      <c r="L293">
        <f>B317/1000</f>
        <v>0.6</v>
      </c>
    </row>
    <row r="294" spans="1:17" ht="15" customHeight="1">
      <c r="G294" t="s">
        <v>172</v>
      </c>
      <c r="P294">
        <f>ROUNDDOWN(O292/6*((2*H292+L292)*H293+(2*L292+H292)*L293),2)</f>
        <v>0.72</v>
      </c>
      <c r="Q294" t="s">
        <v>91</v>
      </c>
    </row>
    <row r="295" spans="1:17" ht="15" customHeight="1">
      <c r="B295">
        <f>B315+(0.3*(D308)*2)</f>
        <v>1200</v>
      </c>
      <c r="G295" t="s">
        <v>173</v>
      </c>
      <c r="I295" t="s">
        <v>174</v>
      </c>
    </row>
    <row r="296" spans="1:17" ht="15" customHeight="1">
      <c r="B296">
        <v>400</v>
      </c>
      <c r="G296" t="s">
        <v>167</v>
      </c>
      <c r="H296">
        <f>B296/1000</f>
        <v>0.4</v>
      </c>
      <c r="K296" t="s">
        <v>168</v>
      </c>
      <c r="L296">
        <f>B310/1000</f>
        <v>0.4</v>
      </c>
      <c r="N296" t="s">
        <v>169</v>
      </c>
      <c r="O296">
        <f>D308/1000</f>
        <v>1</v>
      </c>
      <c r="P296">
        <f>ROUNDDOWN(H296*L296*O296,2)</f>
        <v>0.16</v>
      </c>
      <c r="Q296" t="s">
        <v>175</v>
      </c>
    </row>
    <row r="297" spans="1:17" ht="15" customHeight="1">
      <c r="G297" t="s">
        <v>167</v>
      </c>
      <c r="H297">
        <f>B296/1000</f>
        <v>0.4</v>
      </c>
      <c r="K297" t="s">
        <v>168</v>
      </c>
      <c r="L297">
        <f>B310/1000</f>
        <v>0.4</v>
      </c>
      <c r="N297" t="s">
        <v>169</v>
      </c>
      <c r="O297">
        <f>D304/1000</f>
        <v>0</v>
      </c>
      <c r="P297">
        <f>ROUNDDOWN(H297*L297*O297,2)</f>
        <v>0</v>
      </c>
      <c r="Q297" t="s">
        <v>176</v>
      </c>
    </row>
    <row r="298" spans="1:17" ht="15" customHeight="1"/>
    <row r="299" spans="1:17" ht="15" customHeight="1"/>
    <row r="300" spans="1:17" ht="15" customHeight="1">
      <c r="G300" t="s">
        <v>177</v>
      </c>
      <c r="P300">
        <f>SUM(P296:P299)</f>
        <v>0.16</v>
      </c>
      <c r="Q300" t="s">
        <v>91</v>
      </c>
    </row>
    <row r="301" spans="1:17" ht="15" customHeight="1">
      <c r="G301" t="s">
        <v>178</v>
      </c>
      <c r="I301" t="s">
        <v>179</v>
      </c>
      <c r="J301" t="s">
        <v>180</v>
      </c>
      <c r="K301" t="s">
        <v>181</v>
      </c>
    </row>
    <row r="302" spans="1:17" ht="15" customHeight="1">
      <c r="I302" t="s">
        <v>179</v>
      </c>
      <c r="J302">
        <f>P294</f>
        <v>0.72</v>
      </c>
      <c r="K302" t="s">
        <v>182</v>
      </c>
      <c r="L302">
        <f>P304</f>
        <v>0.16</v>
      </c>
      <c r="P302">
        <f>ROUNDDOWN(J302-L302,2)</f>
        <v>0.56000000000000005</v>
      </c>
      <c r="Q302" t="s">
        <v>91</v>
      </c>
    </row>
    <row r="303" spans="1:17" ht="15" customHeight="1">
      <c r="G303" t="s">
        <v>183</v>
      </c>
      <c r="I303" t="s">
        <v>184</v>
      </c>
      <c r="K303" t="s">
        <v>185</v>
      </c>
    </row>
    <row r="304" spans="1:17" ht="15" customHeight="1">
      <c r="I304" t="s">
        <v>184</v>
      </c>
      <c r="L304">
        <f>P296</f>
        <v>0.16</v>
      </c>
      <c r="P304">
        <f>ROUNDDOWN(L304+N304,2)</f>
        <v>0.16</v>
      </c>
      <c r="Q304" t="s">
        <v>91</v>
      </c>
    </row>
    <row r="305" spans="2:17" ht="15" customHeight="1">
      <c r="G305" t="s">
        <v>186</v>
      </c>
    </row>
    <row r="306" spans="2:17" ht="15" customHeight="1">
      <c r="H306" t="s">
        <v>212</v>
      </c>
      <c r="P306">
        <f>ROUNDDOWN(dhTextEvaluate(H306),2)</f>
        <v>1.6</v>
      </c>
      <c r="Q306" t="s">
        <v>192</v>
      </c>
    </row>
    <row r="307" spans="2:17" ht="15" customHeight="1"/>
    <row r="308" spans="2:17" ht="15" customHeight="1">
      <c r="D308">
        <v>1000</v>
      </c>
    </row>
    <row r="309" spans="2:17" ht="15" customHeight="1"/>
    <row r="310" spans="2:17" ht="15" customHeight="1">
      <c r="B310">
        <v>400</v>
      </c>
    </row>
    <row r="311" spans="2:17" ht="15" customHeight="1">
      <c r="B311">
        <v>100</v>
      </c>
      <c r="C311">
        <v>100</v>
      </c>
      <c r="G311" t="s">
        <v>193</v>
      </c>
      <c r="I311" t="s">
        <v>194</v>
      </c>
    </row>
    <row r="312" spans="2:17" ht="15" customHeight="1">
      <c r="B312">
        <v>400</v>
      </c>
      <c r="P312">
        <v>4</v>
      </c>
      <c r="Q312" t="s">
        <v>195</v>
      </c>
    </row>
    <row r="313" spans="2:17" ht="15" customHeight="1">
      <c r="B313">
        <v>100</v>
      </c>
      <c r="C313">
        <v>100</v>
      </c>
      <c r="G313" t="s">
        <v>213</v>
      </c>
    </row>
    <row r="314" spans="2:17" ht="15" customHeight="1">
      <c r="L314">
        <v>3</v>
      </c>
      <c r="P314">
        <f>$L$1853</f>
        <v>0</v>
      </c>
      <c r="Q314" t="s">
        <v>196</v>
      </c>
    </row>
    <row r="315" spans="2:17" ht="15" customHeight="1">
      <c r="B315">
        <f>B311+B310+C311</f>
        <v>600</v>
      </c>
    </row>
    <row r="316" spans="2:17" ht="15" customHeight="1"/>
    <row r="317" spans="2:17" ht="15" customHeight="1">
      <c r="B317">
        <f>B313+B312+C313</f>
        <v>600</v>
      </c>
      <c r="G317" t="s">
        <v>214</v>
      </c>
    </row>
    <row r="318" spans="2:17" ht="15" customHeight="1">
      <c r="L318">
        <v>1</v>
      </c>
      <c r="P318">
        <f>$L$1857</f>
        <v>0</v>
      </c>
      <c r="Q318" t="s">
        <v>158</v>
      </c>
    </row>
    <row r="319" spans="2:17" ht="15" customHeight="1"/>
    <row r="320" spans="2:17" ht="15" customHeight="1"/>
    <row r="321" spans="1:17" ht="24.95" customHeight="1">
      <c r="A321" t="s">
        <v>67</v>
      </c>
      <c r="H321" t="s">
        <v>158</v>
      </c>
    </row>
    <row r="322" spans="1:17" ht="15" customHeight="1">
      <c r="B322" t="s">
        <v>68</v>
      </c>
      <c r="I322" t="s">
        <v>159</v>
      </c>
      <c r="J322" t="s">
        <v>160</v>
      </c>
      <c r="K322" t="s">
        <v>161</v>
      </c>
      <c r="L322" t="s">
        <v>162</v>
      </c>
      <c r="M322" s="187" t="s">
        <v>163</v>
      </c>
      <c r="P322" t="s">
        <v>164</v>
      </c>
    </row>
    <row r="323" spans="1:17" ht="15" customHeight="1">
      <c r="G323" t="s">
        <v>165</v>
      </c>
      <c r="I323" t="s">
        <v>166</v>
      </c>
    </row>
    <row r="324" spans="1:17" ht="15" customHeight="1">
      <c r="G324" t="s">
        <v>167</v>
      </c>
      <c r="H324">
        <f>B327/1000</f>
        <v>1.52</v>
      </c>
      <c r="K324" t="s">
        <v>168</v>
      </c>
      <c r="L324">
        <f>B325/1000</f>
        <v>1.1200000000000001</v>
      </c>
      <c r="N324" t="s">
        <v>169</v>
      </c>
      <c r="O324">
        <f>(D338+D340)/1000</f>
        <v>0.7</v>
      </c>
    </row>
    <row r="325" spans="1:17" ht="15" customHeight="1">
      <c r="B325">
        <f>B349+(0.3*(D340)*2)</f>
        <v>1120</v>
      </c>
      <c r="D325" t="s">
        <v>69</v>
      </c>
      <c r="G325" t="s">
        <v>170</v>
      </c>
      <c r="H325">
        <f>B347/1000</f>
        <v>1.1000000000000001</v>
      </c>
      <c r="K325" t="s">
        <v>171</v>
      </c>
      <c r="L325">
        <f>B349/1000</f>
        <v>0.7</v>
      </c>
    </row>
    <row r="326" spans="1:17" ht="15" customHeight="1">
      <c r="G326" t="s">
        <v>172</v>
      </c>
      <c r="P326">
        <f>ROUNDDOWN(O324/6*((2*H324+L324)*H325+(2*L324+H324)*L325),2)</f>
        <v>0.84</v>
      </c>
      <c r="Q326" t="s">
        <v>91</v>
      </c>
    </row>
    <row r="327" spans="1:17" ht="15" customHeight="1">
      <c r="B327">
        <f>B347+(0.3*(D340)*2)</f>
        <v>1520</v>
      </c>
      <c r="G327" t="s">
        <v>173</v>
      </c>
      <c r="I327" t="s">
        <v>174</v>
      </c>
    </row>
    <row r="328" spans="1:17" ht="15" customHeight="1">
      <c r="B328">
        <v>900</v>
      </c>
      <c r="G328" t="s">
        <v>167</v>
      </c>
      <c r="H328">
        <f>B328/1000</f>
        <v>0.9</v>
      </c>
      <c r="K328" t="s">
        <v>168</v>
      </c>
      <c r="L328">
        <f>B342/1000</f>
        <v>0.9</v>
      </c>
      <c r="N328" t="s">
        <v>169</v>
      </c>
      <c r="O328">
        <f>D340/1000</f>
        <v>0.7</v>
      </c>
      <c r="P328">
        <f>ROUNDDOWN(H328*L328*O328,2)</f>
        <v>0.56000000000000005</v>
      </c>
      <c r="Q328" t="s">
        <v>175</v>
      </c>
    </row>
    <row r="329" spans="1:17" ht="15" customHeight="1">
      <c r="G329" t="s">
        <v>167</v>
      </c>
      <c r="H329">
        <f>B328/1000</f>
        <v>0.9</v>
      </c>
      <c r="K329" t="s">
        <v>168</v>
      </c>
      <c r="L329">
        <f>B342/1000</f>
        <v>0.9</v>
      </c>
      <c r="N329" t="s">
        <v>169</v>
      </c>
      <c r="O329">
        <f>D336/1000</f>
        <v>0</v>
      </c>
      <c r="P329">
        <f>ROUNDDOWN(H329*L329*O329,2)</f>
        <v>0</v>
      </c>
      <c r="Q329" t="s">
        <v>176</v>
      </c>
    </row>
    <row r="330" spans="1:17" ht="15" customHeight="1"/>
    <row r="331" spans="1:17" ht="15" customHeight="1"/>
    <row r="332" spans="1:17" ht="15" customHeight="1">
      <c r="G332" t="s">
        <v>177</v>
      </c>
      <c r="P332">
        <f>SUM(P328:P331)</f>
        <v>0.56000000000000005</v>
      </c>
      <c r="Q332" t="s">
        <v>91</v>
      </c>
    </row>
    <row r="333" spans="1:17" ht="15" customHeight="1">
      <c r="G333" t="s">
        <v>178</v>
      </c>
      <c r="I333" t="s">
        <v>179</v>
      </c>
      <c r="J333" t="s">
        <v>180</v>
      </c>
      <c r="K333" t="s">
        <v>181</v>
      </c>
    </row>
    <row r="334" spans="1:17" ht="15" customHeight="1">
      <c r="I334" t="s">
        <v>179</v>
      </c>
      <c r="J334">
        <f>P326</f>
        <v>0.84</v>
      </c>
      <c r="K334" t="s">
        <v>182</v>
      </c>
      <c r="L334">
        <f>P336</f>
        <v>0.56000000000000005</v>
      </c>
      <c r="P334">
        <f>ROUNDDOWN(J334-L334,2)</f>
        <v>0.28000000000000003</v>
      </c>
      <c r="Q334" t="s">
        <v>91</v>
      </c>
    </row>
    <row r="335" spans="1:17" ht="15" customHeight="1">
      <c r="G335" t="s">
        <v>183</v>
      </c>
      <c r="I335" t="s">
        <v>184</v>
      </c>
      <c r="K335" t="s">
        <v>185</v>
      </c>
    </row>
    <row r="336" spans="1:17" ht="15" customHeight="1">
      <c r="I336" t="s">
        <v>184</v>
      </c>
      <c r="L336">
        <f>P328</f>
        <v>0.56000000000000005</v>
      </c>
      <c r="P336">
        <f>ROUNDDOWN(L336+N336,2)</f>
        <v>0.56000000000000005</v>
      </c>
      <c r="Q336" t="s">
        <v>91</v>
      </c>
    </row>
    <row r="337" spans="2:17" ht="15" customHeight="1">
      <c r="G337" t="s">
        <v>186</v>
      </c>
    </row>
    <row r="338" spans="2:17" ht="15" customHeight="1">
      <c r="H338" t="s">
        <v>216</v>
      </c>
      <c r="P338">
        <f>ROUNDDOWN(dhTextEvaluate(H338),2)</f>
        <v>3.6</v>
      </c>
      <c r="Q338" t="s">
        <v>192</v>
      </c>
    </row>
    <row r="339" spans="2:17" ht="15" customHeight="1"/>
    <row r="340" spans="2:17" ht="15" customHeight="1">
      <c r="D340">
        <v>700</v>
      </c>
    </row>
    <row r="341" spans="2:17" ht="15" customHeight="1"/>
    <row r="342" spans="2:17" ht="15" customHeight="1">
      <c r="B342">
        <v>900</v>
      </c>
    </row>
    <row r="343" spans="2:17" ht="15" customHeight="1">
      <c r="B343">
        <v>100</v>
      </c>
      <c r="C343">
        <v>100</v>
      </c>
      <c r="G343" t="s">
        <v>2</v>
      </c>
      <c r="I343" t="s">
        <v>3</v>
      </c>
    </row>
    <row r="344" spans="2:17" ht="15" customHeight="1">
      <c r="B344">
        <v>500</v>
      </c>
      <c r="P344">
        <v>4</v>
      </c>
      <c r="Q344" t="s">
        <v>195</v>
      </c>
    </row>
    <row r="345" spans="2:17" ht="15" customHeight="1">
      <c r="B345">
        <v>100</v>
      </c>
      <c r="C345">
        <v>100</v>
      </c>
      <c r="G345" t="s">
        <v>70</v>
      </c>
    </row>
    <row r="346" spans="2:17" ht="15" customHeight="1">
      <c r="L346">
        <v>3</v>
      </c>
      <c r="P346">
        <f>$L$1853</f>
        <v>0</v>
      </c>
      <c r="Q346" t="s">
        <v>196</v>
      </c>
    </row>
    <row r="347" spans="2:17" ht="15" customHeight="1">
      <c r="B347">
        <f>B343+B342+C343</f>
        <v>1100</v>
      </c>
      <c r="G347" t="s">
        <v>71</v>
      </c>
    </row>
    <row r="348" spans="2:17" ht="15" customHeight="1">
      <c r="L348">
        <v>3</v>
      </c>
      <c r="P348">
        <f>L348</f>
        <v>3</v>
      </c>
      <c r="Q348" t="s">
        <v>54</v>
      </c>
    </row>
    <row r="349" spans="2:17" ht="15" customHeight="1">
      <c r="B349">
        <f>B345+B344+C345</f>
        <v>700</v>
      </c>
      <c r="G349" t="s">
        <v>72</v>
      </c>
    </row>
    <row r="350" spans="2:17" ht="15" customHeight="1">
      <c r="L350">
        <v>1</v>
      </c>
      <c r="P350">
        <f>$L$1857</f>
        <v>0</v>
      </c>
      <c r="Q350" t="s">
        <v>158</v>
      </c>
    </row>
    <row r="351" spans="2:17" ht="15" customHeight="1"/>
    <row r="352" spans="2:17" ht="15" customHeight="1"/>
    <row r="353" spans="1:17" ht="24.95" customHeight="1">
      <c r="A353" t="s">
        <v>73</v>
      </c>
      <c r="H353" t="s">
        <v>154</v>
      </c>
    </row>
    <row r="354" spans="1:17" ht="15" customHeight="1">
      <c r="B354" t="s">
        <v>373</v>
      </c>
      <c r="I354" t="s">
        <v>159</v>
      </c>
      <c r="J354" t="s">
        <v>160</v>
      </c>
      <c r="K354" t="s">
        <v>161</v>
      </c>
      <c r="L354" t="s">
        <v>162</v>
      </c>
      <c r="M354" s="187" t="s">
        <v>163</v>
      </c>
      <c r="P354" t="s">
        <v>372</v>
      </c>
    </row>
    <row r="355" spans="1:17" ht="15" customHeight="1">
      <c r="G355" t="s">
        <v>165</v>
      </c>
      <c r="I355" t="s">
        <v>166</v>
      </c>
    </row>
    <row r="356" spans="1:17" ht="15" customHeight="1">
      <c r="G356" t="s">
        <v>167</v>
      </c>
      <c r="H356">
        <f>B359/1000</f>
        <v>1.8</v>
      </c>
      <c r="K356" t="s">
        <v>168</v>
      </c>
      <c r="L356">
        <f>B357/1000</f>
        <v>1.2</v>
      </c>
      <c r="N356" t="s">
        <v>169</v>
      </c>
      <c r="O356">
        <f>(D370+D372)/1000</f>
        <v>1</v>
      </c>
    </row>
    <row r="357" spans="1:17" ht="15" customHeight="1">
      <c r="B357">
        <f>B381+(0.3*(D372)*2)</f>
        <v>1200</v>
      </c>
      <c r="D357" t="s">
        <v>74</v>
      </c>
      <c r="G357" t="s">
        <v>170</v>
      </c>
      <c r="H357">
        <f>B379/1000</f>
        <v>1.2</v>
      </c>
      <c r="K357" t="s">
        <v>171</v>
      </c>
      <c r="L357">
        <f>B381/1000</f>
        <v>0.6</v>
      </c>
    </row>
    <row r="358" spans="1:17" ht="15" customHeight="1">
      <c r="G358" t="s">
        <v>172</v>
      </c>
      <c r="P358">
        <f>ROUNDDOWN(O356/6*((2*H356+L356)*H357+(2*L356+H356)*L357),2)</f>
        <v>1.38</v>
      </c>
      <c r="Q358" t="s">
        <v>91</v>
      </c>
    </row>
    <row r="359" spans="1:17" ht="15" customHeight="1">
      <c r="B359">
        <f>B379+(0.3*(D372)*2)</f>
        <v>1800</v>
      </c>
      <c r="G359" t="s">
        <v>173</v>
      </c>
      <c r="I359" t="s">
        <v>174</v>
      </c>
    </row>
    <row r="360" spans="1:17" ht="15" customHeight="1">
      <c r="B360">
        <v>1000</v>
      </c>
      <c r="G360" t="s">
        <v>167</v>
      </c>
      <c r="H360">
        <f>B360/1000</f>
        <v>1</v>
      </c>
      <c r="K360" t="s">
        <v>168</v>
      </c>
      <c r="L360">
        <f>B374/1000</f>
        <v>1</v>
      </c>
      <c r="N360" t="s">
        <v>169</v>
      </c>
      <c r="O360">
        <f>D372/1000</f>
        <v>1</v>
      </c>
      <c r="P360">
        <f>ROUNDDOWN(H360*L360*O360,2)</f>
        <v>1</v>
      </c>
      <c r="Q360" t="s">
        <v>175</v>
      </c>
    </row>
    <row r="361" spans="1:17" ht="15" customHeight="1">
      <c r="G361" t="s">
        <v>167</v>
      </c>
      <c r="H361">
        <f>B360/1000</f>
        <v>1</v>
      </c>
      <c r="K361" t="s">
        <v>168</v>
      </c>
      <c r="L361">
        <f>B374/1000</f>
        <v>1</v>
      </c>
      <c r="N361" t="s">
        <v>169</v>
      </c>
      <c r="O361">
        <f>D368/1000</f>
        <v>0</v>
      </c>
      <c r="P361">
        <f>ROUNDDOWN(H361*L361*O361,2)</f>
        <v>0</v>
      </c>
      <c r="Q361" t="s">
        <v>176</v>
      </c>
    </row>
    <row r="362" spans="1:17" ht="15" customHeight="1"/>
    <row r="363" spans="1:17" ht="15" customHeight="1"/>
    <row r="364" spans="1:17" ht="15" customHeight="1">
      <c r="G364" t="s">
        <v>177</v>
      </c>
      <c r="P364">
        <f>SUM(P360:P363)</f>
        <v>1</v>
      </c>
      <c r="Q364" t="s">
        <v>91</v>
      </c>
    </row>
    <row r="365" spans="1:17" ht="15" customHeight="1">
      <c r="G365" t="s">
        <v>178</v>
      </c>
      <c r="I365" t="s">
        <v>179</v>
      </c>
      <c r="J365" t="s">
        <v>180</v>
      </c>
      <c r="K365" t="s">
        <v>181</v>
      </c>
    </row>
    <row r="366" spans="1:17" ht="15" customHeight="1">
      <c r="I366" t="s">
        <v>179</v>
      </c>
      <c r="J366">
        <f>P358</f>
        <v>1.38</v>
      </c>
      <c r="K366" t="s">
        <v>182</v>
      </c>
      <c r="L366">
        <f>P368</f>
        <v>1</v>
      </c>
      <c r="P366">
        <f>ROUNDDOWN(J366-L366,2)</f>
        <v>0.38</v>
      </c>
      <c r="Q366" t="s">
        <v>91</v>
      </c>
    </row>
    <row r="367" spans="1:17" ht="15" customHeight="1">
      <c r="G367" t="s">
        <v>183</v>
      </c>
      <c r="I367" t="s">
        <v>184</v>
      </c>
      <c r="K367" t="s">
        <v>185</v>
      </c>
    </row>
    <row r="368" spans="1:17" ht="15" customHeight="1">
      <c r="I368" t="s">
        <v>184</v>
      </c>
      <c r="L368">
        <f>P360</f>
        <v>1</v>
      </c>
      <c r="P368">
        <f>ROUNDDOWN(L368+N368,2)</f>
        <v>1</v>
      </c>
      <c r="Q368" t="s">
        <v>91</v>
      </c>
    </row>
    <row r="369" spans="2:17" ht="15" customHeight="1">
      <c r="G369" t="s">
        <v>186</v>
      </c>
    </row>
    <row r="370" spans="2:17" ht="15" customHeight="1">
      <c r="H370" t="s">
        <v>216</v>
      </c>
      <c r="P370">
        <f>ROUNDDOWN(dhTextEvaluate(H370),2)</f>
        <v>3.6</v>
      </c>
      <c r="Q370" t="s">
        <v>192</v>
      </c>
    </row>
    <row r="371" spans="2:17" ht="15" customHeight="1"/>
    <row r="372" spans="2:17" ht="15" customHeight="1">
      <c r="D372">
        <v>1000</v>
      </c>
    </row>
    <row r="373" spans="2:17" ht="15" customHeight="1"/>
    <row r="374" spans="2:17" ht="15" customHeight="1">
      <c r="B374">
        <v>1000</v>
      </c>
    </row>
    <row r="375" spans="2:17" ht="15" customHeight="1">
      <c r="B375">
        <v>100</v>
      </c>
      <c r="C375">
        <v>100</v>
      </c>
      <c r="G375" t="s">
        <v>2</v>
      </c>
      <c r="I375" t="s">
        <v>3</v>
      </c>
    </row>
    <row r="376" spans="2:17" ht="15" customHeight="1">
      <c r="B376">
        <v>400</v>
      </c>
      <c r="P376">
        <v>4</v>
      </c>
      <c r="Q376" t="s">
        <v>88</v>
      </c>
    </row>
    <row r="377" spans="2:17" ht="15" customHeight="1">
      <c r="B377">
        <v>100</v>
      </c>
      <c r="C377">
        <v>100</v>
      </c>
      <c r="G377" t="s">
        <v>70</v>
      </c>
    </row>
    <row r="378" spans="2:17" ht="15" customHeight="1">
      <c r="L378">
        <v>3</v>
      </c>
      <c r="P378">
        <f>$L$1853</f>
        <v>0</v>
      </c>
      <c r="Q378" t="s">
        <v>54</v>
      </c>
    </row>
    <row r="379" spans="2:17" ht="15" customHeight="1">
      <c r="B379">
        <f>B375+B374+C375</f>
        <v>1200</v>
      </c>
      <c r="G379" t="s">
        <v>71</v>
      </c>
    </row>
    <row r="380" spans="2:17" ht="15" customHeight="1">
      <c r="L380">
        <v>3</v>
      </c>
      <c r="P380">
        <f>L380</f>
        <v>3</v>
      </c>
      <c r="Q380" t="s">
        <v>54</v>
      </c>
    </row>
    <row r="381" spans="2:17" ht="15" customHeight="1">
      <c r="B381">
        <f>B377+B376+C377</f>
        <v>600</v>
      </c>
      <c r="G381" t="s">
        <v>72</v>
      </c>
    </row>
    <row r="382" spans="2:17" ht="15" customHeight="1">
      <c r="L382">
        <v>1</v>
      </c>
      <c r="P382">
        <f>$L$1857</f>
        <v>0</v>
      </c>
      <c r="Q382" t="s">
        <v>154</v>
      </c>
    </row>
    <row r="383" spans="2:17" ht="15" customHeight="1"/>
    <row r="384" spans="2:17" ht="15" customHeight="1"/>
    <row r="385" spans="1:17" ht="24.95" customHeight="1">
      <c r="A385" t="s">
        <v>75</v>
      </c>
      <c r="H385" t="s">
        <v>154</v>
      </c>
    </row>
    <row r="386" spans="1:17" ht="15" customHeight="1">
      <c r="B386" t="s">
        <v>374</v>
      </c>
      <c r="I386" t="s">
        <v>159</v>
      </c>
      <c r="J386" t="s">
        <v>160</v>
      </c>
      <c r="K386" t="s">
        <v>161</v>
      </c>
      <c r="L386" t="s">
        <v>162</v>
      </c>
      <c r="M386" s="187" t="s">
        <v>163</v>
      </c>
      <c r="P386" t="s">
        <v>372</v>
      </c>
    </row>
    <row r="387" spans="1:17" ht="15" customHeight="1">
      <c r="G387" t="s">
        <v>165</v>
      </c>
      <c r="I387" t="s">
        <v>166</v>
      </c>
    </row>
    <row r="388" spans="1:17" ht="15" customHeight="1">
      <c r="G388" t="s">
        <v>167</v>
      </c>
      <c r="H388">
        <f>B391/1000</f>
        <v>1.5</v>
      </c>
      <c r="K388" t="s">
        <v>168</v>
      </c>
      <c r="L388">
        <f>B389/1000</f>
        <v>0.9</v>
      </c>
      <c r="N388" t="s">
        <v>169</v>
      </c>
      <c r="O388">
        <f>(D402+D404)/1000</f>
        <v>0.5</v>
      </c>
    </row>
    <row r="389" spans="1:17" ht="15" customHeight="1">
      <c r="B389">
        <f>B413+(0.3*(D404)*2)</f>
        <v>900</v>
      </c>
      <c r="D389" t="s">
        <v>76</v>
      </c>
      <c r="G389" t="s">
        <v>170</v>
      </c>
      <c r="H389">
        <f>B411/1000</f>
        <v>1.2</v>
      </c>
      <c r="K389" t="s">
        <v>171</v>
      </c>
      <c r="L389">
        <f>B413/1000</f>
        <v>0.6</v>
      </c>
    </row>
    <row r="390" spans="1:17" ht="15" customHeight="1">
      <c r="G390" t="s">
        <v>172</v>
      </c>
      <c r="P390">
        <f>ROUNDDOWN(O388/6*((2*H388+L388)*H389+(2*L388+H388)*L389),2)</f>
        <v>0.55000000000000004</v>
      </c>
      <c r="Q390" t="s">
        <v>91</v>
      </c>
    </row>
    <row r="391" spans="1:17" ht="15" customHeight="1">
      <c r="B391">
        <f>B411+(0.3*(D404)*2)</f>
        <v>1500</v>
      </c>
      <c r="G391" t="s">
        <v>173</v>
      </c>
      <c r="I391" t="s">
        <v>174</v>
      </c>
    </row>
    <row r="392" spans="1:17" ht="15" customHeight="1">
      <c r="B392">
        <v>500</v>
      </c>
      <c r="G392" t="s">
        <v>167</v>
      </c>
      <c r="H392">
        <f>B392/1000</f>
        <v>0.5</v>
      </c>
      <c r="K392" t="s">
        <v>168</v>
      </c>
      <c r="L392">
        <f>B406/1000</f>
        <v>1</v>
      </c>
      <c r="N392" t="s">
        <v>169</v>
      </c>
      <c r="O392">
        <f>D404/1000</f>
        <v>0.5</v>
      </c>
      <c r="P392">
        <f>ROUNDDOWN(H392*L392*O392,2)</f>
        <v>0.25</v>
      </c>
      <c r="Q392" t="s">
        <v>175</v>
      </c>
    </row>
    <row r="393" spans="1:17" ht="15" customHeight="1">
      <c r="G393" t="s">
        <v>167</v>
      </c>
      <c r="H393">
        <f>B392/1000</f>
        <v>0.5</v>
      </c>
      <c r="K393" t="s">
        <v>168</v>
      </c>
      <c r="L393">
        <f>B406/1000</f>
        <v>1</v>
      </c>
      <c r="N393" t="s">
        <v>169</v>
      </c>
      <c r="O393">
        <f>D400/1000</f>
        <v>0</v>
      </c>
      <c r="P393">
        <f>ROUNDDOWN(H393*L393*O393,2)</f>
        <v>0</v>
      </c>
      <c r="Q393" t="s">
        <v>176</v>
      </c>
    </row>
    <row r="394" spans="1:17" ht="15" customHeight="1"/>
    <row r="395" spans="1:17" ht="15" customHeight="1"/>
    <row r="396" spans="1:17" ht="15" customHeight="1">
      <c r="G396" t="s">
        <v>177</v>
      </c>
      <c r="P396">
        <f>SUM(P392:P395)</f>
        <v>0.25</v>
      </c>
      <c r="Q396" t="s">
        <v>91</v>
      </c>
    </row>
    <row r="397" spans="1:17" ht="15" customHeight="1">
      <c r="G397" t="s">
        <v>178</v>
      </c>
      <c r="I397" t="s">
        <v>179</v>
      </c>
      <c r="J397" t="s">
        <v>180</v>
      </c>
      <c r="K397" t="s">
        <v>181</v>
      </c>
    </row>
    <row r="398" spans="1:17" ht="15" customHeight="1">
      <c r="I398" t="s">
        <v>179</v>
      </c>
      <c r="J398">
        <f>P390</f>
        <v>0.55000000000000004</v>
      </c>
      <c r="K398" t="s">
        <v>182</v>
      </c>
      <c r="L398">
        <f>P400</f>
        <v>0.25</v>
      </c>
      <c r="P398">
        <f>ROUNDDOWN(J398-L398,2)</f>
        <v>0.3</v>
      </c>
      <c r="Q398" t="s">
        <v>91</v>
      </c>
    </row>
    <row r="399" spans="1:17" ht="15" customHeight="1">
      <c r="G399" t="s">
        <v>183</v>
      </c>
      <c r="I399" t="s">
        <v>184</v>
      </c>
      <c r="K399" t="s">
        <v>185</v>
      </c>
    </row>
    <row r="400" spans="1:17" ht="15" customHeight="1">
      <c r="I400" t="s">
        <v>184</v>
      </c>
      <c r="L400">
        <f>P392</f>
        <v>0.25</v>
      </c>
      <c r="P400">
        <f>ROUNDDOWN(L400+N400,2)</f>
        <v>0.25</v>
      </c>
      <c r="Q400" t="s">
        <v>91</v>
      </c>
    </row>
    <row r="401" spans="2:17" ht="15" customHeight="1">
      <c r="G401" t="s">
        <v>186</v>
      </c>
    </row>
    <row r="402" spans="2:17" ht="15" customHeight="1">
      <c r="H402" t="s">
        <v>216</v>
      </c>
      <c r="P402">
        <f>ROUNDDOWN(dhTextEvaluate(H402),2)</f>
        <v>3.6</v>
      </c>
      <c r="Q402" t="s">
        <v>192</v>
      </c>
    </row>
    <row r="403" spans="2:17" ht="15" customHeight="1"/>
    <row r="404" spans="2:17" ht="15" customHeight="1">
      <c r="D404">
        <v>500</v>
      </c>
    </row>
    <row r="405" spans="2:17" ht="15" customHeight="1"/>
    <row r="406" spans="2:17" ht="15" customHeight="1">
      <c r="B406">
        <v>1000</v>
      </c>
    </row>
    <row r="407" spans="2:17" ht="15" customHeight="1">
      <c r="B407">
        <v>100</v>
      </c>
      <c r="C407">
        <v>100</v>
      </c>
      <c r="G407" t="s">
        <v>4</v>
      </c>
      <c r="I407" t="s">
        <v>5</v>
      </c>
    </row>
    <row r="408" spans="2:17" ht="15" customHeight="1">
      <c r="B408">
        <v>400</v>
      </c>
      <c r="P408">
        <v>4</v>
      </c>
      <c r="Q408" t="s">
        <v>88</v>
      </c>
    </row>
    <row r="409" spans="2:17" ht="15" customHeight="1">
      <c r="B409">
        <v>100</v>
      </c>
      <c r="C409">
        <v>100</v>
      </c>
      <c r="G409" t="s">
        <v>70</v>
      </c>
    </row>
    <row r="410" spans="2:17" ht="15" customHeight="1">
      <c r="L410">
        <v>3</v>
      </c>
      <c r="P410">
        <f>$L$1853</f>
        <v>0</v>
      </c>
      <c r="Q410" t="s">
        <v>54</v>
      </c>
    </row>
    <row r="411" spans="2:17" ht="15" customHeight="1">
      <c r="B411">
        <f>B407+B406+C407</f>
        <v>1200</v>
      </c>
      <c r="G411" t="s">
        <v>71</v>
      </c>
    </row>
    <row r="412" spans="2:17" ht="15" customHeight="1">
      <c r="L412">
        <v>3</v>
      </c>
      <c r="P412">
        <f>L412</f>
        <v>3</v>
      </c>
      <c r="Q412" t="s">
        <v>54</v>
      </c>
    </row>
    <row r="413" spans="2:17" ht="15" customHeight="1">
      <c r="B413">
        <f>B409+B408+C409</f>
        <v>600</v>
      </c>
      <c r="G413" t="s">
        <v>72</v>
      </c>
    </row>
    <row r="414" spans="2:17" ht="15" customHeight="1">
      <c r="L414">
        <v>1</v>
      </c>
      <c r="P414">
        <f>$L$1857</f>
        <v>0</v>
      </c>
      <c r="Q414" t="s">
        <v>154</v>
      </c>
    </row>
    <row r="415" spans="2:17" ht="15" customHeight="1"/>
    <row r="416" spans="2:17" ht="15" customHeight="1"/>
    <row r="417" spans="1:17" ht="24.95" customHeight="1">
      <c r="A417" t="s">
        <v>59</v>
      </c>
      <c r="H417" t="s">
        <v>154</v>
      </c>
    </row>
    <row r="418" spans="1:17" ht="15" customHeight="1">
      <c r="B418" t="s">
        <v>375</v>
      </c>
      <c r="I418" t="s">
        <v>159</v>
      </c>
      <c r="J418" t="s">
        <v>160</v>
      </c>
      <c r="K418" t="s">
        <v>161</v>
      </c>
      <c r="L418" t="s">
        <v>162</v>
      </c>
      <c r="M418" s="187" t="s">
        <v>163</v>
      </c>
      <c r="P418" t="s">
        <v>372</v>
      </c>
    </row>
    <row r="419" spans="1:17" ht="15" customHeight="1">
      <c r="G419" t="s">
        <v>165</v>
      </c>
      <c r="I419" t="s">
        <v>166</v>
      </c>
    </row>
    <row r="420" spans="1:17" ht="15" customHeight="1">
      <c r="G420" t="s">
        <v>167</v>
      </c>
      <c r="H420">
        <f>B423/1000</f>
        <v>1.5</v>
      </c>
      <c r="K420" t="s">
        <v>168</v>
      </c>
      <c r="L420">
        <f>B421/1000</f>
        <v>0.9</v>
      </c>
      <c r="N420" t="s">
        <v>169</v>
      </c>
      <c r="O420">
        <f>(D434+D436)/1000</f>
        <v>0.5</v>
      </c>
    </row>
    <row r="421" spans="1:17" ht="15" customHeight="1">
      <c r="B421">
        <f>B445+(0.3*(D436)*2)</f>
        <v>900</v>
      </c>
      <c r="D421" t="s">
        <v>77</v>
      </c>
      <c r="G421" t="s">
        <v>170</v>
      </c>
      <c r="H421">
        <f>B443/1000</f>
        <v>1.2</v>
      </c>
      <c r="K421" t="s">
        <v>171</v>
      </c>
      <c r="L421">
        <f>B445/1000</f>
        <v>0.6</v>
      </c>
    </row>
    <row r="422" spans="1:17" ht="15" customHeight="1">
      <c r="G422" t="s">
        <v>172</v>
      </c>
      <c r="P422">
        <f>ROUNDDOWN(O420/6*((2*H420+L420)*H421+(2*L420+H420)*L421),2)</f>
        <v>0.55000000000000004</v>
      </c>
      <c r="Q422" t="s">
        <v>91</v>
      </c>
    </row>
    <row r="423" spans="1:17" ht="15" customHeight="1">
      <c r="B423">
        <f>B443+(0.3*(D436)*2)</f>
        <v>1500</v>
      </c>
      <c r="G423" t="s">
        <v>173</v>
      </c>
      <c r="I423" t="s">
        <v>174</v>
      </c>
    </row>
    <row r="424" spans="1:17" ht="15" customHeight="1">
      <c r="B424">
        <v>750</v>
      </c>
      <c r="G424" t="s">
        <v>167</v>
      </c>
      <c r="H424">
        <f>B424/1000</f>
        <v>0.75</v>
      </c>
      <c r="K424" t="s">
        <v>168</v>
      </c>
      <c r="L424">
        <f>B438/1000</f>
        <v>1</v>
      </c>
      <c r="N424" t="s">
        <v>169</v>
      </c>
      <c r="O424">
        <f>D436/1000</f>
        <v>0.5</v>
      </c>
      <c r="P424">
        <f>ROUNDDOWN(H424*L424*O424,2)</f>
        <v>0.37</v>
      </c>
      <c r="Q424" t="s">
        <v>175</v>
      </c>
    </row>
    <row r="425" spans="1:17" ht="15" customHeight="1">
      <c r="G425" t="s">
        <v>167</v>
      </c>
      <c r="H425">
        <f>B424/1000</f>
        <v>0.75</v>
      </c>
      <c r="K425" t="s">
        <v>168</v>
      </c>
      <c r="L425">
        <f>B438/1000</f>
        <v>1</v>
      </c>
      <c r="N425" t="s">
        <v>169</v>
      </c>
      <c r="O425">
        <f>D432/1000</f>
        <v>0</v>
      </c>
      <c r="P425">
        <f>ROUNDDOWN(H425*L425*O425,2)</f>
        <v>0</v>
      </c>
      <c r="Q425" t="s">
        <v>176</v>
      </c>
    </row>
    <row r="426" spans="1:17" ht="15" customHeight="1"/>
    <row r="427" spans="1:17" ht="15" customHeight="1"/>
    <row r="428" spans="1:17" ht="15" customHeight="1">
      <c r="G428" t="s">
        <v>177</v>
      </c>
      <c r="P428">
        <f>SUM(P424:P427)</f>
        <v>0.37</v>
      </c>
      <c r="Q428" t="s">
        <v>91</v>
      </c>
    </row>
    <row r="429" spans="1:17" ht="15" customHeight="1">
      <c r="G429" t="s">
        <v>178</v>
      </c>
      <c r="I429" t="s">
        <v>179</v>
      </c>
      <c r="J429" t="s">
        <v>180</v>
      </c>
      <c r="K429" t="s">
        <v>181</v>
      </c>
    </row>
    <row r="430" spans="1:17" ht="15" customHeight="1">
      <c r="I430" t="s">
        <v>179</v>
      </c>
      <c r="J430">
        <f>P422</f>
        <v>0.55000000000000004</v>
      </c>
      <c r="K430" t="s">
        <v>182</v>
      </c>
      <c r="L430">
        <f>P432</f>
        <v>0.37</v>
      </c>
      <c r="P430">
        <f>ROUNDDOWN(J430-L430,2)</f>
        <v>0.18</v>
      </c>
      <c r="Q430" t="s">
        <v>91</v>
      </c>
    </row>
    <row r="431" spans="1:17" ht="15" customHeight="1">
      <c r="G431" t="s">
        <v>183</v>
      </c>
      <c r="I431" t="s">
        <v>184</v>
      </c>
      <c r="K431" t="s">
        <v>185</v>
      </c>
    </row>
    <row r="432" spans="1:17" ht="15" customHeight="1">
      <c r="I432" t="s">
        <v>184</v>
      </c>
      <c r="L432">
        <f>P424</f>
        <v>0.37</v>
      </c>
      <c r="P432">
        <f>ROUNDDOWN(L432+N432,2)</f>
        <v>0.37</v>
      </c>
      <c r="Q432" t="s">
        <v>91</v>
      </c>
    </row>
    <row r="433" spans="2:17" ht="15" customHeight="1">
      <c r="G433" t="s">
        <v>186</v>
      </c>
    </row>
    <row r="434" spans="2:17" ht="15" customHeight="1">
      <c r="H434" t="s">
        <v>216</v>
      </c>
      <c r="P434">
        <f>ROUNDDOWN(dhTextEvaluate(H434),2)</f>
        <v>3.6</v>
      </c>
      <c r="Q434" t="s">
        <v>192</v>
      </c>
    </row>
    <row r="435" spans="2:17" ht="15" customHeight="1"/>
    <row r="436" spans="2:17" ht="15" customHeight="1">
      <c r="D436">
        <v>500</v>
      </c>
    </row>
    <row r="437" spans="2:17" ht="15" customHeight="1"/>
    <row r="438" spans="2:17" ht="15" customHeight="1">
      <c r="B438">
        <v>1000</v>
      </c>
    </row>
    <row r="439" spans="2:17" ht="15" customHeight="1">
      <c r="B439">
        <v>100</v>
      </c>
      <c r="C439">
        <v>100</v>
      </c>
      <c r="G439" t="s">
        <v>4</v>
      </c>
      <c r="I439" t="s">
        <v>5</v>
      </c>
    </row>
    <row r="440" spans="2:17" ht="15" customHeight="1">
      <c r="B440">
        <v>400</v>
      </c>
      <c r="P440">
        <v>4</v>
      </c>
      <c r="Q440" t="s">
        <v>88</v>
      </c>
    </row>
    <row r="441" spans="2:17" ht="15" customHeight="1">
      <c r="B441">
        <v>100</v>
      </c>
      <c r="C441">
        <v>100</v>
      </c>
      <c r="G441" t="s">
        <v>70</v>
      </c>
    </row>
    <row r="442" spans="2:17" ht="15" customHeight="1">
      <c r="L442">
        <v>3</v>
      </c>
      <c r="P442">
        <f>$L$1853</f>
        <v>0</v>
      </c>
      <c r="Q442" t="s">
        <v>54</v>
      </c>
    </row>
    <row r="443" spans="2:17" ht="15" customHeight="1">
      <c r="B443">
        <f>B439+B438+C439</f>
        <v>1200</v>
      </c>
      <c r="G443" t="s">
        <v>71</v>
      </c>
    </row>
    <row r="444" spans="2:17" ht="15" customHeight="1">
      <c r="L444">
        <v>3</v>
      </c>
      <c r="P444">
        <f>L444</f>
        <v>3</v>
      </c>
      <c r="Q444" t="s">
        <v>54</v>
      </c>
    </row>
    <row r="445" spans="2:17" ht="15" customHeight="1">
      <c r="B445">
        <f>B441+B440+C441</f>
        <v>600</v>
      </c>
      <c r="G445" t="s">
        <v>72</v>
      </c>
    </row>
    <row r="446" spans="2:17" ht="15" customHeight="1">
      <c r="L446">
        <v>1</v>
      </c>
      <c r="P446">
        <f>$L$1857</f>
        <v>0</v>
      </c>
      <c r="Q446" t="s">
        <v>154</v>
      </c>
    </row>
    <row r="447" spans="2:17" ht="15" customHeight="1"/>
    <row r="448" spans="2:17" ht="15" customHeight="1"/>
    <row r="449" spans="1:17" ht="24.95" customHeight="1">
      <c r="A449" t="s">
        <v>80</v>
      </c>
      <c r="H449" t="s">
        <v>154</v>
      </c>
    </row>
    <row r="450" spans="1:17" ht="15" customHeight="1">
      <c r="B450" t="s">
        <v>376</v>
      </c>
      <c r="I450" t="s">
        <v>159</v>
      </c>
      <c r="J450" t="s">
        <v>160</v>
      </c>
      <c r="K450" t="s">
        <v>161</v>
      </c>
      <c r="L450" t="s">
        <v>162</v>
      </c>
      <c r="M450" s="187" t="s">
        <v>163</v>
      </c>
      <c r="P450" t="s">
        <v>372</v>
      </c>
    </row>
    <row r="451" spans="1:17" ht="15" customHeight="1">
      <c r="G451" t="s">
        <v>165</v>
      </c>
      <c r="I451" t="s">
        <v>166</v>
      </c>
    </row>
    <row r="452" spans="1:17" ht="15" customHeight="1">
      <c r="G452" t="s">
        <v>167</v>
      </c>
      <c r="H452">
        <f>B455/1000</f>
        <v>1.5</v>
      </c>
      <c r="K452" t="s">
        <v>168</v>
      </c>
      <c r="L452">
        <f>B453/1000</f>
        <v>0.9</v>
      </c>
      <c r="N452" t="s">
        <v>169</v>
      </c>
      <c r="O452">
        <f>(D466+D468)/1000</f>
        <v>0.5</v>
      </c>
    </row>
    <row r="453" spans="1:17" ht="15" customHeight="1">
      <c r="B453">
        <f>B477+(0.3*(D468)*2)</f>
        <v>900</v>
      </c>
      <c r="D453" t="s">
        <v>78</v>
      </c>
      <c r="G453" t="s">
        <v>170</v>
      </c>
      <c r="H453">
        <f>B475/1000</f>
        <v>1.2</v>
      </c>
      <c r="K453" t="s">
        <v>171</v>
      </c>
      <c r="L453">
        <f>B477/1000</f>
        <v>0.6</v>
      </c>
    </row>
    <row r="454" spans="1:17" ht="15" customHeight="1">
      <c r="G454" t="s">
        <v>172</v>
      </c>
      <c r="P454">
        <f>ROUNDDOWN(O452/6*((2*H452+L452)*H453+(2*L452+H452)*L453),2)</f>
        <v>0.55000000000000004</v>
      </c>
      <c r="Q454" t="s">
        <v>91</v>
      </c>
    </row>
    <row r="455" spans="1:17" ht="15" customHeight="1">
      <c r="B455">
        <f>B475+(0.3*(D468)*2)</f>
        <v>1500</v>
      </c>
      <c r="G455" t="s">
        <v>173</v>
      </c>
      <c r="I455" t="s">
        <v>174</v>
      </c>
    </row>
    <row r="456" spans="1:17" ht="15" customHeight="1">
      <c r="B456">
        <v>650</v>
      </c>
      <c r="G456" t="s">
        <v>167</v>
      </c>
      <c r="H456">
        <f>B456/1000</f>
        <v>0.65</v>
      </c>
      <c r="K456" t="s">
        <v>168</v>
      </c>
      <c r="L456">
        <f>B470/1000</f>
        <v>1</v>
      </c>
      <c r="N456" t="s">
        <v>169</v>
      </c>
      <c r="O456">
        <f>D468/1000</f>
        <v>0.5</v>
      </c>
      <c r="P456">
        <f>ROUNDDOWN(H456*L456*O456,2)</f>
        <v>0.32</v>
      </c>
      <c r="Q456" t="s">
        <v>175</v>
      </c>
    </row>
    <row r="457" spans="1:17" ht="15" customHeight="1">
      <c r="G457" t="s">
        <v>167</v>
      </c>
      <c r="H457">
        <f>B456/1000</f>
        <v>0.65</v>
      </c>
      <c r="K457" t="s">
        <v>168</v>
      </c>
      <c r="L457">
        <f>B470/1000</f>
        <v>1</v>
      </c>
      <c r="N457" t="s">
        <v>169</v>
      </c>
      <c r="O457">
        <f>D464/1000</f>
        <v>0</v>
      </c>
      <c r="P457">
        <f>ROUNDDOWN(H457*L457*O457,2)</f>
        <v>0</v>
      </c>
      <c r="Q457" t="s">
        <v>176</v>
      </c>
    </row>
    <row r="458" spans="1:17" ht="15" customHeight="1"/>
    <row r="459" spans="1:17" ht="15" customHeight="1"/>
    <row r="460" spans="1:17" ht="15" customHeight="1">
      <c r="G460" t="s">
        <v>177</v>
      </c>
      <c r="P460">
        <f>SUM(P456:P459)</f>
        <v>0.32</v>
      </c>
      <c r="Q460" t="s">
        <v>91</v>
      </c>
    </row>
    <row r="461" spans="1:17" ht="15" customHeight="1">
      <c r="G461" t="s">
        <v>178</v>
      </c>
      <c r="I461" t="s">
        <v>179</v>
      </c>
      <c r="J461" t="s">
        <v>180</v>
      </c>
      <c r="K461" t="s">
        <v>181</v>
      </c>
    </row>
    <row r="462" spans="1:17" ht="15" customHeight="1">
      <c r="I462" t="s">
        <v>179</v>
      </c>
      <c r="J462">
        <f>P454</f>
        <v>0.55000000000000004</v>
      </c>
      <c r="K462" t="s">
        <v>182</v>
      </c>
      <c r="L462">
        <f>P464</f>
        <v>0.32</v>
      </c>
      <c r="P462">
        <f>ROUNDDOWN(J462-L462,2)</f>
        <v>0.23</v>
      </c>
      <c r="Q462" t="s">
        <v>91</v>
      </c>
    </row>
    <row r="463" spans="1:17" ht="15" customHeight="1">
      <c r="G463" t="s">
        <v>183</v>
      </c>
      <c r="I463" t="s">
        <v>184</v>
      </c>
      <c r="K463" t="s">
        <v>185</v>
      </c>
    </row>
    <row r="464" spans="1:17" ht="15" customHeight="1">
      <c r="I464" t="s">
        <v>184</v>
      </c>
      <c r="L464">
        <f>P456</f>
        <v>0.32</v>
      </c>
      <c r="P464">
        <f>ROUNDDOWN(L464+N464,2)</f>
        <v>0.32</v>
      </c>
      <c r="Q464" t="s">
        <v>91</v>
      </c>
    </row>
    <row r="465" spans="2:17" ht="15" customHeight="1">
      <c r="G465" t="s">
        <v>186</v>
      </c>
    </row>
    <row r="466" spans="2:17" ht="15" customHeight="1">
      <c r="H466" t="s">
        <v>216</v>
      </c>
      <c r="P466">
        <f>ROUNDDOWN(dhTextEvaluate(H466),2)</f>
        <v>3.6</v>
      </c>
      <c r="Q466" t="s">
        <v>192</v>
      </c>
    </row>
    <row r="467" spans="2:17" ht="15" customHeight="1"/>
    <row r="468" spans="2:17" ht="15" customHeight="1">
      <c r="D468">
        <v>500</v>
      </c>
    </row>
    <row r="469" spans="2:17" ht="15" customHeight="1"/>
    <row r="470" spans="2:17" ht="15" customHeight="1">
      <c r="B470">
        <v>1000</v>
      </c>
    </row>
    <row r="471" spans="2:17" ht="15" customHeight="1">
      <c r="B471">
        <v>100</v>
      </c>
      <c r="C471">
        <v>100</v>
      </c>
      <c r="G471" t="s">
        <v>4</v>
      </c>
      <c r="I471" t="s">
        <v>5</v>
      </c>
    </row>
    <row r="472" spans="2:17" ht="15" customHeight="1">
      <c r="B472">
        <v>400</v>
      </c>
      <c r="P472">
        <v>4</v>
      </c>
      <c r="Q472" t="s">
        <v>88</v>
      </c>
    </row>
    <row r="473" spans="2:17" ht="15" customHeight="1">
      <c r="B473">
        <v>100</v>
      </c>
      <c r="C473">
        <v>100</v>
      </c>
      <c r="G473" t="s">
        <v>70</v>
      </c>
    </row>
    <row r="474" spans="2:17" ht="15" customHeight="1">
      <c r="L474">
        <v>3</v>
      </c>
      <c r="P474">
        <f>$L$1853</f>
        <v>0</v>
      </c>
      <c r="Q474" t="s">
        <v>54</v>
      </c>
    </row>
    <row r="475" spans="2:17" ht="15" customHeight="1">
      <c r="B475">
        <f>B471+B470+C471</f>
        <v>1200</v>
      </c>
      <c r="G475" t="s">
        <v>71</v>
      </c>
    </row>
    <row r="476" spans="2:17" ht="15" customHeight="1">
      <c r="L476">
        <v>3</v>
      </c>
      <c r="P476">
        <f>L476</f>
        <v>3</v>
      </c>
      <c r="Q476" t="s">
        <v>54</v>
      </c>
    </row>
    <row r="477" spans="2:17" ht="15" customHeight="1">
      <c r="B477">
        <f>B473+B472+C473</f>
        <v>600</v>
      </c>
      <c r="G477" t="s">
        <v>72</v>
      </c>
    </row>
    <row r="478" spans="2:17" ht="15" customHeight="1">
      <c r="L478">
        <v>1</v>
      </c>
      <c r="P478">
        <f>$L$1857</f>
        <v>0</v>
      </c>
      <c r="Q478" t="s">
        <v>154</v>
      </c>
    </row>
    <row r="479" spans="2:17" ht="15" customHeight="1"/>
    <row r="480" spans="2:17" ht="15" customHeight="1"/>
    <row r="481" spans="1:17" ht="24.95" hidden="1" customHeight="1">
      <c r="A481" t="s">
        <v>60</v>
      </c>
      <c r="H481" t="s">
        <v>158</v>
      </c>
    </row>
    <row r="482" spans="1:17" ht="15" hidden="1" customHeight="1">
      <c r="B482" t="s">
        <v>56</v>
      </c>
      <c r="I482" t="s">
        <v>159</v>
      </c>
      <c r="J482" t="s">
        <v>160</v>
      </c>
      <c r="K482" t="s">
        <v>161</v>
      </c>
      <c r="L482" t="s">
        <v>162</v>
      </c>
      <c r="M482" s="187" t="s">
        <v>163</v>
      </c>
      <c r="P482" t="s">
        <v>164</v>
      </c>
    </row>
    <row r="483" spans="1:17" ht="15" hidden="1" customHeight="1">
      <c r="G483" t="s">
        <v>165</v>
      </c>
      <c r="I483" t="s">
        <v>166</v>
      </c>
    </row>
    <row r="484" spans="1:17" ht="15" hidden="1" customHeight="1">
      <c r="G484" t="s">
        <v>167</v>
      </c>
      <c r="H484">
        <f>B487/1000</f>
        <v>0.47</v>
      </c>
      <c r="K484" t="s">
        <v>168</v>
      </c>
      <c r="L484">
        <f>B485/1000</f>
        <v>0.47</v>
      </c>
      <c r="N484" t="s">
        <v>169</v>
      </c>
      <c r="O484">
        <f>(D498+D500)/1000</f>
        <v>0.2</v>
      </c>
    </row>
    <row r="485" spans="1:17" ht="15" hidden="1" customHeight="1">
      <c r="B485">
        <f>B509+(0.3*(D500)*2)</f>
        <v>470</v>
      </c>
      <c r="D485" t="s">
        <v>55</v>
      </c>
      <c r="G485" t="s">
        <v>170</v>
      </c>
      <c r="H485">
        <f>B507/1000</f>
        <v>0.35</v>
      </c>
      <c r="K485" t="s">
        <v>171</v>
      </c>
      <c r="L485">
        <f>B509/1000</f>
        <v>0.35</v>
      </c>
    </row>
    <row r="486" spans="1:17" ht="15" hidden="1" customHeight="1">
      <c r="G486" t="s">
        <v>172</v>
      </c>
      <c r="P486">
        <f>ROUNDDOWN(O484/6*((2*H484+L484)*H485+(2*L484+H484)*L485),2)</f>
        <v>0.03</v>
      </c>
      <c r="Q486" t="s">
        <v>91</v>
      </c>
    </row>
    <row r="487" spans="1:17" ht="15" hidden="1" customHeight="1">
      <c r="B487">
        <f>B507+(0.3*(D500)*2)</f>
        <v>470</v>
      </c>
      <c r="G487" t="s">
        <v>173</v>
      </c>
      <c r="I487" t="s">
        <v>174</v>
      </c>
    </row>
    <row r="488" spans="1:17" ht="15" hidden="1" customHeight="1">
      <c r="B488">
        <v>150</v>
      </c>
      <c r="G488" t="s">
        <v>167</v>
      </c>
      <c r="H488">
        <f>B488/1000</f>
        <v>0.15</v>
      </c>
      <c r="K488" t="s">
        <v>168</v>
      </c>
      <c r="L488">
        <f>B502/1000</f>
        <v>0.15</v>
      </c>
      <c r="N488" t="s">
        <v>169</v>
      </c>
      <c r="O488">
        <f>D500/1000</f>
        <v>0.2</v>
      </c>
      <c r="P488">
        <f>H488*L488*O488</f>
        <v>4.4999999999999997E-3</v>
      </c>
      <c r="Q488" t="s">
        <v>175</v>
      </c>
    </row>
    <row r="489" spans="1:17" ht="15" hidden="1" customHeight="1">
      <c r="G489" t="s">
        <v>167</v>
      </c>
      <c r="H489">
        <f>B488/1000</f>
        <v>0.15</v>
      </c>
      <c r="K489" t="s">
        <v>168</v>
      </c>
      <c r="L489">
        <f>B502/1000</f>
        <v>0.15</v>
      </c>
      <c r="N489" t="s">
        <v>169</v>
      </c>
      <c r="O489">
        <f>D496/1000</f>
        <v>0</v>
      </c>
      <c r="P489">
        <f>H489*L489*O489</f>
        <v>0</v>
      </c>
      <c r="Q489" t="s">
        <v>176</v>
      </c>
    </row>
    <row r="490" spans="1:17" ht="15" hidden="1" customHeight="1"/>
    <row r="491" spans="1:17" ht="15" hidden="1" customHeight="1"/>
    <row r="492" spans="1:17" ht="15" hidden="1" customHeight="1">
      <c r="G492" t="s">
        <v>177</v>
      </c>
      <c r="P492">
        <f>SUM(P488:P491)</f>
        <v>4.4999999999999997E-3</v>
      </c>
      <c r="Q492" t="s">
        <v>91</v>
      </c>
    </row>
    <row r="493" spans="1:17" ht="15" hidden="1" customHeight="1">
      <c r="G493" t="s">
        <v>178</v>
      </c>
      <c r="I493" t="s">
        <v>179</v>
      </c>
      <c r="J493" t="s">
        <v>180</v>
      </c>
      <c r="K493" t="s">
        <v>181</v>
      </c>
    </row>
    <row r="494" spans="1:17" ht="15" hidden="1" customHeight="1">
      <c r="I494" t="s">
        <v>179</v>
      </c>
      <c r="J494">
        <f>P486</f>
        <v>0.03</v>
      </c>
      <c r="K494" t="s">
        <v>182</v>
      </c>
      <c r="L494">
        <f>P496</f>
        <v>4.4999999999999997E-3</v>
      </c>
      <c r="P494">
        <f>ROUNDDOWN(J494-L494,2)</f>
        <v>0.02</v>
      </c>
      <c r="Q494" t="s">
        <v>91</v>
      </c>
    </row>
    <row r="495" spans="1:17" ht="15" hidden="1" customHeight="1">
      <c r="G495" t="s">
        <v>183</v>
      </c>
      <c r="I495" t="s">
        <v>184</v>
      </c>
      <c r="K495" t="s">
        <v>185</v>
      </c>
    </row>
    <row r="496" spans="1:17" ht="15" hidden="1" customHeight="1">
      <c r="I496" t="s">
        <v>184</v>
      </c>
      <c r="L496">
        <f>P488</f>
        <v>4.4999999999999997E-3</v>
      </c>
      <c r="P496">
        <f>L496+N496</f>
        <v>4.4999999999999997E-3</v>
      </c>
      <c r="Q496" t="s">
        <v>91</v>
      </c>
    </row>
    <row r="497" spans="2:17" ht="15" hidden="1" customHeight="1">
      <c r="G497" t="s">
        <v>186</v>
      </c>
    </row>
    <row r="498" spans="2:17" ht="15" hidden="1" customHeight="1">
      <c r="H498" t="s">
        <v>85</v>
      </c>
      <c r="P498">
        <f>ROUNDDOWN(dhTextEvaluate(H498),2)</f>
        <v>1.84</v>
      </c>
      <c r="Q498" t="s">
        <v>192</v>
      </c>
    </row>
    <row r="499" spans="2:17" ht="15" hidden="1" customHeight="1">
      <c r="G499" t="s">
        <v>0</v>
      </c>
    </row>
    <row r="500" spans="2:17" ht="15" hidden="1" customHeight="1">
      <c r="D500">
        <v>200</v>
      </c>
      <c r="P500">
        <v>2</v>
      </c>
      <c r="Q500" t="s">
        <v>88</v>
      </c>
    </row>
    <row r="501" spans="2:17" ht="15" hidden="1" customHeight="1"/>
    <row r="502" spans="2:17" ht="15" hidden="1" customHeight="1">
      <c r="B502">
        <v>150</v>
      </c>
    </row>
    <row r="503" spans="2:17" ht="15" hidden="1" customHeight="1">
      <c r="B503">
        <v>100</v>
      </c>
      <c r="C503">
        <v>100</v>
      </c>
    </row>
    <row r="504" spans="2:17" ht="15" hidden="1" customHeight="1">
      <c r="B504">
        <v>150</v>
      </c>
    </row>
    <row r="505" spans="2:17" ht="15" hidden="1" customHeight="1">
      <c r="B505">
        <v>100</v>
      </c>
      <c r="C505">
        <v>100</v>
      </c>
    </row>
    <row r="506" spans="2:17" ht="15" hidden="1" customHeight="1"/>
    <row r="507" spans="2:17" ht="15" hidden="1" customHeight="1">
      <c r="B507">
        <f>B503+B502+C503</f>
        <v>350</v>
      </c>
    </row>
    <row r="508" spans="2:17" ht="15" hidden="1" customHeight="1"/>
    <row r="509" spans="2:17" ht="15" hidden="1" customHeight="1">
      <c r="B509">
        <f>B505+B504+C505</f>
        <v>350</v>
      </c>
    </row>
    <row r="510" spans="2:17" ht="15" hidden="1" customHeight="1"/>
    <row r="511" spans="2:17" ht="15" hidden="1" customHeight="1"/>
    <row r="512" spans="2:17" ht="15" hidden="1" customHeight="1"/>
    <row r="513" spans="1:17" ht="24.95" customHeight="1">
      <c r="A513" t="s">
        <v>7</v>
      </c>
      <c r="H513" t="s">
        <v>154</v>
      </c>
    </row>
    <row r="514" spans="1:17" ht="15" customHeight="1">
      <c r="B514" t="s">
        <v>57</v>
      </c>
      <c r="I514" t="s">
        <v>159</v>
      </c>
      <c r="J514" t="s">
        <v>160</v>
      </c>
      <c r="K514" t="s">
        <v>161</v>
      </c>
      <c r="L514" t="s">
        <v>162</v>
      </c>
      <c r="M514" s="187" t="s">
        <v>163</v>
      </c>
      <c r="P514" t="s">
        <v>99</v>
      </c>
    </row>
    <row r="515" spans="1:17" ht="15" customHeight="1">
      <c r="G515" t="s">
        <v>165</v>
      </c>
      <c r="I515" t="s">
        <v>166</v>
      </c>
    </row>
    <row r="516" spans="1:17" ht="15" customHeight="1">
      <c r="G516" t="s">
        <v>167</v>
      </c>
      <c r="H516">
        <f>B519/1000</f>
        <v>0.52</v>
      </c>
      <c r="K516" t="s">
        <v>168</v>
      </c>
      <c r="L516">
        <f>B517/1000</f>
        <v>0.52</v>
      </c>
      <c r="N516" t="s">
        <v>169</v>
      </c>
      <c r="O516">
        <f>(D530+D532)/1000</f>
        <v>0.2</v>
      </c>
    </row>
    <row r="517" spans="1:17" ht="15" customHeight="1">
      <c r="B517">
        <f>B541+(0.3*(D532)*2)</f>
        <v>520</v>
      </c>
      <c r="D517" t="s">
        <v>58</v>
      </c>
      <c r="G517" t="s">
        <v>170</v>
      </c>
      <c r="H517">
        <f>B539/1000</f>
        <v>0.4</v>
      </c>
      <c r="K517" t="s">
        <v>171</v>
      </c>
      <c r="L517">
        <f>B541/1000</f>
        <v>0.4</v>
      </c>
    </row>
    <row r="518" spans="1:17" ht="15" customHeight="1">
      <c r="G518" t="s">
        <v>172</v>
      </c>
      <c r="P518">
        <f>ROUNDDOWN(O516/6*((2*H516+L516)*H517+(2*L516+H516)*L517),2)</f>
        <v>0.04</v>
      </c>
      <c r="Q518" t="s">
        <v>91</v>
      </c>
    </row>
    <row r="519" spans="1:17" ht="15" customHeight="1">
      <c r="B519">
        <f>B539+(0.3*(D532)*2)</f>
        <v>520</v>
      </c>
      <c r="G519" t="s">
        <v>173</v>
      </c>
      <c r="I519" t="s">
        <v>174</v>
      </c>
    </row>
    <row r="520" spans="1:17" ht="15" customHeight="1">
      <c r="B520">
        <v>200</v>
      </c>
      <c r="G520" t="s">
        <v>167</v>
      </c>
      <c r="H520">
        <f>B520/1000</f>
        <v>0.2</v>
      </c>
      <c r="K520" t="s">
        <v>168</v>
      </c>
      <c r="L520">
        <f>B534/1000</f>
        <v>0.2</v>
      </c>
      <c r="N520" t="s">
        <v>169</v>
      </c>
      <c r="O520">
        <f>D532/1000</f>
        <v>0.2</v>
      </c>
      <c r="P520">
        <f>H520*L520*O520</f>
        <v>8.0000000000000019E-3</v>
      </c>
      <c r="Q520" t="s">
        <v>175</v>
      </c>
    </row>
    <row r="521" spans="1:17" ht="15" customHeight="1">
      <c r="G521" t="s">
        <v>167</v>
      </c>
      <c r="H521">
        <f>B520/1000</f>
        <v>0.2</v>
      </c>
      <c r="K521" t="s">
        <v>168</v>
      </c>
      <c r="L521">
        <f>B534/1000</f>
        <v>0.2</v>
      </c>
      <c r="N521" t="s">
        <v>169</v>
      </c>
      <c r="O521">
        <f>D528/1000</f>
        <v>0</v>
      </c>
      <c r="P521">
        <f>H521*L521*O521</f>
        <v>0</v>
      </c>
      <c r="Q521" t="s">
        <v>176</v>
      </c>
    </row>
    <row r="522" spans="1:17" ht="15" customHeight="1"/>
    <row r="523" spans="1:17" ht="15" customHeight="1"/>
    <row r="524" spans="1:17" ht="15" customHeight="1">
      <c r="G524" t="s">
        <v>177</v>
      </c>
      <c r="P524">
        <f>SUM(P520:P523)</f>
        <v>8.0000000000000019E-3</v>
      </c>
      <c r="Q524" t="s">
        <v>91</v>
      </c>
    </row>
    <row r="525" spans="1:17" ht="15" customHeight="1">
      <c r="G525" t="s">
        <v>178</v>
      </c>
      <c r="I525" t="s">
        <v>179</v>
      </c>
      <c r="J525" t="s">
        <v>180</v>
      </c>
      <c r="K525" t="s">
        <v>181</v>
      </c>
    </row>
    <row r="526" spans="1:17" ht="15" customHeight="1">
      <c r="I526" t="s">
        <v>179</v>
      </c>
      <c r="J526">
        <f>P518</f>
        <v>0.04</v>
      </c>
      <c r="K526" t="s">
        <v>182</v>
      </c>
      <c r="L526">
        <f>P528</f>
        <v>8.0000000000000019E-3</v>
      </c>
      <c r="P526">
        <f>ROUNDDOWN(J526-L526,2)</f>
        <v>0.03</v>
      </c>
      <c r="Q526" t="s">
        <v>91</v>
      </c>
    </row>
    <row r="527" spans="1:17" ht="15" customHeight="1">
      <c r="G527" t="s">
        <v>183</v>
      </c>
      <c r="I527" t="s">
        <v>184</v>
      </c>
      <c r="K527" t="s">
        <v>185</v>
      </c>
    </row>
    <row r="528" spans="1:17" ht="15" customHeight="1">
      <c r="I528" t="s">
        <v>184</v>
      </c>
      <c r="L528">
        <f>P520</f>
        <v>8.0000000000000019E-3</v>
      </c>
      <c r="P528">
        <f>L528+N528</f>
        <v>8.0000000000000019E-3</v>
      </c>
      <c r="Q528" t="s">
        <v>91</v>
      </c>
    </row>
    <row r="529" spans="2:17" ht="15" customHeight="1">
      <c r="G529" t="s">
        <v>186</v>
      </c>
    </row>
    <row r="530" spans="2:17" ht="15" customHeight="1">
      <c r="H530" t="s">
        <v>85</v>
      </c>
      <c r="P530">
        <f>ROUNDDOWN(dhTextEvaluate(H530),2)</f>
        <v>1.84</v>
      </c>
      <c r="Q530" t="s">
        <v>192</v>
      </c>
    </row>
    <row r="531" spans="2:17" ht="15" customHeight="1">
      <c r="G531" t="s">
        <v>6</v>
      </c>
      <c r="I531" t="s">
        <v>79</v>
      </c>
    </row>
    <row r="532" spans="2:17" ht="15" customHeight="1">
      <c r="D532">
        <v>200</v>
      </c>
      <c r="P532">
        <v>2</v>
      </c>
      <c r="Q532" t="s">
        <v>88</v>
      </c>
    </row>
    <row r="533" spans="2:17" ht="15" customHeight="1"/>
    <row r="534" spans="2:17" ht="15" customHeight="1">
      <c r="B534">
        <v>200</v>
      </c>
    </row>
    <row r="535" spans="2:17" ht="15" customHeight="1">
      <c r="B535">
        <v>100</v>
      </c>
      <c r="C535">
        <v>100</v>
      </c>
    </row>
    <row r="536" spans="2:17" ht="15" customHeight="1">
      <c r="B536">
        <v>200</v>
      </c>
    </row>
    <row r="537" spans="2:17" ht="15" customHeight="1">
      <c r="B537">
        <v>100</v>
      </c>
      <c r="C537">
        <v>100</v>
      </c>
    </row>
    <row r="538" spans="2:17" ht="15" customHeight="1"/>
    <row r="539" spans="2:17" ht="15" customHeight="1">
      <c r="B539">
        <f>B535+B534+C535</f>
        <v>400</v>
      </c>
    </row>
    <row r="540" spans="2:17" ht="15" customHeight="1"/>
    <row r="541" spans="2:17" ht="15" customHeight="1">
      <c r="B541">
        <f>B537+B536+C537</f>
        <v>400</v>
      </c>
    </row>
    <row r="542" spans="2:17" ht="15" customHeight="1"/>
    <row r="543" spans="2:17" ht="15" customHeight="1"/>
    <row r="544" spans="2:17" ht="15" customHeight="1"/>
    <row r="545" spans="1:17" ht="24.95" customHeight="1">
      <c r="A545" t="s">
        <v>8</v>
      </c>
      <c r="H545" t="s">
        <v>154</v>
      </c>
    </row>
    <row r="546" spans="1:17" ht="15" customHeight="1">
      <c r="B546" t="s">
        <v>64</v>
      </c>
      <c r="I546" t="s">
        <v>159</v>
      </c>
      <c r="J546" t="s">
        <v>160</v>
      </c>
      <c r="K546" t="s">
        <v>161</v>
      </c>
      <c r="L546" t="s">
        <v>162</v>
      </c>
      <c r="M546" s="187" t="s">
        <v>163</v>
      </c>
      <c r="P546" t="s">
        <v>99</v>
      </c>
    </row>
    <row r="547" spans="1:17" ht="15" customHeight="1">
      <c r="G547" t="s">
        <v>165</v>
      </c>
      <c r="I547" t="s">
        <v>166</v>
      </c>
    </row>
    <row r="548" spans="1:17" ht="15" customHeight="1">
      <c r="G548" t="s">
        <v>167</v>
      </c>
      <c r="H548">
        <f>B551/1000</f>
        <v>0.57999999999999996</v>
      </c>
      <c r="K548" t="s">
        <v>168</v>
      </c>
      <c r="L548">
        <f>B549/1000</f>
        <v>0.57999999999999996</v>
      </c>
      <c r="N548" t="s">
        <v>169</v>
      </c>
      <c r="O548">
        <f>(D562+D564)/1000</f>
        <v>0.3</v>
      </c>
    </row>
    <row r="549" spans="1:17" ht="15" customHeight="1">
      <c r="B549">
        <f>B573+(0.3*(D564)*2)</f>
        <v>580</v>
      </c>
      <c r="D549" t="s">
        <v>65</v>
      </c>
      <c r="G549" t="s">
        <v>170</v>
      </c>
      <c r="H549">
        <f>B571/1000</f>
        <v>0.4</v>
      </c>
      <c r="K549" t="s">
        <v>171</v>
      </c>
      <c r="L549">
        <f>B573/1000</f>
        <v>0.4</v>
      </c>
    </row>
    <row r="550" spans="1:17" ht="15" customHeight="1">
      <c r="G550" t="s">
        <v>172</v>
      </c>
      <c r="P550">
        <f>ROUNDDOWN(O548/6*((2*H548+L548)*H549+(2*L548+H548)*L549),2)</f>
        <v>0.06</v>
      </c>
      <c r="Q550" t="s">
        <v>91</v>
      </c>
    </row>
    <row r="551" spans="1:17" ht="15" customHeight="1">
      <c r="B551">
        <f>B571+(0.3*(D564)*2)</f>
        <v>580</v>
      </c>
      <c r="G551" t="s">
        <v>173</v>
      </c>
      <c r="I551" t="s">
        <v>174</v>
      </c>
    </row>
    <row r="552" spans="1:17" ht="15" customHeight="1">
      <c r="B552">
        <v>200</v>
      </c>
      <c r="G552" t="s">
        <v>167</v>
      </c>
      <c r="H552">
        <f>B552/1000</f>
        <v>0.2</v>
      </c>
      <c r="K552" t="s">
        <v>168</v>
      </c>
      <c r="L552">
        <f>B566/1000</f>
        <v>0.2</v>
      </c>
      <c r="N552" t="s">
        <v>169</v>
      </c>
      <c r="O552">
        <f>D564/1000</f>
        <v>0.3</v>
      </c>
      <c r="P552">
        <f>ROUNDDOWN(H552*L552*O552,2)</f>
        <v>0.01</v>
      </c>
      <c r="Q552" t="s">
        <v>175</v>
      </c>
    </row>
    <row r="553" spans="1:17" ht="15" customHeight="1">
      <c r="P553">
        <f>ROUNDDOWN(H553*L553*O553,2)</f>
        <v>0</v>
      </c>
      <c r="Q553" t="s">
        <v>176</v>
      </c>
    </row>
    <row r="554" spans="1:17" ht="15" customHeight="1"/>
    <row r="555" spans="1:17" ht="15" customHeight="1"/>
    <row r="556" spans="1:17" ht="15" customHeight="1">
      <c r="G556" t="s">
        <v>177</v>
      </c>
      <c r="P556">
        <f>SUM(P552:P555)</f>
        <v>0.01</v>
      </c>
      <c r="Q556" t="s">
        <v>91</v>
      </c>
    </row>
    <row r="557" spans="1:17" ht="15" customHeight="1">
      <c r="G557" t="s">
        <v>178</v>
      </c>
      <c r="I557" t="s">
        <v>179</v>
      </c>
      <c r="J557" t="s">
        <v>180</v>
      </c>
      <c r="K557" t="s">
        <v>181</v>
      </c>
    </row>
    <row r="558" spans="1:17" ht="15" customHeight="1">
      <c r="I558" t="s">
        <v>179</v>
      </c>
      <c r="J558">
        <f>P550</f>
        <v>0.06</v>
      </c>
      <c r="K558" t="s">
        <v>182</v>
      </c>
      <c r="L558">
        <f>P560</f>
        <v>0.01</v>
      </c>
      <c r="P558">
        <f>ROUNDDOWN(J558-L558,2)</f>
        <v>0.05</v>
      </c>
      <c r="Q558" t="s">
        <v>91</v>
      </c>
    </row>
    <row r="559" spans="1:17" ht="15" customHeight="1">
      <c r="G559" t="s">
        <v>183</v>
      </c>
      <c r="I559" t="s">
        <v>184</v>
      </c>
      <c r="K559" t="s">
        <v>185</v>
      </c>
    </row>
    <row r="560" spans="1:17" ht="15" customHeight="1">
      <c r="D560">
        <v>200</v>
      </c>
      <c r="E560">
        <f>D560+D562+D564</f>
        <v>500</v>
      </c>
      <c r="I560" t="s">
        <v>184</v>
      </c>
      <c r="L560">
        <f>P552</f>
        <v>0.01</v>
      </c>
      <c r="P560">
        <f>ROUNDDOWN(L560+N560,2)</f>
        <v>0.01</v>
      </c>
      <c r="Q560" t="s">
        <v>91</v>
      </c>
    </row>
    <row r="561" spans="2:17" ht="15" customHeight="1">
      <c r="G561" t="s">
        <v>186</v>
      </c>
    </row>
    <row r="562" spans="2:17" ht="15" customHeight="1">
      <c r="G562" t="s">
        <v>187</v>
      </c>
      <c r="H562">
        <f>B552/1000</f>
        <v>0.2</v>
      </c>
      <c r="I562" t="s">
        <v>188</v>
      </c>
      <c r="J562">
        <f>B568/1000</f>
        <v>0.2</v>
      </c>
      <c r="K562" t="s">
        <v>189</v>
      </c>
      <c r="L562" t="s">
        <v>190</v>
      </c>
      <c r="M562" s="187">
        <f>E560/1000</f>
        <v>0.5</v>
      </c>
      <c r="N562" t="s">
        <v>191</v>
      </c>
      <c r="O562">
        <v>4</v>
      </c>
      <c r="P562">
        <f>((0.7+0.5)/2)*1*4</f>
        <v>2.4</v>
      </c>
      <c r="Q562" t="s">
        <v>192</v>
      </c>
    </row>
    <row r="563" spans="2:17" ht="15" customHeight="1">
      <c r="G563" t="s">
        <v>0</v>
      </c>
    </row>
    <row r="564" spans="2:17" ht="15" customHeight="1">
      <c r="D564">
        <v>300</v>
      </c>
      <c r="P564">
        <v>2</v>
      </c>
      <c r="Q564" t="s">
        <v>88</v>
      </c>
    </row>
    <row r="565" spans="2:17" ht="15" customHeight="1"/>
    <row r="566" spans="2:17" ht="15" customHeight="1">
      <c r="B566">
        <v>200</v>
      </c>
    </row>
    <row r="567" spans="2:17" ht="15" customHeight="1">
      <c r="B567">
        <v>100</v>
      </c>
      <c r="C567">
        <v>100</v>
      </c>
    </row>
    <row r="568" spans="2:17" ht="15" customHeight="1">
      <c r="B568">
        <v>200</v>
      </c>
    </row>
    <row r="569" spans="2:17" ht="15" customHeight="1">
      <c r="B569">
        <v>100</v>
      </c>
      <c r="C569">
        <v>100</v>
      </c>
    </row>
    <row r="570" spans="2:17" ht="15" customHeight="1"/>
    <row r="571" spans="2:17" ht="15" customHeight="1">
      <c r="B571">
        <f>B567+B566+C567</f>
        <v>400</v>
      </c>
    </row>
    <row r="572" spans="2:17" ht="15" customHeight="1"/>
    <row r="573" spans="2:17" ht="15" customHeight="1">
      <c r="B573">
        <f>B569+B568+C569</f>
        <v>400</v>
      </c>
    </row>
    <row r="574" spans="2:17" ht="15" customHeight="1"/>
    <row r="575" spans="2:17" ht="15" customHeight="1"/>
    <row r="576" spans="2:17" ht="15" customHeight="1"/>
    <row r="577" spans="1:17" ht="24.95" customHeight="1">
      <c r="A577" t="s">
        <v>9</v>
      </c>
      <c r="H577" t="s">
        <v>158</v>
      </c>
    </row>
    <row r="578" spans="1:17" ht="15" customHeight="1">
      <c r="B578" t="s">
        <v>63</v>
      </c>
      <c r="I578" t="s">
        <v>159</v>
      </c>
      <c r="J578" t="s">
        <v>160</v>
      </c>
      <c r="K578" t="s">
        <v>161</v>
      </c>
      <c r="L578" t="s">
        <v>162</v>
      </c>
      <c r="M578" s="187" t="s">
        <v>163</v>
      </c>
      <c r="P578" t="s">
        <v>99</v>
      </c>
    </row>
    <row r="579" spans="1:17" ht="15" customHeight="1">
      <c r="G579" t="s">
        <v>165</v>
      </c>
      <c r="I579" t="s">
        <v>166</v>
      </c>
    </row>
    <row r="580" spans="1:17" ht="15" customHeight="1">
      <c r="G580" t="s">
        <v>167</v>
      </c>
      <c r="H580">
        <f>B583/1000</f>
        <v>0.42</v>
      </c>
      <c r="K580" t="s">
        <v>168</v>
      </c>
      <c r="L580">
        <f>B581/1000</f>
        <v>0.42</v>
      </c>
      <c r="N580" t="s">
        <v>169</v>
      </c>
      <c r="O580">
        <f>(D594+D596)/1000</f>
        <v>0.2</v>
      </c>
    </row>
    <row r="581" spans="1:17" ht="15" customHeight="1">
      <c r="B581">
        <f>B605+(0.3*(D596)*2)</f>
        <v>420</v>
      </c>
      <c r="D581" t="s">
        <v>62</v>
      </c>
      <c r="G581" t="s">
        <v>170</v>
      </c>
      <c r="H581">
        <f>B603/1000</f>
        <v>0.3</v>
      </c>
      <c r="K581" t="s">
        <v>171</v>
      </c>
      <c r="L581">
        <f>B605/1000</f>
        <v>0.3</v>
      </c>
    </row>
    <row r="582" spans="1:17" ht="15" customHeight="1">
      <c r="G582" t="s">
        <v>172</v>
      </c>
      <c r="P582">
        <f>ROUNDDOWN(O580/6*((2*H580+L580)*H581+(2*L580+H580)*L581),2)</f>
        <v>0.02</v>
      </c>
      <c r="Q582" t="s">
        <v>91</v>
      </c>
    </row>
    <row r="583" spans="1:17" ht="15" customHeight="1">
      <c r="B583">
        <f>B603+(0.3*(D596)*2)</f>
        <v>420</v>
      </c>
      <c r="G583" t="s">
        <v>173</v>
      </c>
      <c r="I583" t="s">
        <v>174</v>
      </c>
    </row>
    <row r="584" spans="1:17" ht="15" customHeight="1">
      <c r="B584">
        <v>200</v>
      </c>
      <c r="G584" t="s">
        <v>167</v>
      </c>
      <c r="H584">
        <f>B584/1000</f>
        <v>0.2</v>
      </c>
      <c r="K584" t="s">
        <v>168</v>
      </c>
      <c r="L584">
        <f>B598/1000</f>
        <v>0.2</v>
      </c>
      <c r="N584" t="s">
        <v>169</v>
      </c>
      <c r="O584">
        <f>D596/1000</f>
        <v>0.2</v>
      </c>
      <c r="P584">
        <f>H584*L584*O584</f>
        <v>8.0000000000000019E-3</v>
      </c>
      <c r="Q584" t="s">
        <v>175</v>
      </c>
    </row>
    <row r="585" spans="1:17" ht="15" customHeight="1">
      <c r="G585" t="s">
        <v>167</v>
      </c>
      <c r="H585">
        <f>B584/1000</f>
        <v>0.2</v>
      </c>
      <c r="K585" t="s">
        <v>168</v>
      </c>
      <c r="L585">
        <f>B598/1000</f>
        <v>0.2</v>
      </c>
      <c r="N585" t="s">
        <v>169</v>
      </c>
      <c r="O585">
        <f>D592/1000</f>
        <v>0</v>
      </c>
      <c r="P585">
        <f>H585*L585*O585</f>
        <v>0</v>
      </c>
      <c r="Q585" t="s">
        <v>176</v>
      </c>
    </row>
    <row r="586" spans="1:17" ht="15" customHeight="1"/>
    <row r="587" spans="1:17" ht="15" customHeight="1"/>
    <row r="588" spans="1:17" ht="15" customHeight="1">
      <c r="G588" t="s">
        <v>177</v>
      </c>
      <c r="P588">
        <f>SUM(P584:P587)</f>
        <v>8.0000000000000019E-3</v>
      </c>
      <c r="Q588" t="s">
        <v>91</v>
      </c>
    </row>
    <row r="589" spans="1:17" ht="15" customHeight="1">
      <c r="G589" t="s">
        <v>178</v>
      </c>
      <c r="I589" t="s">
        <v>179</v>
      </c>
      <c r="J589" t="s">
        <v>180</v>
      </c>
      <c r="K589" t="s">
        <v>181</v>
      </c>
    </row>
    <row r="590" spans="1:17" ht="15" customHeight="1">
      <c r="I590" t="s">
        <v>179</v>
      </c>
      <c r="J590">
        <f>P582</f>
        <v>0.02</v>
      </c>
      <c r="K590" t="s">
        <v>182</v>
      </c>
      <c r="L590">
        <f>P592</f>
        <v>8.0000000000000019E-3</v>
      </c>
      <c r="P590">
        <f>J590-L590</f>
        <v>1.1999999999999999E-2</v>
      </c>
      <c r="Q590" t="s">
        <v>91</v>
      </c>
    </row>
    <row r="591" spans="1:17" ht="15" customHeight="1">
      <c r="G591" t="s">
        <v>183</v>
      </c>
      <c r="I591" t="s">
        <v>184</v>
      </c>
      <c r="K591" t="s">
        <v>185</v>
      </c>
    </row>
    <row r="592" spans="1:17" ht="15" customHeight="1">
      <c r="I592" t="s">
        <v>184</v>
      </c>
      <c r="L592">
        <f>P584</f>
        <v>8.0000000000000019E-3</v>
      </c>
      <c r="P592">
        <f>L592+N592</f>
        <v>8.0000000000000019E-3</v>
      </c>
      <c r="Q592" t="s">
        <v>91</v>
      </c>
    </row>
    <row r="593" spans="2:17" ht="15" customHeight="1">
      <c r="G593" t="s">
        <v>186</v>
      </c>
    </row>
    <row r="594" spans="2:17" ht="15" customHeight="1">
      <c r="H594" t="s">
        <v>85</v>
      </c>
      <c r="P594">
        <f>ROUNDDOWN(dhTextEvaluate(H594),2)</f>
        <v>1.84</v>
      </c>
      <c r="Q594" t="s">
        <v>192</v>
      </c>
    </row>
    <row r="595" spans="2:17" ht="15" customHeight="1">
      <c r="G595" t="s">
        <v>0</v>
      </c>
    </row>
    <row r="596" spans="2:17" ht="15" customHeight="1">
      <c r="D596">
        <v>200</v>
      </c>
      <c r="P596">
        <v>2</v>
      </c>
      <c r="Q596" t="s">
        <v>88</v>
      </c>
    </row>
    <row r="597" spans="2:17" ht="15" customHeight="1"/>
    <row r="598" spans="2:17" ht="15" customHeight="1">
      <c r="B598">
        <v>200</v>
      </c>
    </row>
    <row r="599" spans="2:17" ht="15" customHeight="1">
      <c r="B599">
        <v>50</v>
      </c>
      <c r="C599">
        <v>50</v>
      </c>
    </row>
    <row r="600" spans="2:17" ht="15" customHeight="1">
      <c r="B600">
        <v>200</v>
      </c>
    </row>
    <row r="601" spans="2:17" ht="15" customHeight="1">
      <c r="B601">
        <v>50</v>
      </c>
      <c r="C601">
        <v>50</v>
      </c>
    </row>
    <row r="602" spans="2:17" ht="15" customHeight="1"/>
    <row r="603" spans="2:17" ht="15" customHeight="1">
      <c r="B603">
        <f>B599+B598+C599</f>
        <v>300</v>
      </c>
    </row>
    <row r="604" spans="2:17" ht="15" customHeight="1"/>
    <row r="605" spans="2:17" ht="15" customHeight="1">
      <c r="B605">
        <f>B601+B600+C601</f>
        <v>300</v>
      </c>
    </row>
    <row r="606" spans="2:17" ht="15" customHeight="1"/>
    <row r="607" spans="2:17" ht="15" customHeight="1"/>
    <row r="608" spans="2:17" ht="15" customHeight="1"/>
    <row r="609" spans="1:17" ht="24.95" customHeight="1">
      <c r="A609" t="s">
        <v>61</v>
      </c>
      <c r="H609" t="s">
        <v>154</v>
      </c>
    </row>
    <row r="610" spans="1:17" ht="15" customHeight="1">
      <c r="B610" t="s">
        <v>377</v>
      </c>
      <c r="I610" t="s">
        <v>159</v>
      </c>
      <c r="J610" t="s">
        <v>160</v>
      </c>
      <c r="K610" t="s">
        <v>161</v>
      </c>
      <c r="L610" t="s">
        <v>162</v>
      </c>
      <c r="M610" s="187" t="s">
        <v>163</v>
      </c>
      <c r="P610" t="s">
        <v>372</v>
      </c>
    </row>
    <row r="611" spans="1:17" ht="15" customHeight="1">
      <c r="G611" t="s">
        <v>165</v>
      </c>
      <c r="I611" t="s">
        <v>166</v>
      </c>
    </row>
    <row r="612" spans="1:17" ht="15" customHeight="1">
      <c r="G612" t="s">
        <v>167</v>
      </c>
      <c r="H612">
        <f>B615/1000</f>
        <v>0.64</v>
      </c>
      <c r="K612" t="s">
        <v>168</v>
      </c>
      <c r="L612">
        <f>B613/1000</f>
        <v>0.64</v>
      </c>
      <c r="N612" t="s">
        <v>169</v>
      </c>
      <c r="O612">
        <f>(D626+D628)/1000</f>
        <v>0.4</v>
      </c>
    </row>
    <row r="613" spans="1:17" ht="15" customHeight="1">
      <c r="B613">
        <f>B637+(0.3*(D628)*2)</f>
        <v>640</v>
      </c>
      <c r="D613" t="s">
        <v>367</v>
      </c>
      <c r="G613" t="s">
        <v>170</v>
      </c>
      <c r="H613">
        <f>B635/1000</f>
        <v>0.4</v>
      </c>
      <c r="K613" t="s">
        <v>171</v>
      </c>
      <c r="L613">
        <f>B637/1000</f>
        <v>0.4</v>
      </c>
    </row>
    <row r="614" spans="1:17" ht="15" customHeight="1">
      <c r="G614" t="s">
        <v>172</v>
      </c>
      <c r="P614">
        <f>ROUNDDOWN(O612/6*((2*H612+L612)*H613+(2*L612+H612)*L613),2)</f>
        <v>0.1</v>
      </c>
      <c r="Q614" t="s">
        <v>91</v>
      </c>
    </row>
    <row r="615" spans="1:17" ht="15" customHeight="1">
      <c r="B615">
        <f>B635+(0.3*(D628)*2)</f>
        <v>640</v>
      </c>
      <c r="G615" t="s">
        <v>173</v>
      </c>
      <c r="I615" t="s">
        <v>174</v>
      </c>
    </row>
    <row r="616" spans="1:17" ht="15" customHeight="1">
      <c r="B616">
        <v>300</v>
      </c>
      <c r="G616" t="s">
        <v>167</v>
      </c>
      <c r="H616">
        <f>B616/1000</f>
        <v>0.3</v>
      </c>
      <c r="K616" t="s">
        <v>168</v>
      </c>
      <c r="L616">
        <f>B630/1000</f>
        <v>0.3</v>
      </c>
      <c r="N616" t="s">
        <v>169</v>
      </c>
      <c r="O616">
        <f>D628/1000</f>
        <v>0.4</v>
      </c>
      <c r="P616">
        <f>H616*L616*O616</f>
        <v>3.5999999999999997E-2</v>
      </c>
      <c r="Q616" t="s">
        <v>175</v>
      </c>
    </row>
    <row r="617" spans="1:17" ht="15" customHeight="1">
      <c r="G617" t="s">
        <v>167</v>
      </c>
      <c r="H617">
        <f>B616/1000</f>
        <v>0.3</v>
      </c>
      <c r="K617" t="s">
        <v>168</v>
      </c>
      <c r="L617">
        <f>B630/1000</f>
        <v>0.3</v>
      </c>
      <c r="N617" t="s">
        <v>169</v>
      </c>
      <c r="O617">
        <f>D624/1000</f>
        <v>0</v>
      </c>
      <c r="P617">
        <f>H617*L617*O617</f>
        <v>0</v>
      </c>
      <c r="Q617" t="s">
        <v>176</v>
      </c>
    </row>
    <row r="618" spans="1:17" ht="15" customHeight="1"/>
    <row r="619" spans="1:17" ht="15" customHeight="1"/>
    <row r="620" spans="1:17" ht="15" customHeight="1">
      <c r="G620" t="s">
        <v>177</v>
      </c>
      <c r="P620">
        <f>SUM(P616:P619)</f>
        <v>3.5999999999999997E-2</v>
      </c>
      <c r="Q620" t="s">
        <v>91</v>
      </c>
    </row>
    <row r="621" spans="1:17" ht="15" customHeight="1">
      <c r="G621" t="s">
        <v>178</v>
      </c>
      <c r="I621" t="s">
        <v>179</v>
      </c>
      <c r="J621" t="s">
        <v>180</v>
      </c>
      <c r="K621" t="s">
        <v>181</v>
      </c>
    </row>
    <row r="622" spans="1:17" ht="15" customHeight="1">
      <c r="I622" t="s">
        <v>179</v>
      </c>
      <c r="J622">
        <f>P614</f>
        <v>0.1</v>
      </c>
      <c r="K622" t="s">
        <v>182</v>
      </c>
      <c r="L622">
        <f>P624</f>
        <v>3.5999999999999997E-2</v>
      </c>
      <c r="P622">
        <f>J622-L622</f>
        <v>6.4000000000000001E-2</v>
      </c>
      <c r="Q622" t="s">
        <v>91</v>
      </c>
    </row>
    <row r="623" spans="1:17" ht="15" customHeight="1">
      <c r="G623" t="s">
        <v>183</v>
      </c>
      <c r="I623" t="s">
        <v>184</v>
      </c>
      <c r="K623" t="s">
        <v>185</v>
      </c>
    </row>
    <row r="624" spans="1:17" ht="15" customHeight="1">
      <c r="I624" t="s">
        <v>184</v>
      </c>
      <c r="L624">
        <f>P616</f>
        <v>3.5999999999999997E-2</v>
      </c>
      <c r="P624">
        <f>L624+N624</f>
        <v>3.5999999999999997E-2</v>
      </c>
      <c r="Q624" t="s">
        <v>91</v>
      </c>
    </row>
    <row r="625" spans="2:17" ht="15" customHeight="1">
      <c r="G625" t="s">
        <v>186</v>
      </c>
    </row>
    <row r="626" spans="2:17" ht="15" customHeight="1">
      <c r="H626" t="s">
        <v>85</v>
      </c>
      <c r="P626">
        <f>ROUNDDOWN(dhTextEvaluate(H626),2)</f>
        <v>1.84</v>
      </c>
      <c r="Q626" t="s">
        <v>192</v>
      </c>
    </row>
    <row r="627" spans="2:17" ht="15" customHeight="1">
      <c r="G627" t="s">
        <v>0</v>
      </c>
    </row>
    <row r="628" spans="2:17" ht="15" customHeight="1">
      <c r="D628">
        <v>400</v>
      </c>
      <c r="P628">
        <v>2</v>
      </c>
      <c r="Q628" t="s">
        <v>88</v>
      </c>
    </row>
    <row r="629" spans="2:17" ht="15" customHeight="1"/>
    <row r="630" spans="2:17" ht="15" customHeight="1">
      <c r="B630">
        <v>300</v>
      </c>
    </row>
    <row r="631" spans="2:17" ht="15" customHeight="1">
      <c r="B631">
        <v>50</v>
      </c>
      <c r="C631">
        <v>50</v>
      </c>
    </row>
    <row r="632" spans="2:17" ht="15" customHeight="1">
      <c r="B632">
        <v>300</v>
      </c>
    </row>
    <row r="633" spans="2:17" ht="15" customHeight="1">
      <c r="B633">
        <v>50</v>
      </c>
      <c r="C633">
        <v>50</v>
      </c>
    </row>
    <row r="634" spans="2:17" ht="15" customHeight="1"/>
    <row r="635" spans="2:17" ht="15" customHeight="1">
      <c r="B635">
        <f>B631+B630+C631</f>
        <v>400</v>
      </c>
    </row>
    <row r="636" spans="2:17" ht="15" customHeight="1"/>
    <row r="637" spans="2:17" ht="15" customHeight="1">
      <c r="B637">
        <f>B633+B632+C633</f>
        <v>400</v>
      </c>
    </row>
    <row r="638" spans="2:17" ht="15" customHeight="1"/>
    <row r="639" spans="2:17" ht="15" customHeight="1"/>
    <row r="640" spans="2:17" ht="15" customHeight="1"/>
    <row r="641" spans="1:17" ht="24.95" customHeight="1">
      <c r="A641" t="s">
        <v>368</v>
      </c>
      <c r="G641" t="s">
        <v>154</v>
      </c>
    </row>
    <row r="642" spans="1:17" ht="15" customHeight="1">
      <c r="B642" t="s">
        <v>82</v>
      </c>
      <c r="I642" t="s">
        <v>159</v>
      </c>
      <c r="J642" t="s">
        <v>160</v>
      </c>
      <c r="K642" t="s">
        <v>161</v>
      </c>
      <c r="L642" t="s">
        <v>162</v>
      </c>
      <c r="M642" s="187" t="s">
        <v>163</v>
      </c>
      <c r="P642" t="s">
        <v>372</v>
      </c>
    </row>
    <row r="643" spans="1:17" ht="15" customHeight="1">
      <c r="G643" t="s">
        <v>165</v>
      </c>
      <c r="H643" t="s">
        <v>218</v>
      </c>
      <c r="I643" t="s">
        <v>219</v>
      </c>
    </row>
    <row r="644" spans="1:17" ht="15" customHeight="1">
      <c r="G644" t="s">
        <v>167</v>
      </c>
      <c r="H644">
        <f>B647/1000</f>
        <v>0.1</v>
      </c>
      <c r="K644" t="s">
        <v>168</v>
      </c>
      <c r="L644">
        <f>B663/1000</f>
        <v>0.1</v>
      </c>
      <c r="N644" t="s">
        <v>169</v>
      </c>
      <c r="O644">
        <f>E654/1000</f>
        <v>0.22</v>
      </c>
    </row>
    <row r="645" spans="1:17" ht="15" customHeight="1"/>
    <row r="646" spans="1:17" ht="15" customHeight="1">
      <c r="G646" t="s">
        <v>172</v>
      </c>
      <c r="P646">
        <f>H644*L644*O644</f>
        <v>2.2000000000000006E-3</v>
      </c>
      <c r="Q646" t="s">
        <v>91</v>
      </c>
    </row>
    <row r="647" spans="1:17" ht="15" customHeight="1">
      <c r="B647">
        <v>100</v>
      </c>
      <c r="G647" t="s">
        <v>220</v>
      </c>
      <c r="I647" t="s">
        <v>179</v>
      </c>
      <c r="J647" t="s">
        <v>180</v>
      </c>
      <c r="K647" t="s">
        <v>207</v>
      </c>
    </row>
    <row r="648" spans="1:17" ht="15" customHeight="1">
      <c r="L648" t="s">
        <v>198</v>
      </c>
      <c r="M648" s="187" t="s">
        <v>81</v>
      </c>
      <c r="P648">
        <f>P646-(P652+P654+P656)</f>
        <v>2.5490500000000015E-4</v>
      </c>
      <c r="Q648" t="s">
        <v>91</v>
      </c>
    </row>
    <row r="649" spans="1:17" ht="15" customHeight="1">
      <c r="G649" t="s">
        <v>221</v>
      </c>
      <c r="I649" t="s">
        <v>184</v>
      </c>
      <c r="J649" t="s">
        <v>200</v>
      </c>
    </row>
    <row r="650" spans="1:17" ht="15" customHeight="1">
      <c r="P650">
        <f>P646-P648</f>
        <v>1.9450950000000004E-3</v>
      </c>
      <c r="Q650" t="s">
        <v>91</v>
      </c>
    </row>
    <row r="651" spans="1:17" ht="15" customHeight="1">
      <c r="G651" t="s">
        <v>10</v>
      </c>
      <c r="I651" t="s">
        <v>218</v>
      </c>
      <c r="J651" t="s">
        <v>219</v>
      </c>
    </row>
    <row r="652" spans="1:17" ht="15" customHeight="1">
      <c r="B652" t="s">
        <v>11</v>
      </c>
      <c r="G652" t="s">
        <v>222</v>
      </c>
      <c r="H652">
        <v>0.1</v>
      </c>
      <c r="K652" t="s">
        <v>223</v>
      </c>
      <c r="L652">
        <v>0.1</v>
      </c>
      <c r="N652" t="s">
        <v>224</v>
      </c>
      <c r="O652">
        <v>0.05</v>
      </c>
      <c r="P652">
        <f>H652*L652*O652</f>
        <v>5.0000000000000012E-4</v>
      </c>
      <c r="Q652" t="s">
        <v>91</v>
      </c>
    </row>
    <row r="653" spans="1:17" ht="15" customHeight="1">
      <c r="G653" t="s">
        <v>225</v>
      </c>
      <c r="I653" t="s">
        <v>218</v>
      </c>
      <c r="J653" t="s">
        <v>219</v>
      </c>
    </row>
    <row r="654" spans="1:17" ht="15" customHeight="1">
      <c r="E654">
        <f>D656+D658+D660</f>
        <v>220</v>
      </c>
      <c r="G654" t="s">
        <v>222</v>
      </c>
      <c r="H654">
        <v>0.1</v>
      </c>
      <c r="K654" t="s">
        <v>223</v>
      </c>
      <c r="L654">
        <v>0.1</v>
      </c>
      <c r="N654" t="s">
        <v>224</v>
      </c>
      <c r="O654">
        <v>0.1</v>
      </c>
      <c r="P654">
        <f>H654*L654*O654</f>
        <v>1.0000000000000002E-3</v>
      </c>
      <c r="Q654" t="s">
        <v>91</v>
      </c>
    </row>
    <row r="655" spans="1:17" ht="15" customHeight="1">
      <c r="B655" t="s">
        <v>12</v>
      </c>
      <c r="G655" t="s">
        <v>226</v>
      </c>
    </row>
    <row r="656" spans="1:17" ht="15" customHeight="1">
      <c r="D656">
        <v>70</v>
      </c>
      <c r="G656" t="s">
        <v>167</v>
      </c>
      <c r="H656">
        <v>0.09</v>
      </c>
      <c r="N656" t="s">
        <v>169</v>
      </c>
      <c r="O656">
        <v>7.0000000000000007E-2</v>
      </c>
      <c r="P656">
        <f>(H656/2)*(H656/2)*3.14*O656</f>
        <v>4.4509500000000001E-4</v>
      </c>
      <c r="Q656" t="s">
        <v>91</v>
      </c>
    </row>
    <row r="657" spans="2:4" ht="15" customHeight="1">
      <c r="B657" t="s">
        <v>13</v>
      </c>
    </row>
    <row r="658" spans="2:4" ht="15" customHeight="1">
      <c r="D658">
        <v>50</v>
      </c>
    </row>
    <row r="659" spans="2:4" ht="15" customHeight="1"/>
    <row r="660" spans="2:4" ht="15" customHeight="1">
      <c r="B660">
        <v>100</v>
      </c>
      <c r="D660">
        <v>100</v>
      </c>
    </row>
    <row r="661" spans="2:4" ht="15" customHeight="1"/>
    <row r="662" spans="2:4" ht="15" customHeight="1"/>
    <row r="663" spans="2:4" ht="15" customHeight="1">
      <c r="B663">
        <f>B660+B661+C661</f>
        <v>100</v>
      </c>
    </row>
    <row r="664" spans="2:4" ht="15" customHeight="1"/>
    <row r="665" spans="2:4" ht="15" customHeight="1"/>
    <row r="666" spans="2:4" ht="15" customHeight="1"/>
    <row r="667" spans="2:4" ht="15" customHeight="1"/>
    <row r="668" spans="2:4" ht="15" customHeight="1"/>
    <row r="669" spans="2:4" ht="15" customHeight="1"/>
    <row r="670" spans="2:4" ht="15" customHeight="1"/>
    <row r="671" spans="2:4" ht="15" customHeight="1"/>
    <row r="672" spans="2:4" ht="15" customHeight="1"/>
    <row r="673" spans="1:17" ht="24.95" customHeight="1">
      <c r="A673" t="s">
        <v>364</v>
      </c>
      <c r="G673" t="s">
        <v>158</v>
      </c>
    </row>
    <row r="674" spans="1:17" ht="15" customHeight="1">
      <c r="I674" t="s">
        <v>159</v>
      </c>
      <c r="J674" t="s">
        <v>160</v>
      </c>
      <c r="K674" t="s">
        <v>161</v>
      </c>
      <c r="L674" t="s">
        <v>162</v>
      </c>
      <c r="M674" s="187" t="s">
        <v>163</v>
      </c>
      <c r="P674" t="s">
        <v>164</v>
      </c>
    </row>
    <row r="675" spans="1:17" ht="15" customHeight="1">
      <c r="G675" t="s">
        <v>165</v>
      </c>
      <c r="H675" t="s">
        <v>166</v>
      </c>
    </row>
    <row r="676" spans="1:17" ht="15" customHeight="1">
      <c r="B676">
        <f>B693+(0.3*(D688)*2)</f>
        <v>1160</v>
      </c>
      <c r="G676" t="s">
        <v>167</v>
      </c>
      <c r="H676">
        <f>B676/1000</f>
        <v>1.1599999999999999</v>
      </c>
      <c r="K676" t="s">
        <v>168</v>
      </c>
      <c r="L676">
        <f>B677/1000</f>
        <v>1.1599999999999999</v>
      </c>
      <c r="N676" t="s">
        <v>169</v>
      </c>
      <c r="O676">
        <f>(D690+D688)/1000</f>
        <v>0.6</v>
      </c>
    </row>
    <row r="677" spans="1:17" ht="15" customHeight="1">
      <c r="B677">
        <f>B694+(0.3*(D688)*2)</f>
        <v>1160</v>
      </c>
      <c r="D677" t="s">
        <v>203</v>
      </c>
      <c r="G677" t="s">
        <v>170</v>
      </c>
      <c r="H677">
        <f>B693/1000</f>
        <v>0.8</v>
      </c>
      <c r="K677" t="s">
        <v>171</v>
      </c>
      <c r="L677">
        <f>B694/1000</f>
        <v>0.8</v>
      </c>
    </row>
    <row r="678" spans="1:17" ht="15" customHeight="1">
      <c r="B678">
        <v>600</v>
      </c>
      <c r="G678" t="s">
        <v>172</v>
      </c>
      <c r="P678">
        <f>ROUNDDOWN(O676/6*((2*H676+L676)*H677+(2*L676+H676)*L677),2)</f>
        <v>0.55000000000000004</v>
      </c>
      <c r="Q678" t="s">
        <v>91</v>
      </c>
    </row>
    <row r="679" spans="1:17" ht="15" customHeight="1">
      <c r="G679" t="s">
        <v>204</v>
      </c>
      <c r="H679" t="s">
        <v>174</v>
      </c>
      <c r="J679" t="s">
        <v>205</v>
      </c>
    </row>
    <row r="680" spans="1:17" ht="15" customHeight="1">
      <c r="G680" t="s">
        <v>167</v>
      </c>
      <c r="H680">
        <f>B678/1000</f>
        <v>0.6</v>
      </c>
      <c r="K680" t="s">
        <v>168</v>
      </c>
      <c r="L680">
        <f>B689/1000</f>
        <v>0.6</v>
      </c>
      <c r="N680" t="s">
        <v>169</v>
      </c>
      <c r="O680">
        <f>D688/1000</f>
        <v>0.6</v>
      </c>
      <c r="P680">
        <f>ROUNDDOWN(H680*L680*O680,2)</f>
        <v>0.21</v>
      </c>
      <c r="Q680" t="s">
        <v>175</v>
      </c>
    </row>
    <row r="681" spans="1:17" ht="15" customHeight="1">
      <c r="O681">
        <f>D684/1000</f>
        <v>0</v>
      </c>
      <c r="P681">
        <f>ROUNDDOWN(H681*L681*O681,2)</f>
        <v>0</v>
      </c>
    </row>
    <row r="682" spans="1:17" ht="15" customHeight="1"/>
    <row r="683" spans="1:17" ht="15" customHeight="1"/>
    <row r="684" spans="1:17" ht="15" customHeight="1">
      <c r="E684">
        <f>D688</f>
        <v>600</v>
      </c>
      <c r="G684" t="s">
        <v>177</v>
      </c>
      <c r="P684">
        <f>SUM(P680:P683)</f>
        <v>0.21</v>
      </c>
      <c r="Q684" t="s">
        <v>91</v>
      </c>
    </row>
    <row r="685" spans="1:17" ht="15" customHeight="1">
      <c r="G685" t="s">
        <v>178</v>
      </c>
      <c r="I685" t="s">
        <v>179</v>
      </c>
      <c r="J685" t="s">
        <v>180</v>
      </c>
      <c r="K685" t="s">
        <v>181</v>
      </c>
    </row>
    <row r="686" spans="1:17" ht="15" customHeight="1">
      <c r="I686" t="s">
        <v>179</v>
      </c>
      <c r="J686">
        <f>P678</f>
        <v>0.55000000000000004</v>
      </c>
      <c r="K686" t="s">
        <v>182</v>
      </c>
      <c r="L686">
        <f>P688</f>
        <v>0.21</v>
      </c>
      <c r="P686">
        <f>ROUNDDOWN(J686-L686,2)</f>
        <v>0.34</v>
      </c>
      <c r="Q686" t="s">
        <v>91</v>
      </c>
    </row>
    <row r="687" spans="1:17" ht="15" customHeight="1">
      <c r="G687" t="s">
        <v>183</v>
      </c>
      <c r="I687" t="s">
        <v>184</v>
      </c>
      <c r="K687" t="s">
        <v>185</v>
      </c>
    </row>
    <row r="688" spans="1:17" ht="15" customHeight="1">
      <c r="D688">
        <v>600</v>
      </c>
      <c r="I688" t="s">
        <v>184</v>
      </c>
      <c r="L688">
        <f>P684</f>
        <v>0.21</v>
      </c>
      <c r="P688">
        <f>ROUNDDOWN(L688+N688,2)</f>
        <v>0.21</v>
      </c>
      <c r="Q688" t="s">
        <v>91</v>
      </c>
    </row>
    <row r="689" spans="1:4" ht="15" customHeight="1">
      <c r="B689">
        <v>600</v>
      </c>
    </row>
    <row r="690" spans="1:4" ht="15" customHeight="1">
      <c r="B690">
        <v>100</v>
      </c>
      <c r="C690">
        <v>100</v>
      </c>
    </row>
    <row r="691" spans="1:4" ht="15" customHeight="1">
      <c r="B691">
        <v>600</v>
      </c>
    </row>
    <row r="692" spans="1:4" ht="15" customHeight="1">
      <c r="B692">
        <v>100</v>
      </c>
      <c r="C692">
        <v>100</v>
      </c>
    </row>
    <row r="693" spans="1:4" ht="15" customHeight="1">
      <c r="B693">
        <f>B690+B689+C690</f>
        <v>800</v>
      </c>
    </row>
    <row r="694" spans="1:4" ht="15" customHeight="1">
      <c r="B694">
        <f>B692+B691+C692</f>
        <v>800</v>
      </c>
    </row>
    <row r="695" spans="1:4" ht="15" customHeight="1"/>
    <row r="696" spans="1:4" ht="15" customHeight="1">
      <c r="B696">
        <f>B693</f>
        <v>800</v>
      </c>
    </row>
    <row r="697" spans="1:4" ht="15" customHeight="1"/>
    <row r="698" spans="1:4" ht="15" customHeight="1"/>
    <row r="699" spans="1:4" ht="15" customHeight="1">
      <c r="A699">
        <f>B694</f>
        <v>800</v>
      </c>
    </row>
    <row r="700" spans="1:4" ht="15" customHeight="1"/>
    <row r="701" spans="1:4" ht="15" customHeight="1"/>
    <row r="702" spans="1:4" ht="15" customHeight="1"/>
    <row r="703" spans="1:4" ht="15" customHeight="1">
      <c r="D703">
        <f>B677</f>
        <v>1160</v>
      </c>
    </row>
    <row r="704" spans="1:4" ht="15" customHeight="1">
      <c r="B704">
        <f>B676</f>
        <v>1160</v>
      </c>
    </row>
    <row r="705" spans="1:17" ht="24.95" customHeight="1">
      <c r="A705" t="s">
        <v>39</v>
      </c>
      <c r="H705" t="s">
        <v>158</v>
      </c>
    </row>
    <row r="706" spans="1:17" ht="15" customHeight="1">
      <c r="B706" t="s">
        <v>33</v>
      </c>
      <c r="I706" t="s">
        <v>159</v>
      </c>
      <c r="J706" t="s">
        <v>160</v>
      </c>
      <c r="K706" t="s">
        <v>161</v>
      </c>
      <c r="L706" t="s">
        <v>162</v>
      </c>
      <c r="M706" s="187" t="s">
        <v>163</v>
      </c>
      <c r="P706" t="s">
        <v>164</v>
      </c>
    </row>
    <row r="707" spans="1:17" ht="15" customHeight="1">
      <c r="G707" t="s">
        <v>165</v>
      </c>
      <c r="I707" t="s">
        <v>37</v>
      </c>
    </row>
    <row r="708" spans="1:17" ht="15" customHeight="1">
      <c r="G708" t="s">
        <v>167</v>
      </c>
      <c r="H708">
        <f>B731/1000</f>
        <v>1.2</v>
      </c>
      <c r="K708" t="s">
        <v>38</v>
      </c>
      <c r="L708">
        <f>B733/1000</f>
        <v>0.5</v>
      </c>
      <c r="N708" t="s">
        <v>169</v>
      </c>
      <c r="O708">
        <f>(D722)/1000</f>
        <v>0.2</v>
      </c>
    </row>
    <row r="709" spans="1:17" ht="15" customHeight="1">
      <c r="B709">
        <f>B733+(0.3*(D722)*2)</f>
        <v>620</v>
      </c>
      <c r="D709" t="s">
        <v>34</v>
      </c>
    </row>
    <row r="710" spans="1:17" ht="15" customHeight="1">
      <c r="G710" t="s">
        <v>172</v>
      </c>
      <c r="P710">
        <f>H708*L708*O708</f>
        <v>0.12</v>
      </c>
      <c r="Q710" t="s">
        <v>91</v>
      </c>
    </row>
    <row r="711" spans="1:17" ht="15" customHeight="1">
      <c r="B711">
        <f>B712+B727+C727</f>
        <v>1200</v>
      </c>
      <c r="G711" t="s">
        <v>173</v>
      </c>
      <c r="I711" t="s">
        <v>174</v>
      </c>
    </row>
    <row r="712" spans="1:17" ht="15" customHeight="1">
      <c r="B712">
        <v>1000</v>
      </c>
      <c r="G712" t="s">
        <v>167</v>
      </c>
      <c r="H712">
        <f>B712/1000</f>
        <v>1</v>
      </c>
      <c r="K712" t="s">
        <v>38</v>
      </c>
      <c r="L712">
        <f>B728/1000</f>
        <v>0.3</v>
      </c>
      <c r="N712" t="s">
        <v>169</v>
      </c>
      <c r="O712">
        <f>D722/1000</f>
        <v>0.2</v>
      </c>
      <c r="P712">
        <f>ROUNDDOWN(H712*L712*O712,2)</f>
        <v>0.06</v>
      </c>
      <c r="Q712" t="s">
        <v>175</v>
      </c>
    </row>
    <row r="713" spans="1:17" ht="15" customHeight="1"/>
    <row r="714" spans="1:17" ht="15" customHeight="1"/>
    <row r="715" spans="1:17" ht="15" customHeight="1"/>
    <row r="716" spans="1:17" ht="15" customHeight="1">
      <c r="G716" t="s">
        <v>177</v>
      </c>
      <c r="P716">
        <f>SUM(P712:P715)</f>
        <v>0.06</v>
      </c>
      <c r="Q716" t="s">
        <v>91</v>
      </c>
    </row>
    <row r="717" spans="1:17" ht="15" customHeight="1">
      <c r="G717" t="s">
        <v>178</v>
      </c>
      <c r="I717" t="s">
        <v>179</v>
      </c>
      <c r="J717" t="s">
        <v>180</v>
      </c>
      <c r="K717" t="s">
        <v>181</v>
      </c>
    </row>
    <row r="718" spans="1:17" ht="15" customHeight="1">
      <c r="I718" t="s">
        <v>179</v>
      </c>
      <c r="J718">
        <f>P710</f>
        <v>0.12</v>
      </c>
      <c r="K718" t="s">
        <v>182</v>
      </c>
      <c r="L718">
        <f>P720</f>
        <v>0.06</v>
      </c>
      <c r="P718">
        <f>ROUNDDOWN(J718-L718,2)</f>
        <v>0.06</v>
      </c>
      <c r="Q718" t="s">
        <v>91</v>
      </c>
    </row>
    <row r="719" spans="1:17" ht="15" customHeight="1">
      <c r="G719" t="s">
        <v>183</v>
      </c>
      <c r="I719" t="s">
        <v>184</v>
      </c>
      <c r="K719" t="s">
        <v>185</v>
      </c>
    </row>
    <row r="720" spans="1:17" ht="15" customHeight="1">
      <c r="I720" t="s">
        <v>184</v>
      </c>
      <c r="L720">
        <f>P712</f>
        <v>0.06</v>
      </c>
      <c r="P720">
        <f>ROUNDDOWN(L720+N720,2)</f>
        <v>0.06</v>
      </c>
      <c r="Q720" t="s">
        <v>91</v>
      </c>
    </row>
    <row r="721" spans="2:17" ht="15" customHeight="1">
      <c r="G721" t="s">
        <v>186</v>
      </c>
    </row>
    <row r="722" spans="2:17" ht="15" customHeight="1">
      <c r="D722">
        <v>200</v>
      </c>
      <c r="H722" t="s">
        <v>85</v>
      </c>
      <c r="P722">
        <f>ROUNDDOWN(dhTextEvaluate(H722),2)</f>
        <v>1.84</v>
      </c>
      <c r="Q722" t="s">
        <v>192</v>
      </c>
    </row>
    <row r="723" spans="2:17" ht="15" customHeight="1"/>
    <row r="724" spans="2:17" ht="15" customHeight="1"/>
    <row r="725" spans="2:17" ht="15" customHeight="1"/>
    <row r="726" spans="2:17" ht="15" customHeight="1">
      <c r="B726">
        <v>1000</v>
      </c>
    </row>
    <row r="727" spans="2:17" ht="15" customHeight="1">
      <c r="B727">
        <v>100</v>
      </c>
      <c r="C727">
        <v>100</v>
      </c>
      <c r="G727" t="s">
        <v>35</v>
      </c>
      <c r="I727" t="s">
        <v>36</v>
      </c>
    </row>
    <row r="728" spans="2:17" ht="15" customHeight="1">
      <c r="B728">
        <v>300</v>
      </c>
      <c r="P728">
        <v>2</v>
      </c>
      <c r="Q728" t="s">
        <v>195</v>
      </c>
    </row>
    <row r="729" spans="2:17" ht="15" customHeight="1">
      <c r="B729">
        <v>100</v>
      </c>
      <c r="C729">
        <v>100</v>
      </c>
      <c r="G729" t="s">
        <v>152</v>
      </c>
    </row>
    <row r="730" spans="2:17" ht="15" customHeight="1">
      <c r="L730">
        <v>3</v>
      </c>
      <c r="P730">
        <f>$L$1853</f>
        <v>0</v>
      </c>
      <c r="Q730" t="s">
        <v>157</v>
      </c>
    </row>
    <row r="731" spans="2:17" ht="15" customHeight="1">
      <c r="B731">
        <f>B727+B726+C727</f>
        <v>1200</v>
      </c>
      <c r="G731" t="s">
        <v>208</v>
      </c>
    </row>
    <row r="732" spans="2:17" ht="15" customHeight="1">
      <c r="L732">
        <v>3</v>
      </c>
      <c r="P732">
        <f>L732</f>
        <v>3</v>
      </c>
      <c r="Q732" t="s">
        <v>157</v>
      </c>
    </row>
    <row r="733" spans="2:17" ht="15" customHeight="1">
      <c r="B733">
        <f>B729+B728+C729</f>
        <v>500</v>
      </c>
      <c r="G733" t="s">
        <v>153</v>
      </c>
    </row>
    <row r="734" spans="2:17" ht="15" customHeight="1">
      <c r="L734">
        <v>3</v>
      </c>
      <c r="P734">
        <v>1</v>
      </c>
      <c r="Q734" t="s">
        <v>158</v>
      </c>
    </row>
    <row r="735" spans="2:17" ht="15" customHeight="1"/>
    <row r="736" spans="2:17" ht="15" customHeight="1"/>
    <row r="737" spans="1:17" ht="24.95" customHeight="1">
      <c r="A737" t="s">
        <v>229</v>
      </c>
      <c r="H737" t="s">
        <v>158</v>
      </c>
      <c r="M737" s="1627"/>
      <c r="N737" s="1627"/>
      <c r="O737" s="1627"/>
      <c r="P737" s="1627"/>
      <c r="Q737" s="1627"/>
    </row>
    <row r="738" spans="1:17" ht="15" customHeight="1">
      <c r="B738" t="s">
        <v>230</v>
      </c>
      <c r="I738" t="s">
        <v>159</v>
      </c>
      <c r="J738" t="s">
        <v>160</v>
      </c>
      <c r="K738" t="s">
        <v>161</v>
      </c>
      <c r="L738" t="s">
        <v>162</v>
      </c>
      <c r="M738" s="187" t="s">
        <v>163</v>
      </c>
      <c r="P738" t="s">
        <v>164</v>
      </c>
    </row>
    <row r="739" spans="1:17" ht="15" customHeight="1">
      <c r="G739" t="s">
        <v>165</v>
      </c>
      <c r="H739" t="s">
        <v>166</v>
      </c>
    </row>
    <row r="740" spans="1:17" ht="15" customHeight="1">
      <c r="G740" t="s">
        <v>167</v>
      </c>
      <c r="H740">
        <f>B743/1000</f>
        <v>0.65</v>
      </c>
      <c r="K740" t="s">
        <v>168</v>
      </c>
      <c r="L740">
        <f>B759/1000</f>
        <v>0.5</v>
      </c>
      <c r="N740" t="s">
        <v>169</v>
      </c>
      <c r="O740">
        <f>D754/1000</f>
        <v>0.25</v>
      </c>
    </row>
    <row r="741" spans="1:17" ht="15" customHeight="1">
      <c r="D741" t="s">
        <v>231</v>
      </c>
      <c r="G741" t="s">
        <v>170</v>
      </c>
      <c r="H741">
        <f>B743/1000</f>
        <v>0.65</v>
      </c>
      <c r="K741" t="s">
        <v>171</v>
      </c>
      <c r="L741">
        <f>B759/1000</f>
        <v>0.5</v>
      </c>
    </row>
    <row r="742" spans="1:17" ht="15" customHeight="1">
      <c r="G742" t="s">
        <v>172</v>
      </c>
      <c r="P742">
        <f>ROUNDDOWN(O740/6*((2*H740+L740)*H741+(2*L740+H740)*L741),2)</f>
        <v>0.08</v>
      </c>
      <c r="Q742" t="s">
        <v>91</v>
      </c>
    </row>
    <row r="743" spans="1:17" ht="15" customHeight="1">
      <c r="B743">
        <f>B759+(0.3*D754)*2</f>
        <v>650</v>
      </c>
      <c r="G743" t="s">
        <v>173</v>
      </c>
      <c r="H743" t="s">
        <v>197</v>
      </c>
    </row>
    <row r="744" spans="1:17" ht="15" customHeight="1">
      <c r="G744" t="s">
        <v>167</v>
      </c>
      <c r="H744">
        <f>B756/1000</f>
        <v>0.4</v>
      </c>
      <c r="K744" t="s">
        <v>83</v>
      </c>
      <c r="L744">
        <f>B745/1000</f>
        <v>0.3</v>
      </c>
      <c r="N744" t="s">
        <v>169</v>
      </c>
      <c r="O744">
        <f>O740</f>
        <v>0.25</v>
      </c>
    </row>
    <row r="745" spans="1:17" ht="15" customHeight="1">
      <c r="B745">
        <v>300</v>
      </c>
      <c r="G745" t="s">
        <v>170</v>
      </c>
      <c r="H745">
        <f>B756/1000</f>
        <v>0.4</v>
      </c>
      <c r="K745" t="s">
        <v>84</v>
      </c>
      <c r="L745">
        <f>B745/1000</f>
        <v>0.3</v>
      </c>
    </row>
    <row r="746" spans="1:17" ht="15" customHeight="1">
      <c r="G746" t="s">
        <v>177</v>
      </c>
      <c r="P746">
        <f>ROUNDDOWN(O744/6*((2*H744+L744)*H745+(2*L744+H744)*L745),2)</f>
        <v>0.03</v>
      </c>
      <c r="Q746" t="s">
        <v>91</v>
      </c>
    </row>
    <row r="747" spans="1:17" ht="15" customHeight="1">
      <c r="G747" t="s">
        <v>178</v>
      </c>
      <c r="I747" t="s">
        <v>179</v>
      </c>
      <c r="J747" t="s">
        <v>180</v>
      </c>
      <c r="K747" t="s">
        <v>181</v>
      </c>
    </row>
    <row r="748" spans="1:17" ht="15" customHeight="1">
      <c r="L748" t="s">
        <v>198</v>
      </c>
      <c r="M748" s="187" t="s">
        <v>199</v>
      </c>
      <c r="P748">
        <f>P742-P746</f>
        <v>0.05</v>
      </c>
      <c r="Q748" t="s">
        <v>91</v>
      </c>
    </row>
    <row r="749" spans="1:17" ht="15" customHeight="1">
      <c r="G749" t="s">
        <v>183</v>
      </c>
      <c r="I749" t="s">
        <v>184</v>
      </c>
      <c r="J749" t="s">
        <v>200</v>
      </c>
    </row>
    <row r="750" spans="1:17" ht="15" customHeight="1">
      <c r="A750" t="s">
        <v>201</v>
      </c>
      <c r="P750">
        <f>P746</f>
        <v>0.03</v>
      </c>
      <c r="Q750" t="s">
        <v>91</v>
      </c>
    </row>
    <row r="751" spans="1:17" ht="15" customHeight="1">
      <c r="G751" t="s">
        <v>186</v>
      </c>
    </row>
    <row r="752" spans="1:17" ht="15" customHeight="1">
      <c r="H752" t="s">
        <v>85</v>
      </c>
      <c r="P752">
        <f>ROUNDDOWN(dhTextEvaluate(H752),2)</f>
        <v>1.84</v>
      </c>
      <c r="Q752" t="s">
        <v>192</v>
      </c>
    </row>
    <row r="753" spans="2:17" ht="15" customHeight="1">
      <c r="G753" t="s">
        <v>232</v>
      </c>
    </row>
    <row r="754" spans="2:17" ht="15" customHeight="1">
      <c r="D754">
        <v>250</v>
      </c>
      <c r="L754">
        <v>3</v>
      </c>
      <c r="P754">
        <v>1</v>
      </c>
      <c r="Q754" t="s">
        <v>196</v>
      </c>
    </row>
    <row r="755" spans="2:17" ht="15" customHeight="1"/>
    <row r="756" spans="2:17" ht="15" customHeight="1">
      <c r="B756">
        <v>400</v>
      </c>
    </row>
    <row r="757" spans="2:17" ht="15" customHeight="1">
      <c r="B757">
        <v>50</v>
      </c>
      <c r="C757">
        <v>50</v>
      </c>
    </row>
    <row r="758" spans="2:17" ht="15" customHeight="1"/>
    <row r="759" spans="2:17" ht="15" customHeight="1">
      <c r="B759">
        <f>B756+B757+C757</f>
        <v>500</v>
      </c>
    </row>
    <row r="760" spans="2:17" ht="15" customHeight="1"/>
    <row r="761" spans="2:17" ht="15" customHeight="1"/>
    <row r="762" spans="2:17" ht="15" customHeight="1"/>
    <row r="763" spans="2:17" ht="15" customHeight="1"/>
    <row r="764" spans="2:17" ht="15" customHeight="1"/>
    <row r="765" spans="2:17" ht="15" customHeight="1"/>
    <row r="766" spans="2:17" ht="15" customHeight="1"/>
    <row r="767" spans="2:17" ht="15" customHeight="1"/>
    <row r="768" spans="2:17" ht="15" customHeight="1"/>
    <row r="769" spans="1:17" ht="24.95" customHeight="1">
      <c r="A769" t="s">
        <v>215</v>
      </c>
      <c r="H769" t="s">
        <v>158</v>
      </c>
    </row>
    <row r="770" spans="1:17" ht="15" customHeight="1">
      <c r="B770" t="s">
        <v>233</v>
      </c>
      <c r="I770" t="s">
        <v>159</v>
      </c>
      <c r="J770" t="s">
        <v>160</v>
      </c>
      <c r="K770" t="s">
        <v>161</v>
      </c>
      <c r="L770" t="s">
        <v>162</v>
      </c>
      <c r="M770" s="187" t="s">
        <v>163</v>
      </c>
      <c r="P770" t="s">
        <v>164</v>
      </c>
    </row>
    <row r="771" spans="1:17" ht="15" customHeight="1">
      <c r="G771" t="s">
        <v>165</v>
      </c>
      <c r="I771" t="s">
        <v>166</v>
      </c>
    </row>
    <row r="772" spans="1:17" ht="15" customHeight="1">
      <c r="G772" t="s">
        <v>167</v>
      </c>
      <c r="H772">
        <f>B775/1000</f>
        <v>1.28</v>
      </c>
      <c r="K772" t="s">
        <v>168</v>
      </c>
      <c r="L772">
        <f>B773/1000</f>
        <v>1.28</v>
      </c>
      <c r="N772" t="s">
        <v>169</v>
      </c>
      <c r="O772">
        <f>(D786+D788)/1000</f>
        <v>0.8</v>
      </c>
    </row>
    <row r="773" spans="1:17" ht="15" customHeight="1">
      <c r="B773">
        <f>B797+(0.3*(D788)*2)</f>
        <v>1280</v>
      </c>
      <c r="D773" t="s">
        <v>234</v>
      </c>
      <c r="G773" t="s">
        <v>170</v>
      </c>
      <c r="H773">
        <f>B795/1000</f>
        <v>0.8</v>
      </c>
      <c r="K773" t="s">
        <v>171</v>
      </c>
      <c r="L773">
        <f>B797/1000</f>
        <v>0.8</v>
      </c>
    </row>
    <row r="774" spans="1:17" ht="15" customHeight="1">
      <c r="G774" t="s">
        <v>172</v>
      </c>
      <c r="P774">
        <f>ROUNDDOWN(O772/6*((2*H772+L772)*H773+(2*L772+H772)*L773),2)</f>
        <v>0.81</v>
      </c>
      <c r="Q774" t="s">
        <v>91</v>
      </c>
    </row>
    <row r="775" spans="1:17" ht="15" customHeight="1">
      <c r="B775">
        <f>B795+(0.3*(D788)*2)</f>
        <v>1280</v>
      </c>
      <c r="G775" t="s">
        <v>173</v>
      </c>
      <c r="I775" t="s">
        <v>174</v>
      </c>
    </row>
    <row r="776" spans="1:17" ht="15" customHeight="1">
      <c r="B776">
        <v>800</v>
      </c>
      <c r="G776" t="s">
        <v>167</v>
      </c>
      <c r="H776">
        <f>B776/1000</f>
        <v>0.8</v>
      </c>
      <c r="K776" t="s">
        <v>168</v>
      </c>
      <c r="L776">
        <f>B790/1000</f>
        <v>0.6</v>
      </c>
      <c r="N776" t="s">
        <v>169</v>
      </c>
      <c r="O776">
        <f>D788/1000</f>
        <v>0.8</v>
      </c>
      <c r="P776">
        <f>ROUNDDOWN(H776*L776*O776,2)</f>
        <v>0.38</v>
      </c>
      <c r="Q776" t="s">
        <v>175</v>
      </c>
    </row>
    <row r="777" spans="1:17" ht="15" customHeight="1">
      <c r="G777" t="s">
        <v>167</v>
      </c>
      <c r="H777">
        <f>B776/1000</f>
        <v>0.8</v>
      </c>
      <c r="K777" t="s">
        <v>168</v>
      </c>
      <c r="L777">
        <f>B790/1000</f>
        <v>0.6</v>
      </c>
      <c r="N777" t="s">
        <v>169</v>
      </c>
      <c r="O777">
        <f>D784/1000</f>
        <v>0</v>
      </c>
      <c r="P777">
        <f>ROUNDDOWN(H777*L777*O777,2)</f>
        <v>0</v>
      </c>
      <c r="Q777" t="s">
        <v>176</v>
      </c>
    </row>
    <row r="778" spans="1:17" ht="15" customHeight="1"/>
    <row r="779" spans="1:17" ht="15" customHeight="1"/>
    <row r="780" spans="1:17" ht="15" customHeight="1">
      <c r="G780" t="s">
        <v>177</v>
      </c>
      <c r="P780">
        <f>SUM(P776:P779)</f>
        <v>0.38</v>
      </c>
      <c r="Q780" t="s">
        <v>91</v>
      </c>
    </row>
    <row r="781" spans="1:17" ht="15" customHeight="1">
      <c r="G781" t="s">
        <v>178</v>
      </c>
      <c r="I781" t="s">
        <v>179</v>
      </c>
      <c r="J781" t="s">
        <v>180</v>
      </c>
      <c r="K781" t="s">
        <v>181</v>
      </c>
    </row>
    <row r="782" spans="1:17" ht="15" customHeight="1">
      <c r="I782" t="s">
        <v>179</v>
      </c>
      <c r="J782">
        <f>P774</f>
        <v>0.81</v>
      </c>
      <c r="K782" t="s">
        <v>182</v>
      </c>
      <c r="L782">
        <f>P784</f>
        <v>0.38</v>
      </c>
      <c r="P782">
        <f>ROUNDDOWN(J782-L782,2)</f>
        <v>0.43</v>
      </c>
      <c r="Q782" t="s">
        <v>91</v>
      </c>
    </row>
    <row r="783" spans="1:17" ht="15" customHeight="1">
      <c r="G783" t="s">
        <v>183</v>
      </c>
      <c r="I783" t="s">
        <v>184</v>
      </c>
      <c r="K783" t="s">
        <v>185</v>
      </c>
    </row>
    <row r="784" spans="1:17" ht="15" customHeight="1">
      <c r="I784" t="s">
        <v>184</v>
      </c>
      <c r="L784">
        <f>P776</f>
        <v>0.38</v>
      </c>
      <c r="P784">
        <f>ROUNDDOWN(L784+N784,2)</f>
        <v>0.38</v>
      </c>
      <c r="Q784" t="s">
        <v>91</v>
      </c>
    </row>
    <row r="785" spans="2:17" ht="15" customHeight="1">
      <c r="G785" t="s">
        <v>186</v>
      </c>
    </row>
    <row r="786" spans="2:17" ht="15" customHeight="1">
      <c r="H786" t="s">
        <v>85</v>
      </c>
      <c r="P786">
        <f>ROUNDDOWN(dhTextEvaluate(H786),2)</f>
        <v>1.84</v>
      </c>
      <c r="Q786" t="s">
        <v>192</v>
      </c>
    </row>
    <row r="787" spans="2:17" ht="15" customHeight="1"/>
    <row r="788" spans="2:17" ht="15" customHeight="1">
      <c r="D788">
        <v>800</v>
      </c>
    </row>
    <row r="789" spans="2:17" ht="15" customHeight="1"/>
    <row r="790" spans="2:17" ht="15" customHeight="1">
      <c r="B790">
        <v>600</v>
      </c>
    </row>
    <row r="791" spans="2:17" ht="15" customHeight="1">
      <c r="B791">
        <v>100</v>
      </c>
      <c r="C791">
        <v>100</v>
      </c>
      <c r="G791" t="s">
        <v>193</v>
      </c>
      <c r="I791" t="s">
        <v>194</v>
      </c>
    </row>
    <row r="792" spans="2:17" ht="15" customHeight="1">
      <c r="B792">
        <v>600</v>
      </c>
      <c r="P792">
        <v>4</v>
      </c>
      <c r="Q792" t="s">
        <v>195</v>
      </c>
    </row>
    <row r="793" spans="2:17" ht="15" customHeight="1">
      <c r="B793">
        <v>100</v>
      </c>
      <c r="C793">
        <v>100</v>
      </c>
      <c r="G793" t="s">
        <v>228</v>
      </c>
    </row>
    <row r="794" spans="2:17" ht="15" customHeight="1">
      <c r="L794">
        <v>2</v>
      </c>
      <c r="P794">
        <f>ROUNDDOWN(dhTextEvaluate(L794),2)</f>
        <v>2</v>
      </c>
      <c r="Q794" t="s">
        <v>196</v>
      </c>
    </row>
    <row r="795" spans="2:17" ht="15" customHeight="1">
      <c r="B795">
        <f>B791+B790+C791</f>
        <v>800</v>
      </c>
    </row>
    <row r="796" spans="2:17" ht="15" customHeight="1"/>
    <row r="797" spans="2:17" ht="15" customHeight="1">
      <c r="B797">
        <f>B793+B792+C793</f>
        <v>800</v>
      </c>
      <c r="G797" t="s">
        <v>235</v>
      </c>
    </row>
    <row r="798" spans="2:17" ht="15" customHeight="1">
      <c r="L798">
        <v>1</v>
      </c>
      <c r="P798">
        <f>ROUNDDOWN(dhTextEvaluate(L798),2)</f>
        <v>1</v>
      </c>
      <c r="Q798" t="s">
        <v>158</v>
      </c>
    </row>
    <row r="799" spans="2:17" ht="15" customHeight="1"/>
    <row r="800" spans="2:17" ht="15" customHeight="1"/>
    <row r="801" spans="1:17" ht="24.95" customHeight="1">
      <c r="A801" t="s">
        <v>209</v>
      </c>
      <c r="H801" t="s">
        <v>158</v>
      </c>
    </row>
    <row r="802" spans="1:17" ht="15" customHeight="1">
      <c r="B802" t="s">
        <v>236</v>
      </c>
      <c r="I802" t="s">
        <v>159</v>
      </c>
      <c r="J802" t="s">
        <v>160</v>
      </c>
      <c r="K802" t="s">
        <v>161</v>
      </c>
      <c r="L802" t="s">
        <v>162</v>
      </c>
      <c r="M802" s="187" t="s">
        <v>163</v>
      </c>
      <c r="P802" t="s">
        <v>164</v>
      </c>
    </row>
    <row r="803" spans="1:17" ht="15" customHeight="1">
      <c r="G803" t="s">
        <v>165</v>
      </c>
      <c r="I803" t="s">
        <v>166</v>
      </c>
    </row>
    <row r="804" spans="1:17" ht="15" customHeight="1">
      <c r="G804" t="s">
        <v>167</v>
      </c>
      <c r="H804">
        <f>B807/1000</f>
        <v>0.96</v>
      </c>
      <c r="K804" t="s">
        <v>168</v>
      </c>
      <c r="L804">
        <f>B805/1000</f>
        <v>0.96</v>
      </c>
      <c r="N804" t="s">
        <v>169</v>
      </c>
      <c r="O804">
        <f>(D818+D820)/1000</f>
        <v>0.6</v>
      </c>
    </row>
    <row r="805" spans="1:17" ht="15" customHeight="1">
      <c r="B805">
        <f>B829+(0.3*(D820)*2)</f>
        <v>960</v>
      </c>
      <c r="D805" t="s">
        <v>237</v>
      </c>
      <c r="G805" t="s">
        <v>170</v>
      </c>
      <c r="H805">
        <f>B827/1000</f>
        <v>0.6</v>
      </c>
      <c r="K805" t="s">
        <v>171</v>
      </c>
      <c r="L805">
        <f>B829/1000</f>
        <v>0.6</v>
      </c>
    </row>
    <row r="806" spans="1:17" ht="15" customHeight="1">
      <c r="G806" t="s">
        <v>172</v>
      </c>
      <c r="P806">
        <f>ROUNDDOWN(O804/6*((2*H804+L804)*H805+(2*L804+H804)*L805),2)</f>
        <v>0.34</v>
      </c>
      <c r="Q806" t="s">
        <v>91</v>
      </c>
    </row>
    <row r="807" spans="1:17" ht="15" customHeight="1">
      <c r="B807">
        <f>B827+(0.3*(D820)*2)</f>
        <v>960</v>
      </c>
      <c r="G807" t="s">
        <v>173</v>
      </c>
      <c r="I807" t="s">
        <v>174</v>
      </c>
    </row>
    <row r="808" spans="1:17" ht="15" customHeight="1">
      <c r="B808">
        <v>500</v>
      </c>
      <c r="G808" t="s">
        <v>167</v>
      </c>
      <c r="H808">
        <f>B808/1000</f>
        <v>0.5</v>
      </c>
      <c r="K808" t="s">
        <v>168</v>
      </c>
      <c r="L808">
        <f>B822/1000</f>
        <v>0.4</v>
      </c>
      <c r="N808" t="s">
        <v>169</v>
      </c>
      <c r="O808">
        <f>D820/1000</f>
        <v>0.6</v>
      </c>
      <c r="P808">
        <f>ROUNDDOWN(H808*L808*O808,2)</f>
        <v>0.12</v>
      </c>
      <c r="Q808" t="s">
        <v>175</v>
      </c>
    </row>
    <row r="809" spans="1:17" ht="15" customHeight="1">
      <c r="G809" t="s">
        <v>167</v>
      </c>
      <c r="H809">
        <f>B808/1000</f>
        <v>0.5</v>
      </c>
      <c r="K809" t="s">
        <v>168</v>
      </c>
      <c r="L809">
        <f>B822/1000</f>
        <v>0.4</v>
      </c>
      <c r="N809" t="s">
        <v>169</v>
      </c>
      <c r="O809">
        <f>D816/1000</f>
        <v>0</v>
      </c>
      <c r="P809">
        <f>ROUNDDOWN(H809*L809*O809,2)</f>
        <v>0</v>
      </c>
      <c r="Q809" t="s">
        <v>176</v>
      </c>
    </row>
    <row r="810" spans="1:17" ht="15" customHeight="1"/>
    <row r="811" spans="1:17" ht="15" customHeight="1"/>
    <row r="812" spans="1:17" ht="15" customHeight="1">
      <c r="G812" t="s">
        <v>177</v>
      </c>
      <c r="P812">
        <f>SUM(P808:P811)</f>
        <v>0.12</v>
      </c>
      <c r="Q812" t="s">
        <v>91</v>
      </c>
    </row>
    <row r="813" spans="1:17" ht="15" customHeight="1">
      <c r="G813" t="s">
        <v>178</v>
      </c>
      <c r="I813" t="s">
        <v>179</v>
      </c>
      <c r="J813" t="s">
        <v>180</v>
      </c>
      <c r="K813" t="s">
        <v>181</v>
      </c>
    </row>
    <row r="814" spans="1:17" ht="15" customHeight="1">
      <c r="I814" t="s">
        <v>179</v>
      </c>
      <c r="J814">
        <f>P806</f>
        <v>0.34</v>
      </c>
      <c r="K814" t="s">
        <v>182</v>
      </c>
      <c r="L814">
        <f>P816</f>
        <v>0.12</v>
      </c>
      <c r="P814">
        <f>ROUNDDOWN(J814-L814,2)</f>
        <v>0.22</v>
      </c>
      <c r="Q814" t="s">
        <v>91</v>
      </c>
    </row>
    <row r="815" spans="1:17" ht="15" customHeight="1">
      <c r="G815" t="s">
        <v>183</v>
      </c>
      <c r="I815" t="s">
        <v>184</v>
      </c>
      <c r="K815" t="s">
        <v>185</v>
      </c>
    </row>
    <row r="816" spans="1:17" ht="15" customHeight="1">
      <c r="I816" t="s">
        <v>184</v>
      </c>
      <c r="L816">
        <f>P808</f>
        <v>0.12</v>
      </c>
      <c r="P816">
        <f>ROUNDDOWN(L816+N816,2)</f>
        <v>0.12</v>
      </c>
      <c r="Q816" t="s">
        <v>91</v>
      </c>
    </row>
    <row r="817" spans="2:17" ht="15" customHeight="1">
      <c r="G817" t="s">
        <v>186</v>
      </c>
    </row>
    <row r="818" spans="2:17" ht="15" customHeight="1">
      <c r="H818" t="s">
        <v>85</v>
      </c>
      <c r="P818">
        <f>ROUNDDOWN(dhTextEvaluate(H818),2)</f>
        <v>1.84</v>
      </c>
      <c r="Q818" t="s">
        <v>192</v>
      </c>
    </row>
    <row r="819" spans="2:17" ht="15" customHeight="1"/>
    <row r="820" spans="2:17" ht="15" customHeight="1">
      <c r="D820">
        <v>600</v>
      </c>
    </row>
    <row r="821" spans="2:17" ht="15" customHeight="1"/>
    <row r="822" spans="2:17" ht="15" customHeight="1">
      <c r="B822">
        <v>400</v>
      </c>
    </row>
    <row r="823" spans="2:17" ht="15" customHeight="1">
      <c r="B823">
        <v>100</v>
      </c>
      <c r="C823">
        <v>100</v>
      </c>
      <c r="G823" t="s">
        <v>193</v>
      </c>
      <c r="I823" t="s">
        <v>194</v>
      </c>
    </row>
    <row r="824" spans="2:17" ht="15" customHeight="1">
      <c r="B824">
        <v>400</v>
      </c>
      <c r="P824">
        <v>4</v>
      </c>
      <c r="Q824" t="s">
        <v>195</v>
      </c>
    </row>
    <row r="825" spans="2:17" ht="15" customHeight="1">
      <c r="B825">
        <v>100</v>
      </c>
      <c r="C825">
        <v>100</v>
      </c>
      <c r="G825" t="s">
        <v>228</v>
      </c>
    </row>
    <row r="826" spans="2:17" ht="15" customHeight="1">
      <c r="L826">
        <v>2</v>
      </c>
      <c r="P826">
        <f>ROUNDDOWN(dhTextEvaluate(L826),2)</f>
        <v>2</v>
      </c>
      <c r="Q826" t="s">
        <v>196</v>
      </c>
    </row>
    <row r="827" spans="2:17" ht="15" customHeight="1">
      <c r="B827">
        <f>B823+B822+C823</f>
        <v>600</v>
      </c>
    </row>
    <row r="828" spans="2:17" ht="15" customHeight="1"/>
    <row r="829" spans="2:17" ht="15" customHeight="1">
      <c r="B829">
        <f>B825+B824+C825</f>
        <v>600</v>
      </c>
      <c r="G829" t="s">
        <v>235</v>
      </c>
    </row>
    <row r="830" spans="2:17" ht="15" customHeight="1">
      <c r="L830">
        <v>1</v>
      </c>
      <c r="P830">
        <f>ROUNDDOWN(dhTextEvaluate(L830),2)</f>
        <v>1</v>
      </c>
      <c r="Q830" t="s">
        <v>158</v>
      </c>
    </row>
    <row r="831" spans="2:17" ht="15" customHeight="1"/>
    <row r="832" spans="2:17" ht="15" customHeight="1"/>
    <row r="833" spans="1:17" ht="24.95" customHeight="1">
      <c r="A833" t="s">
        <v>209</v>
      </c>
      <c r="H833" t="s">
        <v>158</v>
      </c>
    </row>
    <row r="834" spans="1:17" ht="15" customHeight="1">
      <c r="B834" t="s">
        <v>238</v>
      </c>
      <c r="I834" t="s">
        <v>159</v>
      </c>
      <c r="J834" t="s">
        <v>160</v>
      </c>
      <c r="K834" t="s">
        <v>161</v>
      </c>
      <c r="L834" t="s">
        <v>162</v>
      </c>
      <c r="M834" s="187" t="s">
        <v>163</v>
      </c>
      <c r="P834" t="s">
        <v>164</v>
      </c>
    </row>
    <row r="835" spans="1:17" ht="15" customHeight="1">
      <c r="G835" t="s">
        <v>165</v>
      </c>
      <c r="I835" t="s">
        <v>166</v>
      </c>
    </row>
    <row r="836" spans="1:17" ht="15" customHeight="1">
      <c r="G836" t="s">
        <v>167</v>
      </c>
      <c r="H836">
        <f>B839/1000</f>
        <v>0.84</v>
      </c>
      <c r="K836" t="s">
        <v>168</v>
      </c>
      <c r="L836">
        <f>B837/1000</f>
        <v>0.84</v>
      </c>
      <c r="N836" t="s">
        <v>169</v>
      </c>
      <c r="O836">
        <f>(D850+D852)/1000</f>
        <v>0.4</v>
      </c>
    </row>
    <row r="837" spans="1:17" ht="15" customHeight="1">
      <c r="B837">
        <f>B861+(0.3*(D852)*2)</f>
        <v>840</v>
      </c>
      <c r="D837" t="s">
        <v>239</v>
      </c>
      <c r="G837" t="s">
        <v>170</v>
      </c>
      <c r="H837">
        <f>B859/1000</f>
        <v>0.6</v>
      </c>
      <c r="K837" t="s">
        <v>171</v>
      </c>
      <c r="L837">
        <f>B861/1000</f>
        <v>0.6</v>
      </c>
    </row>
    <row r="838" spans="1:17" ht="15" customHeight="1">
      <c r="G838" t="s">
        <v>172</v>
      </c>
      <c r="P838">
        <f>ROUNDDOWN(O836/6*((2*H836+L836)*H837+(2*L836+H836)*L837),2)</f>
        <v>0.2</v>
      </c>
      <c r="Q838" t="s">
        <v>91</v>
      </c>
    </row>
    <row r="839" spans="1:17" ht="15" customHeight="1">
      <c r="B839">
        <f>B859+(0.3*(D852)*2)</f>
        <v>840</v>
      </c>
      <c r="G839" t="s">
        <v>173</v>
      </c>
      <c r="I839" t="s">
        <v>174</v>
      </c>
    </row>
    <row r="840" spans="1:17" ht="15" customHeight="1">
      <c r="B840">
        <v>500</v>
      </c>
      <c r="G840" t="s">
        <v>167</v>
      </c>
      <c r="H840">
        <f>B840/1000</f>
        <v>0.5</v>
      </c>
      <c r="K840" t="s">
        <v>168</v>
      </c>
      <c r="L840">
        <f>B854/1000</f>
        <v>0.4</v>
      </c>
      <c r="N840" t="s">
        <v>169</v>
      </c>
      <c r="O840">
        <f>D852/1000</f>
        <v>0.4</v>
      </c>
      <c r="P840">
        <f>ROUNDDOWN(H840*L840*O840,2)</f>
        <v>0.08</v>
      </c>
      <c r="Q840" t="s">
        <v>175</v>
      </c>
    </row>
    <row r="841" spans="1:17" ht="15" customHeight="1">
      <c r="G841" t="s">
        <v>167</v>
      </c>
      <c r="H841">
        <f>B840/1000</f>
        <v>0.5</v>
      </c>
      <c r="K841" t="s">
        <v>168</v>
      </c>
      <c r="L841">
        <f>B854/1000</f>
        <v>0.4</v>
      </c>
      <c r="N841" t="s">
        <v>169</v>
      </c>
      <c r="O841">
        <f>D848/1000</f>
        <v>0</v>
      </c>
      <c r="P841">
        <f>ROUNDDOWN(H841*L841*O841,2)</f>
        <v>0</v>
      </c>
      <c r="Q841" t="s">
        <v>176</v>
      </c>
    </row>
    <row r="842" spans="1:17" ht="15" customHeight="1"/>
    <row r="843" spans="1:17" ht="15" customHeight="1"/>
    <row r="844" spans="1:17" ht="15" customHeight="1">
      <c r="G844" t="s">
        <v>177</v>
      </c>
      <c r="P844">
        <f>SUM(P840:P843)</f>
        <v>0.08</v>
      </c>
      <c r="Q844" t="s">
        <v>91</v>
      </c>
    </row>
    <row r="845" spans="1:17" ht="15" customHeight="1">
      <c r="G845" t="s">
        <v>178</v>
      </c>
      <c r="I845" t="s">
        <v>179</v>
      </c>
      <c r="J845" t="s">
        <v>180</v>
      </c>
      <c r="K845" t="s">
        <v>181</v>
      </c>
    </row>
    <row r="846" spans="1:17" ht="15" customHeight="1">
      <c r="I846" t="s">
        <v>179</v>
      </c>
      <c r="J846">
        <f>P838</f>
        <v>0.2</v>
      </c>
      <c r="K846" t="s">
        <v>182</v>
      </c>
      <c r="L846">
        <f>P848</f>
        <v>0.08</v>
      </c>
      <c r="P846">
        <f>ROUNDDOWN(J846-L846,2)</f>
        <v>0.12</v>
      </c>
      <c r="Q846" t="s">
        <v>91</v>
      </c>
    </row>
    <row r="847" spans="1:17" ht="15" customHeight="1">
      <c r="G847" t="s">
        <v>183</v>
      </c>
      <c r="I847" t="s">
        <v>184</v>
      </c>
      <c r="K847" t="s">
        <v>185</v>
      </c>
    </row>
    <row r="848" spans="1:17" ht="15" customHeight="1">
      <c r="I848" t="s">
        <v>184</v>
      </c>
      <c r="L848">
        <f>P840</f>
        <v>0.08</v>
      </c>
      <c r="P848">
        <f>ROUNDDOWN(L848+N848,2)</f>
        <v>0.08</v>
      </c>
      <c r="Q848" t="s">
        <v>91</v>
      </c>
    </row>
    <row r="849" spans="2:17" ht="15" customHeight="1">
      <c r="G849" t="s">
        <v>186</v>
      </c>
    </row>
    <row r="850" spans="2:17" ht="15" customHeight="1">
      <c r="H850" t="s">
        <v>85</v>
      </c>
      <c r="P850">
        <f>ROUNDDOWN(dhTextEvaluate(H850),2)</f>
        <v>1.84</v>
      </c>
      <c r="Q850" t="s">
        <v>192</v>
      </c>
    </row>
    <row r="851" spans="2:17" ht="15" customHeight="1"/>
    <row r="852" spans="2:17" ht="15" customHeight="1">
      <c r="D852">
        <v>400</v>
      </c>
    </row>
    <row r="853" spans="2:17" ht="15" customHeight="1"/>
    <row r="854" spans="2:17" ht="15" customHeight="1">
      <c r="B854">
        <v>400</v>
      </c>
    </row>
    <row r="855" spans="2:17" ht="15" customHeight="1">
      <c r="B855">
        <v>100</v>
      </c>
      <c r="C855">
        <v>100</v>
      </c>
      <c r="G855" t="s">
        <v>193</v>
      </c>
      <c r="I855" t="s">
        <v>194</v>
      </c>
    </row>
    <row r="856" spans="2:17" ht="15" customHeight="1">
      <c r="B856">
        <v>400</v>
      </c>
      <c r="P856">
        <v>4</v>
      </c>
      <c r="Q856" t="s">
        <v>195</v>
      </c>
    </row>
    <row r="857" spans="2:17" ht="15" customHeight="1">
      <c r="B857">
        <v>100</v>
      </c>
      <c r="C857">
        <v>100</v>
      </c>
      <c r="G857" t="s">
        <v>228</v>
      </c>
    </row>
    <row r="858" spans="2:17" ht="15" customHeight="1">
      <c r="L858">
        <v>2</v>
      </c>
      <c r="P858">
        <f>ROUNDDOWN(dhTextEvaluate(L858),2)</f>
        <v>2</v>
      </c>
      <c r="Q858" t="s">
        <v>196</v>
      </c>
    </row>
    <row r="859" spans="2:17" ht="15" customHeight="1">
      <c r="B859">
        <f>B855+B854+C855</f>
        <v>600</v>
      </c>
    </row>
    <row r="860" spans="2:17" ht="15" customHeight="1"/>
    <row r="861" spans="2:17" ht="15" customHeight="1">
      <c r="B861">
        <f>B857+B856+C857</f>
        <v>600</v>
      </c>
      <c r="G861" t="s">
        <v>202</v>
      </c>
    </row>
    <row r="862" spans="2:17" ht="15" customHeight="1">
      <c r="L862">
        <v>1</v>
      </c>
      <c r="P862">
        <f>ROUNDDOWN(dhTextEvaluate(L862),2)</f>
        <v>1</v>
      </c>
      <c r="Q862" t="s">
        <v>158</v>
      </c>
    </row>
    <row r="863" spans="2:17" ht="15" customHeight="1"/>
    <row r="864" spans="2:17" ht="15" customHeight="1"/>
    <row r="865" spans="1:17" ht="24.95" customHeight="1">
      <c r="A865" t="s">
        <v>215</v>
      </c>
      <c r="H865" t="s">
        <v>158</v>
      </c>
    </row>
    <row r="866" spans="1:17" ht="15" customHeight="1">
      <c r="B866" t="s">
        <v>238</v>
      </c>
      <c r="I866" t="s">
        <v>159</v>
      </c>
      <c r="J866" t="s">
        <v>160</v>
      </c>
      <c r="K866" t="s">
        <v>161</v>
      </c>
      <c r="L866" t="s">
        <v>162</v>
      </c>
      <c r="M866" s="187" t="s">
        <v>163</v>
      </c>
      <c r="P866" t="s">
        <v>164</v>
      </c>
    </row>
    <row r="867" spans="1:17" ht="15" customHeight="1">
      <c r="G867" t="s">
        <v>165</v>
      </c>
      <c r="I867" t="s">
        <v>166</v>
      </c>
    </row>
    <row r="868" spans="1:17" ht="15" customHeight="1">
      <c r="G868" t="s">
        <v>167</v>
      </c>
      <c r="H868">
        <f>B871/1000</f>
        <v>1.44</v>
      </c>
      <c r="K868" t="s">
        <v>168</v>
      </c>
      <c r="L868">
        <f>B869/1000</f>
        <v>0.94</v>
      </c>
      <c r="N868" t="s">
        <v>169</v>
      </c>
      <c r="O868">
        <f>(D882+D884)/1000</f>
        <v>0.4</v>
      </c>
    </row>
    <row r="869" spans="1:17" ht="15" customHeight="1">
      <c r="B869">
        <f>B893+(0.3*(D884)*2)</f>
        <v>940</v>
      </c>
      <c r="D869" t="s">
        <v>240</v>
      </c>
      <c r="G869" t="s">
        <v>170</v>
      </c>
      <c r="H869">
        <f>B891/1000</f>
        <v>1.2</v>
      </c>
      <c r="K869" t="s">
        <v>171</v>
      </c>
      <c r="L869">
        <f>B893/1000</f>
        <v>0.7</v>
      </c>
    </row>
    <row r="870" spans="1:17" ht="15" customHeight="1">
      <c r="G870" t="s">
        <v>172</v>
      </c>
      <c r="P870">
        <f>ROUNDDOWN(O868/6*((2*H868+L868)*H869+(2*L868+H868)*L869),2)</f>
        <v>0.46</v>
      </c>
      <c r="Q870" t="s">
        <v>91</v>
      </c>
    </row>
    <row r="871" spans="1:17" ht="15" customHeight="1">
      <c r="B871">
        <f>B891+(0.3*(D884)*2)</f>
        <v>1440</v>
      </c>
      <c r="G871" t="s">
        <v>173</v>
      </c>
      <c r="I871" t="s">
        <v>174</v>
      </c>
    </row>
    <row r="872" spans="1:17" ht="15" customHeight="1">
      <c r="B872">
        <v>1000</v>
      </c>
      <c r="G872" t="s">
        <v>167</v>
      </c>
      <c r="H872">
        <f>B872/1000</f>
        <v>1</v>
      </c>
      <c r="K872" t="s">
        <v>168</v>
      </c>
      <c r="L872">
        <f>B886/1000</f>
        <v>1</v>
      </c>
      <c r="N872" t="s">
        <v>169</v>
      </c>
      <c r="O872">
        <f>D884/1000</f>
        <v>0.4</v>
      </c>
      <c r="P872">
        <f>ROUNDDOWN(H872*L872*O872,2)</f>
        <v>0.4</v>
      </c>
      <c r="Q872" t="s">
        <v>175</v>
      </c>
    </row>
    <row r="873" spans="1:17" ht="15" customHeight="1">
      <c r="G873" t="s">
        <v>167</v>
      </c>
      <c r="H873">
        <f>B872/1000</f>
        <v>1</v>
      </c>
      <c r="K873" t="s">
        <v>168</v>
      </c>
      <c r="L873">
        <f>B886/1000</f>
        <v>1</v>
      </c>
      <c r="N873" t="s">
        <v>169</v>
      </c>
      <c r="O873">
        <f>D880/1000</f>
        <v>0</v>
      </c>
      <c r="P873">
        <f>ROUNDDOWN(H873*L873*O873,2)</f>
        <v>0</v>
      </c>
      <c r="Q873" t="s">
        <v>176</v>
      </c>
    </row>
    <row r="874" spans="1:17" ht="15" customHeight="1"/>
    <row r="875" spans="1:17" ht="15" customHeight="1"/>
    <row r="876" spans="1:17" ht="15" customHeight="1">
      <c r="G876" t="s">
        <v>177</v>
      </c>
      <c r="P876">
        <f>SUM(P872:P875)</f>
        <v>0.4</v>
      </c>
      <c r="Q876" t="s">
        <v>91</v>
      </c>
    </row>
    <row r="877" spans="1:17" ht="15" customHeight="1">
      <c r="G877" t="s">
        <v>178</v>
      </c>
      <c r="I877" t="s">
        <v>179</v>
      </c>
      <c r="J877" t="s">
        <v>180</v>
      </c>
      <c r="K877" t="s">
        <v>181</v>
      </c>
    </row>
    <row r="878" spans="1:17" ht="15" customHeight="1">
      <c r="I878" t="s">
        <v>179</v>
      </c>
      <c r="J878">
        <f>P870</f>
        <v>0.46</v>
      </c>
      <c r="K878" t="s">
        <v>182</v>
      </c>
      <c r="L878">
        <f>P880</f>
        <v>0.4</v>
      </c>
      <c r="P878">
        <f>ROUNDDOWN(J878-L878,2)</f>
        <v>0.06</v>
      </c>
      <c r="Q878" t="s">
        <v>91</v>
      </c>
    </row>
    <row r="879" spans="1:17" ht="15" customHeight="1">
      <c r="G879" t="s">
        <v>183</v>
      </c>
      <c r="I879" t="s">
        <v>184</v>
      </c>
      <c r="K879" t="s">
        <v>185</v>
      </c>
    </row>
    <row r="880" spans="1:17" ht="15" customHeight="1">
      <c r="I880" t="s">
        <v>184</v>
      </c>
      <c r="L880">
        <f>P872</f>
        <v>0.4</v>
      </c>
      <c r="P880">
        <f>ROUNDDOWN(L880+N880,2)</f>
        <v>0.4</v>
      </c>
      <c r="Q880" t="s">
        <v>91</v>
      </c>
    </row>
    <row r="881" spans="2:17" ht="15" customHeight="1">
      <c r="G881" t="s">
        <v>186</v>
      </c>
    </row>
    <row r="882" spans="2:17" ht="15" customHeight="1">
      <c r="H882" t="s">
        <v>85</v>
      </c>
      <c r="P882">
        <f>ROUNDDOWN(dhTextEvaluate(H882),2)</f>
        <v>1.84</v>
      </c>
      <c r="Q882" t="s">
        <v>192</v>
      </c>
    </row>
    <row r="883" spans="2:17" ht="15" customHeight="1"/>
    <row r="884" spans="2:17" ht="15" customHeight="1">
      <c r="D884">
        <v>400</v>
      </c>
    </row>
    <row r="885" spans="2:17" ht="15" customHeight="1"/>
    <row r="886" spans="2:17" ht="15" customHeight="1">
      <c r="B886">
        <v>1000</v>
      </c>
    </row>
    <row r="887" spans="2:17" ht="15" customHeight="1">
      <c r="B887">
        <v>100</v>
      </c>
      <c r="C887">
        <v>100</v>
      </c>
      <c r="G887" t="s">
        <v>193</v>
      </c>
      <c r="I887" t="s">
        <v>194</v>
      </c>
    </row>
    <row r="888" spans="2:17" ht="15" customHeight="1">
      <c r="B888">
        <v>500</v>
      </c>
      <c r="P888">
        <v>4</v>
      </c>
      <c r="Q888" t="s">
        <v>195</v>
      </c>
    </row>
    <row r="889" spans="2:17" ht="15" customHeight="1">
      <c r="B889">
        <v>100</v>
      </c>
      <c r="C889">
        <v>100</v>
      </c>
      <c r="G889" t="s">
        <v>228</v>
      </c>
    </row>
    <row r="890" spans="2:17" ht="15" customHeight="1">
      <c r="L890">
        <v>2</v>
      </c>
      <c r="P890">
        <f>ROUNDDOWN(dhTextEvaluate(L890),2)</f>
        <v>2</v>
      </c>
      <c r="Q890" t="s">
        <v>196</v>
      </c>
    </row>
    <row r="891" spans="2:17" ht="15" customHeight="1">
      <c r="B891">
        <f>B887+B886+C887</f>
        <v>1200</v>
      </c>
    </row>
    <row r="892" spans="2:17" ht="15" customHeight="1"/>
    <row r="893" spans="2:17" ht="15" customHeight="1">
      <c r="B893">
        <f>B889+B888+C889</f>
        <v>700</v>
      </c>
      <c r="G893" t="s">
        <v>202</v>
      </c>
    </row>
    <row r="894" spans="2:17" ht="15" customHeight="1">
      <c r="L894">
        <v>1</v>
      </c>
      <c r="P894">
        <f>ROUNDDOWN(dhTextEvaluate(L894),2)</f>
        <v>1</v>
      </c>
      <c r="Q894" t="s">
        <v>158</v>
      </c>
    </row>
    <row r="895" spans="2:17" ht="15" customHeight="1"/>
    <row r="896" spans="2:17" ht="15" customHeight="1"/>
    <row r="897" spans="1:17" ht="24.95" customHeight="1">
      <c r="A897" t="s">
        <v>215</v>
      </c>
      <c r="H897" t="s">
        <v>158</v>
      </c>
    </row>
    <row r="898" spans="1:17" ht="15" customHeight="1">
      <c r="B898" t="s">
        <v>242</v>
      </c>
      <c r="I898" t="s">
        <v>159</v>
      </c>
      <c r="J898" t="s">
        <v>160</v>
      </c>
      <c r="K898" t="s">
        <v>161</v>
      </c>
      <c r="L898" t="s">
        <v>162</v>
      </c>
      <c r="M898" s="187" t="s">
        <v>163</v>
      </c>
      <c r="P898" t="s">
        <v>164</v>
      </c>
    </row>
    <row r="899" spans="1:17" ht="15" customHeight="1">
      <c r="G899" t="s">
        <v>165</v>
      </c>
      <c r="I899" t="s">
        <v>166</v>
      </c>
    </row>
    <row r="900" spans="1:17" ht="15" customHeight="1">
      <c r="G900" t="s">
        <v>167</v>
      </c>
      <c r="H900">
        <f>B903/1000</f>
        <v>0.4</v>
      </c>
      <c r="K900" t="s">
        <v>168</v>
      </c>
      <c r="L900">
        <f>B901/1000</f>
        <v>0.4</v>
      </c>
      <c r="N900" t="s">
        <v>169</v>
      </c>
      <c r="O900">
        <f>(D914+D916)/1000</f>
        <v>0.6</v>
      </c>
    </row>
    <row r="901" spans="1:17" ht="15" customHeight="1">
      <c r="B901">
        <v>400</v>
      </c>
      <c r="D901" t="s">
        <v>243</v>
      </c>
      <c r="G901" t="s">
        <v>170</v>
      </c>
      <c r="H901">
        <f>B923/1000</f>
        <v>0.4</v>
      </c>
      <c r="K901" t="s">
        <v>171</v>
      </c>
      <c r="L901">
        <f>B925/1000</f>
        <v>0.4</v>
      </c>
    </row>
    <row r="902" spans="1:17" ht="15" customHeight="1">
      <c r="G902" t="s">
        <v>172</v>
      </c>
      <c r="P902">
        <f>ROUNDDOWN(O900/6*((2*H900+L900)*H901+(2*L900+H900)*L901),2)</f>
        <v>0.09</v>
      </c>
      <c r="Q902" t="s">
        <v>91</v>
      </c>
    </row>
    <row r="903" spans="1:17" ht="15" customHeight="1">
      <c r="B903">
        <v>400</v>
      </c>
      <c r="G903" t="s">
        <v>173</v>
      </c>
      <c r="I903" t="s">
        <v>174</v>
      </c>
    </row>
    <row r="904" spans="1:17" ht="15" customHeight="1">
      <c r="G904" t="s">
        <v>167</v>
      </c>
      <c r="H904">
        <f>B904/1000</f>
        <v>0</v>
      </c>
      <c r="K904" t="s">
        <v>168</v>
      </c>
      <c r="L904">
        <f>B918/1000</f>
        <v>0</v>
      </c>
      <c r="N904" t="s">
        <v>169</v>
      </c>
      <c r="O904">
        <f>D916/1000</f>
        <v>0.6</v>
      </c>
      <c r="P904">
        <f>ROUNDDOWN(H904*L904*O904,2)</f>
        <v>0</v>
      </c>
      <c r="Q904" t="s">
        <v>175</v>
      </c>
    </row>
    <row r="905" spans="1:17" ht="15" customHeight="1">
      <c r="G905" t="s">
        <v>167</v>
      </c>
      <c r="H905">
        <f>B904/1000</f>
        <v>0</v>
      </c>
      <c r="K905" t="s">
        <v>168</v>
      </c>
      <c r="L905">
        <f>B918/1000</f>
        <v>0</v>
      </c>
      <c r="N905" t="s">
        <v>169</v>
      </c>
      <c r="O905">
        <f>D912/1000</f>
        <v>0</v>
      </c>
      <c r="P905">
        <f>ROUNDDOWN(H905*L905*O905,2)</f>
        <v>0</v>
      </c>
      <c r="Q905" t="s">
        <v>176</v>
      </c>
    </row>
    <row r="906" spans="1:17" ht="15" customHeight="1"/>
    <row r="907" spans="1:17" ht="15" customHeight="1"/>
    <row r="908" spans="1:17" ht="15" customHeight="1">
      <c r="G908" t="s">
        <v>177</v>
      </c>
      <c r="P908">
        <f>SUM(P904:P907)</f>
        <v>0</v>
      </c>
      <c r="Q908" t="s">
        <v>91</v>
      </c>
    </row>
    <row r="909" spans="1:17" ht="15" customHeight="1">
      <c r="G909" t="s">
        <v>178</v>
      </c>
      <c r="I909" t="s">
        <v>179</v>
      </c>
      <c r="J909" t="s">
        <v>180</v>
      </c>
      <c r="K909" t="s">
        <v>181</v>
      </c>
    </row>
    <row r="910" spans="1:17" ht="15" customHeight="1">
      <c r="I910" t="s">
        <v>179</v>
      </c>
      <c r="J910">
        <f>P902</f>
        <v>0.09</v>
      </c>
      <c r="K910" t="s">
        <v>182</v>
      </c>
      <c r="L910">
        <f>P912</f>
        <v>0</v>
      </c>
      <c r="P910">
        <f>ROUNDDOWN(J910-L910,2)</f>
        <v>0.09</v>
      </c>
      <c r="Q910" t="s">
        <v>91</v>
      </c>
    </row>
    <row r="911" spans="1:17" ht="15" customHeight="1"/>
    <row r="912" spans="1:17" ht="15" customHeight="1"/>
    <row r="913" spans="2:4" ht="15" customHeight="1"/>
    <row r="914" spans="2:4" ht="15" customHeight="1"/>
    <row r="915" spans="2:4" ht="15" customHeight="1"/>
    <row r="916" spans="2:4" ht="15" customHeight="1">
      <c r="D916">
        <v>600</v>
      </c>
    </row>
    <row r="917" spans="2:4" ht="15" customHeight="1"/>
    <row r="918" spans="2:4" ht="15" customHeight="1"/>
    <row r="919" spans="2:4" ht="15" customHeight="1"/>
    <row r="920" spans="2:4" ht="15" customHeight="1"/>
    <row r="921" spans="2:4" ht="15" customHeight="1"/>
    <row r="922" spans="2:4" ht="15" customHeight="1"/>
    <row r="923" spans="2:4" ht="15" customHeight="1">
      <c r="B923">
        <v>400</v>
      </c>
    </row>
    <row r="924" spans="2:4" ht="15" customHeight="1"/>
    <row r="925" spans="2:4" ht="15" customHeight="1">
      <c r="B925">
        <v>400</v>
      </c>
    </row>
    <row r="926" spans="2:4" ht="15" customHeight="1"/>
    <row r="927" spans="2:4" ht="15" customHeight="1"/>
    <row r="928" spans="2:4" ht="15" customHeight="1"/>
    <row r="929" spans="1:17" ht="24.95" customHeight="1">
      <c r="A929" t="s">
        <v>217</v>
      </c>
      <c r="H929" t="s">
        <v>158</v>
      </c>
      <c r="M929" s="1627"/>
      <c r="N929" s="1627"/>
      <c r="O929" s="1627"/>
      <c r="P929" s="1627"/>
      <c r="Q929" s="1627"/>
    </row>
    <row r="930" spans="1:17" ht="15" customHeight="1">
      <c r="B930" t="s">
        <v>244</v>
      </c>
      <c r="I930" t="s">
        <v>159</v>
      </c>
      <c r="J930" t="s">
        <v>160</v>
      </c>
      <c r="K930" t="s">
        <v>161</v>
      </c>
      <c r="L930" t="s">
        <v>162</v>
      </c>
      <c r="M930" s="187" t="s">
        <v>163</v>
      </c>
      <c r="P930" t="s">
        <v>164</v>
      </c>
    </row>
    <row r="931" spans="1:17" ht="15" customHeight="1">
      <c r="G931" t="s">
        <v>165</v>
      </c>
      <c r="H931" t="s">
        <v>166</v>
      </c>
    </row>
    <row r="932" spans="1:17" ht="15" customHeight="1">
      <c r="G932" t="s">
        <v>167</v>
      </c>
      <c r="H932">
        <f>B935/1000</f>
        <v>3.64</v>
      </c>
      <c r="K932" t="s">
        <v>168</v>
      </c>
      <c r="L932">
        <f>B951/1000</f>
        <v>2.2000000000000002</v>
      </c>
      <c r="N932" t="s">
        <v>169</v>
      </c>
      <c r="O932">
        <f>D946/1000</f>
        <v>2.4</v>
      </c>
    </row>
    <row r="933" spans="1:17" ht="15" customHeight="1">
      <c r="D933" t="s">
        <v>245</v>
      </c>
      <c r="G933" t="s">
        <v>170</v>
      </c>
      <c r="H933">
        <f>B935/1000</f>
        <v>3.64</v>
      </c>
      <c r="K933" t="s">
        <v>171</v>
      </c>
      <c r="L933">
        <f>B951/1000</f>
        <v>2.2000000000000002</v>
      </c>
    </row>
    <row r="934" spans="1:17" ht="15" customHeight="1">
      <c r="G934" t="s">
        <v>172</v>
      </c>
      <c r="P934">
        <f>ROUNDDOWN(O932/6*((2*H932+L932)*H933+(2*L932+H932)*L933),2)</f>
        <v>20.87</v>
      </c>
      <c r="Q934" t="s">
        <v>91</v>
      </c>
    </row>
    <row r="935" spans="1:17" ht="15" customHeight="1">
      <c r="B935">
        <f>B951+(0.3*D946)*2</f>
        <v>3640</v>
      </c>
      <c r="G935" t="s">
        <v>173</v>
      </c>
      <c r="H935" t="s">
        <v>197</v>
      </c>
    </row>
    <row r="936" spans="1:17" ht="15" customHeight="1">
      <c r="G936" t="s">
        <v>167</v>
      </c>
      <c r="H936">
        <f>B948/1000</f>
        <v>2</v>
      </c>
      <c r="K936" t="s">
        <v>83</v>
      </c>
      <c r="L936">
        <f>B937/1000</f>
        <v>1.6</v>
      </c>
      <c r="N936" t="s">
        <v>169</v>
      </c>
      <c r="O936">
        <f>O932</f>
        <v>2.4</v>
      </c>
    </row>
    <row r="937" spans="1:17" ht="15" customHeight="1">
      <c r="B937">
        <v>1600</v>
      </c>
      <c r="G937" t="s">
        <v>170</v>
      </c>
      <c r="H937">
        <f>B948/1000</f>
        <v>2</v>
      </c>
      <c r="K937" t="s">
        <v>84</v>
      </c>
      <c r="L937">
        <f>B937/1000</f>
        <v>1.6</v>
      </c>
    </row>
    <row r="938" spans="1:17" ht="15" customHeight="1">
      <c r="G938" t="s">
        <v>177</v>
      </c>
      <c r="P938">
        <f>ROUNDDOWN(O936/6*((2*H936+L936)*H937+(2*L936+H936)*L937),2)</f>
        <v>7.8</v>
      </c>
      <c r="Q938" t="s">
        <v>91</v>
      </c>
    </row>
    <row r="939" spans="1:17" ht="15" customHeight="1">
      <c r="G939" t="s">
        <v>178</v>
      </c>
      <c r="I939" t="s">
        <v>179</v>
      </c>
      <c r="J939" t="s">
        <v>180</v>
      </c>
      <c r="K939" t="s">
        <v>181</v>
      </c>
    </row>
    <row r="940" spans="1:17" ht="15" customHeight="1">
      <c r="L940" t="s">
        <v>198</v>
      </c>
      <c r="M940" s="187" t="s">
        <v>199</v>
      </c>
      <c r="P940">
        <f>P934-P938</f>
        <v>13.07</v>
      </c>
      <c r="Q940" t="s">
        <v>91</v>
      </c>
    </row>
    <row r="941" spans="1:17" ht="15" customHeight="1">
      <c r="G941" t="s">
        <v>183</v>
      </c>
      <c r="I941" t="s">
        <v>184</v>
      </c>
      <c r="J941" t="s">
        <v>200</v>
      </c>
    </row>
    <row r="942" spans="1:17" ht="15" customHeight="1">
      <c r="A942" t="s">
        <v>201</v>
      </c>
      <c r="P942">
        <f>P938</f>
        <v>7.8</v>
      </c>
      <c r="Q942" t="s">
        <v>91</v>
      </c>
    </row>
    <row r="943" spans="1:17" ht="15" customHeight="1">
      <c r="G943" t="s">
        <v>186</v>
      </c>
    </row>
    <row r="944" spans="1:17" ht="15" customHeight="1">
      <c r="H944" t="s">
        <v>85</v>
      </c>
      <c r="P944">
        <f>ROUNDDOWN(dhTextEvaluate(H944),2)</f>
        <v>1.84</v>
      </c>
      <c r="Q944" t="s">
        <v>192</v>
      </c>
    </row>
    <row r="945" spans="2:17" ht="15" customHeight="1"/>
    <row r="946" spans="2:17" ht="15" customHeight="1">
      <c r="D946">
        <v>2400</v>
      </c>
    </row>
    <row r="947" spans="2:17" ht="15" customHeight="1"/>
    <row r="948" spans="2:17" ht="15" customHeight="1">
      <c r="B948">
        <v>2000</v>
      </c>
    </row>
    <row r="949" spans="2:17" ht="15" customHeight="1">
      <c r="B949">
        <v>100</v>
      </c>
      <c r="C949">
        <v>100</v>
      </c>
      <c r="G949" t="s">
        <v>193</v>
      </c>
      <c r="I949" t="s">
        <v>194</v>
      </c>
    </row>
    <row r="950" spans="2:17" ht="15" customHeight="1">
      <c r="P950">
        <v>4</v>
      </c>
      <c r="Q950" t="s">
        <v>195</v>
      </c>
    </row>
    <row r="951" spans="2:17" ht="15" customHeight="1">
      <c r="B951">
        <f>B948+B949+C949</f>
        <v>2200</v>
      </c>
      <c r="G951" t="s">
        <v>228</v>
      </c>
    </row>
    <row r="952" spans="2:17" ht="15" customHeight="1">
      <c r="L952">
        <v>6</v>
      </c>
      <c r="P952">
        <f>ROUNDDOWN(dhTextEvaluate(L952),2)</f>
        <v>6</v>
      </c>
      <c r="Q952" t="s">
        <v>196</v>
      </c>
    </row>
    <row r="953" spans="2:17" ht="15" customHeight="1"/>
    <row r="954" spans="2:17" ht="15" customHeight="1"/>
    <row r="955" spans="2:17" ht="15" customHeight="1">
      <c r="G955" t="s">
        <v>202</v>
      </c>
    </row>
    <row r="956" spans="2:17" ht="15" customHeight="1">
      <c r="L956">
        <v>1</v>
      </c>
      <c r="P956">
        <f>ROUNDDOWN(dhTextEvaluate(L956),2)</f>
        <v>1</v>
      </c>
      <c r="Q956" t="s">
        <v>158</v>
      </c>
    </row>
    <row r="957" spans="2:17" ht="15" customHeight="1"/>
    <row r="958" spans="2:17" ht="15" customHeight="1"/>
    <row r="959" spans="2:17" ht="15" customHeight="1"/>
    <row r="960" spans="2:17" ht="15" customHeight="1"/>
    <row r="961" spans="1:17" ht="24.95" customHeight="1">
      <c r="A961" t="s">
        <v>246</v>
      </c>
      <c r="H961" t="s">
        <v>158</v>
      </c>
      <c r="M961" s="1627"/>
      <c r="N961" s="1627"/>
      <c r="O961" s="1627"/>
      <c r="P961" s="1627"/>
      <c r="Q961" s="1627"/>
    </row>
    <row r="962" spans="1:17" ht="15" customHeight="1">
      <c r="B962" t="s">
        <v>244</v>
      </c>
      <c r="I962" t="s">
        <v>159</v>
      </c>
      <c r="J962" t="s">
        <v>160</v>
      </c>
      <c r="K962" t="s">
        <v>161</v>
      </c>
      <c r="L962" t="s">
        <v>162</v>
      </c>
      <c r="M962" s="187" t="s">
        <v>163</v>
      </c>
      <c r="P962" t="s">
        <v>164</v>
      </c>
    </row>
    <row r="963" spans="1:17" ht="15" customHeight="1">
      <c r="G963" t="s">
        <v>165</v>
      </c>
      <c r="H963" t="s">
        <v>166</v>
      </c>
    </row>
    <row r="964" spans="1:17" ht="15" customHeight="1">
      <c r="G964" t="s">
        <v>167</v>
      </c>
      <c r="H964">
        <f>B967/1000</f>
        <v>1.38</v>
      </c>
      <c r="K964" t="s">
        <v>168</v>
      </c>
      <c r="L964">
        <f>B983/1000</f>
        <v>0.9</v>
      </c>
      <c r="N964" t="s">
        <v>169</v>
      </c>
      <c r="O964">
        <f>D978/1000</f>
        <v>0.8</v>
      </c>
    </row>
    <row r="965" spans="1:17" ht="15" customHeight="1">
      <c r="D965" t="s">
        <v>247</v>
      </c>
      <c r="G965" t="s">
        <v>170</v>
      </c>
      <c r="H965">
        <f>B967/1000</f>
        <v>1.38</v>
      </c>
      <c r="K965" t="s">
        <v>171</v>
      </c>
      <c r="L965">
        <f>B983/1000</f>
        <v>0.9</v>
      </c>
    </row>
    <row r="966" spans="1:17" ht="15" customHeight="1">
      <c r="G966" t="s">
        <v>172</v>
      </c>
      <c r="P966">
        <f>ROUNDDOWN(O964/6*((2*H964+L964)*H965+(2*L964+H964)*L965),2)</f>
        <v>1.05</v>
      </c>
      <c r="Q966" t="s">
        <v>91</v>
      </c>
    </row>
    <row r="967" spans="1:17" ht="15" customHeight="1">
      <c r="B967">
        <f>B983+(0.3*D978)*2</f>
        <v>1380</v>
      </c>
      <c r="G967" t="s">
        <v>173</v>
      </c>
      <c r="H967" t="s">
        <v>197</v>
      </c>
    </row>
    <row r="968" spans="1:17" ht="15" customHeight="1">
      <c r="G968" t="s">
        <v>167</v>
      </c>
      <c r="H968">
        <f>B980/1000</f>
        <v>0.7</v>
      </c>
      <c r="K968" t="s">
        <v>83</v>
      </c>
      <c r="L968">
        <f>B969/1000</f>
        <v>0.6</v>
      </c>
      <c r="N968" t="s">
        <v>169</v>
      </c>
      <c r="O968">
        <f>O964</f>
        <v>0.8</v>
      </c>
    </row>
    <row r="969" spans="1:17" ht="15" customHeight="1">
      <c r="B969">
        <v>600</v>
      </c>
      <c r="G969" t="s">
        <v>170</v>
      </c>
      <c r="H969">
        <f>B980/1000</f>
        <v>0.7</v>
      </c>
      <c r="K969" t="s">
        <v>84</v>
      </c>
      <c r="L969">
        <f>B969/1000</f>
        <v>0.6</v>
      </c>
    </row>
    <row r="970" spans="1:17" ht="15" customHeight="1">
      <c r="G970" t="s">
        <v>177</v>
      </c>
      <c r="P970">
        <f>ROUNDDOWN(O968/6*((2*H968+L968)*H969+(2*L968+H968)*L969),2)</f>
        <v>0.33</v>
      </c>
      <c r="Q970" t="s">
        <v>91</v>
      </c>
    </row>
    <row r="971" spans="1:17" ht="15" customHeight="1">
      <c r="G971" t="s">
        <v>178</v>
      </c>
      <c r="I971" t="s">
        <v>179</v>
      </c>
      <c r="J971" t="s">
        <v>180</v>
      </c>
      <c r="K971" t="s">
        <v>181</v>
      </c>
    </row>
    <row r="972" spans="1:17" ht="15" customHeight="1">
      <c r="L972" t="s">
        <v>198</v>
      </c>
      <c r="M972" s="187" t="s">
        <v>199</v>
      </c>
      <c r="P972">
        <f>P966-P970</f>
        <v>0.72</v>
      </c>
      <c r="Q972" t="s">
        <v>91</v>
      </c>
    </row>
    <row r="973" spans="1:17" ht="15" customHeight="1">
      <c r="G973" t="s">
        <v>183</v>
      </c>
      <c r="I973" t="s">
        <v>184</v>
      </c>
      <c r="J973" t="s">
        <v>200</v>
      </c>
    </row>
    <row r="974" spans="1:17" ht="15" customHeight="1">
      <c r="A974" t="s">
        <v>201</v>
      </c>
      <c r="P974">
        <f>P970</f>
        <v>0.33</v>
      </c>
      <c r="Q974" t="s">
        <v>91</v>
      </c>
    </row>
    <row r="975" spans="1:17" ht="15" customHeight="1">
      <c r="G975" t="s">
        <v>186</v>
      </c>
    </row>
    <row r="976" spans="1:17" ht="15" customHeight="1">
      <c r="H976" t="s">
        <v>85</v>
      </c>
      <c r="P976">
        <f>ROUNDDOWN(dhTextEvaluate(H976),2)</f>
        <v>1.84</v>
      </c>
      <c r="Q976" t="s">
        <v>192</v>
      </c>
    </row>
    <row r="977" spans="2:17" ht="15" customHeight="1"/>
    <row r="978" spans="2:17" ht="15" customHeight="1">
      <c r="D978">
        <v>800</v>
      </c>
    </row>
    <row r="979" spans="2:17" ht="15" customHeight="1"/>
    <row r="980" spans="2:17" ht="15" customHeight="1">
      <c r="B980">
        <v>700</v>
      </c>
    </row>
    <row r="981" spans="2:17" ht="15" customHeight="1">
      <c r="B981">
        <v>100</v>
      </c>
      <c r="C981">
        <v>100</v>
      </c>
      <c r="G981" t="s">
        <v>193</v>
      </c>
      <c r="I981" t="s">
        <v>194</v>
      </c>
    </row>
    <row r="982" spans="2:17" ht="15" customHeight="1">
      <c r="P982">
        <v>4</v>
      </c>
      <c r="Q982" t="s">
        <v>195</v>
      </c>
    </row>
    <row r="983" spans="2:17" ht="15" customHeight="1">
      <c r="B983">
        <f>B980+B981+C981</f>
        <v>900</v>
      </c>
      <c r="G983" t="s">
        <v>228</v>
      </c>
    </row>
    <row r="984" spans="2:17" ht="15" customHeight="1">
      <c r="L984">
        <v>2</v>
      </c>
      <c r="P984">
        <f>ROUNDDOWN(dhTextEvaluate(L984),2)</f>
        <v>2</v>
      </c>
      <c r="Q984" t="s">
        <v>196</v>
      </c>
    </row>
    <row r="985" spans="2:17" ht="15" customHeight="1"/>
    <row r="986" spans="2:17" ht="15" customHeight="1"/>
    <row r="987" spans="2:17" ht="15" customHeight="1">
      <c r="G987" t="s">
        <v>202</v>
      </c>
    </row>
    <row r="988" spans="2:17" ht="15" customHeight="1">
      <c r="L988">
        <v>1</v>
      </c>
      <c r="P988">
        <f>ROUNDDOWN(dhTextEvaluate(L988),2)</f>
        <v>1</v>
      </c>
      <c r="Q988" t="s">
        <v>158</v>
      </c>
    </row>
    <row r="989" spans="2:17" ht="15" customHeight="1"/>
    <row r="990" spans="2:17" ht="15" customHeight="1"/>
    <row r="991" spans="2:17" ht="15" customHeight="1"/>
    <row r="992" spans="2:17" ht="15" customHeight="1"/>
    <row r="993" spans="1:17" ht="24.95" customHeight="1">
      <c r="A993" t="s">
        <v>227</v>
      </c>
      <c r="H993" t="s">
        <v>158</v>
      </c>
      <c r="M993" s="1627"/>
      <c r="N993" s="1627"/>
      <c r="O993" s="1627"/>
      <c r="P993" s="1627"/>
      <c r="Q993" s="1627"/>
    </row>
    <row r="994" spans="1:17" ht="15" customHeight="1">
      <c r="B994" t="s">
        <v>248</v>
      </c>
      <c r="I994" t="s">
        <v>159</v>
      </c>
      <c r="J994" t="s">
        <v>160</v>
      </c>
      <c r="K994" t="s">
        <v>161</v>
      </c>
      <c r="L994" t="s">
        <v>162</v>
      </c>
      <c r="M994" s="187" t="s">
        <v>163</v>
      </c>
      <c r="P994" t="s">
        <v>164</v>
      </c>
    </row>
    <row r="995" spans="1:17" ht="15" customHeight="1">
      <c r="G995" t="s">
        <v>165</v>
      </c>
      <c r="H995" t="s">
        <v>166</v>
      </c>
    </row>
    <row r="996" spans="1:17" ht="15" customHeight="1">
      <c r="G996" t="s">
        <v>167</v>
      </c>
      <c r="H996">
        <f>B999/1000</f>
        <v>1</v>
      </c>
      <c r="K996" t="s">
        <v>168</v>
      </c>
      <c r="L996">
        <f>B1015/1000</f>
        <v>0.7</v>
      </c>
      <c r="N996" t="s">
        <v>169</v>
      </c>
      <c r="O996">
        <f>D1010/1000</f>
        <v>0.5</v>
      </c>
    </row>
    <row r="997" spans="1:17" ht="15" customHeight="1">
      <c r="D997" t="s">
        <v>249</v>
      </c>
      <c r="G997" t="s">
        <v>170</v>
      </c>
      <c r="H997">
        <f>B999/1000</f>
        <v>1</v>
      </c>
      <c r="K997" t="s">
        <v>171</v>
      </c>
      <c r="L997">
        <f>B1015/1000</f>
        <v>0.7</v>
      </c>
    </row>
    <row r="998" spans="1:17" ht="15" customHeight="1">
      <c r="G998" t="s">
        <v>172</v>
      </c>
      <c r="P998">
        <f>ROUNDDOWN(O996/6*((2*H996+L996)*H997+(2*L996+H996)*L997),2)</f>
        <v>0.36</v>
      </c>
      <c r="Q998" t="s">
        <v>91</v>
      </c>
    </row>
    <row r="999" spans="1:17" ht="15" customHeight="1">
      <c r="B999">
        <f>B1015+(0.3*D1010)*2</f>
        <v>1000</v>
      </c>
      <c r="G999" t="s">
        <v>173</v>
      </c>
      <c r="H999" t="s">
        <v>197</v>
      </c>
    </row>
    <row r="1000" spans="1:17" ht="15" customHeight="1">
      <c r="G1000" t="s">
        <v>167</v>
      </c>
      <c r="H1000">
        <f>B1012/1000</f>
        <v>0.5</v>
      </c>
      <c r="K1000" t="s">
        <v>83</v>
      </c>
      <c r="L1000">
        <f>B1001/1000</f>
        <v>0.3</v>
      </c>
      <c r="N1000" t="s">
        <v>169</v>
      </c>
      <c r="O1000">
        <f>O996</f>
        <v>0.5</v>
      </c>
    </row>
    <row r="1001" spans="1:17" ht="15" customHeight="1">
      <c r="B1001">
        <v>300</v>
      </c>
      <c r="G1001" t="s">
        <v>170</v>
      </c>
      <c r="H1001">
        <f>B1012/1000</f>
        <v>0.5</v>
      </c>
      <c r="K1001" t="s">
        <v>84</v>
      </c>
      <c r="L1001">
        <f>B1001/1000</f>
        <v>0.3</v>
      </c>
    </row>
    <row r="1002" spans="1:17" ht="15" customHeight="1">
      <c r="G1002" t="s">
        <v>177</v>
      </c>
      <c r="P1002">
        <f>ROUNDDOWN(O1000/6*((2*H1000+L1000)*H1001+(2*L1000+H1000)*L1001),2)</f>
        <v>0.08</v>
      </c>
      <c r="Q1002" t="s">
        <v>91</v>
      </c>
    </row>
    <row r="1003" spans="1:17" ht="15" customHeight="1">
      <c r="G1003" t="s">
        <v>178</v>
      </c>
      <c r="I1003" t="s">
        <v>179</v>
      </c>
      <c r="J1003" t="s">
        <v>180</v>
      </c>
      <c r="K1003" t="s">
        <v>181</v>
      </c>
    </row>
    <row r="1004" spans="1:17" ht="15" customHeight="1">
      <c r="L1004" t="s">
        <v>198</v>
      </c>
      <c r="M1004" s="187" t="s">
        <v>199</v>
      </c>
      <c r="P1004">
        <f>P998-P1002</f>
        <v>0.27999999999999997</v>
      </c>
      <c r="Q1004" t="s">
        <v>91</v>
      </c>
    </row>
    <row r="1005" spans="1:17" ht="15" customHeight="1">
      <c r="G1005" t="s">
        <v>183</v>
      </c>
      <c r="I1005" t="s">
        <v>184</v>
      </c>
      <c r="J1005" t="s">
        <v>200</v>
      </c>
    </row>
    <row r="1006" spans="1:17" ht="15" customHeight="1">
      <c r="A1006" t="s">
        <v>201</v>
      </c>
      <c r="P1006">
        <f>P1002</f>
        <v>0.08</v>
      </c>
      <c r="Q1006" t="s">
        <v>91</v>
      </c>
    </row>
    <row r="1007" spans="1:17" ht="15" customHeight="1">
      <c r="G1007" t="s">
        <v>186</v>
      </c>
    </row>
    <row r="1008" spans="1:17" ht="15" customHeight="1">
      <c r="H1008" t="s">
        <v>85</v>
      </c>
      <c r="P1008">
        <f>ROUNDDOWN(dhTextEvaluate(H1008),2)</f>
        <v>1.84</v>
      </c>
      <c r="Q1008" t="s">
        <v>192</v>
      </c>
    </row>
    <row r="1009" spans="2:17" ht="15" customHeight="1"/>
    <row r="1010" spans="2:17" ht="15" customHeight="1">
      <c r="D1010">
        <v>500</v>
      </c>
    </row>
    <row r="1011" spans="2:17" ht="15" customHeight="1"/>
    <row r="1012" spans="2:17" ht="15" customHeight="1">
      <c r="B1012">
        <v>500</v>
      </c>
    </row>
    <row r="1013" spans="2:17" ht="15" customHeight="1">
      <c r="B1013">
        <v>100</v>
      </c>
      <c r="C1013">
        <v>100</v>
      </c>
      <c r="G1013" t="s">
        <v>193</v>
      </c>
      <c r="I1013" t="s">
        <v>194</v>
      </c>
    </row>
    <row r="1014" spans="2:17" ht="15" customHeight="1">
      <c r="P1014">
        <v>4</v>
      </c>
      <c r="Q1014" t="s">
        <v>195</v>
      </c>
    </row>
    <row r="1015" spans="2:17" ht="15" customHeight="1">
      <c r="B1015">
        <f>B1012+B1013+C1013</f>
        <v>700</v>
      </c>
      <c r="G1015" t="s">
        <v>228</v>
      </c>
    </row>
    <row r="1016" spans="2:17" ht="15" customHeight="1">
      <c r="L1016">
        <v>2</v>
      </c>
      <c r="P1016">
        <f>ROUNDDOWN(dhTextEvaluate(L1016),2)</f>
        <v>2</v>
      </c>
      <c r="Q1016" t="s">
        <v>196</v>
      </c>
    </row>
    <row r="1017" spans="2:17" ht="15" customHeight="1"/>
    <row r="1018" spans="2:17" ht="15" customHeight="1"/>
    <row r="1019" spans="2:17" ht="15" customHeight="1">
      <c r="G1019" t="s">
        <v>202</v>
      </c>
    </row>
    <row r="1020" spans="2:17" ht="15" customHeight="1">
      <c r="L1020">
        <v>1</v>
      </c>
      <c r="P1020">
        <f>ROUNDDOWN(dhTextEvaluate(L1020),2)</f>
        <v>1</v>
      </c>
      <c r="Q1020" t="s">
        <v>158</v>
      </c>
    </row>
    <row r="1021" spans="2:17" ht="15" customHeight="1"/>
    <row r="1022" spans="2:17" ht="15" customHeight="1"/>
    <row r="1023" spans="2:17" ht="15" customHeight="1"/>
    <row r="1024" spans="2:17" ht="15" customHeight="1"/>
    <row r="1025" spans="1:17" ht="24.95" customHeight="1">
      <c r="A1025" t="s">
        <v>227</v>
      </c>
      <c r="H1025" t="s">
        <v>158</v>
      </c>
      <c r="M1025" s="1627"/>
      <c r="N1025" s="1627"/>
      <c r="O1025" s="1627"/>
      <c r="P1025" s="1627"/>
      <c r="Q1025" s="1627"/>
    </row>
    <row r="1026" spans="1:17" ht="15" customHeight="1">
      <c r="B1026" t="s">
        <v>250</v>
      </c>
      <c r="I1026" t="s">
        <v>159</v>
      </c>
      <c r="J1026" t="s">
        <v>160</v>
      </c>
      <c r="K1026" t="s">
        <v>161</v>
      </c>
      <c r="L1026" t="s">
        <v>162</v>
      </c>
      <c r="M1026" s="187" t="s">
        <v>163</v>
      </c>
      <c r="P1026" t="s">
        <v>164</v>
      </c>
    </row>
    <row r="1027" spans="1:17" ht="15" customHeight="1">
      <c r="G1027" t="s">
        <v>165</v>
      </c>
      <c r="H1027" t="s">
        <v>166</v>
      </c>
    </row>
    <row r="1028" spans="1:17" ht="15" customHeight="1">
      <c r="G1028" t="s">
        <v>167</v>
      </c>
      <c r="H1028">
        <f>B1031/1000</f>
        <v>1.28</v>
      </c>
      <c r="K1028" t="s">
        <v>168</v>
      </c>
      <c r="L1028">
        <f>B1047/1000</f>
        <v>0.8</v>
      </c>
      <c r="N1028" t="s">
        <v>169</v>
      </c>
      <c r="O1028">
        <f>D1042/1000</f>
        <v>0.8</v>
      </c>
    </row>
    <row r="1029" spans="1:17" ht="15" customHeight="1">
      <c r="D1029" t="s">
        <v>251</v>
      </c>
      <c r="G1029" t="s">
        <v>170</v>
      </c>
      <c r="H1029">
        <f>B1031/1000</f>
        <v>1.28</v>
      </c>
      <c r="K1029" t="s">
        <v>171</v>
      </c>
      <c r="L1029">
        <f>B1047/1000</f>
        <v>0.8</v>
      </c>
    </row>
    <row r="1030" spans="1:17" ht="15" customHeight="1">
      <c r="G1030" t="s">
        <v>172</v>
      </c>
      <c r="P1030">
        <f>ROUNDDOWN(O1028/6*((2*H1028+L1028)*H1029+(2*L1028+H1028)*L1029),2)</f>
        <v>0.88</v>
      </c>
      <c r="Q1030" t="s">
        <v>91</v>
      </c>
    </row>
    <row r="1031" spans="1:17" ht="15" customHeight="1">
      <c r="B1031">
        <f>B1047+(0.3*D1042)*2</f>
        <v>1280</v>
      </c>
      <c r="G1031" t="s">
        <v>173</v>
      </c>
      <c r="H1031" t="s">
        <v>197</v>
      </c>
    </row>
    <row r="1032" spans="1:17" ht="15" customHeight="1">
      <c r="G1032" t="s">
        <v>167</v>
      </c>
      <c r="H1032">
        <f>B1044/1000</f>
        <v>0.6</v>
      </c>
      <c r="K1032" t="s">
        <v>83</v>
      </c>
      <c r="L1032">
        <f>B1033/1000</f>
        <v>0.5</v>
      </c>
      <c r="N1032" t="s">
        <v>169</v>
      </c>
      <c r="O1032">
        <f>O1028</f>
        <v>0.8</v>
      </c>
    </row>
    <row r="1033" spans="1:17" ht="15" customHeight="1">
      <c r="B1033">
        <v>500</v>
      </c>
      <c r="G1033" t="s">
        <v>170</v>
      </c>
      <c r="H1033">
        <f>B1044/1000</f>
        <v>0.6</v>
      </c>
      <c r="K1033" t="s">
        <v>84</v>
      </c>
      <c r="L1033">
        <f>B1033/1000</f>
        <v>0.5</v>
      </c>
    </row>
    <row r="1034" spans="1:17" ht="15" customHeight="1">
      <c r="G1034" t="s">
        <v>177</v>
      </c>
      <c r="P1034">
        <f>ROUNDDOWN(O1032/6*((2*H1032+L1032)*H1033+(2*L1032+H1032)*L1033),2)</f>
        <v>0.24</v>
      </c>
      <c r="Q1034" t="s">
        <v>91</v>
      </c>
    </row>
    <row r="1035" spans="1:17" ht="15" customHeight="1">
      <c r="G1035" t="s">
        <v>178</v>
      </c>
      <c r="I1035" t="s">
        <v>179</v>
      </c>
      <c r="J1035" t="s">
        <v>180</v>
      </c>
      <c r="K1035" t="s">
        <v>181</v>
      </c>
    </row>
    <row r="1036" spans="1:17" ht="15" customHeight="1">
      <c r="L1036" t="s">
        <v>198</v>
      </c>
      <c r="M1036" s="187" t="s">
        <v>199</v>
      </c>
      <c r="P1036">
        <f>P1030-P1034</f>
        <v>0.64</v>
      </c>
      <c r="Q1036" t="s">
        <v>91</v>
      </c>
    </row>
    <row r="1037" spans="1:17" ht="15" customHeight="1">
      <c r="G1037" t="s">
        <v>183</v>
      </c>
      <c r="I1037" t="s">
        <v>184</v>
      </c>
      <c r="J1037" t="s">
        <v>200</v>
      </c>
    </row>
    <row r="1038" spans="1:17" ht="15" customHeight="1">
      <c r="A1038" t="s">
        <v>201</v>
      </c>
      <c r="P1038">
        <f>P1034</f>
        <v>0.24</v>
      </c>
      <c r="Q1038" t="s">
        <v>91</v>
      </c>
    </row>
    <row r="1039" spans="1:17" ht="15" customHeight="1">
      <c r="G1039" t="s">
        <v>186</v>
      </c>
    </row>
    <row r="1040" spans="1:17" ht="15" customHeight="1">
      <c r="H1040" t="s">
        <v>85</v>
      </c>
      <c r="P1040">
        <f>ROUNDDOWN(dhTextEvaluate(H1040),2)</f>
        <v>1.84</v>
      </c>
      <c r="Q1040" t="s">
        <v>192</v>
      </c>
    </row>
    <row r="1041" spans="2:17" ht="15" customHeight="1"/>
    <row r="1042" spans="2:17" ht="15" customHeight="1">
      <c r="D1042">
        <v>800</v>
      </c>
    </row>
    <row r="1043" spans="2:17" ht="15" customHeight="1"/>
    <row r="1044" spans="2:17" ht="15" customHeight="1">
      <c r="B1044">
        <v>600</v>
      </c>
    </row>
    <row r="1045" spans="2:17" ht="15" customHeight="1">
      <c r="B1045">
        <v>100</v>
      </c>
      <c r="C1045">
        <v>100</v>
      </c>
      <c r="G1045" t="s">
        <v>193</v>
      </c>
      <c r="I1045" t="s">
        <v>194</v>
      </c>
    </row>
    <row r="1046" spans="2:17" ht="15" customHeight="1">
      <c r="P1046">
        <v>4</v>
      </c>
      <c r="Q1046" t="s">
        <v>195</v>
      </c>
    </row>
    <row r="1047" spans="2:17" ht="15" customHeight="1">
      <c r="B1047">
        <f>B1044+B1045+C1045</f>
        <v>800</v>
      </c>
      <c r="G1047" t="s">
        <v>228</v>
      </c>
    </row>
    <row r="1048" spans="2:17" ht="15" customHeight="1">
      <c r="L1048">
        <v>3</v>
      </c>
      <c r="P1048">
        <f>ROUNDDOWN(dhTextEvaluate(L1048),2)</f>
        <v>3</v>
      </c>
      <c r="Q1048" t="s">
        <v>196</v>
      </c>
    </row>
    <row r="1049" spans="2:17" ht="15" customHeight="1"/>
    <row r="1050" spans="2:17" ht="15" customHeight="1"/>
    <row r="1051" spans="2:17" ht="15" customHeight="1">
      <c r="G1051" t="s">
        <v>202</v>
      </c>
    </row>
    <row r="1052" spans="2:17" ht="15" customHeight="1">
      <c r="L1052">
        <v>1</v>
      </c>
      <c r="P1052">
        <f>ROUNDDOWN(dhTextEvaluate(L1052),2)</f>
        <v>1</v>
      </c>
      <c r="Q1052" t="s">
        <v>158</v>
      </c>
    </row>
    <row r="1053" spans="2:17" ht="15" customHeight="1"/>
    <row r="1054" spans="2:17" ht="15" customHeight="1"/>
    <row r="1055" spans="2:17" ht="15" customHeight="1"/>
    <row r="1056" spans="2:17" ht="15" customHeight="1"/>
    <row r="1057" spans="1:17" ht="24.95" customHeight="1">
      <c r="A1057" t="s">
        <v>252</v>
      </c>
      <c r="H1057" t="s">
        <v>158</v>
      </c>
      <c r="M1057" s="1627"/>
      <c r="N1057" s="1627"/>
      <c r="O1057" s="1627"/>
      <c r="P1057" s="1627"/>
      <c r="Q1057" s="1627"/>
    </row>
    <row r="1058" spans="1:17" ht="15" customHeight="1">
      <c r="B1058" t="s">
        <v>253</v>
      </c>
      <c r="I1058" t="s">
        <v>159</v>
      </c>
      <c r="J1058" t="s">
        <v>160</v>
      </c>
      <c r="K1058" t="s">
        <v>161</v>
      </c>
      <c r="L1058" t="s">
        <v>162</v>
      </c>
      <c r="M1058" s="187" t="s">
        <v>163</v>
      </c>
      <c r="P1058" t="s">
        <v>164</v>
      </c>
    </row>
    <row r="1059" spans="1:17" ht="15" customHeight="1">
      <c r="G1059" t="s">
        <v>165</v>
      </c>
      <c r="I1059" t="s">
        <v>166</v>
      </c>
    </row>
    <row r="1060" spans="1:17" ht="15" customHeight="1">
      <c r="G1060" t="s">
        <v>167</v>
      </c>
      <c r="H1060">
        <f>B1063/1000</f>
        <v>0.5</v>
      </c>
      <c r="K1060" t="s">
        <v>168</v>
      </c>
      <c r="L1060">
        <f>B1061/1000</f>
        <v>0.5</v>
      </c>
      <c r="N1060" t="s">
        <v>169</v>
      </c>
      <c r="O1060">
        <f>(D1074+D1076)/1000</f>
        <v>0.2</v>
      </c>
    </row>
    <row r="1061" spans="1:17" ht="15" customHeight="1">
      <c r="B1061">
        <v>500</v>
      </c>
      <c r="D1061" t="s">
        <v>254</v>
      </c>
      <c r="G1061" t="s">
        <v>170</v>
      </c>
      <c r="H1061">
        <f>B1083/1000</f>
        <v>0.51</v>
      </c>
      <c r="K1061" t="s">
        <v>171</v>
      </c>
      <c r="L1061">
        <f>B1085/1000</f>
        <v>0.51</v>
      </c>
    </row>
    <row r="1062" spans="1:17" ht="15" customHeight="1">
      <c r="G1062" t="s">
        <v>172</v>
      </c>
      <c r="P1062">
        <f>ROUNDDOWN(O1060/6*((2*H1060+L1060)*H1061+(2*L1060+H1060)*L1061),2)</f>
        <v>0.05</v>
      </c>
      <c r="Q1062" t="s">
        <v>91</v>
      </c>
    </row>
    <row r="1063" spans="1:17" ht="15" customHeight="1">
      <c r="B1063">
        <v>500</v>
      </c>
      <c r="G1063" t="s">
        <v>173</v>
      </c>
      <c r="I1063" t="s">
        <v>174</v>
      </c>
    </row>
    <row r="1064" spans="1:17" ht="15" customHeight="1">
      <c r="B1064">
        <v>310</v>
      </c>
      <c r="G1064" t="s">
        <v>167</v>
      </c>
      <c r="H1064">
        <f>B1064/1000</f>
        <v>0.31</v>
      </c>
      <c r="K1064" t="s">
        <v>168</v>
      </c>
      <c r="L1064">
        <f>B1078/1000</f>
        <v>0.31</v>
      </c>
      <c r="N1064" t="s">
        <v>169</v>
      </c>
      <c r="O1064">
        <f>D1076/1000</f>
        <v>0.2</v>
      </c>
      <c r="P1064">
        <f>(H1064*L1064*O1064)</f>
        <v>1.9220000000000001E-2</v>
      </c>
      <c r="Q1064" t="s">
        <v>175</v>
      </c>
    </row>
    <row r="1065" spans="1:17" ht="15" customHeight="1">
      <c r="G1065" t="s">
        <v>167</v>
      </c>
      <c r="H1065">
        <f>B1064/1000</f>
        <v>0.31</v>
      </c>
      <c r="K1065" t="s">
        <v>168</v>
      </c>
      <c r="L1065">
        <f>B1078/1000</f>
        <v>0.31</v>
      </c>
      <c r="N1065" t="s">
        <v>169</v>
      </c>
      <c r="O1065">
        <f>D1072/1000</f>
        <v>0.1</v>
      </c>
      <c r="P1065">
        <f>(H1065*L1065*O1065)</f>
        <v>9.6100000000000005E-3</v>
      </c>
      <c r="Q1065" t="s">
        <v>176</v>
      </c>
    </row>
    <row r="1066" spans="1:17" ht="15" customHeight="1"/>
    <row r="1067" spans="1:17" ht="15" customHeight="1"/>
    <row r="1068" spans="1:17" ht="15" customHeight="1">
      <c r="G1068" t="s">
        <v>177</v>
      </c>
      <c r="P1068">
        <f>SUM(P1064:P1067)</f>
        <v>2.8830000000000001E-2</v>
      </c>
      <c r="Q1068" t="s">
        <v>91</v>
      </c>
    </row>
    <row r="1069" spans="1:17" ht="15" customHeight="1">
      <c r="G1069" t="s">
        <v>178</v>
      </c>
      <c r="I1069" t="s">
        <v>179</v>
      </c>
      <c r="J1069" t="s">
        <v>180</v>
      </c>
      <c r="K1069" t="s">
        <v>181</v>
      </c>
    </row>
    <row r="1070" spans="1:17" ht="15" customHeight="1">
      <c r="I1070" t="s">
        <v>179</v>
      </c>
      <c r="J1070">
        <f>P1062</f>
        <v>0.05</v>
      </c>
      <c r="K1070" t="s">
        <v>182</v>
      </c>
      <c r="L1070">
        <f>P1072</f>
        <v>1.9220000000000001E-2</v>
      </c>
      <c r="P1070">
        <f>J1070-L1070</f>
        <v>3.0780000000000002E-2</v>
      </c>
      <c r="Q1070" t="s">
        <v>91</v>
      </c>
    </row>
    <row r="1071" spans="1:17" ht="15" customHeight="1">
      <c r="G1071" t="s">
        <v>183</v>
      </c>
      <c r="I1071" t="s">
        <v>184</v>
      </c>
      <c r="K1071" t="s">
        <v>185</v>
      </c>
    </row>
    <row r="1072" spans="1:17" ht="15" customHeight="1">
      <c r="D1072">
        <v>100</v>
      </c>
      <c r="E1072">
        <f>D1072+D1074+D1076</f>
        <v>300</v>
      </c>
      <c r="I1072" t="s">
        <v>184</v>
      </c>
      <c r="L1072">
        <f>P1064</f>
        <v>1.9220000000000001E-2</v>
      </c>
      <c r="P1072">
        <f>L1072+N1072</f>
        <v>1.9220000000000001E-2</v>
      </c>
      <c r="Q1072" t="s">
        <v>91</v>
      </c>
    </row>
    <row r="1073" spans="2:17" ht="15" customHeight="1">
      <c r="G1073" t="s">
        <v>255</v>
      </c>
    </row>
    <row r="1074" spans="2:17" ht="15" customHeight="1">
      <c r="H1074" t="s">
        <v>256</v>
      </c>
      <c r="P1074">
        <f>ROUNDDOWN(dhTextEvaluate(H1074),2)</f>
        <v>0.36</v>
      </c>
      <c r="Q1074" t="s">
        <v>192</v>
      </c>
    </row>
    <row r="1075" spans="2:17" ht="15" customHeight="1"/>
    <row r="1076" spans="2:17" ht="15" customHeight="1">
      <c r="D1076">
        <v>200</v>
      </c>
    </row>
    <row r="1077" spans="2:17" ht="15" customHeight="1">
      <c r="G1077" t="s">
        <v>257</v>
      </c>
      <c r="I1077" t="s">
        <v>258</v>
      </c>
    </row>
    <row r="1078" spans="2:17" ht="15" customHeight="1">
      <c r="B1078">
        <v>310</v>
      </c>
      <c r="P1078">
        <v>2</v>
      </c>
      <c r="Q1078" t="s">
        <v>195</v>
      </c>
    </row>
    <row r="1079" spans="2:17" ht="15" customHeight="1">
      <c r="B1079">
        <v>100</v>
      </c>
      <c r="C1079">
        <v>100</v>
      </c>
    </row>
    <row r="1080" spans="2:17" ht="15" customHeight="1">
      <c r="B1080">
        <v>310</v>
      </c>
    </row>
    <row r="1081" spans="2:17" ht="15" customHeight="1">
      <c r="B1081">
        <v>100</v>
      </c>
      <c r="C1081">
        <v>100</v>
      </c>
    </row>
    <row r="1082" spans="2:17" ht="15" customHeight="1"/>
    <row r="1083" spans="2:17" ht="15" customHeight="1">
      <c r="B1083">
        <v>510</v>
      </c>
    </row>
    <row r="1084" spans="2:17" ht="15" customHeight="1"/>
    <row r="1085" spans="2:17" ht="15" customHeight="1">
      <c r="B1085">
        <v>510</v>
      </c>
    </row>
    <row r="1086" spans="2:17" ht="15" customHeight="1"/>
    <row r="1087" spans="2:17" ht="15" customHeight="1"/>
    <row r="1088" spans="2:17" ht="15" customHeight="1"/>
    <row r="1089" spans="1:17" ht="24.95" customHeight="1">
      <c r="A1089" t="s">
        <v>259</v>
      </c>
      <c r="M1089" s="1627"/>
      <c r="N1089" s="1627"/>
      <c r="O1089" s="1627"/>
      <c r="P1089" s="1627"/>
      <c r="Q1089" s="1627"/>
    </row>
    <row r="1090" spans="1:17" ht="15" customHeight="1">
      <c r="B1090" t="s">
        <v>248</v>
      </c>
      <c r="I1090" t="s">
        <v>159</v>
      </c>
      <c r="J1090" t="s">
        <v>160</v>
      </c>
      <c r="K1090" t="s">
        <v>161</v>
      </c>
      <c r="L1090" t="s">
        <v>162</v>
      </c>
      <c r="M1090" s="187" t="s">
        <v>163</v>
      </c>
      <c r="P1090" t="s">
        <v>164</v>
      </c>
    </row>
    <row r="1091" spans="1:17" ht="15" customHeight="1">
      <c r="G1091" t="s">
        <v>165</v>
      </c>
      <c r="I1091" t="s">
        <v>166</v>
      </c>
    </row>
    <row r="1092" spans="1:17" ht="15" customHeight="1">
      <c r="G1092" t="s">
        <v>167</v>
      </c>
      <c r="H1092">
        <f>B1095/1000</f>
        <v>0.5</v>
      </c>
      <c r="K1092" t="s">
        <v>168</v>
      </c>
      <c r="L1092">
        <f>B1093/1000</f>
        <v>0.5</v>
      </c>
      <c r="N1092" t="s">
        <v>169</v>
      </c>
      <c r="O1092">
        <f>(D1106+D1108)/1000</f>
        <v>0.2</v>
      </c>
    </row>
    <row r="1093" spans="1:17" ht="15" customHeight="1">
      <c r="B1093">
        <v>500</v>
      </c>
      <c r="G1093" t="s">
        <v>170</v>
      </c>
      <c r="H1093">
        <f>B1115/1000</f>
        <v>0.5</v>
      </c>
      <c r="K1093" t="s">
        <v>171</v>
      </c>
      <c r="L1093">
        <f>B1117/1000</f>
        <v>0.5</v>
      </c>
    </row>
    <row r="1094" spans="1:17" ht="15" customHeight="1">
      <c r="G1094" t="s">
        <v>172</v>
      </c>
      <c r="P1094">
        <f>ROUNDDOWN(O1092/6*((2*H1092+L1092)*H1093+(2*L1092+H1092)*L1093),2)</f>
        <v>0.05</v>
      </c>
      <c r="Q1094" t="s">
        <v>91</v>
      </c>
    </row>
    <row r="1095" spans="1:17" ht="15" customHeight="1">
      <c r="B1095">
        <v>500</v>
      </c>
      <c r="G1095" t="s">
        <v>173</v>
      </c>
      <c r="I1095" t="s">
        <v>174</v>
      </c>
    </row>
    <row r="1096" spans="1:17" ht="15" customHeight="1">
      <c r="B1096">
        <v>300</v>
      </c>
      <c r="G1096" t="s">
        <v>167</v>
      </c>
      <c r="H1096">
        <f>B1111/1000</f>
        <v>0.1</v>
      </c>
      <c r="K1096" t="s">
        <v>168</v>
      </c>
      <c r="L1096">
        <f>B1113/1000</f>
        <v>0.1</v>
      </c>
      <c r="N1096" t="s">
        <v>169</v>
      </c>
      <c r="O1096">
        <f>D1108/1000</f>
        <v>0.2</v>
      </c>
      <c r="P1096">
        <f>(H1096*L1096*O1096)</f>
        <v>2.0000000000000005E-3</v>
      </c>
      <c r="Q1096" t="s">
        <v>175</v>
      </c>
    </row>
    <row r="1097" spans="1:17" ht="15" customHeight="1"/>
    <row r="1098" spans="1:17" ht="15" customHeight="1">
      <c r="H1098" t="s">
        <v>261</v>
      </c>
    </row>
    <row r="1099" spans="1:17" ht="15" customHeight="1"/>
    <row r="1100" spans="1:17" ht="15" customHeight="1">
      <c r="G1100" t="s">
        <v>177</v>
      </c>
      <c r="H1100">
        <f>P1096</f>
        <v>2.0000000000000005E-3</v>
      </c>
      <c r="I1100" t="s">
        <v>262</v>
      </c>
      <c r="J1100">
        <v>4</v>
      </c>
      <c r="P1100">
        <f>H1100*J1100</f>
        <v>8.0000000000000019E-3</v>
      </c>
      <c r="Q1100" t="s">
        <v>91</v>
      </c>
    </row>
    <row r="1101" spans="1:17" ht="15" customHeight="1"/>
    <row r="1102" spans="1:17" ht="15" customHeight="1">
      <c r="D1102" t="s">
        <v>260</v>
      </c>
    </row>
    <row r="1103" spans="1:17" ht="15" customHeight="1">
      <c r="G1103" t="s">
        <v>221</v>
      </c>
      <c r="I1103" t="s">
        <v>184</v>
      </c>
      <c r="K1103" t="s">
        <v>185</v>
      </c>
    </row>
    <row r="1104" spans="1:17" ht="15" customHeight="1">
      <c r="A1104" t="s">
        <v>263</v>
      </c>
      <c r="I1104" t="s">
        <v>184</v>
      </c>
      <c r="L1104">
        <f>P1096</f>
        <v>2.0000000000000005E-3</v>
      </c>
      <c r="P1104">
        <f>L1104+N1104</f>
        <v>2.0000000000000005E-3</v>
      </c>
      <c r="Q1104" t="s">
        <v>91</v>
      </c>
    </row>
    <row r="1105" spans="2:4" ht="15" customHeight="1"/>
    <row r="1106" spans="2:4" ht="15" customHeight="1"/>
    <row r="1107" spans="2:4" ht="15" customHeight="1"/>
    <row r="1108" spans="2:4" ht="15" customHeight="1">
      <c r="D1108">
        <v>200</v>
      </c>
    </row>
    <row r="1109" spans="2:4" ht="15" customHeight="1"/>
    <row r="1110" spans="2:4" ht="15" customHeight="1">
      <c r="B1110">
        <v>300</v>
      </c>
    </row>
    <row r="1111" spans="2:4" ht="15" customHeight="1">
      <c r="B1111">
        <v>100</v>
      </c>
      <c r="C1111">
        <v>100</v>
      </c>
    </row>
    <row r="1112" spans="2:4" ht="15" customHeight="1">
      <c r="B1112">
        <v>300</v>
      </c>
    </row>
    <row r="1113" spans="2:4" ht="15" customHeight="1">
      <c r="B1113">
        <v>100</v>
      </c>
      <c r="C1113">
        <v>100</v>
      </c>
    </row>
    <row r="1114" spans="2:4" ht="15" customHeight="1"/>
    <row r="1115" spans="2:4" ht="15" customHeight="1">
      <c r="B1115">
        <v>500</v>
      </c>
    </row>
    <row r="1116" spans="2:4" ht="15" customHeight="1"/>
    <row r="1117" spans="2:4" ht="15" customHeight="1">
      <c r="B1117">
        <v>500</v>
      </c>
    </row>
    <row r="1118" spans="2:4" ht="15" customHeight="1"/>
    <row r="1119" spans="2:4" ht="15" customHeight="1"/>
    <row r="1120" spans="2:4" ht="15" customHeight="1"/>
    <row r="1121" spans="1:17" ht="24.95" customHeight="1">
      <c r="A1121" t="s">
        <v>264</v>
      </c>
      <c r="H1121" t="s">
        <v>158</v>
      </c>
    </row>
    <row r="1122" spans="1:17" ht="15" customHeight="1">
      <c r="B1122" t="s">
        <v>265</v>
      </c>
      <c r="I1122" t="s">
        <v>159</v>
      </c>
      <c r="J1122" t="s">
        <v>160</v>
      </c>
      <c r="K1122" t="s">
        <v>161</v>
      </c>
      <c r="L1122" t="s">
        <v>162</v>
      </c>
      <c r="M1122" s="187" t="s">
        <v>163</v>
      </c>
      <c r="P1122" t="s">
        <v>164</v>
      </c>
    </row>
    <row r="1123" spans="1:17" ht="15" customHeight="1">
      <c r="G1123" t="s">
        <v>165</v>
      </c>
      <c r="I1123" t="s">
        <v>166</v>
      </c>
    </row>
    <row r="1124" spans="1:17" ht="15" customHeight="1">
      <c r="G1124" t="s">
        <v>167</v>
      </c>
      <c r="H1124">
        <f>B1127/1000</f>
        <v>1.22</v>
      </c>
      <c r="K1124" t="s">
        <v>168</v>
      </c>
      <c r="L1124">
        <f>B1125/1000</f>
        <v>1.02</v>
      </c>
      <c r="N1124" t="s">
        <v>169</v>
      </c>
      <c r="O1124">
        <f>(D1138+D1140)/1000</f>
        <v>0.7</v>
      </c>
    </row>
    <row r="1125" spans="1:17" ht="15" customHeight="1">
      <c r="B1125">
        <f>B1149+(0.3*(D1140)*2)</f>
        <v>1020</v>
      </c>
      <c r="D1125" t="s">
        <v>266</v>
      </c>
      <c r="G1125" t="s">
        <v>170</v>
      </c>
      <c r="H1125">
        <f>B1147/1000</f>
        <v>0.8</v>
      </c>
      <c r="K1125" t="s">
        <v>171</v>
      </c>
      <c r="L1125">
        <f>B1149/1000</f>
        <v>0.6</v>
      </c>
    </row>
    <row r="1126" spans="1:17" ht="15" customHeight="1">
      <c r="G1126" t="s">
        <v>172</v>
      </c>
      <c r="P1126">
        <f>ROUNDDOWN(O1124/6*((2*H1124+L1124)*H1125+(2*L1124+H1124)*L1125),2)</f>
        <v>0.55000000000000004</v>
      </c>
      <c r="Q1126" t="s">
        <v>91</v>
      </c>
    </row>
    <row r="1127" spans="1:17" ht="15" customHeight="1">
      <c r="B1127">
        <f>B1147+(0.3*(D1140)*2)</f>
        <v>1220</v>
      </c>
      <c r="G1127" t="s">
        <v>173</v>
      </c>
      <c r="I1127" t="s">
        <v>174</v>
      </c>
    </row>
    <row r="1128" spans="1:17" ht="15" customHeight="1">
      <c r="B1128">
        <v>400</v>
      </c>
      <c r="G1128" t="s">
        <v>167</v>
      </c>
      <c r="H1128">
        <f>B1128/1000</f>
        <v>0.4</v>
      </c>
      <c r="K1128" t="s">
        <v>168</v>
      </c>
      <c r="L1128">
        <f>B1142/1000</f>
        <v>0.6</v>
      </c>
      <c r="N1128" t="s">
        <v>169</v>
      </c>
      <c r="O1128">
        <f>D1140/1000</f>
        <v>0.7</v>
      </c>
      <c r="P1128">
        <f>ROUNDDOWN(H1128*L1128*O1128,2)</f>
        <v>0.16</v>
      </c>
      <c r="Q1128" t="s">
        <v>175</v>
      </c>
    </row>
    <row r="1129" spans="1:17" ht="15" customHeight="1">
      <c r="G1129" t="s">
        <v>167</v>
      </c>
      <c r="H1129">
        <f>B1128/1000</f>
        <v>0.4</v>
      </c>
      <c r="K1129" t="s">
        <v>168</v>
      </c>
      <c r="L1129">
        <f>B1142/1000</f>
        <v>0.6</v>
      </c>
      <c r="N1129" t="s">
        <v>169</v>
      </c>
      <c r="O1129">
        <f>D1136/1000</f>
        <v>0</v>
      </c>
      <c r="P1129">
        <f>ROUNDDOWN(H1129*L1129*O1129,2)</f>
        <v>0</v>
      </c>
      <c r="Q1129" t="s">
        <v>176</v>
      </c>
    </row>
    <row r="1130" spans="1:17" ht="15" customHeight="1"/>
    <row r="1131" spans="1:17" ht="15" customHeight="1"/>
    <row r="1132" spans="1:17" ht="15" customHeight="1">
      <c r="G1132" t="s">
        <v>177</v>
      </c>
      <c r="P1132">
        <f>SUM(P1128:P1131)</f>
        <v>0.16</v>
      </c>
      <c r="Q1132" t="s">
        <v>91</v>
      </c>
    </row>
    <row r="1133" spans="1:17" ht="15" customHeight="1">
      <c r="G1133" t="s">
        <v>178</v>
      </c>
      <c r="I1133" t="s">
        <v>179</v>
      </c>
      <c r="J1133" t="s">
        <v>180</v>
      </c>
      <c r="K1133" t="s">
        <v>181</v>
      </c>
    </row>
    <row r="1134" spans="1:17" ht="15" customHeight="1">
      <c r="I1134" t="s">
        <v>179</v>
      </c>
      <c r="J1134">
        <f>P1126</f>
        <v>0.55000000000000004</v>
      </c>
      <c r="K1134" t="s">
        <v>182</v>
      </c>
      <c r="L1134">
        <f>P1136</f>
        <v>0.16</v>
      </c>
      <c r="P1134">
        <f>ROUNDDOWN(J1134-L1134,2)</f>
        <v>0.39</v>
      </c>
      <c r="Q1134" t="s">
        <v>91</v>
      </c>
    </row>
    <row r="1135" spans="1:17" ht="15" customHeight="1">
      <c r="G1135" t="s">
        <v>183</v>
      </c>
      <c r="I1135" t="s">
        <v>184</v>
      </c>
      <c r="K1135" t="s">
        <v>185</v>
      </c>
    </row>
    <row r="1136" spans="1:17" ht="15" customHeight="1">
      <c r="E1136">
        <f>D1136+D1138+D1140</f>
        <v>700</v>
      </c>
      <c r="I1136" t="s">
        <v>184</v>
      </c>
      <c r="L1136">
        <f>P1128</f>
        <v>0.16</v>
      </c>
      <c r="P1136">
        <f>ROUNDDOWN(L1136+N1136,2)</f>
        <v>0.16</v>
      </c>
      <c r="Q1136" t="s">
        <v>91</v>
      </c>
    </row>
    <row r="1137" spans="2:17" ht="15" customHeight="1">
      <c r="G1137" t="s">
        <v>255</v>
      </c>
    </row>
    <row r="1138" spans="2:17" ht="15" customHeight="1">
      <c r="H1138" t="s">
        <v>267</v>
      </c>
      <c r="P1138">
        <f>ROUNDDOWN(dhTextEvaluate(H1138),2)</f>
        <v>2</v>
      </c>
      <c r="Q1138" t="s">
        <v>192</v>
      </c>
    </row>
    <row r="1139" spans="2:17" ht="15" customHeight="1"/>
    <row r="1140" spans="2:17" ht="15" customHeight="1">
      <c r="D1140">
        <v>700</v>
      </c>
    </row>
    <row r="1141" spans="2:17" ht="15" customHeight="1"/>
    <row r="1142" spans="2:17" ht="15" customHeight="1">
      <c r="B1142">
        <v>600</v>
      </c>
    </row>
    <row r="1143" spans="2:17" ht="15" customHeight="1">
      <c r="B1143">
        <v>100</v>
      </c>
      <c r="C1143">
        <v>100</v>
      </c>
      <c r="G1143" t="s">
        <v>193</v>
      </c>
      <c r="I1143" t="s">
        <v>194</v>
      </c>
    </row>
    <row r="1144" spans="2:17" ht="15" customHeight="1">
      <c r="B1144">
        <v>400</v>
      </c>
      <c r="P1144">
        <v>4</v>
      </c>
      <c r="Q1144" t="s">
        <v>195</v>
      </c>
    </row>
    <row r="1145" spans="2:17" ht="15" customHeight="1">
      <c r="B1145">
        <v>100</v>
      </c>
      <c r="C1145">
        <v>100</v>
      </c>
      <c r="G1145" t="s">
        <v>228</v>
      </c>
    </row>
    <row r="1146" spans="2:17" ht="15" customHeight="1">
      <c r="L1146">
        <v>2</v>
      </c>
      <c r="P1146">
        <f>ROUNDDOWN(dhTextEvaluate(L1146),2)</f>
        <v>2</v>
      </c>
      <c r="Q1146" t="s">
        <v>196</v>
      </c>
    </row>
    <row r="1147" spans="2:17" ht="15" customHeight="1">
      <c r="B1147">
        <f>B1143+B1142+C1143</f>
        <v>800</v>
      </c>
    </row>
    <row r="1148" spans="2:17" ht="15" customHeight="1"/>
    <row r="1149" spans="2:17" ht="15" customHeight="1">
      <c r="B1149">
        <f>B1145+B1144+C1145</f>
        <v>600</v>
      </c>
    </row>
    <row r="1150" spans="2:17" ht="15" customHeight="1"/>
    <row r="1151" spans="2:17" ht="15" customHeight="1"/>
    <row r="1152" spans="2:17" ht="15" customHeight="1"/>
    <row r="1153" spans="1:17" ht="24.95" customHeight="1">
      <c r="A1153" t="s">
        <v>252</v>
      </c>
      <c r="H1153" t="s">
        <v>158</v>
      </c>
    </row>
    <row r="1154" spans="1:17" ht="15" customHeight="1">
      <c r="B1154" t="s">
        <v>268</v>
      </c>
      <c r="I1154" t="s">
        <v>159</v>
      </c>
      <c r="J1154" t="s">
        <v>160</v>
      </c>
      <c r="K1154" t="s">
        <v>161</v>
      </c>
      <c r="L1154" t="s">
        <v>162</v>
      </c>
      <c r="M1154" s="187" t="s">
        <v>163</v>
      </c>
      <c r="P1154" t="s">
        <v>164</v>
      </c>
    </row>
    <row r="1155" spans="1:17" ht="15" customHeight="1">
      <c r="G1155" t="s">
        <v>165</v>
      </c>
      <c r="H1155" t="s">
        <v>166</v>
      </c>
    </row>
    <row r="1156" spans="1:17" ht="15" customHeight="1">
      <c r="G1156" t="s">
        <v>167</v>
      </c>
      <c r="H1156">
        <f>B1158/1000</f>
        <v>4.28</v>
      </c>
      <c r="K1156" t="s">
        <v>168</v>
      </c>
      <c r="L1156">
        <f>B1180/1000</f>
        <v>3.2</v>
      </c>
      <c r="N1156" t="s">
        <v>169</v>
      </c>
      <c r="O1156">
        <f>D1169/1000</f>
        <v>1.8</v>
      </c>
    </row>
    <row r="1157" spans="1:17" ht="15" customHeight="1">
      <c r="D1157" t="s">
        <v>269</v>
      </c>
      <c r="G1157" t="s">
        <v>170</v>
      </c>
      <c r="H1157">
        <f>B1158/1000</f>
        <v>4.28</v>
      </c>
      <c r="K1157" t="s">
        <v>171</v>
      </c>
      <c r="L1157">
        <f>B1180/1000</f>
        <v>3.2</v>
      </c>
    </row>
    <row r="1158" spans="1:17" ht="15" customHeight="1">
      <c r="B1158">
        <f>B1180+(0.3*D1169)*2</f>
        <v>4280</v>
      </c>
      <c r="G1158" t="s">
        <v>172</v>
      </c>
      <c r="P1158">
        <f>ROUNDDOWN(O1156/6*((2*H1156+L1156)*H1157+(2*L1156+H1156)*L1157),2)</f>
        <v>25.35</v>
      </c>
      <c r="Q1158" t="s">
        <v>91</v>
      </c>
    </row>
    <row r="1159" spans="1:17" ht="15" customHeight="1">
      <c r="G1159" t="s">
        <v>173</v>
      </c>
      <c r="H1159" t="s">
        <v>197</v>
      </c>
    </row>
    <row r="1160" spans="1:17" ht="15" customHeight="1">
      <c r="B1160">
        <v>800</v>
      </c>
      <c r="G1160" t="s">
        <v>167</v>
      </c>
      <c r="H1160">
        <f>B1176/1000</f>
        <v>1.8</v>
      </c>
      <c r="K1160" t="s">
        <v>83</v>
      </c>
      <c r="L1160">
        <f>B1160/1000</f>
        <v>0.8</v>
      </c>
      <c r="N1160" t="s">
        <v>169</v>
      </c>
      <c r="O1160">
        <f>D1168/1000</f>
        <v>1.2</v>
      </c>
    </row>
    <row r="1161" spans="1:17" ht="15" customHeight="1">
      <c r="G1161" t="s">
        <v>170</v>
      </c>
      <c r="H1161">
        <f>B1176/1000</f>
        <v>1.8</v>
      </c>
      <c r="K1161" t="s">
        <v>84</v>
      </c>
      <c r="L1161">
        <f>B1160/1000</f>
        <v>0.8</v>
      </c>
      <c r="N1161" t="s">
        <v>169</v>
      </c>
      <c r="O1161">
        <f>O1160</f>
        <v>1.2</v>
      </c>
    </row>
    <row r="1162" spans="1:17" ht="15" customHeight="1">
      <c r="H1162" t="s">
        <v>270</v>
      </c>
      <c r="J1162" t="s">
        <v>271</v>
      </c>
      <c r="K1162">
        <f>B1173/1000</f>
        <v>3</v>
      </c>
      <c r="L1162" t="s">
        <v>272</v>
      </c>
      <c r="M1162" s="187">
        <f>B1173/1000</f>
        <v>3</v>
      </c>
      <c r="N1162" t="s">
        <v>273</v>
      </c>
      <c r="O1162">
        <f>A1169/1000</f>
        <v>0.6</v>
      </c>
    </row>
    <row r="1163" spans="1:17" ht="15" customHeight="1">
      <c r="G1163" t="s">
        <v>177</v>
      </c>
      <c r="P1163">
        <f>ROUNDDOWN(O1160/6*((2*H1160+L1160)*H1161+(2*L1160+H1160)*L1161),2)</f>
        <v>2.12</v>
      </c>
      <c r="Q1163" t="s">
        <v>274</v>
      </c>
    </row>
    <row r="1164" spans="1:17" ht="15" customHeight="1">
      <c r="G1164" t="s">
        <v>275</v>
      </c>
      <c r="P1164">
        <f>K1162*M1162*O1162</f>
        <v>5.3999999999999995</v>
      </c>
      <c r="Q1164" t="s">
        <v>274</v>
      </c>
    </row>
    <row r="1165" spans="1:17" ht="15" customHeight="1">
      <c r="A1165" t="s">
        <v>201</v>
      </c>
      <c r="G1165" t="s">
        <v>276</v>
      </c>
      <c r="P1165">
        <f>SUM(P1163:P1164)</f>
        <v>7.52</v>
      </c>
      <c r="Q1165" t="s">
        <v>274</v>
      </c>
    </row>
    <row r="1166" spans="1:17" ht="15" customHeight="1">
      <c r="G1166" t="s">
        <v>178</v>
      </c>
      <c r="I1166" t="s">
        <v>179</v>
      </c>
      <c r="J1166" t="s">
        <v>180</v>
      </c>
      <c r="K1166" t="s">
        <v>181</v>
      </c>
    </row>
    <row r="1167" spans="1:17" ht="15" customHeight="1">
      <c r="P1167">
        <f>P1158-P1169</f>
        <v>17.830000000000002</v>
      </c>
      <c r="Q1167" t="s">
        <v>91</v>
      </c>
    </row>
    <row r="1168" spans="1:17" ht="15" customHeight="1">
      <c r="D1168">
        <v>1200</v>
      </c>
      <c r="G1168" t="s">
        <v>183</v>
      </c>
      <c r="I1168" t="s">
        <v>184</v>
      </c>
      <c r="J1168" t="s">
        <v>200</v>
      </c>
    </row>
    <row r="1169" spans="1:17" ht="15" customHeight="1">
      <c r="A1169">
        <v>600</v>
      </c>
      <c r="D1169">
        <v>1800</v>
      </c>
      <c r="P1169">
        <f>P1165</f>
        <v>7.52</v>
      </c>
      <c r="Q1169" t="s">
        <v>91</v>
      </c>
    </row>
    <row r="1170" spans="1:17" ht="15" customHeight="1">
      <c r="G1170" t="s">
        <v>277</v>
      </c>
    </row>
    <row r="1171" spans="1:17" ht="15" customHeight="1">
      <c r="H1171" t="s">
        <v>278</v>
      </c>
      <c r="P1171">
        <f>ROUNDDOWN(dhTextEvaluate(H1171),2)</f>
        <v>12</v>
      </c>
      <c r="Q1171" t="s">
        <v>192</v>
      </c>
    </row>
    <row r="1172" spans="1:17" ht="15" customHeight="1"/>
    <row r="1173" spans="1:17" ht="15" customHeight="1">
      <c r="B1173">
        <v>3000</v>
      </c>
    </row>
    <row r="1174" spans="1:17" ht="15" customHeight="1">
      <c r="B1174">
        <v>100</v>
      </c>
      <c r="C1174">
        <v>100</v>
      </c>
      <c r="G1174" t="s">
        <v>279</v>
      </c>
    </row>
    <row r="1175" spans="1:17" ht="15" customHeight="1">
      <c r="L1175">
        <v>10</v>
      </c>
      <c r="P1175">
        <f>ROUNDDOWN(dhTextEvaluate(L1175),2)</f>
        <v>10</v>
      </c>
      <c r="Q1175" t="s">
        <v>196</v>
      </c>
    </row>
    <row r="1176" spans="1:17" ht="15" customHeight="1">
      <c r="B1176">
        <v>1800</v>
      </c>
      <c r="G1176" t="s">
        <v>280</v>
      </c>
      <c r="J1176" t="s">
        <v>281</v>
      </c>
    </row>
    <row r="1177" spans="1:17" ht="15" customHeight="1">
      <c r="B1177">
        <v>100</v>
      </c>
      <c r="C1177">
        <v>100</v>
      </c>
      <c r="L1177">
        <f>2.4*4+0.7*4+1.8*4+2.4*3*4+0.7*3*4+1.8*3*4</f>
        <v>78.399999999999991</v>
      </c>
      <c r="M1177" s="187" t="s">
        <v>285</v>
      </c>
      <c r="P1177">
        <f>INT(L1177*1.56)</f>
        <v>122</v>
      </c>
      <c r="Q1177" t="s">
        <v>286</v>
      </c>
    </row>
    <row r="1178" spans="1:17" ht="15" customHeight="1">
      <c r="G1178" t="s">
        <v>287</v>
      </c>
    </row>
    <row r="1179" spans="1:17" ht="15" customHeight="1">
      <c r="L1179">
        <v>5</v>
      </c>
      <c r="P1179">
        <f>ROUNDDOWN(dhTextEvaluate(L1179),2)</f>
        <v>5</v>
      </c>
      <c r="Q1179" t="s">
        <v>196</v>
      </c>
    </row>
    <row r="1180" spans="1:17" ht="15" customHeight="1">
      <c r="B1180">
        <f>B1173+B1174+C1174</f>
        <v>3200</v>
      </c>
      <c r="G1180" t="s">
        <v>288</v>
      </c>
    </row>
    <row r="1181" spans="1:17" ht="15" customHeight="1">
      <c r="L1181">
        <v>1</v>
      </c>
      <c r="P1181">
        <f>ROUNDDOWN(dhTextEvaluate(L1181),2)</f>
        <v>1</v>
      </c>
      <c r="Q1181" t="s">
        <v>158</v>
      </c>
    </row>
    <row r="1182" spans="1:17" ht="15" customHeight="1"/>
    <row r="1183" spans="1:17" ht="15" customHeight="1"/>
    <row r="1184" spans="1:17" ht="15" customHeight="1"/>
    <row r="1185" spans="1:17" ht="24.95" customHeight="1">
      <c r="A1185" t="s">
        <v>289</v>
      </c>
      <c r="G1185" t="s">
        <v>158</v>
      </c>
    </row>
    <row r="1186" spans="1:17" ht="15" customHeight="1">
      <c r="C1186" t="s">
        <v>290</v>
      </c>
      <c r="I1186" t="s">
        <v>159</v>
      </c>
      <c r="J1186" t="s">
        <v>160</v>
      </c>
      <c r="K1186" t="s">
        <v>161</v>
      </c>
      <c r="L1186" t="s">
        <v>162</v>
      </c>
      <c r="M1186" s="187" t="s">
        <v>163</v>
      </c>
      <c r="P1186" t="s">
        <v>164</v>
      </c>
    </row>
    <row r="1187" spans="1:17" ht="15" customHeight="1">
      <c r="G1187" t="s">
        <v>165</v>
      </c>
      <c r="H1187" t="s">
        <v>166</v>
      </c>
    </row>
    <row r="1188" spans="1:17" ht="15" customHeight="1">
      <c r="B1188">
        <f>B1207+(0.3*E1198)*2</f>
        <v>3980</v>
      </c>
      <c r="G1188" t="s">
        <v>167</v>
      </c>
      <c r="H1188">
        <f>B1188/1000</f>
        <v>3.98</v>
      </c>
      <c r="K1188" t="s">
        <v>168</v>
      </c>
      <c r="L1188">
        <f>B1207/1000</f>
        <v>2.9</v>
      </c>
      <c r="N1188" t="s">
        <v>169</v>
      </c>
      <c r="O1188">
        <f>E1198/1000</f>
        <v>1.8</v>
      </c>
    </row>
    <row r="1189" spans="1:17" ht="15" customHeight="1">
      <c r="G1189" t="s">
        <v>170</v>
      </c>
      <c r="H1189">
        <f>B1188/1000</f>
        <v>3.98</v>
      </c>
      <c r="K1189" t="s">
        <v>171</v>
      </c>
      <c r="L1189">
        <f>B1207/1000</f>
        <v>2.9</v>
      </c>
    </row>
    <row r="1190" spans="1:17" ht="15" customHeight="1">
      <c r="B1190">
        <v>1200</v>
      </c>
      <c r="G1190" t="s">
        <v>172</v>
      </c>
      <c r="P1190">
        <f>ROUNDDOWN(O1188/6*((2*H1188+L1188)*H1189+(2*L1188+H1188)*L1189),2)</f>
        <v>21.47</v>
      </c>
      <c r="Q1190" t="s">
        <v>91</v>
      </c>
    </row>
    <row r="1191" spans="1:17" ht="15" customHeight="1">
      <c r="G1191" t="s">
        <v>173</v>
      </c>
      <c r="H1191" t="s">
        <v>291</v>
      </c>
    </row>
    <row r="1192" spans="1:17" ht="15" customHeight="1">
      <c r="G1192" t="s">
        <v>167</v>
      </c>
      <c r="H1192">
        <f>B1190/1000</f>
        <v>1.2</v>
      </c>
      <c r="I1192" t="s">
        <v>168</v>
      </c>
      <c r="J1192">
        <f>B1193/1000</f>
        <v>0.7</v>
      </c>
      <c r="L1192" t="s">
        <v>170</v>
      </c>
      <c r="M1192" s="187">
        <f>B1190/1000</f>
        <v>1.2</v>
      </c>
      <c r="N1192" t="s">
        <v>171</v>
      </c>
      <c r="O1192">
        <f>B1193/1000</f>
        <v>0.7</v>
      </c>
    </row>
    <row r="1193" spans="1:17" ht="15" customHeight="1">
      <c r="B1193">
        <v>700</v>
      </c>
      <c r="G1193" t="s">
        <v>169</v>
      </c>
      <c r="H1193">
        <f>D1200/1000</f>
        <v>0.2</v>
      </c>
      <c r="J1193" t="s">
        <v>292</v>
      </c>
      <c r="K1193">
        <f>B1205/1000</f>
        <v>2.4</v>
      </c>
      <c r="L1193" t="s">
        <v>293</v>
      </c>
      <c r="M1193" s="187">
        <f>B1205/1000</f>
        <v>2.4</v>
      </c>
      <c r="N1193" t="s">
        <v>294</v>
      </c>
      <c r="O1193">
        <f>D1203/1000</f>
        <v>1.6</v>
      </c>
    </row>
    <row r="1194" spans="1:17" ht="15" customHeight="1">
      <c r="P1194">
        <f>ROUNDDOWN(H1193/6*((2*H1192+J1192)*M1192+(2*J1192+H1192)*O1192)+(K1193*M1193*O1193),2)</f>
        <v>9.4</v>
      </c>
      <c r="Q1194" t="s">
        <v>91</v>
      </c>
    </row>
    <row r="1195" spans="1:17" ht="15" customHeight="1">
      <c r="G1195" t="s">
        <v>295</v>
      </c>
      <c r="I1195" t="s">
        <v>296</v>
      </c>
      <c r="J1195" t="s">
        <v>297</v>
      </c>
      <c r="K1195" t="s">
        <v>298</v>
      </c>
    </row>
    <row r="1196" spans="1:17" ht="15" customHeight="1">
      <c r="P1196">
        <f>ROUNDDOWN(P1190-P1194,2)</f>
        <v>12.07</v>
      </c>
      <c r="Q1196" t="s">
        <v>91</v>
      </c>
    </row>
    <row r="1197" spans="1:17" ht="15" customHeight="1">
      <c r="G1197" t="s">
        <v>183</v>
      </c>
      <c r="I1197" t="s">
        <v>299</v>
      </c>
      <c r="J1197" t="s">
        <v>207</v>
      </c>
    </row>
    <row r="1198" spans="1:17" ht="15" customHeight="1">
      <c r="A1198" t="s">
        <v>201</v>
      </c>
      <c r="E1198">
        <f>D1203+D1200</f>
        <v>1800</v>
      </c>
      <c r="P1198">
        <f>P1190-P1196</f>
        <v>9.3999999999999986</v>
      </c>
      <c r="Q1198" t="s">
        <v>91</v>
      </c>
    </row>
    <row r="1199" spans="1:17" ht="15" customHeight="1">
      <c r="G1199" t="s">
        <v>277</v>
      </c>
    </row>
    <row r="1200" spans="1:17" ht="15" customHeight="1">
      <c r="D1200">
        <v>200</v>
      </c>
      <c r="G1200" t="s">
        <v>300</v>
      </c>
      <c r="P1200">
        <f>(2*2.3*4)+(1+1.2)/2*4</f>
        <v>22.799999999999997</v>
      </c>
      <c r="Q1200" t="s">
        <v>192</v>
      </c>
    </row>
    <row r="1201" spans="1:17" ht="15" customHeight="1">
      <c r="G1201" t="s">
        <v>193</v>
      </c>
      <c r="H1201" t="s">
        <v>301</v>
      </c>
      <c r="J1201" t="s">
        <v>302</v>
      </c>
    </row>
    <row r="1202" spans="1:17" ht="15" customHeight="1">
      <c r="P1202">
        <v>8</v>
      </c>
      <c r="Q1202" t="s">
        <v>195</v>
      </c>
    </row>
    <row r="1203" spans="1:17" ht="15" customHeight="1">
      <c r="D1203">
        <v>1600</v>
      </c>
      <c r="G1203" t="s">
        <v>303</v>
      </c>
    </row>
    <row r="1204" spans="1:17" ht="15" customHeight="1">
      <c r="A1204">
        <v>250</v>
      </c>
      <c r="L1204">
        <v>3</v>
      </c>
      <c r="P1204">
        <f>L1204</f>
        <v>3</v>
      </c>
      <c r="Q1204" t="s">
        <v>196</v>
      </c>
    </row>
    <row r="1205" spans="1:17" ht="15" customHeight="1">
      <c r="B1205">
        <v>2400</v>
      </c>
      <c r="G1205" t="s">
        <v>304</v>
      </c>
    </row>
    <row r="1206" spans="1:17" ht="15" customHeight="1">
      <c r="L1206">
        <v>1</v>
      </c>
      <c r="P1206">
        <f>L1206</f>
        <v>1</v>
      </c>
      <c r="Q1206" t="s">
        <v>158</v>
      </c>
    </row>
    <row r="1207" spans="1:17" ht="15" customHeight="1">
      <c r="B1207">
        <f>A1204+B1205+D1208</f>
        <v>2900</v>
      </c>
      <c r="G1207" t="s">
        <v>305</v>
      </c>
    </row>
    <row r="1208" spans="1:17" ht="15" customHeight="1">
      <c r="D1208">
        <v>250</v>
      </c>
      <c r="L1208">
        <v>1</v>
      </c>
      <c r="P1208">
        <f>L1208</f>
        <v>1</v>
      </c>
      <c r="Q1208" t="s">
        <v>196</v>
      </c>
    </row>
    <row r="1209" spans="1:17" ht="15" customHeight="1">
      <c r="G1209" t="s">
        <v>306</v>
      </c>
      <c r="J1209" t="s">
        <v>281</v>
      </c>
    </row>
    <row r="1210" spans="1:17" ht="15" customHeight="1">
      <c r="L1210">
        <f>2.4*4+0.7*4+1.8*4+2.4*3*4+0.7*3*4+1.8*3*4</f>
        <v>78.399999999999991</v>
      </c>
      <c r="M1210" s="187" t="s">
        <v>285</v>
      </c>
      <c r="P1210">
        <f>INT(L1210*1.56)</f>
        <v>122</v>
      </c>
      <c r="Q1210" t="s">
        <v>286</v>
      </c>
    </row>
    <row r="1211" spans="1:17" ht="15" customHeight="1"/>
    <row r="1212" spans="1:17" ht="15" customHeight="1"/>
    <row r="1213" spans="1:17" ht="15" customHeight="1"/>
    <row r="1214" spans="1:17" ht="15" customHeight="1"/>
    <row r="1215" spans="1:17" ht="15" customHeight="1"/>
    <row r="1216" spans="1:17" ht="15" customHeight="1"/>
    <row r="1217" spans="1:17" ht="24.95" customHeight="1">
      <c r="A1217" t="e">
        <f>A929+1</f>
        <v>#VALUE!</v>
      </c>
      <c r="G1217" t="s">
        <v>158</v>
      </c>
    </row>
    <row r="1218" spans="1:17" ht="15" customHeight="1">
      <c r="C1218" t="s">
        <v>307</v>
      </c>
      <c r="I1218" t="s">
        <v>159</v>
      </c>
      <c r="J1218" t="s">
        <v>160</v>
      </c>
      <c r="K1218" t="s">
        <v>161</v>
      </c>
      <c r="L1218" t="s">
        <v>162</v>
      </c>
      <c r="M1218" s="187" t="s">
        <v>163</v>
      </c>
      <c r="P1218" t="s">
        <v>164</v>
      </c>
    </row>
    <row r="1219" spans="1:17" ht="15" customHeight="1">
      <c r="G1219" t="s">
        <v>165</v>
      </c>
      <c r="I1219" t="s">
        <v>166</v>
      </c>
    </row>
    <row r="1220" spans="1:17" ht="15" customHeight="1">
      <c r="G1220" t="s">
        <v>167</v>
      </c>
      <c r="H1220">
        <f>B1223/1000</f>
        <v>1.1599999999999999</v>
      </c>
      <c r="K1220" t="s">
        <v>168</v>
      </c>
      <c r="L1220">
        <f>B1239/1000</f>
        <v>0.8</v>
      </c>
      <c r="N1220" t="s">
        <v>169</v>
      </c>
      <c r="O1220">
        <f>D1234/1000</f>
        <v>0.6</v>
      </c>
    </row>
    <row r="1221" spans="1:17" ht="15" customHeight="1">
      <c r="D1221" t="s">
        <v>308</v>
      </c>
      <c r="G1221" t="s">
        <v>170</v>
      </c>
      <c r="H1221">
        <f>B1223/1000</f>
        <v>1.1599999999999999</v>
      </c>
      <c r="K1221" t="s">
        <v>171</v>
      </c>
      <c r="L1221">
        <f>B1239/1000</f>
        <v>0.8</v>
      </c>
    </row>
    <row r="1222" spans="1:17" ht="15" customHeight="1">
      <c r="G1222" t="s">
        <v>172</v>
      </c>
      <c r="P1222">
        <f>ROUNDDOWN(O1220/6*((2*H1220+L1220)*H1221+(2*L1220+H1220)*L1221),2)</f>
        <v>0.57999999999999996</v>
      </c>
      <c r="Q1222" t="s">
        <v>91</v>
      </c>
    </row>
    <row r="1223" spans="1:17" ht="15" customHeight="1">
      <c r="B1223">
        <f>B1239+(0.3*D1234)*2</f>
        <v>1160</v>
      </c>
      <c r="G1223" t="s">
        <v>220</v>
      </c>
      <c r="I1223" t="s">
        <v>309</v>
      </c>
      <c r="J1223" t="s">
        <v>180</v>
      </c>
      <c r="K1223" t="s">
        <v>310</v>
      </c>
    </row>
    <row r="1224" spans="1:17" ht="15" customHeight="1">
      <c r="P1224">
        <f>ROUNDDOWN(P1222-((B1236/1000)^2*(D1234/1000)),2)</f>
        <v>0.36</v>
      </c>
      <c r="Q1224" t="s">
        <v>91</v>
      </c>
    </row>
    <row r="1225" spans="1:17" ht="15" customHeight="1">
      <c r="G1225" t="s">
        <v>221</v>
      </c>
      <c r="I1225" t="s">
        <v>296</v>
      </c>
      <c r="J1225" t="s">
        <v>180</v>
      </c>
      <c r="K1225" t="s">
        <v>207</v>
      </c>
    </row>
    <row r="1226" spans="1:17" ht="15" customHeight="1">
      <c r="P1226">
        <f>P1222-P1224</f>
        <v>0.21999999999999997</v>
      </c>
      <c r="Q1226" t="s">
        <v>91</v>
      </c>
    </row>
    <row r="1227" spans="1:17" ht="15" customHeight="1">
      <c r="G1227" t="s">
        <v>311</v>
      </c>
    </row>
    <row r="1228" spans="1:17" ht="15" customHeight="1">
      <c r="P1228">
        <v>1</v>
      </c>
      <c r="Q1228" t="s">
        <v>195</v>
      </c>
    </row>
    <row r="1229" spans="1:17" ht="15" customHeight="1"/>
    <row r="1230" spans="1:17" ht="15" customHeight="1">
      <c r="A1230" t="s">
        <v>312</v>
      </c>
    </row>
    <row r="1231" spans="1:17" ht="15" customHeight="1"/>
    <row r="1232" spans="1:17" ht="15" customHeight="1"/>
    <row r="1233" spans="2:4" ht="15" customHeight="1"/>
    <row r="1234" spans="2:4" ht="15" customHeight="1">
      <c r="D1234">
        <v>600</v>
      </c>
    </row>
    <row r="1235" spans="2:4" ht="15" customHeight="1"/>
    <row r="1236" spans="2:4" ht="15" customHeight="1">
      <c r="B1236">
        <v>600</v>
      </c>
    </row>
    <row r="1237" spans="2:4" ht="15" customHeight="1">
      <c r="B1237">
        <v>100</v>
      </c>
      <c r="C1237">
        <v>100</v>
      </c>
    </row>
    <row r="1238" spans="2:4" ht="15" customHeight="1"/>
    <row r="1239" spans="2:4" ht="15" customHeight="1">
      <c r="B1239">
        <f>B1236+B1237+C1237</f>
        <v>800</v>
      </c>
    </row>
    <row r="1240" spans="2:4" ht="15" customHeight="1"/>
    <row r="1241" spans="2:4" ht="15" customHeight="1"/>
    <row r="1242" spans="2:4" ht="15" customHeight="1"/>
    <row r="1243" spans="2:4" ht="15" customHeight="1"/>
    <row r="1244" spans="2:4" ht="15" customHeight="1"/>
    <row r="1245" spans="2:4" ht="15" customHeight="1"/>
    <row r="1246" spans="2:4" ht="15" customHeight="1"/>
    <row r="1247" spans="2:4" ht="15" customHeight="1"/>
    <row r="1248" spans="2:4" ht="15" customHeight="1"/>
    <row r="1249" spans="1:17" ht="24.95" hidden="1" customHeight="1">
      <c r="A1249" t="s">
        <v>313</v>
      </c>
      <c r="H1249" t="s">
        <v>158</v>
      </c>
      <c r="I1249" t="s">
        <v>316</v>
      </c>
    </row>
    <row r="1250" spans="1:17" ht="15" hidden="1" customHeight="1">
      <c r="B1250" t="s">
        <v>314</v>
      </c>
      <c r="I1250" t="s">
        <v>159</v>
      </c>
      <c r="J1250" t="s">
        <v>160</v>
      </c>
      <c r="K1250" t="s">
        <v>161</v>
      </c>
      <c r="L1250" t="s">
        <v>162</v>
      </c>
      <c r="M1250" s="187" t="s">
        <v>163</v>
      </c>
      <c r="P1250" t="s">
        <v>164</v>
      </c>
    </row>
    <row r="1251" spans="1:17" ht="15" hidden="1" customHeight="1">
      <c r="G1251" t="s">
        <v>165</v>
      </c>
      <c r="I1251" t="s">
        <v>166</v>
      </c>
    </row>
    <row r="1252" spans="1:17" ht="15" hidden="1" customHeight="1">
      <c r="G1252" t="s">
        <v>167</v>
      </c>
      <c r="H1252">
        <f>B1255/1000</f>
        <v>0.74</v>
      </c>
      <c r="K1252" t="s">
        <v>168</v>
      </c>
      <c r="L1252">
        <f>B1253/1000</f>
        <v>1.34</v>
      </c>
      <c r="N1252" t="s">
        <v>169</v>
      </c>
      <c r="O1252">
        <f>(D1266+D1268)/1000</f>
        <v>0.4</v>
      </c>
    </row>
    <row r="1253" spans="1:17" ht="15" hidden="1" customHeight="1">
      <c r="B1253">
        <f>B1277+(0.3*(D1268)*2)</f>
        <v>1340</v>
      </c>
      <c r="D1253" t="s">
        <v>315</v>
      </c>
      <c r="G1253" t="s">
        <v>170</v>
      </c>
      <c r="H1253">
        <f>B1275/1000</f>
        <v>0.5</v>
      </c>
      <c r="K1253" t="s">
        <v>171</v>
      </c>
      <c r="L1253">
        <f>B1277/1000</f>
        <v>1.1000000000000001</v>
      </c>
    </row>
    <row r="1254" spans="1:17" ht="15" hidden="1" customHeight="1">
      <c r="G1254" t="s">
        <v>172</v>
      </c>
      <c r="P1254">
        <f>ROUNDDOWN(O1252/6*((2*H1252+L1252)*H1253+(2*L1252+H1252)*L1253),2)</f>
        <v>0.34</v>
      </c>
      <c r="Q1254" t="s">
        <v>91</v>
      </c>
    </row>
    <row r="1255" spans="1:17" ht="15" hidden="1" customHeight="1">
      <c r="B1255">
        <f>B1275+(0.3*(D1268)*2)</f>
        <v>740</v>
      </c>
      <c r="G1255" t="s">
        <v>173</v>
      </c>
      <c r="I1255" t="s">
        <v>174</v>
      </c>
      <c r="K1255" t="s">
        <v>317</v>
      </c>
    </row>
    <row r="1256" spans="1:17" ht="15" hidden="1" customHeight="1">
      <c r="B1256">
        <v>300</v>
      </c>
      <c r="G1256" t="s">
        <v>167</v>
      </c>
      <c r="H1256">
        <f>B1256/1000</f>
        <v>0.3</v>
      </c>
      <c r="K1256" t="s">
        <v>168</v>
      </c>
      <c r="L1256">
        <f>B1270/1000</f>
        <v>0.3</v>
      </c>
      <c r="N1256" t="s">
        <v>169</v>
      </c>
      <c r="O1256">
        <f>D1268/1000</f>
        <v>0.4</v>
      </c>
      <c r="P1256">
        <f>ROUNDDOWN(H1256*L1256*O1256,2)</f>
        <v>0.03</v>
      </c>
      <c r="Q1256" t="s">
        <v>175</v>
      </c>
    </row>
    <row r="1257" spans="1:17" ht="15" hidden="1" customHeight="1">
      <c r="G1257" t="s">
        <v>167</v>
      </c>
      <c r="H1257">
        <f>B1256/1000</f>
        <v>0.3</v>
      </c>
      <c r="K1257" t="s">
        <v>168</v>
      </c>
      <c r="L1257">
        <f>B1270/1000</f>
        <v>0.3</v>
      </c>
      <c r="N1257" t="s">
        <v>169</v>
      </c>
      <c r="O1257">
        <f>D1264/1000</f>
        <v>0.4</v>
      </c>
      <c r="P1257">
        <f>ROUNDDOWN(H1257*L1257*O1257,2)</f>
        <v>0.03</v>
      </c>
      <c r="Q1257" t="s">
        <v>176</v>
      </c>
    </row>
    <row r="1258" spans="1:17" ht="15" hidden="1" customHeight="1"/>
    <row r="1259" spans="1:17" ht="15" hidden="1" customHeight="1"/>
    <row r="1260" spans="1:17" ht="15" hidden="1" customHeight="1">
      <c r="G1260" t="s">
        <v>177</v>
      </c>
      <c r="P1260">
        <f>SUM(P1256:P1259)</f>
        <v>0.06</v>
      </c>
      <c r="Q1260" t="s">
        <v>91</v>
      </c>
    </row>
    <row r="1261" spans="1:17" ht="15" hidden="1" customHeight="1">
      <c r="G1261" t="s">
        <v>178</v>
      </c>
      <c r="I1261" t="s">
        <v>179</v>
      </c>
      <c r="J1261" t="s">
        <v>180</v>
      </c>
      <c r="K1261" t="s">
        <v>181</v>
      </c>
    </row>
    <row r="1262" spans="1:17" ht="15" hidden="1" customHeight="1">
      <c r="I1262" t="s">
        <v>179</v>
      </c>
      <c r="J1262">
        <f>P1254</f>
        <v>0.34</v>
      </c>
      <c r="K1262" t="s">
        <v>182</v>
      </c>
      <c r="L1262">
        <f>P1264</f>
        <v>0.03</v>
      </c>
      <c r="P1262">
        <f>ROUNDDOWN(J1262-L1262,2)</f>
        <v>0.31</v>
      </c>
      <c r="Q1262" t="s">
        <v>91</v>
      </c>
    </row>
    <row r="1263" spans="1:17" ht="15" hidden="1" customHeight="1">
      <c r="G1263" t="s">
        <v>183</v>
      </c>
      <c r="I1263" t="s">
        <v>184</v>
      </c>
      <c r="K1263" t="s">
        <v>185</v>
      </c>
    </row>
    <row r="1264" spans="1:17" ht="15" hidden="1" customHeight="1">
      <c r="A1264" t="s">
        <v>312</v>
      </c>
      <c r="D1264">
        <v>400</v>
      </c>
      <c r="E1264">
        <f>D1264+D1266+D1268</f>
        <v>800</v>
      </c>
      <c r="I1264" t="s">
        <v>184</v>
      </c>
      <c r="L1264">
        <f>P1256</f>
        <v>0.03</v>
      </c>
      <c r="P1264">
        <f>ROUNDDOWN(L1264+N1264,2)</f>
        <v>0.03</v>
      </c>
      <c r="Q1264" t="s">
        <v>91</v>
      </c>
    </row>
    <row r="1265" spans="2:17" ht="15" hidden="1" customHeight="1">
      <c r="G1265" t="s">
        <v>318</v>
      </c>
    </row>
    <row r="1266" spans="2:17" ht="15" hidden="1" customHeight="1">
      <c r="H1266" t="s">
        <v>319</v>
      </c>
      <c r="P1266">
        <f>(dhTextEvaluate(H1266))</f>
        <v>1.9200000000000002</v>
      </c>
      <c r="Q1266" t="s">
        <v>192</v>
      </c>
    </row>
    <row r="1267" spans="2:17" ht="15" hidden="1" customHeight="1"/>
    <row r="1268" spans="2:17" ht="15" hidden="1" customHeight="1">
      <c r="D1268">
        <v>400</v>
      </c>
    </row>
    <row r="1269" spans="2:17" ht="15" hidden="1" customHeight="1"/>
    <row r="1270" spans="2:17" ht="15" hidden="1" customHeight="1">
      <c r="B1270">
        <v>300</v>
      </c>
    </row>
    <row r="1271" spans="2:17" ht="15" hidden="1" customHeight="1">
      <c r="B1271">
        <v>100</v>
      </c>
      <c r="C1271">
        <v>100</v>
      </c>
      <c r="G1271" t="s">
        <v>193</v>
      </c>
      <c r="I1271" t="s">
        <v>320</v>
      </c>
    </row>
    <row r="1272" spans="2:17" ht="15" hidden="1" customHeight="1">
      <c r="B1272">
        <v>900</v>
      </c>
      <c r="P1272">
        <v>4</v>
      </c>
      <c r="Q1272" t="s">
        <v>195</v>
      </c>
    </row>
    <row r="1273" spans="2:17" ht="15" hidden="1" customHeight="1">
      <c r="B1273">
        <v>100</v>
      </c>
      <c r="C1273">
        <v>100</v>
      </c>
      <c r="G1273" t="s">
        <v>321</v>
      </c>
    </row>
    <row r="1274" spans="2:17" ht="15" hidden="1" customHeight="1">
      <c r="L1274">
        <v>10</v>
      </c>
      <c r="P1274">
        <f>L1274</f>
        <v>10</v>
      </c>
      <c r="Q1274" t="s">
        <v>196</v>
      </c>
    </row>
    <row r="1275" spans="2:17" ht="15" hidden="1" customHeight="1">
      <c r="B1275">
        <f>B1271+B1270+C1271</f>
        <v>500</v>
      </c>
      <c r="G1275" t="s">
        <v>322</v>
      </c>
    </row>
    <row r="1276" spans="2:17" ht="15" hidden="1" customHeight="1">
      <c r="L1276">
        <v>15</v>
      </c>
      <c r="P1276">
        <f>L1276</f>
        <v>15</v>
      </c>
      <c r="Q1276" t="s">
        <v>196</v>
      </c>
    </row>
    <row r="1277" spans="2:17" ht="15" hidden="1" customHeight="1">
      <c r="B1277">
        <f>B1273+B1272+C1273</f>
        <v>1100</v>
      </c>
      <c r="G1277" t="s">
        <v>323</v>
      </c>
    </row>
    <row r="1278" spans="2:17" ht="15" hidden="1" customHeight="1">
      <c r="L1278">
        <v>1</v>
      </c>
      <c r="P1278">
        <f>L1278</f>
        <v>1</v>
      </c>
      <c r="Q1278" t="s">
        <v>158</v>
      </c>
    </row>
    <row r="1279" spans="2:17" ht="15" hidden="1" customHeight="1"/>
    <row r="1280" spans="2:17" ht="15" hidden="1" customHeight="1" thickBot="1"/>
    <row r="1281" spans="1:17" ht="24.95" hidden="1" customHeight="1">
      <c r="A1281" t="s">
        <v>313</v>
      </c>
      <c r="H1281" t="s">
        <v>158</v>
      </c>
      <c r="I1281" t="s">
        <v>325</v>
      </c>
    </row>
    <row r="1282" spans="1:17" ht="15" hidden="1" customHeight="1">
      <c r="B1282" t="s">
        <v>314</v>
      </c>
      <c r="I1282" t="s">
        <v>159</v>
      </c>
      <c r="J1282" t="s">
        <v>160</v>
      </c>
      <c r="K1282" t="s">
        <v>161</v>
      </c>
      <c r="L1282" t="s">
        <v>162</v>
      </c>
      <c r="M1282" s="187" t="s">
        <v>163</v>
      </c>
      <c r="P1282" t="s">
        <v>164</v>
      </c>
    </row>
    <row r="1283" spans="1:17" ht="15" hidden="1" customHeight="1">
      <c r="G1283" t="s">
        <v>165</v>
      </c>
      <c r="I1283" t="s">
        <v>166</v>
      </c>
    </row>
    <row r="1284" spans="1:17" ht="15" hidden="1" customHeight="1">
      <c r="G1284" t="s">
        <v>167</v>
      </c>
      <c r="H1284">
        <f>B1287/1000</f>
        <v>1.24</v>
      </c>
      <c r="K1284" t="s">
        <v>168</v>
      </c>
      <c r="L1284">
        <f>B1285/1000</f>
        <v>0.84</v>
      </c>
      <c r="N1284" t="s">
        <v>169</v>
      </c>
      <c r="O1284">
        <f>(D1298+D1300)/1000</f>
        <v>0.4</v>
      </c>
    </row>
    <row r="1285" spans="1:17" ht="15" hidden="1" customHeight="1">
      <c r="B1285">
        <f>B1309+(0.3*(D1300)*2)</f>
        <v>840</v>
      </c>
      <c r="D1285" t="s">
        <v>324</v>
      </c>
      <c r="G1285" t="s">
        <v>170</v>
      </c>
      <c r="H1285">
        <f>B1307/1000</f>
        <v>1</v>
      </c>
      <c r="K1285" t="s">
        <v>171</v>
      </c>
      <c r="L1285">
        <f>B1309/1000</f>
        <v>0.6</v>
      </c>
    </row>
    <row r="1286" spans="1:17" ht="15" hidden="1" customHeight="1">
      <c r="G1286" t="s">
        <v>172</v>
      </c>
      <c r="P1286">
        <f>ROUNDDOWN(O1284/6*((2*H1284+L1284)*H1285+(2*L1284+H1284)*L1285),2)</f>
        <v>0.33</v>
      </c>
      <c r="Q1286" t="s">
        <v>91</v>
      </c>
    </row>
    <row r="1287" spans="1:17" ht="15" hidden="1" customHeight="1">
      <c r="B1287">
        <f>B1307+(0.3*(D1300)*2)</f>
        <v>1240</v>
      </c>
      <c r="G1287" t="s">
        <v>173</v>
      </c>
      <c r="I1287" t="s">
        <v>174</v>
      </c>
      <c r="K1287" t="s">
        <v>317</v>
      </c>
    </row>
    <row r="1288" spans="1:17" ht="15" hidden="1" customHeight="1">
      <c r="B1288">
        <v>400</v>
      </c>
      <c r="G1288" t="s">
        <v>167</v>
      </c>
      <c r="H1288">
        <f>B1288/1000</f>
        <v>0.4</v>
      </c>
      <c r="K1288" t="s">
        <v>168</v>
      </c>
      <c r="L1288">
        <f>B1302/1000</f>
        <v>0.8</v>
      </c>
      <c r="N1288" t="s">
        <v>169</v>
      </c>
      <c r="O1288">
        <f>D1300/1000</f>
        <v>0.4</v>
      </c>
      <c r="P1288">
        <f>ROUNDDOWN(H1288*L1288*O1288,2)</f>
        <v>0.12</v>
      </c>
      <c r="Q1288" t="s">
        <v>175</v>
      </c>
    </row>
    <row r="1289" spans="1:17" ht="15" hidden="1" customHeight="1">
      <c r="G1289" t="s">
        <v>167</v>
      </c>
      <c r="H1289">
        <f>B1288/1000</f>
        <v>0.4</v>
      </c>
      <c r="K1289" t="s">
        <v>168</v>
      </c>
      <c r="L1289">
        <f>B1302/1000</f>
        <v>0.8</v>
      </c>
      <c r="N1289" t="s">
        <v>169</v>
      </c>
      <c r="O1289">
        <f>D1296/1000</f>
        <v>0.4</v>
      </c>
      <c r="P1289">
        <f>ROUNDDOWN(H1289*L1289*O1289,2)</f>
        <v>0.12</v>
      </c>
      <c r="Q1289" t="s">
        <v>176</v>
      </c>
    </row>
    <row r="1290" spans="1:17" ht="15" hidden="1" customHeight="1"/>
    <row r="1291" spans="1:17" ht="15" hidden="1" customHeight="1"/>
    <row r="1292" spans="1:17" ht="15" hidden="1" customHeight="1">
      <c r="G1292" t="s">
        <v>177</v>
      </c>
      <c r="P1292">
        <f>SUM(P1288:P1291)</f>
        <v>0.24</v>
      </c>
      <c r="Q1292" t="s">
        <v>91</v>
      </c>
    </row>
    <row r="1293" spans="1:17" ht="15" hidden="1" customHeight="1">
      <c r="G1293" t="s">
        <v>178</v>
      </c>
      <c r="I1293" t="s">
        <v>179</v>
      </c>
      <c r="J1293" t="s">
        <v>180</v>
      </c>
      <c r="K1293" t="s">
        <v>181</v>
      </c>
    </row>
    <row r="1294" spans="1:17" ht="15" hidden="1" customHeight="1">
      <c r="I1294" t="s">
        <v>179</v>
      </c>
      <c r="J1294">
        <f>P1286</f>
        <v>0.33</v>
      </c>
      <c r="K1294" t="s">
        <v>182</v>
      </c>
      <c r="L1294">
        <f>P1296</f>
        <v>0.12</v>
      </c>
      <c r="P1294">
        <f>ROUNDDOWN(J1294-L1294,2)</f>
        <v>0.21</v>
      </c>
      <c r="Q1294" t="s">
        <v>91</v>
      </c>
    </row>
    <row r="1295" spans="1:17" ht="15" hidden="1" customHeight="1">
      <c r="G1295" t="s">
        <v>183</v>
      </c>
      <c r="I1295" t="s">
        <v>184</v>
      </c>
      <c r="K1295" t="s">
        <v>185</v>
      </c>
    </row>
    <row r="1296" spans="1:17" ht="15" hidden="1" customHeight="1">
      <c r="A1296" t="s">
        <v>312</v>
      </c>
      <c r="D1296">
        <v>400</v>
      </c>
      <c r="E1296">
        <f>D1296+D1298+D1300</f>
        <v>800</v>
      </c>
      <c r="I1296" t="s">
        <v>184</v>
      </c>
      <c r="L1296">
        <f>P1288</f>
        <v>0.12</v>
      </c>
      <c r="P1296">
        <f>ROUNDDOWN(L1296+N1296,2)</f>
        <v>0.12</v>
      </c>
      <c r="Q1296" t="s">
        <v>91</v>
      </c>
    </row>
    <row r="1297" spans="2:17" ht="15" hidden="1" customHeight="1">
      <c r="G1297" t="s">
        <v>318</v>
      </c>
    </row>
    <row r="1298" spans="2:17" ht="15" hidden="1" customHeight="1">
      <c r="G1298" t="s">
        <v>187</v>
      </c>
      <c r="H1298">
        <f>B1302/1000</f>
        <v>0.8</v>
      </c>
      <c r="I1298" t="s">
        <v>188</v>
      </c>
      <c r="J1298">
        <f>B1288/1000</f>
        <v>0.4</v>
      </c>
      <c r="K1298" t="s">
        <v>189</v>
      </c>
      <c r="L1298" t="s">
        <v>190</v>
      </c>
      <c r="M1298" s="187">
        <f>E1296/1000</f>
        <v>0.8</v>
      </c>
      <c r="N1298" t="s">
        <v>191</v>
      </c>
      <c r="O1298">
        <v>4</v>
      </c>
      <c r="P1298">
        <f>((H1298+J1298)/2*M1298)*O1298</f>
        <v>1.9200000000000004</v>
      </c>
      <c r="Q1298" t="s">
        <v>192</v>
      </c>
    </row>
    <row r="1299" spans="2:17" ht="15" hidden="1" customHeight="1"/>
    <row r="1300" spans="2:17" ht="15" hidden="1" customHeight="1">
      <c r="D1300">
        <v>400</v>
      </c>
    </row>
    <row r="1301" spans="2:17" ht="15" hidden="1" customHeight="1"/>
    <row r="1302" spans="2:17" ht="15" hidden="1" customHeight="1">
      <c r="B1302">
        <v>800</v>
      </c>
    </row>
    <row r="1303" spans="2:17" ht="15" hidden="1" customHeight="1">
      <c r="B1303">
        <v>100</v>
      </c>
      <c r="C1303">
        <v>100</v>
      </c>
      <c r="G1303" t="s">
        <v>193</v>
      </c>
      <c r="I1303" t="s">
        <v>320</v>
      </c>
    </row>
    <row r="1304" spans="2:17" ht="15" hidden="1" customHeight="1">
      <c r="B1304">
        <v>400</v>
      </c>
      <c r="P1304">
        <v>4</v>
      </c>
      <c r="Q1304" t="s">
        <v>195</v>
      </c>
    </row>
    <row r="1305" spans="2:17" ht="15" hidden="1" customHeight="1">
      <c r="B1305">
        <v>100</v>
      </c>
      <c r="C1305">
        <v>100</v>
      </c>
      <c r="G1305" t="s">
        <v>321</v>
      </c>
    </row>
    <row r="1306" spans="2:17" ht="15" hidden="1" customHeight="1">
      <c r="L1306">
        <v>10</v>
      </c>
      <c r="P1306">
        <f>L1306</f>
        <v>10</v>
      </c>
      <c r="Q1306" t="s">
        <v>196</v>
      </c>
    </row>
    <row r="1307" spans="2:17" ht="15" hidden="1" customHeight="1">
      <c r="B1307">
        <f>B1303+B1302+C1303</f>
        <v>1000</v>
      </c>
      <c r="G1307" t="s">
        <v>322</v>
      </c>
    </row>
    <row r="1308" spans="2:17" ht="15" hidden="1" customHeight="1">
      <c r="L1308">
        <v>15</v>
      </c>
      <c r="P1308">
        <f>L1308</f>
        <v>15</v>
      </c>
      <c r="Q1308" t="s">
        <v>196</v>
      </c>
    </row>
    <row r="1309" spans="2:17" ht="15" hidden="1" customHeight="1">
      <c r="B1309">
        <f>B1305+B1304+C1305</f>
        <v>600</v>
      </c>
      <c r="G1309" t="s">
        <v>323</v>
      </c>
    </row>
    <row r="1310" spans="2:17" ht="15" hidden="1" customHeight="1">
      <c r="L1310">
        <v>1</v>
      </c>
      <c r="P1310">
        <f>L1310</f>
        <v>1</v>
      </c>
      <c r="Q1310" t="s">
        <v>158</v>
      </c>
    </row>
    <row r="1311" spans="2:17" ht="15" hidden="1" customHeight="1"/>
    <row r="1312" spans="2:17" ht="15" hidden="1" customHeight="1" thickBot="1"/>
    <row r="1313" spans="1:17" ht="24.95" customHeight="1">
      <c r="A1313" t="s">
        <v>313</v>
      </c>
      <c r="H1313" t="s">
        <v>158</v>
      </c>
    </row>
    <row r="1314" spans="1:17" ht="15" customHeight="1">
      <c r="B1314" t="s">
        <v>326</v>
      </c>
      <c r="I1314" t="s">
        <v>159</v>
      </c>
      <c r="J1314" t="s">
        <v>160</v>
      </c>
      <c r="K1314" t="s">
        <v>161</v>
      </c>
      <c r="L1314" t="s">
        <v>162</v>
      </c>
      <c r="M1314" s="187" t="s">
        <v>163</v>
      </c>
      <c r="P1314" t="s">
        <v>164</v>
      </c>
    </row>
    <row r="1315" spans="1:17" ht="15" customHeight="1">
      <c r="G1315" t="s">
        <v>165</v>
      </c>
      <c r="I1315" t="s">
        <v>166</v>
      </c>
    </row>
    <row r="1316" spans="1:17" ht="15" customHeight="1">
      <c r="G1316" t="s">
        <v>167</v>
      </c>
      <c r="H1316">
        <f>B1319/1000</f>
        <v>0.96</v>
      </c>
      <c r="K1316" t="s">
        <v>168</v>
      </c>
      <c r="L1316">
        <f>B1317/1000</f>
        <v>1.06</v>
      </c>
      <c r="N1316" t="s">
        <v>169</v>
      </c>
      <c r="O1316">
        <f>(D1330+D1332)/1000</f>
        <v>0.6</v>
      </c>
    </row>
    <row r="1317" spans="1:17" ht="15" customHeight="1">
      <c r="B1317">
        <f>B1341+(0.3*(D1332)*2)</f>
        <v>1060</v>
      </c>
      <c r="D1317" t="s">
        <v>327</v>
      </c>
      <c r="G1317" t="s">
        <v>170</v>
      </c>
      <c r="H1317">
        <f>B1339/1000</f>
        <v>0.6</v>
      </c>
      <c r="K1317" t="s">
        <v>171</v>
      </c>
      <c r="L1317">
        <f>B1341/1000</f>
        <v>0.7</v>
      </c>
    </row>
    <row r="1318" spans="1:17" ht="15" customHeight="1">
      <c r="G1318" t="s">
        <v>172</v>
      </c>
      <c r="P1318">
        <f>ROUNDDOWN(O1316/6*((2*H1316+L1316)*H1317+(2*L1316+H1316)*L1317),2)</f>
        <v>0.39</v>
      </c>
      <c r="Q1318" t="s">
        <v>91</v>
      </c>
    </row>
    <row r="1319" spans="1:17" ht="15" customHeight="1">
      <c r="B1319">
        <f>B1339+(0.3*(D1332)*2)</f>
        <v>960</v>
      </c>
      <c r="G1319" t="s">
        <v>173</v>
      </c>
      <c r="I1319" t="s">
        <v>174</v>
      </c>
      <c r="K1319" t="s">
        <v>317</v>
      </c>
    </row>
    <row r="1320" spans="1:17" ht="15" customHeight="1">
      <c r="B1320">
        <v>500</v>
      </c>
      <c r="G1320" t="s">
        <v>167</v>
      </c>
      <c r="H1320">
        <f>B1320/1000</f>
        <v>0.5</v>
      </c>
      <c r="K1320" t="s">
        <v>168</v>
      </c>
      <c r="L1320">
        <f>B1334/1000</f>
        <v>0.4</v>
      </c>
      <c r="N1320" t="s">
        <v>169</v>
      </c>
      <c r="O1320">
        <f>D1332/1000</f>
        <v>0.6</v>
      </c>
      <c r="P1320">
        <f>ROUNDDOWN(H1320*L1320*O1320,2)</f>
        <v>0.12</v>
      </c>
      <c r="Q1320" t="s">
        <v>175</v>
      </c>
    </row>
    <row r="1321" spans="1:17" ht="15" customHeight="1">
      <c r="G1321" t="s">
        <v>167</v>
      </c>
      <c r="H1321">
        <f>B1320/1000</f>
        <v>0.5</v>
      </c>
      <c r="K1321" t="s">
        <v>168</v>
      </c>
      <c r="L1321">
        <f>B1334/1000</f>
        <v>0.4</v>
      </c>
      <c r="N1321" t="s">
        <v>169</v>
      </c>
      <c r="O1321">
        <f>D1328/1000</f>
        <v>0</v>
      </c>
      <c r="P1321">
        <f>ROUNDDOWN(H1321*L1321*O1321,2)</f>
        <v>0</v>
      </c>
      <c r="Q1321" t="s">
        <v>176</v>
      </c>
    </row>
    <row r="1322" spans="1:17" ht="15" customHeight="1"/>
    <row r="1323" spans="1:17" ht="15" customHeight="1"/>
    <row r="1324" spans="1:17" ht="15" customHeight="1">
      <c r="G1324" t="s">
        <v>177</v>
      </c>
      <c r="P1324">
        <f>SUM(P1320:P1323)</f>
        <v>0.12</v>
      </c>
      <c r="Q1324" t="s">
        <v>91</v>
      </c>
    </row>
    <row r="1325" spans="1:17" ht="15" customHeight="1">
      <c r="G1325" t="s">
        <v>178</v>
      </c>
      <c r="I1325" t="s">
        <v>179</v>
      </c>
      <c r="J1325" t="s">
        <v>180</v>
      </c>
      <c r="K1325" t="s">
        <v>181</v>
      </c>
    </row>
    <row r="1326" spans="1:17" ht="15" customHeight="1">
      <c r="I1326" t="s">
        <v>179</v>
      </c>
      <c r="J1326">
        <f>P1318</f>
        <v>0.39</v>
      </c>
      <c r="K1326" t="s">
        <v>182</v>
      </c>
      <c r="L1326">
        <f>P1328</f>
        <v>0.12</v>
      </c>
      <c r="P1326">
        <f>ROUNDDOWN(J1326-L1326,2)</f>
        <v>0.27</v>
      </c>
      <c r="Q1326" t="s">
        <v>91</v>
      </c>
    </row>
    <row r="1327" spans="1:17" ht="15" customHeight="1">
      <c r="G1327" t="s">
        <v>183</v>
      </c>
      <c r="I1327" t="s">
        <v>184</v>
      </c>
      <c r="K1327" t="s">
        <v>185</v>
      </c>
    </row>
    <row r="1328" spans="1:17" ht="15" customHeight="1">
      <c r="A1328" t="s">
        <v>312</v>
      </c>
      <c r="D1328">
        <v>0</v>
      </c>
      <c r="E1328">
        <f>D1328+D1330+D1332</f>
        <v>600</v>
      </c>
      <c r="I1328" t="s">
        <v>184</v>
      </c>
      <c r="L1328">
        <f>P1320</f>
        <v>0.12</v>
      </c>
      <c r="P1328">
        <f>ROUNDDOWN(L1328+N1328,2)</f>
        <v>0.12</v>
      </c>
      <c r="Q1328" t="s">
        <v>91</v>
      </c>
    </row>
    <row r="1329" spans="2:17" ht="15" customHeight="1">
      <c r="G1329" t="s">
        <v>318</v>
      </c>
    </row>
    <row r="1330" spans="2:17" ht="15" customHeight="1">
      <c r="H1330" t="s">
        <v>328</v>
      </c>
      <c r="P1330">
        <f>ROUNDDOWN(0.6*1*2+0.32*1*2,2)</f>
        <v>1.84</v>
      </c>
      <c r="Q1330" t="s">
        <v>192</v>
      </c>
    </row>
    <row r="1331" spans="2:17" ht="15" customHeight="1"/>
    <row r="1332" spans="2:17" ht="15" customHeight="1">
      <c r="D1332">
        <v>600</v>
      </c>
    </row>
    <row r="1333" spans="2:17" ht="15" customHeight="1"/>
    <row r="1334" spans="2:17" ht="15" customHeight="1">
      <c r="B1334">
        <v>400</v>
      </c>
    </row>
    <row r="1335" spans="2:17" ht="15" customHeight="1">
      <c r="B1335">
        <v>100</v>
      </c>
      <c r="C1335">
        <v>100</v>
      </c>
      <c r="G1335" t="s">
        <v>193</v>
      </c>
      <c r="I1335" t="s">
        <v>320</v>
      </c>
    </row>
    <row r="1336" spans="2:17" ht="15" customHeight="1">
      <c r="B1336">
        <v>500</v>
      </c>
      <c r="P1336">
        <v>4</v>
      </c>
      <c r="Q1336" t="s">
        <v>195</v>
      </c>
    </row>
    <row r="1337" spans="2:17" ht="15" customHeight="1">
      <c r="B1337">
        <v>100</v>
      </c>
      <c r="C1337">
        <v>100</v>
      </c>
      <c r="G1337" t="s">
        <v>228</v>
      </c>
    </row>
    <row r="1338" spans="2:17" ht="15" customHeight="1">
      <c r="L1338">
        <v>10</v>
      </c>
      <c r="P1338">
        <f>L1338</f>
        <v>10</v>
      </c>
      <c r="Q1338" t="s">
        <v>196</v>
      </c>
    </row>
    <row r="1339" spans="2:17" ht="15" customHeight="1">
      <c r="B1339">
        <f>B1335+B1334+C1335</f>
        <v>600</v>
      </c>
      <c r="G1339" t="s">
        <v>322</v>
      </c>
    </row>
    <row r="1340" spans="2:17" ht="15" customHeight="1">
      <c r="L1340">
        <v>15</v>
      </c>
      <c r="P1340">
        <f>L1340</f>
        <v>15</v>
      </c>
      <c r="Q1340" t="s">
        <v>196</v>
      </c>
    </row>
    <row r="1341" spans="2:17" ht="15" customHeight="1">
      <c r="B1341">
        <f>B1337+B1336+C1337</f>
        <v>700</v>
      </c>
      <c r="G1341" t="s">
        <v>323</v>
      </c>
    </row>
    <row r="1342" spans="2:17" ht="15" customHeight="1">
      <c r="L1342">
        <v>3</v>
      </c>
      <c r="P1342">
        <f>L1342</f>
        <v>3</v>
      </c>
      <c r="Q1342" t="s">
        <v>158</v>
      </c>
    </row>
    <row r="1343" spans="2:17" ht="15" customHeight="1"/>
    <row r="1344" spans="2:17" ht="15" customHeight="1"/>
    <row r="1345" spans="1:17" ht="24.95" customHeight="1">
      <c r="A1345" t="s">
        <v>252</v>
      </c>
      <c r="H1345" t="s">
        <v>158</v>
      </c>
    </row>
    <row r="1346" spans="1:17" ht="15" customHeight="1">
      <c r="B1346" t="s">
        <v>329</v>
      </c>
      <c r="I1346" t="s">
        <v>159</v>
      </c>
      <c r="J1346" t="s">
        <v>160</v>
      </c>
      <c r="K1346" t="s">
        <v>161</v>
      </c>
      <c r="L1346" t="s">
        <v>162</v>
      </c>
      <c r="M1346" s="187" t="s">
        <v>163</v>
      </c>
      <c r="P1346" t="s">
        <v>164</v>
      </c>
    </row>
    <row r="1347" spans="1:17" ht="15" customHeight="1">
      <c r="G1347" t="s">
        <v>165</v>
      </c>
      <c r="I1347" t="s">
        <v>166</v>
      </c>
    </row>
    <row r="1348" spans="1:17" ht="15" customHeight="1">
      <c r="G1348" t="s">
        <v>167</v>
      </c>
      <c r="H1348">
        <f>B1351/1000</f>
        <v>0.82</v>
      </c>
      <c r="K1348" t="s">
        <v>168</v>
      </c>
      <c r="L1348">
        <f>B1349/1000</f>
        <v>0.82</v>
      </c>
      <c r="N1348" t="s">
        <v>169</v>
      </c>
      <c r="O1348">
        <f>(D1362+D1364)/1000</f>
        <v>0.2</v>
      </c>
    </row>
    <row r="1349" spans="1:17" ht="15" customHeight="1">
      <c r="B1349">
        <f>B1373+(0.3*(D1364)*2)</f>
        <v>820</v>
      </c>
      <c r="D1349" t="s">
        <v>330</v>
      </c>
      <c r="G1349" t="s">
        <v>170</v>
      </c>
      <c r="H1349">
        <f>B1371/1000</f>
        <v>0.7</v>
      </c>
      <c r="K1349" t="s">
        <v>171</v>
      </c>
      <c r="L1349">
        <f>B1373/1000</f>
        <v>0.7</v>
      </c>
    </row>
    <row r="1350" spans="1:17" ht="15" customHeight="1">
      <c r="G1350" t="s">
        <v>172</v>
      </c>
      <c r="P1350">
        <f>ROUNDDOWN(O1348/6*((2*H1348+L1348)*H1349+(2*L1348+H1348)*L1349),2)</f>
        <v>0.11</v>
      </c>
      <c r="Q1350" t="s">
        <v>91</v>
      </c>
    </row>
    <row r="1351" spans="1:17" ht="15" customHeight="1">
      <c r="B1351">
        <f>B1371+(0.3*(D1364)*2)</f>
        <v>820</v>
      </c>
      <c r="G1351" t="s">
        <v>173</v>
      </c>
      <c r="I1351" t="s">
        <v>174</v>
      </c>
      <c r="K1351" t="s">
        <v>317</v>
      </c>
    </row>
    <row r="1352" spans="1:17" ht="15" customHeight="1">
      <c r="B1352">
        <v>500</v>
      </c>
      <c r="G1352" t="s">
        <v>167</v>
      </c>
      <c r="H1352">
        <f>B1352/1000</f>
        <v>0.5</v>
      </c>
      <c r="K1352" t="s">
        <v>168</v>
      </c>
      <c r="L1352">
        <f>B1366/1000</f>
        <v>0.5</v>
      </c>
      <c r="N1352" t="s">
        <v>169</v>
      </c>
      <c r="O1352">
        <f>D1364/1000</f>
        <v>0.2</v>
      </c>
      <c r="P1352">
        <f>ROUNDDOWN(H1352*L1352*O1352,2)</f>
        <v>0.05</v>
      </c>
      <c r="Q1352" t="s">
        <v>175</v>
      </c>
    </row>
    <row r="1353" spans="1:17" ht="15" customHeight="1">
      <c r="G1353" t="s">
        <v>167</v>
      </c>
      <c r="H1353">
        <f>B1352/1000</f>
        <v>0.5</v>
      </c>
      <c r="K1353" t="s">
        <v>168</v>
      </c>
      <c r="L1353">
        <f>B1366/1000</f>
        <v>0.5</v>
      </c>
      <c r="N1353" t="s">
        <v>169</v>
      </c>
      <c r="O1353">
        <f>D1360/1000</f>
        <v>0.1</v>
      </c>
      <c r="P1353">
        <f>ROUNDDOWN(H1353*L1353*O1353,2)</f>
        <v>0.02</v>
      </c>
      <c r="Q1353" t="s">
        <v>176</v>
      </c>
    </row>
    <row r="1354" spans="1:17" ht="15" customHeight="1"/>
    <row r="1355" spans="1:17" ht="15" customHeight="1"/>
    <row r="1356" spans="1:17" ht="15" customHeight="1">
      <c r="G1356" t="s">
        <v>177</v>
      </c>
      <c r="P1356">
        <f>SUM(P1352:P1355)</f>
        <v>7.0000000000000007E-2</v>
      </c>
      <c r="Q1356" t="s">
        <v>91</v>
      </c>
    </row>
    <row r="1357" spans="1:17" ht="15" customHeight="1">
      <c r="G1357" t="s">
        <v>178</v>
      </c>
      <c r="I1357" t="s">
        <v>179</v>
      </c>
      <c r="J1357" t="s">
        <v>180</v>
      </c>
      <c r="K1357" t="s">
        <v>181</v>
      </c>
    </row>
    <row r="1358" spans="1:17" ht="15" customHeight="1">
      <c r="I1358" t="s">
        <v>179</v>
      </c>
      <c r="J1358">
        <f>P1350</f>
        <v>0.11</v>
      </c>
      <c r="K1358" t="s">
        <v>182</v>
      </c>
      <c r="L1358">
        <f>P1360</f>
        <v>0.05</v>
      </c>
      <c r="P1358">
        <f>ROUNDDOWN(J1358-L1358,2)</f>
        <v>0.06</v>
      </c>
      <c r="Q1358" t="s">
        <v>91</v>
      </c>
    </row>
    <row r="1359" spans="1:17" ht="15" customHeight="1">
      <c r="G1359" t="s">
        <v>183</v>
      </c>
      <c r="I1359" t="s">
        <v>184</v>
      </c>
      <c r="K1359" t="s">
        <v>185</v>
      </c>
    </row>
    <row r="1360" spans="1:17" ht="15" customHeight="1">
      <c r="A1360" t="s">
        <v>312</v>
      </c>
      <c r="D1360">
        <v>100</v>
      </c>
      <c r="E1360">
        <f>D1360+D1362+D1364</f>
        <v>300</v>
      </c>
      <c r="I1360" t="s">
        <v>184</v>
      </c>
      <c r="L1360">
        <f>P1352</f>
        <v>0.05</v>
      </c>
      <c r="P1360">
        <f>ROUNDDOWN(L1360+N1360,2)</f>
        <v>0.05</v>
      </c>
      <c r="Q1360" t="s">
        <v>91</v>
      </c>
    </row>
    <row r="1361" spans="2:17" ht="15" customHeight="1">
      <c r="G1361" t="s">
        <v>318</v>
      </c>
    </row>
    <row r="1362" spans="2:17" ht="15" customHeight="1">
      <c r="H1362" t="s">
        <v>328</v>
      </c>
      <c r="P1362">
        <f>ROUNDDOWN(0.6*1*2+0.32*1*2,2)</f>
        <v>1.84</v>
      </c>
      <c r="Q1362" t="s">
        <v>192</v>
      </c>
    </row>
    <row r="1363" spans="2:17" ht="15" customHeight="1"/>
    <row r="1364" spans="2:17" ht="15" customHeight="1">
      <c r="D1364">
        <v>200</v>
      </c>
    </row>
    <row r="1365" spans="2:17" ht="15" customHeight="1"/>
    <row r="1366" spans="2:17" ht="15" customHeight="1">
      <c r="B1366">
        <v>500</v>
      </c>
    </row>
    <row r="1367" spans="2:17" ht="15" customHeight="1">
      <c r="B1367">
        <v>100</v>
      </c>
      <c r="C1367">
        <v>100</v>
      </c>
      <c r="G1367" t="s">
        <v>193</v>
      </c>
      <c r="I1367" t="s">
        <v>320</v>
      </c>
    </row>
    <row r="1368" spans="2:17" ht="15" customHeight="1">
      <c r="B1368">
        <v>500</v>
      </c>
      <c r="P1368">
        <v>4</v>
      </c>
      <c r="Q1368" t="s">
        <v>195</v>
      </c>
    </row>
    <row r="1369" spans="2:17" ht="15" customHeight="1">
      <c r="B1369">
        <v>100</v>
      </c>
      <c r="C1369">
        <v>100</v>
      </c>
      <c r="G1369" t="s">
        <v>228</v>
      </c>
    </row>
    <row r="1370" spans="2:17" ht="15" customHeight="1">
      <c r="L1370">
        <v>10</v>
      </c>
      <c r="P1370">
        <f>L1370</f>
        <v>10</v>
      </c>
      <c r="Q1370" t="s">
        <v>196</v>
      </c>
    </row>
    <row r="1371" spans="2:17" ht="15" customHeight="1">
      <c r="B1371">
        <f>B1367+B1366+C1367</f>
        <v>700</v>
      </c>
      <c r="G1371" t="s">
        <v>322</v>
      </c>
    </row>
    <row r="1372" spans="2:17" ht="15" customHeight="1">
      <c r="L1372">
        <v>15</v>
      </c>
      <c r="P1372">
        <f>L1372</f>
        <v>15</v>
      </c>
      <c r="Q1372" t="s">
        <v>196</v>
      </c>
    </row>
    <row r="1373" spans="2:17" ht="15" customHeight="1">
      <c r="B1373">
        <f>B1369+B1368+C1369</f>
        <v>700</v>
      </c>
      <c r="G1373" t="s">
        <v>323</v>
      </c>
    </row>
    <row r="1374" spans="2:17" ht="15" customHeight="1">
      <c r="L1374">
        <v>3</v>
      </c>
      <c r="P1374">
        <f>L1374</f>
        <v>3</v>
      </c>
      <c r="Q1374" t="s">
        <v>158</v>
      </c>
    </row>
    <row r="1375" spans="2:17" ht="15" customHeight="1"/>
    <row r="1376" spans="2:17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spans="1:17" ht="24.95" customHeight="1">
      <c r="A1409" t="s">
        <v>331</v>
      </c>
      <c r="G1409" t="s">
        <v>158</v>
      </c>
    </row>
    <row r="1410" spans="1:17" ht="15" customHeight="1">
      <c r="C1410" t="s">
        <v>332</v>
      </c>
      <c r="I1410" t="s">
        <v>159</v>
      </c>
      <c r="J1410" t="s">
        <v>160</v>
      </c>
      <c r="K1410" t="s">
        <v>161</v>
      </c>
      <c r="L1410" t="s">
        <v>162</v>
      </c>
      <c r="M1410" s="187" t="s">
        <v>163</v>
      </c>
      <c r="P1410" t="s">
        <v>164</v>
      </c>
    </row>
    <row r="1411" spans="1:17" ht="15" customHeight="1">
      <c r="G1411" t="s">
        <v>165</v>
      </c>
      <c r="H1411" t="s">
        <v>166</v>
      </c>
    </row>
    <row r="1412" spans="1:17" ht="15" customHeight="1">
      <c r="G1412" t="s">
        <v>167</v>
      </c>
      <c r="H1412">
        <f>B1415/1000</f>
        <v>1.06</v>
      </c>
      <c r="K1412" t="s">
        <v>168</v>
      </c>
      <c r="L1412">
        <f>B1431/1000</f>
        <v>0.7</v>
      </c>
      <c r="N1412" t="s">
        <v>169</v>
      </c>
      <c r="O1412">
        <f>D1426/1000</f>
        <v>0.6</v>
      </c>
    </row>
    <row r="1413" spans="1:17" ht="15" customHeight="1">
      <c r="G1413" t="s">
        <v>170</v>
      </c>
      <c r="H1413">
        <f>B1415/1000</f>
        <v>1.06</v>
      </c>
      <c r="K1413" t="s">
        <v>171</v>
      </c>
      <c r="L1413">
        <f>B1431/1000</f>
        <v>0.7</v>
      </c>
    </row>
    <row r="1414" spans="1:17" ht="15" customHeight="1">
      <c r="G1414" t="s">
        <v>172</v>
      </c>
      <c r="P1414">
        <f>ROUNDDOWN(O1412/6*((2*H1412+L1412)*H1413+(2*L1412+H1412)*L1413),2)</f>
        <v>0.47</v>
      </c>
      <c r="Q1414" t="s">
        <v>91</v>
      </c>
    </row>
    <row r="1415" spans="1:17" ht="15" customHeight="1">
      <c r="B1415">
        <f>B1431+(0.3*D1426)*2</f>
        <v>1060</v>
      </c>
      <c r="G1415" t="s">
        <v>173</v>
      </c>
      <c r="H1415" t="s">
        <v>197</v>
      </c>
    </row>
    <row r="1416" spans="1:17" ht="15" customHeight="1">
      <c r="G1416" t="s">
        <v>167</v>
      </c>
      <c r="H1416">
        <f>B1428/1000</f>
        <v>0.5</v>
      </c>
      <c r="K1416" t="s">
        <v>83</v>
      </c>
      <c r="L1416">
        <f>B1417/1000</f>
        <v>0.4</v>
      </c>
      <c r="N1416" t="s">
        <v>169</v>
      </c>
      <c r="O1416">
        <f>O1412</f>
        <v>0.6</v>
      </c>
    </row>
    <row r="1417" spans="1:17" ht="15" customHeight="1">
      <c r="B1417">
        <v>400</v>
      </c>
      <c r="G1417" t="s">
        <v>170</v>
      </c>
      <c r="H1417">
        <f>B1428/1000</f>
        <v>0.5</v>
      </c>
      <c r="K1417" t="s">
        <v>84</v>
      </c>
      <c r="L1417">
        <f>B1417/1000</f>
        <v>0.4</v>
      </c>
    </row>
    <row r="1418" spans="1:17" ht="15" customHeight="1">
      <c r="G1418" t="s">
        <v>177</v>
      </c>
      <c r="P1418">
        <f>ROUNDDOWN(O1416/6*((2*H1416+L1416)*H1417+(2*L1416+H1416)*L1417),2)</f>
        <v>0.12</v>
      </c>
      <c r="Q1418" t="s">
        <v>91</v>
      </c>
    </row>
    <row r="1419" spans="1:17" ht="15" customHeight="1">
      <c r="G1419" t="s">
        <v>178</v>
      </c>
      <c r="I1419" t="s">
        <v>179</v>
      </c>
      <c r="J1419" t="s">
        <v>180</v>
      </c>
      <c r="K1419" t="s">
        <v>207</v>
      </c>
    </row>
    <row r="1420" spans="1:17" ht="15" customHeight="1">
      <c r="L1420" t="s">
        <v>198</v>
      </c>
      <c r="M1420" s="187" t="s">
        <v>333</v>
      </c>
      <c r="P1420">
        <f>ROUNDDOWN(P1414-P1418,2)</f>
        <v>0.35</v>
      </c>
      <c r="Q1420" t="s">
        <v>91</v>
      </c>
    </row>
    <row r="1421" spans="1:17" ht="15" customHeight="1">
      <c r="G1421" t="s">
        <v>183</v>
      </c>
      <c r="I1421" t="s">
        <v>184</v>
      </c>
      <c r="J1421" t="s">
        <v>200</v>
      </c>
    </row>
    <row r="1422" spans="1:17" ht="15" customHeight="1">
      <c r="A1422" t="s">
        <v>312</v>
      </c>
      <c r="P1422">
        <f>P1418</f>
        <v>0.12</v>
      </c>
      <c r="Q1422" t="s">
        <v>91</v>
      </c>
    </row>
    <row r="1423" spans="1:17" ht="15" customHeight="1">
      <c r="G1423" t="s">
        <v>318</v>
      </c>
    </row>
    <row r="1424" spans="1:17" ht="15" customHeight="1">
      <c r="G1424" t="s">
        <v>187</v>
      </c>
      <c r="H1424">
        <f>B1428/1000</f>
        <v>0.5</v>
      </c>
      <c r="I1424" t="s">
        <v>188</v>
      </c>
      <c r="J1424">
        <f>B1417/1000</f>
        <v>0.4</v>
      </c>
      <c r="K1424" t="s">
        <v>189</v>
      </c>
      <c r="L1424" t="s">
        <v>190</v>
      </c>
      <c r="M1424" s="187">
        <f>D1426/1000</f>
        <v>0.6</v>
      </c>
      <c r="N1424" t="s">
        <v>191</v>
      </c>
      <c r="O1424">
        <v>4</v>
      </c>
      <c r="P1424">
        <f>ROUNDDOWN(((H1424+J1424)/2*M1424)*O1424,2)</f>
        <v>1.08</v>
      </c>
      <c r="Q1424" t="s">
        <v>192</v>
      </c>
    </row>
    <row r="1425" spans="2:17" ht="15" customHeight="1"/>
    <row r="1426" spans="2:17" ht="15" customHeight="1">
      <c r="D1426">
        <v>600</v>
      </c>
    </row>
    <row r="1427" spans="2:17" ht="15" customHeight="1"/>
    <row r="1428" spans="2:17" ht="15" customHeight="1">
      <c r="B1428">
        <v>500</v>
      </c>
    </row>
    <row r="1429" spans="2:17" ht="15" customHeight="1">
      <c r="B1429">
        <v>100</v>
      </c>
      <c r="C1429">
        <v>100</v>
      </c>
      <c r="G1429" t="s">
        <v>193</v>
      </c>
      <c r="H1429" t="s">
        <v>334</v>
      </c>
    </row>
    <row r="1430" spans="2:17" ht="15" customHeight="1">
      <c r="P1430">
        <v>4</v>
      </c>
      <c r="Q1430" t="s">
        <v>195</v>
      </c>
    </row>
    <row r="1431" spans="2:17" ht="15" customHeight="1">
      <c r="B1431">
        <f>B1428+B1429+C1429</f>
        <v>700</v>
      </c>
      <c r="G1431" t="s">
        <v>335</v>
      </c>
    </row>
    <row r="1432" spans="2:17" ht="15" customHeight="1">
      <c r="L1432">
        <v>3</v>
      </c>
      <c r="P1432">
        <f>L1432</f>
        <v>3</v>
      </c>
      <c r="Q1432" t="s">
        <v>196</v>
      </c>
    </row>
    <row r="1433" spans="2:17" ht="15" customHeight="1">
      <c r="G1433" t="s">
        <v>336</v>
      </c>
    </row>
    <row r="1434" spans="2:17" ht="15" customHeight="1">
      <c r="L1434">
        <v>1</v>
      </c>
      <c r="P1434">
        <f>L1434</f>
        <v>1</v>
      </c>
      <c r="Q1434" t="s">
        <v>158</v>
      </c>
    </row>
    <row r="1435" spans="2:17" ht="15" customHeight="1">
      <c r="G1435" t="s">
        <v>337</v>
      </c>
    </row>
    <row r="1436" spans="2:17" ht="15" customHeight="1">
      <c r="L1436">
        <v>1</v>
      </c>
      <c r="P1436">
        <f>L1436</f>
        <v>1</v>
      </c>
      <c r="Q1436" t="s">
        <v>196</v>
      </c>
    </row>
    <row r="1437" spans="2:17" ht="15" customHeight="1">
      <c r="G1437" t="s">
        <v>338</v>
      </c>
      <c r="J1437" t="s">
        <v>339</v>
      </c>
    </row>
    <row r="1438" spans="2:17" ht="15" customHeight="1">
      <c r="G1438" t="s">
        <v>167</v>
      </c>
      <c r="H1438">
        <v>1.2</v>
      </c>
      <c r="K1438" t="s">
        <v>170</v>
      </c>
      <c r="L1438">
        <v>1.2</v>
      </c>
      <c r="N1438" t="s">
        <v>169</v>
      </c>
      <c r="O1438">
        <v>0.1</v>
      </c>
      <c r="P1438">
        <f>ROUNDDOWN(H1438*L1438*O1411:O1438,2)</f>
        <v>0.14000000000000001</v>
      </c>
      <c r="Q1438" t="s">
        <v>91</v>
      </c>
    </row>
    <row r="1439" spans="2:17" ht="15" customHeight="1"/>
    <row r="1440" spans="2:17" ht="15" customHeight="1"/>
    <row r="1441" spans="1:17" ht="24.95" customHeight="1">
      <c r="A1441" t="s">
        <v>331</v>
      </c>
      <c r="G1441" t="s">
        <v>158</v>
      </c>
    </row>
    <row r="1442" spans="1:17" ht="15" customHeight="1">
      <c r="C1442" t="s">
        <v>340</v>
      </c>
      <c r="I1442" t="s">
        <v>159</v>
      </c>
      <c r="J1442" t="s">
        <v>160</v>
      </c>
      <c r="K1442" t="s">
        <v>161</v>
      </c>
      <c r="L1442" t="s">
        <v>162</v>
      </c>
      <c r="M1442" s="187" t="s">
        <v>163</v>
      </c>
      <c r="P1442" t="s">
        <v>164</v>
      </c>
    </row>
    <row r="1443" spans="1:17" ht="15" customHeight="1">
      <c r="G1443" t="s">
        <v>165</v>
      </c>
      <c r="H1443" t="s">
        <v>166</v>
      </c>
    </row>
    <row r="1444" spans="1:17" ht="15" customHeight="1">
      <c r="G1444" t="s">
        <v>167</v>
      </c>
      <c r="H1444">
        <f>B1447/1000</f>
        <v>1.86</v>
      </c>
      <c r="K1444" t="s">
        <v>168</v>
      </c>
      <c r="L1444">
        <f>B1463/1000</f>
        <v>1.2</v>
      </c>
      <c r="N1444" t="s">
        <v>169</v>
      </c>
      <c r="O1444">
        <f>D1458/1000</f>
        <v>1.1000000000000001</v>
      </c>
    </row>
    <row r="1445" spans="1:17" ht="15" customHeight="1">
      <c r="G1445" t="s">
        <v>170</v>
      </c>
      <c r="H1445">
        <f>B1447/1000</f>
        <v>1.86</v>
      </c>
      <c r="K1445" t="s">
        <v>171</v>
      </c>
      <c r="L1445">
        <f>B1463/1000</f>
        <v>1.2</v>
      </c>
    </row>
    <row r="1446" spans="1:17" ht="15" customHeight="1">
      <c r="G1446" t="s">
        <v>172</v>
      </c>
      <c r="P1446">
        <f>ROUNDDOWN(O1444/6*((2*H1444+L1444)*H1445+(2*L1444+H1444)*L1445),2)</f>
        <v>2.61</v>
      </c>
      <c r="Q1446" t="s">
        <v>91</v>
      </c>
    </row>
    <row r="1447" spans="1:17" ht="15" customHeight="1">
      <c r="B1447">
        <f>B1463+(0.3*D1458)*2</f>
        <v>1860</v>
      </c>
      <c r="G1447" t="s">
        <v>173</v>
      </c>
      <c r="H1447" t="s">
        <v>197</v>
      </c>
    </row>
    <row r="1448" spans="1:17" ht="15" customHeight="1">
      <c r="G1448" t="s">
        <v>167</v>
      </c>
      <c r="H1448">
        <f>B1460/1000</f>
        <v>1</v>
      </c>
      <c r="K1448" t="s">
        <v>83</v>
      </c>
      <c r="L1448">
        <f>B1449/1000</f>
        <v>0.5</v>
      </c>
      <c r="N1448" t="s">
        <v>169</v>
      </c>
      <c r="O1448">
        <f>O1444</f>
        <v>1.1000000000000001</v>
      </c>
    </row>
    <row r="1449" spans="1:17" ht="15" customHeight="1">
      <c r="B1449">
        <v>500</v>
      </c>
      <c r="G1449" t="s">
        <v>170</v>
      </c>
      <c r="H1449">
        <f>B1460/1000</f>
        <v>1</v>
      </c>
      <c r="K1449" t="s">
        <v>84</v>
      </c>
      <c r="L1449">
        <f>B1449/1000</f>
        <v>0.5</v>
      </c>
    </row>
    <row r="1450" spans="1:17" ht="15" customHeight="1">
      <c r="G1450" t="s">
        <v>177</v>
      </c>
      <c r="P1450">
        <f>ROUNDDOWN(O1448/6*((2*H1448+L1448)*H1449+(2*L1448+H1448)*L1449),2)</f>
        <v>0.64</v>
      </c>
      <c r="Q1450" t="s">
        <v>91</v>
      </c>
    </row>
    <row r="1451" spans="1:17" ht="15" customHeight="1">
      <c r="G1451" t="s">
        <v>178</v>
      </c>
      <c r="I1451" t="s">
        <v>179</v>
      </c>
      <c r="J1451" t="s">
        <v>180</v>
      </c>
      <c r="K1451" t="s">
        <v>207</v>
      </c>
    </row>
    <row r="1452" spans="1:17" ht="15" customHeight="1">
      <c r="L1452" t="s">
        <v>198</v>
      </c>
      <c r="M1452" s="187" t="s">
        <v>341</v>
      </c>
      <c r="P1452">
        <f>P1446-P1450</f>
        <v>1.9699999999999998</v>
      </c>
      <c r="Q1452" t="s">
        <v>91</v>
      </c>
    </row>
    <row r="1453" spans="1:17" ht="15" customHeight="1">
      <c r="G1453" t="s">
        <v>183</v>
      </c>
      <c r="I1453" t="s">
        <v>184</v>
      </c>
      <c r="J1453" t="s">
        <v>200</v>
      </c>
    </row>
    <row r="1454" spans="1:17" ht="15" customHeight="1">
      <c r="A1454" t="s">
        <v>201</v>
      </c>
      <c r="P1454">
        <f>P1450</f>
        <v>0.64</v>
      </c>
      <c r="Q1454" t="s">
        <v>91</v>
      </c>
    </row>
    <row r="1455" spans="1:17" ht="15" customHeight="1">
      <c r="G1455" t="s">
        <v>318</v>
      </c>
    </row>
    <row r="1456" spans="1:17" ht="15" customHeight="1">
      <c r="G1456" t="s">
        <v>187</v>
      </c>
      <c r="H1456">
        <f>B1460/1000</f>
        <v>1</v>
      </c>
      <c r="I1456" t="s">
        <v>188</v>
      </c>
      <c r="J1456">
        <f>B1449/1000</f>
        <v>0.5</v>
      </c>
      <c r="K1456" t="s">
        <v>189</v>
      </c>
      <c r="L1456" t="s">
        <v>190</v>
      </c>
      <c r="M1456" s="187">
        <f>D1458/1000</f>
        <v>1.1000000000000001</v>
      </c>
      <c r="N1456" t="s">
        <v>191</v>
      </c>
      <c r="O1456">
        <v>4</v>
      </c>
      <c r="P1456">
        <f>((H1456+J1456)/2*M1456)*O1456</f>
        <v>3.3000000000000003</v>
      </c>
      <c r="Q1456" t="s">
        <v>192</v>
      </c>
    </row>
    <row r="1457" spans="2:17" ht="15" customHeight="1"/>
    <row r="1458" spans="2:17" ht="15" customHeight="1">
      <c r="D1458">
        <v>1100</v>
      </c>
    </row>
    <row r="1459" spans="2:17" ht="15" customHeight="1"/>
    <row r="1460" spans="2:17" ht="15" customHeight="1">
      <c r="B1460">
        <v>1000</v>
      </c>
    </row>
    <row r="1461" spans="2:17" ht="15" customHeight="1">
      <c r="B1461">
        <v>100</v>
      </c>
      <c r="C1461">
        <v>100</v>
      </c>
      <c r="G1461" t="s">
        <v>193</v>
      </c>
      <c r="H1461" t="s">
        <v>342</v>
      </c>
    </row>
    <row r="1462" spans="2:17" ht="15" customHeight="1">
      <c r="P1462">
        <v>4</v>
      </c>
      <c r="Q1462" t="s">
        <v>195</v>
      </c>
    </row>
    <row r="1463" spans="2:17" ht="15" customHeight="1">
      <c r="B1463">
        <f>B1460+B1461+C1461</f>
        <v>1200</v>
      </c>
      <c r="G1463" t="s">
        <v>335</v>
      </c>
    </row>
    <row r="1464" spans="2:17" ht="15" customHeight="1">
      <c r="L1464">
        <v>3</v>
      </c>
      <c r="P1464">
        <f>L1464</f>
        <v>3</v>
      </c>
      <c r="Q1464" t="s">
        <v>196</v>
      </c>
    </row>
    <row r="1465" spans="2:17" ht="15" customHeight="1">
      <c r="G1465" t="s">
        <v>336</v>
      </c>
    </row>
    <row r="1466" spans="2:17" ht="15" customHeight="1">
      <c r="L1466">
        <v>1</v>
      </c>
      <c r="P1466">
        <f>L1466</f>
        <v>1</v>
      </c>
      <c r="Q1466" t="s">
        <v>158</v>
      </c>
    </row>
    <row r="1467" spans="2:17" ht="15" customHeight="1">
      <c r="G1467" t="s">
        <v>337</v>
      </c>
    </row>
    <row r="1468" spans="2:17" ht="15" customHeight="1">
      <c r="L1468">
        <v>1</v>
      </c>
      <c r="P1468">
        <f>L1468</f>
        <v>1</v>
      </c>
      <c r="Q1468" t="s">
        <v>196</v>
      </c>
    </row>
    <row r="1469" spans="2:17" ht="15" customHeight="1">
      <c r="G1469" t="s">
        <v>338</v>
      </c>
      <c r="J1469" t="s">
        <v>339</v>
      </c>
    </row>
    <row r="1470" spans="2:17" ht="15" customHeight="1">
      <c r="G1470" t="s">
        <v>167</v>
      </c>
      <c r="H1470">
        <v>1.2</v>
      </c>
      <c r="K1470" t="s">
        <v>170</v>
      </c>
      <c r="L1470">
        <v>1.2</v>
      </c>
      <c r="N1470" t="s">
        <v>169</v>
      </c>
      <c r="O1470">
        <v>0.1</v>
      </c>
      <c r="P1470">
        <f>ROUNDDOWN(H1470*L1470*O1443:O1470,2)</f>
        <v>0.14000000000000001</v>
      </c>
      <c r="Q1470" t="s">
        <v>91</v>
      </c>
    </row>
    <row r="1471" spans="2:17" ht="15" customHeight="1"/>
    <row r="1472" spans="2:17" ht="15" customHeight="1"/>
    <row r="1473" spans="1:17" ht="24.95" customHeight="1">
      <c r="A1473" t="s">
        <v>331</v>
      </c>
      <c r="G1473" t="s">
        <v>158</v>
      </c>
    </row>
    <row r="1474" spans="1:17" ht="15" customHeight="1">
      <c r="C1474" t="s">
        <v>343</v>
      </c>
      <c r="I1474" t="s">
        <v>159</v>
      </c>
      <c r="J1474" t="s">
        <v>160</v>
      </c>
      <c r="K1474" t="s">
        <v>161</v>
      </c>
      <c r="L1474" t="s">
        <v>162</v>
      </c>
      <c r="M1474" s="187" t="s">
        <v>163</v>
      </c>
      <c r="P1474" t="s">
        <v>164</v>
      </c>
    </row>
    <row r="1475" spans="1:17" ht="15" customHeight="1">
      <c r="G1475" t="s">
        <v>165</v>
      </c>
      <c r="H1475" t="s">
        <v>166</v>
      </c>
    </row>
    <row r="1476" spans="1:17" ht="15" customHeight="1">
      <c r="G1476" t="s">
        <v>167</v>
      </c>
      <c r="H1476">
        <f>B1479/1000</f>
        <v>1.6</v>
      </c>
      <c r="K1476" t="s">
        <v>168</v>
      </c>
      <c r="L1476">
        <f>B1495/1000</f>
        <v>1</v>
      </c>
      <c r="N1476" t="s">
        <v>169</v>
      </c>
      <c r="O1476">
        <f>D1490/1000</f>
        <v>1</v>
      </c>
    </row>
    <row r="1477" spans="1:17" ht="15" customHeight="1">
      <c r="G1477" t="s">
        <v>170</v>
      </c>
      <c r="H1477">
        <f>B1479/1000</f>
        <v>1.6</v>
      </c>
      <c r="K1477" t="s">
        <v>171</v>
      </c>
      <c r="L1477">
        <f>B1495/1000</f>
        <v>1</v>
      </c>
    </row>
    <row r="1478" spans="1:17" ht="15" customHeight="1">
      <c r="G1478" t="s">
        <v>172</v>
      </c>
      <c r="P1478">
        <f>ROUNDDOWN(O1476/6*((2*H1476+L1476)*H1477+(2*L1476+H1476)*L1477),2)</f>
        <v>1.72</v>
      </c>
      <c r="Q1478" t="s">
        <v>91</v>
      </c>
    </row>
    <row r="1479" spans="1:17" ht="15" customHeight="1">
      <c r="B1479">
        <f>B1495+(0.3*D1490)*2</f>
        <v>1600</v>
      </c>
      <c r="G1479" t="s">
        <v>173</v>
      </c>
      <c r="H1479" t="s">
        <v>197</v>
      </c>
    </row>
    <row r="1480" spans="1:17" ht="15" customHeight="1">
      <c r="G1480" t="s">
        <v>167</v>
      </c>
      <c r="H1480">
        <f>B1492/1000</f>
        <v>0.8</v>
      </c>
      <c r="K1480" t="s">
        <v>83</v>
      </c>
      <c r="L1480">
        <f>B1481/1000</f>
        <v>0.4</v>
      </c>
      <c r="N1480" t="s">
        <v>169</v>
      </c>
      <c r="O1480">
        <f>O1476</f>
        <v>1</v>
      </c>
    </row>
    <row r="1481" spans="1:17" ht="15" customHeight="1">
      <c r="B1481">
        <v>400</v>
      </c>
      <c r="G1481" t="s">
        <v>170</v>
      </c>
      <c r="H1481">
        <f>B1492/1000</f>
        <v>0.8</v>
      </c>
      <c r="K1481" t="s">
        <v>84</v>
      </c>
      <c r="L1481">
        <f>B1481/1000</f>
        <v>0.4</v>
      </c>
    </row>
    <row r="1482" spans="1:17" ht="15" customHeight="1">
      <c r="G1482" t="s">
        <v>177</v>
      </c>
      <c r="P1482">
        <f>ROUNDDOWN(O1480/6*((2*H1480+L1480)*H1481+(2*L1480+H1480)*L1481),2)</f>
        <v>0.37</v>
      </c>
      <c r="Q1482" t="s">
        <v>91</v>
      </c>
    </row>
    <row r="1483" spans="1:17" ht="15" customHeight="1">
      <c r="G1483" t="s">
        <v>178</v>
      </c>
      <c r="I1483" t="s">
        <v>179</v>
      </c>
      <c r="J1483" t="s">
        <v>180</v>
      </c>
      <c r="K1483" t="s">
        <v>181</v>
      </c>
    </row>
    <row r="1484" spans="1:17" ht="15" customHeight="1">
      <c r="L1484" t="s">
        <v>198</v>
      </c>
      <c r="M1484" s="187" t="s">
        <v>344</v>
      </c>
      <c r="P1484">
        <f>P1478-P1482</f>
        <v>1.35</v>
      </c>
      <c r="Q1484" t="s">
        <v>91</v>
      </c>
    </row>
    <row r="1485" spans="1:17" ht="15" customHeight="1">
      <c r="G1485" t="s">
        <v>183</v>
      </c>
      <c r="I1485" t="s">
        <v>184</v>
      </c>
      <c r="J1485" t="s">
        <v>200</v>
      </c>
    </row>
    <row r="1486" spans="1:17" ht="15" customHeight="1">
      <c r="A1486" t="s">
        <v>201</v>
      </c>
      <c r="P1486">
        <f>P1482</f>
        <v>0.37</v>
      </c>
      <c r="Q1486" t="s">
        <v>91</v>
      </c>
    </row>
    <row r="1487" spans="1:17" ht="15" customHeight="1">
      <c r="G1487" t="s">
        <v>318</v>
      </c>
    </row>
    <row r="1488" spans="1:17" ht="15" customHeight="1">
      <c r="G1488" t="s">
        <v>187</v>
      </c>
      <c r="H1488">
        <f>B1492/1000</f>
        <v>0.8</v>
      </c>
      <c r="I1488" t="s">
        <v>188</v>
      </c>
      <c r="J1488">
        <f>B1481/1000</f>
        <v>0.4</v>
      </c>
      <c r="K1488" t="s">
        <v>189</v>
      </c>
      <c r="L1488" t="s">
        <v>190</v>
      </c>
      <c r="M1488" s="187">
        <f>D1490/1000</f>
        <v>1</v>
      </c>
      <c r="N1488" t="s">
        <v>191</v>
      </c>
      <c r="O1488">
        <v>4</v>
      </c>
      <c r="P1488">
        <f>((H1488+J1488)/2*M1488)*O1488</f>
        <v>2.4000000000000004</v>
      </c>
      <c r="Q1488" t="s">
        <v>192</v>
      </c>
    </row>
    <row r="1489" spans="2:17" ht="15" customHeight="1"/>
    <row r="1490" spans="2:17" ht="15" customHeight="1">
      <c r="D1490">
        <v>1000</v>
      </c>
    </row>
    <row r="1491" spans="2:17" ht="15" customHeight="1"/>
    <row r="1492" spans="2:17" ht="15" customHeight="1">
      <c r="B1492">
        <v>800</v>
      </c>
    </row>
    <row r="1493" spans="2:17" ht="15" customHeight="1">
      <c r="B1493">
        <v>100</v>
      </c>
      <c r="C1493">
        <v>100</v>
      </c>
      <c r="G1493" t="s">
        <v>193</v>
      </c>
    </row>
    <row r="1494" spans="2:17" ht="15" customHeight="1">
      <c r="P1494">
        <v>4</v>
      </c>
      <c r="Q1494" t="s">
        <v>195</v>
      </c>
    </row>
    <row r="1495" spans="2:17" ht="15" customHeight="1">
      <c r="B1495">
        <f>B1492+B1493+C1493</f>
        <v>1000</v>
      </c>
      <c r="G1495" t="s">
        <v>335</v>
      </c>
    </row>
    <row r="1496" spans="2:17" ht="15" customHeight="1">
      <c r="L1496">
        <v>3</v>
      </c>
      <c r="P1496">
        <f>L1496</f>
        <v>3</v>
      </c>
      <c r="Q1496" t="s">
        <v>196</v>
      </c>
    </row>
    <row r="1497" spans="2:17" ht="15" customHeight="1">
      <c r="G1497" t="s">
        <v>336</v>
      </c>
    </row>
    <row r="1498" spans="2:17" ht="15" customHeight="1">
      <c r="L1498">
        <v>1</v>
      </c>
      <c r="P1498">
        <f>L1498</f>
        <v>1</v>
      </c>
      <c r="Q1498" t="s">
        <v>158</v>
      </c>
    </row>
    <row r="1499" spans="2:17" ht="15" customHeight="1">
      <c r="G1499" t="s">
        <v>337</v>
      </c>
    </row>
    <row r="1500" spans="2:17" ht="15" customHeight="1">
      <c r="L1500">
        <v>1</v>
      </c>
      <c r="P1500">
        <f>L1500</f>
        <v>1</v>
      </c>
      <c r="Q1500" t="s">
        <v>196</v>
      </c>
    </row>
    <row r="1501" spans="2:17" ht="15" customHeight="1">
      <c r="G1501" t="s">
        <v>338</v>
      </c>
      <c r="J1501" t="s">
        <v>339</v>
      </c>
    </row>
    <row r="1502" spans="2:17" ht="15" customHeight="1">
      <c r="G1502" t="s">
        <v>167</v>
      </c>
      <c r="H1502">
        <v>1</v>
      </c>
      <c r="K1502" t="s">
        <v>170</v>
      </c>
      <c r="L1502">
        <v>1</v>
      </c>
      <c r="N1502" t="s">
        <v>169</v>
      </c>
      <c r="O1502">
        <v>0.1</v>
      </c>
      <c r="P1502">
        <f>ROUNDDOWN(H1502*L1502*O1475:O1502,2)</f>
        <v>0.1</v>
      </c>
      <c r="Q1502" t="s">
        <v>91</v>
      </c>
    </row>
    <row r="1503" spans="2:17" ht="15" customHeight="1"/>
    <row r="1504" spans="2:17" ht="15" customHeight="1"/>
    <row r="1505" spans="1:17" ht="24.95" customHeight="1">
      <c r="A1505" t="s">
        <v>331</v>
      </c>
      <c r="G1505" t="s">
        <v>158</v>
      </c>
    </row>
    <row r="1506" spans="1:17" ht="15" customHeight="1">
      <c r="C1506" t="s">
        <v>346</v>
      </c>
      <c r="I1506" t="s">
        <v>159</v>
      </c>
      <c r="J1506" t="s">
        <v>160</v>
      </c>
      <c r="K1506" t="s">
        <v>161</v>
      </c>
      <c r="L1506" t="s">
        <v>162</v>
      </c>
      <c r="M1506" s="187" t="s">
        <v>163</v>
      </c>
      <c r="P1506" t="s">
        <v>164</v>
      </c>
    </row>
    <row r="1507" spans="1:17" ht="15" customHeight="1">
      <c r="G1507" t="s">
        <v>165</v>
      </c>
      <c r="H1507" t="s">
        <v>166</v>
      </c>
    </row>
    <row r="1508" spans="1:17" ht="15" customHeight="1">
      <c r="G1508" t="s">
        <v>167</v>
      </c>
      <c r="H1508">
        <f>B1511/1000</f>
        <v>1.72</v>
      </c>
      <c r="K1508" t="s">
        <v>168</v>
      </c>
      <c r="L1508">
        <f>B1527/1000</f>
        <v>1</v>
      </c>
      <c r="N1508" t="s">
        <v>169</v>
      </c>
      <c r="O1508">
        <f>D1522/1000</f>
        <v>1.2</v>
      </c>
    </row>
    <row r="1509" spans="1:17" ht="15" customHeight="1">
      <c r="G1509" t="s">
        <v>170</v>
      </c>
      <c r="H1509">
        <f>B1511/1000</f>
        <v>1.72</v>
      </c>
      <c r="K1509" t="s">
        <v>171</v>
      </c>
      <c r="L1509">
        <f>B1527/1000</f>
        <v>1</v>
      </c>
    </row>
    <row r="1510" spans="1:17" ht="15" customHeight="1">
      <c r="G1510" t="s">
        <v>172</v>
      </c>
      <c r="P1510">
        <f>ROUNDDOWN(O1508/6*((2*H1508+L1508)*H1509+(2*L1508+H1508)*L1509),2)</f>
        <v>2.27</v>
      </c>
      <c r="Q1510" t="s">
        <v>91</v>
      </c>
    </row>
    <row r="1511" spans="1:17" ht="15" customHeight="1">
      <c r="B1511">
        <f>B1527+(0.3*D1522)*2</f>
        <v>1720</v>
      </c>
      <c r="G1511" t="s">
        <v>173</v>
      </c>
      <c r="H1511" t="s">
        <v>197</v>
      </c>
    </row>
    <row r="1512" spans="1:17" ht="15" customHeight="1">
      <c r="G1512" t="s">
        <v>167</v>
      </c>
      <c r="H1512">
        <f>B1524/1000</f>
        <v>0.8</v>
      </c>
      <c r="K1512" t="s">
        <v>83</v>
      </c>
      <c r="L1512">
        <f>B1513/1000</f>
        <v>0.4</v>
      </c>
      <c r="N1512" t="s">
        <v>169</v>
      </c>
      <c r="O1512">
        <f>O1508</f>
        <v>1.2</v>
      </c>
    </row>
    <row r="1513" spans="1:17" ht="15" customHeight="1">
      <c r="B1513">
        <v>400</v>
      </c>
      <c r="G1513" t="s">
        <v>170</v>
      </c>
      <c r="H1513">
        <f>B1524/1000</f>
        <v>0.8</v>
      </c>
      <c r="K1513" t="s">
        <v>84</v>
      </c>
      <c r="L1513">
        <f>B1513/1000</f>
        <v>0.4</v>
      </c>
    </row>
    <row r="1514" spans="1:17" ht="15" customHeight="1">
      <c r="G1514" t="s">
        <v>177</v>
      </c>
      <c r="P1514">
        <f>ROUNDDOWN(O1512/6*((2*H1512+L1512)*H1513+(2*L1512+H1512)*L1513),2)</f>
        <v>0.44</v>
      </c>
      <c r="Q1514" t="s">
        <v>91</v>
      </c>
    </row>
    <row r="1515" spans="1:17" ht="15" customHeight="1">
      <c r="G1515" t="s">
        <v>178</v>
      </c>
      <c r="I1515" t="s">
        <v>179</v>
      </c>
      <c r="J1515" t="s">
        <v>180</v>
      </c>
      <c r="K1515" t="s">
        <v>181</v>
      </c>
    </row>
    <row r="1516" spans="1:17" ht="15" customHeight="1">
      <c r="L1516" t="s">
        <v>198</v>
      </c>
      <c r="M1516" s="187" t="s">
        <v>347</v>
      </c>
      <c r="P1516">
        <f>P1510-P1514</f>
        <v>1.83</v>
      </c>
      <c r="Q1516" t="s">
        <v>91</v>
      </c>
    </row>
    <row r="1517" spans="1:17" ht="15" customHeight="1">
      <c r="G1517" t="s">
        <v>183</v>
      </c>
      <c r="I1517" t="s">
        <v>184</v>
      </c>
      <c r="J1517" t="s">
        <v>200</v>
      </c>
    </row>
    <row r="1518" spans="1:17" ht="15" customHeight="1">
      <c r="A1518" t="s">
        <v>201</v>
      </c>
      <c r="P1518">
        <f>P1514</f>
        <v>0.44</v>
      </c>
      <c r="Q1518" t="s">
        <v>91</v>
      </c>
    </row>
    <row r="1519" spans="1:17" ht="15" customHeight="1">
      <c r="G1519" t="s">
        <v>318</v>
      </c>
    </row>
    <row r="1520" spans="1:17" ht="15" customHeight="1">
      <c r="G1520" t="s">
        <v>187</v>
      </c>
      <c r="H1520">
        <f>B1524/1000</f>
        <v>0.8</v>
      </c>
      <c r="I1520" t="s">
        <v>188</v>
      </c>
      <c r="J1520">
        <f>B1513/1000</f>
        <v>0.4</v>
      </c>
      <c r="K1520" t="s">
        <v>189</v>
      </c>
      <c r="L1520" t="s">
        <v>190</v>
      </c>
      <c r="M1520" s="187">
        <f>D1522/1000</f>
        <v>1.2</v>
      </c>
      <c r="N1520" t="s">
        <v>191</v>
      </c>
      <c r="O1520">
        <v>4</v>
      </c>
      <c r="P1520">
        <f>((H1520+J1520)/2*M1520)*O1520</f>
        <v>2.8800000000000003</v>
      </c>
      <c r="Q1520" t="s">
        <v>192</v>
      </c>
    </row>
    <row r="1521" spans="2:17" ht="15" customHeight="1"/>
    <row r="1522" spans="2:17" ht="15" customHeight="1">
      <c r="D1522">
        <v>1200</v>
      </c>
    </row>
    <row r="1523" spans="2:17" ht="15" customHeight="1"/>
    <row r="1524" spans="2:17" ht="15" customHeight="1">
      <c r="B1524">
        <v>800</v>
      </c>
    </row>
    <row r="1525" spans="2:17" ht="15" customHeight="1">
      <c r="B1525">
        <v>100</v>
      </c>
      <c r="C1525">
        <v>100</v>
      </c>
      <c r="G1525" t="s">
        <v>193</v>
      </c>
      <c r="H1525" t="s">
        <v>342</v>
      </c>
    </row>
    <row r="1526" spans="2:17" ht="15" customHeight="1">
      <c r="P1526">
        <v>4</v>
      </c>
      <c r="Q1526" t="s">
        <v>195</v>
      </c>
    </row>
    <row r="1527" spans="2:17" ht="15" customHeight="1">
      <c r="B1527">
        <f>B1524+B1525+C1525</f>
        <v>1000</v>
      </c>
      <c r="G1527" t="s">
        <v>335</v>
      </c>
    </row>
    <row r="1528" spans="2:17" ht="15" customHeight="1">
      <c r="L1528">
        <v>3</v>
      </c>
      <c r="P1528">
        <f>L1528</f>
        <v>3</v>
      </c>
      <c r="Q1528" t="s">
        <v>196</v>
      </c>
    </row>
    <row r="1529" spans="2:17" ht="15" customHeight="1">
      <c r="G1529" t="s">
        <v>336</v>
      </c>
    </row>
    <row r="1530" spans="2:17" ht="15" customHeight="1">
      <c r="L1530">
        <v>1</v>
      </c>
      <c r="P1530">
        <f>L1530</f>
        <v>1</v>
      </c>
      <c r="Q1530" t="s">
        <v>158</v>
      </c>
    </row>
    <row r="1531" spans="2:17" ht="15" customHeight="1">
      <c r="G1531" t="s">
        <v>337</v>
      </c>
    </row>
    <row r="1532" spans="2:17" ht="15" customHeight="1">
      <c r="L1532">
        <v>1</v>
      </c>
      <c r="P1532">
        <f>L1532</f>
        <v>1</v>
      </c>
      <c r="Q1532" t="s">
        <v>196</v>
      </c>
    </row>
    <row r="1533" spans="2:17" ht="15" customHeight="1">
      <c r="G1533" t="s">
        <v>338</v>
      </c>
      <c r="J1533" t="s">
        <v>339</v>
      </c>
    </row>
    <row r="1534" spans="2:17" ht="15" customHeight="1">
      <c r="G1534" t="s">
        <v>167</v>
      </c>
      <c r="H1534">
        <v>1</v>
      </c>
      <c r="K1534" t="s">
        <v>170</v>
      </c>
      <c r="L1534">
        <v>1</v>
      </c>
      <c r="N1534" t="s">
        <v>169</v>
      </c>
      <c r="O1534">
        <v>0.1</v>
      </c>
      <c r="P1534">
        <f>ROUNDDOWN(H1534*L1534*O1507:O1534,2)</f>
        <v>0.1</v>
      </c>
      <c r="Q1534" t="s">
        <v>91</v>
      </c>
    </row>
    <row r="1535" spans="2:17" ht="15" customHeight="1"/>
    <row r="1536" spans="2:17" ht="15" customHeight="1"/>
    <row r="1537" spans="1:17" ht="24.95" customHeight="1">
      <c r="A1537" t="s">
        <v>289</v>
      </c>
      <c r="G1537" t="s">
        <v>158</v>
      </c>
    </row>
    <row r="1538" spans="1:17" ht="15" customHeight="1">
      <c r="C1538" t="s">
        <v>348</v>
      </c>
      <c r="I1538" t="s">
        <v>159</v>
      </c>
      <c r="J1538" t="s">
        <v>160</v>
      </c>
      <c r="K1538" t="s">
        <v>161</v>
      </c>
      <c r="L1538" t="s">
        <v>162</v>
      </c>
      <c r="M1538" s="187" t="s">
        <v>163</v>
      </c>
      <c r="P1538" t="s">
        <v>164</v>
      </c>
    </row>
    <row r="1539" spans="1:17" ht="15" customHeight="1">
      <c r="G1539" t="s">
        <v>165</v>
      </c>
      <c r="H1539" t="s">
        <v>166</v>
      </c>
    </row>
    <row r="1540" spans="1:17" ht="15" customHeight="1">
      <c r="B1540">
        <f>B1559+(0.3*E1550)*2</f>
        <v>3880</v>
      </c>
      <c r="G1540" t="s">
        <v>167</v>
      </c>
      <c r="H1540">
        <f>B1540/1000</f>
        <v>3.88</v>
      </c>
      <c r="K1540" t="s">
        <v>168</v>
      </c>
      <c r="L1540">
        <f>B1559/1000</f>
        <v>2.5</v>
      </c>
      <c r="N1540" t="s">
        <v>169</v>
      </c>
      <c r="O1540">
        <f>E1550/1000</f>
        <v>2.2999999999999998</v>
      </c>
    </row>
    <row r="1541" spans="1:17" ht="15" customHeight="1">
      <c r="G1541" t="s">
        <v>170</v>
      </c>
      <c r="H1541">
        <f>B1540/1000</f>
        <v>3.88</v>
      </c>
      <c r="K1541" t="s">
        <v>171</v>
      </c>
      <c r="L1541">
        <f>B1559/1000</f>
        <v>2.5</v>
      </c>
    </row>
    <row r="1542" spans="1:17" ht="15" customHeight="1">
      <c r="B1542">
        <v>1200</v>
      </c>
      <c r="G1542" t="s">
        <v>172</v>
      </c>
      <c r="P1542">
        <f>ROUNDDOWN(O1540/6*((2*H1540+L1540)*H1541+(2*L1540+H1540)*L1541),2)</f>
        <v>23.77</v>
      </c>
      <c r="Q1542" t="s">
        <v>91</v>
      </c>
    </row>
    <row r="1543" spans="1:17" ht="15" customHeight="1">
      <c r="G1543" t="s">
        <v>173</v>
      </c>
      <c r="H1543" t="s">
        <v>291</v>
      </c>
    </row>
    <row r="1544" spans="1:17" ht="15" customHeight="1">
      <c r="G1544" t="s">
        <v>167</v>
      </c>
      <c r="H1544">
        <f>B1542/1000</f>
        <v>1.2</v>
      </c>
      <c r="I1544" t="s">
        <v>168</v>
      </c>
      <c r="J1544">
        <f>B1545/1000</f>
        <v>1</v>
      </c>
      <c r="L1544" t="s">
        <v>170</v>
      </c>
      <c r="M1544" s="187">
        <f>B1542/1000</f>
        <v>1.2</v>
      </c>
      <c r="N1544" t="s">
        <v>171</v>
      </c>
      <c r="O1544">
        <f>B1545/1000</f>
        <v>1</v>
      </c>
    </row>
    <row r="1545" spans="1:17" ht="15" customHeight="1">
      <c r="B1545">
        <v>1000</v>
      </c>
      <c r="G1545" t="s">
        <v>169</v>
      </c>
      <c r="H1545">
        <f>D1552/1000</f>
        <v>0.2</v>
      </c>
      <c r="J1545" t="s">
        <v>292</v>
      </c>
      <c r="K1545">
        <f>B1557/1000</f>
        <v>2</v>
      </c>
      <c r="L1545" t="s">
        <v>293</v>
      </c>
      <c r="M1545" s="187">
        <f>B1557/1000</f>
        <v>2</v>
      </c>
      <c r="N1545" t="s">
        <v>294</v>
      </c>
      <c r="O1545">
        <f>D1555/1000</f>
        <v>2.1</v>
      </c>
    </row>
    <row r="1546" spans="1:17" ht="15" customHeight="1">
      <c r="P1546">
        <f>ROUNDDOWN(H1545/6*((2*H1544+J1544)*M1544+(2*J1544+H1544)*O1544)+(K1545*M1545*O1545),2)</f>
        <v>8.64</v>
      </c>
      <c r="Q1546" t="s">
        <v>91</v>
      </c>
    </row>
    <row r="1547" spans="1:17" ht="15" customHeight="1">
      <c r="G1547" t="s">
        <v>295</v>
      </c>
      <c r="I1547" t="s">
        <v>296</v>
      </c>
      <c r="J1547" t="s">
        <v>297</v>
      </c>
      <c r="K1547" t="s">
        <v>298</v>
      </c>
    </row>
    <row r="1548" spans="1:17" ht="15" customHeight="1">
      <c r="P1548">
        <f>ROUNDDOWN(P1542-P1546,2)</f>
        <v>15.13</v>
      </c>
      <c r="Q1548" t="s">
        <v>91</v>
      </c>
    </row>
    <row r="1549" spans="1:17" ht="15" customHeight="1">
      <c r="G1549" t="s">
        <v>183</v>
      </c>
      <c r="I1549" t="s">
        <v>299</v>
      </c>
      <c r="J1549" t="s">
        <v>207</v>
      </c>
    </row>
    <row r="1550" spans="1:17" ht="15" customHeight="1">
      <c r="A1550" t="s">
        <v>201</v>
      </c>
      <c r="E1550">
        <f>D1555+D1552</f>
        <v>2300</v>
      </c>
      <c r="P1550">
        <f>P1542-P1548</f>
        <v>8.6399999999999988</v>
      </c>
      <c r="Q1550" t="s">
        <v>91</v>
      </c>
    </row>
    <row r="1551" spans="1:17" ht="15" customHeight="1">
      <c r="G1551" t="s">
        <v>318</v>
      </c>
    </row>
    <row r="1552" spans="1:17" ht="15" customHeight="1">
      <c r="D1552">
        <v>200</v>
      </c>
      <c r="G1552" t="s">
        <v>300</v>
      </c>
      <c r="P1552">
        <f>(2*2.3*4)+(1+1.2)/2*4</f>
        <v>22.799999999999997</v>
      </c>
      <c r="Q1552" t="s">
        <v>192</v>
      </c>
    </row>
    <row r="1553" spans="1:17" ht="15" customHeight="1">
      <c r="G1553" t="s">
        <v>193</v>
      </c>
      <c r="H1553" t="s">
        <v>301</v>
      </c>
      <c r="J1553" t="s">
        <v>302</v>
      </c>
    </row>
    <row r="1554" spans="1:17" ht="15" customHeight="1">
      <c r="P1554">
        <v>8</v>
      </c>
      <c r="Q1554" t="s">
        <v>195</v>
      </c>
    </row>
    <row r="1555" spans="1:17" ht="15" customHeight="1">
      <c r="D1555">
        <v>2100</v>
      </c>
      <c r="G1555" t="s">
        <v>335</v>
      </c>
    </row>
    <row r="1556" spans="1:17" ht="15" customHeight="1">
      <c r="A1556">
        <v>250</v>
      </c>
      <c r="L1556">
        <v>3</v>
      </c>
      <c r="P1556">
        <f>L1556</f>
        <v>3</v>
      </c>
      <c r="Q1556" t="s">
        <v>196</v>
      </c>
    </row>
    <row r="1557" spans="1:17" ht="15" customHeight="1">
      <c r="B1557">
        <v>2000</v>
      </c>
      <c r="G1557" t="s">
        <v>349</v>
      </c>
    </row>
    <row r="1558" spans="1:17" ht="15" customHeight="1">
      <c r="L1558">
        <v>1</v>
      </c>
      <c r="P1558">
        <f>L1558</f>
        <v>1</v>
      </c>
      <c r="Q1558" t="s">
        <v>158</v>
      </c>
    </row>
    <row r="1559" spans="1:17" ht="15" customHeight="1">
      <c r="B1559">
        <f>A1556+B1557+D1560</f>
        <v>2500</v>
      </c>
      <c r="G1559" t="s">
        <v>350</v>
      </c>
    </row>
    <row r="1560" spans="1:17" ht="15" customHeight="1">
      <c r="D1560">
        <v>250</v>
      </c>
      <c r="L1560">
        <v>1</v>
      </c>
      <c r="P1560">
        <f>L1560</f>
        <v>1</v>
      </c>
      <c r="Q1560" t="s">
        <v>196</v>
      </c>
    </row>
    <row r="1561" spans="1:17" ht="15" customHeight="1"/>
    <row r="1562" spans="1:17" ht="15" customHeight="1"/>
    <row r="1563" spans="1:17" ht="15" customHeight="1"/>
    <row r="1564" spans="1:17" ht="15" customHeight="1"/>
    <row r="1565" spans="1:17" ht="15" customHeight="1"/>
    <row r="1566" spans="1:17" ht="15" customHeight="1"/>
    <row r="1567" spans="1:17" ht="15" customHeight="1"/>
    <row r="1568" spans="1:17" ht="15" customHeight="1"/>
    <row r="1569" spans="1:17" ht="24.95" customHeight="1">
      <c r="A1569" t="s">
        <v>351</v>
      </c>
      <c r="G1569" t="s">
        <v>158</v>
      </c>
    </row>
    <row r="1570" spans="1:17" ht="15" customHeight="1">
      <c r="I1570" t="s">
        <v>159</v>
      </c>
      <c r="J1570" t="s">
        <v>160</v>
      </c>
      <c r="K1570" t="s">
        <v>161</v>
      </c>
      <c r="L1570" t="s">
        <v>162</v>
      </c>
      <c r="M1570" s="187" t="s">
        <v>163</v>
      </c>
      <c r="P1570" t="s">
        <v>164</v>
      </c>
    </row>
    <row r="1571" spans="1:17" ht="15" customHeight="1">
      <c r="G1571" t="s">
        <v>165</v>
      </c>
      <c r="H1571" t="s">
        <v>166</v>
      </c>
    </row>
    <row r="1572" spans="1:17" ht="15" customHeight="1">
      <c r="G1572" t="s">
        <v>167</v>
      </c>
      <c r="H1572">
        <f>B1575/1000</f>
        <v>2.44</v>
      </c>
      <c r="K1572" t="s">
        <v>168</v>
      </c>
      <c r="L1572">
        <f>B1573/1000</f>
        <v>0.94</v>
      </c>
      <c r="N1572" t="s">
        <v>169</v>
      </c>
      <c r="O1572">
        <f>(D1586+D1588)/1000</f>
        <v>0.4</v>
      </c>
    </row>
    <row r="1573" spans="1:17" ht="15" customHeight="1">
      <c r="B1573">
        <f>B1597+(0.3*(D1588)*2)</f>
        <v>940</v>
      </c>
      <c r="D1573" t="s">
        <v>352</v>
      </c>
      <c r="G1573" t="s">
        <v>170</v>
      </c>
      <c r="H1573">
        <f>B1595/1000</f>
        <v>2.2000000000000002</v>
      </c>
      <c r="K1573" t="s">
        <v>171</v>
      </c>
      <c r="L1573">
        <f>B1597/1000</f>
        <v>0.7</v>
      </c>
    </row>
    <row r="1574" spans="1:17" ht="15" customHeight="1">
      <c r="G1574" t="s">
        <v>172</v>
      </c>
      <c r="P1574">
        <f>ROUNDDOWN(O1572/6*((2*H1572+L1572)*H1573+(2*L1572+H1572)*L1573),2)</f>
        <v>1.05</v>
      </c>
      <c r="Q1574" t="s">
        <v>91</v>
      </c>
    </row>
    <row r="1575" spans="1:17" ht="15" customHeight="1">
      <c r="B1575">
        <f>B1595+(0.3*(D1588)*2)</f>
        <v>2440</v>
      </c>
      <c r="G1575" t="s">
        <v>173</v>
      </c>
      <c r="H1575" t="s">
        <v>174</v>
      </c>
      <c r="J1575" t="s">
        <v>317</v>
      </c>
    </row>
    <row r="1576" spans="1:17" ht="15" customHeight="1">
      <c r="B1576">
        <v>600</v>
      </c>
      <c r="G1576" t="s">
        <v>167</v>
      </c>
      <c r="H1576">
        <f>B1576/1000</f>
        <v>0.6</v>
      </c>
      <c r="K1576" t="s">
        <v>168</v>
      </c>
      <c r="L1576">
        <f>B1590/1000</f>
        <v>2</v>
      </c>
      <c r="N1576" t="s">
        <v>169</v>
      </c>
      <c r="O1576">
        <f>D1588/1000</f>
        <v>0.4</v>
      </c>
      <c r="P1576">
        <f>ROUNDDOWN(H1576*L1576*O1576,2)</f>
        <v>0.48</v>
      </c>
      <c r="Q1576" t="s">
        <v>175</v>
      </c>
    </row>
    <row r="1577" spans="1:17" ht="15" customHeight="1">
      <c r="G1577" t="s">
        <v>167</v>
      </c>
      <c r="H1577">
        <f>B1576/1000</f>
        <v>0.6</v>
      </c>
      <c r="K1577" t="s">
        <v>168</v>
      </c>
      <c r="L1577">
        <f>B1590/1000</f>
        <v>2</v>
      </c>
      <c r="N1577" t="s">
        <v>169</v>
      </c>
      <c r="O1577">
        <f>D1584/1000</f>
        <v>0.6</v>
      </c>
      <c r="P1577">
        <f>ROUNDDOWN(H1577*L1577*O1577,2)</f>
        <v>0.72</v>
      </c>
      <c r="Q1577" t="s">
        <v>176</v>
      </c>
    </row>
    <row r="1578" spans="1:17" ht="15" customHeight="1"/>
    <row r="1579" spans="1:17" ht="15" customHeight="1"/>
    <row r="1580" spans="1:17" ht="15" customHeight="1">
      <c r="G1580" t="s">
        <v>177</v>
      </c>
      <c r="P1580">
        <f>SUM(P1576:P1579)</f>
        <v>1.2</v>
      </c>
      <c r="Q1580" t="s">
        <v>91</v>
      </c>
    </row>
    <row r="1581" spans="1:17" ht="15" customHeight="1">
      <c r="G1581" t="s">
        <v>178</v>
      </c>
      <c r="I1581" t="s">
        <v>179</v>
      </c>
      <c r="J1581" t="s">
        <v>180</v>
      </c>
      <c r="K1581" t="s">
        <v>181</v>
      </c>
    </row>
    <row r="1582" spans="1:17" ht="15" customHeight="1">
      <c r="I1582" t="s">
        <v>179</v>
      </c>
      <c r="J1582">
        <f>P1574</f>
        <v>1.05</v>
      </c>
      <c r="K1582" t="s">
        <v>182</v>
      </c>
      <c r="L1582">
        <f>P1584</f>
        <v>0.48</v>
      </c>
      <c r="P1582">
        <f>ROUNDDOWN(J1582-L1582,2)</f>
        <v>0.56999999999999995</v>
      </c>
      <c r="Q1582" t="s">
        <v>91</v>
      </c>
    </row>
    <row r="1583" spans="1:17" ht="15" customHeight="1">
      <c r="G1583" t="s">
        <v>183</v>
      </c>
      <c r="I1583" t="s">
        <v>184</v>
      </c>
      <c r="K1583" t="s">
        <v>185</v>
      </c>
    </row>
    <row r="1584" spans="1:17" ht="15" customHeight="1">
      <c r="A1584" t="s">
        <v>201</v>
      </c>
      <c r="D1584">
        <v>600</v>
      </c>
      <c r="E1584">
        <f>D1584+D1586+D1588</f>
        <v>1000</v>
      </c>
      <c r="I1584" t="s">
        <v>184</v>
      </c>
      <c r="L1584">
        <f>P1576</f>
        <v>0.48</v>
      </c>
      <c r="P1584">
        <f>ROUNDDOWN(L1584+N1584,2)</f>
        <v>0.48</v>
      </c>
      <c r="Q1584" t="s">
        <v>91</v>
      </c>
    </row>
    <row r="1585" spans="2:17" ht="15" customHeight="1">
      <c r="G1585" t="s">
        <v>318</v>
      </c>
    </row>
    <row r="1586" spans="2:17" ht="15" customHeight="1">
      <c r="H1586" t="s">
        <v>85</v>
      </c>
      <c r="P1586">
        <f>ROUNDDOWN(0.6*1*2+0.32*1*2,2)</f>
        <v>1.84</v>
      </c>
      <c r="Q1586" t="s">
        <v>192</v>
      </c>
    </row>
    <row r="1587" spans="2:17" ht="15" customHeight="1"/>
    <row r="1588" spans="2:17" ht="15" customHeight="1">
      <c r="D1588">
        <v>400</v>
      </c>
    </row>
    <row r="1589" spans="2:17" ht="15" customHeight="1"/>
    <row r="1590" spans="2:17" ht="15" customHeight="1">
      <c r="B1590">
        <v>2000</v>
      </c>
    </row>
    <row r="1591" spans="2:17" ht="15" customHeight="1">
      <c r="B1591">
        <v>100</v>
      </c>
      <c r="C1591">
        <v>100</v>
      </c>
      <c r="G1591" t="s">
        <v>193</v>
      </c>
      <c r="H1591" t="s">
        <v>320</v>
      </c>
    </row>
    <row r="1592" spans="2:17" ht="15" customHeight="1">
      <c r="B1592">
        <v>500</v>
      </c>
      <c r="P1592">
        <v>4</v>
      </c>
      <c r="Q1592" t="s">
        <v>195</v>
      </c>
    </row>
    <row r="1593" spans="2:17" ht="15" customHeight="1">
      <c r="B1593">
        <v>100</v>
      </c>
      <c r="C1593">
        <v>100</v>
      </c>
      <c r="G1593" t="s">
        <v>228</v>
      </c>
    </row>
    <row r="1594" spans="2:17" ht="15" customHeight="1">
      <c r="L1594">
        <v>10</v>
      </c>
      <c r="P1594">
        <f>L1594</f>
        <v>10</v>
      </c>
      <c r="Q1594" t="s">
        <v>196</v>
      </c>
    </row>
    <row r="1595" spans="2:17" ht="15" customHeight="1">
      <c r="B1595">
        <f>B1591+B1590+C1591</f>
        <v>2200</v>
      </c>
      <c r="G1595" t="s">
        <v>322</v>
      </c>
    </row>
    <row r="1596" spans="2:17" ht="15" customHeight="1">
      <c r="L1596">
        <v>15</v>
      </c>
      <c r="P1596">
        <f>L1596</f>
        <v>15</v>
      </c>
      <c r="Q1596" t="s">
        <v>196</v>
      </c>
    </row>
    <row r="1597" spans="2:17" ht="15" customHeight="1">
      <c r="B1597">
        <f>B1593+B1592+C1593</f>
        <v>700</v>
      </c>
      <c r="G1597" t="s">
        <v>323</v>
      </c>
    </row>
    <row r="1598" spans="2:17" ht="15" customHeight="1">
      <c r="L1598">
        <v>3</v>
      </c>
      <c r="P1598">
        <f>L1598</f>
        <v>3</v>
      </c>
      <c r="Q1598" t="s">
        <v>158</v>
      </c>
    </row>
    <row r="1599" spans="2:17" ht="15" customHeight="1"/>
    <row r="1600" spans="2:17" ht="15" customHeight="1"/>
    <row r="1601" spans="1:17" ht="15" customHeight="1"/>
    <row r="1602" spans="1:17" ht="24.95" customHeight="1">
      <c r="A1602" t="s">
        <v>351</v>
      </c>
      <c r="G1602" t="s">
        <v>158</v>
      </c>
    </row>
    <row r="1603" spans="1:17" ht="15" customHeight="1">
      <c r="I1603" t="s">
        <v>159</v>
      </c>
      <c r="J1603" t="s">
        <v>160</v>
      </c>
      <c r="K1603" t="s">
        <v>161</v>
      </c>
      <c r="L1603" t="s">
        <v>162</v>
      </c>
      <c r="M1603" s="187" t="s">
        <v>163</v>
      </c>
      <c r="P1603" t="s">
        <v>164</v>
      </c>
    </row>
    <row r="1604" spans="1:17" ht="15" customHeight="1">
      <c r="G1604" t="s">
        <v>165</v>
      </c>
      <c r="H1604" t="s">
        <v>166</v>
      </c>
    </row>
    <row r="1605" spans="1:17" ht="15" customHeight="1">
      <c r="G1605" t="s">
        <v>167</v>
      </c>
      <c r="H1605">
        <f>B1608/1000</f>
        <v>1.1399999999999999</v>
      </c>
      <c r="K1605" t="s">
        <v>168</v>
      </c>
      <c r="L1605">
        <f>B1606/1000</f>
        <v>0.94</v>
      </c>
      <c r="N1605" t="s">
        <v>169</v>
      </c>
      <c r="O1605">
        <f>(D1619+D1621)/1000</f>
        <v>0.4</v>
      </c>
    </row>
    <row r="1606" spans="1:17" ht="15" customHeight="1">
      <c r="B1606">
        <f>B1630+(0.3*(D1621)*2)</f>
        <v>940</v>
      </c>
      <c r="D1606" t="s">
        <v>352</v>
      </c>
      <c r="G1606" t="s">
        <v>170</v>
      </c>
      <c r="H1606">
        <f>B1628/1000</f>
        <v>0.9</v>
      </c>
      <c r="K1606" t="s">
        <v>171</v>
      </c>
      <c r="L1606">
        <f>B1630/1000</f>
        <v>0.7</v>
      </c>
    </row>
    <row r="1607" spans="1:17" ht="15" customHeight="1">
      <c r="G1607" t="s">
        <v>172</v>
      </c>
      <c r="P1607">
        <f>ROUNDDOWN(O1605/6*((2*H1605+L1605)*H1606+(2*L1605+H1605)*L1606),2)</f>
        <v>0.33</v>
      </c>
      <c r="Q1607" t="s">
        <v>91</v>
      </c>
    </row>
    <row r="1608" spans="1:17" ht="15" customHeight="1">
      <c r="B1608">
        <f>B1628+(0.3*(D1621)*2)</f>
        <v>1140</v>
      </c>
      <c r="G1608" t="s">
        <v>173</v>
      </c>
      <c r="H1608" t="s">
        <v>174</v>
      </c>
      <c r="J1608" t="s">
        <v>317</v>
      </c>
    </row>
    <row r="1609" spans="1:17" ht="15" customHeight="1">
      <c r="B1609">
        <v>500</v>
      </c>
      <c r="G1609" t="s">
        <v>167</v>
      </c>
      <c r="H1609">
        <f>B1609/1000</f>
        <v>0.5</v>
      </c>
      <c r="K1609" t="s">
        <v>168</v>
      </c>
      <c r="L1609">
        <f>B1623/1000</f>
        <v>0.7</v>
      </c>
      <c r="N1609" t="s">
        <v>169</v>
      </c>
      <c r="O1609">
        <f>D1621/1000</f>
        <v>0.4</v>
      </c>
      <c r="P1609">
        <f>ROUNDDOWN(H1609*L1609*O1609,2)</f>
        <v>0.14000000000000001</v>
      </c>
      <c r="Q1609" t="s">
        <v>175</v>
      </c>
    </row>
    <row r="1610" spans="1:17" ht="15" customHeight="1">
      <c r="G1610" t="s">
        <v>167</v>
      </c>
      <c r="H1610">
        <f>B1609/1000</f>
        <v>0.5</v>
      </c>
      <c r="K1610" t="s">
        <v>168</v>
      </c>
      <c r="L1610">
        <f>B1623/1000</f>
        <v>0.7</v>
      </c>
      <c r="N1610" t="s">
        <v>169</v>
      </c>
      <c r="O1610">
        <f>D1617/1000</f>
        <v>0.6</v>
      </c>
      <c r="P1610">
        <f>ROUNDDOWN(H1610*L1610*O1610,2)</f>
        <v>0.21</v>
      </c>
      <c r="Q1610" t="s">
        <v>176</v>
      </c>
    </row>
    <row r="1611" spans="1:17" ht="15" customHeight="1"/>
    <row r="1612" spans="1:17" ht="15" customHeight="1"/>
    <row r="1613" spans="1:17" ht="15" customHeight="1">
      <c r="G1613" t="s">
        <v>177</v>
      </c>
      <c r="P1613">
        <f>SUM(P1609:P1612)</f>
        <v>0.35</v>
      </c>
      <c r="Q1613" t="s">
        <v>91</v>
      </c>
    </row>
    <row r="1614" spans="1:17" ht="15" customHeight="1">
      <c r="G1614" t="s">
        <v>178</v>
      </c>
      <c r="I1614" t="s">
        <v>179</v>
      </c>
      <c r="J1614" t="s">
        <v>180</v>
      </c>
      <c r="K1614" t="s">
        <v>181</v>
      </c>
    </row>
    <row r="1615" spans="1:17" ht="15" customHeight="1">
      <c r="I1615" t="s">
        <v>179</v>
      </c>
      <c r="J1615">
        <f>P1607</f>
        <v>0.33</v>
      </c>
      <c r="K1615" t="s">
        <v>182</v>
      </c>
      <c r="L1615">
        <f>P1617</f>
        <v>0.14000000000000001</v>
      </c>
      <c r="P1615">
        <f>ROUNDDOWN(J1615-L1615,2)</f>
        <v>0.19</v>
      </c>
      <c r="Q1615" t="s">
        <v>91</v>
      </c>
    </row>
    <row r="1616" spans="1:17" ht="15" customHeight="1">
      <c r="G1616" t="s">
        <v>183</v>
      </c>
      <c r="I1616" t="s">
        <v>184</v>
      </c>
      <c r="K1616" t="s">
        <v>185</v>
      </c>
    </row>
    <row r="1617" spans="1:17" ht="15" customHeight="1">
      <c r="A1617" t="s">
        <v>201</v>
      </c>
      <c r="D1617">
        <v>600</v>
      </c>
      <c r="E1617">
        <f>D1617+D1619+D1621</f>
        <v>1000</v>
      </c>
      <c r="I1617" t="s">
        <v>184</v>
      </c>
      <c r="L1617">
        <f>P1609</f>
        <v>0.14000000000000001</v>
      </c>
      <c r="P1617">
        <f>ROUNDDOWN(L1617+N1617,2)</f>
        <v>0.14000000000000001</v>
      </c>
      <c r="Q1617" t="s">
        <v>91</v>
      </c>
    </row>
    <row r="1618" spans="1:17" ht="15" customHeight="1">
      <c r="G1618" t="s">
        <v>318</v>
      </c>
    </row>
    <row r="1619" spans="1:17" ht="15" customHeight="1">
      <c r="H1619" t="s">
        <v>85</v>
      </c>
      <c r="P1619">
        <f>ROUNDDOWN(0.6*1*2+0.32*1*2,2)</f>
        <v>1.84</v>
      </c>
      <c r="Q1619" t="s">
        <v>192</v>
      </c>
    </row>
    <row r="1620" spans="1:17" ht="15" customHeight="1"/>
    <row r="1621" spans="1:17" ht="15" customHeight="1">
      <c r="D1621">
        <v>400</v>
      </c>
    </row>
    <row r="1622" spans="1:17" ht="15" customHeight="1"/>
    <row r="1623" spans="1:17" ht="15" customHeight="1">
      <c r="B1623">
        <v>700</v>
      </c>
    </row>
    <row r="1624" spans="1:17" ht="15" customHeight="1">
      <c r="B1624">
        <v>100</v>
      </c>
      <c r="C1624">
        <v>100</v>
      </c>
      <c r="G1624" t="s">
        <v>193</v>
      </c>
      <c r="H1624" t="s">
        <v>320</v>
      </c>
    </row>
    <row r="1625" spans="1:17" ht="15" customHeight="1">
      <c r="B1625">
        <v>500</v>
      </c>
      <c r="P1625">
        <v>4</v>
      </c>
      <c r="Q1625" t="s">
        <v>195</v>
      </c>
    </row>
    <row r="1626" spans="1:17" ht="15" customHeight="1">
      <c r="B1626">
        <v>100</v>
      </c>
      <c r="C1626">
        <v>100</v>
      </c>
      <c r="G1626" t="s">
        <v>228</v>
      </c>
    </row>
    <row r="1627" spans="1:17" ht="15" customHeight="1">
      <c r="L1627">
        <v>10</v>
      </c>
      <c r="P1627">
        <f>L1627</f>
        <v>10</v>
      </c>
      <c r="Q1627" t="s">
        <v>196</v>
      </c>
    </row>
    <row r="1628" spans="1:17" ht="15" customHeight="1">
      <c r="B1628">
        <f>B1624+B1623+C1624</f>
        <v>900</v>
      </c>
      <c r="G1628" t="s">
        <v>322</v>
      </c>
    </row>
    <row r="1629" spans="1:17" ht="15" customHeight="1">
      <c r="L1629">
        <v>10</v>
      </c>
      <c r="P1629">
        <f>L1629</f>
        <v>10</v>
      </c>
      <c r="Q1629" t="s">
        <v>196</v>
      </c>
    </row>
    <row r="1630" spans="1:17" ht="15" customHeight="1">
      <c r="B1630">
        <f>B1626+B1625+C1626</f>
        <v>700</v>
      </c>
      <c r="G1630" t="s">
        <v>353</v>
      </c>
    </row>
    <row r="1631" spans="1:17" ht="15" customHeight="1">
      <c r="L1631">
        <v>3</v>
      </c>
      <c r="P1631">
        <f>L1631</f>
        <v>3</v>
      </c>
      <c r="Q1631" t="s">
        <v>158</v>
      </c>
    </row>
    <row r="1632" spans="1:17" ht="15" customHeight="1"/>
    <row r="1633" spans="1:17" ht="15" customHeight="1"/>
    <row r="1634" spans="1:17" ht="24.95" customHeight="1">
      <c r="A1634" t="s">
        <v>354</v>
      </c>
      <c r="G1634" t="s">
        <v>158</v>
      </c>
    </row>
    <row r="1635" spans="1:17" ht="15" customHeight="1">
      <c r="C1635" t="s">
        <v>355</v>
      </c>
      <c r="I1635" t="s">
        <v>159</v>
      </c>
      <c r="J1635" t="s">
        <v>160</v>
      </c>
      <c r="K1635" t="s">
        <v>161</v>
      </c>
      <c r="L1635" t="s">
        <v>162</v>
      </c>
      <c r="M1635" s="187" t="s">
        <v>163</v>
      </c>
      <c r="P1635" t="s">
        <v>164</v>
      </c>
    </row>
    <row r="1636" spans="1:17" ht="15" customHeight="1">
      <c r="G1636" t="s">
        <v>165</v>
      </c>
      <c r="H1636" t="s">
        <v>166</v>
      </c>
    </row>
    <row r="1637" spans="1:17" ht="15" customHeight="1">
      <c r="G1637" t="s">
        <v>167</v>
      </c>
      <c r="H1637">
        <f>B1640/1000</f>
        <v>0.84</v>
      </c>
      <c r="K1637" t="s">
        <v>168</v>
      </c>
      <c r="L1637">
        <f>B1656/1000</f>
        <v>0.6</v>
      </c>
      <c r="N1637" t="s">
        <v>169</v>
      </c>
      <c r="O1637">
        <f>D1651/1000</f>
        <v>0.4</v>
      </c>
    </row>
    <row r="1638" spans="1:17" ht="15" customHeight="1">
      <c r="G1638" t="s">
        <v>170</v>
      </c>
      <c r="H1638">
        <f>B1640/1000</f>
        <v>0.84</v>
      </c>
      <c r="K1638" t="s">
        <v>171</v>
      </c>
      <c r="L1638">
        <f>B1656/1000</f>
        <v>0.6</v>
      </c>
    </row>
    <row r="1639" spans="1:17" ht="15" customHeight="1">
      <c r="G1639" t="s">
        <v>172</v>
      </c>
      <c r="P1639">
        <f>ROUNDDOWN(O1637/6*((2*H1637+L1637)*H1638+(2*L1637+H1637)*L1638),2)</f>
        <v>0.2</v>
      </c>
      <c r="Q1639" t="s">
        <v>91</v>
      </c>
    </row>
    <row r="1640" spans="1:17" ht="15" customHeight="1">
      <c r="B1640">
        <f>B1656+(0.3*D1651)*2</f>
        <v>840</v>
      </c>
      <c r="G1640" t="s">
        <v>173</v>
      </c>
      <c r="H1640" t="s">
        <v>197</v>
      </c>
    </row>
    <row r="1641" spans="1:17" ht="15" customHeight="1">
      <c r="G1641" t="s">
        <v>167</v>
      </c>
      <c r="H1641">
        <f>B1653/1000</f>
        <v>0.4</v>
      </c>
      <c r="K1641" t="s">
        <v>83</v>
      </c>
      <c r="L1641">
        <f>B1642/1000</f>
        <v>0.3</v>
      </c>
      <c r="N1641" t="s">
        <v>169</v>
      </c>
      <c r="O1641">
        <f>O1637</f>
        <v>0.4</v>
      </c>
    </row>
    <row r="1642" spans="1:17" ht="15" customHeight="1">
      <c r="B1642">
        <v>300</v>
      </c>
      <c r="G1642" t="s">
        <v>170</v>
      </c>
      <c r="H1642">
        <f>B1653/1000</f>
        <v>0.4</v>
      </c>
      <c r="K1642" t="s">
        <v>84</v>
      </c>
      <c r="L1642">
        <f>B1642/1000</f>
        <v>0.3</v>
      </c>
    </row>
    <row r="1643" spans="1:17" ht="15" customHeight="1">
      <c r="G1643" t="s">
        <v>177</v>
      </c>
      <c r="P1643">
        <f>ROUNDDOWN(O1641/6*((2*H1641+L1641)*H1642+(2*L1641+H1641)*L1642),2)</f>
        <v>0.04</v>
      </c>
      <c r="Q1643" t="s">
        <v>91</v>
      </c>
    </row>
    <row r="1644" spans="1:17" ht="15" customHeight="1">
      <c r="G1644" t="s">
        <v>178</v>
      </c>
      <c r="I1644" t="s">
        <v>179</v>
      </c>
      <c r="J1644" t="s">
        <v>180</v>
      </c>
      <c r="K1644" t="s">
        <v>181</v>
      </c>
    </row>
    <row r="1645" spans="1:17" ht="15" customHeight="1">
      <c r="L1645" t="s">
        <v>198</v>
      </c>
      <c r="M1645" s="187" t="s">
        <v>344</v>
      </c>
      <c r="P1645">
        <f>P1639-P1643</f>
        <v>0.16</v>
      </c>
      <c r="Q1645" t="s">
        <v>91</v>
      </c>
    </row>
    <row r="1646" spans="1:17" ht="15" customHeight="1">
      <c r="G1646" t="s">
        <v>183</v>
      </c>
      <c r="I1646" t="s">
        <v>184</v>
      </c>
      <c r="J1646" t="s">
        <v>200</v>
      </c>
    </row>
    <row r="1647" spans="1:17" ht="15" customHeight="1">
      <c r="A1647" t="s">
        <v>201</v>
      </c>
      <c r="P1647">
        <f>P1643</f>
        <v>0.04</v>
      </c>
      <c r="Q1647" t="s">
        <v>91</v>
      </c>
    </row>
    <row r="1648" spans="1:17" ht="15" customHeight="1">
      <c r="G1648" t="s">
        <v>318</v>
      </c>
    </row>
    <row r="1649" spans="1:17" ht="15" customHeight="1">
      <c r="G1649" t="s">
        <v>187</v>
      </c>
      <c r="H1649">
        <f>B1653/1000</f>
        <v>0.4</v>
      </c>
      <c r="I1649" t="s">
        <v>188</v>
      </c>
      <c r="J1649">
        <f>B1642/1000</f>
        <v>0.3</v>
      </c>
      <c r="K1649" t="s">
        <v>189</v>
      </c>
      <c r="L1649" t="s">
        <v>190</v>
      </c>
      <c r="M1649" s="187">
        <f>D1651/1000</f>
        <v>0.4</v>
      </c>
      <c r="N1649" t="s">
        <v>191</v>
      </c>
      <c r="O1649">
        <v>4</v>
      </c>
      <c r="P1649">
        <f>((H1649+J1649)/2*M1649)*O1649</f>
        <v>0.55999999999999994</v>
      </c>
      <c r="Q1649" t="s">
        <v>192</v>
      </c>
    </row>
    <row r="1650" spans="1:17" ht="15" customHeight="1"/>
    <row r="1651" spans="1:17" ht="15" customHeight="1">
      <c r="D1651">
        <v>400</v>
      </c>
    </row>
    <row r="1652" spans="1:17" ht="15" customHeight="1"/>
    <row r="1653" spans="1:17" ht="15" customHeight="1">
      <c r="B1653">
        <v>400</v>
      </c>
    </row>
    <row r="1654" spans="1:17" ht="15" customHeight="1">
      <c r="B1654">
        <v>100</v>
      </c>
      <c r="C1654">
        <v>100</v>
      </c>
      <c r="G1654" t="s">
        <v>193</v>
      </c>
      <c r="H1654" t="s">
        <v>320</v>
      </c>
    </row>
    <row r="1655" spans="1:17" ht="15" customHeight="1">
      <c r="P1655">
        <v>4</v>
      </c>
      <c r="Q1655" t="s">
        <v>195</v>
      </c>
    </row>
    <row r="1656" spans="1:17" ht="15" customHeight="1">
      <c r="B1656">
        <f>B1653+B1654+C1654</f>
        <v>600</v>
      </c>
      <c r="G1656" t="s">
        <v>228</v>
      </c>
    </row>
    <row r="1657" spans="1:17" ht="15" customHeight="1">
      <c r="P1657">
        <f>L1657</f>
        <v>0</v>
      </c>
      <c r="Q1657" t="s">
        <v>196</v>
      </c>
    </row>
    <row r="1658" spans="1:17" ht="15" customHeight="1">
      <c r="G1658" t="s">
        <v>322</v>
      </c>
    </row>
    <row r="1659" spans="1:17" ht="15" customHeight="1">
      <c r="P1659">
        <f>L1659</f>
        <v>0</v>
      </c>
      <c r="Q1659" t="s">
        <v>196</v>
      </c>
    </row>
    <row r="1660" spans="1:17" ht="15" customHeight="1">
      <c r="G1660" t="s">
        <v>323</v>
      </c>
    </row>
    <row r="1661" spans="1:17" ht="15" customHeight="1">
      <c r="P1661">
        <f>L1661</f>
        <v>0</v>
      </c>
      <c r="Q1661" t="s">
        <v>158</v>
      </c>
    </row>
    <row r="1662" spans="1:17" ht="15" customHeight="1"/>
    <row r="1663" spans="1:17" ht="15" customHeight="1"/>
    <row r="1664" spans="1:17" ht="24.95" customHeight="1">
      <c r="A1664" t="s">
        <v>356</v>
      </c>
      <c r="G1664" t="s">
        <v>158</v>
      </c>
    </row>
    <row r="1665" spans="1:17" ht="15" customHeight="1">
      <c r="C1665" t="s">
        <v>357</v>
      </c>
      <c r="I1665" t="s">
        <v>159</v>
      </c>
      <c r="J1665" t="s">
        <v>160</v>
      </c>
      <c r="K1665" t="s">
        <v>161</v>
      </c>
      <c r="L1665" t="s">
        <v>162</v>
      </c>
      <c r="M1665" s="187" t="s">
        <v>163</v>
      </c>
      <c r="P1665" t="s">
        <v>164</v>
      </c>
    </row>
    <row r="1666" spans="1:17" ht="15" customHeight="1">
      <c r="G1666" t="s">
        <v>165</v>
      </c>
      <c r="H1666" t="s">
        <v>166</v>
      </c>
    </row>
    <row r="1667" spans="1:17" ht="15" customHeight="1">
      <c r="G1667" t="s">
        <v>167</v>
      </c>
      <c r="H1667">
        <f>B1670/1000</f>
        <v>3.1</v>
      </c>
      <c r="K1667" t="s">
        <v>168</v>
      </c>
      <c r="L1667">
        <f>B1686/1000</f>
        <v>2.2000000000000002</v>
      </c>
      <c r="N1667" t="s">
        <v>169</v>
      </c>
      <c r="O1667">
        <f>D1681/1000</f>
        <v>1.5</v>
      </c>
    </row>
    <row r="1668" spans="1:17" ht="15" customHeight="1">
      <c r="G1668" t="s">
        <v>170</v>
      </c>
      <c r="H1668">
        <f>B1670/1000</f>
        <v>3.1</v>
      </c>
      <c r="K1668" t="s">
        <v>171</v>
      </c>
      <c r="L1668">
        <f>B1686/1000</f>
        <v>2.2000000000000002</v>
      </c>
    </row>
    <row r="1669" spans="1:17" ht="15" customHeight="1">
      <c r="G1669" t="s">
        <v>172</v>
      </c>
      <c r="P1669">
        <f>ROUNDDOWN(O1667/6*((2*H1667+L1667)*H1668+(2*L1667+H1667)*L1668),2)</f>
        <v>10.63</v>
      </c>
      <c r="Q1669" t="s">
        <v>91</v>
      </c>
    </row>
    <row r="1670" spans="1:17" ht="15" customHeight="1">
      <c r="B1670">
        <f>B1686+(0.3*D1681)*2</f>
        <v>3100</v>
      </c>
      <c r="G1670" t="s">
        <v>173</v>
      </c>
      <c r="H1670" t="s">
        <v>197</v>
      </c>
    </row>
    <row r="1671" spans="1:17" ht="15" customHeight="1">
      <c r="G1671" t="s">
        <v>167</v>
      </c>
      <c r="H1671">
        <f>B1683/1000</f>
        <v>2</v>
      </c>
      <c r="K1671" t="s">
        <v>83</v>
      </c>
      <c r="L1671">
        <f>B1672/1000</f>
        <v>0.6</v>
      </c>
      <c r="N1671" t="s">
        <v>169</v>
      </c>
      <c r="O1671">
        <f>O1667</f>
        <v>1.5</v>
      </c>
    </row>
    <row r="1672" spans="1:17" ht="15" customHeight="1">
      <c r="B1672">
        <v>600</v>
      </c>
      <c r="G1672" t="s">
        <v>170</v>
      </c>
      <c r="H1672">
        <f>B1683/1000</f>
        <v>2</v>
      </c>
      <c r="K1672" t="s">
        <v>84</v>
      </c>
      <c r="L1672">
        <f>B1672/1000</f>
        <v>0.6</v>
      </c>
    </row>
    <row r="1673" spans="1:17" ht="15" customHeight="1">
      <c r="G1673" t="s">
        <v>177</v>
      </c>
      <c r="P1673">
        <f>ROUNDDOWN(O1671/6*((2*H1671+L1671)*H1672+(2*L1671+H1671)*L1672),2)</f>
        <v>2.78</v>
      </c>
      <c r="Q1673" t="s">
        <v>91</v>
      </c>
    </row>
    <row r="1674" spans="1:17" ht="15" customHeight="1">
      <c r="G1674" t="s">
        <v>178</v>
      </c>
      <c r="I1674" t="s">
        <v>179</v>
      </c>
      <c r="J1674" t="s">
        <v>180</v>
      </c>
      <c r="K1674" t="s">
        <v>181</v>
      </c>
    </row>
    <row r="1675" spans="1:17" ht="15" customHeight="1">
      <c r="L1675" t="s">
        <v>198</v>
      </c>
      <c r="M1675" s="187" t="s">
        <v>344</v>
      </c>
      <c r="P1675">
        <f>P1669-P1673</f>
        <v>7.8500000000000014</v>
      </c>
      <c r="Q1675" t="s">
        <v>91</v>
      </c>
    </row>
    <row r="1676" spans="1:17" ht="15" customHeight="1">
      <c r="G1676" t="s">
        <v>183</v>
      </c>
      <c r="I1676" t="s">
        <v>184</v>
      </c>
      <c r="J1676" t="s">
        <v>200</v>
      </c>
    </row>
    <row r="1677" spans="1:17" ht="15" customHeight="1">
      <c r="A1677" t="s">
        <v>201</v>
      </c>
      <c r="P1677">
        <f>P1673</f>
        <v>2.78</v>
      </c>
      <c r="Q1677" t="s">
        <v>91</v>
      </c>
    </row>
    <row r="1678" spans="1:17" ht="15" customHeight="1">
      <c r="G1678" t="s">
        <v>318</v>
      </c>
    </row>
    <row r="1679" spans="1:17" ht="15" customHeight="1">
      <c r="G1679" t="s">
        <v>187</v>
      </c>
      <c r="H1679">
        <f>B1683/1000</f>
        <v>2</v>
      </c>
      <c r="I1679" t="s">
        <v>188</v>
      </c>
      <c r="J1679">
        <f>B1672/1000</f>
        <v>0.6</v>
      </c>
      <c r="K1679" t="s">
        <v>189</v>
      </c>
      <c r="L1679" t="s">
        <v>190</v>
      </c>
      <c r="M1679" s="187">
        <f>D1681/1000</f>
        <v>1.5</v>
      </c>
      <c r="N1679" t="s">
        <v>191</v>
      </c>
      <c r="O1679">
        <v>4</v>
      </c>
      <c r="P1679">
        <f>((H1679+J1679)/2*M1679)*O1679</f>
        <v>7.8000000000000007</v>
      </c>
      <c r="Q1679" t="s">
        <v>192</v>
      </c>
    </row>
    <row r="1680" spans="1:17" ht="15" customHeight="1"/>
    <row r="1681" spans="1:17" ht="15" customHeight="1">
      <c r="D1681">
        <v>1500</v>
      </c>
    </row>
    <row r="1682" spans="1:17" ht="15" customHeight="1"/>
    <row r="1683" spans="1:17" ht="15" customHeight="1">
      <c r="B1683">
        <v>2000</v>
      </c>
    </row>
    <row r="1684" spans="1:17" ht="15" customHeight="1">
      <c r="B1684">
        <v>100</v>
      </c>
      <c r="C1684">
        <v>100</v>
      </c>
      <c r="G1684" t="s">
        <v>193</v>
      </c>
    </row>
    <row r="1685" spans="1:17" ht="15" customHeight="1">
      <c r="P1685">
        <v>4</v>
      </c>
      <c r="Q1685" t="s">
        <v>195</v>
      </c>
    </row>
    <row r="1686" spans="1:17" ht="15" customHeight="1">
      <c r="B1686">
        <f>B1683+B1684+C1684</f>
        <v>2200</v>
      </c>
      <c r="G1686" t="s">
        <v>335</v>
      </c>
    </row>
    <row r="1687" spans="1:17" ht="15" customHeight="1">
      <c r="L1687">
        <v>3</v>
      </c>
      <c r="P1687">
        <f>L1687</f>
        <v>3</v>
      </c>
      <c r="Q1687" t="s">
        <v>196</v>
      </c>
    </row>
    <row r="1688" spans="1:17" ht="15" customHeight="1">
      <c r="G1688" t="s">
        <v>336</v>
      </c>
    </row>
    <row r="1689" spans="1:17" ht="15" customHeight="1">
      <c r="L1689">
        <v>1</v>
      </c>
      <c r="P1689">
        <f>L1689</f>
        <v>1</v>
      </c>
      <c r="Q1689" t="s">
        <v>158</v>
      </c>
    </row>
    <row r="1690" spans="1:17" ht="15" customHeight="1">
      <c r="G1690" t="s">
        <v>337</v>
      </c>
    </row>
    <row r="1691" spans="1:17" ht="15" customHeight="1">
      <c r="L1691">
        <v>1</v>
      </c>
      <c r="P1691">
        <f>L1691</f>
        <v>1</v>
      </c>
      <c r="Q1691" t="s">
        <v>196</v>
      </c>
    </row>
    <row r="1692" spans="1:17" ht="15" customHeight="1">
      <c r="G1692" t="s">
        <v>338</v>
      </c>
      <c r="J1692" t="s">
        <v>339</v>
      </c>
    </row>
    <row r="1693" spans="1:17" ht="15" customHeight="1">
      <c r="G1693" t="s">
        <v>167</v>
      </c>
      <c r="H1693">
        <v>1</v>
      </c>
      <c r="K1693" t="s">
        <v>170</v>
      </c>
      <c r="L1693">
        <v>1</v>
      </c>
      <c r="N1693" t="s">
        <v>169</v>
      </c>
      <c r="O1693">
        <v>0.1</v>
      </c>
      <c r="P1693">
        <f>ROUNDDOWN(H1693*L1693*O1693,2)</f>
        <v>0.1</v>
      </c>
      <c r="Q1693" t="s">
        <v>91</v>
      </c>
    </row>
    <row r="1694" spans="1:17" ht="15" customHeight="1"/>
    <row r="1695" spans="1:17" ht="15" customHeight="1"/>
    <row r="1696" spans="1:17" ht="24.95" customHeight="1">
      <c r="A1696" t="s">
        <v>356</v>
      </c>
      <c r="G1696" t="s">
        <v>158</v>
      </c>
    </row>
    <row r="1697" spans="1:17" ht="15" customHeight="1">
      <c r="C1697" t="s">
        <v>358</v>
      </c>
      <c r="I1697" t="s">
        <v>159</v>
      </c>
      <c r="J1697" t="s">
        <v>160</v>
      </c>
      <c r="K1697" t="s">
        <v>161</v>
      </c>
      <c r="L1697" t="s">
        <v>162</v>
      </c>
      <c r="M1697" s="187" t="s">
        <v>163</v>
      </c>
      <c r="P1697" t="s">
        <v>164</v>
      </c>
    </row>
    <row r="1698" spans="1:17" ht="15" customHeight="1">
      <c r="G1698" t="s">
        <v>165</v>
      </c>
      <c r="H1698" t="s">
        <v>166</v>
      </c>
    </row>
    <row r="1699" spans="1:17" ht="15" customHeight="1">
      <c r="G1699" t="s">
        <v>167</v>
      </c>
      <c r="H1699">
        <f>B1702/1000</f>
        <v>1</v>
      </c>
      <c r="K1699" t="s">
        <v>168</v>
      </c>
      <c r="L1699">
        <f>B1718/1000</f>
        <v>0.7</v>
      </c>
      <c r="N1699" t="s">
        <v>169</v>
      </c>
      <c r="O1699">
        <f>D1713/1000</f>
        <v>0.5</v>
      </c>
    </row>
    <row r="1700" spans="1:17" ht="15" customHeight="1">
      <c r="G1700" t="s">
        <v>170</v>
      </c>
      <c r="H1700">
        <f>B1702/1000</f>
        <v>1</v>
      </c>
      <c r="K1700" t="s">
        <v>171</v>
      </c>
      <c r="L1700">
        <f>B1718/1000</f>
        <v>0.7</v>
      </c>
    </row>
    <row r="1701" spans="1:17" ht="15" customHeight="1">
      <c r="G1701" t="s">
        <v>172</v>
      </c>
      <c r="P1701">
        <f>ROUNDDOWN(O1699/6*((2*H1699+L1699)*H1700+(2*L1699+H1699)*L1700),2)</f>
        <v>0.36</v>
      </c>
      <c r="Q1701" t="s">
        <v>91</v>
      </c>
    </row>
    <row r="1702" spans="1:17" ht="15" customHeight="1">
      <c r="B1702">
        <f>B1718+(0.3*D1713)*2</f>
        <v>1000</v>
      </c>
      <c r="G1702" t="s">
        <v>173</v>
      </c>
      <c r="H1702" t="s">
        <v>197</v>
      </c>
    </row>
    <row r="1703" spans="1:17" ht="15" customHeight="1">
      <c r="G1703" t="s">
        <v>167</v>
      </c>
      <c r="H1703">
        <f>B1715/1000</f>
        <v>0.5</v>
      </c>
      <c r="K1703" t="s">
        <v>83</v>
      </c>
      <c r="L1703">
        <f>B1704/1000</f>
        <v>0.3</v>
      </c>
      <c r="N1703" t="s">
        <v>169</v>
      </c>
      <c r="O1703">
        <f>O1699</f>
        <v>0.5</v>
      </c>
    </row>
    <row r="1704" spans="1:17" ht="15" customHeight="1">
      <c r="B1704">
        <v>300</v>
      </c>
      <c r="G1704" t="s">
        <v>170</v>
      </c>
      <c r="H1704">
        <f>B1715/1000</f>
        <v>0.5</v>
      </c>
      <c r="K1704" t="s">
        <v>84</v>
      </c>
      <c r="L1704">
        <f>B1704/1000</f>
        <v>0.3</v>
      </c>
    </row>
    <row r="1705" spans="1:17" ht="15" customHeight="1">
      <c r="G1705" t="s">
        <v>177</v>
      </c>
      <c r="P1705">
        <f>ROUNDDOWN(O1703/6*((2*H1703+L1703)*H1704+(2*L1703+H1703)*L1704),2)</f>
        <v>0.08</v>
      </c>
      <c r="Q1705" t="s">
        <v>91</v>
      </c>
    </row>
    <row r="1706" spans="1:17" ht="15" customHeight="1">
      <c r="G1706" t="s">
        <v>178</v>
      </c>
      <c r="I1706" t="s">
        <v>179</v>
      </c>
      <c r="J1706" t="s">
        <v>180</v>
      </c>
      <c r="K1706" t="s">
        <v>181</v>
      </c>
    </row>
    <row r="1707" spans="1:17" ht="15" customHeight="1">
      <c r="L1707" t="s">
        <v>198</v>
      </c>
      <c r="M1707" s="187" t="s">
        <v>344</v>
      </c>
      <c r="P1707">
        <f>P1701-P1705</f>
        <v>0.27999999999999997</v>
      </c>
      <c r="Q1707" t="s">
        <v>91</v>
      </c>
    </row>
    <row r="1708" spans="1:17" ht="15" customHeight="1">
      <c r="G1708" t="s">
        <v>183</v>
      </c>
      <c r="I1708" t="s">
        <v>184</v>
      </c>
      <c r="J1708" t="s">
        <v>200</v>
      </c>
    </row>
    <row r="1709" spans="1:17" ht="15" customHeight="1">
      <c r="A1709" t="s">
        <v>201</v>
      </c>
      <c r="P1709">
        <f>P1705</f>
        <v>0.08</v>
      </c>
      <c r="Q1709" t="s">
        <v>91</v>
      </c>
    </row>
    <row r="1710" spans="1:17" ht="15" customHeight="1">
      <c r="G1710" t="s">
        <v>318</v>
      </c>
    </row>
    <row r="1711" spans="1:17" ht="15" customHeight="1">
      <c r="G1711" t="s">
        <v>187</v>
      </c>
      <c r="H1711">
        <f>B1715/1000</f>
        <v>0.5</v>
      </c>
      <c r="I1711" t="s">
        <v>188</v>
      </c>
      <c r="J1711">
        <f>B1704/1000</f>
        <v>0.3</v>
      </c>
      <c r="K1711" t="s">
        <v>189</v>
      </c>
      <c r="L1711" t="s">
        <v>190</v>
      </c>
      <c r="M1711" s="187">
        <f>D1713/1000</f>
        <v>0.5</v>
      </c>
      <c r="N1711" t="s">
        <v>191</v>
      </c>
      <c r="O1711">
        <v>4</v>
      </c>
      <c r="P1711">
        <f>((H1711+J1711)/2*M1711)*O1711</f>
        <v>0.8</v>
      </c>
      <c r="Q1711" t="s">
        <v>192</v>
      </c>
    </row>
    <row r="1712" spans="1:17" ht="15" customHeight="1"/>
    <row r="1713" spans="2:17" ht="15" customHeight="1">
      <c r="D1713">
        <v>500</v>
      </c>
    </row>
    <row r="1714" spans="2:17" ht="15" customHeight="1"/>
    <row r="1715" spans="2:17" ht="15" customHeight="1">
      <c r="B1715">
        <v>500</v>
      </c>
    </row>
    <row r="1716" spans="2:17" ht="15" customHeight="1">
      <c r="B1716">
        <v>100</v>
      </c>
      <c r="C1716">
        <v>100</v>
      </c>
      <c r="G1716" t="s">
        <v>193</v>
      </c>
    </row>
    <row r="1717" spans="2:17" ht="15" customHeight="1">
      <c r="P1717">
        <v>4</v>
      </c>
      <c r="Q1717" t="s">
        <v>195</v>
      </c>
    </row>
    <row r="1718" spans="2:17" ht="15" customHeight="1">
      <c r="B1718">
        <f>B1715+B1716+C1716</f>
        <v>700</v>
      </c>
      <c r="G1718" t="s">
        <v>335</v>
      </c>
    </row>
    <row r="1719" spans="2:17" ht="15" customHeight="1">
      <c r="L1719">
        <v>3</v>
      </c>
      <c r="P1719">
        <f>L1719</f>
        <v>3</v>
      </c>
      <c r="Q1719" t="s">
        <v>196</v>
      </c>
    </row>
    <row r="1720" spans="2:17" ht="15" customHeight="1">
      <c r="G1720" t="s">
        <v>336</v>
      </c>
    </row>
    <row r="1721" spans="2:17" ht="15" customHeight="1">
      <c r="L1721">
        <v>1</v>
      </c>
      <c r="P1721">
        <f>L1721</f>
        <v>1</v>
      </c>
      <c r="Q1721" t="s">
        <v>158</v>
      </c>
    </row>
    <row r="1722" spans="2:17" ht="15" customHeight="1">
      <c r="G1722" t="s">
        <v>337</v>
      </c>
    </row>
    <row r="1723" spans="2:17" ht="15" customHeight="1">
      <c r="L1723">
        <v>1</v>
      </c>
      <c r="P1723">
        <f>L1723</f>
        <v>1</v>
      </c>
      <c r="Q1723" t="s">
        <v>196</v>
      </c>
    </row>
    <row r="1724" spans="2:17" ht="15" customHeight="1">
      <c r="G1724" t="s">
        <v>338</v>
      </c>
      <c r="J1724" t="s">
        <v>339</v>
      </c>
    </row>
    <row r="1725" spans="2:17" ht="15" customHeight="1">
      <c r="G1725" t="s">
        <v>167</v>
      </c>
      <c r="H1725">
        <v>0.7</v>
      </c>
      <c r="K1725" t="s">
        <v>170</v>
      </c>
      <c r="L1725">
        <v>0.7</v>
      </c>
      <c r="N1725" t="s">
        <v>169</v>
      </c>
      <c r="O1725">
        <v>0.1</v>
      </c>
      <c r="P1725">
        <f>ROUNDDOWN(H1725*L1725*O1725,2)</f>
        <v>0.04</v>
      </c>
      <c r="Q1725" t="s">
        <v>91</v>
      </c>
    </row>
    <row r="1726" spans="2:17" ht="15" customHeight="1"/>
    <row r="1727" spans="2:17" ht="15" customHeight="1"/>
    <row r="1730" spans="1:17" ht="24.95" customHeight="1">
      <c r="A1730" t="s">
        <v>351</v>
      </c>
      <c r="G1730" t="s">
        <v>158</v>
      </c>
    </row>
    <row r="1731" spans="1:17" ht="15" customHeight="1">
      <c r="I1731" t="s">
        <v>159</v>
      </c>
      <c r="J1731" t="s">
        <v>160</v>
      </c>
      <c r="K1731" t="s">
        <v>161</v>
      </c>
      <c r="L1731" t="s">
        <v>162</v>
      </c>
      <c r="M1731" s="187" t="s">
        <v>163</v>
      </c>
      <c r="P1731" t="s">
        <v>164</v>
      </c>
    </row>
    <row r="1732" spans="1:17" ht="15" customHeight="1">
      <c r="G1732" t="s">
        <v>165</v>
      </c>
      <c r="H1732" t="s">
        <v>166</v>
      </c>
    </row>
    <row r="1733" spans="1:17" ht="15" customHeight="1">
      <c r="G1733" t="s">
        <v>167</v>
      </c>
      <c r="H1733">
        <f>B1736/1000</f>
        <v>1.1299999999999999</v>
      </c>
      <c r="K1733" t="s">
        <v>168</v>
      </c>
      <c r="L1733">
        <f>B1734/1000</f>
        <v>0.88</v>
      </c>
      <c r="N1733" t="s">
        <v>169</v>
      </c>
      <c r="O1733">
        <f>(D1747+D1749)/1000</f>
        <v>0.3</v>
      </c>
    </row>
    <row r="1734" spans="1:17" ht="15" customHeight="1">
      <c r="B1734">
        <f>B1758+(0.3*(D1749)*2)</f>
        <v>880</v>
      </c>
      <c r="D1734" t="s">
        <v>352</v>
      </c>
      <c r="G1734" t="s">
        <v>170</v>
      </c>
      <c r="H1734">
        <f>B1756/1000</f>
        <v>0.95</v>
      </c>
      <c r="K1734" t="s">
        <v>171</v>
      </c>
      <c r="L1734">
        <f>B1758/1000</f>
        <v>0.7</v>
      </c>
    </row>
    <row r="1735" spans="1:17" ht="15" customHeight="1">
      <c r="G1735" t="s">
        <v>172</v>
      </c>
      <c r="P1735">
        <f>ROUNDDOWN(O1733/6*((2*H1733+L1733)*H1734+(2*L1733+H1733)*L1734),2)</f>
        <v>0.25</v>
      </c>
      <c r="Q1735" t="s">
        <v>91</v>
      </c>
    </row>
    <row r="1736" spans="1:17" ht="15" customHeight="1">
      <c r="B1736">
        <f>B1756+(0.3*(D1749)*2)</f>
        <v>1130</v>
      </c>
      <c r="G1736" t="s">
        <v>173</v>
      </c>
      <c r="H1736" t="s">
        <v>174</v>
      </c>
      <c r="J1736" t="s">
        <v>317</v>
      </c>
    </row>
    <row r="1737" spans="1:17" ht="15" customHeight="1">
      <c r="B1737">
        <v>500</v>
      </c>
      <c r="G1737" t="s">
        <v>167</v>
      </c>
      <c r="H1737">
        <f>B1737/1000</f>
        <v>0.5</v>
      </c>
      <c r="K1737" t="s">
        <v>168</v>
      </c>
      <c r="L1737">
        <f>B1751/1000</f>
        <v>0.75</v>
      </c>
      <c r="N1737" t="s">
        <v>169</v>
      </c>
      <c r="O1737">
        <f>D1749/1000</f>
        <v>0.3</v>
      </c>
      <c r="P1737">
        <f>ROUNDDOWN(H1737*L1737*O1737,2)</f>
        <v>0.11</v>
      </c>
      <c r="Q1737" t="s">
        <v>175</v>
      </c>
    </row>
    <row r="1738" spans="1:17" ht="15" customHeight="1">
      <c r="G1738" t="s">
        <v>167</v>
      </c>
      <c r="H1738">
        <f>B1737/1000</f>
        <v>0.5</v>
      </c>
      <c r="K1738" t="s">
        <v>168</v>
      </c>
      <c r="L1738">
        <f>B1751/1000</f>
        <v>0.75</v>
      </c>
      <c r="N1738" t="s">
        <v>169</v>
      </c>
      <c r="O1738">
        <f>D1745/1000</f>
        <v>0.3</v>
      </c>
      <c r="P1738">
        <f>ROUNDDOWN(H1738*L1738*O1738,2)</f>
        <v>0.11</v>
      </c>
      <c r="Q1738" t="s">
        <v>176</v>
      </c>
    </row>
    <row r="1739" spans="1:17" ht="15" customHeight="1"/>
    <row r="1740" spans="1:17" ht="15" customHeight="1"/>
    <row r="1741" spans="1:17" ht="15" customHeight="1">
      <c r="G1741" t="s">
        <v>177</v>
      </c>
      <c r="P1741">
        <f>SUM(P1737:P1740)</f>
        <v>0.22</v>
      </c>
      <c r="Q1741" t="s">
        <v>91</v>
      </c>
    </row>
    <row r="1742" spans="1:17" ht="15" customHeight="1">
      <c r="G1742" t="s">
        <v>178</v>
      </c>
      <c r="I1742" t="s">
        <v>179</v>
      </c>
      <c r="J1742" t="s">
        <v>180</v>
      </c>
      <c r="K1742" t="s">
        <v>181</v>
      </c>
    </row>
    <row r="1743" spans="1:17" ht="15" customHeight="1">
      <c r="I1743" t="s">
        <v>179</v>
      </c>
      <c r="J1743">
        <f>P1735</f>
        <v>0.25</v>
      </c>
      <c r="K1743" t="s">
        <v>182</v>
      </c>
      <c r="L1743">
        <f>P1745</f>
        <v>0.11</v>
      </c>
      <c r="P1743">
        <f>ROUNDDOWN(J1743-L1743,2)</f>
        <v>0.14000000000000001</v>
      </c>
      <c r="Q1743" t="s">
        <v>91</v>
      </c>
    </row>
    <row r="1744" spans="1:17" ht="15" customHeight="1">
      <c r="G1744" t="s">
        <v>183</v>
      </c>
      <c r="I1744" t="s">
        <v>184</v>
      </c>
      <c r="K1744" t="s">
        <v>185</v>
      </c>
    </row>
    <row r="1745" spans="1:17" ht="15" customHeight="1">
      <c r="A1745" t="s">
        <v>201</v>
      </c>
      <c r="D1745">
        <v>300</v>
      </c>
      <c r="E1745">
        <f>D1745+D1747+D1749</f>
        <v>600</v>
      </c>
      <c r="I1745" t="s">
        <v>184</v>
      </c>
      <c r="L1745">
        <f>P1737</f>
        <v>0.11</v>
      </c>
      <c r="P1745">
        <f>ROUNDDOWN(L1745+N1745,2)</f>
        <v>0.11</v>
      </c>
      <c r="Q1745" t="s">
        <v>91</v>
      </c>
    </row>
    <row r="1746" spans="1:17" ht="15" customHeight="1">
      <c r="G1746" t="s">
        <v>318</v>
      </c>
    </row>
    <row r="1747" spans="1:17" ht="15" customHeight="1">
      <c r="H1747" t="s">
        <v>85</v>
      </c>
      <c r="P1747">
        <f>ROUNDDOWN(0.6*1*2+0.32*1*2,2)</f>
        <v>1.84</v>
      </c>
      <c r="Q1747" t="s">
        <v>192</v>
      </c>
    </row>
    <row r="1748" spans="1:17" ht="15" customHeight="1"/>
    <row r="1749" spans="1:17" ht="15" customHeight="1">
      <c r="D1749">
        <v>300</v>
      </c>
    </row>
    <row r="1750" spans="1:17" ht="15" customHeight="1"/>
    <row r="1751" spans="1:17" ht="15" customHeight="1">
      <c r="B1751">
        <v>750</v>
      </c>
    </row>
    <row r="1752" spans="1:17" ht="15" customHeight="1">
      <c r="B1752">
        <v>100</v>
      </c>
      <c r="C1752">
        <v>100</v>
      </c>
      <c r="G1752" t="s">
        <v>193</v>
      </c>
      <c r="H1752" t="s">
        <v>320</v>
      </c>
    </row>
    <row r="1753" spans="1:17" ht="15" customHeight="1">
      <c r="B1753">
        <v>500</v>
      </c>
      <c r="P1753">
        <v>4</v>
      </c>
      <c r="Q1753" t="s">
        <v>195</v>
      </c>
    </row>
    <row r="1754" spans="1:17" ht="15" customHeight="1">
      <c r="B1754">
        <v>100</v>
      </c>
      <c r="C1754">
        <v>100</v>
      </c>
      <c r="G1754" t="s">
        <v>228</v>
      </c>
    </row>
    <row r="1755" spans="1:17" ht="15" customHeight="1">
      <c r="L1755">
        <v>10</v>
      </c>
      <c r="P1755">
        <f>L1755</f>
        <v>10</v>
      </c>
      <c r="Q1755" t="s">
        <v>196</v>
      </c>
    </row>
    <row r="1756" spans="1:17" ht="15" customHeight="1">
      <c r="B1756">
        <f>B1752+B1751+C1752</f>
        <v>950</v>
      </c>
      <c r="G1756" t="s">
        <v>322</v>
      </c>
    </row>
    <row r="1757" spans="1:17" ht="15" customHeight="1">
      <c r="L1757">
        <v>10</v>
      </c>
      <c r="P1757">
        <f>L1757</f>
        <v>10</v>
      </c>
      <c r="Q1757" t="s">
        <v>196</v>
      </c>
    </row>
    <row r="1758" spans="1:17" ht="15" customHeight="1">
      <c r="B1758">
        <f>B1754+B1753+C1754</f>
        <v>700</v>
      </c>
      <c r="G1758" t="s">
        <v>353</v>
      </c>
    </row>
    <row r="1759" spans="1:17" ht="15" customHeight="1">
      <c r="L1759">
        <v>3</v>
      </c>
      <c r="P1759">
        <f>L1759</f>
        <v>3</v>
      </c>
      <c r="Q1759" t="s">
        <v>158</v>
      </c>
    </row>
    <row r="1760" spans="1:17" ht="15" customHeight="1"/>
    <row r="1761" spans="1:17" ht="15" customHeight="1"/>
    <row r="1764" spans="1:17" ht="24.95" customHeight="1">
      <c r="A1764" t="s">
        <v>384</v>
      </c>
      <c r="H1764" t="s">
        <v>154</v>
      </c>
    </row>
    <row r="1765" spans="1:17" ht="15" customHeight="1">
      <c r="B1765" t="s">
        <v>392</v>
      </c>
      <c r="I1765" t="s">
        <v>159</v>
      </c>
      <c r="J1765" t="s">
        <v>160</v>
      </c>
      <c r="K1765" t="s">
        <v>161</v>
      </c>
      <c r="L1765" t="s">
        <v>162</v>
      </c>
      <c r="M1765" s="187" t="s">
        <v>163</v>
      </c>
      <c r="P1765" t="s">
        <v>48</v>
      </c>
    </row>
    <row r="1766" spans="1:17" ht="15" customHeight="1">
      <c r="G1766" t="s">
        <v>165</v>
      </c>
      <c r="I1766" t="s">
        <v>166</v>
      </c>
    </row>
    <row r="1767" spans="1:17" ht="15" customHeight="1">
      <c r="G1767" t="s">
        <v>167</v>
      </c>
      <c r="H1767">
        <f>B1770/1000</f>
        <v>1.26</v>
      </c>
      <c r="K1767" t="s">
        <v>168</v>
      </c>
      <c r="L1767">
        <f>B1768/1000</f>
        <v>0.96</v>
      </c>
      <c r="N1767" t="s">
        <v>169</v>
      </c>
      <c r="O1767">
        <f>(D1781+D1783)/1000</f>
        <v>0.6</v>
      </c>
    </row>
    <row r="1768" spans="1:17" ht="15" customHeight="1">
      <c r="B1768">
        <f>B1792+(0.3*(D1783)*2)</f>
        <v>960</v>
      </c>
      <c r="D1768" t="s">
        <v>393</v>
      </c>
      <c r="G1768" t="s">
        <v>38</v>
      </c>
      <c r="H1768">
        <f>B1790/1000</f>
        <v>0.9</v>
      </c>
      <c r="K1768" t="s">
        <v>171</v>
      </c>
      <c r="L1768">
        <f>B1792/1000</f>
        <v>0.6</v>
      </c>
    </row>
    <row r="1769" spans="1:17" ht="15" customHeight="1">
      <c r="G1769" t="s">
        <v>172</v>
      </c>
      <c r="P1769">
        <f>ROUNDDOWN(O1767/6*((2*H1767+L1767)*H1768+(2*L1767+H1767)*L1768),2)</f>
        <v>0.5</v>
      </c>
      <c r="Q1769" t="s">
        <v>91</v>
      </c>
    </row>
    <row r="1770" spans="1:17" ht="15" customHeight="1">
      <c r="B1770">
        <f>B1790+(0.3*(D1783)*2)</f>
        <v>1260</v>
      </c>
      <c r="G1770" t="s">
        <v>173</v>
      </c>
      <c r="I1770" t="s">
        <v>174</v>
      </c>
    </row>
    <row r="1771" spans="1:17" ht="15" customHeight="1">
      <c r="B1771">
        <v>700</v>
      </c>
      <c r="G1771" t="s">
        <v>167</v>
      </c>
      <c r="H1771">
        <f>B1771/1000</f>
        <v>0.7</v>
      </c>
      <c r="K1771" t="s">
        <v>168</v>
      </c>
      <c r="L1771">
        <f>B1785/1000</f>
        <v>0.7</v>
      </c>
      <c r="N1771" t="s">
        <v>169</v>
      </c>
      <c r="O1771">
        <f>D1783/1000</f>
        <v>0.6</v>
      </c>
      <c r="P1771">
        <f>ROUNDDOWN(H1771*L1771*O1771,2)</f>
        <v>0.28999999999999998</v>
      </c>
      <c r="Q1771" t="s">
        <v>175</v>
      </c>
    </row>
    <row r="1772" spans="1:17" ht="15" customHeight="1">
      <c r="P1772">
        <f>ROUNDDOWN(H1772*L1772*O1772,2)</f>
        <v>0</v>
      </c>
      <c r="Q1772" t="s">
        <v>176</v>
      </c>
    </row>
    <row r="1773" spans="1:17" ht="15" customHeight="1"/>
    <row r="1774" spans="1:17" ht="15" customHeight="1"/>
    <row r="1775" spans="1:17" ht="15" customHeight="1">
      <c r="G1775" t="s">
        <v>177</v>
      </c>
      <c r="P1775">
        <f>SUM(P1771:P1774)</f>
        <v>0.28999999999999998</v>
      </c>
      <c r="Q1775" t="s">
        <v>91</v>
      </c>
    </row>
    <row r="1776" spans="1:17" ht="15" customHeight="1">
      <c r="G1776" t="s">
        <v>178</v>
      </c>
      <c r="I1776" t="s">
        <v>179</v>
      </c>
      <c r="J1776" t="s">
        <v>180</v>
      </c>
      <c r="K1776" t="s">
        <v>181</v>
      </c>
    </row>
    <row r="1777" spans="2:17" ht="15" customHeight="1">
      <c r="I1777" t="s">
        <v>179</v>
      </c>
      <c r="J1777">
        <f>P1769</f>
        <v>0.5</v>
      </c>
      <c r="K1777" t="s">
        <v>182</v>
      </c>
      <c r="L1777">
        <f>P1779</f>
        <v>0.28999999999999998</v>
      </c>
      <c r="P1777">
        <f>ROUNDDOWN(J1777-L1777,2)</f>
        <v>0.21</v>
      </c>
      <c r="Q1777" t="s">
        <v>91</v>
      </c>
    </row>
    <row r="1778" spans="2:17" ht="15" customHeight="1">
      <c r="G1778" t="s">
        <v>183</v>
      </c>
      <c r="I1778" t="s">
        <v>184</v>
      </c>
      <c r="K1778" t="s">
        <v>185</v>
      </c>
    </row>
    <row r="1779" spans="2:17" ht="15" customHeight="1">
      <c r="D1779">
        <v>100</v>
      </c>
      <c r="E1779">
        <f>D1779+D1781+D1783</f>
        <v>700</v>
      </c>
      <c r="I1779" t="s">
        <v>184</v>
      </c>
      <c r="L1779">
        <f>P1771</f>
        <v>0.28999999999999998</v>
      </c>
      <c r="P1779">
        <f>ROUNDDOWN(L1779+N1779,2)</f>
        <v>0.28999999999999998</v>
      </c>
      <c r="Q1779" t="s">
        <v>91</v>
      </c>
    </row>
    <row r="1780" spans="2:17" ht="15" customHeight="1">
      <c r="G1780" t="s">
        <v>186</v>
      </c>
    </row>
    <row r="1781" spans="2:17" ht="15" customHeight="1">
      <c r="G1781" t="s">
        <v>366</v>
      </c>
      <c r="H1781">
        <f>B1771/1000</f>
        <v>0.7</v>
      </c>
      <c r="I1781" t="s">
        <v>188</v>
      </c>
      <c r="J1781">
        <f>B1787/1000</f>
        <v>0.4</v>
      </c>
      <c r="K1781" t="s">
        <v>378</v>
      </c>
      <c r="L1781" t="s">
        <v>190</v>
      </c>
      <c r="M1781" s="187">
        <f>E1779/1000</f>
        <v>0.7</v>
      </c>
      <c r="P1781">
        <f>(B1771+B1787)*2*E1779/1000000</f>
        <v>1.54</v>
      </c>
      <c r="Q1781" t="s">
        <v>192</v>
      </c>
    </row>
    <row r="1782" spans="2:17" ht="15" customHeight="1"/>
    <row r="1783" spans="2:17" ht="15" customHeight="1">
      <c r="D1783">
        <v>600</v>
      </c>
    </row>
    <row r="1784" spans="2:17" ht="15" customHeight="1"/>
    <row r="1785" spans="2:17" ht="15" customHeight="1">
      <c r="B1785">
        <v>700</v>
      </c>
    </row>
    <row r="1786" spans="2:17" ht="15" customHeight="1">
      <c r="B1786">
        <v>100</v>
      </c>
      <c r="C1786">
        <v>100</v>
      </c>
      <c r="G1786" t="s">
        <v>193</v>
      </c>
      <c r="I1786" t="s">
        <v>3</v>
      </c>
    </row>
    <row r="1787" spans="2:17" ht="15" customHeight="1">
      <c r="B1787">
        <v>400</v>
      </c>
      <c r="P1787">
        <v>4</v>
      </c>
      <c r="Q1787" t="s">
        <v>1</v>
      </c>
    </row>
    <row r="1788" spans="2:17" ht="15" customHeight="1">
      <c r="B1788">
        <v>100</v>
      </c>
      <c r="C1788">
        <v>100</v>
      </c>
      <c r="G1788" t="s">
        <v>381</v>
      </c>
      <c r="H1788" t="s">
        <v>382</v>
      </c>
    </row>
    <row r="1789" spans="2:17" ht="15" customHeight="1">
      <c r="L1789">
        <v>3</v>
      </c>
      <c r="P1789">
        <f>L1789</f>
        <v>3</v>
      </c>
      <c r="Q1789" t="s">
        <v>54</v>
      </c>
    </row>
    <row r="1790" spans="2:17" ht="15" customHeight="1">
      <c r="B1790">
        <f>B1786+B1785+C1786</f>
        <v>900</v>
      </c>
      <c r="G1790" t="s">
        <v>383</v>
      </c>
    </row>
    <row r="1791" spans="2:17" ht="15" customHeight="1">
      <c r="L1791">
        <v>3</v>
      </c>
      <c r="P1791">
        <f>L1791</f>
        <v>3</v>
      </c>
      <c r="Q1791" t="s">
        <v>54</v>
      </c>
    </row>
    <row r="1792" spans="2:17" ht="15" customHeight="1">
      <c r="B1792">
        <f>B1788+B1787+C1788</f>
        <v>600</v>
      </c>
      <c r="G1792" t="s">
        <v>394</v>
      </c>
    </row>
    <row r="1793" spans="1:17" ht="15" customHeight="1">
      <c r="L1793">
        <v>3</v>
      </c>
      <c r="P1793">
        <f>ROUNDDOWN(dhTextEvaluate(L1793),2)</f>
        <v>3</v>
      </c>
      <c r="Q1793" t="s">
        <v>154</v>
      </c>
    </row>
    <row r="1794" spans="1:17" ht="15" customHeight="1"/>
    <row r="1795" spans="1:17" ht="15" customHeight="1"/>
    <row r="1796" spans="1:17" ht="24.95" customHeight="1">
      <c r="A1796" t="s">
        <v>389</v>
      </c>
      <c r="H1796" t="s">
        <v>154</v>
      </c>
    </row>
    <row r="1797" spans="1:17" ht="15" customHeight="1">
      <c r="B1797" t="s">
        <v>385</v>
      </c>
      <c r="I1797" t="s">
        <v>159</v>
      </c>
      <c r="J1797" t="s">
        <v>160</v>
      </c>
      <c r="K1797" t="s">
        <v>161</v>
      </c>
      <c r="L1797" t="s">
        <v>162</v>
      </c>
      <c r="M1797" s="187" t="s">
        <v>163</v>
      </c>
      <c r="P1797" t="s">
        <v>48</v>
      </c>
    </row>
    <row r="1798" spans="1:17" ht="15" customHeight="1">
      <c r="G1798" t="s">
        <v>165</v>
      </c>
      <c r="I1798" t="s">
        <v>166</v>
      </c>
    </row>
    <row r="1799" spans="1:17" ht="15" customHeight="1">
      <c r="G1799" t="s">
        <v>167</v>
      </c>
      <c r="H1799">
        <f>B1802/1000</f>
        <v>0.61</v>
      </c>
      <c r="K1799" t="s">
        <v>168</v>
      </c>
      <c r="L1799">
        <f>B1800/1000</f>
        <v>0.61</v>
      </c>
      <c r="N1799" t="s">
        <v>169</v>
      </c>
      <c r="O1799">
        <f>(D1813+D1815)/1000</f>
        <v>0.35</v>
      </c>
    </row>
    <row r="1800" spans="1:17" ht="15" customHeight="1">
      <c r="B1800">
        <f>B1824+(0.3*(D1815)*2)</f>
        <v>610</v>
      </c>
      <c r="D1800" t="s">
        <v>386</v>
      </c>
      <c r="G1800" t="s">
        <v>38</v>
      </c>
      <c r="H1800">
        <f>B1822/1000</f>
        <v>0.4</v>
      </c>
      <c r="K1800" t="s">
        <v>171</v>
      </c>
      <c r="L1800">
        <f>B1824/1000</f>
        <v>0.4</v>
      </c>
    </row>
    <row r="1801" spans="1:17" ht="15" customHeight="1">
      <c r="G1801" t="s">
        <v>172</v>
      </c>
      <c r="P1801">
        <f>ROUNDDOWN(O1799/6*((2*H1799+L1799)*H1800+(2*L1799+H1799)*L1800),2)</f>
        <v>0.08</v>
      </c>
      <c r="Q1801" t="s">
        <v>91</v>
      </c>
    </row>
    <row r="1802" spans="1:17" ht="15" customHeight="1">
      <c r="B1802">
        <f>B1822+(0.3*(D1815)*2)</f>
        <v>610</v>
      </c>
      <c r="G1802" t="s">
        <v>173</v>
      </c>
      <c r="I1802" t="s">
        <v>174</v>
      </c>
    </row>
    <row r="1803" spans="1:17" ht="15" customHeight="1">
      <c r="B1803">
        <v>300</v>
      </c>
      <c r="G1803" t="s">
        <v>167</v>
      </c>
      <c r="H1803">
        <f>B1803/1000</f>
        <v>0.3</v>
      </c>
      <c r="K1803" t="s">
        <v>168</v>
      </c>
      <c r="L1803">
        <f>B1817/1000</f>
        <v>0.3</v>
      </c>
      <c r="N1803" t="s">
        <v>169</v>
      </c>
      <c r="O1803">
        <f>D1815/1000</f>
        <v>0.35</v>
      </c>
      <c r="P1803">
        <f>ROUNDDOWN(H1803*L1803*O1803,2)</f>
        <v>0.03</v>
      </c>
      <c r="Q1803" t="s">
        <v>175</v>
      </c>
    </row>
    <row r="1804" spans="1:17" ht="15" customHeight="1">
      <c r="P1804">
        <f>ROUNDDOWN(H1804*L1804*O1804,2)</f>
        <v>0</v>
      </c>
      <c r="Q1804" t="s">
        <v>176</v>
      </c>
    </row>
    <row r="1805" spans="1:17" ht="15" customHeight="1"/>
    <row r="1806" spans="1:17" ht="15" customHeight="1"/>
    <row r="1807" spans="1:17" ht="15" customHeight="1">
      <c r="G1807" t="s">
        <v>177</v>
      </c>
      <c r="P1807">
        <f>SUM(P1803:P1806)</f>
        <v>0.03</v>
      </c>
      <c r="Q1807" t="s">
        <v>91</v>
      </c>
    </row>
    <row r="1808" spans="1:17" ht="15" customHeight="1">
      <c r="G1808" t="s">
        <v>178</v>
      </c>
      <c r="I1808" t="s">
        <v>179</v>
      </c>
      <c r="J1808" t="s">
        <v>180</v>
      </c>
      <c r="K1808" t="s">
        <v>181</v>
      </c>
    </row>
    <row r="1809" spans="2:17" ht="15" customHeight="1">
      <c r="I1809" t="s">
        <v>179</v>
      </c>
      <c r="J1809">
        <f>P1801</f>
        <v>0.08</v>
      </c>
      <c r="K1809" t="s">
        <v>182</v>
      </c>
      <c r="L1809">
        <f>P1811</f>
        <v>0.03</v>
      </c>
      <c r="P1809">
        <f>ROUNDDOWN(J1809-L1809,2)</f>
        <v>0.05</v>
      </c>
      <c r="Q1809" t="s">
        <v>91</v>
      </c>
    </row>
    <row r="1810" spans="2:17" ht="15" customHeight="1">
      <c r="G1810" t="s">
        <v>183</v>
      </c>
      <c r="I1810" t="s">
        <v>184</v>
      </c>
      <c r="K1810" t="s">
        <v>185</v>
      </c>
    </row>
    <row r="1811" spans="2:17" ht="15" customHeight="1">
      <c r="D1811">
        <v>50</v>
      </c>
      <c r="E1811">
        <f>D1811+D1813+D1815</f>
        <v>400</v>
      </c>
      <c r="I1811" t="s">
        <v>184</v>
      </c>
      <c r="L1811">
        <f>P1803</f>
        <v>0.03</v>
      </c>
      <c r="P1811">
        <f>ROUNDDOWN(L1811+N1811,2)</f>
        <v>0.03</v>
      </c>
      <c r="Q1811" t="s">
        <v>91</v>
      </c>
    </row>
    <row r="1812" spans="2:17" ht="15" customHeight="1">
      <c r="G1812" t="s">
        <v>186</v>
      </c>
    </row>
    <row r="1813" spans="2:17" ht="15" customHeight="1">
      <c r="G1813" t="s">
        <v>366</v>
      </c>
      <c r="H1813">
        <f>B1803/1000</f>
        <v>0.3</v>
      </c>
      <c r="I1813" t="s">
        <v>188</v>
      </c>
      <c r="J1813">
        <f>B1819/1000</f>
        <v>0.3</v>
      </c>
      <c r="K1813" t="s">
        <v>378</v>
      </c>
      <c r="L1813" t="s">
        <v>190</v>
      </c>
      <c r="M1813" s="187">
        <f>E1811/1000</f>
        <v>0.4</v>
      </c>
      <c r="P1813">
        <f>(B1803+B1819)*2*E1811/1000000</f>
        <v>0.48</v>
      </c>
      <c r="Q1813" t="s">
        <v>192</v>
      </c>
    </row>
    <row r="1814" spans="2:17" ht="15" customHeight="1"/>
    <row r="1815" spans="2:17" ht="15" customHeight="1">
      <c r="D1815">
        <v>350</v>
      </c>
    </row>
    <row r="1816" spans="2:17" ht="15" customHeight="1"/>
    <row r="1817" spans="2:17" ht="15" customHeight="1">
      <c r="B1817">
        <v>300</v>
      </c>
    </row>
    <row r="1818" spans="2:17" ht="15" customHeight="1">
      <c r="B1818">
        <v>50</v>
      </c>
      <c r="C1818">
        <v>50</v>
      </c>
    </row>
    <row r="1819" spans="2:17" ht="15" customHeight="1">
      <c r="B1819">
        <v>300</v>
      </c>
    </row>
    <row r="1820" spans="2:17" ht="15" customHeight="1">
      <c r="B1820">
        <v>50</v>
      </c>
      <c r="C1820">
        <v>50</v>
      </c>
    </row>
    <row r="1821" spans="2:17" ht="15" customHeight="1"/>
    <row r="1822" spans="2:17" ht="15" customHeight="1">
      <c r="B1822">
        <f>B1818+B1817+C1818</f>
        <v>400</v>
      </c>
    </row>
    <row r="1823" spans="2:17" ht="15" customHeight="1"/>
    <row r="1824" spans="2:17" ht="15" customHeight="1">
      <c r="B1824">
        <f>B1820+B1819+C1820</f>
        <v>400</v>
      </c>
    </row>
    <row r="1825" spans="1:17" ht="15" customHeight="1"/>
    <row r="1826" spans="1:17" ht="15" customHeight="1"/>
    <row r="1827" spans="1:17" ht="15" customHeight="1"/>
    <row r="1828" spans="1:17" ht="24.95" customHeight="1">
      <c r="A1828" t="s">
        <v>390</v>
      </c>
      <c r="H1828" t="s">
        <v>158</v>
      </c>
    </row>
    <row r="1829" spans="1:17" ht="15" customHeight="1">
      <c r="B1829" t="s">
        <v>395</v>
      </c>
      <c r="I1829" t="s">
        <v>159</v>
      </c>
      <c r="J1829" t="s">
        <v>160</v>
      </c>
      <c r="K1829" t="s">
        <v>161</v>
      </c>
      <c r="L1829" t="s">
        <v>162</v>
      </c>
      <c r="M1829" s="187" t="s">
        <v>163</v>
      </c>
      <c r="P1829" t="s">
        <v>164</v>
      </c>
    </row>
    <row r="1830" spans="1:17" ht="15" customHeight="1">
      <c r="G1830" t="s">
        <v>165</v>
      </c>
      <c r="I1830" t="s">
        <v>206</v>
      </c>
    </row>
    <row r="1831" spans="1:17" ht="15" customHeight="1">
      <c r="G1831" t="s">
        <v>167</v>
      </c>
      <c r="H1831">
        <f>B1834/1000</f>
        <v>0.42</v>
      </c>
      <c r="K1831" t="s">
        <v>168</v>
      </c>
      <c r="L1831">
        <f>B1832/1000</f>
        <v>0.42</v>
      </c>
      <c r="N1831" t="s">
        <v>169</v>
      </c>
      <c r="O1831">
        <f>(D1847)/1000</f>
        <v>0.2</v>
      </c>
    </row>
    <row r="1832" spans="1:17" ht="15" customHeight="1">
      <c r="B1832">
        <f>B1856+(0.3*(D1847)*2)</f>
        <v>420</v>
      </c>
      <c r="D1832" t="s">
        <v>396</v>
      </c>
      <c r="G1832" t="s">
        <v>170</v>
      </c>
      <c r="H1832">
        <f>B1854/1000</f>
        <v>0.3</v>
      </c>
      <c r="K1832" t="s">
        <v>171</v>
      </c>
      <c r="L1832">
        <f>B1856/1000</f>
        <v>0.3</v>
      </c>
    </row>
    <row r="1833" spans="1:17" ht="15" customHeight="1">
      <c r="G1833" t="s">
        <v>172</v>
      </c>
      <c r="P1833">
        <f>ROUNDDOWN(O1831/3*((H1831*2)+(H1832*2)*(L1831*L1832)),2)</f>
        <v>0.06</v>
      </c>
      <c r="Q1833" t="s">
        <v>91</v>
      </c>
    </row>
    <row r="1834" spans="1:17" ht="15" customHeight="1">
      <c r="B1834">
        <f>B1854+(0.3*(D1847)*2)</f>
        <v>420</v>
      </c>
      <c r="G1834" t="s">
        <v>173</v>
      </c>
      <c r="I1834" t="s">
        <v>174</v>
      </c>
    </row>
    <row r="1835" spans="1:17" ht="15" customHeight="1">
      <c r="B1835">
        <v>200</v>
      </c>
      <c r="G1835" t="s">
        <v>167</v>
      </c>
      <c r="H1835">
        <f>B1835/1000</f>
        <v>0.2</v>
      </c>
      <c r="K1835" t="s">
        <v>168</v>
      </c>
      <c r="L1835">
        <f>B1851/1000</f>
        <v>0.2</v>
      </c>
      <c r="N1835" t="s">
        <v>169</v>
      </c>
      <c r="O1835">
        <f>(D1847)/1000</f>
        <v>0.2</v>
      </c>
      <c r="P1835">
        <f>ROUNDDOWN(H1835*L1835*O1835,5)</f>
        <v>8.0000000000000002E-3</v>
      </c>
      <c r="Q1835" t="s">
        <v>175</v>
      </c>
    </row>
    <row r="1836" spans="1:17" ht="15" customHeight="1"/>
    <row r="1837" spans="1:17" ht="15" customHeight="1"/>
    <row r="1838" spans="1:17" ht="15" customHeight="1"/>
    <row r="1839" spans="1:17" ht="15" customHeight="1">
      <c r="G1839" t="s">
        <v>177</v>
      </c>
      <c r="P1839">
        <f>SUM(P1835:P1838)</f>
        <v>8.0000000000000002E-3</v>
      </c>
      <c r="Q1839" t="s">
        <v>91</v>
      </c>
    </row>
    <row r="1840" spans="1:17" ht="15" customHeight="1">
      <c r="G1840" t="s">
        <v>178</v>
      </c>
      <c r="I1840" t="s">
        <v>179</v>
      </c>
      <c r="J1840" t="s">
        <v>180</v>
      </c>
      <c r="K1840" t="s">
        <v>207</v>
      </c>
    </row>
    <row r="1841" spans="2:17" ht="15" customHeight="1">
      <c r="I1841" t="s">
        <v>179</v>
      </c>
      <c r="J1841">
        <f>P1833</f>
        <v>0.06</v>
      </c>
      <c r="K1841" t="s">
        <v>182</v>
      </c>
      <c r="L1841">
        <f>P1839</f>
        <v>8.0000000000000002E-3</v>
      </c>
      <c r="P1841">
        <f>ROUNDDOWN(J1841-L1841,6)</f>
        <v>5.1999999999999998E-2</v>
      </c>
      <c r="Q1841" t="s">
        <v>91</v>
      </c>
    </row>
    <row r="1842" spans="2:17" ht="15" customHeight="1">
      <c r="G1842" t="s">
        <v>183</v>
      </c>
      <c r="I1842" t="s">
        <v>198</v>
      </c>
      <c r="K1842" t="s">
        <v>185</v>
      </c>
    </row>
    <row r="1843" spans="2:17" ht="15" customHeight="1">
      <c r="E1843">
        <f>D1843+D1845+D1847</f>
        <v>200</v>
      </c>
      <c r="I1843" t="s">
        <v>179</v>
      </c>
      <c r="L1843">
        <f>P1835</f>
        <v>8.0000000000000002E-3</v>
      </c>
      <c r="P1843">
        <f>ROUNDDOWN(L1843+N1843,6)</f>
        <v>8.0000000000000002E-3</v>
      </c>
      <c r="Q1843" t="s">
        <v>91</v>
      </c>
    </row>
    <row r="1844" spans="2:17" ht="15" customHeight="1">
      <c r="G1844" t="s">
        <v>186</v>
      </c>
    </row>
    <row r="1845" spans="2:17" ht="15" customHeight="1">
      <c r="G1845" t="s">
        <v>187</v>
      </c>
      <c r="H1845">
        <f>B1835/1000</f>
        <v>0.2</v>
      </c>
      <c r="I1845" t="s">
        <v>188</v>
      </c>
      <c r="J1845">
        <f>B1851/1000</f>
        <v>0.2</v>
      </c>
      <c r="K1845" t="s">
        <v>189</v>
      </c>
      <c r="L1845" t="s">
        <v>190</v>
      </c>
      <c r="M1845" s="187">
        <f>E1843/1000</f>
        <v>0.2</v>
      </c>
      <c r="N1845" t="s">
        <v>191</v>
      </c>
      <c r="O1845">
        <v>4</v>
      </c>
      <c r="P1845">
        <f>ROUNDDOWN(0.5*0.6*4,2)</f>
        <v>1.2</v>
      </c>
      <c r="Q1845" t="s">
        <v>192</v>
      </c>
    </row>
    <row r="1846" spans="2:17" ht="15" customHeight="1"/>
    <row r="1847" spans="2:17" ht="15" customHeight="1">
      <c r="D1847">
        <v>200</v>
      </c>
    </row>
    <row r="1848" spans="2:17" ht="15" customHeight="1"/>
    <row r="1849" spans="2:17" ht="15" customHeight="1">
      <c r="B1849">
        <v>200</v>
      </c>
    </row>
    <row r="1850" spans="2:17" ht="15" customHeight="1">
      <c r="B1850">
        <v>50</v>
      </c>
      <c r="C1850">
        <v>50</v>
      </c>
    </row>
    <row r="1851" spans="2:17" ht="15" customHeight="1">
      <c r="B1851">
        <v>200</v>
      </c>
    </row>
    <row r="1852" spans="2:17" ht="15" customHeight="1">
      <c r="B1852">
        <v>50</v>
      </c>
      <c r="C1852">
        <v>50</v>
      </c>
    </row>
    <row r="1853" spans="2:17" ht="15" customHeight="1"/>
    <row r="1854" spans="2:17" ht="15" customHeight="1">
      <c r="B1854">
        <f>B1850+B1849+C1850</f>
        <v>300</v>
      </c>
    </row>
    <row r="1855" spans="2:17" ht="15" customHeight="1"/>
    <row r="1856" spans="2:17" ht="15" customHeight="1">
      <c r="B1856">
        <f>B1852+B1851+C1852</f>
        <v>300</v>
      </c>
    </row>
    <row r="1857" spans="1:17" ht="15" customHeight="1"/>
    <row r="1858" spans="1:17" ht="15" customHeight="1"/>
    <row r="1859" spans="1:17" ht="15" customHeight="1"/>
    <row r="1860" spans="1:17" ht="24.95" customHeight="1">
      <c r="A1860" t="s">
        <v>391</v>
      </c>
      <c r="G1860" t="s">
        <v>158</v>
      </c>
    </row>
    <row r="1861" spans="1:17" ht="15" customHeight="1">
      <c r="B1861" t="s">
        <v>387</v>
      </c>
      <c r="I1861" t="s">
        <v>159</v>
      </c>
      <c r="J1861" t="s">
        <v>160</v>
      </c>
      <c r="K1861" t="s">
        <v>161</v>
      </c>
      <c r="L1861" t="s">
        <v>162</v>
      </c>
      <c r="M1861" s="187" t="s">
        <v>163</v>
      </c>
      <c r="P1861" t="s">
        <v>164</v>
      </c>
    </row>
    <row r="1862" spans="1:17" ht="15" customHeight="1">
      <c r="G1862" t="s">
        <v>165</v>
      </c>
      <c r="H1862" t="s">
        <v>218</v>
      </c>
      <c r="I1862" t="s">
        <v>219</v>
      </c>
    </row>
    <row r="1863" spans="1:17" ht="15" customHeight="1">
      <c r="G1863" t="s">
        <v>167</v>
      </c>
      <c r="H1863">
        <f>B1866/1000</f>
        <v>0.27</v>
      </c>
      <c r="K1863" t="s">
        <v>168</v>
      </c>
      <c r="L1863">
        <f>B1882/1000</f>
        <v>0.27</v>
      </c>
      <c r="N1863" t="s">
        <v>169</v>
      </c>
      <c r="O1863">
        <f>E1873/1000</f>
        <v>0.38400000000000001</v>
      </c>
    </row>
    <row r="1864" spans="1:17" ht="15" customHeight="1"/>
    <row r="1865" spans="1:17" ht="15" customHeight="1">
      <c r="G1865" t="s">
        <v>172</v>
      </c>
      <c r="P1865">
        <f>H1863*L1863*O1863</f>
        <v>2.7993600000000004E-2</v>
      </c>
      <c r="Q1865" t="s">
        <v>91</v>
      </c>
    </row>
    <row r="1866" spans="1:17" ht="15" customHeight="1">
      <c r="B1866">
        <v>270</v>
      </c>
      <c r="G1866" t="s">
        <v>220</v>
      </c>
      <c r="I1866" t="s">
        <v>179</v>
      </c>
      <c r="J1866" t="s">
        <v>180</v>
      </c>
      <c r="K1866" t="s">
        <v>207</v>
      </c>
    </row>
    <row r="1867" spans="1:17" ht="15" customHeight="1">
      <c r="L1867" t="s">
        <v>198</v>
      </c>
      <c r="M1867" s="187" t="s">
        <v>81</v>
      </c>
      <c r="P1867">
        <f>P1865-(P1871+P1873+P1875)</f>
        <v>1.3165740000000044E-3</v>
      </c>
      <c r="Q1867" t="s">
        <v>91</v>
      </c>
    </row>
    <row r="1868" spans="1:17" ht="15" customHeight="1">
      <c r="G1868" t="s">
        <v>221</v>
      </c>
      <c r="I1868" t="s">
        <v>184</v>
      </c>
      <c r="J1868" t="s">
        <v>200</v>
      </c>
    </row>
    <row r="1869" spans="1:17" ht="15" customHeight="1">
      <c r="P1869">
        <f>P1865-P1867</f>
        <v>2.6677026E-2</v>
      </c>
      <c r="Q1869" t="s">
        <v>91</v>
      </c>
    </row>
    <row r="1870" spans="1:17" ht="15" customHeight="1">
      <c r="G1870" t="s">
        <v>10</v>
      </c>
      <c r="I1870" t="s">
        <v>218</v>
      </c>
      <c r="J1870" t="s">
        <v>219</v>
      </c>
    </row>
    <row r="1871" spans="1:17" ht="15" customHeight="1">
      <c r="B1871" t="s">
        <v>11</v>
      </c>
      <c r="G1871" t="s">
        <v>222</v>
      </c>
      <c r="H1871">
        <f>B1879/1000</f>
        <v>0.27</v>
      </c>
      <c r="K1871" t="s">
        <v>223</v>
      </c>
      <c r="L1871">
        <f>B1882/1000</f>
        <v>0.27</v>
      </c>
      <c r="N1871" t="s">
        <v>224</v>
      </c>
      <c r="O1871">
        <f>D1877/1000</f>
        <v>0.15</v>
      </c>
      <c r="P1871">
        <f>H1871*L1871*O1871</f>
        <v>1.0935E-2</v>
      </c>
      <c r="Q1871" t="s">
        <v>91</v>
      </c>
    </row>
    <row r="1872" spans="1:17" ht="15" customHeight="1">
      <c r="G1872" t="s">
        <v>225</v>
      </c>
      <c r="I1872" t="s">
        <v>218</v>
      </c>
      <c r="J1872" t="s">
        <v>219</v>
      </c>
    </row>
    <row r="1873" spans="2:17" ht="15" customHeight="1">
      <c r="E1873">
        <f>D1875+D1877+D1879</f>
        <v>384</v>
      </c>
      <c r="G1873" t="s">
        <v>222</v>
      </c>
      <c r="H1873">
        <f>B1879/1000</f>
        <v>0.27</v>
      </c>
      <c r="K1873" t="s">
        <v>223</v>
      </c>
      <c r="L1873">
        <f>B1882/1000</f>
        <v>0.27</v>
      </c>
      <c r="N1873" t="s">
        <v>224</v>
      </c>
      <c r="O1873">
        <f>D1879/1000</f>
        <v>0.15</v>
      </c>
      <c r="P1873">
        <f>H1873*L1873*O1873</f>
        <v>1.0935E-2</v>
      </c>
      <c r="Q1873" t="s">
        <v>91</v>
      </c>
    </row>
    <row r="1874" spans="2:17" ht="15" customHeight="1">
      <c r="B1874" t="s">
        <v>12</v>
      </c>
      <c r="G1874" t="s">
        <v>226</v>
      </c>
    </row>
    <row r="1875" spans="2:17" ht="15" customHeight="1">
      <c r="D1875">
        <v>84</v>
      </c>
      <c r="G1875" t="s">
        <v>167</v>
      </c>
      <c r="H1875">
        <f>B1866/1000</f>
        <v>0.27</v>
      </c>
      <c r="N1875" t="s">
        <v>169</v>
      </c>
      <c r="O1875">
        <f>D1875/1000</f>
        <v>8.4000000000000005E-2</v>
      </c>
      <c r="P1875">
        <f>(H1875/2)*(H1875/2)*3.14*O1875</f>
        <v>4.8070260000000007E-3</v>
      </c>
      <c r="Q1875" t="s">
        <v>91</v>
      </c>
    </row>
    <row r="1876" spans="2:17" ht="15" customHeight="1">
      <c r="B1876" t="s">
        <v>13</v>
      </c>
    </row>
    <row r="1877" spans="2:17" ht="15" customHeight="1">
      <c r="D1877">
        <v>150</v>
      </c>
    </row>
    <row r="1878" spans="2:17" ht="15" customHeight="1"/>
    <row r="1879" spans="2:17" ht="15" customHeight="1">
      <c r="B1879">
        <v>270</v>
      </c>
      <c r="D1879">
        <v>150</v>
      </c>
    </row>
    <row r="1880" spans="2:17" ht="15" customHeight="1"/>
    <row r="1881" spans="2:17" ht="15" customHeight="1"/>
    <row r="1882" spans="2:17" ht="15" customHeight="1">
      <c r="B1882">
        <f>B1879+B1880+C1880</f>
        <v>270</v>
      </c>
    </row>
    <row r="1883" spans="2:17" ht="15" customHeight="1"/>
    <row r="1884" spans="2:17" ht="15" customHeight="1"/>
    <row r="1885" spans="2:17" ht="15" customHeight="1"/>
    <row r="1886" spans="2:17" ht="15" customHeight="1"/>
    <row r="1887" spans="2:17" ht="15" customHeight="1"/>
    <row r="1888" spans="2:17" ht="15" customHeight="1"/>
    <row r="1889" spans="1:17" ht="15" customHeight="1"/>
    <row r="1890" spans="1:17" ht="15" customHeight="1"/>
    <row r="1891" spans="1:17" ht="15" customHeight="1"/>
    <row r="1892" spans="1:17" ht="24.95" customHeight="1">
      <c r="A1892" t="s">
        <v>397</v>
      </c>
      <c r="G1892" t="s">
        <v>154</v>
      </c>
    </row>
    <row r="1893" spans="1:17" ht="15" customHeight="1">
      <c r="B1893" t="s">
        <v>388</v>
      </c>
      <c r="I1893" t="s">
        <v>159</v>
      </c>
      <c r="J1893" t="s">
        <v>160</v>
      </c>
      <c r="K1893" t="s">
        <v>161</v>
      </c>
      <c r="L1893" t="s">
        <v>162</v>
      </c>
      <c r="M1893" s="187" t="s">
        <v>163</v>
      </c>
      <c r="P1893" t="s">
        <v>372</v>
      </c>
    </row>
    <row r="1894" spans="1:17" ht="15" customHeight="1">
      <c r="G1894" t="s">
        <v>165</v>
      </c>
      <c r="H1894" t="s">
        <v>218</v>
      </c>
      <c r="I1894" t="s">
        <v>219</v>
      </c>
    </row>
    <row r="1895" spans="1:17" ht="15" customHeight="1">
      <c r="G1895" t="s">
        <v>167</v>
      </c>
      <c r="H1895">
        <f>B1898/1000</f>
        <v>0.18</v>
      </c>
      <c r="K1895" t="s">
        <v>168</v>
      </c>
      <c r="L1895">
        <f>B1914/1000</f>
        <v>0.18</v>
      </c>
      <c r="N1895" t="s">
        <v>169</v>
      </c>
      <c r="O1895">
        <f>E1905/1000</f>
        <v>0.40899999999999997</v>
      </c>
    </row>
    <row r="1896" spans="1:17" ht="15" customHeight="1"/>
    <row r="1897" spans="1:17" ht="15" customHeight="1">
      <c r="G1897" t="s">
        <v>172</v>
      </c>
      <c r="P1897">
        <f>H1895*L1895*O1895</f>
        <v>1.3251599999999999E-2</v>
      </c>
      <c r="Q1897" t="s">
        <v>91</v>
      </c>
    </row>
    <row r="1898" spans="1:17" ht="15" customHeight="1">
      <c r="B1898">
        <v>180</v>
      </c>
      <c r="G1898" t="s">
        <v>220</v>
      </c>
      <c r="I1898" t="s">
        <v>179</v>
      </c>
      <c r="J1898" t="s">
        <v>180</v>
      </c>
      <c r="K1898" t="s">
        <v>207</v>
      </c>
    </row>
    <row r="1899" spans="1:17" ht="15" customHeight="1">
      <c r="L1899" t="s">
        <v>198</v>
      </c>
      <c r="M1899" s="187" t="s">
        <v>81</v>
      </c>
      <c r="P1899">
        <f>P1897-(P1903+P1905+P1907)</f>
        <v>7.592939999999989E-4</v>
      </c>
      <c r="Q1899" t="s">
        <v>91</v>
      </c>
    </row>
    <row r="1900" spans="1:17" ht="15" customHeight="1">
      <c r="G1900" t="s">
        <v>221</v>
      </c>
      <c r="I1900" t="s">
        <v>184</v>
      </c>
      <c r="J1900" t="s">
        <v>200</v>
      </c>
    </row>
    <row r="1901" spans="1:17" ht="15" customHeight="1">
      <c r="P1901">
        <f>P1897-P1899</f>
        <v>1.2492306E-2</v>
      </c>
      <c r="Q1901" t="s">
        <v>91</v>
      </c>
    </row>
    <row r="1902" spans="1:17" ht="15" customHeight="1">
      <c r="G1902" t="s">
        <v>10</v>
      </c>
      <c r="I1902" t="s">
        <v>218</v>
      </c>
      <c r="J1902" t="s">
        <v>219</v>
      </c>
    </row>
    <row r="1903" spans="1:17" ht="15" customHeight="1">
      <c r="B1903" t="s">
        <v>11</v>
      </c>
      <c r="G1903" t="s">
        <v>222</v>
      </c>
      <c r="H1903">
        <f>B1911/1000</f>
        <v>0.18</v>
      </c>
      <c r="K1903" t="s">
        <v>223</v>
      </c>
      <c r="L1903">
        <f>B1914/1000</f>
        <v>0.18</v>
      </c>
      <c r="N1903" t="s">
        <v>224</v>
      </c>
      <c r="O1903">
        <f>D1909/1000</f>
        <v>0.15</v>
      </c>
      <c r="P1903">
        <f>H1903*L1903*O1903</f>
        <v>4.8599999999999997E-3</v>
      </c>
      <c r="Q1903" t="s">
        <v>91</v>
      </c>
    </row>
    <row r="1904" spans="1:17" ht="15" customHeight="1">
      <c r="G1904" t="s">
        <v>225</v>
      </c>
      <c r="I1904" t="s">
        <v>218</v>
      </c>
      <c r="J1904" t="s">
        <v>219</v>
      </c>
    </row>
    <row r="1905" spans="2:17" ht="15" customHeight="1">
      <c r="E1905">
        <f>D1907+D1909+D1911</f>
        <v>409</v>
      </c>
      <c r="G1905" t="s">
        <v>222</v>
      </c>
      <c r="H1905">
        <f>B1911/1000</f>
        <v>0.18</v>
      </c>
      <c r="K1905" t="s">
        <v>223</v>
      </c>
      <c r="L1905">
        <f>B1914/1000</f>
        <v>0.18</v>
      </c>
      <c r="N1905" t="s">
        <v>224</v>
      </c>
      <c r="O1905">
        <f>D1911/1000</f>
        <v>0.15</v>
      </c>
      <c r="P1905">
        <f>H1905*L1905*O1905</f>
        <v>4.8599999999999997E-3</v>
      </c>
      <c r="Q1905" t="s">
        <v>91</v>
      </c>
    </row>
    <row r="1906" spans="2:17" ht="15" customHeight="1">
      <c r="B1906" t="s">
        <v>12</v>
      </c>
      <c r="G1906" t="s">
        <v>226</v>
      </c>
    </row>
    <row r="1907" spans="2:17" ht="15" customHeight="1">
      <c r="D1907">
        <v>109</v>
      </c>
      <c r="G1907" t="s">
        <v>167</v>
      </c>
      <c r="H1907">
        <f>B1898/1000</f>
        <v>0.18</v>
      </c>
      <c r="N1907" t="s">
        <v>169</v>
      </c>
      <c r="O1907">
        <f>D1907/1000</f>
        <v>0.109</v>
      </c>
      <c r="P1907">
        <f>(H1907/2)*(H1907/2)*3.14*O1907</f>
        <v>2.772306E-3</v>
      </c>
      <c r="Q1907" t="s">
        <v>91</v>
      </c>
    </row>
    <row r="1908" spans="2:17" ht="15" customHeight="1">
      <c r="B1908" t="s">
        <v>13</v>
      </c>
    </row>
    <row r="1909" spans="2:17" ht="15" customHeight="1">
      <c r="D1909">
        <v>150</v>
      </c>
    </row>
    <row r="1910" spans="2:17" ht="15" customHeight="1"/>
    <row r="1911" spans="2:17" ht="15" customHeight="1">
      <c r="B1911">
        <v>180</v>
      </c>
      <c r="D1911">
        <v>150</v>
      </c>
    </row>
    <row r="1912" spans="2:17" ht="15" customHeight="1"/>
    <row r="1913" spans="2:17" ht="15" customHeight="1"/>
    <row r="1914" spans="2:17" ht="15" customHeight="1">
      <c r="B1914">
        <v>180</v>
      </c>
    </row>
    <row r="1915" spans="2:17" ht="15" customHeight="1"/>
    <row r="1916" spans="2:17" ht="15" customHeight="1"/>
    <row r="1917" spans="2:17" ht="15" customHeight="1"/>
    <row r="1918" spans="2:17" ht="15" customHeight="1"/>
    <row r="1919" spans="2:17" ht="15" customHeight="1"/>
    <row r="1920" spans="2:17" ht="15" customHeight="1"/>
    <row r="1921" spans="1:17" ht="15" customHeight="1"/>
    <row r="1922" spans="1:17" ht="15" customHeight="1"/>
    <row r="1923" spans="1:17" ht="15" customHeight="1"/>
    <row r="1924" spans="1:17" ht="24.95" customHeight="1">
      <c r="A1924" t="s">
        <v>359</v>
      </c>
      <c r="H1924" t="s">
        <v>154</v>
      </c>
      <c r="M1924" s="1627"/>
      <c r="N1924" s="1627"/>
      <c r="O1924" s="1627"/>
      <c r="P1924" s="1627"/>
      <c r="Q1924" s="1627"/>
    </row>
    <row r="1925" spans="1:17" ht="15" customHeight="1">
      <c r="B1925" t="s">
        <v>398</v>
      </c>
      <c r="I1925" t="s">
        <v>159</v>
      </c>
      <c r="J1925" t="s">
        <v>160</v>
      </c>
      <c r="K1925" t="s">
        <v>161</v>
      </c>
      <c r="L1925" t="s">
        <v>162</v>
      </c>
      <c r="M1925" s="187" t="s">
        <v>163</v>
      </c>
      <c r="P1925" t="s">
        <v>372</v>
      </c>
    </row>
    <row r="1926" spans="1:17" ht="15" customHeight="1">
      <c r="G1926" t="s">
        <v>165</v>
      </c>
      <c r="H1926" t="s">
        <v>166</v>
      </c>
    </row>
    <row r="1927" spans="1:17" ht="15" customHeight="1">
      <c r="G1927" t="s">
        <v>167</v>
      </c>
      <c r="H1927">
        <f>B1930/1000</f>
        <v>1.84</v>
      </c>
      <c r="K1927" t="s">
        <v>168</v>
      </c>
      <c r="L1927">
        <f>B1946/1000</f>
        <v>1.06</v>
      </c>
      <c r="N1927" t="s">
        <v>169</v>
      </c>
      <c r="O1927">
        <f>D1941/1000</f>
        <v>1.3</v>
      </c>
    </row>
    <row r="1928" spans="1:17" ht="15" customHeight="1">
      <c r="D1928" t="s">
        <v>399</v>
      </c>
      <c r="G1928" t="s">
        <v>170</v>
      </c>
      <c r="H1928">
        <f>B1930/1000</f>
        <v>1.84</v>
      </c>
      <c r="K1928" t="s">
        <v>171</v>
      </c>
      <c r="L1928">
        <f>B1946/1000</f>
        <v>1.06</v>
      </c>
    </row>
    <row r="1929" spans="1:17" ht="15" customHeight="1">
      <c r="G1929" t="s">
        <v>172</v>
      </c>
      <c r="P1929">
        <f>ROUNDDOWN(O1927/6*((2*H1927+L1927)*H1928+(2*L1927+H1927)*L1928),2)</f>
        <v>2.79</v>
      </c>
      <c r="Q1929" t="s">
        <v>91</v>
      </c>
    </row>
    <row r="1930" spans="1:17" ht="15" customHeight="1">
      <c r="B1930">
        <f>B1946+(0.3*D1941)*2</f>
        <v>1840</v>
      </c>
      <c r="G1930" t="s">
        <v>173</v>
      </c>
      <c r="H1930" t="s">
        <v>197</v>
      </c>
    </row>
    <row r="1931" spans="1:17" ht="15" customHeight="1">
      <c r="G1931" t="s">
        <v>167</v>
      </c>
      <c r="H1931">
        <f>B1943/1000</f>
        <v>0.86</v>
      </c>
      <c r="K1931" t="s">
        <v>83</v>
      </c>
      <c r="L1931">
        <f>B1932/1000</f>
        <v>0.65</v>
      </c>
      <c r="N1931" t="s">
        <v>169</v>
      </c>
      <c r="O1931">
        <f>O1927</f>
        <v>1.3</v>
      </c>
    </row>
    <row r="1932" spans="1:17" ht="15" customHeight="1">
      <c r="B1932">
        <v>650</v>
      </c>
      <c r="G1932" t="s">
        <v>170</v>
      </c>
      <c r="H1932">
        <f>B1943/1000</f>
        <v>0.86</v>
      </c>
      <c r="K1932" t="s">
        <v>84</v>
      </c>
      <c r="L1932">
        <f>B1932/1000</f>
        <v>0.65</v>
      </c>
    </row>
    <row r="1933" spans="1:17" ht="15" customHeight="1">
      <c r="G1933" t="s">
        <v>177</v>
      </c>
      <c r="P1933">
        <f>ROUNDDOWN(O1931/6*((2*H1931+L1931)*H1932+(2*L1931+H1931)*L1932),2)</f>
        <v>0.74</v>
      </c>
      <c r="Q1933" t="s">
        <v>91</v>
      </c>
    </row>
    <row r="1934" spans="1:17" ht="15" customHeight="1">
      <c r="G1934" t="s">
        <v>178</v>
      </c>
      <c r="I1934" t="s">
        <v>179</v>
      </c>
      <c r="J1934" t="s">
        <v>180</v>
      </c>
      <c r="K1934" t="s">
        <v>181</v>
      </c>
    </row>
    <row r="1935" spans="1:17" ht="15" customHeight="1">
      <c r="L1935" t="s">
        <v>198</v>
      </c>
      <c r="M1935" s="187" t="s">
        <v>402</v>
      </c>
      <c r="P1935">
        <f>P1929-P1933</f>
        <v>2.0499999999999998</v>
      </c>
      <c r="Q1935" t="s">
        <v>91</v>
      </c>
    </row>
    <row r="1936" spans="1:17" ht="15" customHeight="1">
      <c r="G1936" t="s">
        <v>183</v>
      </c>
      <c r="I1936" t="s">
        <v>184</v>
      </c>
      <c r="J1936" t="s">
        <v>200</v>
      </c>
    </row>
    <row r="1937" spans="1:17" ht="15" customHeight="1">
      <c r="A1937" t="s">
        <v>201</v>
      </c>
      <c r="P1937">
        <f>P1933</f>
        <v>0.74</v>
      </c>
      <c r="Q1937" t="s">
        <v>91</v>
      </c>
    </row>
    <row r="1938" spans="1:17" ht="15" customHeight="1">
      <c r="G1938" t="s">
        <v>400</v>
      </c>
      <c r="H1938" t="s">
        <v>382</v>
      </c>
    </row>
    <row r="1939" spans="1:17" ht="15" customHeight="1">
      <c r="L1939">
        <v>3</v>
      </c>
      <c r="P1939">
        <f>ROUNDDOWN(dhTextEvaluate(L1939),2)</f>
        <v>3</v>
      </c>
      <c r="Q1939" t="s">
        <v>54</v>
      </c>
    </row>
    <row r="1940" spans="1:17" ht="15" customHeight="1">
      <c r="G1940" t="s">
        <v>401</v>
      </c>
    </row>
    <row r="1941" spans="1:17" ht="15" customHeight="1">
      <c r="D1941">
        <v>1300</v>
      </c>
      <c r="L1941">
        <v>3</v>
      </c>
      <c r="P1941">
        <f>L1941</f>
        <v>3</v>
      </c>
      <c r="Q1941" t="s">
        <v>54</v>
      </c>
    </row>
    <row r="1942" spans="1:17" ht="15" customHeight="1">
      <c r="G1942" t="s">
        <v>379</v>
      </c>
    </row>
    <row r="1943" spans="1:17" ht="15" customHeight="1">
      <c r="B1943">
        <v>860</v>
      </c>
      <c r="L1943">
        <v>1</v>
      </c>
      <c r="P1943">
        <f>ROUNDDOWN(dhTextEvaluate(L1943),2)</f>
        <v>1</v>
      </c>
      <c r="Q1943" t="s">
        <v>154</v>
      </c>
    </row>
    <row r="1944" spans="1:17" ht="15" customHeight="1">
      <c r="B1944">
        <v>100</v>
      </c>
      <c r="C1944">
        <v>100</v>
      </c>
    </row>
    <row r="1945" spans="1:17" ht="15" customHeight="1"/>
    <row r="1946" spans="1:17" ht="15" customHeight="1">
      <c r="B1946">
        <f>B1943+B1944+C1944</f>
        <v>1060</v>
      </c>
    </row>
    <row r="1947" spans="1:17" ht="15" customHeight="1"/>
    <row r="1948" spans="1:17" ht="15" customHeight="1"/>
    <row r="1949" spans="1:17" ht="15" customHeight="1"/>
    <row r="1950" spans="1:17" ht="15" customHeight="1"/>
    <row r="1951" spans="1:17" ht="15" customHeight="1"/>
    <row r="1952" spans="1:17" ht="15" customHeight="1"/>
    <row r="1953" ht="15" customHeight="1"/>
    <row r="1954" ht="15" customHeight="1"/>
    <row r="1955" ht="15" customHeight="1"/>
  </sheetData>
  <mergeCells count="60">
    <mergeCell ref="B28:C28"/>
    <mergeCell ref="B31:C31"/>
    <mergeCell ref="B13:C13"/>
    <mergeCell ref="B16:C16"/>
    <mergeCell ref="B18:C18"/>
    <mergeCell ref="B19:C19"/>
    <mergeCell ref="B23:C23"/>
    <mergeCell ref="B1:C1"/>
    <mergeCell ref="D1:G1"/>
    <mergeCell ref="B3:C3"/>
    <mergeCell ref="B4:C4"/>
    <mergeCell ref="B8:C8"/>
    <mergeCell ref="B174:C174"/>
    <mergeCell ref="B193:C193"/>
    <mergeCell ref="M1924:Q1924"/>
    <mergeCell ref="M257:Q257"/>
    <mergeCell ref="M929:Q929"/>
    <mergeCell ref="M961:Q961"/>
    <mergeCell ref="M993:Q993"/>
    <mergeCell ref="M1089:Q1089"/>
    <mergeCell ref="M737:Q737"/>
    <mergeCell ref="M1057:Q1057"/>
    <mergeCell ref="M1025:Q1025"/>
    <mergeCell ref="D193:G193"/>
    <mergeCell ref="B196:D196"/>
    <mergeCell ref="B198:D198"/>
    <mergeCell ref="B206:D206"/>
    <mergeCell ref="E207:E211"/>
    <mergeCell ref="B129:C129"/>
    <mergeCell ref="D129:G129"/>
    <mergeCell ref="B142:C142"/>
    <mergeCell ref="B63:C63"/>
    <mergeCell ref="B161:C161"/>
    <mergeCell ref="D161:G161"/>
    <mergeCell ref="B97:C97"/>
    <mergeCell ref="D97:E97"/>
    <mergeCell ref="B115:C115"/>
    <mergeCell ref="B118:C118"/>
    <mergeCell ref="D33:G33"/>
    <mergeCell ref="B33:C33"/>
    <mergeCell ref="D65:E65"/>
    <mergeCell ref="B83:C83"/>
    <mergeCell ref="B86:C86"/>
    <mergeCell ref="B65:C65"/>
    <mergeCell ref="B45:C45"/>
    <mergeCell ref="B48:C48"/>
    <mergeCell ref="B35:C35"/>
    <mergeCell ref="B60:C60"/>
    <mergeCell ref="B36:C36"/>
    <mergeCell ref="B40:C40"/>
    <mergeCell ref="B55:C55"/>
    <mergeCell ref="B50:C50"/>
    <mergeCell ref="B51:C51"/>
    <mergeCell ref="F207:F211"/>
    <mergeCell ref="B225:C225"/>
    <mergeCell ref="D225:G225"/>
    <mergeCell ref="B238:C238"/>
    <mergeCell ref="B217:D217"/>
    <mergeCell ref="B218:D218"/>
    <mergeCell ref="B220:D220"/>
  </mergeCells>
  <phoneticPr fontId="7" type="noConversion"/>
  <printOptions horizontalCentered="1" verticalCentered="1"/>
  <pageMargins left="0.59055118110236227" right="0.39370078740157483" top="0.78740157480314965" bottom="0.59055118110236227" header="0.39370078740157483" footer="0.55118110236220474"/>
  <pageSetup paperSize="9" orientation="landscape" r:id="rId1"/>
  <headerFooter alignWithMargins="0">
    <oddHeader>&amp;C&amp;"돋움체,굵게"&amp;20&amp;U기 초 산 출 서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133"/>
  <sheetViews>
    <sheetView view="pageBreakPreview" zoomScaleSheetLayoutView="100" workbookViewId="0">
      <selection activeCell="AD12" sqref="AD12"/>
    </sheetView>
  </sheetViews>
  <sheetFormatPr defaultRowHeight="13.5"/>
  <cols>
    <col min="1" max="1" width="12.109375" style="322" customWidth="1"/>
    <col min="2" max="23" width="3.21875" style="322" customWidth="1"/>
    <col min="24" max="24" width="9.109375" style="322" customWidth="1"/>
    <col min="25" max="25" width="3.21875" style="322" customWidth="1"/>
    <col min="26" max="26" width="10" style="322" customWidth="1"/>
    <col min="27" max="256" width="8.88671875" style="322"/>
    <col min="257" max="257" width="12.109375" style="322" customWidth="1"/>
    <col min="258" max="279" width="3.21875" style="322" customWidth="1"/>
    <col min="280" max="280" width="9.109375" style="322" customWidth="1"/>
    <col min="281" max="281" width="3.21875" style="322" customWidth="1"/>
    <col min="282" max="282" width="10" style="322" customWidth="1"/>
    <col min="283" max="512" width="8.88671875" style="322"/>
    <col min="513" max="513" width="12.109375" style="322" customWidth="1"/>
    <col min="514" max="535" width="3.21875" style="322" customWidth="1"/>
    <col min="536" max="536" width="9.109375" style="322" customWidth="1"/>
    <col min="537" max="537" width="3.21875" style="322" customWidth="1"/>
    <col min="538" max="538" width="10" style="322" customWidth="1"/>
    <col min="539" max="768" width="8.88671875" style="322"/>
    <col min="769" max="769" width="12.109375" style="322" customWidth="1"/>
    <col min="770" max="791" width="3.21875" style="322" customWidth="1"/>
    <col min="792" max="792" width="9.109375" style="322" customWidth="1"/>
    <col min="793" max="793" width="3.21875" style="322" customWidth="1"/>
    <col min="794" max="794" width="10" style="322" customWidth="1"/>
    <col min="795" max="1024" width="8.88671875" style="322"/>
    <col min="1025" max="1025" width="12.109375" style="322" customWidth="1"/>
    <col min="1026" max="1047" width="3.21875" style="322" customWidth="1"/>
    <col min="1048" max="1048" width="9.109375" style="322" customWidth="1"/>
    <col min="1049" max="1049" width="3.21875" style="322" customWidth="1"/>
    <col min="1050" max="1050" width="10" style="322" customWidth="1"/>
    <col min="1051" max="1280" width="8.88671875" style="322"/>
    <col min="1281" max="1281" width="12.109375" style="322" customWidth="1"/>
    <col min="1282" max="1303" width="3.21875" style="322" customWidth="1"/>
    <col min="1304" max="1304" width="9.109375" style="322" customWidth="1"/>
    <col min="1305" max="1305" width="3.21875" style="322" customWidth="1"/>
    <col min="1306" max="1306" width="10" style="322" customWidth="1"/>
    <col min="1307" max="1536" width="8.88671875" style="322"/>
    <col min="1537" max="1537" width="12.109375" style="322" customWidth="1"/>
    <col min="1538" max="1559" width="3.21875" style="322" customWidth="1"/>
    <col min="1560" max="1560" width="9.109375" style="322" customWidth="1"/>
    <col min="1561" max="1561" width="3.21875" style="322" customWidth="1"/>
    <col min="1562" max="1562" width="10" style="322" customWidth="1"/>
    <col min="1563" max="1792" width="8.88671875" style="322"/>
    <col min="1793" max="1793" width="12.109375" style="322" customWidth="1"/>
    <col min="1794" max="1815" width="3.21875" style="322" customWidth="1"/>
    <col min="1816" max="1816" width="9.109375" style="322" customWidth="1"/>
    <col min="1817" max="1817" width="3.21875" style="322" customWidth="1"/>
    <col min="1818" max="1818" width="10" style="322" customWidth="1"/>
    <col min="1819" max="2048" width="8.88671875" style="322"/>
    <col min="2049" max="2049" width="12.109375" style="322" customWidth="1"/>
    <col min="2050" max="2071" width="3.21875" style="322" customWidth="1"/>
    <col min="2072" max="2072" width="9.109375" style="322" customWidth="1"/>
    <col min="2073" max="2073" width="3.21875" style="322" customWidth="1"/>
    <col min="2074" max="2074" width="10" style="322" customWidth="1"/>
    <col min="2075" max="2304" width="8.88671875" style="322"/>
    <col min="2305" max="2305" width="12.109375" style="322" customWidth="1"/>
    <col min="2306" max="2327" width="3.21875" style="322" customWidth="1"/>
    <col min="2328" max="2328" width="9.109375" style="322" customWidth="1"/>
    <col min="2329" max="2329" width="3.21875" style="322" customWidth="1"/>
    <col min="2330" max="2330" width="10" style="322" customWidth="1"/>
    <col min="2331" max="2560" width="8.88671875" style="322"/>
    <col min="2561" max="2561" width="12.109375" style="322" customWidth="1"/>
    <col min="2562" max="2583" width="3.21875" style="322" customWidth="1"/>
    <col min="2584" max="2584" width="9.109375" style="322" customWidth="1"/>
    <col min="2585" max="2585" width="3.21875" style="322" customWidth="1"/>
    <col min="2586" max="2586" width="10" style="322" customWidth="1"/>
    <col min="2587" max="2816" width="8.88671875" style="322"/>
    <col min="2817" max="2817" width="12.109375" style="322" customWidth="1"/>
    <col min="2818" max="2839" width="3.21875" style="322" customWidth="1"/>
    <col min="2840" max="2840" width="9.109375" style="322" customWidth="1"/>
    <col min="2841" max="2841" width="3.21875" style="322" customWidth="1"/>
    <col min="2842" max="2842" width="10" style="322" customWidth="1"/>
    <col min="2843" max="3072" width="8.88671875" style="322"/>
    <col min="3073" max="3073" width="12.109375" style="322" customWidth="1"/>
    <col min="3074" max="3095" width="3.21875" style="322" customWidth="1"/>
    <col min="3096" max="3096" width="9.109375" style="322" customWidth="1"/>
    <col min="3097" max="3097" width="3.21875" style="322" customWidth="1"/>
    <col min="3098" max="3098" width="10" style="322" customWidth="1"/>
    <col min="3099" max="3328" width="8.88671875" style="322"/>
    <col min="3329" max="3329" width="12.109375" style="322" customWidth="1"/>
    <col min="3330" max="3351" width="3.21875" style="322" customWidth="1"/>
    <col min="3352" max="3352" width="9.109375" style="322" customWidth="1"/>
    <col min="3353" max="3353" width="3.21875" style="322" customWidth="1"/>
    <col min="3354" max="3354" width="10" style="322" customWidth="1"/>
    <col min="3355" max="3584" width="8.88671875" style="322"/>
    <col min="3585" max="3585" width="12.109375" style="322" customWidth="1"/>
    <col min="3586" max="3607" width="3.21875" style="322" customWidth="1"/>
    <col min="3608" max="3608" width="9.109375" style="322" customWidth="1"/>
    <col min="3609" max="3609" width="3.21875" style="322" customWidth="1"/>
    <col min="3610" max="3610" width="10" style="322" customWidth="1"/>
    <col min="3611" max="3840" width="8.88671875" style="322"/>
    <col min="3841" max="3841" width="12.109375" style="322" customWidth="1"/>
    <col min="3842" max="3863" width="3.21875" style="322" customWidth="1"/>
    <col min="3864" max="3864" width="9.109375" style="322" customWidth="1"/>
    <col min="3865" max="3865" width="3.21875" style="322" customWidth="1"/>
    <col min="3866" max="3866" width="10" style="322" customWidth="1"/>
    <col min="3867" max="4096" width="8.88671875" style="322"/>
    <col min="4097" max="4097" width="12.109375" style="322" customWidth="1"/>
    <col min="4098" max="4119" width="3.21875" style="322" customWidth="1"/>
    <col min="4120" max="4120" width="9.109375" style="322" customWidth="1"/>
    <col min="4121" max="4121" width="3.21875" style="322" customWidth="1"/>
    <col min="4122" max="4122" width="10" style="322" customWidth="1"/>
    <col min="4123" max="4352" width="8.88671875" style="322"/>
    <col min="4353" max="4353" width="12.109375" style="322" customWidth="1"/>
    <col min="4354" max="4375" width="3.21875" style="322" customWidth="1"/>
    <col min="4376" max="4376" width="9.109375" style="322" customWidth="1"/>
    <col min="4377" max="4377" width="3.21875" style="322" customWidth="1"/>
    <col min="4378" max="4378" width="10" style="322" customWidth="1"/>
    <col min="4379" max="4608" width="8.88671875" style="322"/>
    <col min="4609" max="4609" width="12.109375" style="322" customWidth="1"/>
    <col min="4610" max="4631" width="3.21875" style="322" customWidth="1"/>
    <col min="4632" max="4632" width="9.109375" style="322" customWidth="1"/>
    <col min="4633" max="4633" width="3.21875" style="322" customWidth="1"/>
    <col min="4634" max="4634" width="10" style="322" customWidth="1"/>
    <col min="4635" max="4864" width="8.88671875" style="322"/>
    <col min="4865" max="4865" width="12.109375" style="322" customWidth="1"/>
    <col min="4866" max="4887" width="3.21875" style="322" customWidth="1"/>
    <col min="4888" max="4888" width="9.109375" style="322" customWidth="1"/>
    <col min="4889" max="4889" width="3.21875" style="322" customWidth="1"/>
    <col min="4890" max="4890" width="10" style="322" customWidth="1"/>
    <col min="4891" max="5120" width="8.88671875" style="322"/>
    <col min="5121" max="5121" width="12.109375" style="322" customWidth="1"/>
    <col min="5122" max="5143" width="3.21875" style="322" customWidth="1"/>
    <col min="5144" max="5144" width="9.109375" style="322" customWidth="1"/>
    <col min="5145" max="5145" width="3.21875" style="322" customWidth="1"/>
    <col min="5146" max="5146" width="10" style="322" customWidth="1"/>
    <col min="5147" max="5376" width="8.88671875" style="322"/>
    <col min="5377" max="5377" width="12.109375" style="322" customWidth="1"/>
    <col min="5378" max="5399" width="3.21875" style="322" customWidth="1"/>
    <col min="5400" max="5400" width="9.109375" style="322" customWidth="1"/>
    <col min="5401" max="5401" width="3.21875" style="322" customWidth="1"/>
    <col min="5402" max="5402" width="10" style="322" customWidth="1"/>
    <col min="5403" max="5632" width="8.88671875" style="322"/>
    <col min="5633" max="5633" width="12.109375" style="322" customWidth="1"/>
    <col min="5634" max="5655" width="3.21875" style="322" customWidth="1"/>
    <col min="5656" max="5656" width="9.109375" style="322" customWidth="1"/>
    <col min="5657" max="5657" width="3.21875" style="322" customWidth="1"/>
    <col min="5658" max="5658" width="10" style="322" customWidth="1"/>
    <col min="5659" max="5888" width="8.88671875" style="322"/>
    <col min="5889" max="5889" width="12.109375" style="322" customWidth="1"/>
    <col min="5890" max="5911" width="3.21875" style="322" customWidth="1"/>
    <col min="5912" max="5912" width="9.109375" style="322" customWidth="1"/>
    <col min="5913" max="5913" width="3.21875" style="322" customWidth="1"/>
    <col min="5914" max="5914" width="10" style="322" customWidth="1"/>
    <col min="5915" max="6144" width="8.88671875" style="322"/>
    <col min="6145" max="6145" width="12.109375" style="322" customWidth="1"/>
    <col min="6146" max="6167" width="3.21875" style="322" customWidth="1"/>
    <col min="6168" max="6168" width="9.109375" style="322" customWidth="1"/>
    <col min="6169" max="6169" width="3.21875" style="322" customWidth="1"/>
    <col min="6170" max="6170" width="10" style="322" customWidth="1"/>
    <col min="6171" max="6400" width="8.88671875" style="322"/>
    <col min="6401" max="6401" width="12.109375" style="322" customWidth="1"/>
    <col min="6402" max="6423" width="3.21875" style="322" customWidth="1"/>
    <col min="6424" max="6424" width="9.109375" style="322" customWidth="1"/>
    <col min="6425" max="6425" width="3.21875" style="322" customWidth="1"/>
    <col min="6426" max="6426" width="10" style="322" customWidth="1"/>
    <col min="6427" max="6656" width="8.88671875" style="322"/>
    <col min="6657" max="6657" width="12.109375" style="322" customWidth="1"/>
    <col min="6658" max="6679" width="3.21875" style="322" customWidth="1"/>
    <col min="6680" max="6680" width="9.109375" style="322" customWidth="1"/>
    <col min="6681" max="6681" width="3.21875" style="322" customWidth="1"/>
    <col min="6682" max="6682" width="10" style="322" customWidth="1"/>
    <col min="6683" max="6912" width="8.88671875" style="322"/>
    <col min="6913" max="6913" width="12.109375" style="322" customWidth="1"/>
    <col min="6914" max="6935" width="3.21875" style="322" customWidth="1"/>
    <col min="6936" max="6936" width="9.109375" style="322" customWidth="1"/>
    <col min="6937" max="6937" width="3.21875" style="322" customWidth="1"/>
    <col min="6938" max="6938" width="10" style="322" customWidth="1"/>
    <col min="6939" max="7168" width="8.88671875" style="322"/>
    <col min="7169" max="7169" width="12.109375" style="322" customWidth="1"/>
    <col min="7170" max="7191" width="3.21875" style="322" customWidth="1"/>
    <col min="7192" max="7192" width="9.109375" style="322" customWidth="1"/>
    <col min="7193" max="7193" width="3.21875" style="322" customWidth="1"/>
    <col min="7194" max="7194" width="10" style="322" customWidth="1"/>
    <col min="7195" max="7424" width="8.88671875" style="322"/>
    <col min="7425" max="7425" width="12.109375" style="322" customWidth="1"/>
    <col min="7426" max="7447" width="3.21875" style="322" customWidth="1"/>
    <col min="7448" max="7448" width="9.109375" style="322" customWidth="1"/>
    <col min="7449" max="7449" width="3.21875" style="322" customWidth="1"/>
    <col min="7450" max="7450" width="10" style="322" customWidth="1"/>
    <col min="7451" max="7680" width="8.88671875" style="322"/>
    <col min="7681" max="7681" width="12.109375" style="322" customWidth="1"/>
    <col min="7682" max="7703" width="3.21875" style="322" customWidth="1"/>
    <col min="7704" max="7704" width="9.109375" style="322" customWidth="1"/>
    <col min="7705" max="7705" width="3.21875" style="322" customWidth="1"/>
    <col min="7706" max="7706" width="10" style="322" customWidth="1"/>
    <col min="7707" max="7936" width="8.88671875" style="322"/>
    <col min="7937" max="7937" width="12.109375" style="322" customWidth="1"/>
    <col min="7938" max="7959" width="3.21875" style="322" customWidth="1"/>
    <col min="7960" max="7960" width="9.109375" style="322" customWidth="1"/>
    <col min="7961" max="7961" width="3.21875" style="322" customWidth="1"/>
    <col min="7962" max="7962" width="10" style="322" customWidth="1"/>
    <col min="7963" max="8192" width="8.88671875" style="322"/>
    <col min="8193" max="8193" width="12.109375" style="322" customWidth="1"/>
    <col min="8194" max="8215" width="3.21875" style="322" customWidth="1"/>
    <col min="8216" max="8216" width="9.109375" style="322" customWidth="1"/>
    <col min="8217" max="8217" width="3.21875" style="322" customWidth="1"/>
    <col min="8218" max="8218" width="10" style="322" customWidth="1"/>
    <col min="8219" max="8448" width="8.88671875" style="322"/>
    <col min="8449" max="8449" width="12.109375" style="322" customWidth="1"/>
    <col min="8450" max="8471" width="3.21875" style="322" customWidth="1"/>
    <col min="8472" max="8472" width="9.109375" style="322" customWidth="1"/>
    <col min="8473" max="8473" width="3.21875" style="322" customWidth="1"/>
    <col min="8474" max="8474" width="10" style="322" customWidth="1"/>
    <col min="8475" max="8704" width="8.88671875" style="322"/>
    <col min="8705" max="8705" width="12.109375" style="322" customWidth="1"/>
    <col min="8706" max="8727" width="3.21875" style="322" customWidth="1"/>
    <col min="8728" max="8728" width="9.109375" style="322" customWidth="1"/>
    <col min="8729" max="8729" width="3.21875" style="322" customWidth="1"/>
    <col min="8730" max="8730" width="10" style="322" customWidth="1"/>
    <col min="8731" max="8960" width="8.88671875" style="322"/>
    <col min="8961" max="8961" width="12.109375" style="322" customWidth="1"/>
    <col min="8962" max="8983" width="3.21875" style="322" customWidth="1"/>
    <col min="8984" max="8984" width="9.109375" style="322" customWidth="1"/>
    <col min="8985" max="8985" width="3.21875" style="322" customWidth="1"/>
    <col min="8986" max="8986" width="10" style="322" customWidth="1"/>
    <col min="8987" max="9216" width="8.88671875" style="322"/>
    <col min="9217" max="9217" width="12.109375" style="322" customWidth="1"/>
    <col min="9218" max="9239" width="3.21875" style="322" customWidth="1"/>
    <col min="9240" max="9240" width="9.109375" style="322" customWidth="1"/>
    <col min="9241" max="9241" width="3.21875" style="322" customWidth="1"/>
    <col min="9242" max="9242" width="10" style="322" customWidth="1"/>
    <col min="9243" max="9472" width="8.88671875" style="322"/>
    <col min="9473" max="9473" width="12.109375" style="322" customWidth="1"/>
    <col min="9474" max="9495" width="3.21875" style="322" customWidth="1"/>
    <col min="9496" max="9496" width="9.109375" style="322" customWidth="1"/>
    <col min="9497" max="9497" width="3.21875" style="322" customWidth="1"/>
    <col min="9498" max="9498" width="10" style="322" customWidth="1"/>
    <col min="9499" max="9728" width="8.88671875" style="322"/>
    <col min="9729" max="9729" width="12.109375" style="322" customWidth="1"/>
    <col min="9730" max="9751" width="3.21875" style="322" customWidth="1"/>
    <col min="9752" max="9752" width="9.109375" style="322" customWidth="1"/>
    <col min="9753" max="9753" width="3.21875" style="322" customWidth="1"/>
    <col min="9754" max="9754" width="10" style="322" customWidth="1"/>
    <col min="9755" max="9984" width="8.88671875" style="322"/>
    <col min="9985" max="9985" width="12.109375" style="322" customWidth="1"/>
    <col min="9986" max="10007" width="3.21875" style="322" customWidth="1"/>
    <col min="10008" max="10008" width="9.109375" style="322" customWidth="1"/>
    <col min="10009" max="10009" width="3.21875" style="322" customWidth="1"/>
    <col min="10010" max="10010" width="10" style="322" customWidth="1"/>
    <col min="10011" max="10240" width="8.88671875" style="322"/>
    <col min="10241" max="10241" width="12.109375" style="322" customWidth="1"/>
    <col min="10242" max="10263" width="3.21875" style="322" customWidth="1"/>
    <col min="10264" max="10264" width="9.109375" style="322" customWidth="1"/>
    <col min="10265" max="10265" width="3.21875" style="322" customWidth="1"/>
    <col min="10266" max="10266" width="10" style="322" customWidth="1"/>
    <col min="10267" max="10496" width="8.88671875" style="322"/>
    <col min="10497" max="10497" width="12.109375" style="322" customWidth="1"/>
    <col min="10498" max="10519" width="3.21875" style="322" customWidth="1"/>
    <col min="10520" max="10520" width="9.109375" style="322" customWidth="1"/>
    <col min="10521" max="10521" width="3.21875" style="322" customWidth="1"/>
    <col min="10522" max="10522" width="10" style="322" customWidth="1"/>
    <col min="10523" max="10752" width="8.88671875" style="322"/>
    <col min="10753" max="10753" width="12.109375" style="322" customWidth="1"/>
    <col min="10754" max="10775" width="3.21875" style="322" customWidth="1"/>
    <col min="10776" max="10776" width="9.109375" style="322" customWidth="1"/>
    <col min="10777" max="10777" width="3.21875" style="322" customWidth="1"/>
    <col min="10778" max="10778" width="10" style="322" customWidth="1"/>
    <col min="10779" max="11008" width="8.88671875" style="322"/>
    <col min="11009" max="11009" width="12.109375" style="322" customWidth="1"/>
    <col min="11010" max="11031" width="3.21875" style="322" customWidth="1"/>
    <col min="11032" max="11032" width="9.109375" style="322" customWidth="1"/>
    <col min="11033" max="11033" width="3.21875" style="322" customWidth="1"/>
    <col min="11034" max="11034" width="10" style="322" customWidth="1"/>
    <col min="11035" max="11264" width="8.88671875" style="322"/>
    <col min="11265" max="11265" width="12.109375" style="322" customWidth="1"/>
    <col min="11266" max="11287" width="3.21875" style="322" customWidth="1"/>
    <col min="11288" max="11288" width="9.109375" style="322" customWidth="1"/>
    <col min="11289" max="11289" width="3.21875" style="322" customWidth="1"/>
    <col min="11290" max="11290" width="10" style="322" customWidth="1"/>
    <col min="11291" max="11520" width="8.88671875" style="322"/>
    <col min="11521" max="11521" width="12.109375" style="322" customWidth="1"/>
    <col min="11522" max="11543" width="3.21875" style="322" customWidth="1"/>
    <col min="11544" max="11544" width="9.109375" style="322" customWidth="1"/>
    <col min="11545" max="11545" width="3.21875" style="322" customWidth="1"/>
    <col min="11546" max="11546" width="10" style="322" customWidth="1"/>
    <col min="11547" max="11776" width="8.88671875" style="322"/>
    <col min="11777" max="11777" width="12.109375" style="322" customWidth="1"/>
    <col min="11778" max="11799" width="3.21875" style="322" customWidth="1"/>
    <col min="11800" max="11800" width="9.109375" style="322" customWidth="1"/>
    <col min="11801" max="11801" width="3.21875" style="322" customWidth="1"/>
    <col min="11802" max="11802" width="10" style="322" customWidth="1"/>
    <col min="11803" max="12032" width="8.88671875" style="322"/>
    <col min="12033" max="12033" width="12.109375" style="322" customWidth="1"/>
    <col min="12034" max="12055" width="3.21875" style="322" customWidth="1"/>
    <col min="12056" max="12056" width="9.109375" style="322" customWidth="1"/>
    <col min="12057" max="12057" width="3.21875" style="322" customWidth="1"/>
    <col min="12058" max="12058" width="10" style="322" customWidth="1"/>
    <col min="12059" max="12288" width="8.88671875" style="322"/>
    <col min="12289" max="12289" width="12.109375" style="322" customWidth="1"/>
    <col min="12290" max="12311" width="3.21875" style="322" customWidth="1"/>
    <col min="12312" max="12312" width="9.109375" style="322" customWidth="1"/>
    <col min="12313" max="12313" width="3.21875" style="322" customWidth="1"/>
    <col min="12314" max="12314" width="10" style="322" customWidth="1"/>
    <col min="12315" max="12544" width="8.88671875" style="322"/>
    <col min="12545" max="12545" width="12.109375" style="322" customWidth="1"/>
    <col min="12546" max="12567" width="3.21875" style="322" customWidth="1"/>
    <col min="12568" max="12568" width="9.109375" style="322" customWidth="1"/>
    <col min="12569" max="12569" width="3.21875" style="322" customWidth="1"/>
    <col min="12570" max="12570" width="10" style="322" customWidth="1"/>
    <col min="12571" max="12800" width="8.88671875" style="322"/>
    <col min="12801" max="12801" width="12.109375" style="322" customWidth="1"/>
    <col min="12802" max="12823" width="3.21875" style="322" customWidth="1"/>
    <col min="12824" max="12824" width="9.109375" style="322" customWidth="1"/>
    <col min="12825" max="12825" width="3.21875" style="322" customWidth="1"/>
    <col min="12826" max="12826" width="10" style="322" customWidth="1"/>
    <col min="12827" max="13056" width="8.88671875" style="322"/>
    <col min="13057" max="13057" width="12.109375" style="322" customWidth="1"/>
    <col min="13058" max="13079" width="3.21875" style="322" customWidth="1"/>
    <col min="13080" max="13080" width="9.109375" style="322" customWidth="1"/>
    <col min="13081" max="13081" width="3.21875" style="322" customWidth="1"/>
    <col min="13082" max="13082" width="10" style="322" customWidth="1"/>
    <col min="13083" max="13312" width="8.88671875" style="322"/>
    <col min="13313" max="13313" width="12.109375" style="322" customWidth="1"/>
    <col min="13314" max="13335" width="3.21875" style="322" customWidth="1"/>
    <col min="13336" max="13336" width="9.109375" style="322" customWidth="1"/>
    <col min="13337" max="13337" width="3.21875" style="322" customWidth="1"/>
    <col min="13338" max="13338" width="10" style="322" customWidth="1"/>
    <col min="13339" max="13568" width="8.88671875" style="322"/>
    <col min="13569" max="13569" width="12.109375" style="322" customWidth="1"/>
    <col min="13570" max="13591" width="3.21875" style="322" customWidth="1"/>
    <col min="13592" max="13592" width="9.109375" style="322" customWidth="1"/>
    <col min="13593" max="13593" width="3.21875" style="322" customWidth="1"/>
    <col min="13594" max="13594" width="10" style="322" customWidth="1"/>
    <col min="13595" max="13824" width="8.88671875" style="322"/>
    <col min="13825" max="13825" width="12.109375" style="322" customWidth="1"/>
    <col min="13826" max="13847" width="3.21875" style="322" customWidth="1"/>
    <col min="13848" max="13848" width="9.109375" style="322" customWidth="1"/>
    <col min="13849" max="13849" width="3.21875" style="322" customWidth="1"/>
    <col min="13850" max="13850" width="10" style="322" customWidth="1"/>
    <col min="13851" max="14080" width="8.88671875" style="322"/>
    <col min="14081" max="14081" width="12.109375" style="322" customWidth="1"/>
    <col min="14082" max="14103" width="3.21875" style="322" customWidth="1"/>
    <col min="14104" max="14104" width="9.109375" style="322" customWidth="1"/>
    <col min="14105" max="14105" width="3.21875" style="322" customWidth="1"/>
    <col min="14106" max="14106" width="10" style="322" customWidth="1"/>
    <col min="14107" max="14336" width="8.88671875" style="322"/>
    <col min="14337" max="14337" width="12.109375" style="322" customWidth="1"/>
    <col min="14338" max="14359" width="3.21875" style="322" customWidth="1"/>
    <col min="14360" max="14360" width="9.109375" style="322" customWidth="1"/>
    <col min="14361" max="14361" width="3.21875" style="322" customWidth="1"/>
    <col min="14362" max="14362" width="10" style="322" customWidth="1"/>
    <col min="14363" max="14592" width="8.88671875" style="322"/>
    <col min="14593" max="14593" width="12.109375" style="322" customWidth="1"/>
    <col min="14594" max="14615" width="3.21875" style="322" customWidth="1"/>
    <col min="14616" max="14616" width="9.109375" style="322" customWidth="1"/>
    <col min="14617" max="14617" width="3.21875" style="322" customWidth="1"/>
    <col min="14618" max="14618" width="10" style="322" customWidth="1"/>
    <col min="14619" max="14848" width="8.88671875" style="322"/>
    <col min="14849" max="14849" width="12.109375" style="322" customWidth="1"/>
    <col min="14850" max="14871" width="3.21875" style="322" customWidth="1"/>
    <col min="14872" max="14872" width="9.109375" style="322" customWidth="1"/>
    <col min="14873" max="14873" width="3.21875" style="322" customWidth="1"/>
    <col min="14874" max="14874" width="10" style="322" customWidth="1"/>
    <col min="14875" max="15104" width="8.88671875" style="322"/>
    <col min="15105" max="15105" width="12.109375" style="322" customWidth="1"/>
    <col min="15106" max="15127" width="3.21875" style="322" customWidth="1"/>
    <col min="15128" max="15128" width="9.109375" style="322" customWidth="1"/>
    <col min="15129" max="15129" width="3.21875" style="322" customWidth="1"/>
    <col min="15130" max="15130" width="10" style="322" customWidth="1"/>
    <col min="15131" max="15360" width="8.88671875" style="322"/>
    <col min="15361" max="15361" width="12.109375" style="322" customWidth="1"/>
    <col min="15362" max="15383" width="3.21875" style="322" customWidth="1"/>
    <col min="15384" max="15384" width="9.109375" style="322" customWidth="1"/>
    <col min="15385" max="15385" width="3.21875" style="322" customWidth="1"/>
    <col min="15386" max="15386" width="10" style="322" customWidth="1"/>
    <col min="15387" max="15616" width="8.88671875" style="322"/>
    <col min="15617" max="15617" width="12.109375" style="322" customWidth="1"/>
    <col min="15618" max="15639" width="3.21875" style="322" customWidth="1"/>
    <col min="15640" max="15640" width="9.109375" style="322" customWidth="1"/>
    <col min="15641" max="15641" width="3.21875" style="322" customWidth="1"/>
    <col min="15642" max="15642" width="10" style="322" customWidth="1"/>
    <col min="15643" max="15872" width="8.88671875" style="322"/>
    <col min="15873" max="15873" width="12.109375" style="322" customWidth="1"/>
    <col min="15874" max="15895" width="3.21875" style="322" customWidth="1"/>
    <col min="15896" max="15896" width="9.109375" style="322" customWidth="1"/>
    <col min="15897" max="15897" width="3.21875" style="322" customWidth="1"/>
    <col min="15898" max="15898" width="10" style="322" customWidth="1"/>
    <col min="15899" max="16128" width="8.88671875" style="322"/>
    <col min="16129" max="16129" width="12.109375" style="322" customWidth="1"/>
    <col min="16130" max="16151" width="3.21875" style="322" customWidth="1"/>
    <col min="16152" max="16152" width="9.109375" style="322" customWidth="1"/>
    <col min="16153" max="16153" width="3.21875" style="322" customWidth="1"/>
    <col min="16154" max="16154" width="10" style="322" customWidth="1"/>
    <col min="16155" max="16384" width="8.88671875" style="322"/>
  </cols>
  <sheetData>
    <row r="1" spans="1:26" ht="24.95" customHeight="1" thickBot="1">
      <c r="A1" s="318" t="s">
        <v>778</v>
      </c>
      <c r="B1" s="319" t="s">
        <v>902</v>
      </c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0" t="s">
        <v>779</v>
      </c>
      <c r="Y1" s="321"/>
      <c r="Z1" s="318" t="s">
        <v>780</v>
      </c>
    </row>
    <row r="2" spans="1:26" ht="20.100000000000001" customHeight="1" thickTop="1">
      <c r="A2" s="323" t="s">
        <v>781</v>
      </c>
      <c r="B2" s="324"/>
      <c r="X2" s="324"/>
      <c r="Y2" s="325"/>
      <c r="Z2" s="326"/>
    </row>
    <row r="3" spans="1:26" ht="20.100000000000001" customHeight="1">
      <c r="A3" s="323" t="s">
        <v>782</v>
      </c>
      <c r="B3" s="324"/>
      <c r="X3" s="324"/>
      <c r="Y3" s="325"/>
      <c r="Z3" s="326"/>
    </row>
    <row r="4" spans="1:26" ht="20.100000000000001" customHeight="1">
      <c r="A4" s="323" t="s">
        <v>783</v>
      </c>
      <c r="B4" s="324"/>
      <c r="X4" s="324"/>
      <c r="Y4" s="325"/>
      <c r="Z4" s="326"/>
    </row>
    <row r="5" spans="1:26" ht="20.100000000000001" customHeight="1">
      <c r="A5" s="326"/>
      <c r="B5" s="324"/>
      <c r="X5" s="324"/>
      <c r="Y5" s="325"/>
      <c r="Z5" s="326"/>
    </row>
    <row r="6" spans="1:26" ht="20.100000000000001" customHeight="1">
      <c r="A6" s="326"/>
      <c r="B6" s="324"/>
      <c r="X6" s="324"/>
      <c r="Y6" s="325"/>
      <c r="Z6" s="326"/>
    </row>
    <row r="7" spans="1:26" ht="20.100000000000001" customHeight="1">
      <c r="A7" s="326"/>
      <c r="B7" s="324"/>
      <c r="X7" s="324"/>
      <c r="Y7" s="325"/>
      <c r="Z7" s="326"/>
    </row>
    <row r="8" spans="1:26" ht="20.100000000000001" customHeight="1">
      <c r="A8" s="326"/>
      <c r="B8" s="324"/>
      <c r="X8" s="324"/>
      <c r="Y8" s="325"/>
      <c r="Z8" s="326"/>
    </row>
    <row r="9" spans="1:26" ht="20.100000000000001" customHeight="1">
      <c r="A9" s="326"/>
      <c r="B9" s="324"/>
      <c r="X9" s="324"/>
      <c r="Y9" s="325"/>
      <c r="Z9" s="326"/>
    </row>
    <row r="10" spans="1:26" ht="20.100000000000001" customHeight="1">
      <c r="A10" s="326"/>
      <c r="B10" s="324"/>
      <c r="X10" s="324"/>
      <c r="Y10" s="325"/>
      <c r="Z10" s="326"/>
    </row>
    <row r="11" spans="1:26" ht="20.100000000000001" customHeight="1">
      <c r="A11" s="326"/>
      <c r="B11" s="324"/>
      <c r="X11" s="324"/>
      <c r="Y11" s="325"/>
      <c r="Z11" s="326"/>
    </row>
    <row r="12" spans="1:26" ht="20.100000000000001" customHeight="1">
      <c r="A12" s="326"/>
      <c r="B12" s="324"/>
      <c r="X12" s="324"/>
      <c r="Y12" s="325"/>
      <c r="Z12" s="326"/>
    </row>
    <row r="13" spans="1:26" ht="20.100000000000001" customHeight="1">
      <c r="A13" s="326"/>
      <c r="B13" s="324"/>
      <c r="X13" s="324"/>
      <c r="Y13" s="325"/>
      <c r="Z13" s="326"/>
    </row>
    <row r="14" spans="1:26" ht="20.100000000000001" customHeight="1">
      <c r="A14" s="326"/>
      <c r="B14" s="324"/>
      <c r="C14" s="322" t="s">
        <v>1129</v>
      </c>
      <c r="X14" s="324"/>
      <c r="Y14" s="325"/>
      <c r="Z14" s="326"/>
    </row>
    <row r="15" spans="1:26" ht="20.100000000000001" customHeight="1">
      <c r="A15" s="326"/>
      <c r="B15" s="324"/>
      <c r="C15" s="322" t="s">
        <v>1130</v>
      </c>
      <c r="X15" s="324">
        <v>4.62</v>
      </c>
      <c r="Y15" s="325" t="s">
        <v>1131</v>
      </c>
      <c r="Z15" s="326"/>
    </row>
    <row r="16" spans="1:26" ht="20.100000000000001" customHeight="1">
      <c r="A16" s="326"/>
      <c r="B16" s="324"/>
      <c r="C16" s="322" t="s">
        <v>1132</v>
      </c>
      <c r="X16" s="324"/>
      <c r="Y16" s="325"/>
      <c r="Z16" s="326"/>
    </row>
    <row r="17" spans="1:26" ht="20.100000000000001" customHeight="1">
      <c r="A17" s="326"/>
      <c r="B17" s="324"/>
      <c r="C17" s="322" t="s">
        <v>1133</v>
      </c>
      <c r="X17" s="324">
        <v>3.56</v>
      </c>
      <c r="Y17" s="325" t="s">
        <v>1131</v>
      </c>
      <c r="Z17" s="326"/>
    </row>
    <row r="18" spans="1:26" ht="20.100000000000001" customHeight="1">
      <c r="A18" s="326"/>
      <c r="B18" s="324"/>
      <c r="C18" s="322" t="s">
        <v>1134</v>
      </c>
      <c r="X18" s="324"/>
      <c r="Y18" s="325"/>
      <c r="Z18" s="326"/>
    </row>
    <row r="19" spans="1:26" ht="20.100000000000001" customHeight="1">
      <c r="A19" s="326"/>
      <c r="B19" s="324"/>
      <c r="C19" s="322" t="s">
        <v>1135</v>
      </c>
      <c r="X19" s="324">
        <v>1.06</v>
      </c>
      <c r="Y19" s="325" t="s">
        <v>1131</v>
      </c>
      <c r="Z19" s="326"/>
    </row>
    <row r="20" spans="1:26" ht="20.100000000000001" customHeight="1">
      <c r="A20" s="326"/>
      <c r="B20" s="324"/>
      <c r="C20" s="322" t="s">
        <v>1136</v>
      </c>
      <c r="X20" s="324"/>
      <c r="Y20" s="325"/>
      <c r="Z20" s="326"/>
    </row>
    <row r="21" spans="1:26" ht="20.100000000000001" customHeight="1">
      <c r="A21" s="326"/>
      <c r="B21" s="324"/>
      <c r="C21" s="322" t="s">
        <v>1137</v>
      </c>
      <c r="X21" s="324">
        <v>4.54</v>
      </c>
      <c r="Y21" s="325" t="s">
        <v>1138</v>
      </c>
      <c r="Z21" s="326"/>
    </row>
    <row r="22" spans="1:26" ht="20.100000000000001" customHeight="1">
      <c r="A22" s="326"/>
      <c r="B22" s="324"/>
      <c r="C22" s="322" t="s">
        <v>1139</v>
      </c>
      <c r="X22" s="324"/>
      <c r="Y22" s="325"/>
      <c r="Z22" s="326"/>
    </row>
    <row r="23" spans="1:26" ht="20.100000000000001" customHeight="1">
      <c r="A23" s="327"/>
      <c r="B23" s="328"/>
      <c r="C23" s="330" t="s">
        <v>1140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28">
        <v>1.06</v>
      </c>
      <c r="Y23" s="331" t="s">
        <v>1131</v>
      </c>
      <c r="Z23" s="327"/>
    </row>
    <row r="24" spans="1:26" ht="20.100000000000001" customHeight="1">
      <c r="A24" s="323" t="s">
        <v>786</v>
      </c>
      <c r="B24" s="324"/>
      <c r="X24" s="324"/>
      <c r="Y24" s="325"/>
      <c r="Z24" s="326"/>
    </row>
    <row r="25" spans="1:26" ht="20.100000000000001" customHeight="1">
      <c r="A25" s="323" t="s">
        <v>787</v>
      </c>
      <c r="B25" s="324"/>
      <c r="X25" s="324"/>
      <c r="Y25" s="325"/>
      <c r="Z25" s="326"/>
    </row>
    <row r="26" spans="1:26" ht="20.100000000000001" customHeight="1">
      <c r="A26" s="323" t="s">
        <v>788</v>
      </c>
      <c r="B26" s="324"/>
      <c r="X26" s="324"/>
      <c r="Y26" s="325"/>
      <c r="Z26" s="326"/>
    </row>
    <row r="27" spans="1:26" ht="20.100000000000001" customHeight="1">
      <c r="A27" s="326"/>
      <c r="B27" s="324"/>
      <c r="X27" s="324"/>
      <c r="Y27" s="325"/>
      <c r="Z27" s="326"/>
    </row>
    <row r="28" spans="1:26" ht="20.100000000000001" customHeight="1">
      <c r="A28" s="326"/>
      <c r="B28" s="324"/>
      <c r="X28" s="324"/>
      <c r="Y28" s="325"/>
      <c r="Z28" s="326"/>
    </row>
    <row r="29" spans="1:26" ht="20.100000000000001" customHeight="1">
      <c r="A29" s="326"/>
      <c r="B29" s="324"/>
      <c r="X29" s="324"/>
      <c r="Y29" s="325"/>
      <c r="Z29" s="326"/>
    </row>
    <row r="30" spans="1:26" ht="20.100000000000001" customHeight="1">
      <c r="A30" s="326"/>
      <c r="B30" s="324"/>
      <c r="X30" s="324"/>
      <c r="Y30" s="325"/>
      <c r="Z30" s="326"/>
    </row>
    <row r="31" spans="1:26" ht="20.100000000000001" customHeight="1">
      <c r="A31" s="326"/>
      <c r="B31" s="324"/>
      <c r="X31" s="324"/>
      <c r="Y31" s="325"/>
      <c r="Z31" s="326"/>
    </row>
    <row r="32" spans="1:26" ht="20.100000000000001" customHeight="1">
      <c r="A32" s="326"/>
      <c r="B32" s="324"/>
      <c r="X32" s="324"/>
      <c r="Y32" s="325"/>
      <c r="Z32" s="326"/>
    </row>
    <row r="33" spans="1:26" ht="20.100000000000001" customHeight="1">
      <c r="A33" s="326"/>
      <c r="B33" s="324"/>
      <c r="X33" s="324"/>
      <c r="Y33" s="325"/>
      <c r="Z33" s="326"/>
    </row>
    <row r="34" spans="1:26" ht="20.100000000000001" customHeight="1">
      <c r="A34" s="326"/>
      <c r="B34" s="324"/>
      <c r="X34" s="324"/>
      <c r="Y34" s="325"/>
      <c r="Z34" s="326"/>
    </row>
    <row r="35" spans="1:26" ht="20.100000000000001" customHeight="1">
      <c r="A35" s="326"/>
      <c r="B35" s="324"/>
      <c r="X35" s="324"/>
      <c r="Y35" s="325"/>
      <c r="Z35" s="326"/>
    </row>
    <row r="36" spans="1:26" ht="20.100000000000001" customHeight="1">
      <c r="A36" s="326"/>
      <c r="B36" s="324"/>
      <c r="C36" s="322" t="s">
        <v>1129</v>
      </c>
      <c r="X36" s="324"/>
      <c r="Y36" s="325"/>
      <c r="Z36" s="326"/>
    </row>
    <row r="37" spans="1:26" ht="20.100000000000001" customHeight="1">
      <c r="A37" s="326"/>
      <c r="B37" s="324"/>
      <c r="C37" s="322" t="s">
        <v>1141</v>
      </c>
      <c r="X37" s="324">
        <v>8.58</v>
      </c>
      <c r="Y37" s="325" t="s">
        <v>1131</v>
      </c>
      <c r="Z37" s="326"/>
    </row>
    <row r="38" spans="1:26" ht="20.100000000000001" customHeight="1">
      <c r="A38" s="326"/>
      <c r="B38" s="324"/>
      <c r="C38" s="322" t="s">
        <v>1132</v>
      </c>
      <c r="X38" s="324"/>
      <c r="Y38" s="325"/>
      <c r="Z38" s="326"/>
    </row>
    <row r="39" spans="1:26" ht="20.100000000000001" customHeight="1">
      <c r="A39" s="326"/>
      <c r="B39" s="324"/>
      <c r="C39" s="322" t="s">
        <v>1142</v>
      </c>
      <c r="X39" s="324">
        <v>6.71</v>
      </c>
      <c r="Y39" s="325" t="s">
        <v>1131</v>
      </c>
      <c r="Z39" s="326"/>
    </row>
    <row r="40" spans="1:26" ht="20.100000000000001" customHeight="1">
      <c r="A40" s="326"/>
      <c r="B40" s="324"/>
      <c r="C40" s="322" t="s">
        <v>1134</v>
      </c>
      <c r="X40" s="324"/>
      <c r="Y40" s="325"/>
      <c r="Z40" s="326"/>
    </row>
    <row r="41" spans="1:26" ht="20.100000000000001" customHeight="1">
      <c r="A41" s="326"/>
      <c r="B41" s="324"/>
      <c r="C41" s="322" t="s">
        <v>1143</v>
      </c>
      <c r="X41" s="324">
        <v>1.87</v>
      </c>
      <c r="Y41" s="325" t="s">
        <v>1131</v>
      </c>
      <c r="Z41" s="326"/>
    </row>
    <row r="42" spans="1:26" ht="20.100000000000001" customHeight="1">
      <c r="A42" s="326"/>
      <c r="B42" s="324"/>
      <c r="C42" s="322" t="s">
        <v>1136</v>
      </c>
      <c r="X42" s="324"/>
      <c r="Y42" s="325"/>
      <c r="Z42" s="326"/>
    </row>
    <row r="43" spans="1:26" ht="20.100000000000001" customHeight="1">
      <c r="A43" s="326"/>
      <c r="B43" s="324"/>
      <c r="C43" s="322" t="s">
        <v>1144</v>
      </c>
      <c r="X43" s="324">
        <v>6.72</v>
      </c>
      <c r="Y43" s="325" t="s">
        <v>1138</v>
      </c>
      <c r="Z43" s="326"/>
    </row>
    <row r="44" spans="1:26" ht="20.100000000000001" customHeight="1">
      <c r="A44" s="326"/>
      <c r="B44" s="324"/>
      <c r="C44" s="322" t="s">
        <v>1139</v>
      </c>
      <c r="X44" s="324"/>
      <c r="Y44" s="325"/>
      <c r="Z44" s="326"/>
    </row>
    <row r="45" spans="1:26" ht="20.100000000000001" customHeight="1">
      <c r="A45" s="327"/>
      <c r="B45" s="328"/>
      <c r="C45" s="330" t="s">
        <v>1145</v>
      </c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28">
        <v>1.87</v>
      </c>
      <c r="Y45" s="331" t="s">
        <v>1131</v>
      </c>
      <c r="Z45" s="327"/>
    </row>
    <row r="46" spans="1:26" ht="20.100000000000001" customHeight="1">
      <c r="A46" s="323" t="s">
        <v>786</v>
      </c>
      <c r="B46" s="324"/>
      <c r="X46" s="324"/>
      <c r="Y46" s="325"/>
      <c r="Z46" s="326"/>
    </row>
    <row r="47" spans="1:26" ht="20.100000000000001" customHeight="1">
      <c r="A47" s="323" t="s">
        <v>1501</v>
      </c>
      <c r="B47" s="324"/>
      <c r="X47" s="324"/>
      <c r="Y47" s="325"/>
      <c r="Z47" s="326"/>
    </row>
    <row r="48" spans="1:26" ht="20.100000000000001" customHeight="1">
      <c r="A48" s="323" t="s">
        <v>788</v>
      </c>
      <c r="B48" s="324"/>
      <c r="X48" s="324"/>
      <c r="Y48" s="325"/>
      <c r="Z48" s="326"/>
    </row>
    <row r="49" spans="1:26" ht="20.100000000000001" customHeight="1">
      <c r="A49" s="326"/>
      <c r="B49" s="324"/>
      <c r="X49" s="324"/>
      <c r="Y49" s="325"/>
      <c r="Z49" s="326"/>
    </row>
    <row r="50" spans="1:26" ht="20.100000000000001" customHeight="1">
      <c r="A50" s="326"/>
      <c r="B50" s="324"/>
      <c r="X50" s="324"/>
      <c r="Y50" s="325"/>
      <c r="Z50" s="326"/>
    </row>
    <row r="51" spans="1:26" ht="20.100000000000001" customHeight="1">
      <c r="A51" s="326"/>
      <c r="B51" s="324"/>
      <c r="X51" s="324"/>
      <c r="Y51" s="325"/>
      <c r="Z51" s="326"/>
    </row>
    <row r="52" spans="1:26" ht="20.100000000000001" customHeight="1">
      <c r="A52" s="326"/>
      <c r="B52" s="324"/>
      <c r="X52" s="324"/>
      <c r="Y52" s="325"/>
      <c r="Z52" s="326"/>
    </row>
    <row r="53" spans="1:26" ht="20.100000000000001" customHeight="1">
      <c r="A53" s="326"/>
      <c r="B53" s="324"/>
      <c r="X53" s="324"/>
      <c r="Y53" s="325"/>
      <c r="Z53" s="326"/>
    </row>
    <row r="54" spans="1:26" ht="20.100000000000001" customHeight="1">
      <c r="A54" s="326"/>
      <c r="B54" s="324"/>
      <c r="X54" s="324"/>
      <c r="Y54" s="325"/>
      <c r="Z54" s="326"/>
    </row>
    <row r="55" spans="1:26" ht="20.100000000000001" customHeight="1">
      <c r="A55" s="326"/>
      <c r="B55" s="324"/>
      <c r="X55" s="324"/>
      <c r="Y55" s="325"/>
      <c r="Z55" s="326"/>
    </row>
    <row r="56" spans="1:26" ht="20.100000000000001" customHeight="1">
      <c r="A56" s="326"/>
      <c r="B56" s="324"/>
      <c r="X56" s="324"/>
      <c r="Y56" s="325"/>
      <c r="Z56" s="326"/>
    </row>
    <row r="57" spans="1:26" ht="20.100000000000001" customHeight="1">
      <c r="A57" s="326"/>
      <c r="B57" s="324"/>
      <c r="X57" s="324"/>
      <c r="Y57" s="325"/>
      <c r="Z57" s="326"/>
    </row>
    <row r="58" spans="1:26" ht="20.100000000000001" customHeight="1">
      <c r="A58" s="326"/>
      <c r="B58" s="324"/>
      <c r="C58" s="322" t="s">
        <v>1129</v>
      </c>
      <c r="X58" s="324"/>
      <c r="Y58" s="325"/>
      <c r="Z58" s="326"/>
    </row>
    <row r="59" spans="1:26" ht="20.100000000000001" customHeight="1">
      <c r="A59" s="326"/>
      <c r="B59" s="324"/>
      <c r="C59" s="322" t="s">
        <v>1146</v>
      </c>
      <c r="X59" s="324">
        <v>11.06</v>
      </c>
      <c r="Y59" s="325" t="s">
        <v>1131</v>
      </c>
      <c r="Z59" s="326"/>
    </row>
    <row r="60" spans="1:26" ht="20.100000000000001" customHeight="1">
      <c r="A60" s="326"/>
      <c r="B60" s="324"/>
      <c r="C60" s="322" t="s">
        <v>1132</v>
      </c>
      <c r="X60" s="324"/>
      <c r="Y60" s="325"/>
      <c r="Z60" s="326"/>
    </row>
    <row r="61" spans="1:26" ht="20.100000000000001" customHeight="1">
      <c r="A61" s="326"/>
      <c r="B61" s="324"/>
      <c r="C61" s="322" t="s">
        <v>1147</v>
      </c>
      <c r="X61" s="324">
        <v>8.8000000000000007</v>
      </c>
      <c r="Y61" s="325" t="s">
        <v>1131</v>
      </c>
      <c r="Z61" s="326"/>
    </row>
    <row r="62" spans="1:26" ht="20.100000000000001" customHeight="1">
      <c r="A62" s="326"/>
      <c r="B62" s="324"/>
      <c r="C62" s="322" t="s">
        <v>1134</v>
      </c>
      <c r="X62" s="324"/>
      <c r="Y62" s="325"/>
      <c r="Z62" s="326"/>
    </row>
    <row r="63" spans="1:26" ht="20.100000000000001" customHeight="1">
      <c r="A63" s="326"/>
      <c r="B63" s="324"/>
      <c r="C63" s="322" t="s">
        <v>1148</v>
      </c>
      <c r="X63" s="324">
        <v>2.2599999999999998</v>
      </c>
      <c r="Y63" s="325" t="s">
        <v>1131</v>
      </c>
      <c r="Z63" s="326"/>
    </row>
    <row r="64" spans="1:26" ht="20.100000000000001" customHeight="1">
      <c r="A64" s="326"/>
      <c r="B64" s="324"/>
      <c r="C64" s="322" t="s">
        <v>1136</v>
      </c>
      <c r="X64" s="324"/>
      <c r="Y64" s="325"/>
      <c r="Z64" s="326"/>
    </row>
    <row r="65" spans="1:26" ht="20.100000000000001" customHeight="1">
      <c r="A65" s="326"/>
      <c r="B65" s="324"/>
      <c r="C65" s="322" t="s">
        <v>1149</v>
      </c>
      <c r="X65" s="324">
        <v>8.1199999999999992</v>
      </c>
      <c r="Y65" s="325" t="s">
        <v>1138</v>
      </c>
      <c r="Z65" s="326"/>
    </row>
    <row r="66" spans="1:26" ht="20.100000000000001" customHeight="1">
      <c r="A66" s="326"/>
      <c r="B66" s="324"/>
      <c r="C66" s="322" t="s">
        <v>1139</v>
      </c>
      <c r="X66" s="324"/>
      <c r="Y66" s="325"/>
      <c r="Z66" s="326"/>
    </row>
    <row r="67" spans="1:26" ht="20.100000000000001" customHeight="1">
      <c r="A67" s="327"/>
      <c r="B67" s="328"/>
      <c r="C67" s="330" t="s">
        <v>1150</v>
      </c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28">
        <v>2.2599999999999998</v>
      </c>
      <c r="Y67" s="331" t="s">
        <v>1131</v>
      </c>
      <c r="Z67" s="327"/>
    </row>
    <row r="68" spans="1:26" ht="20.100000000000001" hidden="1" customHeight="1">
      <c r="A68" s="323" t="s">
        <v>786</v>
      </c>
      <c r="B68" s="324"/>
      <c r="X68" s="324"/>
      <c r="Y68" s="325"/>
      <c r="Z68" s="326"/>
    </row>
    <row r="69" spans="1:26" ht="20.100000000000001" hidden="1" customHeight="1">
      <c r="A69" s="323" t="s">
        <v>1502</v>
      </c>
      <c r="B69" s="324"/>
      <c r="X69" s="324"/>
      <c r="Y69" s="325"/>
      <c r="Z69" s="326"/>
    </row>
    <row r="70" spans="1:26" ht="20.100000000000001" hidden="1" customHeight="1">
      <c r="A70" s="323" t="s">
        <v>783</v>
      </c>
      <c r="B70" s="324"/>
      <c r="X70" s="324"/>
      <c r="Y70" s="325"/>
      <c r="Z70" s="326"/>
    </row>
    <row r="71" spans="1:26" ht="20.100000000000001" hidden="1" customHeight="1">
      <c r="A71" s="326"/>
      <c r="B71" s="324"/>
      <c r="X71" s="324"/>
      <c r="Y71" s="325"/>
      <c r="Z71" s="326"/>
    </row>
    <row r="72" spans="1:26" ht="20.100000000000001" hidden="1" customHeight="1">
      <c r="A72" s="326"/>
      <c r="B72" s="324"/>
      <c r="X72" s="324"/>
      <c r="Y72" s="325"/>
      <c r="Z72" s="326"/>
    </row>
    <row r="73" spans="1:26" ht="20.100000000000001" hidden="1" customHeight="1">
      <c r="A73" s="326"/>
      <c r="B73" s="324"/>
      <c r="X73" s="324"/>
      <c r="Y73" s="325"/>
      <c r="Z73" s="326"/>
    </row>
    <row r="74" spans="1:26" ht="20.100000000000001" hidden="1" customHeight="1">
      <c r="A74" s="326"/>
      <c r="B74" s="324"/>
      <c r="X74" s="324"/>
      <c r="Y74" s="325"/>
      <c r="Z74" s="326"/>
    </row>
    <row r="75" spans="1:26" ht="20.100000000000001" hidden="1" customHeight="1">
      <c r="A75" s="326"/>
      <c r="B75" s="324"/>
      <c r="X75" s="324"/>
      <c r="Y75" s="325"/>
      <c r="Z75" s="326"/>
    </row>
    <row r="76" spans="1:26" ht="20.100000000000001" hidden="1" customHeight="1">
      <c r="A76" s="326"/>
      <c r="B76" s="324"/>
      <c r="X76" s="324"/>
      <c r="Y76" s="325"/>
      <c r="Z76" s="326"/>
    </row>
    <row r="77" spans="1:26" ht="20.100000000000001" hidden="1" customHeight="1">
      <c r="A77" s="326"/>
      <c r="B77" s="324"/>
      <c r="X77" s="324"/>
      <c r="Y77" s="325"/>
      <c r="Z77" s="326"/>
    </row>
    <row r="78" spans="1:26" ht="20.100000000000001" hidden="1" customHeight="1">
      <c r="A78" s="326"/>
      <c r="B78" s="324"/>
      <c r="X78" s="324"/>
      <c r="Y78" s="325"/>
      <c r="Z78" s="326"/>
    </row>
    <row r="79" spans="1:26" ht="20.100000000000001" hidden="1" customHeight="1">
      <c r="A79" s="326"/>
      <c r="B79" s="324"/>
      <c r="X79" s="324"/>
      <c r="Y79" s="325"/>
      <c r="Z79" s="326"/>
    </row>
    <row r="80" spans="1:26" ht="20.100000000000001" hidden="1" customHeight="1">
      <c r="A80" s="326"/>
      <c r="B80" s="324"/>
      <c r="C80" s="322" t="s">
        <v>789</v>
      </c>
      <c r="G80" s="909"/>
      <c r="X80" s="324"/>
      <c r="Y80" s="325"/>
      <c r="Z80" s="326"/>
    </row>
    <row r="81" spans="1:26" ht="20.100000000000001" hidden="1" customHeight="1">
      <c r="A81" s="326"/>
      <c r="B81" s="324"/>
      <c r="C81" s="322" t="s">
        <v>1503</v>
      </c>
      <c r="X81" s="324">
        <v>12.8</v>
      </c>
      <c r="Y81" s="325" t="s">
        <v>784</v>
      </c>
      <c r="Z81" s="326"/>
    </row>
    <row r="82" spans="1:26" ht="20.100000000000001" hidden="1" customHeight="1">
      <c r="A82" s="326"/>
      <c r="B82" s="324"/>
      <c r="C82" s="322" t="s">
        <v>785</v>
      </c>
      <c r="X82" s="324"/>
      <c r="Y82" s="325"/>
      <c r="Z82" s="326"/>
    </row>
    <row r="83" spans="1:26" ht="20.100000000000001" hidden="1" customHeight="1">
      <c r="A83" s="326"/>
      <c r="B83" s="324"/>
      <c r="C83" s="322" t="s">
        <v>1506</v>
      </c>
      <c r="X83" s="324">
        <v>10.032</v>
      </c>
      <c r="Y83" s="325" t="s">
        <v>784</v>
      </c>
      <c r="Z83" s="326"/>
    </row>
    <row r="84" spans="1:26" ht="20.100000000000001" hidden="1" customHeight="1">
      <c r="A84" s="326"/>
      <c r="B84" s="324"/>
      <c r="C84" s="322" t="s">
        <v>791</v>
      </c>
      <c r="X84" s="324"/>
      <c r="Y84" s="325"/>
      <c r="Z84" s="326"/>
    </row>
    <row r="85" spans="1:26" ht="20.100000000000001" hidden="1" customHeight="1">
      <c r="A85" s="326"/>
      <c r="B85" s="324"/>
      <c r="C85" s="322" t="s">
        <v>1505</v>
      </c>
      <c r="X85" s="324">
        <v>2.7679999999999998</v>
      </c>
      <c r="Y85" s="325" t="s">
        <v>784</v>
      </c>
      <c r="Z85" s="326"/>
    </row>
    <row r="86" spans="1:26" ht="20.100000000000001" hidden="1" customHeight="1">
      <c r="A86" s="326"/>
      <c r="B86" s="324"/>
      <c r="C86" s="322" t="s">
        <v>1136</v>
      </c>
      <c r="X86" s="324"/>
      <c r="Y86" s="325"/>
      <c r="Z86" s="326"/>
    </row>
    <row r="87" spans="1:26" ht="20.100000000000001" hidden="1" customHeight="1">
      <c r="A87" s="326"/>
      <c r="B87" s="324"/>
      <c r="C87" s="322" t="s">
        <v>1508</v>
      </c>
      <c r="X87" s="324">
        <v>9.76</v>
      </c>
      <c r="Y87" s="325" t="s">
        <v>792</v>
      </c>
      <c r="Z87" s="326"/>
    </row>
    <row r="88" spans="1:26" ht="20.100000000000001" hidden="1" customHeight="1">
      <c r="A88" s="326"/>
      <c r="B88" s="324"/>
      <c r="C88" s="322" t="s">
        <v>793</v>
      </c>
      <c r="X88" s="324"/>
      <c r="Y88" s="325"/>
      <c r="Z88" s="326"/>
    </row>
    <row r="89" spans="1:26" ht="20.100000000000001" hidden="1" customHeight="1">
      <c r="A89" s="327"/>
      <c r="B89" s="328"/>
      <c r="C89" s="330" t="s">
        <v>1510</v>
      </c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28">
        <v>2.7679999999999998</v>
      </c>
      <c r="Y89" s="331" t="s">
        <v>784</v>
      </c>
      <c r="Z89" s="327"/>
    </row>
    <row r="90" spans="1:26" ht="20.100000000000001" hidden="1" customHeight="1">
      <c r="A90" s="323" t="s">
        <v>786</v>
      </c>
      <c r="B90" s="324"/>
      <c r="X90" s="324"/>
      <c r="Y90" s="325"/>
      <c r="Z90" s="326"/>
    </row>
    <row r="91" spans="1:26" ht="20.100000000000001" hidden="1" customHeight="1">
      <c r="A91" s="323" t="s">
        <v>1500</v>
      </c>
      <c r="B91" s="324"/>
      <c r="X91" s="324"/>
      <c r="Y91" s="325"/>
      <c r="Z91" s="326"/>
    </row>
    <row r="92" spans="1:26" ht="20.100000000000001" hidden="1" customHeight="1">
      <c r="A92" s="323" t="s">
        <v>783</v>
      </c>
      <c r="B92" s="324"/>
      <c r="X92" s="324"/>
      <c r="Y92" s="325"/>
      <c r="Z92" s="326"/>
    </row>
    <row r="93" spans="1:26" ht="20.100000000000001" hidden="1" customHeight="1">
      <c r="A93" s="326"/>
      <c r="B93" s="324"/>
      <c r="X93" s="324"/>
      <c r="Y93" s="325"/>
      <c r="Z93" s="326"/>
    </row>
    <row r="94" spans="1:26" ht="20.100000000000001" hidden="1" customHeight="1">
      <c r="A94" s="326"/>
      <c r="B94" s="324"/>
      <c r="X94" s="324"/>
      <c r="Y94" s="325"/>
      <c r="Z94" s="326"/>
    </row>
    <row r="95" spans="1:26" ht="20.100000000000001" hidden="1" customHeight="1">
      <c r="A95" s="326"/>
      <c r="B95" s="324"/>
      <c r="X95" s="324"/>
      <c r="Y95" s="325"/>
      <c r="Z95" s="326"/>
    </row>
    <row r="96" spans="1:26" ht="20.100000000000001" hidden="1" customHeight="1">
      <c r="A96" s="326"/>
      <c r="B96" s="324"/>
      <c r="X96" s="324"/>
      <c r="Y96" s="325"/>
      <c r="Z96" s="326"/>
    </row>
    <row r="97" spans="1:26" ht="20.100000000000001" hidden="1" customHeight="1">
      <c r="A97" s="326"/>
      <c r="B97" s="324"/>
      <c r="X97" s="324"/>
      <c r="Y97" s="325"/>
      <c r="Z97" s="326"/>
    </row>
    <row r="98" spans="1:26" ht="20.100000000000001" hidden="1" customHeight="1">
      <c r="A98" s="326"/>
      <c r="B98" s="324"/>
      <c r="X98" s="324"/>
      <c r="Y98" s="325"/>
      <c r="Z98" s="326"/>
    </row>
    <row r="99" spans="1:26" ht="20.100000000000001" hidden="1" customHeight="1">
      <c r="A99" s="326"/>
      <c r="B99" s="324"/>
      <c r="X99" s="324"/>
      <c r="Y99" s="325"/>
      <c r="Z99" s="326"/>
    </row>
    <row r="100" spans="1:26" ht="20.100000000000001" hidden="1" customHeight="1">
      <c r="A100" s="326"/>
      <c r="B100" s="324"/>
      <c r="X100" s="324"/>
      <c r="Y100" s="325"/>
      <c r="Z100" s="326"/>
    </row>
    <row r="101" spans="1:26" ht="20.100000000000001" hidden="1" customHeight="1">
      <c r="A101" s="326"/>
      <c r="B101" s="324"/>
      <c r="X101" s="324"/>
      <c r="Y101" s="325"/>
      <c r="Z101" s="326"/>
    </row>
    <row r="102" spans="1:26" ht="20.100000000000001" hidden="1" customHeight="1">
      <c r="A102" s="326"/>
      <c r="B102" s="324"/>
      <c r="C102" s="322" t="s">
        <v>789</v>
      </c>
      <c r="X102" s="324"/>
      <c r="Y102" s="325"/>
      <c r="Z102" s="326"/>
    </row>
    <row r="103" spans="1:26" ht="20.100000000000001" hidden="1" customHeight="1">
      <c r="A103" s="326"/>
      <c r="B103" s="324"/>
      <c r="C103" s="322" t="s">
        <v>1504</v>
      </c>
      <c r="X103" s="324">
        <v>14.56</v>
      </c>
      <c r="Y103" s="325" t="s">
        <v>784</v>
      </c>
      <c r="Z103" s="326"/>
    </row>
    <row r="104" spans="1:26" ht="20.100000000000001" hidden="1" customHeight="1">
      <c r="A104" s="326"/>
      <c r="B104" s="324"/>
      <c r="C104" s="322" t="s">
        <v>785</v>
      </c>
      <c r="X104" s="324"/>
      <c r="Y104" s="325"/>
      <c r="Z104" s="326"/>
    </row>
    <row r="105" spans="1:26" ht="20.100000000000001" hidden="1" customHeight="1">
      <c r="A105" s="326"/>
      <c r="B105" s="324"/>
      <c r="C105" s="322" t="s">
        <v>1511</v>
      </c>
      <c r="X105" s="324">
        <v>11.36</v>
      </c>
      <c r="Y105" s="325" t="s">
        <v>784</v>
      </c>
      <c r="Z105" s="326"/>
    </row>
    <row r="106" spans="1:26" ht="20.100000000000001" hidden="1" customHeight="1">
      <c r="A106" s="326"/>
      <c r="B106" s="324"/>
      <c r="C106" s="322" t="s">
        <v>791</v>
      </c>
      <c r="X106" s="324"/>
      <c r="Y106" s="325"/>
      <c r="Z106" s="326"/>
    </row>
    <row r="107" spans="1:26" ht="20.100000000000001" hidden="1" customHeight="1">
      <c r="A107" s="326"/>
      <c r="B107" s="324"/>
      <c r="C107" s="322" t="s">
        <v>1507</v>
      </c>
      <c r="X107" s="324">
        <v>3.2</v>
      </c>
      <c r="Y107" s="325" t="s">
        <v>784</v>
      </c>
      <c r="Z107" s="326"/>
    </row>
    <row r="108" spans="1:26" ht="20.100000000000001" hidden="1" customHeight="1">
      <c r="A108" s="326"/>
      <c r="B108" s="324"/>
      <c r="C108" s="322" t="s">
        <v>1136</v>
      </c>
      <c r="X108" s="324"/>
      <c r="Y108" s="325"/>
      <c r="Z108" s="326"/>
    </row>
    <row r="109" spans="1:26" ht="20.100000000000001" hidden="1" customHeight="1">
      <c r="A109" s="326"/>
      <c r="B109" s="324"/>
      <c r="C109" s="322" t="s">
        <v>1509</v>
      </c>
      <c r="X109" s="324">
        <v>11.2</v>
      </c>
      <c r="Y109" s="325" t="s">
        <v>792</v>
      </c>
      <c r="Z109" s="326"/>
    </row>
    <row r="110" spans="1:26" ht="20.100000000000001" hidden="1" customHeight="1">
      <c r="A110" s="326"/>
      <c r="B110" s="324"/>
      <c r="C110" s="322" t="s">
        <v>793</v>
      </c>
      <c r="X110" s="324"/>
      <c r="Y110" s="325"/>
      <c r="Z110" s="326"/>
    </row>
    <row r="111" spans="1:26" ht="20.100000000000001" hidden="1" customHeight="1">
      <c r="A111" s="327"/>
      <c r="B111" s="328"/>
      <c r="C111" s="330" t="s">
        <v>1512</v>
      </c>
      <c r="D111" s="330"/>
      <c r="E111" s="330"/>
      <c r="F111" s="33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28">
        <v>3.2</v>
      </c>
      <c r="Y111" s="331" t="s">
        <v>784</v>
      </c>
      <c r="Z111" s="327"/>
    </row>
    <row r="112" spans="1:26" ht="20.100000000000001" customHeight="1">
      <c r="A112" s="323" t="s">
        <v>794</v>
      </c>
      <c r="B112" s="324"/>
      <c r="X112" s="324"/>
      <c r="Y112" s="325"/>
      <c r="Z112" s="326"/>
    </row>
    <row r="113" spans="1:26" ht="20.100000000000001" customHeight="1">
      <c r="A113" s="323" t="s">
        <v>788</v>
      </c>
      <c r="B113" s="324"/>
      <c r="X113" s="324"/>
      <c r="Y113" s="325"/>
      <c r="Z113" s="326"/>
    </row>
    <row r="114" spans="1:26" ht="20.100000000000001" customHeight="1">
      <c r="A114" s="323"/>
      <c r="B114" s="324"/>
      <c r="X114" s="324"/>
      <c r="Y114" s="325"/>
      <c r="Z114" s="326"/>
    </row>
    <row r="115" spans="1:26" ht="20.100000000000001" customHeight="1">
      <c r="A115" s="326"/>
      <c r="B115" s="324"/>
      <c r="X115" s="324"/>
      <c r="Y115" s="325"/>
      <c r="Z115" s="326"/>
    </row>
    <row r="116" spans="1:26" ht="20.100000000000001" customHeight="1">
      <c r="A116" s="326"/>
      <c r="B116" s="324"/>
      <c r="X116" s="324"/>
      <c r="Y116" s="325"/>
      <c r="Z116" s="326"/>
    </row>
    <row r="117" spans="1:26" ht="20.100000000000001" customHeight="1">
      <c r="A117" s="326"/>
      <c r="B117" s="324"/>
      <c r="X117" s="324"/>
      <c r="Y117" s="325"/>
      <c r="Z117" s="326"/>
    </row>
    <row r="118" spans="1:26" ht="20.100000000000001" customHeight="1">
      <c r="A118" s="326"/>
      <c r="B118" s="324"/>
      <c r="X118" s="324"/>
      <c r="Y118" s="325"/>
      <c r="Z118" s="326"/>
    </row>
    <row r="119" spans="1:26" ht="20.100000000000001" customHeight="1">
      <c r="A119" s="326"/>
      <c r="B119" s="324"/>
      <c r="X119" s="324"/>
      <c r="Y119" s="325"/>
      <c r="Z119" s="326"/>
    </row>
    <row r="120" spans="1:26" ht="20.100000000000001" customHeight="1">
      <c r="A120" s="326"/>
      <c r="B120" s="324"/>
      <c r="X120" s="324"/>
      <c r="Y120" s="325"/>
      <c r="Z120" s="326"/>
    </row>
    <row r="121" spans="1:26" ht="20.100000000000001" customHeight="1">
      <c r="A121" s="326"/>
      <c r="B121" s="324"/>
      <c r="X121" s="324"/>
      <c r="Y121" s="325"/>
      <c r="Z121" s="326"/>
    </row>
    <row r="122" spans="1:26" ht="20.100000000000001" customHeight="1">
      <c r="A122" s="326"/>
      <c r="B122" s="324"/>
      <c r="X122" s="324"/>
      <c r="Y122" s="325"/>
      <c r="Z122" s="326"/>
    </row>
    <row r="123" spans="1:26" ht="20.100000000000001" customHeight="1">
      <c r="A123" s="326"/>
      <c r="B123" s="324"/>
      <c r="X123" s="324"/>
      <c r="Y123" s="325"/>
      <c r="Z123" s="326"/>
    </row>
    <row r="124" spans="1:26" ht="20.100000000000001" customHeight="1">
      <c r="A124" s="332"/>
      <c r="B124" s="324"/>
      <c r="C124" s="322" t="s">
        <v>789</v>
      </c>
      <c r="H124" s="333"/>
      <c r="X124" s="324"/>
      <c r="Y124" s="325"/>
      <c r="Z124" s="326"/>
    </row>
    <row r="125" spans="1:26" ht="20.100000000000001" customHeight="1">
      <c r="A125" s="326"/>
      <c r="B125" s="324"/>
      <c r="C125" s="322" t="s">
        <v>795</v>
      </c>
      <c r="X125" s="324">
        <f>ROUND(((1.6*1)+(1.84*1.24))/2*0.4,2)</f>
        <v>0.78</v>
      </c>
      <c r="Y125" s="325" t="s">
        <v>784</v>
      </c>
      <c r="Z125" s="326"/>
    </row>
    <row r="126" spans="1:26" ht="20.100000000000001" customHeight="1">
      <c r="A126" s="326"/>
      <c r="B126" s="324"/>
      <c r="C126" s="322" t="s">
        <v>785</v>
      </c>
      <c r="X126" s="324"/>
      <c r="Y126" s="325"/>
      <c r="Z126" s="326"/>
    </row>
    <row r="127" spans="1:26" ht="20.100000000000001" customHeight="1">
      <c r="A127" s="326"/>
      <c r="B127" s="324"/>
      <c r="C127" s="322" t="s">
        <v>796</v>
      </c>
      <c r="X127" s="324">
        <f>+X125-X133</f>
        <v>0.49000000000000005</v>
      </c>
      <c r="Y127" s="325" t="s">
        <v>790</v>
      </c>
      <c r="Z127" s="326"/>
    </row>
    <row r="128" spans="1:26" ht="20.100000000000001" customHeight="1">
      <c r="A128" s="326"/>
      <c r="B128" s="324"/>
      <c r="C128" s="322" t="s">
        <v>791</v>
      </c>
      <c r="X128" s="324"/>
      <c r="Y128" s="325"/>
      <c r="Z128" s="326"/>
    </row>
    <row r="129" spans="1:26" ht="20.100000000000001" customHeight="1">
      <c r="A129" s="326"/>
      <c r="B129" s="324"/>
      <c r="C129" s="322" t="s">
        <v>797</v>
      </c>
      <c r="X129" s="324">
        <f>ROUND(1.2*0.6*1,2)</f>
        <v>0.72</v>
      </c>
      <c r="Y129" s="325" t="s">
        <v>790</v>
      </c>
      <c r="Z129" s="326"/>
    </row>
    <row r="130" spans="1:26" ht="20.100000000000001" customHeight="1">
      <c r="A130" s="326"/>
      <c r="B130" s="324"/>
      <c r="C130" s="322" t="s">
        <v>900</v>
      </c>
      <c r="X130" s="324"/>
      <c r="Y130" s="325"/>
      <c r="Z130" s="326"/>
    </row>
    <row r="131" spans="1:26" ht="20.100000000000001" customHeight="1">
      <c r="A131" s="324"/>
      <c r="B131" s="324"/>
      <c r="C131" s="322" t="s">
        <v>798</v>
      </c>
      <c r="X131" s="329">
        <f>ROUND((1.2*1*2+0.6*1*2),2)</f>
        <v>3.6</v>
      </c>
      <c r="Y131" s="325" t="s">
        <v>792</v>
      </c>
      <c r="Z131" s="326"/>
    </row>
    <row r="132" spans="1:26" ht="20.100000000000001" customHeight="1">
      <c r="A132" s="326"/>
      <c r="B132" s="324"/>
      <c r="C132" s="322" t="s">
        <v>793</v>
      </c>
      <c r="X132" s="324"/>
      <c r="Y132" s="325"/>
      <c r="Z132" s="326"/>
    </row>
    <row r="133" spans="1:26" ht="20.100000000000001" customHeight="1">
      <c r="A133" s="327"/>
      <c r="B133" s="328"/>
      <c r="C133" s="330" t="s">
        <v>799</v>
      </c>
      <c r="D133" s="330"/>
      <c r="E133" s="330"/>
      <c r="F133" s="330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28">
        <f>ROUND(1.2*0.6*0.4,2)</f>
        <v>0.28999999999999998</v>
      </c>
      <c r="Y133" s="331" t="s">
        <v>800</v>
      </c>
      <c r="Z133" s="327"/>
    </row>
  </sheetData>
  <phoneticPr fontId="7" type="noConversion"/>
  <pageMargins left="0.98425196850393704" right="0.19685039370078741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AutoCAD.Drawing.19" shapeId="387074" r:id="rId4">
          <objectPr defaultSize="0" autoPict="0" r:id="rId5">
            <anchor moveWithCells="1" sizeWithCells="1">
              <from>
                <xdr:col>3</xdr:col>
                <xdr:colOff>9525</xdr:colOff>
                <xdr:row>67</xdr:row>
                <xdr:rowOff>142875</xdr:rowOff>
              </from>
              <to>
                <xdr:col>18</xdr:col>
                <xdr:colOff>19050</xdr:colOff>
                <xdr:row>78</xdr:row>
                <xdr:rowOff>66675</xdr:rowOff>
              </to>
            </anchor>
          </objectPr>
        </oleObject>
      </mc:Choice>
      <mc:Fallback>
        <oleObject progId="AutoCAD.Drawing.19" shapeId="387074" r:id="rId4"/>
      </mc:Fallback>
    </mc:AlternateContent>
    <mc:AlternateContent xmlns:mc="http://schemas.openxmlformats.org/markup-compatibility/2006">
      <mc:Choice Requires="x14">
        <oleObject progId="AutoCAD.Drawing.19" shapeId="387075" r:id="rId6">
          <objectPr defaultSize="0" autoPict="0" r:id="rId7">
            <anchor moveWithCells="1" sizeWithCells="1">
              <from>
                <xdr:col>3</xdr:col>
                <xdr:colOff>19050</xdr:colOff>
                <xdr:row>89</xdr:row>
                <xdr:rowOff>190500</xdr:rowOff>
              </from>
              <to>
                <xdr:col>18</xdr:col>
                <xdr:colOff>28575</xdr:colOff>
                <xdr:row>100</xdr:row>
                <xdr:rowOff>114300</xdr:rowOff>
              </to>
            </anchor>
          </objectPr>
        </oleObject>
      </mc:Choice>
      <mc:Fallback>
        <oleObject progId="AutoCAD.Drawing.19" shapeId="387075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zoomScaleSheetLayoutView="100" workbookViewId="0">
      <selection activeCell="H20" sqref="H20"/>
    </sheetView>
  </sheetViews>
  <sheetFormatPr defaultRowHeight="12.75" customHeight="1"/>
  <cols>
    <col min="1" max="1" width="45.77734375" style="912" customWidth="1"/>
    <col min="2" max="5" width="14.77734375" style="912" customWidth="1"/>
    <col min="6" max="6" width="15.77734375" style="912" customWidth="1"/>
    <col min="7" max="23" width="0" style="912" hidden="1" customWidth="1"/>
    <col min="24" max="256" width="8.88671875" style="912"/>
    <col min="257" max="257" width="43.33203125" style="912" customWidth="1"/>
    <col min="258" max="258" width="8" style="912" customWidth="1"/>
    <col min="259" max="260" width="6" style="912" customWidth="1"/>
    <col min="261" max="261" width="6.6640625" style="912" customWidth="1"/>
    <col min="262" max="262" width="4" style="912" customWidth="1"/>
    <col min="263" max="279" width="0" style="912" hidden="1" customWidth="1"/>
    <col min="280" max="512" width="8.88671875" style="912"/>
    <col min="513" max="513" width="43.33203125" style="912" customWidth="1"/>
    <col min="514" max="514" width="8" style="912" customWidth="1"/>
    <col min="515" max="516" width="6" style="912" customWidth="1"/>
    <col min="517" max="517" width="6.6640625" style="912" customWidth="1"/>
    <col min="518" max="518" width="4" style="912" customWidth="1"/>
    <col min="519" max="535" width="0" style="912" hidden="1" customWidth="1"/>
    <col min="536" max="768" width="8.88671875" style="912"/>
    <col min="769" max="769" width="43.33203125" style="912" customWidth="1"/>
    <col min="770" max="770" width="8" style="912" customWidth="1"/>
    <col min="771" max="772" width="6" style="912" customWidth="1"/>
    <col min="773" max="773" width="6.6640625" style="912" customWidth="1"/>
    <col min="774" max="774" width="4" style="912" customWidth="1"/>
    <col min="775" max="791" width="0" style="912" hidden="1" customWidth="1"/>
    <col min="792" max="1024" width="8.88671875" style="912"/>
    <col min="1025" max="1025" width="43.33203125" style="912" customWidth="1"/>
    <col min="1026" max="1026" width="8" style="912" customWidth="1"/>
    <col min="1027" max="1028" width="6" style="912" customWidth="1"/>
    <col min="1029" max="1029" width="6.6640625" style="912" customWidth="1"/>
    <col min="1030" max="1030" width="4" style="912" customWidth="1"/>
    <col min="1031" max="1047" width="0" style="912" hidden="1" customWidth="1"/>
    <col min="1048" max="1280" width="8.88671875" style="912"/>
    <col min="1281" max="1281" width="43.33203125" style="912" customWidth="1"/>
    <col min="1282" max="1282" width="8" style="912" customWidth="1"/>
    <col min="1283" max="1284" width="6" style="912" customWidth="1"/>
    <col min="1285" max="1285" width="6.6640625" style="912" customWidth="1"/>
    <col min="1286" max="1286" width="4" style="912" customWidth="1"/>
    <col min="1287" max="1303" width="0" style="912" hidden="1" customWidth="1"/>
    <col min="1304" max="1536" width="8.88671875" style="912"/>
    <col min="1537" max="1537" width="43.33203125" style="912" customWidth="1"/>
    <col min="1538" max="1538" width="8" style="912" customWidth="1"/>
    <col min="1539" max="1540" width="6" style="912" customWidth="1"/>
    <col min="1541" max="1541" width="6.6640625" style="912" customWidth="1"/>
    <col min="1542" max="1542" width="4" style="912" customWidth="1"/>
    <col min="1543" max="1559" width="0" style="912" hidden="1" customWidth="1"/>
    <col min="1560" max="1792" width="8.88671875" style="912"/>
    <col min="1793" max="1793" width="43.33203125" style="912" customWidth="1"/>
    <col min="1794" max="1794" width="8" style="912" customWidth="1"/>
    <col min="1795" max="1796" width="6" style="912" customWidth="1"/>
    <col min="1797" max="1797" width="6.6640625" style="912" customWidth="1"/>
    <col min="1798" max="1798" width="4" style="912" customWidth="1"/>
    <col min="1799" max="1815" width="0" style="912" hidden="1" customWidth="1"/>
    <col min="1816" max="2048" width="8.88671875" style="912"/>
    <col min="2049" max="2049" width="43.33203125" style="912" customWidth="1"/>
    <col min="2050" max="2050" width="8" style="912" customWidth="1"/>
    <col min="2051" max="2052" width="6" style="912" customWidth="1"/>
    <col min="2053" max="2053" width="6.6640625" style="912" customWidth="1"/>
    <col min="2054" max="2054" width="4" style="912" customWidth="1"/>
    <col min="2055" max="2071" width="0" style="912" hidden="1" customWidth="1"/>
    <col min="2072" max="2304" width="8.88671875" style="912"/>
    <col min="2305" max="2305" width="43.33203125" style="912" customWidth="1"/>
    <col min="2306" max="2306" width="8" style="912" customWidth="1"/>
    <col min="2307" max="2308" width="6" style="912" customWidth="1"/>
    <col min="2309" max="2309" width="6.6640625" style="912" customWidth="1"/>
    <col min="2310" max="2310" width="4" style="912" customWidth="1"/>
    <col min="2311" max="2327" width="0" style="912" hidden="1" customWidth="1"/>
    <col min="2328" max="2560" width="8.88671875" style="912"/>
    <col min="2561" max="2561" width="43.33203125" style="912" customWidth="1"/>
    <col min="2562" max="2562" width="8" style="912" customWidth="1"/>
    <col min="2563" max="2564" width="6" style="912" customWidth="1"/>
    <col min="2565" max="2565" width="6.6640625" style="912" customWidth="1"/>
    <col min="2566" max="2566" width="4" style="912" customWidth="1"/>
    <col min="2567" max="2583" width="0" style="912" hidden="1" customWidth="1"/>
    <col min="2584" max="2816" width="8.88671875" style="912"/>
    <col min="2817" max="2817" width="43.33203125" style="912" customWidth="1"/>
    <col min="2818" max="2818" width="8" style="912" customWidth="1"/>
    <col min="2819" max="2820" width="6" style="912" customWidth="1"/>
    <col min="2821" max="2821" width="6.6640625" style="912" customWidth="1"/>
    <col min="2822" max="2822" width="4" style="912" customWidth="1"/>
    <col min="2823" max="2839" width="0" style="912" hidden="1" customWidth="1"/>
    <col min="2840" max="3072" width="8.88671875" style="912"/>
    <col min="3073" max="3073" width="43.33203125" style="912" customWidth="1"/>
    <col min="3074" max="3074" width="8" style="912" customWidth="1"/>
    <col min="3075" max="3076" width="6" style="912" customWidth="1"/>
    <col min="3077" max="3077" width="6.6640625" style="912" customWidth="1"/>
    <col min="3078" max="3078" width="4" style="912" customWidth="1"/>
    <col min="3079" max="3095" width="0" style="912" hidden="1" customWidth="1"/>
    <col min="3096" max="3328" width="8.88671875" style="912"/>
    <col min="3329" max="3329" width="43.33203125" style="912" customWidth="1"/>
    <col min="3330" max="3330" width="8" style="912" customWidth="1"/>
    <col min="3331" max="3332" width="6" style="912" customWidth="1"/>
    <col min="3333" max="3333" width="6.6640625" style="912" customWidth="1"/>
    <col min="3334" max="3334" width="4" style="912" customWidth="1"/>
    <col min="3335" max="3351" width="0" style="912" hidden="1" customWidth="1"/>
    <col min="3352" max="3584" width="8.88671875" style="912"/>
    <col min="3585" max="3585" width="43.33203125" style="912" customWidth="1"/>
    <col min="3586" max="3586" width="8" style="912" customWidth="1"/>
    <col min="3587" max="3588" width="6" style="912" customWidth="1"/>
    <col min="3589" max="3589" width="6.6640625" style="912" customWidth="1"/>
    <col min="3590" max="3590" width="4" style="912" customWidth="1"/>
    <col min="3591" max="3607" width="0" style="912" hidden="1" customWidth="1"/>
    <col min="3608" max="3840" width="8.88671875" style="912"/>
    <col min="3841" max="3841" width="43.33203125" style="912" customWidth="1"/>
    <col min="3842" max="3842" width="8" style="912" customWidth="1"/>
    <col min="3843" max="3844" width="6" style="912" customWidth="1"/>
    <col min="3845" max="3845" width="6.6640625" style="912" customWidth="1"/>
    <col min="3846" max="3846" width="4" style="912" customWidth="1"/>
    <col min="3847" max="3863" width="0" style="912" hidden="1" customWidth="1"/>
    <col min="3864" max="4096" width="8.88671875" style="912"/>
    <col min="4097" max="4097" width="43.33203125" style="912" customWidth="1"/>
    <col min="4098" max="4098" width="8" style="912" customWidth="1"/>
    <col min="4099" max="4100" width="6" style="912" customWidth="1"/>
    <col min="4101" max="4101" width="6.6640625" style="912" customWidth="1"/>
    <col min="4102" max="4102" width="4" style="912" customWidth="1"/>
    <col min="4103" max="4119" width="0" style="912" hidden="1" customWidth="1"/>
    <col min="4120" max="4352" width="8.88671875" style="912"/>
    <col min="4353" max="4353" width="43.33203125" style="912" customWidth="1"/>
    <col min="4354" max="4354" width="8" style="912" customWidth="1"/>
    <col min="4355" max="4356" width="6" style="912" customWidth="1"/>
    <col min="4357" max="4357" width="6.6640625" style="912" customWidth="1"/>
    <col min="4358" max="4358" width="4" style="912" customWidth="1"/>
    <col min="4359" max="4375" width="0" style="912" hidden="1" customWidth="1"/>
    <col min="4376" max="4608" width="8.88671875" style="912"/>
    <col min="4609" max="4609" width="43.33203125" style="912" customWidth="1"/>
    <col min="4610" max="4610" width="8" style="912" customWidth="1"/>
    <col min="4611" max="4612" width="6" style="912" customWidth="1"/>
    <col min="4613" max="4613" width="6.6640625" style="912" customWidth="1"/>
    <col min="4614" max="4614" width="4" style="912" customWidth="1"/>
    <col min="4615" max="4631" width="0" style="912" hidden="1" customWidth="1"/>
    <col min="4632" max="4864" width="8.88671875" style="912"/>
    <col min="4865" max="4865" width="43.33203125" style="912" customWidth="1"/>
    <col min="4866" max="4866" width="8" style="912" customWidth="1"/>
    <col min="4867" max="4868" width="6" style="912" customWidth="1"/>
    <col min="4869" max="4869" width="6.6640625" style="912" customWidth="1"/>
    <col min="4870" max="4870" width="4" style="912" customWidth="1"/>
    <col min="4871" max="4887" width="0" style="912" hidden="1" customWidth="1"/>
    <col min="4888" max="5120" width="8.88671875" style="912"/>
    <col min="5121" max="5121" width="43.33203125" style="912" customWidth="1"/>
    <col min="5122" max="5122" width="8" style="912" customWidth="1"/>
    <col min="5123" max="5124" width="6" style="912" customWidth="1"/>
    <col min="5125" max="5125" width="6.6640625" style="912" customWidth="1"/>
    <col min="5126" max="5126" width="4" style="912" customWidth="1"/>
    <col min="5127" max="5143" width="0" style="912" hidden="1" customWidth="1"/>
    <col min="5144" max="5376" width="8.88671875" style="912"/>
    <col min="5377" max="5377" width="43.33203125" style="912" customWidth="1"/>
    <col min="5378" max="5378" width="8" style="912" customWidth="1"/>
    <col min="5379" max="5380" width="6" style="912" customWidth="1"/>
    <col min="5381" max="5381" width="6.6640625" style="912" customWidth="1"/>
    <col min="5382" max="5382" width="4" style="912" customWidth="1"/>
    <col min="5383" max="5399" width="0" style="912" hidden="1" customWidth="1"/>
    <col min="5400" max="5632" width="8.88671875" style="912"/>
    <col min="5633" max="5633" width="43.33203125" style="912" customWidth="1"/>
    <col min="5634" max="5634" width="8" style="912" customWidth="1"/>
    <col min="5635" max="5636" width="6" style="912" customWidth="1"/>
    <col min="5637" max="5637" width="6.6640625" style="912" customWidth="1"/>
    <col min="5638" max="5638" width="4" style="912" customWidth="1"/>
    <col min="5639" max="5655" width="0" style="912" hidden="1" customWidth="1"/>
    <col min="5656" max="5888" width="8.88671875" style="912"/>
    <col min="5889" max="5889" width="43.33203125" style="912" customWidth="1"/>
    <col min="5890" max="5890" width="8" style="912" customWidth="1"/>
    <col min="5891" max="5892" width="6" style="912" customWidth="1"/>
    <col min="5893" max="5893" width="6.6640625" style="912" customWidth="1"/>
    <col min="5894" max="5894" width="4" style="912" customWidth="1"/>
    <col min="5895" max="5911" width="0" style="912" hidden="1" customWidth="1"/>
    <col min="5912" max="6144" width="8.88671875" style="912"/>
    <col min="6145" max="6145" width="43.33203125" style="912" customWidth="1"/>
    <col min="6146" max="6146" width="8" style="912" customWidth="1"/>
    <col min="6147" max="6148" width="6" style="912" customWidth="1"/>
    <col min="6149" max="6149" width="6.6640625" style="912" customWidth="1"/>
    <col min="6150" max="6150" width="4" style="912" customWidth="1"/>
    <col min="6151" max="6167" width="0" style="912" hidden="1" customWidth="1"/>
    <col min="6168" max="6400" width="8.88671875" style="912"/>
    <col min="6401" max="6401" width="43.33203125" style="912" customWidth="1"/>
    <col min="6402" max="6402" width="8" style="912" customWidth="1"/>
    <col min="6403" max="6404" width="6" style="912" customWidth="1"/>
    <col min="6405" max="6405" width="6.6640625" style="912" customWidth="1"/>
    <col min="6406" max="6406" width="4" style="912" customWidth="1"/>
    <col min="6407" max="6423" width="0" style="912" hidden="1" customWidth="1"/>
    <col min="6424" max="6656" width="8.88671875" style="912"/>
    <col min="6657" max="6657" width="43.33203125" style="912" customWidth="1"/>
    <col min="6658" max="6658" width="8" style="912" customWidth="1"/>
    <col min="6659" max="6660" width="6" style="912" customWidth="1"/>
    <col min="6661" max="6661" width="6.6640625" style="912" customWidth="1"/>
    <col min="6662" max="6662" width="4" style="912" customWidth="1"/>
    <col min="6663" max="6679" width="0" style="912" hidden="1" customWidth="1"/>
    <col min="6680" max="6912" width="8.88671875" style="912"/>
    <col min="6913" max="6913" width="43.33203125" style="912" customWidth="1"/>
    <col min="6914" max="6914" width="8" style="912" customWidth="1"/>
    <col min="6915" max="6916" width="6" style="912" customWidth="1"/>
    <col min="6917" max="6917" width="6.6640625" style="912" customWidth="1"/>
    <col min="6918" max="6918" width="4" style="912" customWidth="1"/>
    <col min="6919" max="6935" width="0" style="912" hidden="1" customWidth="1"/>
    <col min="6936" max="7168" width="8.88671875" style="912"/>
    <col min="7169" max="7169" width="43.33203125" style="912" customWidth="1"/>
    <col min="7170" max="7170" width="8" style="912" customWidth="1"/>
    <col min="7171" max="7172" width="6" style="912" customWidth="1"/>
    <col min="7173" max="7173" width="6.6640625" style="912" customWidth="1"/>
    <col min="7174" max="7174" width="4" style="912" customWidth="1"/>
    <col min="7175" max="7191" width="0" style="912" hidden="1" customWidth="1"/>
    <col min="7192" max="7424" width="8.88671875" style="912"/>
    <col min="7425" max="7425" width="43.33203125" style="912" customWidth="1"/>
    <col min="7426" max="7426" width="8" style="912" customWidth="1"/>
    <col min="7427" max="7428" width="6" style="912" customWidth="1"/>
    <col min="7429" max="7429" width="6.6640625" style="912" customWidth="1"/>
    <col min="7430" max="7430" width="4" style="912" customWidth="1"/>
    <col min="7431" max="7447" width="0" style="912" hidden="1" customWidth="1"/>
    <col min="7448" max="7680" width="8.88671875" style="912"/>
    <col min="7681" max="7681" width="43.33203125" style="912" customWidth="1"/>
    <col min="7682" max="7682" width="8" style="912" customWidth="1"/>
    <col min="7683" max="7684" width="6" style="912" customWidth="1"/>
    <col min="7685" max="7685" width="6.6640625" style="912" customWidth="1"/>
    <col min="7686" max="7686" width="4" style="912" customWidth="1"/>
    <col min="7687" max="7703" width="0" style="912" hidden="1" customWidth="1"/>
    <col min="7704" max="7936" width="8.88671875" style="912"/>
    <col min="7937" max="7937" width="43.33203125" style="912" customWidth="1"/>
    <col min="7938" max="7938" width="8" style="912" customWidth="1"/>
    <col min="7939" max="7940" width="6" style="912" customWidth="1"/>
    <col min="7941" max="7941" width="6.6640625" style="912" customWidth="1"/>
    <col min="7942" max="7942" width="4" style="912" customWidth="1"/>
    <col min="7943" max="7959" width="0" style="912" hidden="1" customWidth="1"/>
    <col min="7960" max="8192" width="8.88671875" style="912"/>
    <col min="8193" max="8193" width="43.33203125" style="912" customWidth="1"/>
    <col min="8194" max="8194" width="8" style="912" customWidth="1"/>
    <col min="8195" max="8196" width="6" style="912" customWidth="1"/>
    <col min="8197" max="8197" width="6.6640625" style="912" customWidth="1"/>
    <col min="8198" max="8198" width="4" style="912" customWidth="1"/>
    <col min="8199" max="8215" width="0" style="912" hidden="1" customWidth="1"/>
    <col min="8216" max="8448" width="8.88671875" style="912"/>
    <col min="8449" max="8449" width="43.33203125" style="912" customWidth="1"/>
    <col min="8450" max="8450" width="8" style="912" customWidth="1"/>
    <col min="8451" max="8452" width="6" style="912" customWidth="1"/>
    <col min="8453" max="8453" width="6.6640625" style="912" customWidth="1"/>
    <col min="8454" max="8454" width="4" style="912" customWidth="1"/>
    <col min="8455" max="8471" width="0" style="912" hidden="1" customWidth="1"/>
    <col min="8472" max="8704" width="8.88671875" style="912"/>
    <col min="8705" max="8705" width="43.33203125" style="912" customWidth="1"/>
    <col min="8706" max="8706" width="8" style="912" customWidth="1"/>
    <col min="8707" max="8708" width="6" style="912" customWidth="1"/>
    <col min="8709" max="8709" width="6.6640625" style="912" customWidth="1"/>
    <col min="8710" max="8710" width="4" style="912" customWidth="1"/>
    <col min="8711" max="8727" width="0" style="912" hidden="1" customWidth="1"/>
    <col min="8728" max="8960" width="8.88671875" style="912"/>
    <col min="8961" max="8961" width="43.33203125" style="912" customWidth="1"/>
    <col min="8962" max="8962" width="8" style="912" customWidth="1"/>
    <col min="8963" max="8964" width="6" style="912" customWidth="1"/>
    <col min="8965" max="8965" width="6.6640625" style="912" customWidth="1"/>
    <col min="8966" max="8966" width="4" style="912" customWidth="1"/>
    <col min="8967" max="8983" width="0" style="912" hidden="1" customWidth="1"/>
    <col min="8984" max="9216" width="8.88671875" style="912"/>
    <col min="9217" max="9217" width="43.33203125" style="912" customWidth="1"/>
    <col min="9218" max="9218" width="8" style="912" customWidth="1"/>
    <col min="9219" max="9220" width="6" style="912" customWidth="1"/>
    <col min="9221" max="9221" width="6.6640625" style="912" customWidth="1"/>
    <col min="9222" max="9222" width="4" style="912" customWidth="1"/>
    <col min="9223" max="9239" width="0" style="912" hidden="1" customWidth="1"/>
    <col min="9240" max="9472" width="8.88671875" style="912"/>
    <col min="9473" max="9473" width="43.33203125" style="912" customWidth="1"/>
    <col min="9474" max="9474" width="8" style="912" customWidth="1"/>
    <col min="9475" max="9476" width="6" style="912" customWidth="1"/>
    <col min="9477" max="9477" width="6.6640625" style="912" customWidth="1"/>
    <col min="9478" max="9478" width="4" style="912" customWidth="1"/>
    <col min="9479" max="9495" width="0" style="912" hidden="1" customWidth="1"/>
    <col min="9496" max="9728" width="8.88671875" style="912"/>
    <col min="9729" max="9729" width="43.33203125" style="912" customWidth="1"/>
    <col min="9730" max="9730" width="8" style="912" customWidth="1"/>
    <col min="9731" max="9732" width="6" style="912" customWidth="1"/>
    <col min="9733" max="9733" width="6.6640625" style="912" customWidth="1"/>
    <col min="9734" max="9734" width="4" style="912" customWidth="1"/>
    <col min="9735" max="9751" width="0" style="912" hidden="1" customWidth="1"/>
    <col min="9752" max="9984" width="8.88671875" style="912"/>
    <col min="9985" max="9985" width="43.33203125" style="912" customWidth="1"/>
    <col min="9986" max="9986" width="8" style="912" customWidth="1"/>
    <col min="9987" max="9988" width="6" style="912" customWidth="1"/>
    <col min="9989" max="9989" width="6.6640625" style="912" customWidth="1"/>
    <col min="9990" max="9990" width="4" style="912" customWidth="1"/>
    <col min="9991" max="10007" width="0" style="912" hidden="1" customWidth="1"/>
    <col min="10008" max="10240" width="8.88671875" style="912"/>
    <col min="10241" max="10241" width="43.33203125" style="912" customWidth="1"/>
    <col min="10242" max="10242" width="8" style="912" customWidth="1"/>
    <col min="10243" max="10244" width="6" style="912" customWidth="1"/>
    <col min="10245" max="10245" width="6.6640625" style="912" customWidth="1"/>
    <col min="10246" max="10246" width="4" style="912" customWidth="1"/>
    <col min="10247" max="10263" width="0" style="912" hidden="1" customWidth="1"/>
    <col min="10264" max="10496" width="8.88671875" style="912"/>
    <col min="10497" max="10497" width="43.33203125" style="912" customWidth="1"/>
    <col min="10498" max="10498" width="8" style="912" customWidth="1"/>
    <col min="10499" max="10500" width="6" style="912" customWidth="1"/>
    <col min="10501" max="10501" width="6.6640625" style="912" customWidth="1"/>
    <col min="10502" max="10502" width="4" style="912" customWidth="1"/>
    <col min="10503" max="10519" width="0" style="912" hidden="1" customWidth="1"/>
    <col min="10520" max="10752" width="8.88671875" style="912"/>
    <col min="10753" max="10753" width="43.33203125" style="912" customWidth="1"/>
    <col min="10754" max="10754" width="8" style="912" customWidth="1"/>
    <col min="10755" max="10756" width="6" style="912" customWidth="1"/>
    <col min="10757" max="10757" width="6.6640625" style="912" customWidth="1"/>
    <col min="10758" max="10758" width="4" style="912" customWidth="1"/>
    <col min="10759" max="10775" width="0" style="912" hidden="1" customWidth="1"/>
    <col min="10776" max="11008" width="8.88671875" style="912"/>
    <col min="11009" max="11009" width="43.33203125" style="912" customWidth="1"/>
    <col min="11010" max="11010" width="8" style="912" customWidth="1"/>
    <col min="11011" max="11012" width="6" style="912" customWidth="1"/>
    <col min="11013" max="11013" width="6.6640625" style="912" customWidth="1"/>
    <col min="11014" max="11014" width="4" style="912" customWidth="1"/>
    <col min="11015" max="11031" width="0" style="912" hidden="1" customWidth="1"/>
    <col min="11032" max="11264" width="8.88671875" style="912"/>
    <col min="11265" max="11265" width="43.33203125" style="912" customWidth="1"/>
    <col min="11266" max="11266" width="8" style="912" customWidth="1"/>
    <col min="11267" max="11268" width="6" style="912" customWidth="1"/>
    <col min="11269" max="11269" width="6.6640625" style="912" customWidth="1"/>
    <col min="11270" max="11270" width="4" style="912" customWidth="1"/>
    <col min="11271" max="11287" width="0" style="912" hidden="1" customWidth="1"/>
    <col min="11288" max="11520" width="8.88671875" style="912"/>
    <col min="11521" max="11521" width="43.33203125" style="912" customWidth="1"/>
    <col min="11522" max="11522" width="8" style="912" customWidth="1"/>
    <col min="11523" max="11524" width="6" style="912" customWidth="1"/>
    <col min="11525" max="11525" width="6.6640625" style="912" customWidth="1"/>
    <col min="11526" max="11526" width="4" style="912" customWidth="1"/>
    <col min="11527" max="11543" width="0" style="912" hidden="1" customWidth="1"/>
    <col min="11544" max="11776" width="8.88671875" style="912"/>
    <col min="11777" max="11777" width="43.33203125" style="912" customWidth="1"/>
    <col min="11778" max="11778" width="8" style="912" customWidth="1"/>
    <col min="11779" max="11780" width="6" style="912" customWidth="1"/>
    <col min="11781" max="11781" width="6.6640625" style="912" customWidth="1"/>
    <col min="11782" max="11782" width="4" style="912" customWidth="1"/>
    <col min="11783" max="11799" width="0" style="912" hidden="1" customWidth="1"/>
    <col min="11800" max="12032" width="8.88671875" style="912"/>
    <col min="12033" max="12033" width="43.33203125" style="912" customWidth="1"/>
    <col min="12034" max="12034" width="8" style="912" customWidth="1"/>
    <col min="12035" max="12036" width="6" style="912" customWidth="1"/>
    <col min="12037" max="12037" width="6.6640625" style="912" customWidth="1"/>
    <col min="12038" max="12038" width="4" style="912" customWidth="1"/>
    <col min="12039" max="12055" width="0" style="912" hidden="1" customWidth="1"/>
    <col min="12056" max="12288" width="8.88671875" style="912"/>
    <col min="12289" max="12289" width="43.33203125" style="912" customWidth="1"/>
    <col min="12290" max="12290" width="8" style="912" customWidth="1"/>
    <col min="12291" max="12292" width="6" style="912" customWidth="1"/>
    <col min="12293" max="12293" width="6.6640625" style="912" customWidth="1"/>
    <col min="12294" max="12294" width="4" style="912" customWidth="1"/>
    <col min="12295" max="12311" width="0" style="912" hidden="1" customWidth="1"/>
    <col min="12312" max="12544" width="8.88671875" style="912"/>
    <col min="12545" max="12545" width="43.33203125" style="912" customWidth="1"/>
    <col min="12546" max="12546" width="8" style="912" customWidth="1"/>
    <col min="12547" max="12548" width="6" style="912" customWidth="1"/>
    <col min="12549" max="12549" width="6.6640625" style="912" customWidth="1"/>
    <col min="12550" max="12550" width="4" style="912" customWidth="1"/>
    <col min="12551" max="12567" width="0" style="912" hidden="1" customWidth="1"/>
    <col min="12568" max="12800" width="8.88671875" style="912"/>
    <col min="12801" max="12801" width="43.33203125" style="912" customWidth="1"/>
    <col min="12802" max="12802" width="8" style="912" customWidth="1"/>
    <col min="12803" max="12804" width="6" style="912" customWidth="1"/>
    <col min="12805" max="12805" width="6.6640625" style="912" customWidth="1"/>
    <col min="12806" max="12806" width="4" style="912" customWidth="1"/>
    <col min="12807" max="12823" width="0" style="912" hidden="1" customWidth="1"/>
    <col min="12824" max="13056" width="8.88671875" style="912"/>
    <col min="13057" max="13057" width="43.33203125" style="912" customWidth="1"/>
    <col min="13058" max="13058" width="8" style="912" customWidth="1"/>
    <col min="13059" max="13060" width="6" style="912" customWidth="1"/>
    <col min="13061" max="13061" width="6.6640625" style="912" customWidth="1"/>
    <col min="13062" max="13062" width="4" style="912" customWidth="1"/>
    <col min="13063" max="13079" width="0" style="912" hidden="1" customWidth="1"/>
    <col min="13080" max="13312" width="8.88671875" style="912"/>
    <col min="13313" max="13313" width="43.33203125" style="912" customWidth="1"/>
    <col min="13314" max="13314" width="8" style="912" customWidth="1"/>
    <col min="13315" max="13316" width="6" style="912" customWidth="1"/>
    <col min="13317" max="13317" width="6.6640625" style="912" customWidth="1"/>
    <col min="13318" max="13318" width="4" style="912" customWidth="1"/>
    <col min="13319" max="13335" width="0" style="912" hidden="1" customWidth="1"/>
    <col min="13336" max="13568" width="8.88671875" style="912"/>
    <col min="13569" max="13569" width="43.33203125" style="912" customWidth="1"/>
    <col min="13570" max="13570" width="8" style="912" customWidth="1"/>
    <col min="13571" max="13572" width="6" style="912" customWidth="1"/>
    <col min="13573" max="13573" width="6.6640625" style="912" customWidth="1"/>
    <col min="13574" max="13574" width="4" style="912" customWidth="1"/>
    <col min="13575" max="13591" width="0" style="912" hidden="1" customWidth="1"/>
    <col min="13592" max="13824" width="8.88671875" style="912"/>
    <col min="13825" max="13825" width="43.33203125" style="912" customWidth="1"/>
    <col min="13826" max="13826" width="8" style="912" customWidth="1"/>
    <col min="13827" max="13828" width="6" style="912" customWidth="1"/>
    <col min="13829" max="13829" width="6.6640625" style="912" customWidth="1"/>
    <col min="13830" max="13830" width="4" style="912" customWidth="1"/>
    <col min="13831" max="13847" width="0" style="912" hidden="1" customWidth="1"/>
    <col min="13848" max="14080" width="8.88671875" style="912"/>
    <col min="14081" max="14081" width="43.33203125" style="912" customWidth="1"/>
    <col min="14082" max="14082" width="8" style="912" customWidth="1"/>
    <col min="14083" max="14084" width="6" style="912" customWidth="1"/>
    <col min="14085" max="14085" width="6.6640625" style="912" customWidth="1"/>
    <col min="14086" max="14086" width="4" style="912" customWidth="1"/>
    <col min="14087" max="14103" width="0" style="912" hidden="1" customWidth="1"/>
    <col min="14104" max="14336" width="8.88671875" style="912"/>
    <col min="14337" max="14337" width="43.33203125" style="912" customWidth="1"/>
    <col min="14338" max="14338" width="8" style="912" customWidth="1"/>
    <col min="14339" max="14340" width="6" style="912" customWidth="1"/>
    <col min="14341" max="14341" width="6.6640625" style="912" customWidth="1"/>
    <col min="14342" max="14342" width="4" style="912" customWidth="1"/>
    <col min="14343" max="14359" width="0" style="912" hidden="1" customWidth="1"/>
    <col min="14360" max="14592" width="8.88671875" style="912"/>
    <col min="14593" max="14593" width="43.33203125" style="912" customWidth="1"/>
    <col min="14594" max="14594" width="8" style="912" customWidth="1"/>
    <col min="14595" max="14596" width="6" style="912" customWidth="1"/>
    <col min="14597" max="14597" width="6.6640625" style="912" customWidth="1"/>
    <col min="14598" max="14598" width="4" style="912" customWidth="1"/>
    <col min="14599" max="14615" width="0" style="912" hidden="1" customWidth="1"/>
    <col min="14616" max="14848" width="8.88671875" style="912"/>
    <col min="14849" max="14849" width="43.33203125" style="912" customWidth="1"/>
    <col min="14850" max="14850" width="8" style="912" customWidth="1"/>
    <col min="14851" max="14852" width="6" style="912" customWidth="1"/>
    <col min="14853" max="14853" width="6.6640625" style="912" customWidth="1"/>
    <col min="14854" max="14854" width="4" style="912" customWidth="1"/>
    <col min="14855" max="14871" width="0" style="912" hidden="1" customWidth="1"/>
    <col min="14872" max="15104" width="8.88671875" style="912"/>
    <col min="15105" max="15105" width="43.33203125" style="912" customWidth="1"/>
    <col min="15106" max="15106" width="8" style="912" customWidth="1"/>
    <col min="15107" max="15108" width="6" style="912" customWidth="1"/>
    <col min="15109" max="15109" width="6.6640625" style="912" customWidth="1"/>
    <col min="15110" max="15110" width="4" style="912" customWidth="1"/>
    <col min="15111" max="15127" width="0" style="912" hidden="1" customWidth="1"/>
    <col min="15128" max="15360" width="8.88671875" style="912"/>
    <col min="15361" max="15361" width="43.33203125" style="912" customWidth="1"/>
    <col min="15362" max="15362" width="8" style="912" customWidth="1"/>
    <col min="15363" max="15364" width="6" style="912" customWidth="1"/>
    <col min="15365" max="15365" width="6.6640625" style="912" customWidth="1"/>
    <col min="15366" max="15366" width="4" style="912" customWidth="1"/>
    <col min="15367" max="15383" width="0" style="912" hidden="1" customWidth="1"/>
    <col min="15384" max="15616" width="8.88671875" style="912"/>
    <col min="15617" max="15617" width="43.33203125" style="912" customWidth="1"/>
    <col min="15618" max="15618" width="8" style="912" customWidth="1"/>
    <col min="15619" max="15620" width="6" style="912" customWidth="1"/>
    <col min="15621" max="15621" width="6.6640625" style="912" customWidth="1"/>
    <col min="15622" max="15622" width="4" style="912" customWidth="1"/>
    <col min="15623" max="15639" width="0" style="912" hidden="1" customWidth="1"/>
    <col min="15640" max="15872" width="8.88671875" style="912"/>
    <col min="15873" max="15873" width="43.33203125" style="912" customWidth="1"/>
    <col min="15874" max="15874" width="8" style="912" customWidth="1"/>
    <col min="15875" max="15876" width="6" style="912" customWidth="1"/>
    <col min="15877" max="15877" width="6.6640625" style="912" customWidth="1"/>
    <col min="15878" max="15878" width="4" style="912" customWidth="1"/>
    <col min="15879" max="15895" width="0" style="912" hidden="1" customWidth="1"/>
    <col min="15896" max="16128" width="8.88671875" style="912"/>
    <col min="16129" max="16129" width="43.33203125" style="912" customWidth="1"/>
    <col min="16130" max="16130" width="8" style="912" customWidth="1"/>
    <col min="16131" max="16132" width="6" style="912" customWidth="1"/>
    <col min="16133" max="16133" width="6.6640625" style="912" customWidth="1"/>
    <col min="16134" max="16134" width="4" style="912" customWidth="1"/>
    <col min="16135" max="16151" width="0" style="912" hidden="1" customWidth="1"/>
    <col min="16152" max="16384" width="8.88671875" style="912"/>
  </cols>
  <sheetData>
    <row r="1" spans="1:11" ht="15" customHeight="1">
      <c r="A1" s="912" t="s">
        <v>1525</v>
      </c>
    </row>
    <row r="2" spans="1:11" ht="15" customHeight="1">
      <c r="A2" s="913" t="s">
        <v>1526</v>
      </c>
      <c r="B2" s="913" t="s">
        <v>1527</v>
      </c>
      <c r="C2" s="913" t="s">
        <v>1528</v>
      </c>
      <c r="D2" s="913" t="s">
        <v>651</v>
      </c>
      <c r="E2" s="913" t="s">
        <v>650</v>
      </c>
      <c r="F2" s="913" t="s">
        <v>1529</v>
      </c>
    </row>
    <row r="3" spans="1:11" ht="15" customHeight="1">
      <c r="A3" s="945"/>
      <c r="B3" s="914"/>
      <c r="C3" s="914"/>
      <c r="D3" s="914"/>
      <c r="E3" s="914"/>
      <c r="F3" s="914"/>
    </row>
    <row r="4" spans="1:11" ht="15" customHeight="1">
      <c r="A4" s="914" t="s">
        <v>1530</v>
      </c>
      <c r="B4" s="915">
        <v>430</v>
      </c>
      <c r="C4" s="915">
        <v>1106</v>
      </c>
      <c r="D4" s="915">
        <v>558</v>
      </c>
      <c r="E4" s="915">
        <v>2094</v>
      </c>
      <c r="F4" s="914" t="s">
        <v>539</v>
      </c>
      <c r="G4" s="912" t="s">
        <v>539</v>
      </c>
      <c r="H4" s="912" t="s">
        <v>1531</v>
      </c>
      <c r="K4" s="912">
        <v>1</v>
      </c>
    </row>
    <row r="5" spans="1:11" ht="15" customHeight="1">
      <c r="A5" s="946"/>
      <c r="B5" s="914"/>
      <c r="C5" s="914"/>
      <c r="D5" s="914"/>
      <c r="E5" s="914"/>
      <c r="F5" s="914"/>
    </row>
    <row r="6" spans="1:11" ht="15" customHeight="1">
      <c r="A6" s="914"/>
      <c r="B6" s="914"/>
      <c r="C6" s="914"/>
      <c r="D6" s="914"/>
      <c r="E6" s="914"/>
      <c r="F6" s="914"/>
      <c r="G6" s="912" t="s">
        <v>539</v>
      </c>
      <c r="I6" s="912" t="s">
        <v>547</v>
      </c>
      <c r="J6" s="912" t="s">
        <v>539</v>
      </c>
      <c r="K6" s="912" t="s">
        <v>1532</v>
      </c>
    </row>
    <row r="7" spans="1:11" ht="15" customHeight="1">
      <c r="A7" s="914" t="s">
        <v>1533</v>
      </c>
      <c r="B7" s="915"/>
      <c r="C7" s="915"/>
      <c r="D7" s="915"/>
      <c r="E7" s="915"/>
      <c r="F7" s="915"/>
      <c r="K7" s="914" t="s">
        <v>1533</v>
      </c>
    </row>
    <row r="8" spans="1:11" ht="15" customHeight="1">
      <c r="A8" s="914" t="s">
        <v>1534</v>
      </c>
      <c r="B8" s="915"/>
      <c r="C8" s="915"/>
      <c r="D8" s="915"/>
      <c r="E8" s="915"/>
      <c r="F8" s="915"/>
      <c r="K8" s="914" t="s">
        <v>1534</v>
      </c>
    </row>
    <row r="9" spans="1:11" ht="15" customHeight="1">
      <c r="A9" s="914" t="s">
        <v>1535</v>
      </c>
      <c r="B9" s="915"/>
      <c r="C9" s="915"/>
      <c r="D9" s="915"/>
      <c r="E9" s="915"/>
      <c r="F9" s="915"/>
      <c r="K9" s="914" t="s">
        <v>1536</v>
      </c>
    </row>
    <row r="10" spans="1:11" ht="15" customHeight="1">
      <c r="A10" s="914" t="s">
        <v>1537</v>
      </c>
      <c r="B10" s="915"/>
      <c r="C10" s="915"/>
      <c r="D10" s="915"/>
      <c r="E10" s="915"/>
      <c r="F10" s="915"/>
      <c r="K10" s="914" t="s">
        <v>1538</v>
      </c>
    </row>
    <row r="11" spans="1:11" ht="15" customHeight="1">
      <c r="A11" s="914" t="s">
        <v>1539</v>
      </c>
      <c r="B11" s="915">
        <v>430</v>
      </c>
      <c r="C11" s="915"/>
      <c r="D11" s="915"/>
      <c r="E11" s="915">
        <v>430</v>
      </c>
      <c r="F11" s="915" t="s">
        <v>1540</v>
      </c>
      <c r="K11" s="914" t="s">
        <v>1541</v>
      </c>
    </row>
    <row r="12" spans="1:11" ht="15" customHeight="1">
      <c r="A12" s="914" t="s">
        <v>1542</v>
      </c>
      <c r="B12" s="915"/>
      <c r="C12" s="915">
        <v>1106</v>
      </c>
      <c r="D12" s="915"/>
      <c r="E12" s="915">
        <v>1106</v>
      </c>
      <c r="F12" s="915" t="s">
        <v>1543</v>
      </c>
      <c r="K12" s="914" t="s">
        <v>1544</v>
      </c>
    </row>
    <row r="13" spans="1:11" ht="15" customHeight="1">
      <c r="A13" s="914" t="s">
        <v>1545</v>
      </c>
      <c r="B13" s="915"/>
      <c r="C13" s="915"/>
      <c r="D13" s="915">
        <v>558</v>
      </c>
      <c r="E13" s="915">
        <v>558</v>
      </c>
      <c r="F13" s="915" t="s">
        <v>1546</v>
      </c>
      <c r="K13" s="914" t="s">
        <v>1547</v>
      </c>
    </row>
    <row r="14" spans="1:11" ht="15" customHeight="1">
      <c r="A14" s="914" t="s">
        <v>539</v>
      </c>
      <c r="B14" s="915"/>
      <c r="C14" s="915"/>
      <c r="D14" s="915"/>
      <c r="E14" s="915"/>
      <c r="F14" s="915"/>
      <c r="K14" s="914" t="s">
        <v>539</v>
      </c>
    </row>
    <row r="15" spans="1:11" ht="15" customHeight="1">
      <c r="A15" s="914" t="s">
        <v>1548</v>
      </c>
      <c r="B15" s="916">
        <v>430</v>
      </c>
      <c r="C15" s="916">
        <v>1106</v>
      </c>
      <c r="D15" s="916">
        <v>558</v>
      </c>
      <c r="E15" s="916">
        <v>2094</v>
      </c>
      <c r="F15" s="916"/>
      <c r="K15" s="914" t="s">
        <v>1549</v>
      </c>
    </row>
    <row r="16" spans="1:11" ht="15" customHeight="1">
      <c r="A16" s="914"/>
      <c r="B16" s="914"/>
      <c r="C16" s="914"/>
      <c r="D16" s="914"/>
      <c r="E16" s="914"/>
      <c r="F16" s="914"/>
    </row>
    <row r="17" spans="1:11" ht="15" customHeight="1" thickBot="1">
      <c r="A17" s="917" t="s">
        <v>1550</v>
      </c>
      <c r="B17" s="918">
        <v>430</v>
      </c>
      <c r="C17" s="918">
        <v>1106</v>
      </c>
      <c r="D17" s="918">
        <v>558</v>
      </c>
      <c r="E17" s="918">
        <v>2094</v>
      </c>
      <c r="F17" s="917"/>
    </row>
    <row r="18" spans="1:11" ht="15" customHeight="1">
      <c r="A18" s="914"/>
      <c r="B18" s="914"/>
      <c r="C18" s="914"/>
      <c r="D18" s="914"/>
      <c r="E18" s="914"/>
      <c r="F18" s="914"/>
    </row>
    <row r="19" spans="1:11" ht="15" customHeight="1">
      <c r="A19" s="914" t="s">
        <v>1551</v>
      </c>
      <c r="B19" s="915">
        <v>421</v>
      </c>
      <c r="C19" s="915">
        <v>1083</v>
      </c>
      <c r="D19" s="915">
        <v>546</v>
      </c>
      <c r="E19" s="915">
        <v>2050</v>
      </c>
      <c r="F19" s="914" t="s">
        <v>539</v>
      </c>
      <c r="G19" s="912" t="s">
        <v>539</v>
      </c>
      <c r="H19" s="912" t="s">
        <v>1552</v>
      </c>
      <c r="K19" s="912">
        <v>1</v>
      </c>
    </row>
    <row r="20" spans="1:11" ht="15" customHeight="1">
      <c r="A20" s="946"/>
      <c r="B20" s="914"/>
      <c r="C20" s="914"/>
      <c r="D20" s="914"/>
      <c r="E20" s="914"/>
      <c r="F20" s="914"/>
    </row>
    <row r="21" spans="1:11" ht="15" customHeight="1">
      <c r="A21" s="914"/>
      <c r="B21" s="914"/>
      <c r="C21" s="914"/>
      <c r="D21" s="914"/>
      <c r="E21" s="914"/>
      <c r="F21" s="914"/>
      <c r="G21" s="912" t="s">
        <v>539</v>
      </c>
      <c r="I21" s="912" t="s">
        <v>547</v>
      </c>
      <c r="J21" s="912" t="s">
        <v>539</v>
      </c>
      <c r="K21" s="912" t="s">
        <v>1532</v>
      </c>
    </row>
    <row r="22" spans="1:11" ht="15" customHeight="1">
      <c r="A22" s="914" t="s">
        <v>1533</v>
      </c>
      <c r="B22" s="915"/>
      <c r="C22" s="915"/>
      <c r="D22" s="915"/>
      <c r="E22" s="915"/>
      <c r="F22" s="915"/>
      <c r="K22" s="914" t="s">
        <v>1533</v>
      </c>
    </row>
    <row r="23" spans="1:11" ht="15" customHeight="1">
      <c r="A23" s="914" t="s">
        <v>1534</v>
      </c>
      <c r="B23" s="915"/>
      <c r="C23" s="915"/>
      <c r="D23" s="915"/>
      <c r="E23" s="915"/>
      <c r="F23" s="915"/>
      <c r="K23" s="914" t="s">
        <v>1534</v>
      </c>
    </row>
    <row r="24" spans="1:11" ht="15" customHeight="1">
      <c r="A24" s="914" t="s">
        <v>1535</v>
      </c>
      <c r="B24" s="915"/>
      <c r="C24" s="915"/>
      <c r="D24" s="915"/>
      <c r="E24" s="915"/>
      <c r="F24" s="915"/>
      <c r="K24" s="914" t="s">
        <v>1536</v>
      </c>
    </row>
    <row r="25" spans="1:11" ht="15" customHeight="1">
      <c r="A25" s="914" t="s">
        <v>1537</v>
      </c>
      <c r="B25" s="915"/>
      <c r="C25" s="915"/>
      <c r="D25" s="915"/>
      <c r="E25" s="915"/>
      <c r="F25" s="915"/>
      <c r="K25" s="914" t="s">
        <v>1538</v>
      </c>
    </row>
    <row r="26" spans="1:11" ht="15" customHeight="1">
      <c r="A26" s="914" t="s">
        <v>1553</v>
      </c>
      <c r="B26" s="915">
        <v>421</v>
      </c>
      <c r="C26" s="915"/>
      <c r="D26" s="915"/>
      <c r="E26" s="915">
        <v>421</v>
      </c>
      <c r="F26" s="915" t="s">
        <v>1540</v>
      </c>
      <c r="K26" s="914" t="s">
        <v>1554</v>
      </c>
    </row>
    <row r="27" spans="1:11" ht="15" customHeight="1">
      <c r="A27" s="914" t="s">
        <v>1555</v>
      </c>
      <c r="B27" s="915"/>
      <c r="C27" s="915">
        <v>1083</v>
      </c>
      <c r="D27" s="915"/>
      <c r="E27" s="915">
        <v>1083</v>
      </c>
      <c r="F27" s="915" t="s">
        <v>1543</v>
      </c>
      <c r="K27" s="914" t="s">
        <v>1556</v>
      </c>
    </row>
    <row r="28" spans="1:11" ht="15" customHeight="1">
      <c r="A28" s="914" t="s">
        <v>1557</v>
      </c>
      <c r="B28" s="915"/>
      <c r="C28" s="915"/>
      <c r="D28" s="915">
        <v>546</v>
      </c>
      <c r="E28" s="915">
        <v>546</v>
      </c>
      <c r="F28" s="915" t="s">
        <v>1546</v>
      </c>
      <c r="K28" s="914" t="s">
        <v>1558</v>
      </c>
    </row>
    <row r="29" spans="1:11" ht="15" customHeight="1">
      <c r="A29" s="914" t="s">
        <v>539</v>
      </c>
      <c r="B29" s="915"/>
      <c r="C29" s="915"/>
      <c r="D29" s="915"/>
      <c r="E29" s="915"/>
      <c r="F29" s="915"/>
      <c r="K29" s="914" t="s">
        <v>539</v>
      </c>
    </row>
    <row r="30" spans="1:11" ht="15" customHeight="1">
      <c r="A30" s="914" t="s">
        <v>1548</v>
      </c>
      <c r="B30" s="916">
        <v>421</v>
      </c>
      <c r="C30" s="916">
        <v>1083</v>
      </c>
      <c r="D30" s="916">
        <v>546</v>
      </c>
      <c r="E30" s="916">
        <v>2050</v>
      </c>
      <c r="F30" s="916"/>
      <c r="K30" s="914" t="s">
        <v>1549</v>
      </c>
    </row>
    <row r="31" spans="1:11" ht="15" customHeight="1">
      <c r="A31" s="914"/>
      <c r="B31" s="914"/>
      <c r="C31" s="914"/>
      <c r="D31" s="914"/>
      <c r="E31" s="914"/>
      <c r="F31" s="914"/>
    </row>
    <row r="32" spans="1:11" ht="15" customHeight="1" thickBot="1">
      <c r="A32" s="917" t="s">
        <v>1550</v>
      </c>
      <c r="B32" s="918">
        <v>421</v>
      </c>
      <c r="C32" s="918">
        <v>1083</v>
      </c>
      <c r="D32" s="918">
        <v>546</v>
      </c>
      <c r="E32" s="918">
        <v>2050</v>
      </c>
      <c r="F32" s="917"/>
    </row>
  </sheetData>
  <phoneticPr fontId="7" type="noConversion"/>
  <pageMargins left="0.31496062992125984" right="0.31496062992125984" top="0.98425196850393704" bottom="0.59055118110236227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6" tint="0.59999389629810485"/>
  </sheetPr>
  <dimension ref="A1:P144"/>
  <sheetViews>
    <sheetView showZeros="0" view="pageBreakPreview" zoomScaleSheetLayoutView="100" workbookViewId="0">
      <pane xSplit="1" ySplit="4" topLeftCell="B29" activePane="bottomRight" state="frozen"/>
      <selection activeCell="B3" sqref="B3:C5"/>
      <selection pane="topRight" activeCell="B3" sqref="B3:C5"/>
      <selection pane="bottomLeft" activeCell="B3" sqref="B3:C5"/>
      <selection pane="bottomRight" activeCell="B3" sqref="B3:C5"/>
    </sheetView>
  </sheetViews>
  <sheetFormatPr defaultRowHeight="13.5"/>
  <cols>
    <col min="1" max="1" width="17.5546875" hidden="1" customWidth="1"/>
    <col min="2" max="2" width="15.33203125" customWidth="1"/>
    <col min="3" max="3" width="15.109375" customWidth="1"/>
    <col min="4" max="4" width="4.109375" customWidth="1"/>
    <col min="5" max="5" width="5.21875" customWidth="1"/>
    <col min="6" max="6" width="7.21875" customWidth="1"/>
    <col min="7" max="7" width="9.77734375" customWidth="1"/>
    <col min="8" max="8" width="7.21875" customWidth="1"/>
    <col min="9" max="9" width="9.77734375" customWidth="1"/>
    <col min="10" max="10" width="7.21875" customWidth="1"/>
    <col min="11" max="11" width="9.77734375" customWidth="1"/>
    <col min="12" max="12" width="7.21875" customWidth="1"/>
    <col min="13" max="13" width="10.6640625" customWidth="1"/>
    <col min="14" max="14" width="6.77734375" customWidth="1"/>
    <col min="17" max="18" width="10" bestFit="1" customWidth="1"/>
  </cols>
  <sheetData>
    <row r="1" spans="1:16" ht="11.25" customHeight="1">
      <c r="B1" s="5"/>
      <c r="C1" s="1"/>
      <c r="D1" s="6"/>
      <c r="E1" s="7"/>
      <c r="F1" s="8"/>
      <c r="G1" s="8"/>
      <c r="H1" s="8"/>
      <c r="I1" s="8"/>
      <c r="J1" s="8"/>
      <c r="K1" s="8"/>
      <c r="L1" s="8"/>
      <c r="M1" s="8"/>
      <c r="N1" s="9"/>
    </row>
    <row r="2" spans="1:16" ht="23.1" customHeight="1">
      <c r="B2" s="807" t="str">
        <f>원가계산서!A2</f>
        <v>2022년 경기창작센터 예술공원 조성사업(전기)</v>
      </c>
      <c r="C2" s="814"/>
      <c r="D2" s="815"/>
      <c r="E2" s="816"/>
      <c r="F2" s="815"/>
      <c r="G2" s="815"/>
      <c r="H2" s="815"/>
      <c r="I2" s="815"/>
      <c r="J2" s="815"/>
      <c r="K2" s="815"/>
      <c r="L2" s="815"/>
      <c r="M2" s="815"/>
      <c r="N2" s="817"/>
    </row>
    <row r="3" spans="1:16" ht="23.1" customHeight="1">
      <c r="B3" s="1585" t="s">
        <v>1306</v>
      </c>
      <c r="C3" s="1587" t="s">
        <v>1307</v>
      </c>
      <c r="D3" s="1594" t="s">
        <v>1308</v>
      </c>
      <c r="E3" s="1596" t="s">
        <v>1309</v>
      </c>
      <c r="F3" s="1594" t="s">
        <v>1310</v>
      </c>
      <c r="G3" s="1594"/>
      <c r="H3" s="1594" t="s">
        <v>439</v>
      </c>
      <c r="I3" s="1594"/>
      <c r="J3" s="1594" t="s">
        <v>66</v>
      </c>
      <c r="K3" s="1594"/>
      <c r="L3" s="1594" t="s">
        <v>1311</v>
      </c>
      <c r="M3" s="1594"/>
      <c r="N3" s="1577" t="s">
        <v>1312</v>
      </c>
      <c r="P3">
        <v>1</v>
      </c>
    </row>
    <row r="4" spans="1:16" ht="23.1" customHeight="1">
      <c r="B4" s="1586"/>
      <c r="C4" s="1588"/>
      <c r="D4" s="1595"/>
      <c r="E4" s="1597"/>
      <c r="F4" s="863" t="s">
        <v>1313</v>
      </c>
      <c r="G4" s="863" t="s">
        <v>1314</v>
      </c>
      <c r="H4" s="863" t="s">
        <v>1313</v>
      </c>
      <c r="I4" s="863" t="s">
        <v>1314</v>
      </c>
      <c r="J4" s="863" t="s">
        <v>1313</v>
      </c>
      <c r="K4" s="863" t="s">
        <v>1314</v>
      </c>
      <c r="L4" s="863" t="s">
        <v>1313</v>
      </c>
      <c r="M4" s="863" t="s">
        <v>1314</v>
      </c>
      <c r="N4" s="1578"/>
    </row>
    <row r="5" spans="1:16" ht="18" customHeight="1">
      <c r="B5" s="1750" t="s">
        <v>1565</v>
      </c>
      <c r="C5" s="1751"/>
      <c r="D5" s="158"/>
      <c r="E5" s="159"/>
      <c r="F5" s="160"/>
      <c r="G5" s="160"/>
      <c r="H5" s="160"/>
      <c r="I5" s="160"/>
      <c r="J5" s="160"/>
      <c r="K5" s="160"/>
      <c r="L5" s="161"/>
      <c r="M5" s="160"/>
      <c r="N5" s="676"/>
    </row>
    <row r="6" spans="1:16" ht="18" customHeight="1">
      <c r="B6" s="1752" t="s">
        <v>1566</v>
      </c>
      <c r="C6" s="1753"/>
      <c r="D6" s="191"/>
      <c r="E6" s="20"/>
      <c r="F6" s="646"/>
      <c r="G6" s="195"/>
      <c r="H6" s="195"/>
      <c r="I6" s="195"/>
      <c r="J6" s="195"/>
      <c r="K6" s="195"/>
      <c r="L6" s="189"/>
      <c r="M6" s="195"/>
      <c r="N6" s="192"/>
    </row>
    <row r="7" spans="1:16" ht="18" customHeight="1">
      <c r="A7" s="193" t="e">
        <f>#REF!</f>
        <v>#REF!</v>
      </c>
      <c r="B7" s="190" t="e">
        <f>VLOOKUP($A7,#REF!,2,FALSE)</f>
        <v>#REF!</v>
      </c>
      <c r="C7" s="947" t="e">
        <f>VLOOKUP($A7,#REF!,3,FALSE)</f>
        <v>#REF!</v>
      </c>
      <c r="D7" s="191" t="e">
        <f>VLOOKUP($A7,#REF!,4,FALSE)</f>
        <v>#REF!</v>
      </c>
      <c r="E7" s="3">
        <f t="shared" ref="E7:E32" si="0">IF(ISERROR(VLOOKUP($A7,철거집계,10,FALSE)),0,VLOOKUP($A7,철거집계,10,FALSE))</f>
        <v>0</v>
      </c>
      <c r="F7" s="791" t="e">
        <f>INT(IF(ISERROR(VLOOKUP($A7,일위11,10,FALSE)),VLOOKUP($A7,#REF!,11,FALSE),VLOOKUP($A7,일위11,10,FALSE)))*$P$3</f>
        <v>#REF!</v>
      </c>
      <c r="G7" s="791" t="e">
        <f t="shared" ref="G7:G32" si="1">INT(E7*F7)</f>
        <v>#REF!</v>
      </c>
      <c r="H7" s="195">
        <f t="shared" ref="H7:H32" si="2">INT(IF(ISERROR(VLOOKUP($A7,일위11,12,FALSE)),0,VLOOKUP($A7,일위11,12,FALSE)))*$P$3</f>
        <v>0</v>
      </c>
      <c r="I7" s="195">
        <f t="shared" ref="I7:I32" si="3">INT(E7*H7)</f>
        <v>0</v>
      </c>
      <c r="J7" s="195">
        <f t="shared" ref="J7:J32" si="4">INT(IF(ISERROR(VLOOKUP($A7,일위11,14,FALSE)),0,VLOOKUP($A7,일위11,14,FALSE)))*$P$3</f>
        <v>0</v>
      </c>
      <c r="K7" s="195">
        <f t="shared" ref="K7:K32" si="5">INT(E7*J7)</f>
        <v>0</v>
      </c>
      <c r="L7" s="189" t="e">
        <f t="shared" ref="L7:L32" si="6">F7+H7+J7</f>
        <v>#REF!</v>
      </c>
      <c r="M7" s="195" t="e">
        <f t="shared" ref="M7:M32" si="7">INT(G7+I7+K7)</f>
        <v>#REF!</v>
      </c>
      <c r="N7" s="192">
        <f t="shared" ref="N7:N32" si="8">IF(ISERROR(VLOOKUP($A7,일위11,4,FALSE)),0,VLOOKUP($A7,일위11,4,FALSE))</f>
        <v>0</v>
      </c>
    </row>
    <row r="8" spans="1:16" ht="18" customHeight="1">
      <c r="A8" s="193" t="e">
        <f>#REF!</f>
        <v>#REF!</v>
      </c>
      <c r="B8" s="190" t="e">
        <f>VLOOKUP($A8,#REF!,2,FALSE)</f>
        <v>#REF!</v>
      </c>
      <c r="C8" s="947" t="e">
        <f>VLOOKUP($A8,#REF!,3,FALSE)</f>
        <v>#REF!</v>
      </c>
      <c r="D8" s="191" t="e">
        <f>VLOOKUP($A8,#REF!,4,FALSE)</f>
        <v>#REF!</v>
      </c>
      <c r="E8" s="3">
        <f t="shared" si="0"/>
        <v>0</v>
      </c>
      <c r="F8" s="791" t="e">
        <f>INT(IF(ISERROR(VLOOKUP($A8,일위11,10,FALSE)),VLOOKUP($A8,#REF!,11,FALSE),VLOOKUP($A8,일위11,10,FALSE)))*$P$3</f>
        <v>#REF!</v>
      </c>
      <c r="G8" s="791" t="e">
        <f t="shared" si="1"/>
        <v>#REF!</v>
      </c>
      <c r="H8" s="195">
        <f t="shared" si="2"/>
        <v>0</v>
      </c>
      <c r="I8" s="195">
        <f t="shared" si="3"/>
        <v>0</v>
      </c>
      <c r="J8" s="195">
        <f t="shared" si="4"/>
        <v>0</v>
      </c>
      <c r="K8" s="195">
        <f t="shared" si="5"/>
        <v>0</v>
      </c>
      <c r="L8" s="792" t="e">
        <f t="shared" si="6"/>
        <v>#REF!</v>
      </c>
      <c r="M8" s="791" t="e">
        <f t="shared" si="7"/>
        <v>#REF!</v>
      </c>
      <c r="N8" s="192">
        <f t="shared" si="8"/>
        <v>0</v>
      </c>
    </row>
    <row r="9" spans="1:16" ht="18" customHeight="1">
      <c r="A9" s="193" t="e">
        <f>#REF!</f>
        <v>#REF!</v>
      </c>
      <c r="B9" s="190" t="e">
        <f>VLOOKUP($A9,#REF!,2,FALSE)</f>
        <v>#REF!</v>
      </c>
      <c r="C9" s="947" t="e">
        <f>VLOOKUP($A9,#REF!,3,FALSE)</f>
        <v>#REF!</v>
      </c>
      <c r="D9" s="191" t="e">
        <f>VLOOKUP($A9,#REF!,4,FALSE)</f>
        <v>#REF!</v>
      </c>
      <c r="E9" s="3">
        <f t="shared" si="0"/>
        <v>0</v>
      </c>
      <c r="F9" s="791" t="e">
        <f>INT(IF(ISERROR(VLOOKUP($A9,일위11,10,FALSE)),VLOOKUP($A9,#REF!,11,FALSE),VLOOKUP($A9,일위11,10,FALSE)))*$P$3</f>
        <v>#REF!</v>
      </c>
      <c r="G9" s="791" t="e">
        <f t="shared" si="1"/>
        <v>#REF!</v>
      </c>
      <c r="H9" s="195">
        <f t="shared" si="2"/>
        <v>0</v>
      </c>
      <c r="I9" s="195">
        <f t="shared" si="3"/>
        <v>0</v>
      </c>
      <c r="J9" s="195">
        <f t="shared" si="4"/>
        <v>0</v>
      </c>
      <c r="K9" s="195">
        <f t="shared" si="5"/>
        <v>0</v>
      </c>
      <c r="L9" s="792" t="e">
        <f t="shared" si="6"/>
        <v>#REF!</v>
      </c>
      <c r="M9" s="791" t="e">
        <f t="shared" si="7"/>
        <v>#REF!</v>
      </c>
      <c r="N9" s="192">
        <f t="shared" si="8"/>
        <v>0</v>
      </c>
    </row>
    <row r="10" spans="1:16" ht="18" customHeight="1">
      <c r="A10" s="193" t="e">
        <f>#REF!</f>
        <v>#REF!</v>
      </c>
      <c r="B10" s="190" t="e">
        <f>VLOOKUP($A10,#REF!,2,FALSE)</f>
        <v>#REF!</v>
      </c>
      <c r="C10" s="947" t="e">
        <f>VLOOKUP($A10,#REF!,3,FALSE)</f>
        <v>#REF!</v>
      </c>
      <c r="D10" s="191" t="e">
        <f>VLOOKUP($A10,#REF!,4,FALSE)</f>
        <v>#REF!</v>
      </c>
      <c r="E10" s="3">
        <f t="shared" si="0"/>
        <v>0</v>
      </c>
      <c r="F10" s="791" t="e">
        <f>INT(IF(ISERROR(VLOOKUP($A10,일위11,10,FALSE)),VLOOKUP($A10,#REF!,11,FALSE),VLOOKUP($A10,일위11,10,FALSE)))*$P$3</f>
        <v>#REF!</v>
      </c>
      <c r="G10" s="791" t="e">
        <f t="shared" si="1"/>
        <v>#REF!</v>
      </c>
      <c r="H10" s="195">
        <f t="shared" si="2"/>
        <v>0</v>
      </c>
      <c r="I10" s="195">
        <f t="shared" si="3"/>
        <v>0</v>
      </c>
      <c r="J10" s="195">
        <f t="shared" si="4"/>
        <v>0</v>
      </c>
      <c r="K10" s="195">
        <f t="shared" si="5"/>
        <v>0</v>
      </c>
      <c r="L10" s="792" t="e">
        <f t="shared" si="6"/>
        <v>#REF!</v>
      </c>
      <c r="M10" s="791" t="e">
        <f t="shared" si="7"/>
        <v>#REF!</v>
      </c>
      <c r="N10" s="192">
        <f t="shared" si="8"/>
        <v>0</v>
      </c>
    </row>
    <row r="11" spans="1:16" ht="18" customHeight="1">
      <c r="A11" s="937" t="e">
        <f>#REF!</f>
        <v>#REF!</v>
      </c>
      <c r="B11" s="190" t="e">
        <f>VLOOKUP($A11,#REF!,2,FALSE)</f>
        <v>#REF!</v>
      </c>
      <c r="C11" s="947" t="e">
        <f>VLOOKUP($A11,#REF!,3,FALSE)</f>
        <v>#REF!</v>
      </c>
      <c r="D11" s="191" t="e">
        <f>VLOOKUP($A11,#REF!,4,FALSE)</f>
        <v>#REF!</v>
      </c>
      <c r="E11" s="3">
        <f t="shared" si="0"/>
        <v>0</v>
      </c>
      <c r="F11" s="791" t="e">
        <f>INT(IF(ISERROR(VLOOKUP($A11,일위11,10,FALSE)),VLOOKUP($A11,#REF!,11,FALSE),VLOOKUP($A11,일위11,10,FALSE)))*$P$3</f>
        <v>#REF!</v>
      </c>
      <c r="G11" s="791" t="e">
        <f t="shared" si="1"/>
        <v>#REF!</v>
      </c>
      <c r="H11" s="195">
        <f t="shared" si="2"/>
        <v>0</v>
      </c>
      <c r="I11" s="195">
        <f t="shared" si="3"/>
        <v>0</v>
      </c>
      <c r="J11" s="195">
        <f t="shared" si="4"/>
        <v>0</v>
      </c>
      <c r="K11" s="195">
        <f t="shared" si="5"/>
        <v>0</v>
      </c>
      <c r="L11" s="792" t="e">
        <f t="shared" si="6"/>
        <v>#REF!</v>
      </c>
      <c r="M11" s="791" t="e">
        <f t="shared" si="7"/>
        <v>#REF!</v>
      </c>
      <c r="N11" s="192">
        <f t="shared" si="8"/>
        <v>0</v>
      </c>
    </row>
    <row r="12" spans="1:16" ht="18" customHeight="1">
      <c r="A12" s="937" t="e">
        <f>#REF!</f>
        <v>#REF!</v>
      </c>
      <c r="B12" s="190" t="e">
        <f>VLOOKUP($A12,#REF!,2,FALSE)</f>
        <v>#REF!</v>
      </c>
      <c r="C12" s="947" t="e">
        <f>VLOOKUP($A12,#REF!,3,FALSE)</f>
        <v>#REF!</v>
      </c>
      <c r="D12" s="191" t="e">
        <f>VLOOKUP($A12,#REF!,4,FALSE)</f>
        <v>#REF!</v>
      </c>
      <c r="E12" s="3">
        <f t="shared" si="0"/>
        <v>0</v>
      </c>
      <c r="F12" s="791" t="e">
        <f>INT(IF(ISERROR(VLOOKUP($A12,일위11,10,FALSE)),VLOOKUP($A12,#REF!,11,FALSE),VLOOKUP($A12,일위11,10,FALSE)))*$P$3</f>
        <v>#REF!</v>
      </c>
      <c r="G12" s="791" t="e">
        <f t="shared" si="1"/>
        <v>#REF!</v>
      </c>
      <c r="H12" s="195">
        <f t="shared" si="2"/>
        <v>0</v>
      </c>
      <c r="I12" s="195">
        <f t="shared" si="3"/>
        <v>0</v>
      </c>
      <c r="J12" s="195">
        <f t="shared" si="4"/>
        <v>0</v>
      </c>
      <c r="K12" s="195">
        <f t="shared" si="5"/>
        <v>0</v>
      </c>
      <c r="L12" s="792" t="e">
        <f t="shared" si="6"/>
        <v>#REF!</v>
      </c>
      <c r="M12" s="791" t="e">
        <f t="shared" si="7"/>
        <v>#REF!</v>
      </c>
      <c r="N12" s="192">
        <f t="shared" si="8"/>
        <v>0</v>
      </c>
    </row>
    <row r="13" spans="1:16" ht="18" customHeight="1">
      <c r="A13" s="193" t="e">
        <f>#REF!</f>
        <v>#REF!</v>
      </c>
      <c r="B13" s="190" t="e">
        <f>VLOOKUP($A13,#REF!,2,FALSE)</f>
        <v>#REF!</v>
      </c>
      <c r="C13" s="947" t="e">
        <f>VLOOKUP($A13,#REF!,3,FALSE)</f>
        <v>#REF!</v>
      </c>
      <c r="D13" s="191" t="e">
        <f>VLOOKUP($A13,#REF!,4,FALSE)</f>
        <v>#REF!</v>
      </c>
      <c r="E13" s="3">
        <f t="shared" si="0"/>
        <v>0</v>
      </c>
      <c r="F13" s="791" t="e">
        <f>INT(IF(ISERROR(VLOOKUP($A13,일위11,10,FALSE)),VLOOKUP($A13,#REF!,11,FALSE),VLOOKUP($A13,일위11,10,FALSE)))*$P$3</f>
        <v>#REF!</v>
      </c>
      <c r="G13" s="791" t="e">
        <f t="shared" si="1"/>
        <v>#REF!</v>
      </c>
      <c r="H13" s="195">
        <f t="shared" si="2"/>
        <v>0</v>
      </c>
      <c r="I13" s="195">
        <f t="shared" si="3"/>
        <v>0</v>
      </c>
      <c r="J13" s="195">
        <f t="shared" si="4"/>
        <v>0</v>
      </c>
      <c r="K13" s="195">
        <f t="shared" si="5"/>
        <v>0</v>
      </c>
      <c r="L13" s="792" t="e">
        <f t="shared" si="6"/>
        <v>#REF!</v>
      </c>
      <c r="M13" s="791" t="e">
        <f t="shared" si="7"/>
        <v>#REF!</v>
      </c>
      <c r="N13" s="192">
        <f t="shared" si="8"/>
        <v>0</v>
      </c>
    </row>
    <row r="14" spans="1:16" ht="18" customHeight="1">
      <c r="A14" s="937" t="e">
        <f>#REF!</f>
        <v>#REF!</v>
      </c>
      <c r="B14" s="190" t="e">
        <f>VLOOKUP($A14,#REF!,2,FALSE)</f>
        <v>#REF!</v>
      </c>
      <c r="C14" s="947" t="e">
        <f>VLOOKUP($A14,#REF!,3,FALSE)</f>
        <v>#REF!</v>
      </c>
      <c r="D14" s="191" t="e">
        <f>VLOOKUP($A14,#REF!,4,FALSE)</f>
        <v>#REF!</v>
      </c>
      <c r="E14" s="3">
        <f t="shared" si="0"/>
        <v>0</v>
      </c>
      <c r="F14" s="791" t="e">
        <f>INT(IF(ISERROR(VLOOKUP($A14,일위11,10,FALSE)),VLOOKUP($A14,#REF!,11,FALSE),VLOOKUP($A14,일위11,10,FALSE)))*$P$3</f>
        <v>#REF!</v>
      </c>
      <c r="G14" s="791" t="e">
        <f t="shared" si="1"/>
        <v>#REF!</v>
      </c>
      <c r="H14" s="195">
        <f t="shared" si="2"/>
        <v>0</v>
      </c>
      <c r="I14" s="195">
        <f t="shared" si="3"/>
        <v>0</v>
      </c>
      <c r="J14" s="195">
        <f t="shared" si="4"/>
        <v>0</v>
      </c>
      <c r="K14" s="195">
        <f t="shared" si="5"/>
        <v>0</v>
      </c>
      <c r="L14" s="792" t="e">
        <f t="shared" si="6"/>
        <v>#REF!</v>
      </c>
      <c r="M14" s="791" t="e">
        <f t="shared" si="7"/>
        <v>#REF!</v>
      </c>
      <c r="N14" s="192">
        <f t="shared" si="8"/>
        <v>0</v>
      </c>
    </row>
    <row r="15" spans="1:16" ht="18" customHeight="1">
      <c r="A15" s="193" t="e">
        <f>#REF!</f>
        <v>#REF!</v>
      </c>
      <c r="B15" s="190" t="e">
        <f>VLOOKUP($A15,#REF!,2,FALSE)</f>
        <v>#REF!</v>
      </c>
      <c r="C15" s="947" t="e">
        <f>VLOOKUP($A15,#REF!,3,FALSE)</f>
        <v>#REF!</v>
      </c>
      <c r="D15" s="191" t="e">
        <f>VLOOKUP($A15,#REF!,4,FALSE)</f>
        <v>#REF!</v>
      </c>
      <c r="E15" s="3">
        <f t="shared" si="0"/>
        <v>0</v>
      </c>
      <c r="F15" s="791" t="e">
        <f>INT(IF(ISERROR(VLOOKUP($A15,일위11,10,FALSE)),VLOOKUP($A15,#REF!,11,FALSE),VLOOKUP($A15,일위11,10,FALSE)))*$P$3</f>
        <v>#REF!</v>
      </c>
      <c r="G15" s="791" t="e">
        <f t="shared" si="1"/>
        <v>#REF!</v>
      </c>
      <c r="H15" s="195">
        <f t="shared" si="2"/>
        <v>0</v>
      </c>
      <c r="I15" s="195">
        <f t="shared" si="3"/>
        <v>0</v>
      </c>
      <c r="J15" s="195">
        <f t="shared" si="4"/>
        <v>0</v>
      </c>
      <c r="K15" s="195">
        <f t="shared" si="5"/>
        <v>0</v>
      </c>
      <c r="L15" s="792" t="e">
        <f t="shared" si="6"/>
        <v>#REF!</v>
      </c>
      <c r="M15" s="791" t="e">
        <f t="shared" si="7"/>
        <v>#REF!</v>
      </c>
      <c r="N15" s="192">
        <f t="shared" si="8"/>
        <v>0</v>
      </c>
    </row>
    <row r="16" spans="1:16" ht="18" customHeight="1">
      <c r="A16" s="193" t="e">
        <f>#REF!</f>
        <v>#REF!</v>
      </c>
      <c r="B16" s="190" t="e">
        <f>VLOOKUP($A16,#REF!,2,FALSE)</f>
        <v>#REF!</v>
      </c>
      <c r="C16" s="947" t="e">
        <f>VLOOKUP($A16,#REF!,3,FALSE)</f>
        <v>#REF!</v>
      </c>
      <c r="D16" s="191" t="e">
        <f>VLOOKUP($A16,#REF!,4,FALSE)</f>
        <v>#REF!</v>
      </c>
      <c r="E16" s="3">
        <f t="shared" si="0"/>
        <v>0</v>
      </c>
      <c r="F16" s="791" t="e">
        <f>INT(IF(ISERROR(VLOOKUP($A16,일위11,10,FALSE)),VLOOKUP($A16,#REF!,11,FALSE),VLOOKUP($A16,일위11,10,FALSE)))*$P$3</f>
        <v>#REF!</v>
      </c>
      <c r="G16" s="791" t="e">
        <f t="shared" si="1"/>
        <v>#REF!</v>
      </c>
      <c r="H16" s="195">
        <f t="shared" si="2"/>
        <v>0</v>
      </c>
      <c r="I16" s="195">
        <f t="shared" si="3"/>
        <v>0</v>
      </c>
      <c r="J16" s="195">
        <f t="shared" si="4"/>
        <v>0</v>
      </c>
      <c r="K16" s="195">
        <f t="shared" si="5"/>
        <v>0</v>
      </c>
      <c r="L16" s="792" t="e">
        <f t="shared" si="6"/>
        <v>#REF!</v>
      </c>
      <c r="M16" s="791" t="e">
        <f t="shared" si="7"/>
        <v>#REF!</v>
      </c>
      <c r="N16" s="192">
        <f t="shared" si="8"/>
        <v>0</v>
      </c>
    </row>
    <row r="17" spans="1:14" ht="18" customHeight="1">
      <c r="A17" s="193" t="e">
        <f>#REF!</f>
        <v>#REF!</v>
      </c>
      <c r="B17" s="190" t="e">
        <f>VLOOKUP($A17,#REF!,2,FALSE)</f>
        <v>#REF!</v>
      </c>
      <c r="C17" s="947" t="e">
        <f>VLOOKUP($A17,#REF!,3,FALSE)</f>
        <v>#REF!</v>
      </c>
      <c r="D17" s="191" t="e">
        <f>VLOOKUP($A17,#REF!,4,FALSE)</f>
        <v>#REF!</v>
      </c>
      <c r="E17" s="3">
        <f t="shared" si="0"/>
        <v>0</v>
      </c>
      <c r="F17" s="791" t="e">
        <f>INT(IF(ISERROR(VLOOKUP($A17,일위11,10,FALSE)),VLOOKUP($A17,#REF!,11,FALSE),VLOOKUP($A17,일위11,10,FALSE)))*$P$3</f>
        <v>#REF!</v>
      </c>
      <c r="G17" s="791" t="e">
        <f t="shared" si="1"/>
        <v>#REF!</v>
      </c>
      <c r="H17" s="195">
        <f t="shared" si="2"/>
        <v>0</v>
      </c>
      <c r="I17" s="195">
        <f t="shared" si="3"/>
        <v>0</v>
      </c>
      <c r="J17" s="195">
        <f t="shared" si="4"/>
        <v>0</v>
      </c>
      <c r="K17" s="195">
        <f t="shared" si="5"/>
        <v>0</v>
      </c>
      <c r="L17" s="792" t="e">
        <f t="shared" si="6"/>
        <v>#REF!</v>
      </c>
      <c r="M17" s="791" t="e">
        <f t="shared" si="7"/>
        <v>#REF!</v>
      </c>
      <c r="N17" s="192">
        <f t="shared" si="8"/>
        <v>0</v>
      </c>
    </row>
    <row r="18" spans="1:14" ht="18" customHeight="1">
      <c r="A18" s="193" t="e">
        <f>#REF!</f>
        <v>#REF!</v>
      </c>
      <c r="B18" s="190" t="e">
        <f>VLOOKUP($A18,#REF!,2,FALSE)</f>
        <v>#REF!</v>
      </c>
      <c r="C18" s="947" t="e">
        <f>VLOOKUP($A18,#REF!,3,FALSE)</f>
        <v>#REF!</v>
      </c>
      <c r="D18" s="191" t="e">
        <f>VLOOKUP($A18,#REF!,4,FALSE)</f>
        <v>#REF!</v>
      </c>
      <c r="E18" s="3">
        <f t="shared" si="0"/>
        <v>0</v>
      </c>
      <c r="F18" s="791" t="e">
        <f>INT(IF(ISERROR(VLOOKUP($A18,일위11,10,FALSE)),VLOOKUP($A18,#REF!,11,FALSE),VLOOKUP($A18,일위11,10,FALSE)))*$P$3</f>
        <v>#REF!</v>
      </c>
      <c r="G18" s="791" t="e">
        <f t="shared" si="1"/>
        <v>#REF!</v>
      </c>
      <c r="H18" s="195">
        <f t="shared" si="2"/>
        <v>0</v>
      </c>
      <c r="I18" s="195">
        <f t="shared" si="3"/>
        <v>0</v>
      </c>
      <c r="J18" s="195">
        <f t="shared" si="4"/>
        <v>0</v>
      </c>
      <c r="K18" s="195">
        <f t="shared" si="5"/>
        <v>0</v>
      </c>
      <c r="L18" s="792" t="e">
        <f t="shared" si="6"/>
        <v>#REF!</v>
      </c>
      <c r="M18" s="791" t="e">
        <f t="shared" si="7"/>
        <v>#REF!</v>
      </c>
      <c r="N18" s="192">
        <f t="shared" si="8"/>
        <v>0</v>
      </c>
    </row>
    <row r="19" spans="1:14" ht="18" customHeight="1">
      <c r="A19" s="193" t="e">
        <f>#REF!</f>
        <v>#REF!</v>
      </c>
      <c r="B19" s="190" t="e">
        <f>VLOOKUP($A19,#REF!,2,FALSE)</f>
        <v>#REF!</v>
      </c>
      <c r="C19" s="947" t="e">
        <f>VLOOKUP($A19,#REF!,3,FALSE)</f>
        <v>#REF!</v>
      </c>
      <c r="D19" s="191" t="e">
        <f>VLOOKUP($A19,#REF!,4,FALSE)</f>
        <v>#REF!</v>
      </c>
      <c r="E19" s="3">
        <f t="shared" si="0"/>
        <v>0</v>
      </c>
      <c r="F19" s="791" t="e">
        <f>INT(IF(ISERROR(VLOOKUP($A19,일위11,10,FALSE)),VLOOKUP($A19,#REF!,11,FALSE),VLOOKUP($A19,일위11,10,FALSE)))*$P$3</f>
        <v>#REF!</v>
      </c>
      <c r="G19" s="791" t="e">
        <f t="shared" si="1"/>
        <v>#REF!</v>
      </c>
      <c r="H19" s="195">
        <f t="shared" si="2"/>
        <v>0</v>
      </c>
      <c r="I19" s="195">
        <f t="shared" si="3"/>
        <v>0</v>
      </c>
      <c r="J19" s="195">
        <f t="shared" si="4"/>
        <v>0</v>
      </c>
      <c r="K19" s="195">
        <f t="shared" si="5"/>
        <v>0</v>
      </c>
      <c r="L19" s="792" t="e">
        <f t="shared" si="6"/>
        <v>#REF!</v>
      </c>
      <c r="M19" s="791" t="e">
        <f t="shared" si="7"/>
        <v>#REF!</v>
      </c>
      <c r="N19" s="192">
        <f t="shared" si="8"/>
        <v>0</v>
      </c>
    </row>
    <row r="20" spans="1:14" ht="18" customHeight="1">
      <c r="A20" s="937" t="e">
        <f>#REF!</f>
        <v>#REF!</v>
      </c>
      <c r="B20" s="190" t="e">
        <f>VLOOKUP($A20,#REF!,2,FALSE)</f>
        <v>#REF!</v>
      </c>
      <c r="C20" s="947" t="e">
        <f>VLOOKUP($A20,#REF!,3,FALSE)</f>
        <v>#REF!</v>
      </c>
      <c r="D20" s="191" t="e">
        <f>VLOOKUP($A20,#REF!,4,FALSE)</f>
        <v>#REF!</v>
      </c>
      <c r="E20" s="3">
        <f t="shared" si="0"/>
        <v>0</v>
      </c>
      <c r="F20" s="791" t="e">
        <f>INT(IF(ISERROR(VLOOKUP($A20,일위11,10,FALSE)),VLOOKUP($A20,#REF!,11,FALSE),VLOOKUP($A20,일위11,10,FALSE)))*$P$3</f>
        <v>#REF!</v>
      </c>
      <c r="G20" s="791" t="e">
        <f t="shared" si="1"/>
        <v>#REF!</v>
      </c>
      <c r="H20" s="195">
        <f t="shared" si="2"/>
        <v>0</v>
      </c>
      <c r="I20" s="195">
        <f t="shared" si="3"/>
        <v>0</v>
      </c>
      <c r="J20" s="195">
        <f t="shared" si="4"/>
        <v>0</v>
      </c>
      <c r="K20" s="195">
        <f t="shared" si="5"/>
        <v>0</v>
      </c>
      <c r="L20" s="792" t="e">
        <f t="shared" si="6"/>
        <v>#REF!</v>
      </c>
      <c r="M20" s="791" t="e">
        <f t="shared" si="7"/>
        <v>#REF!</v>
      </c>
      <c r="N20" s="192">
        <f t="shared" si="8"/>
        <v>0</v>
      </c>
    </row>
    <row r="21" spans="1:14" ht="18" customHeight="1">
      <c r="A21" s="193" t="e">
        <f>#REF!</f>
        <v>#REF!</v>
      </c>
      <c r="B21" s="190" t="e">
        <f>VLOOKUP($A21,#REF!,2,FALSE)</f>
        <v>#REF!</v>
      </c>
      <c r="C21" s="947" t="e">
        <f>VLOOKUP($A21,#REF!,3,FALSE)</f>
        <v>#REF!</v>
      </c>
      <c r="D21" s="191" t="e">
        <f>VLOOKUP($A21,#REF!,4,FALSE)</f>
        <v>#REF!</v>
      </c>
      <c r="E21" s="3">
        <f t="shared" si="0"/>
        <v>0</v>
      </c>
      <c r="F21" s="791" t="e">
        <f>INT(IF(ISERROR(VLOOKUP($A21,일위11,10,FALSE)),VLOOKUP($A21,#REF!,11,FALSE),VLOOKUP($A21,일위11,10,FALSE)))*$P$3</f>
        <v>#REF!</v>
      </c>
      <c r="G21" s="791" t="e">
        <f t="shared" si="1"/>
        <v>#REF!</v>
      </c>
      <c r="H21" s="195">
        <f t="shared" si="2"/>
        <v>0</v>
      </c>
      <c r="I21" s="195">
        <f t="shared" si="3"/>
        <v>0</v>
      </c>
      <c r="J21" s="195">
        <f t="shared" si="4"/>
        <v>0</v>
      </c>
      <c r="K21" s="195">
        <f t="shared" si="5"/>
        <v>0</v>
      </c>
      <c r="L21" s="792" t="e">
        <f t="shared" si="6"/>
        <v>#REF!</v>
      </c>
      <c r="M21" s="791" t="e">
        <f t="shared" si="7"/>
        <v>#REF!</v>
      </c>
      <c r="N21" s="192">
        <f t="shared" si="8"/>
        <v>0</v>
      </c>
    </row>
    <row r="22" spans="1:14" ht="18" customHeight="1">
      <c r="A22" s="193" t="e">
        <f>#REF!</f>
        <v>#REF!</v>
      </c>
      <c r="B22" s="190" t="e">
        <f>VLOOKUP($A22,#REF!,2,FALSE)</f>
        <v>#REF!</v>
      </c>
      <c r="C22" s="947" t="e">
        <f>VLOOKUP($A22,#REF!,3,FALSE)</f>
        <v>#REF!</v>
      </c>
      <c r="D22" s="191" t="e">
        <f>VLOOKUP($A22,#REF!,4,FALSE)</f>
        <v>#REF!</v>
      </c>
      <c r="E22" s="3">
        <f t="shared" si="0"/>
        <v>0</v>
      </c>
      <c r="F22" s="791" t="e">
        <f>INT(IF(ISERROR(VLOOKUP($A22,일위11,10,FALSE)),VLOOKUP($A22,#REF!,11,FALSE),VLOOKUP($A22,일위11,10,FALSE)))*$P$3</f>
        <v>#REF!</v>
      </c>
      <c r="G22" s="791" t="e">
        <f t="shared" si="1"/>
        <v>#REF!</v>
      </c>
      <c r="H22" s="195">
        <f t="shared" si="2"/>
        <v>0</v>
      </c>
      <c r="I22" s="195">
        <f t="shared" si="3"/>
        <v>0</v>
      </c>
      <c r="J22" s="195">
        <f t="shared" si="4"/>
        <v>0</v>
      </c>
      <c r="K22" s="195">
        <f t="shared" si="5"/>
        <v>0</v>
      </c>
      <c r="L22" s="792" t="e">
        <f t="shared" si="6"/>
        <v>#REF!</v>
      </c>
      <c r="M22" s="791" t="e">
        <f t="shared" si="7"/>
        <v>#REF!</v>
      </c>
      <c r="N22" s="192">
        <f t="shared" si="8"/>
        <v>0</v>
      </c>
    </row>
    <row r="23" spans="1:14" ht="18" customHeight="1">
      <c r="A23" s="193" t="e">
        <f>#REF!</f>
        <v>#REF!</v>
      </c>
      <c r="B23" s="190" t="e">
        <f>VLOOKUP($A23,#REF!,2,FALSE)</f>
        <v>#REF!</v>
      </c>
      <c r="C23" s="947" t="e">
        <f>VLOOKUP($A23,#REF!,3,FALSE)</f>
        <v>#REF!</v>
      </c>
      <c r="D23" s="191" t="e">
        <f>VLOOKUP($A23,#REF!,4,FALSE)</f>
        <v>#REF!</v>
      </c>
      <c r="E23" s="3">
        <f t="shared" si="0"/>
        <v>0</v>
      </c>
      <c r="F23" s="791" t="e">
        <f>INT(IF(ISERROR(VLOOKUP($A23,일위11,10,FALSE)),VLOOKUP($A23,#REF!,11,FALSE),VLOOKUP($A23,일위11,10,FALSE)))*$P$3</f>
        <v>#REF!</v>
      </c>
      <c r="G23" s="791" t="e">
        <f t="shared" si="1"/>
        <v>#REF!</v>
      </c>
      <c r="H23" s="195">
        <f t="shared" si="2"/>
        <v>0</v>
      </c>
      <c r="I23" s="195">
        <f t="shared" si="3"/>
        <v>0</v>
      </c>
      <c r="J23" s="195">
        <f t="shared" si="4"/>
        <v>0</v>
      </c>
      <c r="K23" s="195">
        <f t="shared" si="5"/>
        <v>0</v>
      </c>
      <c r="L23" s="792" t="e">
        <f t="shared" si="6"/>
        <v>#REF!</v>
      </c>
      <c r="M23" s="791" t="e">
        <f t="shared" si="7"/>
        <v>#REF!</v>
      </c>
      <c r="N23" s="192">
        <f t="shared" si="8"/>
        <v>0</v>
      </c>
    </row>
    <row r="24" spans="1:14" ht="18" customHeight="1">
      <c r="A24" s="193" t="e">
        <f>#REF!</f>
        <v>#REF!</v>
      </c>
      <c r="B24" s="190" t="e">
        <f>VLOOKUP($A24,#REF!,2,FALSE)</f>
        <v>#REF!</v>
      </c>
      <c r="C24" s="947" t="e">
        <f>VLOOKUP($A24,#REF!,3,FALSE)</f>
        <v>#REF!</v>
      </c>
      <c r="D24" s="191" t="e">
        <f>VLOOKUP($A24,#REF!,4,FALSE)</f>
        <v>#REF!</v>
      </c>
      <c r="E24" s="3">
        <f t="shared" si="0"/>
        <v>0</v>
      </c>
      <c r="F24" s="791" t="e">
        <f>INT(IF(ISERROR(VLOOKUP($A24,일위11,10,FALSE)),VLOOKUP($A24,#REF!,11,FALSE),VLOOKUP($A24,일위11,10,FALSE)))*$P$3</f>
        <v>#REF!</v>
      </c>
      <c r="G24" s="791" t="e">
        <f t="shared" si="1"/>
        <v>#REF!</v>
      </c>
      <c r="H24" s="195">
        <f t="shared" si="2"/>
        <v>0</v>
      </c>
      <c r="I24" s="195">
        <f t="shared" si="3"/>
        <v>0</v>
      </c>
      <c r="J24" s="195">
        <f t="shared" si="4"/>
        <v>0</v>
      </c>
      <c r="K24" s="195">
        <f t="shared" si="5"/>
        <v>0</v>
      </c>
      <c r="L24" s="792" t="e">
        <f t="shared" si="6"/>
        <v>#REF!</v>
      </c>
      <c r="M24" s="791" t="e">
        <f t="shared" si="7"/>
        <v>#REF!</v>
      </c>
      <c r="N24" s="192">
        <f t="shared" si="8"/>
        <v>0</v>
      </c>
    </row>
    <row r="25" spans="1:14" ht="18" customHeight="1">
      <c r="A25" s="193" t="e">
        <f>#REF!</f>
        <v>#REF!</v>
      </c>
      <c r="B25" s="190" t="e">
        <f>VLOOKUP($A25,#REF!,2,FALSE)</f>
        <v>#REF!</v>
      </c>
      <c r="C25" s="947" t="e">
        <f>VLOOKUP($A25,#REF!,3,FALSE)</f>
        <v>#REF!</v>
      </c>
      <c r="D25" s="191" t="e">
        <f>VLOOKUP($A25,#REF!,4,FALSE)</f>
        <v>#REF!</v>
      </c>
      <c r="E25" s="3">
        <f t="shared" si="0"/>
        <v>0</v>
      </c>
      <c r="F25" s="791" t="e">
        <f>INT(IF(ISERROR(VLOOKUP($A25,일위11,10,FALSE)),VLOOKUP($A25,#REF!,11,FALSE),VLOOKUP($A25,일위11,10,FALSE)))*$P$3</f>
        <v>#REF!</v>
      </c>
      <c r="G25" s="791" t="e">
        <f t="shared" si="1"/>
        <v>#REF!</v>
      </c>
      <c r="H25" s="195">
        <f t="shared" si="2"/>
        <v>0</v>
      </c>
      <c r="I25" s="195">
        <f t="shared" si="3"/>
        <v>0</v>
      </c>
      <c r="J25" s="195">
        <f t="shared" si="4"/>
        <v>0</v>
      </c>
      <c r="K25" s="195">
        <f t="shared" si="5"/>
        <v>0</v>
      </c>
      <c r="L25" s="792" t="e">
        <f t="shared" si="6"/>
        <v>#REF!</v>
      </c>
      <c r="M25" s="791" t="e">
        <f t="shared" si="7"/>
        <v>#REF!</v>
      </c>
      <c r="N25" s="192">
        <f t="shared" si="8"/>
        <v>0</v>
      </c>
    </row>
    <row r="26" spans="1:14" ht="18" customHeight="1">
      <c r="A26" s="193" t="e">
        <f>#REF!</f>
        <v>#REF!</v>
      </c>
      <c r="B26" s="190" t="e">
        <f>VLOOKUP($A26,#REF!,2,FALSE)</f>
        <v>#REF!</v>
      </c>
      <c r="C26" s="947" t="e">
        <f>VLOOKUP($A26,#REF!,3,FALSE)</f>
        <v>#REF!</v>
      </c>
      <c r="D26" s="191" t="e">
        <f>VLOOKUP($A26,#REF!,4,FALSE)</f>
        <v>#REF!</v>
      </c>
      <c r="E26" s="3">
        <f t="shared" si="0"/>
        <v>0</v>
      </c>
      <c r="F26" s="791" t="e">
        <f>INT(IF(ISERROR(VLOOKUP($A26,일위11,10,FALSE)),VLOOKUP($A26,#REF!,11,FALSE),VLOOKUP($A26,일위11,10,FALSE)))*$P$3</f>
        <v>#REF!</v>
      </c>
      <c r="G26" s="791" t="e">
        <f t="shared" si="1"/>
        <v>#REF!</v>
      </c>
      <c r="H26" s="195">
        <f t="shared" si="2"/>
        <v>0</v>
      </c>
      <c r="I26" s="195">
        <f t="shared" si="3"/>
        <v>0</v>
      </c>
      <c r="J26" s="195">
        <f t="shared" si="4"/>
        <v>0</v>
      </c>
      <c r="K26" s="195">
        <f t="shared" si="5"/>
        <v>0</v>
      </c>
      <c r="L26" s="792" t="e">
        <f t="shared" si="6"/>
        <v>#REF!</v>
      </c>
      <c r="M26" s="791" t="e">
        <f t="shared" si="7"/>
        <v>#REF!</v>
      </c>
      <c r="N26" s="192">
        <f t="shared" si="8"/>
        <v>0</v>
      </c>
    </row>
    <row r="27" spans="1:14" ht="18" customHeight="1">
      <c r="A27" s="193" t="e">
        <f>#REF!</f>
        <v>#REF!</v>
      </c>
      <c r="B27" s="190" t="e">
        <f>VLOOKUP($A27,#REF!,2,FALSE)</f>
        <v>#REF!</v>
      </c>
      <c r="C27" s="947" t="e">
        <f>VLOOKUP($A27,#REF!,3,FALSE)</f>
        <v>#REF!</v>
      </c>
      <c r="D27" s="191" t="e">
        <f>VLOOKUP($A27,#REF!,4,FALSE)</f>
        <v>#REF!</v>
      </c>
      <c r="E27" s="3">
        <f t="shared" si="0"/>
        <v>0</v>
      </c>
      <c r="F27" s="791" t="e">
        <f>INT(IF(ISERROR(VLOOKUP($A27,일위11,10,FALSE)),VLOOKUP($A27,#REF!,11,FALSE),VLOOKUP($A27,일위11,10,FALSE)))*$P$3</f>
        <v>#REF!</v>
      </c>
      <c r="G27" s="791" t="e">
        <f t="shared" si="1"/>
        <v>#REF!</v>
      </c>
      <c r="H27" s="195">
        <f t="shared" si="2"/>
        <v>0</v>
      </c>
      <c r="I27" s="195">
        <f t="shared" si="3"/>
        <v>0</v>
      </c>
      <c r="J27" s="195">
        <f t="shared" si="4"/>
        <v>0</v>
      </c>
      <c r="K27" s="195">
        <f t="shared" si="5"/>
        <v>0</v>
      </c>
      <c r="L27" s="792" t="e">
        <f t="shared" si="6"/>
        <v>#REF!</v>
      </c>
      <c r="M27" s="791" t="e">
        <f t="shared" si="7"/>
        <v>#REF!</v>
      </c>
      <c r="N27" s="192">
        <f t="shared" si="8"/>
        <v>0</v>
      </c>
    </row>
    <row r="28" spans="1:14" ht="18" customHeight="1">
      <c r="A28" s="193" t="e">
        <f>#REF!</f>
        <v>#REF!</v>
      </c>
      <c r="B28" s="190" t="e">
        <f>VLOOKUP($A28,#REF!,2,FALSE)</f>
        <v>#REF!</v>
      </c>
      <c r="C28" s="947" t="e">
        <f>VLOOKUP($A28,#REF!,3,FALSE)</f>
        <v>#REF!</v>
      </c>
      <c r="D28" s="191" t="e">
        <f>VLOOKUP($A28,#REF!,4,FALSE)</f>
        <v>#REF!</v>
      </c>
      <c r="E28" s="3">
        <f t="shared" si="0"/>
        <v>0</v>
      </c>
      <c r="F28" s="791" t="e">
        <f>INT(IF(ISERROR(VLOOKUP($A28,일위11,10,FALSE)),VLOOKUP($A28,#REF!,11,FALSE),VLOOKUP($A28,일위11,10,FALSE)))*$P$3</f>
        <v>#REF!</v>
      </c>
      <c r="G28" s="791" t="e">
        <f t="shared" si="1"/>
        <v>#REF!</v>
      </c>
      <c r="H28" s="195">
        <f t="shared" si="2"/>
        <v>0</v>
      </c>
      <c r="I28" s="195">
        <f t="shared" si="3"/>
        <v>0</v>
      </c>
      <c r="J28" s="195">
        <f t="shared" si="4"/>
        <v>0</v>
      </c>
      <c r="K28" s="195">
        <f t="shared" si="5"/>
        <v>0</v>
      </c>
      <c r="L28" s="792" t="e">
        <f t="shared" si="6"/>
        <v>#REF!</v>
      </c>
      <c r="M28" s="791" t="e">
        <f t="shared" si="7"/>
        <v>#REF!</v>
      </c>
      <c r="N28" s="192">
        <f t="shared" si="8"/>
        <v>0</v>
      </c>
    </row>
    <row r="29" spans="1:14" ht="18" customHeight="1">
      <c r="A29" s="193" t="e">
        <f>#REF!</f>
        <v>#REF!</v>
      </c>
      <c r="B29" s="190" t="e">
        <f>VLOOKUP($A29,#REF!,2,FALSE)</f>
        <v>#REF!</v>
      </c>
      <c r="C29" s="947" t="e">
        <f>VLOOKUP($A29,#REF!,3,FALSE)</f>
        <v>#REF!</v>
      </c>
      <c r="D29" s="191" t="e">
        <f>VLOOKUP($A29,#REF!,4,FALSE)</f>
        <v>#REF!</v>
      </c>
      <c r="E29" s="3">
        <f t="shared" si="0"/>
        <v>0</v>
      </c>
      <c r="F29" s="791" t="e">
        <f>INT(IF(ISERROR(VLOOKUP($A29,일위11,10,FALSE)),VLOOKUP($A29,#REF!,11,FALSE),VLOOKUP($A29,일위11,10,FALSE)))*$P$3</f>
        <v>#REF!</v>
      </c>
      <c r="G29" s="791" t="e">
        <f t="shared" si="1"/>
        <v>#REF!</v>
      </c>
      <c r="H29" s="195">
        <f t="shared" si="2"/>
        <v>0</v>
      </c>
      <c r="I29" s="195">
        <f t="shared" si="3"/>
        <v>0</v>
      </c>
      <c r="J29" s="195">
        <f t="shared" si="4"/>
        <v>0</v>
      </c>
      <c r="K29" s="195">
        <f t="shared" si="5"/>
        <v>0</v>
      </c>
      <c r="L29" s="792" t="e">
        <f t="shared" si="6"/>
        <v>#REF!</v>
      </c>
      <c r="M29" s="791" t="e">
        <f t="shared" si="7"/>
        <v>#REF!</v>
      </c>
      <c r="N29" s="192">
        <f t="shared" si="8"/>
        <v>0</v>
      </c>
    </row>
    <row r="30" spans="1:14" ht="18" customHeight="1">
      <c r="A30" s="193" t="e">
        <f>#REF!</f>
        <v>#REF!</v>
      </c>
      <c r="B30" s="190" t="e">
        <f>VLOOKUP($A30,#REF!,2,FALSE)</f>
        <v>#REF!</v>
      </c>
      <c r="C30" s="947" t="e">
        <f>VLOOKUP($A30,#REF!,3,FALSE)</f>
        <v>#REF!</v>
      </c>
      <c r="D30" s="191" t="e">
        <f>VLOOKUP($A30,#REF!,4,FALSE)</f>
        <v>#REF!</v>
      </c>
      <c r="E30" s="3">
        <f t="shared" si="0"/>
        <v>0</v>
      </c>
      <c r="F30" s="791" t="e">
        <f>INT(IF(ISERROR(VLOOKUP($A30,일위11,10,FALSE)),VLOOKUP($A30,#REF!,11,FALSE),VLOOKUP($A30,일위11,10,FALSE)))*$P$3</f>
        <v>#REF!</v>
      </c>
      <c r="G30" s="791" t="e">
        <f t="shared" si="1"/>
        <v>#REF!</v>
      </c>
      <c r="H30" s="195">
        <f t="shared" si="2"/>
        <v>0</v>
      </c>
      <c r="I30" s="195">
        <f t="shared" si="3"/>
        <v>0</v>
      </c>
      <c r="J30" s="195">
        <f t="shared" si="4"/>
        <v>0</v>
      </c>
      <c r="K30" s="195">
        <f t="shared" si="5"/>
        <v>0</v>
      </c>
      <c r="L30" s="792" t="e">
        <f t="shared" si="6"/>
        <v>#REF!</v>
      </c>
      <c r="M30" s="791" t="e">
        <f t="shared" si="7"/>
        <v>#REF!</v>
      </c>
      <c r="N30" s="192">
        <f t="shared" si="8"/>
        <v>0</v>
      </c>
    </row>
    <row r="31" spans="1:14" ht="18" customHeight="1">
      <c r="A31" s="193" t="e">
        <f>#REF!</f>
        <v>#REF!</v>
      </c>
      <c r="B31" s="190" t="e">
        <f>VLOOKUP($A31,#REF!,2,FALSE)</f>
        <v>#REF!</v>
      </c>
      <c r="C31" s="947" t="e">
        <f>VLOOKUP($A31,#REF!,3,FALSE)</f>
        <v>#REF!</v>
      </c>
      <c r="D31" s="191" t="e">
        <f>VLOOKUP($A31,#REF!,4,FALSE)</f>
        <v>#REF!</v>
      </c>
      <c r="E31" s="3">
        <f t="shared" si="0"/>
        <v>0</v>
      </c>
      <c r="F31" s="791" t="e">
        <f>INT(IF(ISERROR(VLOOKUP($A31,일위11,10,FALSE)),VLOOKUP($A31,#REF!,11,FALSE),VLOOKUP($A31,일위11,10,FALSE)))*$P$3</f>
        <v>#REF!</v>
      </c>
      <c r="G31" s="791" t="e">
        <f t="shared" si="1"/>
        <v>#REF!</v>
      </c>
      <c r="H31" s="195">
        <f t="shared" si="2"/>
        <v>0</v>
      </c>
      <c r="I31" s="195">
        <f t="shared" si="3"/>
        <v>0</v>
      </c>
      <c r="J31" s="195">
        <f t="shared" si="4"/>
        <v>0</v>
      </c>
      <c r="K31" s="195">
        <f t="shared" si="5"/>
        <v>0</v>
      </c>
      <c r="L31" s="792" t="e">
        <f t="shared" si="6"/>
        <v>#REF!</v>
      </c>
      <c r="M31" s="791" t="e">
        <f t="shared" si="7"/>
        <v>#REF!</v>
      </c>
      <c r="N31" s="192">
        <f t="shared" si="8"/>
        <v>0</v>
      </c>
    </row>
    <row r="32" spans="1:14" ht="18" customHeight="1">
      <c r="A32" s="193" t="e">
        <f>#REF!</f>
        <v>#REF!</v>
      </c>
      <c r="B32" s="190" t="e">
        <f>VLOOKUP($A32,#REF!,2,FALSE)</f>
        <v>#REF!</v>
      </c>
      <c r="C32" s="947" t="e">
        <f>VLOOKUP($A32,#REF!,3,FALSE)</f>
        <v>#REF!</v>
      </c>
      <c r="D32" s="191" t="e">
        <f>VLOOKUP($A32,#REF!,4,FALSE)</f>
        <v>#REF!</v>
      </c>
      <c r="E32" s="3">
        <f t="shared" si="0"/>
        <v>0</v>
      </c>
      <c r="F32" s="791" t="e">
        <f>INT(IF(ISERROR(VLOOKUP($A32,일위11,10,FALSE)),VLOOKUP($A32,#REF!,11,FALSE),VLOOKUP($A32,일위11,10,FALSE)))*$P$3</f>
        <v>#REF!</v>
      </c>
      <c r="G32" s="791" t="e">
        <f t="shared" si="1"/>
        <v>#REF!</v>
      </c>
      <c r="H32" s="195">
        <f t="shared" si="2"/>
        <v>0</v>
      </c>
      <c r="I32" s="195">
        <f t="shared" si="3"/>
        <v>0</v>
      </c>
      <c r="J32" s="195">
        <f t="shared" si="4"/>
        <v>0</v>
      </c>
      <c r="K32" s="195">
        <f t="shared" si="5"/>
        <v>0</v>
      </c>
      <c r="L32" s="792" t="e">
        <f t="shared" si="6"/>
        <v>#REF!</v>
      </c>
      <c r="M32" s="791" t="e">
        <f t="shared" si="7"/>
        <v>#REF!</v>
      </c>
      <c r="N32" s="192">
        <f t="shared" si="8"/>
        <v>0</v>
      </c>
    </row>
    <row r="33" spans="1:14" ht="18" customHeight="1">
      <c r="A33" s="193"/>
      <c r="B33" s="190"/>
      <c r="C33" s="947"/>
      <c r="D33" s="191"/>
      <c r="E33" s="3"/>
      <c r="F33" s="791"/>
      <c r="G33" s="791"/>
      <c r="H33" s="195"/>
      <c r="I33" s="195"/>
      <c r="J33" s="195"/>
      <c r="K33" s="195"/>
      <c r="L33" s="792"/>
      <c r="M33" s="791"/>
      <c r="N33" s="192"/>
    </row>
    <row r="34" spans="1:14" ht="18" customHeight="1">
      <c r="A34" s="193"/>
      <c r="B34" s="190"/>
      <c r="C34" s="947"/>
      <c r="D34" s="191"/>
      <c r="E34" s="3"/>
      <c r="F34" s="791"/>
      <c r="G34" s="791"/>
      <c r="H34" s="195"/>
      <c r="I34" s="195"/>
      <c r="J34" s="195"/>
      <c r="K34" s="195"/>
      <c r="L34" s="792"/>
      <c r="M34" s="791"/>
      <c r="N34" s="192"/>
    </row>
    <row r="35" spans="1:14" ht="18" customHeight="1">
      <c r="A35" s="193"/>
      <c r="B35" s="190"/>
      <c r="C35" s="947"/>
      <c r="D35" s="191"/>
      <c r="E35" s="3"/>
      <c r="F35" s="791"/>
      <c r="G35" s="791"/>
      <c r="H35" s="195"/>
      <c r="I35" s="195"/>
      <c r="J35" s="195"/>
      <c r="K35" s="195"/>
      <c r="L35" s="792"/>
      <c r="M35" s="791"/>
      <c r="N35" s="192"/>
    </row>
    <row r="36" spans="1:14" ht="18" customHeight="1">
      <c r="A36" s="193"/>
      <c r="B36" s="190"/>
      <c r="C36" s="947"/>
      <c r="D36" s="191"/>
      <c r="E36" s="3"/>
      <c r="F36" s="791"/>
      <c r="G36" s="791"/>
      <c r="H36" s="195"/>
      <c r="I36" s="195"/>
      <c r="J36" s="195"/>
      <c r="K36" s="195"/>
      <c r="L36" s="792"/>
      <c r="M36" s="791"/>
      <c r="N36" s="192"/>
    </row>
    <row r="37" spans="1:14" ht="18" customHeight="1">
      <c r="A37" s="193"/>
      <c r="B37" s="190"/>
      <c r="C37" s="947"/>
      <c r="D37" s="191"/>
      <c r="E37" s="3"/>
      <c r="F37" s="791"/>
      <c r="G37" s="791"/>
      <c r="H37" s="195"/>
      <c r="I37" s="195"/>
      <c r="J37" s="195"/>
      <c r="K37" s="195"/>
      <c r="L37" s="792"/>
      <c r="M37" s="791"/>
      <c r="N37" s="192"/>
    </row>
    <row r="38" spans="1:14" ht="18" customHeight="1">
      <c r="A38" s="193"/>
      <c r="B38" s="190"/>
      <c r="C38" s="947"/>
      <c r="D38" s="191"/>
      <c r="E38" s="3"/>
      <c r="F38" s="791"/>
      <c r="G38" s="791"/>
      <c r="H38" s="195"/>
      <c r="I38" s="195"/>
      <c r="J38" s="195"/>
      <c r="K38" s="195"/>
      <c r="L38" s="792"/>
      <c r="M38" s="791"/>
      <c r="N38" s="192"/>
    </row>
    <row r="39" spans="1:14" ht="18" customHeight="1">
      <c r="A39" s="193"/>
      <c r="B39" s="190"/>
      <c r="C39" s="947"/>
      <c r="D39" s="191"/>
      <c r="E39" s="3"/>
      <c r="F39" s="791"/>
      <c r="G39" s="791"/>
      <c r="H39" s="195"/>
      <c r="I39" s="195"/>
      <c r="J39" s="195"/>
      <c r="K39" s="195"/>
      <c r="L39" s="792"/>
      <c r="M39" s="791"/>
      <c r="N39" s="192"/>
    </row>
    <row r="40" spans="1:14" ht="18" customHeight="1">
      <c r="A40" s="193"/>
      <c r="B40" s="190"/>
      <c r="C40" s="947"/>
      <c r="D40" s="191"/>
      <c r="E40" s="3"/>
      <c r="F40" s="791"/>
      <c r="G40" s="791"/>
      <c r="H40" s="195"/>
      <c r="I40" s="195"/>
      <c r="J40" s="195"/>
      <c r="K40" s="195"/>
      <c r="L40" s="792"/>
      <c r="M40" s="791"/>
      <c r="N40" s="192"/>
    </row>
    <row r="41" spans="1:14" ht="18" customHeight="1">
      <c r="A41" s="193"/>
      <c r="B41" s="190"/>
      <c r="C41" s="947"/>
      <c r="D41" s="191"/>
      <c r="E41" s="3"/>
      <c r="F41" s="791"/>
      <c r="G41" s="791"/>
      <c r="H41" s="195"/>
      <c r="I41" s="195"/>
      <c r="J41" s="195"/>
      <c r="K41" s="195"/>
      <c r="L41" s="792"/>
      <c r="M41" s="791"/>
      <c r="N41" s="192"/>
    </row>
    <row r="42" spans="1:14" ht="18" customHeight="1">
      <c r="A42" s="193"/>
      <c r="B42" s="190"/>
      <c r="C42" s="947"/>
      <c r="D42" s="191"/>
      <c r="E42" s="3"/>
      <c r="F42" s="791"/>
      <c r="G42" s="791"/>
      <c r="H42" s="195"/>
      <c r="I42" s="195"/>
      <c r="J42" s="195"/>
      <c r="K42" s="195"/>
      <c r="L42" s="792"/>
      <c r="M42" s="791"/>
      <c r="N42" s="192"/>
    </row>
    <row r="43" spans="1:14" ht="18" customHeight="1">
      <c r="A43" s="193"/>
      <c r="B43" s="190"/>
      <c r="C43" s="947"/>
      <c r="D43" s="191"/>
      <c r="E43" s="3"/>
      <c r="F43" s="791"/>
      <c r="G43" s="791"/>
      <c r="H43" s="195"/>
      <c r="I43" s="195"/>
      <c r="J43" s="195"/>
      <c r="K43" s="195"/>
      <c r="L43" s="792"/>
      <c r="M43" s="791"/>
      <c r="N43" s="192"/>
    </row>
    <row r="44" spans="1:14" ht="18" customHeight="1">
      <c r="A44" s="193"/>
      <c r="B44" s="190"/>
      <c r="C44" s="947"/>
      <c r="D44" s="191"/>
      <c r="E44" s="3"/>
      <c r="F44" s="791"/>
      <c r="G44" s="791"/>
      <c r="H44" s="195"/>
      <c r="I44" s="195"/>
      <c r="J44" s="195"/>
      <c r="K44" s="195"/>
      <c r="L44" s="792"/>
      <c r="M44" s="791"/>
      <c r="N44" s="192"/>
    </row>
    <row r="45" spans="1:14" ht="18" customHeight="1">
      <c r="A45" s="193"/>
      <c r="B45" s="190"/>
      <c r="C45" s="947"/>
      <c r="D45" s="191"/>
      <c r="E45" s="3"/>
      <c r="F45" s="791"/>
      <c r="G45" s="791"/>
      <c r="H45" s="195"/>
      <c r="I45" s="195"/>
      <c r="J45" s="195"/>
      <c r="K45" s="195"/>
      <c r="L45" s="792"/>
      <c r="M45" s="791"/>
      <c r="N45" s="192"/>
    </row>
    <row r="46" spans="1:14" ht="18" customHeight="1">
      <c r="A46" s="193"/>
      <c r="B46" s="190"/>
      <c r="C46" s="947"/>
      <c r="D46" s="191"/>
      <c r="E46" s="3"/>
      <c r="F46" s="791"/>
      <c r="G46" s="791"/>
      <c r="H46" s="195"/>
      <c r="I46" s="195"/>
      <c r="J46" s="195"/>
      <c r="K46" s="195"/>
      <c r="L46" s="792"/>
      <c r="M46" s="791"/>
      <c r="N46" s="192"/>
    </row>
    <row r="47" spans="1:14" ht="18" customHeight="1">
      <c r="A47" s="193"/>
      <c r="B47" s="190"/>
      <c r="C47" s="947"/>
      <c r="D47" s="191"/>
      <c r="E47" s="3"/>
      <c r="F47" s="791"/>
      <c r="G47" s="791"/>
      <c r="H47" s="195"/>
      <c r="I47" s="195"/>
      <c r="J47" s="195"/>
      <c r="K47" s="195"/>
      <c r="L47" s="792"/>
      <c r="M47" s="791"/>
      <c r="N47" s="192"/>
    </row>
    <row r="48" spans="1:14" ht="18" customHeight="1">
      <c r="A48" s="193"/>
      <c r="B48" s="190"/>
      <c r="C48" s="947"/>
      <c r="D48" s="191"/>
      <c r="E48" s="3"/>
      <c r="F48" s="791"/>
      <c r="G48" s="791"/>
      <c r="H48" s="195"/>
      <c r="I48" s="195"/>
      <c r="J48" s="195"/>
      <c r="K48" s="195"/>
      <c r="L48" s="792"/>
      <c r="M48" s="791"/>
      <c r="N48" s="192"/>
    </row>
    <row r="49" spans="1:14" ht="18" customHeight="1">
      <c r="A49" s="193"/>
      <c r="B49" s="190"/>
      <c r="C49" s="947"/>
      <c r="D49" s="191"/>
      <c r="E49" s="3"/>
      <c r="F49" s="791"/>
      <c r="G49" s="791"/>
      <c r="H49" s="195"/>
      <c r="I49" s="195"/>
      <c r="J49" s="195"/>
      <c r="K49" s="195"/>
      <c r="L49" s="792"/>
      <c r="M49" s="791"/>
      <c r="N49" s="192"/>
    </row>
    <row r="50" spans="1:14" ht="18" customHeight="1">
      <c r="B50" s="1583" t="s">
        <v>1315</v>
      </c>
      <c r="C50" s="1584"/>
      <c r="D50" s="654"/>
      <c r="E50" s="655"/>
      <c r="F50" s="656"/>
      <c r="G50" s="818" t="e">
        <f>SUM(G7:G49)</f>
        <v>#REF!</v>
      </c>
      <c r="H50" s="656"/>
      <c r="I50" s="656">
        <f>SUM(I7:I49)</f>
        <v>0</v>
      </c>
      <c r="J50" s="656"/>
      <c r="K50" s="656">
        <f>SUM(K7:K49)</f>
        <v>0</v>
      </c>
      <c r="L50" s="657"/>
      <c r="M50" s="656" t="e">
        <f>SUM(G50,I50,K50)</f>
        <v>#REF!</v>
      </c>
      <c r="N50" s="658"/>
    </row>
    <row r="51" spans="1:14" ht="18" customHeight="1">
      <c r="B51" s="1754" t="s">
        <v>1567</v>
      </c>
      <c r="C51" s="1755"/>
      <c r="D51" s="158"/>
      <c r="E51" s="159"/>
      <c r="F51" s="649"/>
      <c r="G51" s="160"/>
      <c r="H51" s="160"/>
      <c r="I51" s="160"/>
      <c r="J51" s="160"/>
      <c r="K51" s="160"/>
      <c r="L51" s="161"/>
      <c r="M51" s="160"/>
      <c r="N51" s="676"/>
    </row>
    <row r="52" spans="1:14" ht="18" customHeight="1">
      <c r="A52" s="194" t="e">
        <f>#REF!</f>
        <v>#REF!</v>
      </c>
      <c r="B52" s="190" t="e">
        <f>VLOOKUP($A52,#REF!,2,FALSE)</f>
        <v>#REF!</v>
      </c>
      <c r="C52" s="947" t="e">
        <f>VLOOKUP($A52,#REF!,3,FALSE)</f>
        <v>#REF!</v>
      </c>
      <c r="D52" s="191" t="e">
        <f>VLOOKUP($A52,#REF!,4,FALSE)</f>
        <v>#REF!</v>
      </c>
      <c r="E52" s="3">
        <f t="shared" ref="E52:E66" si="9">IF(ISERROR(VLOOKUP($A52,인입집계,10,FALSE)),0,VLOOKUP($A52,인입집계,10,FALSE))</f>
        <v>0</v>
      </c>
      <c r="F52" s="195" t="e">
        <f>INT(IF(ISERROR(VLOOKUP($A52,일위11,10,FALSE)),VLOOKUP($A52,#REF!,11,FALSE),VLOOKUP($A52,일위11,10,FALSE)))*$P$3</f>
        <v>#REF!</v>
      </c>
      <c r="G52" s="195" t="e">
        <f t="shared" ref="G52:G65" si="10">INT(E52*F52)</f>
        <v>#REF!</v>
      </c>
      <c r="H52" s="195">
        <f t="shared" ref="H52:H66" si="11">INT(IF(ISERROR(VLOOKUP($A52,일위11,12,FALSE)),0,VLOOKUP($A52,일위11,12,FALSE)))*$P$3</f>
        <v>0</v>
      </c>
      <c r="I52" s="195">
        <f t="shared" ref="I52:I65" si="12">INT(E52*H52)</f>
        <v>0</v>
      </c>
      <c r="J52" s="195">
        <f t="shared" ref="J52:J66" si="13">INT(IF(ISERROR(VLOOKUP($A52,일위11,14,FALSE)),0,VLOOKUP($A52,일위11,14,FALSE)))*$P$3</f>
        <v>0</v>
      </c>
      <c r="K52" s="195">
        <f t="shared" ref="K52:K65" si="14">INT(E52*J52)</f>
        <v>0</v>
      </c>
      <c r="L52" s="189" t="e">
        <f t="shared" ref="L52:L65" si="15">F52+H52+J52</f>
        <v>#REF!</v>
      </c>
      <c r="M52" s="195" t="e">
        <f t="shared" ref="M52:M65" si="16">INT(G52+I52+K52)</f>
        <v>#REF!</v>
      </c>
      <c r="N52" s="192">
        <f t="shared" ref="N52:N66" si="17">IF(ISERROR(VLOOKUP($A52,일위11,4,FALSE)),0,VLOOKUP($A52,일위11,4,FALSE))</f>
        <v>0</v>
      </c>
    </row>
    <row r="53" spans="1:14" ht="18" customHeight="1">
      <c r="A53" s="194" t="e">
        <f>#REF!</f>
        <v>#REF!</v>
      </c>
      <c r="B53" s="190" t="e">
        <f>VLOOKUP($A53,#REF!,2,FALSE)</f>
        <v>#REF!</v>
      </c>
      <c r="C53" s="947" t="e">
        <f>VLOOKUP($A53,#REF!,3,FALSE)</f>
        <v>#REF!</v>
      </c>
      <c r="D53" s="191" t="e">
        <f>VLOOKUP($A53,#REF!,4,FALSE)</f>
        <v>#REF!</v>
      </c>
      <c r="E53" s="3">
        <f t="shared" si="9"/>
        <v>0</v>
      </c>
      <c r="F53" s="195" t="e">
        <f>INT(IF(ISERROR(VLOOKUP($A53,일위11,10,FALSE)),VLOOKUP($A53,#REF!,11,FALSE),VLOOKUP($A53,일위11,10,FALSE)))*$P$3</f>
        <v>#REF!</v>
      </c>
      <c r="G53" s="195" t="e">
        <f t="shared" si="10"/>
        <v>#REF!</v>
      </c>
      <c r="H53" s="195">
        <f t="shared" si="11"/>
        <v>0</v>
      </c>
      <c r="I53" s="195">
        <f t="shared" si="12"/>
        <v>0</v>
      </c>
      <c r="J53" s="195">
        <f t="shared" si="13"/>
        <v>0</v>
      </c>
      <c r="K53" s="195">
        <f t="shared" si="14"/>
        <v>0</v>
      </c>
      <c r="L53" s="189" t="e">
        <f t="shared" si="15"/>
        <v>#REF!</v>
      </c>
      <c r="M53" s="195" t="e">
        <f t="shared" si="16"/>
        <v>#REF!</v>
      </c>
      <c r="N53" s="192">
        <f t="shared" si="17"/>
        <v>0</v>
      </c>
    </row>
    <row r="54" spans="1:14" ht="18" customHeight="1">
      <c r="A54" s="194" t="e">
        <f>#REF!</f>
        <v>#REF!</v>
      </c>
      <c r="B54" s="190" t="e">
        <f>VLOOKUP($A54,#REF!,2,FALSE)</f>
        <v>#REF!</v>
      </c>
      <c r="C54" s="947" t="e">
        <f>VLOOKUP($A54,#REF!,3,FALSE)</f>
        <v>#REF!</v>
      </c>
      <c r="D54" s="191" t="e">
        <f>VLOOKUP($A54,#REF!,4,FALSE)</f>
        <v>#REF!</v>
      </c>
      <c r="E54" s="3">
        <f t="shared" si="9"/>
        <v>0</v>
      </c>
      <c r="F54" s="195" t="e">
        <f>INT(IF(ISERROR(VLOOKUP($A54,일위11,10,FALSE)),VLOOKUP($A54,#REF!,11,FALSE),VLOOKUP($A54,일위11,10,FALSE)))*$P$3</f>
        <v>#REF!</v>
      </c>
      <c r="G54" s="195" t="e">
        <f t="shared" si="10"/>
        <v>#REF!</v>
      </c>
      <c r="H54" s="195">
        <f t="shared" si="11"/>
        <v>0</v>
      </c>
      <c r="I54" s="195">
        <f t="shared" si="12"/>
        <v>0</v>
      </c>
      <c r="J54" s="195">
        <f t="shared" si="13"/>
        <v>0</v>
      </c>
      <c r="K54" s="195">
        <f t="shared" si="14"/>
        <v>0</v>
      </c>
      <c r="L54" s="189" t="e">
        <f t="shared" si="15"/>
        <v>#REF!</v>
      </c>
      <c r="M54" s="195" t="e">
        <f t="shared" si="16"/>
        <v>#REF!</v>
      </c>
      <c r="N54" s="192">
        <f t="shared" si="17"/>
        <v>0</v>
      </c>
    </row>
    <row r="55" spans="1:14" ht="18" customHeight="1">
      <c r="A55" s="194" t="e">
        <f>#REF!</f>
        <v>#REF!</v>
      </c>
      <c r="B55" s="190" t="e">
        <f>VLOOKUP($A55,#REF!,2,FALSE)</f>
        <v>#REF!</v>
      </c>
      <c r="C55" s="947" t="e">
        <f>VLOOKUP($A55,#REF!,3,FALSE)</f>
        <v>#REF!</v>
      </c>
      <c r="D55" s="191" t="e">
        <f>VLOOKUP($A55,#REF!,4,FALSE)</f>
        <v>#REF!</v>
      </c>
      <c r="E55" s="3">
        <f t="shared" si="9"/>
        <v>0</v>
      </c>
      <c r="F55" s="195" t="e">
        <f>INT(IF(ISERROR(VLOOKUP($A55,일위11,10,FALSE)),VLOOKUP($A55,#REF!,11,FALSE),VLOOKUP($A55,일위11,10,FALSE)))*$P$3</f>
        <v>#REF!</v>
      </c>
      <c r="G55" s="195" t="e">
        <f t="shared" si="10"/>
        <v>#REF!</v>
      </c>
      <c r="H55" s="195">
        <f t="shared" si="11"/>
        <v>0</v>
      </c>
      <c r="I55" s="195">
        <f t="shared" si="12"/>
        <v>0</v>
      </c>
      <c r="J55" s="195">
        <f t="shared" si="13"/>
        <v>0</v>
      </c>
      <c r="K55" s="195">
        <f t="shared" si="14"/>
        <v>0</v>
      </c>
      <c r="L55" s="189" t="e">
        <f t="shared" si="15"/>
        <v>#REF!</v>
      </c>
      <c r="M55" s="195" t="e">
        <f t="shared" si="16"/>
        <v>#REF!</v>
      </c>
      <c r="N55" s="192">
        <f t="shared" si="17"/>
        <v>0</v>
      </c>
    </row>
    <row r="56" spans="1:14" ht="18" customHeight="1">
      <c r="A56" s="194" t="e">
        <f>#REF!</f>
        <v>#REF!</v>
      </c>
      <c r="B56" s="190" t="e">
        <f>VLOOKUP($A56,#REF!,2,FALSE)</f>
        <v>#REF!</v>
      </c>
      <c r="C56" s="947" t="e">
        <f>VLOOKUP($A56,#REF!,3,FALSE)</f>
        <v>#REF!</v>
      </c>
      <c r="D56" s="191" t="e">
        <f>VLOOKUP($A56,#REF!,4,FALSE)</f>
        <v>#REF!</v>
      </c>
      <c r="E56" s="3">
        <f t="shared" si="9"/>
        <v>0</v>
      </c>
      <c r="F56" s="195" t="e">
        <f>INT(IF(ISERROR(VLOOKUP($A56,일위11,10,FALSE)),VLOOKUP($A56,#REF!,11,FALSE),VLOOKUP($A56,일위11,10,FALSE)))*$P$3</f>
        <v>#REF!</v>
      </c>
      <c r="G56" s="195" t="e">
        <f t="shared" si="10"/>
        <v>#REF!</v>
      </c>
      <c r="H56" s="195">
        <f t="shared" si="11"/>
        <v>0</v>
      </c>
      <c r="I56" s="195">
        <f t="shared" si="12"/>
        <v>0</v>
      </c>
      <c r="J56" s="195">
        <f t="shared" si="13"/>
        <v>0</v>
      </c>
      <c r="K56" s="195">
        <f t="shared" si="14"/>
        <v>0</v>
      </c>
      <c r="L56" s="189" t="e">
        <f t="shared" si="15"/>
        <v>#REF!</v>
      </c>
      <c r="M56" s="195" t="e">
        <f t="shared" si="16"/>
        <v>#REF!</v>
      </c>
      <c r="N56" s="192">
        <f t="shared" si="17"/>
        <v>0</v>
      </c>
    </row>
    <row r="57" spans="1:14" ht="18" customHeight="1">
      <c r="A57" s="194" t="e">
        <f>#REF!</f>
        <v>#REF!</v>
      </c>
      <c r="B57" s="190" t="e">
        <f>VLOOKUP($A57,#REF!,2,FALSE)</f>
        <v>#REF!</v>
      </c>
      <c r="C57" s="947" t="e">
        <f>VLOOKUP($A57,#REF!,3,FALSE)</f>
        <v>#REF!</v>
      </c>
      <c r="D57" s="191" t="e">
        <f>VLOOKUP($A57,#REF!,4,FALSE)</f>
        <v>#REF!</v>
      </c>
      <c r="E57" s="3">
        <f t="shared" si="9"/>
        <v>0</v>
      </c>
      <c r="F57" s="195" t="e">
        <f>INT(IF(ISERROR(VLOOKUP($A57,일위11,10,FALSE)),VLOOKUP($A57,#REF!,11,FALSE),VLOOKUP($A57,일위11,10,FALSE)))*$P$3</f>
        <v>#REF!</v>
      </c>
      <c r="G57" s="195" t="e">
        <f t="shared" si="10"/>
        <v>#REF!</v>
      </c>
      <c r="H57" s="195">
        <f>INT(IF(ISERROR(VLOOKUP($A57,일위11,12,FALSE)),0,VLOOKUP($A57,일위11,12,FALSE)))*$P$3</f>
        <v>0</v>
      </c>
      <c r="I57" s="195">
        <f t="shared" si="12"/>
        <v>0</v>
      </c>
      <c r="J57" s="195">
        <f>INT(IF(ISERROR(VLOOKUP($A57,일위11,14,FALSE)),0,VLOOKUP($A57,일위11,14,FALSE)))*$P$3</f>
        <v>0</v>
      </c>
      <c r="K57" s="195">
        <f t="shared" si="14"/>
        <v>0</v>
      </c>
      <c r="L57" s="189" t="e">
        <f t="shared" si="15"/>
        <v>#REF!</v>
      </c>
      <c r="M57" s="195" t="e">
        <f t="shared" si="16"/>
        <v>#REF!</v>
      </c>
      <c r="N57" s="192">
        <f>IF(ISERROR(VLOOKUP($A57,일위11,4,FALSE)),0,VLOOKUP($A57,일위11,4,FALSE))</f>
        <v>0</v>
      </c>
    </row>
    <row r="58" spans="1:14" ht="18" customHeight="1">
      <c r="A58" s="194" t="e">
        <f>#REF!</f>
        <v>#REF!</v>
      </c>
      <c r="B58" s="190" t="e">
        <f>VLOOKUP($A58,#REF!,2,FALSE)</f>
        <v>#REF!</v>
      </c>
      <c r="C58" s="947" t="e">
        <f>VLOOKUP($A58,#REF!,3,FALSE)</f>
        <v>#REF!</v>
      </c>
      <c r="D58" s="191" t="e">
        <f>VLOOKUP($A58,#REF!,4,FALSE)</f>
        <v>#REF!</v>
      </c>
      <c r="E58" s="3">
        <f t="shared" si="9"/>
        <v>0</v>
      </c>
      <c r="F58" s="195" t="e">
        <f>INT(IF(ISERROR(VLOOKUP($A58,일위11,10,FALSE)),VLOOKUP($A58,#REF!,11,FALSE),VLOOKUP($A58,일위11,10,FALSE)))*$P$3</f>
        <v>#REF!</v>
      </c>
      <c r="G58" s="195" t="e">
        <f t="shared" si="10"/>
        <v>#REF!</v>
      </c>
      <c r="H58" s="195">
        <f t="shared" si="11"/>
        <v>0</v>
      </c>
      <c r="I58" s="195">
        <f t="shared" si="12"/>
        <v>0</v>
      </c>
      <c r="J58" s="195">
        <f t="shared" si="13"/>
        <v>0</v>
      </c>
      <c r="K58" s="195">
        <f t="shared" si="14"/>
        <v>0</v>
      </c>
      <c r="L58" s="189" t="e">
        <f t="shared" si="15"/>
        <v>#REF!</v>
      </c>
      <c r="M58" s="195" t="e">
        <f t="shared" si="16"/>
        <v>#REF!</v>
      </c>
      <c r="N58" s="192">
        <f t="shared" si="17"/>
        <v>0</v>
      </c>
    </row>
    <row r="59" spans="1:14" ht="18" customHeight="1">
      <c r="A59" s="194" t="e">
        <f>#REF!</f>
        <v>#REF!</v>
      </c>
      <c r="B59" s="190" t="e">
        <f>VLOOKUP($A59,#REF!,2,FALSE)</f>
        <v>#REF!</v>
      </c>
      <c r="C59" s="947" t="e">
        <f>VLOOKUP($A59,#REF!,3,FALSE)</f>
        <v>#REF!</v>
      </c>
      <c r="D59" s="191" t="e">
        <f>VLOOKUP($A59,#REF!,4,FALSE)</f>
        <v>#REF!</v>
      </c>
      <c r="E59" s="3">
        <f t="shared" si="9"/>
        <v>0</v>
      </c>
      <c r="F59" s="195" t="e">
        <f>INT(IF(ISERROR(VLOOKUP($A59,일위11,10,FALSE)),VLOOKUP($A59,#REF!,11,FALSE),VLOOKUP($A59,일위11,10,FALSE)))*$P$3</f>
        <v>#REF!</v>
      </c>
      <c r="G59" s="195" t="e">
        <f t="shared" si="10"/>
        <v>#REF!</v>
      </c>
      <c r="H59" s="195">
        <f t="shared" si="11"/>
        <v>0</v>
      </c>
      <c r="I59" s="195">
        <f t="shared" si="12"/>
        <v>0</v>
      </c>
      <c r="J59" s="195">
        <f t="shared" si="13"/>
        <v>0</v>
      </c>
      <c r="K59" s="195">
        <f t="shared" si="14"/>
        <v>0</v>
      </c>
      <c r="L59" s="189" t="e">
        <f t="shared" si="15"/>
        <v>#REF!</v>
      </c>
      <c r="M59" s="195" t="e">
        <f t="shared" si="16"/>
        <v>#REF!</v>
      </c>
      <c r="N59" s="192">
        <f t="shared" si="17"/>
        <v>0</v>
      </c>
    </row>
    <row r="60" spans="1:14" ht="18" customHeight="1">
      <c r="A60" s="194" t="e">
        <f>#REF!</f>
        <v>#REF!</v>
      </c>
      <c r="B60" s="190" t="e">
        <f>VLOOKUP($A60,#REF!,2,FALSE)</f>
        <v>#REF!</v>
      </c>
      <c r="C60" s="947" t="e">
        <f>VLOOKUP($A60,#REF!,3,FALSE)</f>
        <v>#REF!</v>
      </c>
      <c r="D60" s="191" t="e">
        <f>VLOOKUP($A60,#REF!,4,FALSE)</f>
        <v>#REF!</v>
      </c>
      <c r="E60" s="3">
        <f t="shared" si="9"/>
        <v>0</v>
      </c>
      <c r="F60" s="195" t="e">
        <f>INT(IF(ISERROR(VLOOKUP($A60,일위11,10,FALSE)),VLOOKUP($A60,#REF!,11,FALSE),VLOOKUP($A60,일위11,10,FALSE)))*$P$3</f>
        <v>#REF!</v>
      </c>
      <c r="G60" s="195" t="e">
        <f t="shared" si="10"/>
        <v>#REF!</v>
      </c>
      <c r="H60" s="195">
        <f t="shared" si="11"/>
        <v>0</v>
      </c>
      <c r="I60" s="195">
        <f t="shared" si="12"/>
        <v>0</v>
      </c>
      <c r="J60" s="195">
        <f t="shared" si="13"/>
        <v>0</v>
      </c>
      <c r="K60" s="195">
        <f t="shared" si="14"/>
        <v>0</v>
      </c>
      <c r="L60" s="189" t="e">
        <f t="shared" si="15"/>
        <v>#REF!</v>
      </c>
      <c r="M60" s="195" t="e">
        <f t="shared" si="16"/>
        <v>#REF!</v>
      </c>
      <c r="N60" s="192">
        <f t="shared" si="17"/>
        <v>0</v>
      </c>
    </row>
    <row r="61" spans="1:14" ht="18" customHeight="1">
      <c r="A61" s="194" t="e">
        <f>#REF!</f>
        <v>#REF!</v>
      </c>
      <c r="B61" s="190" t="e">
        <f>VLOOKUP($A61,#REF!,2,FALSE)</f>
        <v>#REF!</v>
      </c>
      <c r="C61" s="947" t="e">
        <f>VLOOKUP($A61,#REF!,3,FALSE)</f>
        <v>#REF!</v>
      </c>
      <c r="D61" s="191" t="e">
        <f>VLOOKUP($A61,#REF!,4,FALSE)</f>
        <v>#REF!</v>
      </c>
      <c r="E61" s="3">
        <f t="shared" si="9"/>
        <v>0</v>
      </c>
      <c r="F61" s="195" t="e">
        <f>INT(IF(ISERROR(VLOOKUP($A61,일위11,10,FALSE)),VLOOKUP($A61,#REF!,11,FALSE),VLOOKUP($A61,일위11,10,FALSE)))*$P$3</f>
        <v>#REF!</v>
      </c>
      <c r="G61" s="195" t="e">
        <f t="shared" si="10"/>
        <v>#REF!</v>
      </c>
      <c r="H61" s="195">
        <f t="shared" si="11"/>
        <v>0</v>
      </c>
      <c r="I61" s="195">
        <f t="shared" si="12"/>
        <v>0</v>
      </c>
      <c r="J61" s="195">
        <f t="shared" si="13"/>
        <v>0</v>
      </c>
      <c r="K61" s="195">
        <f t="shared" si="14"/>
        <v>0</v>
      </c>
      <c r="L61" s="189" t="e">
        <f t="shared" si="15"/>
        <v>#REF!</v>
      </c>
      <c r="M61" s="195" t="e">
        <f t="shared" si="16"/>
        <v>#REF!</v>
      </c>
      <c r="N61" s="192">
        <f t="shared" si="17"/>
        <v>0</v>
      </c>
    </row>
    <row r="62" spans="1:14" ht="18" customHeight="1">
      <c r="A62" s="194" t="e">
        <f>#REF!</f>
        <v>#REF!</v>
      </c>
      <c r="B62" s="190" t="e">
        <f>VLOOKUP($A62,#REF!,2,FALSE)</f>
        <v>#REF!</v>
      </c>
      <c r="C62" s="947" t="e">
        <f>VLOOKUP($A62,#REF!,3,FALSE)</f>
        <v>#REF!</v>
      </c>
      <c r="D62" s="191" t="e">
        <f>VLOOKUP($A62,#REF!,4,FALSE)</f>
        <v>#REF!</v>
      </c>
      <c r="E62" s="3">
        <f t="shared" si="9"/>
        <v>0</v>
      </c>
      <c r="F62" s="195" t="e">
        <f>INT(IF(ISERROR(VLOOKUP($A62,일위11,10,FALSE)),VLOOKUP($A62,#REF!,11,FALSE),VLOOKUP($A62,일위11,10,FALSE)))*$P$3</f>
        <v>#REF!</v>
      </c>
      <c r="G62" s="195" t="e">
        <f t="shared" si="10"/>
        <v>#REF!</v>
      </c>
      <c r="H62" s="195">
        <f t="shared" si="11"/>
        <v>0</v>
      </c>
      <c r="I62" s="195">
        <f t="shared" si="12"/>
        <v>0</v>
      </c>
      <c r="J62" s="195">
        <f t="shared" si="13"/>
        <v>0</v>
      </c>
      <c r="K62" s="195">
        <f t="shared" si="14"/>
        <v>0</v>
      </c>
      <c r="L62" s="189" t="e">
        <f t="shared" si="15"/>
        <v>#REF!</v>
      </c>
      <c r="M62" s="195" t="e">
        <f t="shared" si="16"/>
        <v>#REF!</v>
      </c>
      <c r="N62" s="192">
        <f t="shared" si="17"/>
        <v>0</v>
      </c>
    </row>
    <row r="63" spans="1:14" ht="18" customHeight="1">
      <c r="A63" s="194" t="e">
        <f>#REF!</f>
        <v>#REF!</v>
      </c>
      <c r="B63" s="190" t="e">
        <f>VLOOKUP($A63,#REF!,2,FALSE)</f>
        <v>#REF!</v>
      </c>
      <c r="C63" s="947" t="e">
        <f>VLOOKUP($A63,#REF!,3,FALSE)</f>
        <v>#REF!</v>
      </c>
      <c r="D63" s="191" t="e">
        <f>VLOOKUP($A63,#REF!,4,FALSE)</f>
        <v>#REF!</v>
      </c>
      <c r="E63" s="3">
        <f t="shared" si="9"/>
        <v>0</v>
      </c>
      <c r="F63" s="195" t="e">
        <f>INT(IF(ISERROR(VLOOKUP($A63,일위11,10,FALSE)),VLOOKUP($A63,#REF!,11,FALSE),VLOOKUP($A63,일위11,10,FALSE)))*$P$3</f>
        <v>#REF!</v>
      </c>
      <c r="G63" s="195" t="e">
        <f t="shared" si="10"/>
        <v>#REF!</v>
      </c>
      <c r="H63" s="195">
        <f t="shared" si="11"/>
        <v>0</v>
      </c>
      <c r="I63" s="195">
        <f t="shared" si="12"/>
        <v>0</v>
      </c>
      <c r="J63" s="195">
        <f t="shared" si="13"/>
        <v>0</v>
      </c>
      <c r="K63" s="195">
        <f t="shared" si="14"/>
        <v>0</v>
      </c>
      <c r="L63" s="189" t="e">
        <f t="shared" si="15"/>
        <v>#REF!</v>
      </c>
      <c r="M63" s="195" t="e">
        <f t="shared" si="16"/>
        <v>#REF!</v>
      </c>
      <c r="N63" s="192">
        <f t="shared" si="17"/>
        <v>0</v>
      </c>
    </row>
    <row r="64" spans="1:14" ht="18" customHeight="1">
      <c r="A64" s="193" t="e">
        <f>#REF!</f>
        <v>#REF!</v>
      </c>
      <c r="B64" s="190" t="e">
        <f>VLOOKUP($A64,#REF!,2,FALSE)</f>
        <v>#REF!</v>
      </c>
      <c r="C64" s="947" t="e">
        <f>VLOOKUP($A64,#REF!,3,FALSE)</f>
        <v>#REF!</v>
      </c>
      <c r="D64" s="191" t="e">
        <f>VLOOKUP($A64,#REF!,4,FALSE)</f>
        <v>#REF!</v>
      </c>
      <c r="E64" s="3">
        <f t="shared" si="9"/>
        <v>0</v>
      </c>
      <c r="F64" s="195" t="e">
        <f>INT(IF(ISERROR(VLOOKUP($A64,일위11,10,FALSE)),VLOOKUP($A64,#REF!,11,FALSE),VLOOKUP($A64,일위11,10,FALSE)))*$P$3</f>
        <v>#REF!</v>
      </c>
      <c r="G64" s="195" t="e">
        <f t="shared" si="10"/>
        <v>#REF!</v>
      </c>
      <c r="H64" s="195">
        <f t="shared" si="11"/>
        <v>0</v>
      </c>
      <c r="I64" s="195">
        <f t="shared" si="12"/>
        <v>0</v>
      </c>
      <c r="J64" s="195">
        <f t="shared" si="13"/>
        <v>0</v>
      </c>
      <c r="K64" s="195">
        <f t="shared" si="14"/>
        <v>0</v>
      </c>
      <c r="L64" s="189" t="e">
        <f t="shared" si="15"/>
        <v>#REF!</v>
      </c>
      <c r="M64" s="195" t="e">
        <f t="shared" si="16"/>
        <v>#REF!</v>
      </c>
      <c r="N64" s="192">
        <f t="shared" si="17"/>
        <v>0</v>
      </c>
    </row>
    <row r="65" spans="1:14" ht="18" customHeight="1">
      <c r="A65" s="193" t="e">
        <f>#REF!</f>
        <v>#REF!</v>
      </c>
      <c r="B65" s="190" t="e">
        <f>VLOOKUP($A65,#REF!,2,FALSE)</f>
        <v>#REF!</v>
      </c>
      <c r="C65" s="947" t="e">
        <f>VLOOKUP($A65,#REF!,3,FALSE)</f>
        <v>#REF!</v>
      </c>
      <c r="D65" s="191" t="e">
        <f>VLOOKUP($A65,#REF!,4,FALSE)</f>
        <v>#REF!</v>
      </c>
      <c r="E65" s="3">
        <f t="shared" si="9"/>
        <v>0</v>
      </c>
      <c r="F65" s="195" t="e">
        <f>INT(IF(ISERROR(VLOOKUP($A65,일위11,10,FALSE)),VLOOKUP($A65,#REF!,11,FALSE),VLOOKUP($A65,일위11,10,FALSE)))*$P$3</f>
        <v>#REF!</v>
      </c>
      <c r="G65" s="195" t="e">
        <f t="shared" si="10"/>
        <v>#REF!</v>
      </c>
      <c r="H65" s="195">
        <f t="shared" si="11"/>
        <v>0</v>
      </c>
      <c r="I65" s="195">
        <f t="shared" si="12"/>
        <v>0</v>
      </c>
      <c r="J65" s="195">
        <f t="shared" si="13"/>
        <v>0</v>
      </c>
      <c r="K65" s="195">
        <f t="shared" si="14"/>
        <v>0</v>
      </c>
      <c r="L65" s="189" t="e">
        <f t="shared" si="15"/>
        <v>#REF!</v>
      </c>
      <c r="M65" s="195" t="e">
        <f t="shared" si="16"/>
        <v>#REF!</v>
      </c>
      <c r="N65" s="192">
        <f t="shared" si="17"/>
        <v>0</v>
      </c>
    </row>
    <row r="66" spans="1:14" ht="18" customHeight="1">
      <c r="A66" s="937" t="e">
        <f>#REF!</f>
        <v>#REF!</v>
      </c>
      <c r="B66" s="190" t="e">
        <f>VLOOKUP($A66,#REF!,2,FALSE)</f>
        <v>#REF!</v>
      </c>
      <c r="C66" s="947" t="e">
        <f>VLOOKUP($A66,#REF!,3,FALSE)</f>
        <v>#REF!</v>
      </c>
      <c r="D66" s="191" t="e">
        <f>VLOOKUP($A66,#REF!,4,FALSE)</f>
        <v>#REF!</v>
      </c>
      <c r="E66" s="3">
        <f t="shared" si="9"/>
        <v>0</v>
      </c>
      <c r="F66" s="195" t="e">
        <f>INT(IF(ISERROR(VLOOKUP($A66,일위11,10,FALSE)),VLOOKUP($A66,#REF!,11,FALSE),VLOOKUP($A66,일위11,10,FALSE)))*$P$3</f>
        <v>#REF!</v>
      </c>
      <c r="G66" s="195" t="e">
        <f t="shared" ref="G66" si="18">INT(E66*F66)</f>
        <v>#REF!</v>
      </c>
      <c r="H66" s="195">
        <f t="shared" si="11"/>
        <v>0</v>
      </c>
      <c r="I66" s="195">
        <f t="shared" ref="I66" si="19">INT(E66*H66)</f>
        <v>0</v>
      </c>
      <c r="J66" s="195">
        <f t="shared" si="13"/>
        <v>0</v>
      </c>
      <c r="K66" s="195">
        <f t="shared" ref="K66" si="20">INT(E66*J66)</f>
        <v>0</v>
      </c>
      <c r="L66" s="189" t="e">
        <f t="shared" ref="L66" si="21">F66+H66+J66</f>
        <v>#REF!</v>
      </c>
      <c r="M66" s="195" t="e">
        <f t="shared" ref="M66" si="22">INT(G66+I66+K66)</f>
        <v>#REF!</v>
      </c>
      <c r="N66" s="192">
        <f t="shared" si="17"/>
        <v>0</v>
      </c>
    </row>
    <row r="67" spans="1:14" ht="18" customHeight="1">
      <c r="A67" s="193"/>
      <c r="B67" s="190"/>
      <c r="C67" s="947"/>
      <c r="D67" s="191"/>
      <c r="E67" s="3"/>
      <c r="F67" s="195"/>
      <c r="G67" s="195"/>
      <c r="H67" s="195"/>
      <c r="I67" s="195"/>
      <c r="J67" s="195"/>
      <c r="K67" s="195"/>
      <c r="L67" s="189"/>
      <c r="M67" s="195"/>
      <c r="N67" s="192"/>
    </row>
    <row r="68" spans="1:14" ht="18" customHeight="1">
      <c r="A68" s="193"/>
      <c r="B68" s="190"/>
      <c r="C68" s="947"/>
      <c r="D68" s="191"/>
      <c r="E68" s="3"/>
      <c r="F68" s="195"/>
      <c r="G68" s="195"/>
      <c r="H68" s="195"/>
      <c r="I68" s="195"/>
      <c r="J68" s="195"/>
      <c r="K68" s="195"/>
      <c r="L68" s="189"/>
      <c r="M68" s="195"/>
      <c r="N68" s="192"/>
    </row>
    <row r="69" spans="1:14" ht="18" customHeight="1">
      <c r="A69" s="193"/>
      <c r="B69" s="190"/>
      <c r="C69" s="947"/>
      <c r="D69" s="191"/>
      <c r="E69" s="3"/>
      <c r="F69" s="195"/>
      <c r="G69" s="195"/>
      <c r="H69" s="195"/>
      <c r="I69" s="195"/>
      <c r="J69" s="195"/>
      <c r="K69" s="195"/>
      <c r="L69" s="189"/>
      <c r="M69" s="195"/>
      <c r="N69" s="192"/>
    </row>
    <row r="70" spans="1:14" ht="18" customHeight="1">
      <c r="A70" s="193"/>
      <c r="B70" s="190"/>
      <c r="C70" s="947"/>
      <c r="D70" s="191"/>
      <c r="E70" s="3"/>
      <c r="F70" s="195"/>
      <c r="G70" s="195"/>
      <c r="H70" s="195"/>
      <c r="I70" s="195"/>
      <c r="J70" s="195"/>
      <c r="K70" s="195"/>
      <c r="L70" s="189"/>
      <c r="M70" s="195"/>
      <c r="N70" s="192"/>
    </row>
    <row r="71" spans="1:14" ht="18" customHeight="1">
      <c r="A71" s="193"/>
      <c r="B71" s="190"/>
      <c r="C71" s="947"/>
      <c r="D71" s="191"/>
      <c r="E71" s="3"/>
      <c r="F71" s="195"/>
      <c r="G71" s="195"/>
      <c r="H71" s="195"/>
      <c r="I71" s="195"/>
      <c r="J71" s="195"/>
      <c r="K71" s="195"/>
      <c r="L71" s="189"/>
      <c r="M71" s="195"/>
      <c r="N71" s="192"/>
    </row>
    <row r="72" spans="1:14" ht="18" customHeight="1">
      <c r="A72" s="193"/>
      <c r="B72" s="190"/>
      <c r="C72" s="947"/>
      <c r="D72" s="191"/>
      <c r="E72" s="3"/>
      <c r="F72" s="195"/>
      <c r="G72" s="195"/>
      <c r="H72" s="195"/>
      <c r="I72" s="195"/>
      <c r="J72" s="195"/>
      <c r="K72" s="195"/>
      <c r="L72" s="189"/>
      <c r="M72" s="195"/>
      <c r="N72" s="192"/>
    </row>
    <row r="73" spans="1:14" ht="18" customHeight="1">
      <c r="B73" s="1583" t="s">
        <v>1315</v>
      </c>
      <c r="C73" s="1584"/>
      <c r="D73" s="654"/>
      <c r="E73" s="655"/>
      <c r="F73" s="656"/>
      <c r="G73" s="656" t="e">
        <f>SUM(G52:G72)</f>
        <v>#REF!</v>
      </c>
      <c r="H73" s="656"/>
      <c r="I73" s="656">
        <f>SUM(I52:I72)</f>
        <v>0</v>
      </c>
      <c r="J73" s="656"/>
      <c r="K73" s="656">
        <f>SUM(K52:K72)</f>
        <v>0</v>
      </c>
      <c r="L73" s="657"/>
      <c r="M73" s="656" t="e">
        <f>SUM(G73,I73,K73)</f>
        <v>#REF!</v>
      </c>
      <c r="N73" s="658"/>
    </row>
    <row r="74" spans="1:14" ht="18" customHeight="1">
      <c r="B74" s="1754" t="s">
        <v>1568</v>
      </c>
      <c r="C74" s="1755"/>
      <c r="D74" s="158"/>
      <c r="E74" s="159"/>
      <c r="F74" s="649"/>
      <c r="G74" s="160"/>
      <c r="H74" s="160"/>
      <c r="I74" s="160"/>
      <c r="J74" s="160"/>
      <c r="K74" s="160"/>
      <c r="L74" s="161"/>
      <c r="M74" s="160"/>
      <c r="N74" s="676"/>
    </row>
    <row r="75" spans="1:14" ht="18" customHeight="1">
      <c r="A75" s="193" t="e">
        <f>#REF!</f>
        <v>#REF!</v>
      </c>
      <c r="B75" s="190" t="e">
        <f>VLOOKUP($A75,#REF!,2,FALSE)</f>
        <v>#REF!</v>
      </c>
      <c r="C75" s="947" t="e">
        <f>VLOOKUP($A75,#REF!,3,FALSE)</f>
        <v>#REF!</v>
      </c>
      <c r="D75" s="191" t="e">
        <f>VLOOKUP($A75,#REF!,4,FALSE)</f>
        <v>#REF!</v>
      </c>
      <c r="E75" s="3">
        <f t="shared" ref="E75:E106" si="23">IF(ISERROR(VLOOKUP($A75,신설집계,10,FALSE)),0,VLOOKUP($A75,신설집계,10,FALSE))</f>
        <v>0</v>
      </c>
      <c r="F75" s="195" t="e">
        <f>INT(IF(ISERROR(VLOOKUP($A75,일위11,10,FALSE)),VLOOKUP($A75,#REF!,11,FALSE),VLOOKUP($A75,일위11,10,FALSE)))*$P$3</f>
        <v>#REF!</v>
      </c>
      <c r="G75" s="195" t="e">
        <f t="shared" ref="G75:G131" si="24">INT(E75*F75)</f>
        <v>#REF!</v>
      </c>
      <c r="H75" s="195">
        <f t="shared" ref="H75:H135" si="25">INT(IF(ISERROR(VLOOKUP($A75,일위11,12,FALSE)),0,VLOOKUP($A75,일위11,12,FALSE)))*$P$3</f>
        <v>0</v>
      </c>
      <c r="I75" s="195">
        <f t="shared" ref="I75:I131" si="26">INT(E75*H75)</f>
        <v>0</v>
      </c>
      <c r="J75" s="195">
        <f t="shared" ref="J75:J135" si="27">INT(IF(ISERROR(VLOOKUP($A75,일위11,14,FALSE)),0,VLOOKUP($A75,일위11,14,FALSE)))*$P$3</f>
        <v>0</v>
      </c>
      <c r="K75" s="195">
        <f t="shared" ref="K75:K131" si="28">INT(E75*J75)</f>
        <v>0</v>
      </c>
      <c r="L75" s="189" t="e">
        <f t="shared" ref="L75:L131" si="29">F75+H75+J75</f>
        <v>#REF!</v>
      </c>
      <c r="M75" s="195" t="e">
        <f t="shared" ref="M75:M131" si="30">INT(G75+I75+K75)</f>
        <v>#REF!</v>
      </c>
      <c r="N75" s="192">
        <f t="shared" ref="N75:N135" si="31">IF(ISERROR(VLOOKUP($A75,일위11,4,FALSE)),0,VLOOKUP($A75,일위11,4,FALSE))</f>
        <v>0</v>
      </c>
    </row>
    <row r="76" spans="1:14" ht="18" customHeight="1">
      <c r="A76" s="193" t="e">
        <f>#REF!</f>
        <v>#REF!</v>
      </c>
      <c r="B76" s="190" t="e">
        <f>VLOOKUP($A76,#REF!,2,FALSE)</f>
        <v>#REF!</v>
      </c>
      <c r="C76" s="947" t="e">
        <f>VLOOKUP($A76,#REF!,3,FALSE)</f>
        <v>#REF!</v>
      </c>
      <c r="D76" s="191" t="e">
        <f>VLOOKUP($A76,#REF!,4,FALSE)</f>
        <v>#REF!</v>
      </c>
      <c r="E76" s="3">
        <f t="shared" si="23"/>
        <v>0</v>
      </c>
      <c r="F76" s="195" t="e">
        <f>INT(IF(ISERROR(VLOOKUP($A76,일위11,10,FALSE)),VLOOKUP($A76,#REF!,11,FALSE),VLOOKUP($A76,일위11,10,FALSE)))*$P$3</f>
        <v>#REF!</v>
      </c>
      <c r="G76" s="195" t="e">
        <f t="shared" si="24"/>
        <v>#REF!</v>
      </c>
      <c r="H76" s="195">
        <f t="shared" si="25"/>
        <v>0</v>
      </c>
      <c r="I76" s="195">
        <f t="shared" si="26"/>
        <v>0</v>
      </c>
      <c r="J76" s="195">
        <f t="shared" si="27"/>
        <v>0</v>
      </c>
      <c r="K76" s="195">
        <f t="shared" si="28"/>
        <v>0</v>
      </c>
      <c r="L76" s="189" t="e">
        <f t="shared" si="29"/>
        <v>#REF!</v>
      </c>
      <c r="M76" s="195" t="e">
        <f t="shared" si="30"/>
        <v>#REF!</v>
      </c>
      <c r="N76" s="192">
        <f t="shared" si="31"/>
        <v>0</v>
      </c>
    </row>
    <row r="77" spans="1:14" ht="18" customHeight="1">
      <c r="A77" s="193" t="e">
        <f>#REF!</f>
        <v>#REF!</v>
      </c>
      <c r="B77" s="190" t="e">
        <f>VLOOKUP($A77,#REF!,2,FALSE)</f>
        <v>#REF!</v>
      </c>
      <c r="C77" s="947" t="e">
        <f>VLOOKUP($A77,#REF!,3,FALSE)</f>
        <v>#REF!</v>
      </c>
      <c r="D77" s="191" t="e">
        <f>VLOOKUP($A77,#REF!,4,FALSE)</f>
        <v>#REF!</v>
      </c>
      <c r="E77" s="3">
        <f t="shared" si="23"/>
        <v>0</v>
      </c>
      <c r="F77" s="195" t="e">
        <f>INT(IF(ISERROR(VLOOKUP($A77,일위11,10,FALSE)),VLOOKUP($A77,#REF!,11,FALSE),VLOOKUP($A77,일위11,10,FALSE)))*$P$3</f>
        <v>#REF!</v>
      </c>
      <c r="G77" s="195" t="e">
        <f t="shared" si="24"/>
        <v>#REF!</v>
      </c>
      <c r="H77" s="195">
        <f t="shared" si="25"/>
        <v>0</v>
      </c>
      <c r="I77" s="195">
        <f t="shared" si="26"/>
        <v>0</v>
      </c>
      <c r="J77" s="195">
        <f t="shared" si="27"/>
        <v>0</v>
      </c>
      <c r="K77" s="195">
        <f t="shared" si="28"/>
        <v>0</v>
      </c>
      <c r="L77" s="189" t="e">
        <f t="shared" si="29"/>
        <v>#REF!</v>
      </c>
      <c r="M77" s="195" t="e">
        <f t="shared" si="30"/>
        <v>#REF!</v>
      </c>
      <c r="N77" s="192">
        <f t="shared" si="31"/>
        <v>0</v>
      </c>
    </row>
    <row r="78" spans="1:14" ht="18" customHeight="1">
      <c r="A78" s="193" t="e">
        <f>#REF!</f>
        <v>#REF!</v>
      </c>
      <c r="B78" s="190" t="e">
        <f>VLOOKUP($A78,#REF!,2,FALSE)</f>
        <v>#REF!</v>
      </c>
      <c r="C78" s="947" t="e">
        <f>VLOOKUP($A78,#REF!,3,FALSE)</f>
        <v>#REF!</v>
      </c>
      <c r="D78" s="191" t="e">
        <f>VLOOKUP($A78,#REF!,4,FALSE)</f>
        <v>#REF!</v>
      </c>
      <c r="E78" s="3">
        <f t="shared" si="23"/>
        <v>0</v>
      </c>
      <c r="F78" s="195" t="e">
        <f>INT(IF(ISERROR(VLOOKUP($A78,일위11,10,FALSE)),VLOOKUP($A78,#REF!,11,FALSE),VLOOKUP($A78,일위11,10,FALSE)))*$P$3</f>
        <v>#REF!</v>
      </c>
      <c r="G78" s="195" t="e">
        <f t="shared" si="24"/>
        <v>#REF!</v>
      </c>
      <c r="H78" s="195">
        <f t="shared" si="25"/>
        <v>0</v>
      </c>
      <c r="I78" s="195">
        <f t="shared" si="26"/>
        <v>0</v>
      </c>
      <c r="J78" s="195">
        <f t="shared" si="27"/>
        <v>0</v>
      </c>
      <c r="K78" s="195">
        <f t="shared" si="28"/>
        <v>0</v>
      </c>
      <c r="L78" s="189" t="e">
        <f t="shared" si="29"/>
        <v>#REF!</v>
      </c>
      <c r="M78" s="195" t="e">
        <f t="shared" si="30"/>
        <v>#REF!</v>
      </c>
      <c r="N78" s="192">
        <f t="shared" si="31"/>
        <v>0</v>
      </c>
    </row>
    <row r="79" spans="1:14" ht="18" customHeight="1">
      <c r="A79" s="193" t="e">
        <f>#REF!</f>
        <v>#REF!</v>
      </c>
      <c r="B79" s="190" t="e">
        <f>VLOOKUP($A79,#REF!,2,FALSE)</f>
        <v>#REF!</v>
      </c>
      <c r="C79" s="947" t="e">
        <f>VLOOKUP($A79,#REF!,3,FALSE)</f>
        <v>#REF!</v>
      </c>
      <c r="D79" s="191" t="e">
        <f>VLOOKUP($A79,#REF!,4,FALSE)</f>
        <v>#REF!</v>
      </c>
      <c r="E79" s="3">
        <f t="shared" si="23"/>
        <v>0</v>
      </c>
      <c r="F79" s="195" t="e">
        <f>INT(IF(ISERROR(VLOOKUP($A79,일위11,10,FALSE)),VLOOKUP($A79,#REF!,11,FALSE),VLOOKUP($A79,일위11,10,FALSE)))*$P$3</f>
        <v>#REF!</v>
      </c>
      <c r="G79" s="195" t="e">
        <f t="shared" si="24"/>
        <v>#REF!</v>
      </c>
      <c r="H79" s="195">
        <f t="shared" si="25"/>
        <v>0</v>
      </c>
      <c r="I79" s="195">
        <f t="shared" si="26"/>
        <v>0</v>
      </c>
      <c r="J79" s="195">
        <f t="shared" si="27"/>
        <v>0</v>
      </c>
      <c r="K79" s="195">
        <f t="shared" si="28"/>
        <v>0</v>
      </c>
      <c r="L79" s="189" t="e">
        <f t="shared" si="29"/>
        <v>#REF!</v>
      </c>
      <c r="M79" s="195" t="e">
        <f t="shared" si="30"/>
        <v>#REF!</v>
      </c>
      <c r="N79" s="192">
        <f t="shared" si="31"/>
        <v>0</v>
      </c>
    </row>
    <row r="80" spans="1:14" ht="18" customHeight="1">
      <c r="A80" s="193" t="e">
        <f>#REF!</f>
        <v>#REF!</v>
      </c>
      <c r="B80" s="190" t="e">
        <f>VLOOKUP($A80,#REF!,2,FALSE)</f>
        <v>#REF!</v>
      </c>
      <c r="C80" s="947" t="e">
        <f>VLOOKUP($A80,#REF!,3,FALSE)</f>
        <v>#REF!</v>
      </c>
      <c r="D80" s="191" t="e">
        <f>VLOOKUP($A80,#REF!,4,FALSE)</f>
        <v>#REF!</v>
      </c>
      <c r="E80" s="3">
        <f t="shared" si="23"/>
        <v>0</v>
      </c>
      <c r="F80" s="195" t="e">
        <f>INT(IF(ISERROR(VLOOKUP($A80,일위11,10,FALSE)),VLOOKUP($A80,#REF!,11,FALSE),VLOOKUP($A80,일위11,10,FALSE)))*$P$3</f>
        <v>#REF!</v>
      </c>
      <c r="G80" s="195" t="e">
        <f t="shared" si="24"/>
        <v>#REF!</v>
      </c>
      <c r="H80" s="195">
        <f t="shared" si="25"/>
        <v>0</v>
      </c>
      <c r="I80" s="195">
        <f t="shared" si="26"/>
        <v>0</v>
      </c>
      <c r="J80" s="195">
        <f t="shared" si="27"/>
        <v>0</v>
      </c>
      <c r="K80" s="195">
        <f t="shared" si="28"/>
        <v>0</v>
      </c>
      <c r="L80" s="189" t="e">
        <f t="shared" si="29"/>
        <v>#REF!</v>
      </c>
      <c r="M80" s="195" t="e">
        <f t="shared" si="30"/>
        <v>#REF!</v>
      </c>
      <c r="N80" s="192">
        <f t="shared" si="31"/>
        <v>0</v>
      </c>
    </row>
    <row r="81" spans="1:14" ht="18" customHeight="1">
      <c r="A81" s="193" t="e">
        <f>#REF!</f>
        <v>#REF!</v>
      </c>
      <c r="B81" s="190" t="e">
        <f>VLOOKUP($A81,#REF!,2,FALSE)</f>
        <v>#REF!</v>
      </c>
      <c r="C81" s="947" t="e">
        <f>VLOOKUP($A81,#REF!,3,FALSE)</f>
        <v>#REF!</v>
      </c>
      <c r="D81" s="191" t="e">
        <f>VLOOKUP($A81,#REF!,4,FALSE)</f>
        <v>#REF!</v>
      </c>
      <c r="E81" s="3">
        <f t="shared" si="23"/>
        <v>0</v>
      </c>
      <c r="F81" s="195" t="e">
        <f>INT(IF(ISERROR(VLOOKUP($A81,일위11,10,FALSE)),VLOOKUP($A81,#REF!,11,FALSE),VLOOKUP($A81,일위11,10,FALSE)))*$P$3</f>
        <v>#REF!</v>
      </c>
      <c r="G81" s="195" t="e">
        <f t="shared" si="24"/>
        <v>#REF!</v>
      </c>
      <c r="H81" s="195">
        <f t="shared" si="25"/>
        <v>0</v>
      </c>
      <c r="I81" s="195">
        <f t="shared" si="26"/>
        <v>0</v>
      </c>
      <c r="J81" s="195">
        <f t="shared" si="27"/>
        <v>0</v>
      </c>
      <c r="K81" s="195">
        <f t="shared" si="28"/>
        <v>0</v>
      </c>
      <c r="L81" s="189" t="e">
        <f t="shared" si="29"/>
        <v>#REF!</v>
      </c>
      <c r="M81" s="195" t="e">
        <f t="shared" si="30"/>
        <v>#REF!</v>
      </c>
      <c r="N81" s="192">
        <f t="shared" si="31"/>
        <v>0</v>
      </c>
    </row>
    <row r="82" spans="1:14" ht="18" customHeight="1">
      <c r="A82" s="193" t="e">
        <f>#REF!</f>
        <v>#REF!</v>
      </c>
      <c r="B82" s="190" t="e">
        <f>VLOOKUP($A82,#REF!,2,FALSE)</f>
        <v>#REF!</v>
      </c>
      <c r="C82" s="947" t="e">
        <f>VLOOKUP($A82,#REF!,3,FALSE)</f>
        <v>#REF!</v>
      </c>
      <c r="D82" s="191" t="e">
        <f>VLOOKUP($A82,#REF!,4,FALSE)</f>
        <v>#REF!</v>
      </c>
      <c r="E82" s="3">
        <f t="shared" si="23"/>
        <v>0</v>
      </c>
      <c r="F82" s="195" t="e">
        <f>INT(IF(ISERROR(VLOOKUP($A82,일위11,10,FALSE)),VLOOKUP($A82,#REF!,11,FALSE),VLOOKUP($A82,일위11,10,FALSE)))*$P$3</f>
        <v>#REF!</v>
      </c>
      <c r="G82" s="195" t="e">
        <f t="shared" si="24"/>
        <v>#REF!</v>
      </c>
      <c r="H82" s="195">
        <f t="shared" si="25"/>
        <v>0</v>
      </c>
      <c r="I82" s="195">
        <f t="shared" si="26"/>
        <v>0</v>
      </c>
      <c r="J82" s="195">
        <f t="shared" si="27"/>
        <v>0</v>
      </c>
      <c r="K82" s="195">
        <f t="shared" si="28"/>
        <v>0</v>
      </c>
      <c r="L82" s="189" t="e">
        <f t="shared" si="29"/>
        <v>#REF!</v>
      </c>
      <c r="M82" s="195" t="e">
        <f t="shared" si="30"/>
        <v>#REF!</v>
      </c>
      <c r="N82" s="192">
        <f t="shared" si="31"/>
        <v>0</v>
      </c>
    </row>
    <row r="83" spans="1:14" ht="18" customHeight="1">
      <c r="A83" s="193" t="e">
        <f>#REF!</f>
        <v>#REF!</v>
      </c>
      <c r="B83" s="190" t="e">
        <f>VLOOKUP($A83,#REF!,2,FALSE)</f>
        <v>#REF!</v>
      </c>
      <c r="C83" s="947" t="e">
        <f>VLOOKUP($A83,#REF!,3,FALSE)</f>
        <v>#REF!</v>
      </c>
      <c r="D83" s="191" t="e">
        <f>VLOOKUP($A83,#REF!,4,FALSE)</f>
        <v>#REF!</v>
      </c>
      <c r="E83" s="3">
        <f t="shared" si="23"/>
        <v>0</v>
      </c>
      <c r="F83" s="195" t="e">
        <f>INT(IF(ISERROR(VLOOKUP($A83,일위11,10,FALSE)),VLOOKUP($A83,#REF!,11,FALSE),VLOOKUP($A83,일위11,10,FALSE)))*$P$3</f>
        <v>#REF!</v>
      </c>
      <c r="G83" s="195" t="e">
        <f t="shared" si="24"/>
        <v>#REF!</v>
      </c>
      <c r="H83" s="195">
        <f t="shared" si="25"/>
        <v>0</v>
      </c>
      <c r="I83" s="195">
        <f t="shared" si="26"/>
        <v>0</v>
      </c>
      <c r="J83" s="195">
        <f t="shared" si="27"/>
        <v>0</v>
      </c>
      <c r="K83" s="195">
        <f t="shared" si="28"/>
        <v>0</v>
      </c>
      <c r="L83" s="189" t="e">
        <f t="shared" si="29"/>
        <v>#REF!</v>
      </c>
      <c r="M83" s="195" t="e">
        <f t="shared" si="30"/>
        <v>#REF!</v>
      </c>
      <c r="N83" s="192">
        <f t="shared" si="31"/>
        <v>0</v>
      </c>
    </row>
    <row r="84" spans="1:14" ht="18" customHeight="1">
      <c r="A84" s="193" t="e">
        <f>#REF!</f>
        <v>#REF!</v>
      </c>
      <c r="B84" s="190" t="e">
        <f>VLOOKUP($A84,#REF!,2,FALSE)</f>
        <v>#REF!</v>
      </c>
      <c r="C84" s="947" t="e">
        <f>VLOOKUP($A84,#REF!,3,FALSE)</f>
        <v>#REF!</v>
      </c>
      <c r="D84" s="191" t="e">
        <f>VLOOKUP($A84,#REF!,4,FALSE)</f>
        <v>#REF!</v>
      </c>
      <c r="E84" s="3">
        <f t="shared" si="23"/>
        <v>0</v>
      </c>
      <c r="F84" s="195" t="e">
        <f>INT(IF(ISERROR(VLOOKUP($A84,일위11,10,FALSE)),VLOOKUP($A84,#REF!,11,FALSE),VLOOKUP($A84,일위11,10,FALSE)))*$P$3</f>
        <v>#REF!</v>
      </c>
      <c r="G84" s="195" t="e">
        <f t="shared" si="24"/>
        <v>#REF!</v>
      </c>
      <c r="H84" s="195">
        <f t="shared" si="25"/>
        <v>0</v>
      </c>
      <c r="I84" s="195">
        <f t="shared" si="26"/>
        <v>0</v>
      </c>
      <c r="J84" s="195">
        <f t="shared" si="27"/>
        <v>0</v>
      </c>
      <c r="K84" s="195">
        <f t="shared" si="28"/>
        <v>0</v>
      </c>
      <c r="L84" s="189" t="e">
        <f t="shared" si="29"/>
        <v>#REF!</v>
      </c>
      <c r="M84" s="195" t="e">
        <f t="shared" si="30"/>
        <v>#REF!</v>
      </c>
      <c r="N84" s="192">
        <f t="shared" si="31"/>
        <v>0</v>
      </c>
    </row>
    <row r="85" spans="1:14" ht="18" customHeight="1">
      <c r="A85" s="193" t="e">
        <f>#REF!</f>
        <v>#REF!</v>
      </c>
      <c r="B85" s="190" t="e">
        <f>VLOOKUP($A85,#REF!,2,FALSE)</f>
        <v>#REF!</v>
      </c>
      <c r="C85" s="947" t="e">
        <f>VLOOKUP($A85,#REF!,3,FALSE)</f>
        <v>#REF!</v>
      </c>
      <c r="D85" s="191" t="e">
        <f>VLOOKUP($A85,#REF!,4,FALSE)</f>
        <v>#REF!</v>
      </c>
      <c r="E85" s="3">
        <f t="shared" si="23"/>
        <v>0</v>
      </c>
      <c r="F85" s="195" t="e">
        <f>INT(IF(ISERROR(VLOOKUP($A85,일위11,10,FALSE)),VLOOKUP($A85,#REF!,11,FALSE),VLOOKUP($A85,일위11,10,FALSE)))*$P$3</f>
        <v>#REF!</v>
      </c>
      <c r="G85" s="195" t="e">
        <f t="shared" si="24"/>
        <v>#REF!</v>
      </c>
      <c r="H85" s="195">
        <f t="shared" si="25"/>
        <v>0</v>
      </c>
      <c r="I85" s="195">
        <f t="shared" si="26"/>
        <v>0</v>
      </c>
      <c r="J85" s="195">
        <f t="shared" si="27"/>
        <v>0</v>
      </c>
      <c r="K85" s="195">
        <f t="shared" si="28"/>
        <v>0</v>
      </c>
      <c r="L85" s="189" t="e">
        <f t="shared" si="29"/>
        <v>#REF!</v>
      </c>
      <c r="M85" s="195" t="e">
        <f t="shared" si="30"/>
        <v>#REF!</v>
      </c>
      <c r="N85" s="192">
        <f t="shared" si="31"/>
        <v>0</v>
      </c>
    </row>
    <row r="86" spans="1:14" ht="18" customHeight="1">
      <c r="A86" s="193" t="e">
        <f>#REF!</f>
        <v>#REF!</v>
      </c>
      <c r="B86" s="190" t="e">
        <f>VLOOKUP($A86,#REF!,2,FALSE)</f>
        <v>#REF!</v>
      </c>
      <c r="C86" s="947" t="e">
        <f>VLOOKUP($A86,#REF!,3,FALSE)</f>
        <v>#REF!</v>
      </c>
      <c r="D86" s="191" t="e">
        <f>VLOOKUP($A86,#REF!,4,FALSE)</f>
        <v>#REF!</v>
      </c>
      <c r="E86" s="3">
        <f t="shared" si="23"/>
        <v>0</v>
      </c>
      <c r="F86" s="195" t="e">
        <f>INT(IF(ISERROR(VLOOKUP($A86,일위11,10,FALSE)),VLOOKUP($A86,#REF!,11,FALSE),VLOOKUP($A86,일위11,10,FALSE)))*$P$3</f>
        <v>#REF!</v>
      </c>
      <c r="G86" s="195" t="e">
        <f t="shared" si="24"/>
        <v>#REF!</v>
      </c>
      <c r="H86" s="195">
        <f t="shared" si="25"/>
        <v>0</v>
      </c>
      <c r="I86" s="195">
        <f t="shared" si="26"/>
        <v>0</v>
      </c>
      <c r="J86" s="195">
        <f t="shared" si="27"/>
        <v>0</v>
      </c>
      <c r="K86" s="195">
        <f t="shared" si="28"/>
        <v>0</v>
      </c>
      <c r="L86" s="189" t="e">
        <f t="shared" si="29"/>
        <v>#REF!</v>
      </c>
      <c r="M86" s="195" t="e">
        <f t="shared" si="30"/>
        <v>#REF!</v>
      </c>
      <c r="N86" s="192">
        <f t="shared" si="31"/>
        <v>0</v>
      </c>
    </row>
    <row r="87" spans="1:14" ht="18" customHeight="1">
      <c r="A87" s="193" t="e">
        <f>#REF!</f>
        <v>#REF!</v>
      </c>
      <c r="B87" s="190" t="e">
        <f>VLOOKUP($A87,#REF!,2,FALSE)</f>
        <v>#REF!</v>
      </c>
      <c r="C87" s="947" t="e">
        <f>VLOOKUP($A87,#REF!,3,FALSE)</f>
        <v>#REF!</v>
      </c>
      <c r="D87" s="191" t="e">
        <f>VLOOKUP($A87,#REF!,4,FALSE)</f>
        <v>#REF!</v>
      </c>
      <c r="E87" s="3">
        <f t="shared" si="23"/>
        <v>0</v>
      </c>
      <c r="F87" s="195" t="e">
        <f>INT(IF(ISERROR(VLOOKUP($A87,일위11,10,FALSE)),VLOOKUP($A87,#REF!,11,FALSE),VLOOKUP($A87,일위11,10,FALSE)))*$P$3</f>
        <v>#REF!</v>
      </c>
      <c r="G87" s="195" t="e">
        <f t="shared" si="24"/>
        <v>#REF!</v>
      </c>
      <c r="H87" s="195">
        <f t="shared" si="25"/>
        <v>0</v>
      </c>
      <c r="I87" s="195">
        <f t="shared" si="26"/>
        <v>0</v>
      </c>
      <c r="J87" s="195">
        <f t="shared" si="27"/>
        <v>0</v>
      </c>
      <c r="K87" s="195">
        <f t="shared" si="28"/>
        <v>0</v>
      </c>
      <c r="L87" s="189" t="e">
        <f t="shared" si="29"/>
        <v>#REF!</v>
      </c>
      <c r="M87" s="195" t="e">
        <f t="shared" si="30"/>
        <v>#REF!</v>
      </c>
      <c r="N87" s="192">
        <f t="shared" si="31"/>
        <v>0</v>
      </c>
    </row>
    <row r="88" spans="1:14" ht="18" customHeight="1">
      <c r="A88" s="193" t="e">
        <f>#REF!</f>
        <v>#REF!</v>
      </c>
      <c r="B88" s="190" t="e">
        <f>VLOOKUP($A88,#REF!,2,FALSE)</f>
        <v>#REF!</v>
      </c>
      <c r="C88" s="947" t="e">
        <f>VLOOKUP($A88,#REF!,3,FALSE)</f>
        <v>#REF!</v>
      </c>
      <c r="D88" s="191" t="e">
        <f>VLOOKUP($A88,#REF!,4,FALSE)</f>
        <v>#REF!</v>
      </c>
      <c r="E88" s="3">
        <f t="shared" si="23"/>
        <v>0</v>
      </c>
      <c r="F88" s="195" t="e">
        <f>INT(IF(ISERROR(VLOOKUP($A88,일위11,10,FALSE)),VLOOKUP($A88,#REF!,11,FALSE),VLOOKUP($A88,일위11,10,FALSE)))*$P$3</f>
        <v>#REF!</v>
      </c>
      <c r="G88" s="195" t="e">
        <f t="shared" si="24"/>
        <v>#REF!</v>
      </c>
      <c r="H88" s="195">
        <f t="shared" si="25"/>
        <v>0</v>
      </c>
      <c r="I88" s="195">
        <f t="shared" si="26"/>
        <v>0</v>
      </c>
      <c r="J88" s="195">
        <f t="shared" si="27"/>
        <v>0</v>
      </c>
      <c r="K88" s="195">
        <f t="shared" si="28"/>
        <v>0</v>
      </c>
      <c r="L88" s="189" t="e">
        <f t="shared" si="29"/>
        <v>#REF!</v>
      </c>
      <c r="M88" s="195" t="e">
        <f t="shared" si="30"/>
        <v>#REF!</v>
      </c>
      <c r="N88" s="192">
        <f t="shared" si="31"/>
        <v>0</v>
      </c>
    </row>
    <row r="89" spans="1:14" ht="18" customHeight="1">
      <c r="A89" s="193" t="e">
        <f>#REF!</f>
        <v>#REF!</v>
      </c>
      <c r="B89" s="190" t="e">
        <f>VLOOKUP($A89,#REF!,2,FALSE)</f>
        <v>#REF!</v>
      </c>
      <c r="C89" s="947" t="e">
        <f>VLOOKUP($A89,#REF!,3,FALSE)</f>
        <v>#REF!</v>
      </c>
      <c r="D89" s="191" t="e">
        <f>VLOOKUP($A89,#REF!,4,FALSE)</f>
        <v>#REF!</v>
      </c>
      <c r="E89" s="3">
        <f t="shared" si="23"/>
        <v>0</v>
      </c>
      <c r="F89" s="195" t="e">
        <f>INT(IF(ISERROR(VLOOKUP($A89,일위11,10,FALSE)),VLOOKUP($A89,#REF!,11,FALSE),VLOOKUP($A89,일위11,10,FALSE)))*$P$3</f>
        <v>#REF!</v>
      </c>
      <c r="G89" s="195" t="e">
        <f t="shared" si="24"/>
        <v>#REF!</v>
      </c>
      <c r="H89" s="195">
        <f t="shared" si="25"/>
        <v>0</v>
      </c>
      <c r="I89" s="195">
        <f t="shared" si="26"/>
        <v>0</v>
      </c>
      <c r="J89" s="195">
        <f t="shared" si="27"/>
        <v>0</v>
      </c>
      <c r="K89" s="195">
        <f t="shared" si="28"/>
        <v>0</v>
      </c>
      <c r="L89" s="189" t="e">
        <f t="shared" si="29"/>
        <v>#REF!</v>
      </c>
      <c r="M89" s="195" t="e">
        <f t="shared" si="30"/>
        <v>#REF!</v>
      </c>
      <c r="N89" s="192">
        <f t="shared" si="31"/>
        <v>0</v>
      </c>
    </row>
    <row r="90" spans="1:14" ht="18" customHeight="1">
      <c r="A90" s="193" t="e">
        <f>#REF!</f>
        <v>#REF!</v>
      </c>
      <c r="B90" s="190" t="e">
        <f>VLOOKUP($A90,#REF!,2,FALSE)</f>
        <v>#REF!</v>
      </c>
      <c r="C90" s="947" t="e">
        <f>VLOOKUP($A90,#REF!,3,FALSE)</f>
        <v>#REF!</v>
      </c>
      <c r="D90" s="191" t="e">
        <f>VLOOKUP($A90,#REF!,4,FALSE)</f>
        <v>#REF!</v>
      </c>
      <c r="E90" s="3">
        <f t="shared" si="23"/>
        <v>0</v>
      </c>
      <c r="F90" s="195" t="e">
        <f>INT(IF(ISERROR(VLOOKUP($A90,일위11,10,FALSE)),VLOOKUP($A90,#REF!,11,FALSE),VLOOKUP($A90,일위11,10,FALSE)))*$P$3</f>
        <v>#REF!</v>
      </c>
      <c r="G90" s="195" t="e">
        <f t="shared" si="24"/>
        <v>#REF!</v>
      </c>
      <c r="H90" s="195">
        <f t="shared" si="25"/>
        <v>0</v>
      </c>
      <c r="I90" s="195">
        <f t="shared" si="26"/>
        <v>0</v>
      </c>
      <c r="J90" s="195">
        <f t="shared" si="27"/>
        <v>0</v>
      </c>
      <c r="K90" s="195">
        <f t="shared" si="28"/>
        <v>0</v>
      </c>
      <c r="L90" s="189" t="e">
        <f t="shared" si="29"/>
        <v>#REF!</v>
      </c>
      <c r="M90" s="195" t="e">
        <f t="shared" si="30"/>
        <v>#REF!</v>
      </c>
      <c r="N90" s="192">
        <f t="shared" si="31"/>
        <v>0</v>
      </c>
    </row>
    <row r="91" spans="1:14" ht="18" customHeight="1">
      <c r="A91" s="193" t="e">
        <f>#REF!</f>
        <v>#REF!</v>
      </c>
      <c r="B91" s="190" t="e">
        <f>VLOOKUP($A91,#REF!,2,FALSE)</f>
        <v>#REF!</v>
      </c>
      <c r="C91" s="947" t="e">
        <f>VLOOKUP($A91,#REF!,3,FALSE)</f>
        <v>#REF!</v>
      </c>
      <c r="D91" s="191" t="e">
        <f>VLOOKUP($A91,#REF!,4,FALSE)</f>
        <v>#REF!</v>
      </c>
      <c r="E91" s="3">
        <f t="shared" si="23"/>
        <v>0</v>
      </c>
      <c r="F91" s="195" t="e">
        <f>INT(IF(ISERROR(VLOOKUP($A91,일위11,10,FALSE)),VLOOKUP($A91,#REF!,11,FALSE),VLOOKUP($A91,일위11,10,FALSE)))*$P$3</f>
        <v>#REF!</v>
      </c>
      <c r="G91" s="195" t="e">
        <f t="shared" si="24"/>
        <v>#REF!</v>
      </c>
      <c r="H91" s="195">
        <f t="shared" si="25"/>
        <v>0</v>
      </c>
      <c r="I91" s="195">
        <f t="shared" si="26"/>
        <v>0</v>
      </c>
      <c r="J91" s="195">
        <f t="shared" si="27"/>
        <v>0</v>
      </c>
      <c r="K91" s="195">
        <f t="shared" si="28"/>
        <v>0</v>
      </c>
      <c r="L91" s="189" t="e">
        <f t="shared" si="29"/>
        <v>#REF!</v>
      </c>
      <c r="M91" s="195" t="e">
        <f t="shared" si="30"/>
        <v>#REF!</v>
      </c>
      <c r="N91" s="192">
        <f t="shared" si="31"/>
        <v>0</v>
      </c>
    </row>
    <row r="92" spans="1:14" ht="18" customHeight="1">
      <c r="A92" s="193" t="e">
        <f>#REF!</f>
        <v>#REF!</v>
      </c>
      <c r="B92" s="190" t="e">
        <f>VLOOKUP($A92,#REF!,2,FALSE)</f>
        <v>#REF!</v>
      </c>
      <c r="C92" s="947" t="e">
        <f>VLOOKUP($A92,#REF!,3,FALSE)</f>
        <v>#REF!</v>
      </c>
      <c r="D92" s="191" t="e">
        <f>VLOOKUP($A92,#REF!,4,FALSE)</f>
        <v>#REF!</v>
      </c>
      <c r="E92" s="3">
        <f t="shared" si="23"/>
        <v>0</v>
      </c>
      <c r="F92" s="195" t="e">
        <f>INT(IF(ISERROR(VLOOKUP($A92,일위11,10,FALSE)),VLOOKUP($A92,#REF!,11,FALSE),VLOOKUP($A92,일위11,10,FALSE)))*$P$3</f>
        <v>#REF!</v>
      </c>
      <c r="G92" s="195" t="e">
        <f t="shared" si="24"/>
        <v>#REF!</v>
      </c>
      <c r="H92" s="195">
        <f t="shared" si="25"/>
        <v>0</v>
      </c>
      <c r="I92" s="195">
        <f t="shared" si="26"/>
        <v>0</v>
      </c>
      <c r="J92" s="195">
        <f t="shared" si="27"/>
        <v>0</v>
      </c>
      <c r="K92" s="195">
        <f t="shared" si="28"/>
        <v>0</v>
      </c>
      <c r="L92" s="189" t="e">
        <f t="shared" si="29"/>
        <v>#REF!</v>
      </c>
      <c r="M92" s="195" t="e">
        <f t="shared" si="30"/>
        <v>#REF!</v>
      </c>
      <c r="N92" s="192">
        <f t="shared" si="31"/>
        <v>0</v>
      </c>
    </row>
    <row r="93" spans="1:14" ht="18" customHeight="1">
      <c r="A93" s="193" t="e">
        <f>#REF!</f>
        <v>#REF!</v>
      </c>
      <c r="B93" s="190" t="e">
        <f>VLOOKUP($A93,#REF!,2,FALSE)</f>
        <v>#REF!</v>
      </c>
      <c r="C93" s="947" t="e">
        <f>VLOOKUP($A93,#REF!,3,FALSE)</f>
        <v>#REF!</v>
      </c>
      <c r="D93" s="191" t="e">
        <f>VLOOKUP($A93,#REF!,4,FALSE)</f>
        <v>#REF!</v>
      </c>
      <c r="E93" s="3">
        <f t="shared" si="23"/>
        <v>0</v>
      </c>
      <c r="F93" s="195" t="e">
        <f>INT(IF(ISERROR(VLOOKUP($A93,일위11,10,FALSE)),VLOOKUP($A93,#REF!,11,FALSE),VLOOKUP($A93,일위11,10,FALSE)))*$P$3</f>
        <v>#REF!</v>
      </c>
      <c r="G93" s="195" t="e">
        <f t="shared" si="24"/>
        <v>#REF!</v>
      </c>
      <c r="H93" s="195">
        <f t="shared" si="25"/>
        <v>0</v>
      </c>
      <c r="I93" s="195">
        <f t="shared" si="26"/>
        <v>0</v>
      </c>
      <c r="J93" s="195">
        <f t="shared" si="27"/>
        <v>0</v>
      </c>
      <c r="K93" s="195">
        <f t="shared" si="28"/>
        <v>0</v>
      </c>
      <c r="L93" s="189" t="e">
        <f t="shared" si="29"/>
        <v>#REF!</v>
      </c>
      <c r="M93" s="195" t="e">
        <f t="shared" si="30"/>
        <v>#REF!</v>
      </c>
      <c r="N93" s="192">
        <f t="shared" si="31"/>
        <v>0</v>
      </c>
    </row>
    <row r="94" spans="1:14" ht="18" customHeight="1">
      <c r="A94" s="193" t="e">
        <f>#REF!</f>
        <v>#REF!</v>
      </c>
      <c r="B94" s="190" t="e">
        <f>VLOOKUP($A94,#REF!,2,FALSE)</f>
        <v>#REF!</v>
      </c>
      <c r="C94" s="947" t="e">
        <f>VLOOKUP($A94,#REF!,3,FALSE)</f>
        <v>#REF!</v>
      </c>
      <c r="D94" s="191" t="e">
        <f>VLOOKUP($A94,#REF!,4,FALSE)</f>
        <v>#REF!</v>
      </c>
      <c r="E94" s="3">
        <f t="shared" si="23"/>
        <v>0</v>
      </c>
      <c r="F94" s="195" t="e">
        <f>INT(IF(ISERROR(VLOOKUP($A94,일위11,10,FALSE)),VLOOKUP($A94,#REF!,11,FALSE),VLOOKUP($A94,일위11,10,FALSE)))*$P$3</f>
        <v>#REF!</v>
      </c>
      <c r="G94" s="195" t="e">
        <f t="shared" si="24"/>
        <v>#REF!</v>
      </c>
      <c r="H94" s="195">
        <f t="shared" si="25"/>
        <v>0</v>
      </c>
      <c r="I94" s="195">
        <f t="shared" si="26"/>
        <v>0</v>
      </c>
      <c r="J94" s="195">
        <f t="shared" si="27"/>
        <v>0</v>
      </c>
      <c r="K94" s="195">
        <f t="shared" si="28"/>
        <v>0</v>
      </c>
      <c r="L94" s="189" t="e">
        <f t="shared" si="29"/>
        <v>#REF!</v>
      </c>
      <c r="M94" s="195" t="e">
        <f t="shared" si="30"/>
        <v>#REF!</v>
      </c>
      <c r="N94" s="192">
        <f t="shared" si="31"/>
        <v>0</v>
      </c>
    </row>
    <row r="95" spans="1:14" ht="18" customHeight="1">
      <c r="A95" s="193" t="e">
        <f>#REF!</f>
        <v>#REF!</v>
      </c>
      <c r="B95" s="190" t="e">
        <f>VLOOKUP($A95,#REF!,2,FALSE)</f>
        <v>#REF!</v>
      </c>
      <c r="C95" s="947" t="e">
        <f>VLOOKUP($A95,#REF!,3,FALSE)</f>
        <v>#REF!</v>
      </c>
      <c r="D95" s="191" t="e">
        <f>VLOOKUP($A95,#REF!,4,FALSE)</f>
        <v>#REF!</v>
      </c>
      <c r="E95" s="3">
        <f t="shared" si="23"/>
        <v>0</v>
      </c>
      <c r="F95" s="195" t="e">
        <f>INT(IF(ISERROR(VLOOKUP($A95,일위11,10,FALSE)),VLOOKUP($A95,#REF!,11,FALSE),VLOOKUP($A95,일위11,10,FALSE)))*$P$3</f>
        <v>#REF!</v>
      </c>
      <c r="G95" s="195" t="e">
        <f t="shared" si="24"/>
        <v>#REF!</v>
      </c>
      <c r="H95" s="195">
        <f t="shared" si="25"/>
        <v>0</v>
      </c>
      <c r="I95" s="195">
        <f t="shared" si="26"/>
        <v>0</v>
      </c>
      <c r="J95" s="195">
        <f t="shared" si="27"/>
        <v>0</v>
      </c>
      <c r="K95" s="195">
        <f t="shared" si="28"/>
        <v>0</v>
      </c>
      <c r="L95" s="189" t="e">
        <f t="shared" si="29"/>
        <v>#REF!</v>
      </c>
      <c r="M95" s="195" t="e">
        <f t="shared" si="30"/>
        <v>#REF!</v>
      </c>
      <c r="N95" s="192">
        <f t="shared" si="31"/>
        <v>0</v>
      </c>
    </row>
    <row r="96" spans="1:14" ht="18" customHeight="1">
      <c r="A96" s="193" t="e">
        <f>#REF!</f>
        <v>#REF!</v>
      </c>
      <c r="B96" s="919" t="e">
        <f>VLOOKUP($A96,#REF!,2,FALSE)</f>
        <v>#REF!</v>
      </c>
      <c r="C96" s="920" t="e">
        <f>VLOOKUP($A96,#REF!,3,FALSE)</f>
        <v>#REF!</v>
      </c>
      <c r="D96" s="921" t="e">
        <f>VLOOKUP($A96,#REF!,4,FALSE)</f>
        <v>#REF!</v>
      </c>
      <c r="E96" s="3">
        <f t="shared" si="23"/>
        <v>0</v>
      </c>
      <c r="F96" s="922" t="e">
        <f>INT(IF(ISERROR(VLOOKUP($A96,일위11,10,FALSE)),VLOOKUP($A96,#REF!,11,FALSE),VLOOKUP($A96,일위11,10,FALSE)))*$P$3</f>
        <v>#REF!</v>
      </c>
      <c r="G96" s="922" t="e">
        <f t="shared" si="24"/>
        <v>#REF!</v>
      </c>
      <c r="H96" s="922">
        <f t="shared" si="25"/>
        <v>0</v>
      </c>
      <c r="I96" s="922">
        <f t="shared" si="26"/>
        <v>0</v>
      </c>
      <c r="J96" s="922">
        <f t="shared" si="27"/>
        <v>0</v>
      </c>
      <c r="K96" s="922">
        <f t="shared" si="28"/>
        <v>0</v>
      </c>
      <c r="L96" s="923" t="e">
        <f t="shared" si="29"/>
        <v>#REF!</v>
      </c>
      <c r="M96" s="922" t="e">
        <f t="shared" si="30"/>
        <v>#REF!</v>
      </c>
      <c r="N96" s="924">
        <f t="shared" si="31"/>
        <v>0</v>
      </c>
    </row>
    <row r="97" spans="1:14" ht="18" customHeight="1">
      <c r="A97" s="193" t="e">
        <f>#REF!</f>
        <v>#REF!</v>
      </c>
      <c r="B97" s="925" t="e">
        <f>VLOOKUP($A97,#REF!,2,FALSE)</f>
        <v>#REF!</v>
      </c>
      <c r="C97" s="926" t="e">
        <f>VLOOKUP($A97,#REF!,3,FALSE)</f>
        <v>#REF!</v>
      </c>
      <c r="D97" s="158" t="e">
        <f>VLOOKUP($A97,#REF!,4,FALSE)</f>
        <v>#REF!</v>
      </c>
      <c r="E97" s="3">
        <f t="shared" si="23"/>
        <v>0</v>
      </c>
      <c r="F97" s="160" t="e">
        <f>INT(IF(ISERROR(VLOOKUP($A97,일위11,10,FALSE)),VLOOKUP($A97,#REF!,11,FALSE),VLOOKUP($A97,일위11,10,FALSE)))*$P$3</f>
        <v>#REF!</v>
      </c>
      <c r="G97" s="160" t="e">
        <f t="shared" si="24"/>
        <v>#REF!</v>
      </c>
      <c r="H97" s="160">
        <f t="shared" si="25"/>
        <v>0</v>
      </c>
      <c r="I97" s="160">
        <f t="shared" si="26"/>
        <v>0</v>
      </c>
      <c r="J97" s="160">
        <f t="shared" si="27"/>
        <v>0</v>
      </c>
      <c r="K97" s="160">
        <f t="shared" si="28"/>
        <v>0</v>
      </c>
      <c r="L97" s="161" t="e">
        <f t="shared" si="29"/>
        <v>#REF!</v>
      </c>
      <c r="M97" s="160" t="e">
        <f t="shared" si="30"/>
        <v>#REF!</v>
      </c>
      <c r="N97" s="676">
        <f t="shared" si="31"/>
        <v>0</v>
      </c>
    </row>
    <row r="98" spans="1:14" ht="18" customHeight="1">
      <c r="A98" s="193" t="e">
        <f>#REF!</f>
        <v>#REF!</v>
      </c>
      <c r="B98" s="190" t="e">
        <f>VLOOKUP($A98,#REF!,2,FALSE)</f>
        <v>#REF!</v>
      </c>
      <c r="C98" s="947" t="e">
        <f>VLOOKUP($A98,#REF!,3,FALSE)</f>
        <v>#REF!</v>
      </c>
      <c r="D98" s="191" t="e">
        <f>VLOOKUP($A98,#REF!,4,FALSE)</f>
        <v>#REF!</v>
      </c>
      <c r="E98" s="3">
        <f t="shared" si="23"/>
        <v>0</v>
      </c>
      <c r="F98" s="195" t="e">
        <f>INT(IF(ISERROR(VLOOKUP($A98,일위11,10,FALSE)),VLOOKUP($A98,#REF!,11,FALSE),VLOOKUP($A98,일위11,10,FALSE)))*$P$3</f>
        <v>#REF!</v>
      </c>
      <c r="G98" s="195" t="e">
        <f t="shared" si="24"/>
        <v>#REF!</v>
      </c>
      <c r="H98" s="195">
        <f t="shared" si="25"/>
        <v>0</v>
      </c>
      <c r="I98" s="195">
        <f t="shared" si="26"/>
        <v>0</v>
      </c>
      <c r="J98" s="195">
        <f t="shared" si="27"/>
        <v>0</v>
      </c>
      <c r="K98" s="195">
        <f t="shared" si="28"/>
        <v>0</v>
      </c>
      <c r="L98" s="189" t="e">
        <f t="shared" si="29"/>
        <v>#REF!</v>
      </c>
      <c r="M98" s="195" t="e">
        <f t="shared" si="30"/>
        <v>#REF!</v>
      </c>
      <c r="N98" s="192">
        <f t="shared" si="31"/>
        <v>0</v>
      </c>
    </row>
    <row r="99" spans="1:14" ht="18" customHeight="1">
      <c r="A99" s="193" t="e">
        <f>#REF!</f>
        <v>#REF!</v>
      </c>
      <c r="B99" s="190" t="e">
        <f>VLOOKUP($A99,#REF!,2,FALSE)</f>
        <v>#REF!</v>
      </c>
      <c r="C99" s="947" t="e">
        <f>VLOOKUP($A99,#REF!,3,FALSE)</f>
        <v>#REF!</v>
      </c>
      <c r="D99" s="191" t="e">
        <f>VLOOKUP($A99,#REF!,4,FALSE)</f>
        <v>#REF!</v>
      </c>
      <c r="E99" s="3">
        <f t="shared" si="23"/>
        <v>0</v>
      </c>
      <c r="F99" s="195" t="e">
        <f>INT(IF(ISERROR(VLOOKUP($A99,일위11,10,FALSE)),VLOOKUP($A99,#REF!,11,FALSE),VLOOKUP($A99,일위11,10,FALSE)))*$P$3</f>
        <v>#REF!</v>
      </c>
      <c r="G99" s="195" t="e">
        <f t="shared" si="24"/>
        <v>#REF!</v>
      </c>
      <c r="H99" s="195">
        <f t="shared" si="25"/>
        <v>0</v>
      </c>
      <c r="I99" s="195">
        <f t="shared" si="26"/>
        <v>0</v>
      </c>
      <c r="J99" s="195">
        <f t="shared" si="27"/>
        <v>0</v>
      </c>
      <c r="K99" s="195">
        <f t="shared" si="28"/>
        <v>0</v>
      </c>
      <c r="L99" s="189" t="e">
        <f t="shared" si="29"/>
        <v>#REF!</v>
      </c>
      <c r="M99" s="195" t="e">
        <f t="shared" si="30"/>
        <v>#REF!</v>
      </c>
      <c r="N99" s="192">
        <f t="shared" si="31"/>
        <v>0</v>
      </c>
    </row>
    <row r="100" spans="1:14" ht="18" customHeight="1">
      <c r="A100" s="193" t="e">
        <f>#REF!</f>
        <v>#REF!</v>
      </c>
      <c r="B100" s="190" t="e">
        <f>VLOOKUP($A100,#REF!,2,FALSE)</f>
        <v>#REF!</v>
      </c>
      <c r="C100" s="947" t="e">
        <f>VLOOKUP($A100,#REF!,3,FALSE)</f>
        <v>#REF!</v>
      </c>
      <c r="D100" s="191" t="e">
        <f>VLOOKUP($A100,#REF!,4,FALSE)</f>
        <v>#REF!</v>
      </c>
      <c r="E100" s="3">
        <f t="shared" si="23"/>
        <v>0</v>
      </c>
      <c r="F100" s="195" t="e">
        <f>INT(IF(ISERROR(VLOOKUP($A100,일위11,10,FALSE)),VLOOKUP($A100,#REF!,11,FALSE),VLOOKUP($A100,일위11,10,FALSE)))*$P$3</f>
        <v>#REF!</v>
      </c>
      <c r="G100" s="195" t="e">
        <f t="shared" si="24"/>
        <v>#REF!</v>
      </c>
      <c r="H100" s="195">
        <f t="shared" si="25"/>
        <v>0</v>
      </c>
      <c r="I100" s="195">
        <f t="shared" si="26"/>
        <v>0</v>
      </c>
      <c r="J100" s="195">
        <f t="shared" si="27"/>
        <v>0</v>
      </c>
      <c r="K100" s="195">
        <f t="shared" si="28"/>
        <v>0</v>
      </c>
      <c r="L100" s="189" t="e">
        <f t="shared" si="29"/>
        <v>#REF!</v>
      </c>
      <c r="M100" s="195" t="e">
        <f t="shared" si="30"/>
        <v>#REF!</v>
      </c>
      <c r="N100" s="192">
        <f t="shared" si="31"/>
        <v>0</v>
      </c>
    </row>
    <row r="101" spans="1:14" ht="18" customHeight="1">
      <c r="A101" s="193" t="e">
        <f>#REF!</f>
        <v>#REF!</v>
      </c>
      <c r="B101" s="190" t="e">
        <f>VLOOKUP($A101,#REF!,2,FALSE)</f>
        <v>#REF!</v>
      </c>
      <c r="C101" s="947" t="e">
        <f>VLOOKUP($A101,#REF!,3,FALSE)</f>
        <v>#REF!</v>
      </c>
      <c r="D101" s="191" t="e">
        <f>VLOOKUP($A101,#REF!,4,FALSE)</f>
        <v>#REF!</v>
      </c>
      <c r="E101" s="3">
        <f t="shared" si="23"/>
        <v>0</v>
      </c>
      <c r="F101" s="195" t="e">
        <f>INT(IF(ISERROR(VLOOKUP($A101,일위11,10,FALSE)),VLOOKUP($A101,#REF!,11,FALSE),VLOOKUP($A101,일위11,10,FALSE)))*$P$3</f>
        <v>#REF!</v>
      </c>
      <c r="G101" s="195" t="e">
        <f t="shared" si="24"/>
        <v>#REF!</v>
      </c>
      <c r="H101" s="195">
        <f t="shared" si="25"/>
        <v>0</v>
      </c>
      <c r="I101" s="195">
        <f t="shared" si="26"/>
        <v>0</v>
      </c>
      <c r="J101" s="195">
        <f t="shared" si="27"/>
        <v>0</v>
      </c>
      <c r="K101" s="195">
        <f t="shared" si="28"/>
        <v>0</v>
      </c>
      <c r="L101" s="189" t="e">
        <f t="shared" si="29"/>
        <v>#REF!</v>
      </c>
      <c r="M101" s="195" t="e">
        <f t="shared" si="30"/>
        <v>#REF!</v>
      </c>
      <c r="N101" s="192">
        <f t="shared" si="31"/>
        <v>0</v>
      </c>
    </row>
    <row r="102" spans="1:14" ht="18" customHeight="1">
      <c r="A102" s="193" t="e">
        <f>#REF!</f>
        <v>#REF!</v>
      </c>
      <c r="B102" s="190" t="e">
        <f>VLOOKUP($A102,#REF!,2,FALSE)</f>
        <v>#REF!</v>
      </c>
      <c r="C102" s="947" t="e">
        <f>VLOOKUP($A102,#REF!,3,FALSE)</f>
        <v>#REF!</v>
      </c>
      <c r="D102" s="191" t="e">
        <f>VLOOKUP($A102,#REF!,4,FALSE)</f>
        <v>#REF!</v>
      </c>
      <c r="E102" s="3">
        <f t="shared" si="23"/>
        <v>0</v>
      </c>
      <c r="F102" s="189" t="s">
        <v>453</v>
      </c>
      <c r="G102" s="195"/>
      <c r="H102" s="195">
        <f t="shared" si="25"/>
        <v>0</v>
      </c>
      <c r="I102" s="195">
        <f t="shared" si="26"/>
        <v>0</v>
      </c>
      <c r="J102" s="195">
        <f t="shared" si="27"/>
        <v>0</v>
      </c>
      <c r="K102" s="195">
        <f t="shared" si="28"/>
        <v>0</v>
      </c>
      <c r="L102" s="189"/>
      <c r="M102" s="195">
        <f t="shared" si="30"/>
        <v>0</v>
      </c>
      <c r="N102" s="192">
        <f t="shared" si="31"/>
        <v>0</v>
      </c>
    </row>
    <row r="103" spans="1:14" ht="18" customHeight="1">
      <c r="A103" s="193" t="e">
        <f>#REF!</f>
        <v>#REF!</v>
      </c>
      <c r="B103" s="190" t="e">
        <f>VLOOKUP($A103,#REF!,2,FALSE)</f>
        <v>#REF!</v>
      </c>
      <c r="C103" s="947" t="e">
        <f>VLOOKUP($A103,#REF!,3,FALSE)</f>
        <v>#REF!</v>
      </c>
      <c r="D103" s="191" t="e">
        <f>VLOOKUP($A103,#REF!,4,FALSE)</f>
        <v>#REF!</v>
      </c>
      <c r="E103" s="3">
        <f t="shared" si="23"/>
        <v>0</v>
      </c>
      <c r="F103" s="195" t="e">
        <f>INT(IF(ISERROR(VLOOKUP($A103,일위11,10,FALSE)),VLOOKUP($A103,#REF!,11,FALSE),VLOOKUP($A103,일위11,10,FALSE)))*$P$3</f>
        <v>#REF!</v>
      </c>
      <c r="G103" s="195" t="e">
        <f t="shared" si="24"/>
        <v>#REF!</v>
      </c>
      <c r="H103" s="195">
        <f t="shared" si="25"/>
        <v>0</v>
      </c>
      <c r="I103" s="195">
        <f t="shared" si="26"/>
        <v>0</v>
      </c>
      <c r="J103" s="195">
        <f t="shared" si="27"/>
        <v>0</v>
      </c>
      <c r="K103" s="195">
        <f t="shared" si="28"/>
        <v>0</v>
      </c>
      <c r="L103" s="189" t="e">
        <f t="shared" si="29"/>
        <v>#REF!</v>
      </c>
      <c r="M103" s="195" t="e">
        <f t="shared" si="30"/>
        <v>#REF!</v>
      </c>
      <c r="N103" s="192">
        <f t="shared" si="31"/>
        <v>0</v>
      </c>
    </row>
    <row r="104" spans="1:14" ht="18" customHeight="1">
      <c r="A104" s="193" t="e">
        <f>#REF!</f>
        <v>#REF!</v>
      </c>
      <c r="B104" s="190" t="e">
        <f>VLOOKUP($A104,#REF!,2,FALSE)</f>
        <v>#REF!</v>
      </c>
      <c r="C104" s="947" t="e">
        <f>VLOOKUP($A104,#REF!,3,FALSE)</f>
        <v>#REF!</v>
      </c>
      <c r="D104" s="191" t="e">
        <f>VLOOKUP($A104,#REF!,4,FALSE)</f>
        <v>#REF!</v>
      </c>
      <c r="E104" s="3">
        <f t="shared" si="23"/>
        <v>0</v>
      </c>
      <c r="F104" s="195" t="e">
        <f>INT(IF(ISERROR(VLOOKUP($A104,일위11,10,FALSE)),VLOOKUP($A104,#REF!,11,FALSE),VLOOKUP($A104,일위11,10,FALSE)))*$P$3</f>
        <v>#REF!</v>
      </c>
      <c r="G104" s="195" t="e">
        <f t="shared" si="24"/>
        <v>#REF!</v>
      </c>
      <c r="H104" s="195">
        <f t="shared" si="25"/>
        <v>0</v>
      </c>
      <c r="I104" s="195">
        <f t="shared" si="26"/>
        <v>0</v>
      </c>
      <c r="J104" s="195">
        <f t="shared" si="27"/>
        <v>0</v>
      </c>
      <c r="K104" s="195">
        <f t="shared" si="28"/>
        <v>0</v>
      </c>
      <c r="L104" s="189" t="e">
        <f t="shared" si="29"/>
        <v>#REF!</v>
      </c>
      <c r="M104" s="195" t="e">
        <f t="shared" si="30"/>
        <v>#REF!</v>
      </c>
      <c r="N104" s="192">
        <f t="shared" si="31"/>
        <v>0</v>
      </c>
    </row>
    <row r="105" spans="1:14" ht="18" customHeight="1">
      <c r="A105" s="193" t="e">
        <f>#REF!</f>
        <v>#REF!</v>
      </c>
      <c r="B105" s="190" t="e">
        <f>VLOOKUP($A105,#REF!,2,FALSE)</f>
        <v>#REF!</v>
      </c>
      <c r="C105" s="947" t="e">
        <f>VLOOKUP($A105,#REF!,3,FALSE)</f>
        <v>#REF!</v>
      </c>
      <c r="D105" s="191" t="e">
        <f>VLOOKUP($A105,#REF!,4,FALSE)</f>
        <v>#REF!</v>
      </c>
      <c r="E105" s="3">
        <f t="shared" si="23"/>
        <v>0</v>
      </c>
      <c r="F105" s="195" t="e">
        <f>INT(IF(ISERROR(VLOOKUP($A105,일위11,10,FALSE)),VLOOKUP($A105,#REF!,11,FALSE),VLOOKUP($A105,일위11,10,FALSE)))*$P$3</f>
        <v>#REF!</v>
      </c>
      <c r="G105" s="195" t="e">
        <f t="shared" si="24"/>
        <v>#REF!</v>
      </c>
      <c r="H105" s="195">
        <f t="shared" si="25"/>
        <v>0</v>
      </c>
      <c r="I105" s="195">
        <f t="shared" si="26"/>
        <v>0</v>
      </c>
      <c r="J105" s="195">
        <f t="shared" si="27"/>
        <v>0</v>
      </c>
      <c r="K105" s="195">
        <f t="shared" si="28"/>
        <v>0</v>
      </c>
      <c r="L105" s="189" t="e">
        <f t="shared" si="29"/>
        <v>#REF!</v>
      </c>
      <c r="M105" s="195" t="e">
        <f t="shared" si="30"/>
        <v>#REF!</v>
      </c>
      <c r="N105" s="192">
        <f t="shared" si="31"/>
        <v>0</v>
      </c>
    </row>
    <row r="106" spans="1:14" ht="18" customHeight="1">
      <c r="A106" s="193" t="e">
        <f>#REF!</f>
        <v>#REF!</v>
      </c>
      <c r="B106" s="190" t="e">
        <f>VLOOKUP($A106,#REF!,2,FALSE)</f>
        <v>#REF!</v>
      </c>
      <c r="C106" s="947" t="e">
        <f>VLOOKUP($A106,#REF!,3,FALSE)</f>
        <v>#REF!</v>
      </c>
      <c r="D106" s="191" t="e">
        <f>VLOOKUP($A106,#REF!,4,FALSE)</f>
        <v>#REF!</v>
      </c>
      <c r="E106" s="3">
        <f t="shared" si="23"/>
        <v>0</v>
      </c>
      <c r="F106" s="195" t="e">
        <f>INT(IF(ISERROR(VLOOKUP($A106,일위11,10,FALSE)),VLOOKUP($A106,#REF!,11,FALSE),VLOOKUP($A106,일위11,10,FALSE)))*$P$3</f>
        <v>#REF!</v>
      </c>
      <c r="G106" s="195" t="e">
        <f t="shared" si="24"/>
        <v>#REF!</v>
      </c>
      <c r="H106" s="195">
        <f t="shared" si="25"/>
        <v>0</v>
      </c>
      <c r="I106" s="195">
        <f t="shared" si="26"/>
        <v>0</v>
      </c>
      <c r="J106" s="195">
        <f t="shared" si="27"/>
        <v>0</v>
      </c>
      <c r="K106" s="195">
        <f t="shared" si="28"/>
        <v>0</v>
      </c>
      <c r="L106" s="189" t="e">
        <f t="shared" si="29"/>
        <v>#REF!</v>
      </c>
      <c r="M106" s="195" t="e">
        <f t="shared" si="30"/>
        <v>#REF!</v>
      </c>
      <c r="N106" s="192">
        <f t="shared" si="31"/>
        <v>0</v>
      </c>
    </row>
    <row r="107" spans="1:14" ht="18" customHeight="1">
      <c r="A107" s="193" t="e">
        <f>#REF!</f>
        <v>#REF!</v>
      </c>
      <c r="B107" s="190" t="e">
        <f>VLOOKUP($A107,#REF!,2,FALSE)</f>
        <v>#REF!</v>
      </c>
      <c r="C107" s="947" t="e">
        <f>VLOOKUP($A107,#REF!,3,FALSE)</f>
        <v>#REF!</v>
      </c>
      <c r="D107" s="191" t="e">
        <f>VLOOKUP($A107,#REF!,4,FALSE)</f>
        <v>#REF!</v>
      </c>
      <c r="E107" s="3">
        <f t="shared" ref="E107:E135" si="32">IF(ISERROR(VLOOKUP($A107,신설집계,10,FALSE)),0,VLOOKUP($A107,신설집계,10,FALSE))</f>
        <v>0</v>
      </c>
      <c r="F107" s="195" t="e">
        <f>INT(IF(ISERROR(VLOOKUP($A107,일위11,10,FALSE)),VLOOKUP($A107,#REF!,11,FALSE),VLOOKUP($A107,일위11,10,FALSE)))*$P$3</f>
        <v>#REF!</v>
      </c>
      <c r="G107" s="195" t="e">
        <f t="shared" si="24"/>
        <v>#REF!</v>
      </c>
      <c r="H107" s="195">
        <f t="shared" si="25"/>
        <v>0</v>
      </c>
      <c r="I107" s="195">
        <f t="shared" si="26"/>
        <v>0</v>
      </c>
      <c r="J107" s="195">
        <f t="shared" si="27"/>
        <v>0</v>
      </c>
      <c r="K107" s="195">
        <f t="shared" si="28"/>
        <v>0</v>
      </c>
      <c r="L107" s="189" t="e">
        <f t="shared" si="29"/>
        <v>#REF!</v>
      </c>
      <c r="M107" s="195" t="e">
        <f t="shared" si="30"/>
        <v>#REF!</v>
      </c>
      <c r="N107" s="192">
        <f t="shared" si="31"/>
        <v>0</v>
      </c>
    </row>
    <row r="108" spans="1:14" ht="18" customHeight="1">
      <c r="A108" s="193" t="e">
        <f>#REF!</f>
        <v>#REF!</v>
      </c>
      <c r="B108" s="190" t="e">
        <f>VLOOKUP($A108,#REF!,2,FALSE)</f>
        <v>#REF!</v>
      </c>
      <c r="C108" s="947" t="e">
        <f>VLOOKUP($A108,#REF!,3,FALSE)</f>
        <v>#REF!</v>
      </c>
      <c r="D108" s="191" t="e">
        <f>VLOOKUP($A108,#REF!,4,FALSE)</f>
        <v>#REF!</v>
      </c>
      <c r="E108" s="3">
        <f t="shared" si="32"/>
        <v>0</v>
      </c>
      <c r="F108" s="195" t="e">
        <f>INT(IF(ISERROR(VLOOKUP($A108,일위11,10,FALSE)),VLOOKUP($A108,#REF!,11,FALSE),VLOOKUP($A108,일위11,10,FALSE)))*$P$3</f>
        <v>#REF!</v>
      </c>
      <c r="G108" s="195" t="e">
        <f t="shared" si="24"/>
        <v>#REF!</v>
      </c>
      <c r="H108" s="195">
        <f t="shared" si="25"/>
        <v>0</v>
      </c>
      <c r="I108" s="195">
        <f t="shared" si="26"/>
        <v>0</v>
      </c>
      <c r="J108" s="195">
        <f t="shared" si="27"/>
        <v>0</v>
      </c>
      <c r="K108" s="195">
        <f t="shared" si="28"/>
        <v>0</v>
      </c>
      <c r="L108" s="189" t="e">
        <f t="shared" si="29"/>
        <v>#REF!</v>
      </c>
      <c r="M108" s="195" t="e">
        <f t="shared" si="30"/>
        <v>#REF!</v>
      </c>
      <c r="N108" s="192">
        <f t="shared" si="31"/>
        <v>0</v>
      </c>
    </row>
    <row r="109" spans="1:14" ht="18" customHeight="1">
      <c r="A109" s="193" t="e">
        <f>#REF!</f>
        <v>#REF!</v>
      </c>
      <c r="B109" s="190" t="e">
        <f>VLOOKUP($A109,#REF!,2,FALSE)</f>
        <v>#REF!</v>
      </c>
      <c r="C109" s="947" t="e">
        <f>VLOOKUP($A109,#REF!,3,FALSE)</f>
        <v>#REF!</v>
      </c>
      <c r="D109" s="191" t="e">
        <f>VLOOKUP($A109,#REF!,4,FALSE)</f>
        <v>#REF!</v>
      </c>
      <c r="E109" s="3">
        <f t="shared" si="32"/>
        <v>0</v>
      </c>
      <c r="F109" s="195" t="e">
        <f>INT(IF(ISERROR(VLOOKUP($A109,일위11,10,FALSE)),VLOOKUP($A109,#REF!,11,FALSE),VLOOKUP($A109,일위11,10,FALSE)))*$P$3</f>
        <v>#REF!</v>
      </c>
      <c r="G109" s="195" t="e">
        <f t="shared" si="24"/>
        <v>#REF!</v>
      </c>
      <c r="H109" s="195">
        <f t="shared" si="25"/>
        <v>0</v>
      </c>
      <c r="I109" s="195">
        <f t="shared" si="26"/>
        <v>0</v>
      </c>
      <c r="J109" s="195">
        <f t="shared" si="27"/>
        <v>0</v>
      </c>
      <c r="K109" s="195">
        <f t="shared" si="28"/>
        <v>0</v>
      </c>
      <c r="L109" s="189" t="e">
        <f t="shared" si="29"/>
        <v>#REF!</v>
      </c>
      <c r="M109" s="195" t="e">
        <f t="shared" si="30"/>
        <v>#REF!</v>
      </c>
      <c r="N109" s="192">
        <f t="shared" si="31"/>
        <v>0</v>
      </c>
    </row>
    <row r="110" spans="1:14" ht="18" customHeight="1">
      <c r="A110" s="193" t="e">
        <f>#REF!</f>
        <v>#REF!</v>
      </c>
      <c r="B110" s="190" t="e">
        <f>VLOOKUP($A110,#REF!,2,FALSE)</f>
        <v>#REF!</v>
      </c>
      <c r="C110" s="947" t="e">
        <f>VLOOKUP($A110,#REF!,3,FALSE)</f>
        <v>#REF!</v>
      </c>
      <c r="D110" s="191" t="e">
        <f>VLOOKUP($A110,#REF!,4,FALSE)</f>
        <v>#REF!</v>
      </c>
      <c r="E110" s="3">
        <f t="shared" si="32"/>
        <v>0</v>
      </c>
      <c r="F110" s="195" t="e">
        <f>INT(IF(ISERROR(VLOOKUP($A110,일위11,10,FALSE)),VLOOKUP($A110,#REF!,11,FALSE),VLOOKUP($A110,일위11,10,FALSE)))*$P$3</f>
        <v>#REF!</v>
      </c>
      <c r="G110" s="195" t="e">
        <f t="shared" si="24"/>
        <v>#REF!</v>
      </c>
      <c r="H110" s="195">
        <f t="shared" si="25"/>
        <v>0</v>
      </c>
      <c r="I110" s="195">
        <f t="shared" si="26"/>
        <v>0</v>
      </c>
      <c r="J110" s="195">
        <f t="shared" si="27"/>
        <v>0</v>
      </c>
      <c r="K110" s="195">
        <f t="shared" si="28"/>
        <v>0</v>
      </c>
      <c r="L110" s="189" t="e">
        <f t="shared" si="29"/>
        <v>#REF!</v>
      </c>
      <c r="M110" s="195" t="e">
        <f t="shared" si="30"/>
        <v>#REF!</v>
      </c>
      <c r="N110" s="192">
        <f t="shared" si="31"/>
        <v>0</v>
      </c>
    </row>
    <row r="111" spans="1:14" ht="18" customHeight="1">
      <c r="A111" s="193" t="e">
        <f>#REF!</f>
        <v>#REF!</v>
      </c>
      <c r="B111" s="190" t="e">
        <f>VLOOKUP($A111,#REF!,2,FALSE)</f>
        <v>#REF!</v>
      </c>
      <c r="C111" s="947" t="e">
        <f>VLOOKUP($A111,#REF!,3,FALSE)</f>
        <v>#REF!</v>
      </c>
      <c r="D111" s="191" t="e">
        <f>VLOOKUP($A111,#REF!,4,FALSE)</f>
        <v>#REF!</v>
      </c>
      <c r="E111" s="3">
        <f t="shared" si="32"/>
        <v>0</v>
      </c>
      <c r="F111" s="195" t="e">
        <f>INT(IF(ISERROR(VLOOKUP($A111,일위11,10,FALSE)),VLOOKUP($A111,#REF!,11,FALSE),VLOOKUP($A111,일위11,10,FALSE)))*$P$3</f>
        <v>#REF!</v>
      </c>
      <c r="G111" s="195" t="e">
        <f t="shared" si="24"/>
        <v>#REF!</v>
      </c>
      <c r="H111" s="195">
        <f t="shared" si="25"/>
        <v>0</v>
      </c>
      <c r="I111" s="195">
        <f t="shared" si="26"/>
        <v>0</v>
      </c>
      <c r="J111" s="195">
        <f t="shared" si="27"/>
        <v>0</v>
      </c>
      <c r="K111" s="195">
        <f t="shared" si="28"/>
        <v>0</v>
      </c>
      <c r="L111" s="189" t="e">
        <f t="shared" si="29"/>
        <v>#REF!</v>
      </c>
      <c r="M111" s="195" t="e">
        <f t="shared" si="30"/>
        <v>#REF!</v>
      </c>
      <c r="N111" s="192">
        <f t="shared" si="31"/>
        <v>0</v>
      </c>
    </row>
    <row r="112" spans="1:14" ht="18" customHeight="1">
      <c r="A112" s="193" t="e">
        <f>#REF!</f>
        <v>#REF!</v>
      </c>
      <c r="B112" s="190" t="e">
        <f>VLOOKUP($A112,#REF!,2,FALSE)</f>
        <v>#REF!</v>
      </c>
      <c r="C112" s="947" t="e">
        <f>VLOOKUP($A112,#REF!,3,FALSE)</f>
        <v>#REF!</v>
      </c>
      <c r="D112" s="191" t="e">
        <f>VLOOKUP($A112,#REF!,4,FALSE)</f>
        <v>#REF!</v>
      </c>
      <c r="E112" s="3">
        <f t="shared" si="32"/>
        <v>0</v>
      </c>
      <c r="F112" s="195" t="e">
        <f>INT(IF(ISERROR(VLOOKUP($A112,일위11,10,FALSE)),VLOOKUP($A112,#REF!,11,FALSE),VLOOKUP($A112,일위11,10,FALSE)))*$P$3</f>
        <v>#REF!</v>
      </c>
      <c r="G112" s="195" t="e">
        <f t="shared" si="24"/>
        <v>#REF!</v>
      </c>
      <c r="H112" s="195">
        <f t="shared" si="25"/>
        <v>0</v>
      </c>
      <c r="I112" s="195">
        <f t="shared" si="26"/>
        <v>0</v>
      </c>
      <c r="J112" s="195">
        <f t="shared" si="27"/>
        <v>0</v>
      </c>
      <c r="K112" s="195">
        <f t="shared" si="28"/>
        <v>0</v>
      </c>
      <c r="L112" s="189" t="e">
        <f t="shared" si="29"/>
        <v>#REF!</v>
      </c>
      <c r="M112" s="195" t="e">
        <f t="shared" si="30"/>
        <v>#REF!</v>
      </c>
      <c r="N112" s="192">
        <f t="shared" si="31"/>
        <v>0</v>
      </c>
    </row>
    <row r="113" spans="1:14" ht="18" customHeight="1">
      <c r="A113" s="193" t="e">
        <f>#REF!</f>
        <v>#REF!</v>
      </c>
      <c r="B113" s="190" t="e">
        <f>VLOOKUP($A113,#REF!,2,FALSE)</f>
        <v>#REF!</v>
      </c>
      <c r="C113" s="947" t="e">
        <f>VLOOKUP($A113,#REF!,3,FALSE)</f>
        <v>#REF!</v>
      </c>
      <c r="D113" s="191" t="e">
        <f>VLOOKUP($A113,#REF!,4,FALSE)</f>
        <v>#REF!</v>
      </c>
      <c r="E113" s="3">
        <f t="shared" si="32"/>
        <v>0</v>
      </c>
      <c r="F113" s="195" t="e">
        <f>INT(IF(ISERROR(VLOOKUP($A113,일위11,10,FALSE)),VLOOKUP($A113,#REF!,11,FALSE),VLOOKUP($A113,일위11,10,FALSE)))*$P$3</f>
        <v>#REF!</v>
      </c>
      <c r="G113" s="195" t="e">
        <f t="shared" si="24"/>
        <v>#REF!</v>
      </c>
      <c r="H113" s="195">
        <f t="shared" si="25"/>
        <v>0</v>
      </c>
      <c r="I113" s="195">
        <f t="shared" si="26"/>
        <v>0</v>
      </c>
      <c r="J113" s="195">
        <f t="shared" si="27"/>
        <v>0</v>
      </c>
      <c r="K113" s="195">
        <f t="shared" si="28"/>
        <v>0</v>
      </c>
      <c r="L113" s="189" t="e">
        <f t="shared" si="29"/>
        <v>#REF!</v>
      </c>
      <c r="M113" s="195" t="e">
        <f t="shared" si="30"/>
        <v>#REF!</v>
      </c>
      <c r="N113" s="192">
        <f t="shared" si="31"/>
        <v>0</v>
      </c>
    </row>
    <row r="114" spans="1:14" ht="18" customHeight="1">
      <c r="A114" s="193" t="e">
        <f>#REF!</f>
        <v>#REF!</v>
      </c>
      <c r="B114" s="190" t="e">
        <f>VLOOKUP($A114,#REF!,2,FALSE)</f>
        <v>#REF!</v>
      </c>
      <c r="C114" s="947" t="e">
        <f>VLOOKUP($A114,#REF!,3,FALSE)</f>
        <v>#REF!</v>
      </c>
      <c r="D114" s="191" t="e">
        <f>VLOOKUP($A114,#REF!,4,FALSE)</f>
        <v>#REF!</v>
      </c>
      <c r="E114" s="3">
        <f t="shared" si="32"/>
        <v>0</v>
      </c>
      <c r="F114" s="195" t="e">
        <f>INT(IF(ISERROR(VLOOKUP($A114,일위11,10,FALSE)),VLOOKUP($A114,#REF!,11,FALSE),VLOOKUP($A114,일위11,10,FALSE)))*$P$3</f>
        <v>#REF!</v>
      </c>
      <c r="G114" s="195" t="e">
        <f t="shared" si="24"/>
        <v>#REF!</v>
      </c>
      <c r="H114" s="195">
        <f t="shared" si="25"/>
        <v>0</v>
      </c>
      <c r="I114" s="195">
        <f t="shared" si="26"/>
        <v>0</v>
      </c>
      <c r="J114" s="195">
        <f t="shared" si="27"/>
        <v>0</v>
      </c>
      <c r="K114" s="195">
        <f t="shared" si="28"/>
        <v>0</v>
      </c>
      <c r="L114" s="189" t="e">
        <f t="shared" si="29"/>
        <v>#REF!</v>
      </c>
      <c r="M114" s="195" t="e">
        <f t="shared" si="30"/>
        <v>#REF!</v>
      </c>
      <c r="N114" s="192">
        <f t="shared" si="31"/>
        <v>0</v>
      </c>
    </row>
    <row r="115" spans="1:14" ht="18" customHeight="1">
      <c r="A115" s="193" t="e">
        <f>#REF!</f>
        <v>#REF!</v>
      </c>
      <c r="B115" s="190" t="e">
        <f>VLOOKUP($A115,#REF!,2,FALSE)</f>
        <v>#REF!</v>
      </c>
      <c r="C115" s="947" t="e">
        <f>VLOOKUP($A115,#REF!,3,FALSE)</f>
        <v>#REF!</v>
      </c>
      <c r="D115" s="191" t="e">
        <f>VLOOKUP($A115,#REF!,4,FALSE)</f>
        <v>#REF!</v>
      </c>
      <c r="E115" s="3">
        <f t="shared" si="32"/>
        <v>0</v>
      </c>
      <c r="F115" s="195" t="e">
        <f>INT(IF(ISERROR(VLOOKUP($A115,일위11,10,FALSE)),VLOOKUP($A115,#REF!,11,FALSE),VLOOKUP($A115,일위11,10,FALSE)))*$P$3</f>
        <v>#REF!</v>
      </c>
      <c r="G115" s="195" t="e">
        <f t="shared" si="24"/>
        <v>#REF!</v>
      </c>
      <c r="H115" s="195">
        <f t="shared" si="25"/>
        <v>0</v>
      </c>
      <c r="I115" s="195">
        <f t="shared" si="26"/>
        <v>0</v>
      </c>
      <c r="J115" s="195">
        <f t="shared" si="27"/>
        <v>0</v>
      </c>
      <c r="K115" s="195">
        <f t="shared" si="28"/>
        <v>0</v>
      </c>
      <c r="L115" s="189" t="e">
        <f t="shared" si="29"/>
        <v>#REF!</v>
      </c>
      <c r="M115" s="195" t="e">
        <f t="shared" si="30"/>
        <v>#REF!</v>
      </c>
      <c r="N115" s="192">
        <f t="shared" si="31"/>
        <v>0</v>
      </c>
    </row>
    <row r="116" spans="1:14" ht="18" customHeight="1">
      <c r="A116" s="193" t="e">
        <f>#REF!</f>
        <v>#REF!</v>
      </c>
      <c r="B116" s="190" t="e">
        <f>VLOOKUP($A116,#REF!,2,FALSE)</f>
        <v>#REF!</v>
      </c>
      <c r="C116" s="947" t="e">
        <f>VLOOKUP($A116,#REF!,3,FALSE)</f>
        <v>#REF!</v>
      </c>
      <c r="D116" s="191" t="e">
        <f>VLOOKUP($A116,#REF!,4,FALSE)</f>
        <v>#REF!</v>
      </c>
      <c r="E116" s="3">
        <f t="shared" si="32"/>
        <v>0</v>
      </c>
      <c r="F116" s="195" t="e">
        <f>INT(IF(ISERROR(VLOOKUP($A116,일위11,10,FALSE)),VLOOKUP($A116,#REF!,11,FALSE),VLOOKUP($A116,일위11,10,FALSE)))*$P$3</f>
        <v>#REF!</v>
      </c>
      <c r="G116" s="195" t="e">
        <f t="shared" si="24"/>
        <v>#REF!</v>
      </c>
      <c r="H116" s="195">
        <f t="shared" si="25"/>
        <v>0</v>
      </c>
      <c r="I116" s="195">
        <f t="shared" si="26"/>
        <v>0</v>
      </c>
      <c r="J116" s="195">
        <f t="shared" si="27"/>
        <v>0</v>
      </c>
      <c r="K116" s="195">
        <f t="shared" si="28"/>
        <v>0</v>
      </c>
      <c r="L116" s="189" t="e">
        <f t="shared" si="29"/>
        <v>#REF!</v>
      </c>
      <c r="M116" s="195" t="e">
        <f t="shared" si="30"/>
        <v>#REF!</v>
      </c>
      <c r="N116" s="192">
        <f t="shared" si="31"/>
        <v>0</v>
      </c>
    </row>
    <row r="117" spans="1:14" ht="18" customHeight="1">
      <c r="A117" s="193" t="e">
        <f>#REF!</f>
        <v>#REF!</v>
      </c>
      <c r="B117" s="190" t="e">
        <f>VLOOKUP($A117,#REF!,2,FALSE)</f>
        <v>#REF!</v>
      </c>
      <c r="C117" s="947" t="e">
        <f>VLOOKUP($A117,#REF!,3,FALSE)</f>
        <v>#REF!</v>
      </c>
      <c r="D117" s="191" t="e">
        <f>VLOOKUP($A117,#REF!,4,FALSE)</f>
        <v>#REF!</v>
      </c>
      <c r="E117" s="3">
        <f t="shared" si="32"/>
        <v>0</v>
      </c>
      <c r="F117" s="195" t="e">
        <f>INT(IF(ISERROR(VLOOKUP($A117,일위11,10,FALSE)),VLOOKUP($A117,#REF!,11,FALSE),VLOOKUP($A117,일위11,10,FALSE)))*$P$3</f>
        <v>#REF!</v>
      </c>
      <c r="G117" s="195" t="e">
        <f t="shared" si="24"/>
        <v>#REF!</v>
      </c>
      <c r="H117" s="195">
        <f t="shared" si="25"/>
        <v>0</v>
      </c>
      <c r="I117" s="195">
        <f t="shared" si="26"/>
        <v>0</v>
      </c>
      <c r="J117" s="195">
        <f t="shared" si="27"/>
        <v>0</v>
      </c>
      <c r="K117" s="195">
        <f t="shared" si="28"/>
        <v>0</v>
      </c>
      <c r="L117" s="189" t="e">
        <f t="shared" si="29"/>
        <v>#REF!</v>
      </c>
      <c r="M117" s="195" t="e">
        <f t="shared" si="30"/>
        <v>#REF!</v>
      </c>
      <c r="N117" s="192">
        <f t="shared" si="31"/>
        <v>0</v>
      </c>
    </row>
    <row r="118" spans="1:14" ht="18" customHeight="1">
      <c r="A118" s="193" t="e">
        <f>#REF!</f>
        <v>#REF!</v>
      </c>
      <c r="B118" s="190" t="e">
        <f>VLOOKUP($A118,#REF!,2,FALSE)</f>
        <v>#REF!</v>
      </c>
      <c r="C118" s="947" t="e">
        <f>VLOOKUP($A118,#REF!,3,FALSE)</f>
        <v>#REF!</v>
      </c>
      <c r="D118" s="191" t="e">
        <f>VLOOKUP($A118,#REF!,4,FALSE)</f>
        <v>#REF!</v>
      </c>
      <c r="E118" s="3">
        <f t="shared" si="32"/>
        <v>0</v>
      </c>
      <c r="F118" s="195" t="e">
        <f>INT(IF(ISERROR(VLOOKUP($A118,일위11,10,FALSE)),VLOOKUP($A118,#REF!,11,FALSE),VLOOKUP($A118,일위11,10,FALSE)))*$P$3</f>
        <v>#REF!</v>
      </c>
      <c r="G118" s="195" t="e">
        <f t="shared" si="24"/>
        <v>#REF!</v>
      </c>
      <c r="H118" s="195">
        <f t="shared" si="25"/>
        <v>0</v>
      </c>
      <c r="I118" s="195">
        <f t="shared" si="26"/>
        <v>0</v>
      </c>
      <c r="J118" s="195">
        <f t="shared" si="27"/>
        <v>0</v>
      </c>
      <c r="K118" s="195">
        <f t="shared" si="28"/>
        <v>0</v>
      </c>
      <c r="L118" s="189" t="e">
        <f t="shared" si="29"/>
        <v>#REF!</v>
      </c>
      <c r="M118" s="195" t="e">
        <f t="shared" si="30"/>
        <v>#REF!</v>
      </c>
      <c r="N118" s="192">
        <f t="shared" si="31"/>
        <v>0</v>
      </c>
    </row>
    <row r="119" spans="1:14" ht="18" customHeight="1">
      <c r="A119" s="193" t="e">
        <f>#REF!</f>
        <v>#REF!</v>
      </c>
      <c r="B119" s="190" t="e">
        <f>VLOOKUP($A119,#REF!,2,FALSE)</f>
        <v>#REF!</v>
      </c>
      <c r="C119" s="947" t="e">
        <f>VLOOKUP($A119,#REF!,3,FALSE)</f>
        <v>#REF!</v>
      </c>
      <c r="D119" s="191" t="e">
        <f>VLOOKUP($A119,#REF!,4,FALSE)</f>
        <v>#REF!</v>
      </c>
      <c r="E119" s="3">
        <f t="shared" si="32"/>
        <v>0</v>
      </c>
      <c r="F119" s="195" t="e">
        <f>INT(IF(ISERROR(VLOOKUP($A119,일위11,10,FALSE)),VLOOKUP($A119,#REF!,11,FALSE),VLOOKUP($A119,일위11,10,FALSE)))*$P$3</f>
        <v>#REF!</v>
      </c>
      <c r="G119" s="195" t="e">
        <f t="shared" si="24"/>
        <v>#REF!</v>
      </c>
      <c r="H119" s="195">
        <f t="shared" si="25"/>
        <v>0</v>
      </c>
      <c r="I119" s="195">
        <f t="shared" si="26"/>
        <v>0</v>
      </c>
      <c r="J119" s="195">
        <f t="shared" si="27"/>
        <v>0</v>
      </c>
      <c r="K119" s="195">
        <f t="shared" si="28"/>
        <v>0</v>
      </c>
      <c r="L119" s="189" t="e">
        <f t="shared" si="29"/>
        <v>#REF!</v>
      </c>
      <c r="M119" s="195" t="e">
        <f t="shared" si="30"/>
        <v>#REF!</v>
      </c>
      <c r="N119" s="192">
        <f t="shared" si="31"/>
        <v>0</v>
      </c>
    </row>
    <row r="120" spans="1:14" ht="18" customHeight="1">
      <c r="A120" s="937" t="e">
        <f>#REF!</f>
        <v>#REF!</v>
      </c>
      <c r="B120" s="190" t="e">
        <f>VLOOKUP($A120,#REF!,2,FALSE)</f>
        <v>#REF!</v>
      </c>
      <c r="C120" s="947" t="e">
        <f>VLOOKUP($A120,#REF!,3,FALSE)</f>
        <v>#REF!</v>
      </c>
      <c r="D120" s="191" t="e">
        <f>VLOOKUP($A120,#REF!,4,FALSE)</f>
        <v>#REF!</v>
      </c>
      <c r="E120" s="3">
        <f t="shared" si="32"/>
        <v>0</v>
      </c>
      <c r="F120" s="195" t="e">
        <f>INT(IF(ISERROR(VLOOKUP($A120,일위11,10,FALSE)),VLOOKUP($A120,#REF!,11,FALSE),VLOOKUP($A120,일위11,10,FALSE)))*$P$3</f>
        <v>#REF!</v>
      </c>
      <c r="G120" s="195" t="e">
        <f t="shared" ref="G120" si="33">INT(E120*F120)</f>
        <v>#REF!</v>
      </c>
      <c r="H120" s="195">
        <f t="shared" si="25"/>
        <v>0</v>
      </c>
      <c r="I120" s="195">
        <f t="shared" ref="I120" si="34">INT(E120*H120)</f>
        <v>0</v>
      </c>
      <c r="J120" s="195">
        <f t="shared" si="27"/>
        <v>0</v>
      </c>
      <c r="K120" s="195">
        <f t="shared" ref="K120" si="35">INT(E120*J120)</f>
        <v>0</v>
      </c>
      <c r="L120" s="189" t="e">
        <f t="shared" ref="L120" si="36">F120+H120+J120</f>
        <v>#REF!</v>
      </c>
      <c r="M120" s="195" t="e">
        <f t="shared" ref="M120" si="37">INT(G120+I120+K120)</f>
        <v>#REF!</v>
      </c>
      <c r="N120" s="192">
        <f t="shared" si="31"/>
        <v>0</v>
      </c>
    </row>
    <row r="121" spans="1:14" ht="18" customHeight="1">
      <c r="A121" s="937" t="e">
        <f>#REF!</f>
        <v>#REF!</v>
      </c>
      <c r="B121" s="190" t="e">
        <f>VLOOKUP($A121,#REF!,2,FALSE)</f>
        <v>#REF!</v>
      </c>
      <c r="C121" s="947" t="e">
        <f>VLOOKUP($A121,#REF!,3,FALSE)</f>
        <v>#REF!</v>
      </c>
      <c r="D121" s="191" t="e">
        <f>VLOOKUP($A121,#REF!,4,FALSE)</f>
        <v>#REF!</v>
      </c>
      <c r="E121" s="3">
        <f t="shared" si="32"/>
        <v>0</v>
      </c>
      <c r="F121" s="195" t="e">
        <f>INT(IF(ISERROR(VLOOKUP($A121,일위11,10,FALSE)),VLOOKUP($A121,#REF!,11,FALSE),VLOOKUP($A121,일위11,10,FALSE)))*$P$3</f>
        <v>#REF!</v>
      </c>
      <c r="G121" s="195" t="e">
        <f t="shared" si="24"/>
        <v>#REF!</v>
      </c>
      <c r="H121" s="195">
        <f t="shared" si="25"/>
        <v>0</v>
      </c>
      <c r="I121" s="195">
        <f t="shared" si="26"/>
        <v>0</v>
      </c>
      <c r="J121" s="195">
        <f t="shared" si="27"/>
        <v>0</v>
      </c>
      <c r="K121" s="195">
        <f t="shared" si="28"/>
        <v>0</v>
      </c>
      <c r="L121" s="189" t="e">
        <f t="shared" si="29"/>
        <v>#REF!</v>
      </c>
      <c r="M121" s="195" t="e">
        <f t="shared" si="30"/>
        <v>#REF!</v>
      </c>
      <c r="N121" s="192">
        <f t="shared" si="31"/>
        <v>0</v>
      </c>
    </row>
    <row r="122" spans="1:14" ht="18" customHeight="1">
      <c r="A122" s="193" t="e">
        <f>#REF!</f>
        <v>#REF!</v>
      </c>
      <c r="B122" s="190" t="e">
        <f>VLOOKUP($A122,#REF!,2,FALSE)</f>
        <v>#REF!</v>
      </c>
      <c r="C122" s="947" t="e">
        <f>VLOOKUP($A122,#REF!,3,FALSE)</f>
        <v>#REF!</v>
      </c>
      <c r="D122" s="191" t="e">
        <f>VLOOKUP($A122,#REF!,4,FALSE)</f>
        <v>#REF!</v>
      </c>
      <c r="E122" s="3">
        <f t="shared" si="32"/>
        <v>0</v>
      </c>
      <c r="F122" s="195" t="e">
        <f>INT(IF(ISERROR(VLOOKUP($A122,일위11,10,FALSE)),VLOOKUP($A122,#REF!,11,FALSE),VLOOKUP($A122,일위11,10,FALSE)))*$P$3</f>
        <v>#REF!</v>
      </c>
      <c r="G122" s="195" t="e">
        <f t="shared" si="24"/>
        <v>#REF!</v>
      </c>
      <c r="H122" s="195">
        <f t="shared" si="25"/>
        <v>0</v>
      </c>
      <c r="I122" s="195">
        <f t="shared" si="26"/>
        <v>0</v>
      </c>
      <c r="J122" s="195">
        <f t="shared" si="27"/>
        <v>0</v>
      </c>
      <c r="K122" s="195">
        <f t="shared" si="28"/>
        <v>0</v>
      </c>
      <c r="L122" s="189" t="e">
        <f t="shared" si="29"/>
        <v>#REF!</v>
      </c>
      <c r="M122" s="195" t="e">
        <f t="shared" si="30"/>
        <v>#REF!</v>
      </c>
      <c r="N122" s="192">
        <f t="shared" si="31"/>
        <v>0</v>
      </c>
    </row>
    <row r="123" spans="1:14" ht="18" customHeight="1">
      <c r="A123" s="193" t="e">
        <f>#REF!</f>
        <v>#REF!</v>
      </c>
      <c r="B123" s="190" t="e">
        <f>VLOOKUP($A123,#REF!,2,FALSE)</f>
        <v>#REF!</v>
      </c>
      <c r="C123" s="947" t="e">
        <f>VLOOKUP($A123,#REF!,3,FALSE)</f>
        <v>#REF!</v>
      </c>
      <c r="D123" s="191" t="e">
        <f>VLOOKUP($A123,#REF!,4,FALSE)</f>
        <v>#REF!</v>
      </c>
      <c r="E123" s="3">
        <f t="shared" si="32"/>
        <v>0</v>
      </c>
      <c r="F123" s="189" t="s">
        <v>1569</v>
      </c>
      <c r="G123" s="195"/>
      <c r="H123" s="195">
        <f t="shared" si="25"/>
        <v>0</v>
      </c>
      <c r="I123" s="195">
        <f t="shared" si="26"/>
        <v>0</v>
      </c>
      <c r="J123" s="195">
        <f t="shared" si="27"/>
        <v>0</v>
      </c>
      <c r="K123" s="195">
        <f t="shared" si="28"/>
        <v>0</v>
      </c>
      <c r="L123" s="189"/>
      <c r="M123" s="195">
        <f t="shared" si="30"/>
        <v>0</v>
      </c>
      <c r="N123" s="192">
        <f t="shared" si="31"/>
        <v>0</v>
      </c>
    </row>
    <row r="124" spans="1:14" ht="18" customHeight="1">
      <c r="A124" s="193" t="e">
        <f>#REF!</f>
        <v>#REF!</v>
      </c>
      <c r="B124" s="190" t="e">
        <f>VLOOKUP($A124,#REF!,2,FALSE)</f>
        <v>#REF!</v>
      </c>
      <c r="C124" s="947" t="e">
        <f>VLOOKUP($A124,#REF!,3,FALSE)</f>
        <v>#REF!</v>
      </c>
      <c r="D124" s="191" t="e">
        <f>VLOOKUP($A124,#REF!,4,FALSE)</f>
        <v>#REF!</v>
      </c>
      <c r="E124" s="3">
        <f t="shared" si="32"/>
        <v>0</v>
      </c>
      <c r="F124" s="195" t="e">
        <f>INT(IF(ISERROR(VLOOKUP($A124,일위11,10,FALSE)),VLOOKUP($A124,#REF!,11,FALSE),VLOOKUP($A124,일위11,10,FALSE)))*$P$3</f>
        <v>#REF!</v>
      </c>
      <c r="G124" s="195" t="e">
        <f t="shared" si="24"/>
        <v>#REF!</v>
      </c>
      <c r="H124" s="195">
        <f t="shared" si="25"/>
        <v>0</v>
      </c>
      <c r="I124" s="195">
        <f t="shared" si="26"/>
        <v>0</v>
      </c>
      <c r="J124" s="195">
        <f t="shared" si="27"/>
        <v>0</v>
      </c>
      <c r="K124" s="195">
        <f t="shared" si="28"/>
        <v>0</v>
      </c>
      <c r="L124" s="189" t="e">
        <f t="shared" si="29"/>
        <v>#REF!</v>
      </c>
      <c r="M124" s="195" t="e">
        <f t="shared" si="30"/>
        <v>#REF!</v>
      </c>
      <c r="N124" s="192">
        <f t="shared" si="31"/>
        <v>0</v>
      </c>
    </row>
    <row r="125" spans="1:14" ht="18" customHeight="1">
      <c r="A125" s="193" t="e">
        <f>#REF!</f>
        <v>#REF!</v>
      </c>
      <c r="B125" s="190" t="e">
        <f>VLOOKUP($A125,#REF!,2,FALSE)</f>
        <v>#REF!</v>
      </c>
      <c r="C125" s="947" t="e">
        <f>VLOOKUP($A125,#REF!,3,FALSE)</f>
        <v>#REF!</v>
      </c>
      <c r="D125" s="191" t="e">
        <f>VLOOKUP($A125,#REF!,4,FALSE)</f>
        <v>#REF!</v>
      </c>
      <c r="E125" s="3">
        <f t="shared" si="32"/>
        <v>0</v>
      </c>
      <c r="F125" s="195" t="e">
        <f>INT(IF(ISERROR(VLOOKUP($A125,일위11,10,FALSE)),VLOOKUP($A125,#REF!,11,FALSE),VLOOKUP($A125,일위11,10,FALSE)))*$P$3</f>
        <v>#REF!</v>
      </c>
      <c r="G125" s="195" t="e">
        <f t="shared" si="24"/>
        <v>#REF!</v>
      </c>
      <c r="H125" s="195">
        <f t="shared" si="25"/>
        <v>0</v>
      </c>
      <c r="I125" s="195">
        <f t="shared" si="26"/>
        <v>0</v>
      </c>
      <c r="J125" s="195">
        <f t="shared" si="27"/>
        <v>0</v>
      </c>
      <c r="K125" s="195">
        <f t="shared" si="28"/>
        <v>0</v>
      </c>
      <c r="L125" s="189" t="e">
        <f t="shared" si="29"/>
        <v>#REF!</v>
      </c>
      <c r="M125" s="195" t="e">
        <f t="shared" si="30"/>
        <v>#REF!</v>
      </c>
      <c r="N125" s="192">
        <f t="shared" si="31"/>
        <v>0</v>
      </c>
    </row>
    <row r="126" spans="1:14" ht="18" customHeight="1">
      <c r="A126" s="193" t="e">
        <f>#REF!</f>
        <v>#REF!</v>
      </c>
      <c r="B126" s="190" t="e">
        <f>VLOOKUP($A126,#REF!,2,FALSE)</f>
        <v>#REF!</v>
      </c>
      <c r="C126" s="947" t="e">
        <f>VLOOKUP($A126,#REF!,3,FALSE)</f>
        <v>#REF!</v>
      </c>
      <c r="D126" s="191" t="e">
        <f>VLOOKUP($A126,#REF!,4,FALSE)</f>
        <v>#REF!</v>
      </c>
      <c r="E126" s="3">
        <f t="shared" si="32"/>
        <v>0</v>
      </c>
      <c r="F126" s="195" t="e">
        <f>INT(IF(ISERROR(VLOOKUP($A126,일위11,10,FALSE)),VLOOKUP($A126,#REF!,11,FALSE),VLOOKUP($A126,일위11,10,FALSE)))*$P$3</f>
        <v>#REF!</v>
      </c>
      <c r="G126" s="195" t="e">
        <f t="shared" si="24"/>
        <v>#REF!</v>
      </c>
      <c r="H126" s="195">
        <f t="shared" si="25"/>
        <v>0</v>
      </c>
      <c r="I126" s="195">
        <f t="shared" si="26"/>
        <v>0</v>
      </c>
      <c r="J126" s="195">
        <f t="shared" si="27"/>
        <v>0</v>
      </c>
      <c r="K126" s="195">
        <f t="shared" si="28"/>
        <v>0</v>
      </c>
      <c r="L126" s="189" t="e">
        <f t="shared" si="29"/>
        <v>#REF!</v>
      </c>
      <c r="M126" s="195" t="e">
        <f t="shared" si="30"/>
        <v>#REF!</v>
      </c>
      <c r="N126" s="192">
        <f t="shared" si="31"/>
        <v>0</v>
      </c>
    </row>
    <row r="127" spans="1:14" ht="18" customHeight="1">
      <c r="A127" s="193" t="e">
        <f>#REF!</f>
        <v>#REF!</v>
      </c>
      <c r="B127" s="190" t="e">
        <f>VLOOKUP($A127,#REF!,2,FALSE)</f>
        <v>#REF!</v>
      </c>
      <c r="C127" s="947" t="e">
        <f>VLOOKUP($A127,#REF!,3,FALSE)</f>
        <v>#REF!</v>
      </c>
      <c r="D127" s="191" t="e">
        <f>VLOOKUP($A127,#REF!,4,FALSE)</f>
        <v>#REF!</v>
      </c>
      <c r="E127" s="3">
        <f t="shared" si="32"/>
        <v>0</v>
      </c>
      <c r="F127" s="195" t="e">
        <f>INT(IF(ISERROR(VLOOKUP($A127,일위11,10,FALSE)),VLOOKUP($A127,#REF!,11,FALSE),VLOOKUP($A127,일위11,10,FALSE)))*$P$3</f>
        <v>#REF!</v>
      </c>
      <c r="G127" s="195" t="e">
        <f t="shared" si="24"/>
        <v>#REF!</v>
      </c>
      <c r="H127" s="195">
        <f t="shared" si="25"/>
        <v>0</v>
      </c>
      <c r="I127" s="195">
        <f t="shared" si="26"/>
        <v>0</v>
      </c>
      <c r="J127" s="195">
        <f t="shared" si="27"/>
        <v>0</v>
      </c>
      <c r="K127" s="195">
        <f t="shared" si="28"/>
        <v>0</v>
      </c>
      <c r="L127" s="189" t="e">
        <f t="shared" si="29"/>
        <v>#REF!</v>
      </c>
      <c r="M127" s="195" t="e">
        <f t="shared" si="30"/>
        <v>#REF!</v>
      </c>
      <c r="N127" s="192">
        <f t="shared" si="31"/>
        <v>0</v>
      </c>
    </row>
    <row r="128" spans="1:14" ht="18" customHeight="1">
      <c r="A128" s="193" t="e">
        <f>#REF!</f>
        <v>#REF!</v>
      </c>
      <c r="B128" s="190" t="e">
        <f>VLOOKUP($A128,#REF!,2,FALSE)</f>
        <v>#REF!</v>
      </c>
      <c r="C128" s="947" t="e">
        <f>VLOOKUP($A128,#REF!,3,FALSE)</f>
        <v>#REF!</v>
      </c>
      <c r="D128" s="191" t="e">
        <f>VLOOKUP($A128,#REF!,4,FALSE)</f>
        <v>#REF!</v>
      </c>
      <c r="E128" s="3">
        <f t="shared" si="32"/>
        <v>0</v>
      </c>
      <c r="F128" s="195" t="e">
        <f>INT(IF(ISERROR(VLOOKUP($A128,일위11,10,FALSE)),VLOOKUP($A128,#REF!,11,FALSE),VLOOKUP($A128,일위11,10,FALSE)))*$P$3</f>
        <v>#REF!</v>
      </c>
      <c r="G128" s="195" t="e">
        <f t="shared" si="24"/>
        <v>#REF!</v>
      </c>
      <c r="H128" s="195">
        <f t="shared" si="25"/>
        <v>0</v>
      </c>
      <c r="I128" s="195">
        <f t="shared" si="26"/>
        <v>0</v>
      </c>
      <c r="J128" s="195">
        <f t="shared" si="27"/>
        <v>0</v>
      </c>
      <c r="K128" s="195">
        <f t="shared" si="28"/>
        <v>0</v>
      </c>
      <c r="L128" s="189" t="e">
        <f t="shared" si="29"/>
        <v>#REF!</v>
      </c>
      <c r="M128" s="195" t="e">
        <f t="shared" si="30"/>
        <v>#REF!</v>
      </c>
      <c r="N128" s="192">
        <f t="shared" si="31"/>
        <v>0</v>
      </c>
    </row>
    <row r="129" spans="1:14" ht="18" customHeight="1">
      <c r="A129" s="193" t="e">
        <f>#REF!</f>
        <v>#REF!</v>
      </c>
      <c r="B129" s="190" t="e">
        <f>VLOOKUP($A129,#REF!,2,FALSE)</f>
        <v>#REF!</v>
      </c>
      <c r="C129" s="947" t="e">
        <f>VLOOKUP($A129,#REF!,3,FALSE)</f>
        <v>#REF!</v>
      </c>
      <c r="D129" s="191" t="e">
        <f>VLOOKUP($A129,#REF!,4,FALSE)</f>
        <v>#REF!</v>
      </c>
      <c r="E129" s="3">
        <f t="shared" si="32"/>
        <v>0</v>
      </c>
      <c r="F129" s="195" t="e">
        <f>INT(IF(ISERROR(VLOOKUP($A129,일위11,10,FALSE)),VLOOKUP($A129,#REF!,11,FALSE),VLOOKUP($A129,일위11,10,FALSE)))*$P$3</f>
        <v>#REF!</v>
      </c>
      <c r="G129" s="195" t="e">
        <f t="shared" si="24"/>
        <v>#REF!</v>
      </c>
      <c r="H129" s="195">
        <f t="shared" si="25"/>
        <v>0</v>
      </c>
      <c r="I129" s="195">
        <f t="shared" si="26"/>
        <v>0</v>
      </c>
      <c r="J129" s="195">
        <f t="shared" si="27"/>
        <v>0</v>
      </c>
      <c r="K129" s="195">
        <f t="shared" si="28"/>
        <v>0</v>
      </c>
      <c r="L129" s="189" t="e">
        <f t="shared" si="29"/>
        <v>#REF!</v>
      </c>
      <c r="M129" s="195" t="e">
        <f t="shared" si="30"/>
        <v>#REF!</v>
      </c>
      <c r="N129" s="192">
        <f t="shared" si="31"/>
        <v>0</v>
      </c>
    </row>
    <row r="130" spans="1:14" ht="18" customHeight="1">
      <c r="A130" s="193" t="e">
        <f>#REF!</f>
        <v>#REF!</v>
      </c>
      <c r="B130" s="190" t="e">
        <f>VLOOKUP($A130,#REF!,2,FALSE)</f>
        <v>#REF!</v>
      </c>
      <c r="C130" s="947" t="e">
        <f>VLOOKUP($A130,#REF!,3,FALSE)</f>
        <v>#REF!</v>
      </c>
      <c r="D130" s="191" t="e">
        <f>VLOOKUP($A130,#REF!,4,FALSE)</f>
        <v>#REF!</v>
      </c>
      <c r="E130" s="3">
        <f t="shared" si="32"/>
        <v>0</v>
      </c>
      <c r="F130" s="195" t="e">
        <f>INT(IF(ISERROR(VLOOKUP($A130,일위11,10,FALSE)),VLOOKUP($A130,#REF!,11,FALSE),VLOOKUP($A130,일위11,10,FALSE)))*$P$3</f>
        <v>#REF!</v>
      </c>
      <c r="G130" s="195" t="e">
        <f t="shared" si="24"/>
        <v>#REF!</v>
      </c>
      <c r="H130" s="195">
        <f t="shared" si="25"/>
        <v>0</v>
      </c>
      <c r="I130" s="195">
        <f t="shared" si="26"/>
        <v>0</v>
      </c>
      <c r="J130" s="195">
        <f t="shared" si="27"/>
        <v>0</v>
      </c>
      <c r="K130" s="195">
        <f t="shared" si="28"/>
        <v>0</v>
      </c>
      <c r="L130" s="189" t="e">
        <f t="shared" si="29"/>
        <v>#REF!</v>
      </c>
      <c r="M130" s="195" t="e">
        <f t="shared" si="30"/>
        <v>#REF!</v>
      </c>
      <c r="N130" s="192">
        <f t="shared" si="31"/>
        <v>0</v>
      </c>
    </row>
    <row r="131" spans="1:14" ht="18" customHeight="1">
      <c r="A131" s="193" t="e">
        <f>#REF!</f>
        <v>#REF!</v>
      </c>
      <c r="B131" s="190" t="e">
        <f>VLOOKUP($A131,#REF!,2,FALSE)</f>
        <v>#REF!</v>
      </c>
      <c r="C131" s="947" t="e">
        <f>VLOOKUP($A131,#REF!,3,FALSE)</f>
        <v>#REF!</v>
      </c>
      <c r="D131" s="191" t="e">
        <f>VLOOKUP($A131,#REF!,4,FALSE)</f>
        <v>#REF!</v>
      </c>
      <c r="E131" s="3">
        <f t="shared" si="32"/>
        <v>0</v>
      </c>
      <c r="F131" s="195" t="e">
        <f>INT(IF(ISERROR(VLOOKUP($A131,일위11,10,FALSE)),VLOOKUP($A131,#REF!,11,FALSE),VLOOKUP($A131,일위11,10,FALSE)))*$P$3</f>
        <v>#REF!</v>
      </c>
      <c r="G131" s="195" t="e">
        <f t="shared" si="24"/>
        <v>#REF!</v>
      </c>
      <c r="H131" s="195">
        <f t="shared" si="25"/>
        <v>0</v>
      </c>
      <c r="I131" s="195">
        <f t="shared" si="26"/>
        <v>0</v>
      </c>
      <c r="J131" s="195">
        <f t="shared" si="27"/>
        <v>0</v>
      </c>
      <c r="K131" s="195">
        <f t="shared" si="28"/>
        <v>0</v>
      </c>
      <c r="L131" s="189" t="e">
        <f t="shared" si="29"/>
        <v>#REF!</v>
      </c>
      <c r="M131" s="195" t="e">
        <f t="shared" si="30"/>
        <v>#REF!</v>
      </c>
      <c r="N131" s="192">
        <f t="shared" si="31"/>
        <v>0</v>
      </c>
    </row>
    <row r="132" spans="1:14" ht="18" customHeight="1">
      <c r="A132" s="193" t="e">
        <f>#REF!</f>
        <v>#REF!</v>
      </c>
      <c r="B132" s="190" t="e">
        <f>VLOOKUP($A132,#REF!,2,FALSE)</f>
        <v>#REF!</v>
      </c>
      <c r="C132" s="947" t="e">
        <f>VLOOKUP($A132,#REF!,3,FALSE)</f>
        <v>#REF!</v>
      </c>
      <c r="D132" s="191" t="e">
        <f>VLOOKUP($A132,#REF!,4,FALSE)</f>
        <v>#REF!</v>
      </c>
      <c r="E132" s="3">
        <f t="shared" si="32"/>
        <v>0</v>
      </c>
      <c r="F132" s="195" t="e">
        <f>INT(IF(ISERROR(VLOOKUP($A132,일위11,10,FALSE)),VLOOKUP($A132,#REF!,11,FALSE),VLOOKUP($A132,일위11,10,FALSE)))*$P$3</f>
        <v>#REF!</v>
      </c>
      <c r="G132" s="195" t="e">
        <f t="shared" ref="G132:G135" si="38">INT(E132*F132)</f>
        <v>#REF!</v>
      </c>
      <c r="H132" s="195">
        <f t="shared" si="25"/>
        <v>0</v>
      </c>
      <c r="I132" s="195">
        <f t="shared" ref="I132:I135" si="39">INT(E132*H132)</f>
        <v>0</v>
      </c>
      <c r="J132" s="195">
        <f t="shared" si="27"/>
        <v>0</v>
      </c>
      <c r="K132" s="195">
        <f t="shared" ref="K132:K135" si="40">INT(E132*J132)</f>
        <v>0</v>
      </c>
      <c r="L132" s="189" t="e">
        <f t="shared" ref="L132:L135" si="41">F132+H132+J132</f>
        <v>#REF!</v>
      </c>
      <c r="M132" s="195" t="e">
        <f t="shared" ref="M132:M135" si="42">INT(G132+I132+K132)</f>
        <v>#REF!</v>
      </c>
      <c r="N132" s="192">
        <f t="shared" si="31"/>
        <v>0</v>
      </c>
    </row>
    <row r="133" spans="1:14" ht="18" customHeight="1">
      <c r="A133" s="193" t="e">
        <f>#REF!</f>
        <v>#REF!</v>
      </c>
      <c r="B133" s="190" t="e">
        <f>VLOOKUP($A133,#REF!,2,FALSE)</f>
        <v>#REF!</v>
      </c>
      <c r="C133" s="947" t="e">
        <f>VLOOKUP($A133,#REF!,3,FALSE)</f>
        <v>#REF!</v>
      </c>
      <c r="D133" s="191" t="e">
        <f>VLOOKUP($A133,#REF!,4,FALSE)</f>
        <v>#REF!</v>
      </c>
      <c r="E133" s="3">
        <f t="shared" si="32"/>
        <v>0</v>
      </c>
      <c r="F133" s="195" t="e">
        <f>INT(IF(ISERROR(VLOOKUP($A133,일위11,10,FALSE)),VLOOKUP($A133,#REF!,11,FALSE),VLOOKUP($A133,일위11,10,FALSE)))*$P$3</f>
        <v>#REF!</v>
      </c>
      <c r="G133" s="195" t="e">
        <f t="shared" si="38"/>
        <v>#REF!</v>
      </c>
      <c r="H133" s="195">
        <f t="shared" si="25"/>
        <v>0</v>
      </c>
      <c r="I133" s="195">
        <f t="shared" si="39"/>
        <v>0</v>
      </c>
      <c r="J133" s="195">
        <f t="shared" si="27"/>
        <v>0</v>
      </c>
      <c r="K133" s="195">
        <f t="shared" si="40"/>
        <v>0</v>
      </c>
      <c r="L133" s="189" t="e">
        <f t="shared" si="41"/>
        <v>#REF!</v>
      </c>
      <c r="M133" s="195" t="e">
        <f t="shared" si="42"/>
        <v>#REF!</v>
      </c>
      <c r="N133" s="192">
        <f t="shared" si="31"/>
        <v>0</v>
      </c>
    </row>
    <row r="134" spans="1:14" ht="18" customHeight="1">
      <c r="A134" s="193" t="e">
        <f>#REF!</f>
        <v>#REF!</v>
      </c>
      <c r="B134" s="190" t="e">
        <f>VLOOKUP($A134,#REF!,2,FALSE)</f>
        <v>#REF!</v>
      </c>
      <c r="C134" s="947" t="e">
        <f>VLOOKUP($A134,#REF!,3,FALSE)</f>
        <v>#REF!</v>
      </c>
      <c r="D134" s="191" t="e">
        <f>VLOOKUP($A134,#REF!,4,FALSE)</f>
        <v>#REF!</v>
      </c>
      <c r="E134" s="3">
        <f t="shared" si="32"/>
        <v>0</v>
      </c>
      <c r="F134" s="195" t="e">
        <f>INT(IF(ISERROR(VLOOKUP($A134,일위11,10,FALSE)),VLOOKUP($A134,#REF!,11,FALSE),VLOOKUP($A134,일위11,10,FALSE)))*$P$3</f>
        <v>#REF!</v>
      </c>
      <c r="G134" s="195" t="e">
        <f t="shared" si="38"/>
        <v>#REF!</v>
      </c>
      <c r="H134" s="195">
        <f t="shared" si="25"/>
        <v>0</v>
      </c>
      <c r="I134" s="195">
        <f t="shared" si="39"/>
        <v>0</v>
      </c>
      <c r="J134" s="195">
        <f t="shared" si="27"/>
        <v>0</v>
      </c>
      <c r="K134" s="195">
        <f t="shared" si="40"/>
        <v>0</v>
      </c>
      <c r="L134" s="189" t="e">
        <f t="shared" si="41"/>
        <v>#REF!</v>
      </c>
      <c r="M134" s="195" t="e">
        <f t="shared" si="42"/>
        <v>#REF!</v>
      </c>
      <c r="N134" s="192">
        <f t="shared" si="31"/>
        <v>0</v>
      </c>
    </row>
    <row r="135" spans="1:14" ht="18" customHeight="1">
      <c r="A135" s="193" t="e">
        <f>#REF!</f>
        <v>#REF!</v>
      </c>
      <c r="B135" s="190" t="e">
        <f>VLOOKUP($A135,#REF!,2,FALSE)</f>
        <v>#REF!</v>
      </c>
      <c r="C135" s="947" t="e">
        <f>VLOOKUP($A135,#REF!,3,FALSE)</f>
        <v>#REF!</v>
      </c>
      <c r="D135" s="191" t="e">
        <f>VLOOKUP($A135,#REF!,4,FALSE)</f>
        <v>#REF!</v>
      </c>
      <c r="E135" s="3">
        <f t="shared" si="32"/>
        <v>0</v>
      </c>
      <c r="F135" s="195" t="e">
        <f>INT(IF(ISERROR(VLOOKUP($A135,일위11,10,FALSE)),VLOOKUP($A135,#REF!,11,FALSE),VLOOKUP($A135,일위11,10,FALSE)))*$P$3</f>
        <v>#REF!</v>
      </c>
      <c r="G135" s="195" t="e">
        <f t="shared" si="38"/>
        <v>#REF!</v>
      </c>
      <c r="H135" s="195">
        <f t="shared" si="25"/>
        <v>0</v>
      </c>
      <c r="I135" s="195">
        <f t="shared" si="39"/>
        <v>0</v>
      </c>
      <c r="J135" s="195">
        <f t="shared" si="27"/>
        <v>0</v>
      </c>
      <c r="K135" s="195">
        <f t="shared" si="40"/>
        <v>0</v>
      </c>
      <c r="L135" s="189" t="e">
        <f t="shared" si="41"/>
        <v>#REF!</v>
      </c>
      <c r="M135" s="195" t="e">
        <f t="shared" si="42"/>
        <v>#REF!</v>
      </c>
      <c r="N135" s="192">
        <f t="shared" si="31"/>
        <v>0</v>
      </c>
    </row>
    <row r="136" spans="1:14" ht="18" customHeight="1">
      <c r="A136" s="193"/>
      <c r="B136" s="190"/>
      <c r="C136" s="947"/>
      <c r="D136" s="191"/>
      <c r="E136" s="3"/>
      <c r="F136" s="189"/>
      <c r="G136" s="195"/>
      <c r="H136" s="195"/>
      <c r="I136" s="195"/>
      <c r="J136" s="195"/>
      <c r="K136" s="195"/>
      <c r="L136" s="189"/>
      <c r="M136" s="195"/>
      <c r="N136" s="192"/>
    </row>
    <row r="137" spans="1:14" ht="18" customHeight="1">
      <c r="A137" s="193"/>
      <c r="B137" s="190"/>
      <c r="C137" s="947"/>
      <c r="D137" s="191"/>
      <c r="E137" s="3"/>
      <c r="F137" s="189"/>
      <c r="G137" s="195"/>
      <c r="H137" s="195"/>
      <c r="I137" s="195"/>
      <c r="J137" s="195"/>
      <c r="K137" s="195"/>
      <c r="L137" s="189"/>
      <c r="M137" s="195"/>
      <c r="N137" s="192"/>
    </row>
    <row r="138" spans="1:14" ht="18" customHeight="1">
      <c r="A138" s="193"/>
      <c r="B138" s="190"/>
      <c r="C138" s="947"/>
      <c r="D138" s="191"/>
      <c r="E138" s="3"/>
      <c r="F138" s="189"/>
      <c r="G138" s="195"/>
      <c r="H138" s="195"/>
      <c r="I138" s="195"/>
      <c r="J138" s="195"/>
      <c r="K138" s="195"/>
      <c r="L138" s="189"/>
      <c r="M138" s="195"/>
      <c r="N138" s="192"/>
    </row>
    <row r="139" spans="1:14" ht="18" customHeight="1">
      <c r="A139" s="193"/>
      <c r="B139" s="190"/>
      <c r="C139" s="947"/>
      <c r="D139" s="191"/>
      <c r="E139" s="3"/>
      <c r="F139" s="189"/>
      <c r="G139" s="195"/>
      <c r="H139" s="195"/>
      <c r="I139" s="195"/>
      <c r="J139" s="195"/>
      <c r="K139" s="195"/>
      <c r="L139" s="189"/>
      <c r="M139" s="195"/>
      <c r="N139" s="192"/>
    </row>
    <row r="140" spans="1:14" ht="18" customHeight="1">
      <c r="A140" s="193"/>
      <c r="B140" s="190"/>
      <c r="C140" s="947"/>
      <c r="D140" s="191"/>
      <c r="E140" s="3"/>
      <c r="F140" s="189"/>
      <c r="G140" s="195"/>
      <c r="H140" s="195"/>
      <c r="I140" s="195"/>
      <c r="J140" s="195"/>
      <c r="K140" s="195"/>
      <c r="L140" s="189"/>
      <c r="M140" s="195"/>
      <c r="N140" s="192"/>
    </row>
    <row r="141" spans="1:14" ht="18" customHeight="1">
      <c r="A141" s="193"/>
      <c r="B141" s="190"/>
      <c r="C141" s="947"/>
      <c r="D141" s="191"/>
      <c r="E141" s="3"/>
      <c r="F141" s="189"/>
      <c r="G141" s="195"/>
      <c r="H141" s="195"/>
      <c r="I141" s="195"/>
      <c r="J141" s="195"/>
      <c r="K141" s="195"/>
      <c r="L141" s="189"/>
      <c r="M141" s="195"/>
      <c r="N141" s="192"/>
    </row>
    <row r="142" spans="1:14" ht="18" customHeight="1">
      <c r="B142" s="1583" t="s">
        <v>1315</v>
      </c>
      <c r="C142" s="1584"/>
      <c r="D142" s="654"/>
      <c r="E142" s="655"/>
      <c r="F142" s="656"/>
      <c r="G142" s="656" t="e">
        <f>SUM(G75:G141)</f>
        <v>#REF!</v>
      </c>
      <c r="H142" s="656"/>
      <c r="I142" s="656">
        <f>SUM(I75:I141)</f>
        <v>0</v>
      </c>
      <c r="J142" s="656"/>
      <c r="K142" s="656">
        <f>SUM(K75:K141)</f>
        <v>0</v>
      </c>
      <c r="L142" s="657"/>
      <c r="M142" s="656" t="e">
        <f>SUM(G142,I142,K142)</f>
        <v>#REF!</v>
      </c>
      <c r="N142" s="658"/>
    </row>
    <row r="143" spans="1:14" ht="18" customHeight="1">
      <c r="B143" s="819"/>
      <c r="C143" s="819"/>
      <c r="D143" s="820"/>
      <c r="E143" s="821"/>
      <c r="F143" s="822"/>
      <c r="G143" s="822"/>
      <c r="H143" s="822"/>
      <c r="I143" s="822"/>
      <c r="J143" s="822"/>
      <c r="K143" s="822"/>
      <c r="L143" s="823"/>
      <c r="M143" s="822"/>
      <c r="N143" s="824"/>
    </row>
    <row r="144" spans="1:14" ht="18" customHeight="1">
      <c r="B144" s="793"/>
      <c r="C144" s="793"/>
      <c r="D144" s="794"/>
      <c r="E144" s="795"/>
      <c r="F144" s="796"/>
      <c r="G144" s="796"/>
      <c r="H144" s="796"/>
      <c r="I144" s="796"/>
      <c r="J144" s="796"/>
      <c r="K144" s="796"/>
      <c r="L144" s="797"/>
      <c r="M144" s="796"/>
      <c r="N144" s="798"/>
    </row>
  </sheetData>
  <mergeCells count="16">
    <mergeCell ref="B51:C51"/>
    <mergeCell ref="B73:C73"/>
    <mergeCell ref="B74:C74"/>
    <mergeCell ref="B142:C142"/>
    <mergeCell ref="J3:K3"/>
    <mergeCell ref="L3:M3"/>
    <mergeCell ref="N3:N4"/>
    <mergeCell ref="B5:C5"/>
    <mergeCell ref="B6:C6"/>
    <mergeCell ref="B50:C50"/>
    <mergeCell ref="B3:B4"/>
    <mergeCell ref="C3:C4"/>
    <mergeCell ref="D3:D4"/>
    <mergeCell ref="E3:E4"/>
    <mergeCell ref="F3:G3"/>
    <mergeCell ref="H3:I3"/>
  </mergeCells>
  <phoneticPr fontId="7" type="noConversion"/>
  <printOptions horizontalCentered="1" verticalCentered="1"/>
  <pageMargins left="0.59055118110236227" right="0.39370078740157483" top="0.78740157480314965" bottom="0.59055118110236227" header="0.59055118110236227" footer="0.23622047244094491"/>
  <pageSetup paperSize="9" orientation="landscape" r:id="rId1"/>
  <headerFooter alignWithMargins="0">
    <oddHeader>&amp;C&amp;"굴림체,굵게"&amp;20내  역  서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FF0000"/>
  </sheetPr>
  <dimension ref="A1:M143"/>
  <sheetViews>
    <sheetView showZeros="0" view="pageBreakPreview" zoomScaleSheetLayoutView="100" workbookViewId="0">
      <pane ySplit="5" topLeftCell="A15" activePane="bottomLeft" state="frozen"/>
      <selection activeCell="B5" sqref="B5:C5"/>
      <selection pane="bottomLeft" activeCell="B3" sqref="B3:C5"/>
    </sheetView>
  </sheetViews>
  <sheetFormatPr defaultRowHeight="18" customHeight="1"/>
  <cols>
    <col min="1" max="1" width="13.88671875" customWidth="1"/>
    <col min="2" max="2" width="20" customWidth="1"/>
    <col min="3" max="3" width="19.77734375" customWidth="1"/>
    <col min="4" max="5" width="11.77734375" customWidth="1"/>
    <col min="6" max="6" width="11.77734375" style="196" customWidth="1"/>
    <col min="7" max="8" width="11.77734375" customWidth="1"/>
    <col min="9" max="9" width="6.33203125" customWidth="1"/>
    <col min="10" max="10" width="7" customWidth="1"/>
    <col min="11" max="11" width="6" customWidth="1"/>
  </cols>
  <sheetData>
    <row r="1" spans="1:13" ht="11.25" customHeight="1"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3" ht="23.1" customHeight="1">
      <c r="B2" s="807" t="s">
        <v>1316</v>
      </c>
      <c r="C2" s="21"/>
      <c r="D2" s="21"/>
      <c r="E2" s="21"/>
      <c r="F2" s="21"/>
      <c r="G2" s="21"/>
      <c r="H2" s="21"/>
      <c r="I2" s="21"/>
      <c r="J2" s="21"/>
      <c r="K2" s="21"/>
    </row>
    <row r="3" spans="1:13" ht="18" customHeight="1">
      <c r="B3" s="1760" t="s">
        <v>16</v>
      </c>
      <c r="C3" s="1610" t="s">
        <v>1298</v>
      </c>
      <c r="D3" s="1763" t="s">
        <v>1299</v>
      </c>
      <c r="E3" s="1764"/>
      <c r="F3" s="1764"/>
      <c r="G3" s="1764"/>
      <c r="H3" s="1765"/>
      <c r="I3" s="1610" t="s">
        <v>18</v>
      </c>
      <c r="J3" s="1610" t="s">
        <v>437</v>
      </c>
      <c r="K3" s="1756" t="s">
        <v>24</v>
      </c>
      <c r="L3" t="s">
        <v>1564</v>
      </c>
      <c r="M3" t="s">
        <v>1563</v>
      </c>
    </row>
    <row r="4" spans="1:13" ht="18" customHeight="1">
      <c r="B4" s="1761"/>
      <c r="C4" s="1762"/>
      <c r="D4" s="1758" t="str">
        <f>'수량산출서(DL)'!C4</f>
        <v>1] 전기공사</v>
      </c>
      <c r="E4" s="1758" t="e">
        <f>#REF!</f>
        <v>#REF!</v>
      </c>
      <c r="F4" s="1758" t="e">
        <f>#REF!</f>
        <v>#REF!</v>
      </c>
      <c r="G4" s="1758" t="e">
        <f>#REF!</f>
        <v>#REF!</v>
      </c>
      <c r="H4" s="1758" t="e">
        <f>#REF!</f>
        <v>#REF!</v>
      </c>
      <c r="I4" s="1762"/>
      <c r="J4" s="1762"/>
      <c r="K4" s="1757"/>
      <c r="L4">
        <f>SUM(K10:K23)</f>
        <v>0</v>
      </c>
      <c r="M4">
        <f>SUM(K67:K128)</f>
        <v>0.17625000000000005</v>
      </c>
    </row>
    <row r="5" spans="1:13" ht="18" customHeight="1">
      <c r="B5" s="1609"/>
      <c r="C5" s="1611"/>
      <c r="D5" s="1759"/>
      <c r="E5" s="1759"/>
      <c r="F5" s="1759"/>
      <c r="G5" s="1759"/>
      <c r="H5" s="1759"/>
      <c r="I5" s="1611"/>
      <c r="J5" s="1611"/>
      <c r="K5" s="1613"/>
    </row>
    <row r="6" spans="1:13" ht="18.95" customHeight="1">
      <c r="A6" t="s">
        <v>1300</v>
      </c>
      <c r="B6" s="662" t="s">
        <v>1560</v>
      </c>
      <c r="C6" s="413"/>
      <c r="D6" s="413"/>
      <c r="E6" s="413"/>
      <c r="F6" s="418"/>
      <c r="G6" s="413"/>
      <c r="H6" s="413"/>
      <c r="I6" s="418"/>
      <c r="J6" s="418"/>
      <c r="K6" s="415"/>
    </row>
    <row r="7" spans="1:13" ht="18" customHeight="1">
      <c r="A7" s="193" t="e">
        <f>#REF!</f>
        <v>#REF!</v>
      </c>
      <c r="B7" s="414" t="e">
        <f>VLOOKUP(A7,#REF!,2,FALSE)</f>
        <v>#REF!</v>
      </c>
      <c r="C7" s="413" t="e">
        <f>VLOOKUP(A7,#REF!,3,FALSE)</f>
        <v>#REF!</v>
      </c>
      <c r="D7" s="3">
        <f t="shared" ref="D7:D32" si="0">IF(ISERROR(VLOOKUP($A7,월곶초등학교철거공사,6,FALSE)),0,VLOOKUP($A7,월곶초등학교철거공사,6,FALSE))</f>
        <v>0</v>
      </c>
      <c r="E7" s="3">
        <f t="shared" ref="E7:E32" si="1">IF(ISERROR(VLOOKUP($A7,센텀베이1차아파트철거공사,6,FALSE)),0,VLOOKUP($A7,센텀베이1차아파트철거공사,6,FALSE))</f>
        <v>0</v>
      </c>
      <c r="F7" s="418">
        <f t="shared" ref="F7:F32" si="2">INT(IF(ISERROR(VLOOKUP($A7,영남2차인입공사,6,FALSE)),0,VLOOKUP($A7,영남2차인입공사,6,FALSE)))</f>
        <v>0</v>
      </c>
      <c r="G7" s="3">
        <f t="shared" ref="G7:G32" si="3">IF(ISERROR(VLOOKUP($A7,한일화학공업철거공사,6,FALSE)),0,VLOOKUP($A7,한일화학공업철거공사,6,FALSE))</f>
        <v>0</v>
      </c>
      <c r="H7" s="3">
        <f t="shared" ref="H7:H32" si="4">IF(ISERROR(VLOOKUP($A7,한국산업기술대학교철거공사,6,FALSE)),0,VLOOKUP($A7,한국산업기술대학교철거공사,6,FALSE))</f>
        <v>0</v>
      </c>
      <c r="I7" s="418" t="s">
        <v>87</v>
      </c>
      <c r="J7" s="949">
        <f>SUM(D7:H7)</f>
        <v>0</v>
      </c>
      <c r="K7" s="415"/>
    </row>
    <row r="8" spans="1:13" ht="18" customHeight="1">
      <c r="A8" s="193" t="e">
        <f>#REF!</f>
        <v>#REF!</v>
      </c>
      <c r="B8" s="414" t="e">
        <f>VLOOKUP(A8,#REF!,2,FALSE)</f>
        <v>#REF!</v>
      </c>
      <c r="C8" s="413" t="e">
        <f>VLOOKUP(A8,#REF!,3,FALSE)</f>
        <v>#REF!</v>
      </c>
      <c r="D8" s="3">
        <f t="shared" si="0"/>
        <v>0</v>
      </c>
      <c r="E8" s="3">
        <f t="shared" si="1"/>
        <v>0</v>
      </c>
      <c r="F8" s="418">
        <f t="shared" si="2"/>
        <v>0</v>
      </c>
      <c r="G8" s="3">
        <f t="shared" si="3"/>
        <v>0</v>
      </c>
      <c r="H8" s="3">
        <f t="shared" si="4"/>
        <v>0</v>
      </c>
      <c r="I8" s="418" t="s">
        <v>87</v>
      </c>
      <c r="J8" s="949">
        <f t="shared" ref="J8:J32" si="5">SUM(D8:H8)</f>
        <v>0</v>
      </c>
      <c r="K8" s="415"/>
    </row>
    <row r="9" spans="1:13" ht="18" customHeight="1">
      <c r="A9" s="193" t="e">
        <f>#REF!</f>
        <v>#REF!</v>
      </c>
      <c r="B9" s="414" t="e">
        <f>VLOOKUP(A9,#REF!,2,FALSE)</f>
        <v>#REF!</v>
      </c>
      <c r="C9" s="413" t="e">
        <f>VLOOKUP(A9,#REF!,3,FALSE)</f>
        <v>#REF!</v>
      </c>
      <c r="D9" s="3">
        <f t="shared" si="0"/>
        <v>0</v>
      </c>
      <c r="E9" s="3">
        <f t="shared" si="1"/>
        <v>0</v>
      </c>
      <c r="F9" s="418">
        <f t="shared" si="2"/>
        <v>0</v>
      </c>
      <c r="G9" s="3">
        <f t="shared" si="3"/>
        <v>0</v>
      </c>
      <c r="H9" s="3">
        <f t="shared" si="4"/>
        <v>0</v>
      </c>
      <c r="I9" s="418" t="s">
        <v>87</v>
      </c>
      <c r="J9" s="949">
        <f t="shared" si="5"/>
        <v>0</v>
      </c>
      <c r="K9" s="415"/>
    </row>
    <row r="10" spans="1:13" ht="18" customHeight="1">
      <c r="A10" s="193" t="e">
        <f>#REF!</f>
        <v>#REF!</v>
      </c>
      <c r="B10" s="414" t="e">
        <f>VLOOKUP(A10,#REF!,2,FALSE)</f>
        <v>#REF!</v>
      </c>
      <c r="C10" s="413" t="e">
        <f>VLOOKUP(A10,#REF!,3,FALSE)</f>
        <v>#REF!</v>
      </c>
      <c r="D10" s="3">
        <f t="shared" si="0"/>
        <v>0</v>
      </c>
      <c r="E10" s="3">
        <f t="shared" si="1"/>
        <v>0</v>
      </c>
      <c r="F10" s="418">
        <f t="shared" si="2"/>
        <v>0</v>
      </c>
      <c r="G10" s="3">
        <f t="shared" si="3"/>
        <v>0</v>
      </c>
      <c r="H10" s="3">
        <f t="shared" si="4"/>
        <v>0</v>
      </c>
      <c r="I10" s="418" t="s">
        <v>87</v>
      </c>
      <c r="J10" s="949">
        <f t="shared" si="5"/>
        <v>0</v>
      </c>
      <c r="K10" s="415"/>
    </row>
    <row r="11" spans="1:13" s="931" customFormat="1" ht="18" customHeight="1">
      <c r="A11" s="937" t="e">
        <f>#REF!</f>
        <v>#REF!</v>
      </c>
      <c r="B11" s="938" t="e">
        <f>VLOOKUP(A11,#REF!,2,FALSE)</f>
        <v>#REF!</v>
      </c>
      <c r="C11" s="939" t="e">
        <f>VLOOKUP(A11,#REF!,3,FALSE)</f>
        <v>#REF!</v>
      </c>
      <c r="D11" s="941">
        <f t="shared" si="0"/>
        <v>0</v>
      </c>
      <c r="E11" s="941">
        <f t="shared" si="1"/>
        <v>0</v>
      </c>
      <c r="F11" s="940">
        <f t="shared" si="2"/>
        <v>0</v>
      </c>
      <c r="G11" s="941">
        <f t="shared" si="3"/>
        <v>0</v>
      </c>
      <c r="H11" s="941">
        <f t="shared" si="4"/>
        <v>0</v>
      </c>
      <c r="I11" s="940" t="s">
        <v>87</v>
      </c>
      <c r="J11" s="950">
        <f t="shared" si="5"/>
        <v>0</v>
      </c>
      <c r="K11" s="942">
        <f>J11*폐기물일위대가!G34</f>
        <v>0</v>
      </c>
    </row>
    <row r="12" spans="1:13" s="931" customFormat="1" ht="18" customHeight="1">
      <c r="A12" s="937" t="e">
        <f>#REF!</f>
        <v>#REF!</v>
      </c>
      <c r="B12" s="938" t="e">
        <f>VLOOKUP(A12,#REF!,2,FALSE)</f>
        <v>#REF!</v>
      </c>
      <c r="C12" s="939" t="e">
        <f>VLOOKUP(A12,#REF!,3,FALSE)</f>
        <v>#REF!</v>
      </c>
      <c r="D12" s="941">
        <f t="shared" si="0"/>
        <v>0</v>
      </c>
      <c r="E12" s="941">
        <f t="shared" si="1"/>
        <v>0</v>
      </c>
      <c r="F12" s="940">
        <f t="shared" si="2"/>
        <v>0</v>
      </c>
      <c r="G12" s="941">
        <f t="shared" si="3"/>
        <v>0</v>
      </c>
      <c r="H12" s="941">
        <f t="shared" si="4"/>
        <v>0</v>
      </c>
      <c r="I12" s="940" t="s">
        <v>87</v>
      </c>
      <c r="J12" s="950">
        <f t="shared" si="5"/>
        <v>0</v>
      </c>
      <c r="K12" s="942">
        <f>J12*폐기물일위대가!G44</f>
        <v>0</v>
      </c>
    </row>
    <row r="13" spans="1:13" ht="18" customHeight="1">
      <c r="A13" s="193" t="e">
        <f>#REF!</f>
        <v>#REF!</v>
      </c>
      <c r="B13" s="414" t="e">
        <f>VLOOKUP(A13,#REF!,2,FALSE)</f>
        <v>#REF!</v>
      </c>
      <c r="C13" s="413" t="e">
        <f>VLOOKUP(A13,#REF!,3,FALSE)</f>
        <v>#REF!</v>
      </c>
      <c r="D13" s="3">
        <f t="shared" si="0"/>
        <v>0</v>
      </c>
      <c r="E13" s="3">
        <f t="shared" si="1"/>
        <v>0</v>
      </c>
      <c r="F13" s="418">
        <f t="shared" si="2"/>
        <v>0</v>
      </c>
      <c r="G13" s="3">
        <f t="shared" si="3"/>
        <v>0</v>
      </c>
      <c r="H13" s="3">
        <f t="shared" si="4"/>
        <v>0</v>
      </c>
      <c r="I13" s="418" t="s">
        <v>87</v>
      </c>
      <c r="J13" s="949">
        <f t="shared" si="5"/>
        <v>0</v>
      </c>
      <c r="K13" s="415"/>
    </row>
    <row r="14" spans="1:13" s="931" customFormat="1" ht="18" customHeight="1">
      <c r="A14" s="937" t="e">
        <f>#REF!</f>
        <v>#REF!</v>
      </c>
      <c r="B14" s="938" t="e">
        <f>VLOOKUP(A14,#REF!,2,FALSE)</f>
        <v>#REF!</v>
      </c>
      <c r="C14" s="939" t="e">
        <f>VLOOKUP(A14,#REF!,3,FALSE)</f>
        <v>#REF!</v>
      </c>
      <c r="D14" s="941">
        <f t="shared" si="0"/>
        <v>0</v>
      </c>
      <c r="E14" s="941">
        <f t="shared" si="1"/>
        <v>0</v>
      </c>
      <c r="F14" s="940">
        <f t="shared" si="2"/>
        <v>0</v>
      </c>
      <c r="G14" s="941">
        <f t="shared" si="3"/>
        <v>0</v>
      </c>
      <c r="H14" s="941">
        <f t="shared" si="4"/>
        <v>0</v>
      </c>
      <c r="I14" s="940" t="s">
        <v>87</v>
      </c>
      <c r="J14" s="950">
        <f t="shared" si="5"/>
        <v>0</v>
      </c>
      <c r="K14" s="942">
        <f>J14*폐기물일위대가!G21</f>
        <v>0</v>
      </c>
    </row>
    <row r="15" spans="1:13" ht="18" customHeight="1">
      <c r="A15" s="193" t="e">
        <f>#REF!</f>
        <v>#REF!</v>
      </c>
      <c r="B15" s="414" t="e">
        <f>VLOOKUP(A15,#REF!,2,FALSE)</f>
        <v>#REF!</v>
      </c>
      <c r="C15" s="413" t="e">
        <f>VLOOKUP(A15,#REF!,3,FALSE)</f>
        <v>#REF!</v>
      </c>
      <c r="D15" s="3">
        <f t="shared" si="0"/>
        <v>0</v>
      </c>
      <c r="E15" s="3">
        <f t="shared" si="1"/>
        <v>0</v>
      </c>
      <c r="F15" s="418">
        <f t="shared" si="2"/>
        <v>0</v>
      </c>
      <c r="G15" s="3">
        <f t="shared" si="3"/>
        <v>0</v>
      </c>
      <c r="H15" s="3">
        <f t="shared" si="4"/>
        <v>0</v>
      </c>
      <c r="I15" s="418" t="s">
        <v>87</v>
      </c>
      <c r="J15" s="950">
        <f t="shared" si="5"/>
        <v>0</v>
      </c>
      <c r="K15" s="415"/>
    </row>
    <row r="16" spans="1:13" ht="18" customHeight="1">
      <c r="A16" s="193" t="e">
        <f>#REF!</f>
        <v>#REF!</v>
      </c>
      <c r="B16" s="414" t="e">
        <f>VLOOKUP(A16,#REF!,2,FALSE)</f>
        <v>#REF!</v>
      </c>
      <c r="C16" s="413" t="e">
        <f>VLOOKUP(A16,#REF!,3,FALSE)</f>
        <v>#REF!</v>
      </c>
      <c r="D16" s="3">
        <f t="shared" si="0"/>
        <v>0</v>
      </c>
      <c r="E16" s="3">
        <f t="shared" si="1"/>
        <v>0</v>
      </c>
      <c r="F16" s="418">
        <f t="shared" si="2"/>
        <v>0</v>
      </c>
      <c r="G16" s="3">
        <f t="shared" si="3"/>
        <v>0</v>
      </c>
      <c r="H16" s="3">
        <f t="shared" si="4"/>
        <v>0</v>
      </c>
      <c r="I16" s="418" t="s">
        <v>87</v>
      </c>
      <c r="J16" s="949">
        <f t="shared" si="5"/>
        <v>0</v>
      </c>
      <c r="K16" s="415"/>
    </row>
    <row r="17" spans="1:11" ht="18" customHeight="1">
      <c r="A17" s="193" t="e">
        <f>#REF!</f>
        <v>#REF!</v>
      </c>
      <c r="B17" s="414" t="e">
        <f>VLOOKUP(A17,#REF!,2,FALSE)</f>
        <v>#REF!</v>
      </c>
      <c r="C17" s="413" t="e">
        <f>VLOOKUP(A17,#REF!,3,FALSE)</f>
        <v>#REF!</v>
      </c>
      <c r="D17" s="3">
        <f t="shared" si="0"/>
        <v>0</v>
      </c>
      <c r="E17" s="3">
        <f t="shared" si="1"/>
        <v>0</v>
      </c>
      <c r="F17" s="418">
        <f t="shared" si="2"/>
        <v>0</v>
      </c>
      <c r="G17" s="3">
        <f t="shared" si="3"/>
        <v>0</v>
      </c>
      <c r="H17" s="3">
        <f t="shared" si="4"/>
        <v>0</v>
      </c>
      <c r="I17" s="418" t="s">
        <v>87</v>
      </c>
      <c r="J17" s="949">
        <f t="shared" si="5"/>
        <v>0</v>
      </c>
      <c r="K17" s="415"/>
    </row>
    <row r="18" spans="1:11" ht="18" customHeight="1">
      <c r="A18" s="193" t="e">
        <f>#REF!</f>
        <v>#REF!</v>
      </c>
      <c r="B18" s="414" t="e">
        <f>VLOOKUP(A18,#REF!,2,FALSE)</f>
        <v>#REF!</v>
      </c>
      <c r="C18" s="413" t="e">
        <f>VLOOKUP(A18,#REF!,3,FALSE)</f>
        <v>#REF!</v>
      </c>
      <c r="D18" s="3">
        <f t="shared" si="0"/>
        <v>0</v>
      </c>
      <c r="E18" s="3">
        <f t="shared" si="1"/>
        <v>0</v>
      </c>
      <c r="F18" s="418">
        <f t="shared" si="2"/>
        <v>0</v>
      </c>
      <c r="G18" s="3">
        <f t="shared" si="3"/>
        <v>0</v>
      </c>
      <c r="H18" s="3">
        <f t="shared" si="4"/>
        <v>0</v>
      </c>
      <c r="I18" s="418" t="s">
        <v>87</v>
      </c>
      <c r="J18" s="949">
        <f t="shared" si="5"/>
        <v>0</v>
      </c>
      <c r="K18" s="415"/>
    </row>
    <row r="19" spans="1:11" ht="18" customHeight="1">
      <c r="A19" s="193" t="e">
        <f>#REF!</f>
        <v>#REF!</v>
      </c>
      <c r="B19" s="414" t="e">
        <f>VLOOKUP(A19,#REF!,2,FALSE)</f>
        <v>#REF!</v>
      </c>
      <c r="C19" s="413" t="e">
        <f>VLOOKUP(A19,#REF!,3,FALSE)</f>
        <v>#REF!</v>
      </c>
      <c r="D19" s="3">
        <f t="shared" si="0"/>
        <v>0</v>
      </c>
      <c r="E19" s="3">
        <f t="shared" si="1"/>
        <v>0</v>
      </c>
      <c r="F19" s="418">
        <f t="shared" si="2"/>
        <v>0</v>
      </c>
      <c r="G19" s="3">
        <f t="shared" si="3"/>
        <v>0</v>
      </c>
      <c r="H19" s="3">
        <f t="shared" si="4"/>
        <v>0</v>
      </c>
      <c r="I19" s="418" t="s">
        <v>90</v>
      </c>
      <c r="J19" s="949">
        <f t="shared" si="5"/>
        <v>0</v>
      </c>
      <c r="K19" s="415"/>
    </row>
    <row r="20" spans="1:11" s="931" customFormat="1" ht="18" customHeight="1">
      <c r="A20" s="937" t="e">
        <f>#REF!</f>
        <v>#REF!</v>
      </c>
      <c r="B20" s="938" t="e">
        <f>VLOOKUP(A20,#REF!,2,FALSE)</f>
        <v>#REF!</v>
      </c>
      <c r="C20" s="939" t="e">
        <f>VLOOKUP(A20,#REF!,3,FALSE)</f>
        <v>#REF!</v>
      </c>
      <c r="D20" s="941">
        <f t="shared" si="0"/>
        <v>0</v>
      </c>
      <c r="E20" s="941">
        <f t="shared" si="1"/>
        <v>0</v>
      </c>
      <c r="F20" s="940">
        <f>INT(IF(ISERROR(VLOOKUP($A20,영남2차인입공사,6,FALSE)),0,VLOOKUP($A20,영남2차인입공사,6,FALSE)))</f>
        <v>0</v>
      </c>
      <c r="G20" s="941">
        <f t="shared" si="3"/>
        <v>0</v>
      </c>
      <c r="H20" s="941">
        <f t="shared" si="4"/>
        <v>0</v>
      </c>
      <c r="I20" s="940" t="s">
        <v>90</v>
      </c>
      <c r="J20" s="950">
        <f t="shared" si="5"/>
        <v>0</v>
      </c>
      <c r="K20" s="942">
        <f>J20*폐기물일위대가!G11</f>
        <v>0</v>
      </c>
    </row>
    <row r="21" spans="1:11" ht="18" customHeight="1">
      <c r="A21" s="193" t="e">
        <f>#REF!</f>
        <v>#REF!</v>
      </c>
      <c r="B21" s="414" t="e">
        <f>VLOOKUP(A21,#REF!,2,FALSE)</f>
        <v>#REF!</v>
      </c>
      <c r="C21" s="413" t="e">
        <f>VLOOKUP(A21,#REF!,3,FALSE)</f>
        <v>#REF!</v>
      </c>
      <c r="D21" s="3">
        <f t="shared" si="0"/>
        <v>0</v>
      </c>
      <c r="E21" s="3">
        <f t="shared" si="1"/>
        <v>0</v>
      </c>
      <c r="F21" s="418">
        <f t="shared" si="2"/>
        <v>0</v>
      </c>
      <c r="G21" s="3">
        <f t="shared" si="3"/>
        <v>0</v>
      </c>
      <c r="H21" s="3">
        <f t="shared" si="4"/>
        <v>0</v>
      </c>
      <c r="I21" s="418" t="s">
        <v>90</v>
      </c>
      <c r="J21" s="949">
        <f t="shared" si="5"/>
        <v>0</v>
      </c>
      <c r="K21" s="415"/>
    </row>
    <row r="22" spans="1:11" ht="18" customHeight="1">
      <c r="A22" s="193" t="e">
        <f>#REF!</f>
        <v>#REF!</v>
      </c>
      <c r="B22" s="414" t="e">
        <f>VLOOKUP(A22,#REF!,2,FALSE)</f>
        <v>#REF!</v>
      </c>
      <c r="C22" s="413" t="e">
        <f>VLOOKUP(A22,#REF!,3,FALSE)</f>
        <v>#REF!</v>
      </c>
      <c r="D22" s="3">
        <f t="shared" si="0"/>
        <v>0</v>
      </c>
      <c r="E22" s="3">
        <f t="shared" si="1"/>
        <v>0</v>
      </c>
      <c r="F22" s="418">
        <f t="shared" si="2"/>
        <v>0</v>
      </c>
      <c r="G22" s="3">
        <f t="shared" si="3"/>
        <v>0</v>
      </c>
      <c r="H22" s="3">
        <f t="shared" si="4"/>
        <v>0</v>
      </c>
      <c r="I22" s="418" t="s">
        <v>90</v>
      </c>
      <c r="J22" s="949">
        <f t="shared" si="5"/>
        <v>0</v>
      </c>
      <c r="K22" s="415"/>
    </row>
    <row r="23" spans="1:11" ht="18" customHeight="1">
      <c r="A23" s="193" t="e">
        <f>#REF!</f>
        <v>#REF!</v>
      </c>
      <c r="B23" s="414" t="e">
        <f>VLOOKUP(A23,#REF!,2,FALSE)</f>
        <v>#REF!</v>
      </c>
      <c r="C23" s="413" t="e">
        <f>VLOOKUP(A23,#REF!,3,FALSE)</f>
        <v>#REF!</v>
      </c>
      <c r="D23" s="3">
        <f t="shared" si="0"/>
        <v>0</v>
      </c>
      <c r="E23" s="3">
        <f t="shared" si="1"/>
        <v>0</v>
      </c>
      <c r="F23" s="418">
        <f t="shared" si="2"/>
        <v>0</v>
      </c>
      <c r="G23" s="3">
        <f t="shared" si="3"/>
        <v>0</v>
      </c>
      <c r="H23" s="3">
        <f t="shared" si="4"/>
        <v>0</v>
      </c>
      <c r="I23" s="418" t="s">
        <v>90</v>
      </c>
      <c r="J23" s="949">
        <f t="shared" si="5"/>
        <v>0</v>
      </c>
      <c r="K23" s="415"/>
    </row>
    <row r="24" spans="1:11" ht="18" customHeight="1">
      <c r="A24" s="193" t="e">
        <f>#REF!</f>
        <v>#REF!</v>
      </c>
      <c r="B24" s="414" t="e">
        <f>VLOOKUP(A24,#REF!,2,FALSE)</f>
        <v>#REF!</v>
      </c>
      <c r="C24" s="413" t="e">
        <f>VLOOKUP(A24,#REF!,3,FALSE)</f>
        <v>#REF!</v>
      </c>
      <c r="D24" s="3">
        <f t="shared" si="0"/>
        <v>0</v>
      </c>
      <c r="E24" s="3">
        <f t="shared" si="1"/>
        <v>0</v>
      </c>
      <c r="F24" s="418">
        <f t="shared" si="2"/>
        <v>0</v>
      </c>
      <c r="G24" s="3">
        <f t="shared" si="3"/>
        <v>0</v>
      </c>
      <c r="H24" s="3">
        <f t="shared" si="4"/>
        <v>0</v>
      </c>
      <c r="I24" s="418" t="s">
        <v>1317</v>
      </c>
      <c r="J24" s="949">
        <f t="shared" si="5"/>
        <v>0</v>
      </c>
      <c r="K24" s="415"/>
    </row>
    <row r="25" spans="1:11" ht="18" customHeight="1">
      <c r="A25" s="193" t="e">
        <f>#REF!</f>
        <v>#REF!</v>
      </c>
      <c r="B25" s="414" t="e">
        <f>VLOOKUP(A25,#REF!,2,FALSE)</f>
        <v>#REF!</v>
      </c>
      <c r="C25" s="413" t="e">
        <f>VLOOKUP(A25,#REF!,3,FALSE)</f>
        <v>#REF!</v>
      </c>
      <c r="D25" s="3">
        <f t="shared" si="0"/>
        <v>0</v>
      </c>
      <c r="E25" s="3">
        <f t="shared" si="1"/>
        <v>0</v>
      </c>
      <c r="F25" s="418">
        <f t="shared" si="2"/>
        <v>0</v>
      </c>
      <c r="G25" s="3">
        <f t="shared" si="3"/>
        <v>0</v>
      </c>
      <c r="H25" s="3">
        <f t="shared" si="4"/>
        <v>0</v>
      </c>
      <c r="I25" s="418" t="s">
        <v>87</v>
      </c>
      <c r="J25" s="949">
        <f t="shared" si="5"/>
        <v>0</v>
      </c>
      <c r="K25" s="415"/>
    </row>
    <row r="26" spans="1:11" ht="18" customHeight="1">
      <c r="A26" s="193" t="e">
        <f>#REF!</f>
        <v>#REF!</v>
      </c>
      <c r="B26" s="414" t="e">
        <f>VLOOKUP(A26,#REF!,2,FALSE)</f>
        <v>#REF!</v>
      </c>
      <c r="C26" s="413" t="e">
        <f>VLOOKUP(A26,#REF!,3,FALSE)</f>
        <v>#REF!</v>
      </c>
      <c r="D26" s="3">
        <f t="shared" si="0"/>
        <v>0</v>
      </c>
      <c r="E26" s="3">
        <f t="shared" si="1"/>
        <v>0</v>
      </c>
      <c r="F26" s="418">
        <f t="shared" si="2"/>
        <v>0</v>
      </c>
      <c r="G26" s="3">
        <f t="shared" si="3"/>
        <v>0</v>
      </c>
      <c r="H26" s="3">
        <f t="shared" si="4"/>
        <v>0</v>
      </c>
      <c r="I26" s="418" t="s">
        <v>87</v>
      </c>
      <c r="J26" s="949">
        <f t="shared" si="5"/>
        <v>0</v>
      </c>
      <c r="K26" s="415"/>
    </row>
    <row r="27" spans="1:11" ht="18" customHeight="1">
      <c r="A27" s="193" t="e">
        <f>#REF!</f>
        <v>#REF!</v>
      </c>
      <c r="B27" s="414" t="e">
        <f>VLOOKUP(A27,#REF!,2,FALSE)</f>
        <v>#REF!</v>
      </c>
      <c r="C27" s="413" t="e">
        <f>VLOOKUP(A27,#REF!,3,FALSE)</f>
        <v>#REF!</v>
      </c>
      <c r="D27" s="3">
        <f t="shared" si="0"/>
        <v>0</v>
      </c>
      <c r="E27" s="3">
        <f t="shared" si="1"/>
        <v>0</v>
      </c>
      <c r="F27" s="418">
        <f t="shared" si="2"/>
        <v>0</v>
      </c>
      <c r="G27" s="3">
        <f t="shared" si="3"/>
        <v>0</v>
      </c>
      <c r="H27" s="3">
        <f t="shared" si="4"/>
        <v>0</v>
      </c>
      <c r="I27" s="418" t="s">
        <v>87</v>
      </c>
      <c r="J27" s="949">
        <f t="shared" si="5"/>
        <v>0</v>
      </c>
      <c r="K27" s="415"/>
    </row>
    <row r="28" spans="1:11" ht="18" customHeight="1">
      <c r="A28" s="193" t="e">
        <f>#REF!</f>
        <v>#REF!</v>
      </c>
      <c r="B28" s="414" t="e">
        <f>VLOOKUP(A28,#REF!,2,FALSE)</f>
        <v>#REF!</v>
      </c>
      <c r="C28" s="413" t="e">
        <f>VLOOKUP(A28,#REF!,3,FALSE)</f>
        <v>#REF!</v>
      </c>
      <c r="D28" s="3">
        <f t="shared" si="0"/>
        <v>0</v>
      </c>
      <c r="E28" s="3">
        <f t="shared" si="1"/>
        <v>0</v>
      </c>
      <c r="F28" s="418">
        <f t="shared" si="2"/>
        <v>0</v>
      </c>
      <c r="G28" s="3">
        <f t="shared" si="3"/>
        <v>0</v>
      </c>
      <c r="H28" s="3">
        <f t="shared" si="4"/>
        <v>0</v>
      </c>
      <c r="I28" s="418" t="s">
        <v>87</v>
      </c>
      <c r="J28" s="949">
        <f t="shared" si="5"/>
        <v>0</v>
      </c>
      <c r="K28" s="415"/>
    </row>
    <row r="29" spans="1:11" ht="18" customHeight="1">
      <c r="A29" s="193" t="e">
        <f>#REF!</f>
        <v>#REF!</v>
      </c>
      <c r="B29" s="414" t="e">
        <f>VLOOKUP(A29,#REF!,2,FALSE)</f>
        <v>#REF!</v>
      </c>
      <c r="C29" s="413" t="e">
        <f>VLOOKUP(A29,#REF!,3,FALSE)</f>
        <v>#REF!</v>
      </c>
      <c r="D29" s="3">
        <f t="shared" si="0"/>
        <v>0</v>
      </c>
      <c r="E29" s="3">
        <f t="shared" si="1"/>
        <v>0</v>
      </c>
      <c r="F29" s="418">
        <f t="shared" si="2"/>
        <v>0</v>
      </c>
      <c r="G29" s="3">
        <f t="shared" si="3"/>
        <v>0</v>
      </c>
      <c r="H29" s="3">
        <f t="shared" si="4"/>
        <v>0</v>
      </c>
      <c r="I29" s="418" t="s">
        <v>87</v>
      </c>
      <c r="J29" s="949">
        <f t="shared" si="5"/>
        <v>0</v>
      </c>
      <c r="K29" s="415"/>
    </row>
    <row r="30" spans="1:11" ht="18" customHeight="1">
      <c r="A30" s="193" t="e">
        <f>#REF!</f>
        <v>#REF!</v>
      </c>
      <c r="B30" s="414" t="e">
        <f>VLOOKUP(A30,#REF!,2,FALSE)</f>
        <v>#REF!</v>
      </c>
      <c r="C30" s="413" t="e">
        <f>VLOOKUP(A30,#REF!,3,FALSE)</f>
        <v>#REF!</v>
      </c>
      <c r="D30" s="3">
        <f t="shared" si="0"/>
        <v>0</v>
      </c>
      <c r="E30" s="3">
        <f t="shared" si="1"/>
        <v>0</v>
      </c>
      <c r="F30" s="418">
        <f t="shared" si="2"/>
        <v>0</v>
      </c>
      <c r="G30" s="3">
        <f t="shared" si="3"/>
        <v>0</v>
      </c>
      <c r="H30" s="3">
        <f t="shared" si="4"/>
        <v>0</v>
      </c>
      <c r="I30" s="418" t="s">
        <v>87</v>
      </c>
      <c r="J30" s="949">
        <f t="shared" si="5"/>
        <v>0</v>
      </c>
      <c r="K30" s="415"/>
    </row>
    <row r="31" spans="1:11" ht="18" customHeight="1">
      <c r="A31" s="193" t="e">
        <f>#REF!</f>
        <v>#REF!</v>
      </c>
      <c r="B31" s="414" t="e">
        <f>VLOOKUP(A31,#REF!,2,FALSE)</f>
        <v>#REF!</v>
      </c>
      <c r="C31" s="413" t="e">
        <f>VLOOKUP(A31,#REF!,3,FALSE)</f>
        <v>#REF!</v>
      </c>
      <c r="D31" s="3">
        <f t="shared" si="0"/>
        <v>0</v>
      </c>
      <c r="E31" s="3">
        <f t="shared" si="1"/>
        <v>0</v>
      </c>
      <c r="F31" s="418">
        <f t="shared" si="2"/>
        <v>0</v>
      </c>
      <c r="G31" s="3">
        <f t="shared" si="3"/>
        <v>0</v>
      </c>
      <c r="H31" s="3">
        <f t="shared" si="4"/>
        <v>0</v>
      </c>
      <c r="I31" s="418" t="s">
        <v>87</v>
      </c>
      <c r="J31" s="949">
        <f t="shared" si="5"/>
        <v>0</v>
      </c>
      <c r="K31" s="415"/>
    </row>
    <row r="32" spans="1:11" ht="18" customHeight="1">
      <c r="A32" s="193" t="e">
        <f>#REF!</f>
        <v>#REF!</v>
      </c>
      <c r="B32" s="414" t="e">
        <f>VLOOKUP(A32,#REF!,2,FALSE)</f>
        <v>#REF!</v>
      </c>
      <c r="C32" s="413" t="e">
        <f>VLOOKUP(A32,#REF!,3,FALSE)</f>
        <v>#REF!</v>
      </c>
      <c r="D32" s="3">
        <f t="shared" si="0"/>
        <v>0</v>
      </c>
      <c r="E32" s="3">
        <f t="shared" si="1"/>
        <v>0</v>
      </c>
      <c r="F32" s="418">
        <f t="shared" si="2"/>
        <v>0</v>
      </c>
      <c r="G32" s="3">
        <f t="shared" si="3"/>
        <v>0</v>
      </c>
      <c r="H32" s="3">
        <f t="shared" si="4"/>
        <v>0</v>
      </c>
      <c r="I32" s="418" t="s">
        <v>87</v>
      </c>
      <c r="J32" s="949">
        <f t="shared" si="5"/>
        <v>0</v>
      </c>
      <c r="K32" s="415"/>
    </row>
    <row r="33" spans="1:11" ht="18" customHeight="1">
      <c r="A33" s="194"/>
      <c r="B33" s="414"/>
      <c r="C33" s="413"/>
      <c r="D33" s="418"/>
      <c r="E33" s="418"/>
      <c r="F33" s="418"/>
      <c r="G33" s="418"/>
      <c r="H33" s="3"/>
      <c r="I33" s="418"/>
      <c r="J33" s="418"/>
      <c r="K33" s="415"/>
    </row>
    <row r="34" spans="1:11" ht="18" customHeight="1">
      <c r="A34" s="193"/>
      <c r="B34" s="414"/>
      <c r="C34" s="413"/>
      <c r="D34" s="418"/>
      <c r="E34" s="418"/>
      <c r="F34" s="418"/>
      <c r="G34" s="418"/>
      <c r="H34" s="418"/>
      <c r="I34" s="418"/>
      <c r="J34" s="418"/>
      <c r="K34" s="415"/>
    </row>
    <row r="35" spans="1:11" ht="18" customHeight="1">
      <c r="A35" s="193"/>
      <c r="B35" s="414"/>
      <c r="C35" s="413"/>
      <c r="D35" s="418"/>
      <c r="E35" s="418"/>
      <c r="F35" s="418"/>
      <c r="G35" s="418"/>
      <c r="H35" s="418"/>
      <c r="I35" s="418"/>
      <c r="J35" s="418"/>
      <c r="K35" s="415"/>
    </row>
    <row r="36" spans="1:11" ht="18" customHeight="1">
      <c r="A36" s="193"/>
      <c r="B36" s="414"/>
      <c r="C36" s="413"/>
      <c r="D36" s="418"/>
      <c r="E36" s="418"/>
      <c r="F36" s="418"/>
      <c r="G36" s="418"/>
      <c r="H36" s="418"/>
      <c r="I36" s="418"/>
      <c r="J36" s="418"/>
      <c r="K36" s="415"/>
    </row>
    <row r="37" spans="1:11" ht="18" customHeight="1">
      <c r="A37" s="193"/>
      <c r="B37" s="414"/>
      <c r="C37" s="413"/>
      <c r="D37" s="418"/>
      <c r="E37" s="418"/>
      <c r="F37" s="418"/>
      <c r="G37" s="418"/>
      <c r="H37" s="418"/>
      <c r="I37" s="418"/>
      <c r="J37" s="418"/>
      <c r="K37" s="415"/>
    </row>
    <row r="38" spans="1:11" ht="18" customHeight="1">
      <c r="A38" s="193"/>
      <c r="B38" s="414"/>
      <c r="C38" s="413"/>
      <c r="D38" s="418"/>
      <c r="E38" s="418"/>
      <c r="F38" s="418"/>
      <c r="G38" s="418"/>
      <c r="H38" s="418"/>
      <c r="I38" s="418"/>
      <c r="J38" s="418"/>
      <c r="K38" s="415"/>
    </row>
    <row r="39" spans="1:11" ht="18" customHeight="1">
      <c r="A39" s="193"/>
      <c r="B39" s="414"/>
      <c r="C39" s="413"/>
      <c r="D39" s="418"/>
      <c r="E39" s="418"/>
      <c r="F39" s="418"/>
      <c r="G39" s="418"/>
      <c r="H39" s="418"/>
      <c r="I39" s="418"/>
      <c r="J39" s="418"/>
      <c r="K39" s="415"/>
    </row>
    <row r="40" spans="1:11" ht="18" customHeight="1">
      <c r="A40" s="193"/>
      <c r="B40" s="414"/>
      <c r="C40" s="413"/>
      <c r="D40" s="418"/>
      <c r="E40" s="418"/>
      <c r="F40" s="418"/>
      <c r="G40" s="418"/>
      <c r="H40" s="418"/>
      <c r="I40" s="418"/>
      <c r="J40" s="418"/>
      <c r="K40" s="415"/>
    </row>
    <row r="41" spans="1:11" ht="18" customHeight="1">
      <c r="A41" s="193"/>
      <c r="B41" s="414"/>
      <c r="C41" s="413"/>
      <c r="D41" s="418"/>
      <c r="E41" s="418"/>
      <c r="F41" s="418"/>
      <c r="G41" s="418"/>
      <c r="H41" s="418"/>
      <c r="I41" s="418"/>
      <c r="J41" s="418"/>
      <c r="K41" s="415"/>
    </row>
    <row r="42" spans="1:11" ht="18" customHeight="1">
      <c r="A42" s="193"/>
      <c r="B42" s="414"/>
      <c r="C42" s="413"/>
      <c r="D42" s="418"/>
      <c r="E42" s="418"/>
      <c r="F42" s="418"/>
      <c r="G42" s="418"/>
      <c r="H42" s="418"/>
      <c r="I42" s="418"/>
      <c r="J42" s="418"/>
      <c r="K42" s="415"/>
    </row>
    <row r="43" spans="1:11" ht="18" customHeight="1">
      <c r="A43" s="193"/>
      <c r="B43" s="414"/>
      <c r="C43" s="413"/>
      <c r="D43" s="418"/>
      <c r="E43" s="418"/>
      <c r="F43" s="418"/>
      <c r="G43" s="418"/>
      <c r="H43" s="418"/>
      <c r="I43" s="418"/>
      <c r="J43" s="418"/>
      <c r="K43" s="415"/>
    </row>
    <row r="44" spans="1:11" ht="18" customHeight="1">
      <c r="A44" s="193"/>
      <c r="B44" s="414"/>
      <c r="C44" s="413"/>
      <c r="D44" s="418"/>
      <c r="E44" s="418"/>
      <c r="F44" s="418"/>
      <c r="G44" s="418"/>
      <c r="H44" s="418"/>
      <c r="I44" s="418"/>
      <c r="J44" s="418"/>
      <c r="K44" s="415"/>
    </row>
    <row r="45" spans="1:11" ht="18" customHeight="1">
      <c r="A45" s="193"/>
      <c r="B45" s="414"/>
      <c r="C45" s="413"/>
      <c r="D45" s="418"/>
      <c r="E45" s="418"/>
      <c r="F45" s="418"/>
      <c r="G45" s="418"/>
      <c r="H45" s="418"/>
      <c r="I45" s="418"/>
      <c r="J45" s="418"/>
      <c r="K45" s="415"/>
    </row>
    <row r="46" spans="1:11" ht="18" customHeight="1">
      <c r="A46" s="193"/>
      <c r="B46" s="414"/>
      <c r="C46" s="413"/>
      <c r="D46" s="418"/>
      <c r="E46" s="418"/>
      <c r="F46" s="418"/>
      <c r="G46" s="418"/>
      <c r="H46" s="418"/>
      <c r="I46" s="418"/>
      <c r="J46" s="418"/>
      <c r="K46" s="415"/>
    </row>
    <row r="47" spans="1:11" ht="18" customHeight="1">
      <c r="A47" s="193"/>
      <c r="B47" s="414"/>
      <c r="C47" s="413"/>
      <c r="D47" s="418"/>
      <c r="E47" s="418"/>
      <c r="F47" s="418"/>
      <c r="G47" s="418"/>
      <c r="H47" s="418"/>
      <c r="I47" s="418"/>
      <c r="J47" s="418"/>
      <c r="K47" s="415"/>
    </row>
    <row r="48" spans="1:11" ht="18" customHeight="1">
      <c r="A48" s="193"/>
      <c r="B48" s="414"/>
      <c r="C48" s="413"/>
      <c r="D48" s="418"/>
      <c r="E48" s="418"/>
      <c r="F48" s="418"/>
      <c r="G48" s="418"/>
      <c r="H48" s="418"/>
      <c r="I48" s="418"/>
      <c r="J48" s="418"/>
      <c r="K48" s="415"/>
    </row>
    <row r="49" spans="1:11" ht="18" customHeight="1">
      <c r="A49" s="193"/>
      <c r="B49" s="414"/>
      <c r="C49" s="413"/>
      <c r="D49" s="418"/>
      <c r="E49" s="418"/>
      <c r="F49" s="418"/>
      <c r="G49" s="418"/>
      <c r="H49" s="418"/>
      <c r="I49" s="418"/>
      <c r="J49" s="418"/>
      <c r="K49" s="415"/>
    </row>
    <row r="50" spans="1:11" ht="18" customHeight="1">
      <c r="A50" s="193"/>
      <c r="B50" s="414"/>
      <c r="C50" s="413"/>
      <c r="D50" s="418"/>
      <c r="E50" s="418"/>
      <c r="F50" s="418"/>
      <c r="G50" s="418"/>
      <c r="H50" s="418"/>
      <c r="I50" s="418"/>
      <c r="J50" s="418"/>
      <c r="K50" s="415"/>
    </row>
    <row r="51" spans="1:11" s="808" customFormat="1" ht="18" customHeight="1">
      <c r="A51" s="193"/>
      <c r="B51" s="759"/>
      <c r="C51" s="751"/>
      <c r="D51" s="418"/>
      <c r="E51" s="418"/>
      <c r="F51" s="934"/>
      <c r="G51" s="418"/>
      <c r="H51" s="418"/>
      <c r="I51" s="934"/>
      <c r="J51" s="934"/>
      <c r="K51" s="935"/>
    </row>
    <row r="52" spans="1:11" ht="18.95" customHeight="1">
      <c r="A52" t="s">
        <v>1301</v>
      </c>
      <c r="B52" s="662" t="s">
        <v>1561</v>
      </c>
      <c r="C52" s="936">
        <f>D5</f>
        <v>0</v>
      </c>
      <c r="D52" s="413"/>
      <c r="E52" s="413"/>
      <c r="F52" s="418"/>
      <c r="G52" s="413"/>
      <c r="H52" s="413"/>
      <c r="I52" s="418"/>
      <c r="J52" s="418"/>
      <c r="K52" s="415"/>
    </row>
    <row r="53" spans="1:11" ht="18" customHeight="1">
      <c r="A53" s="194" t="e">
        <f>#REF!</f>
        <v>#REF!</v>
      </c>
      <c r="B53" s="414" t="e">
        <f>VLOOKUP(A53,#REF!,2,FALSE)</f>
        <v>#REF!</v>
      </c>
      <c r="C53" s="413" t="e">
        <f>VLOOKUP(A53,#REF!,3,FALSE)</f>
        <v>#REF!</v>
      </c>
      <c r="D53" s="3">
        <f t="shared" ref="D53:D67" si="6">IF(ISERROR(VLOOKUP($A53,월곶초등학교인입공사,6,FALSE)),0,VLOOKUP($A53,월곶초등학교인입공사,6,FALSE))</f>
        <v>0</v>
      </c>
      <c r="E53" s="3">
        <f t="shared" ref="E53:E67" si="7">IF(ISERROR(VLOOKUP($A53,센텀베이1차아파트인입공사,6,FALSE)),0,VLOOKUP($A53,센텀베이1차아파트인입공사,6,FALSE))</f>
        <v>0</v>
      </c>
      <c r="F53" s="3">
        <f t="shared" ref="F53:F67" si="8">IF(ISERROR(VLOOKUP($A53,영남2차인입공사,6,FALSE)),0,VLOOKUP($A53,영남2차인입공사,6,FALSE))</f>
        <v>0</v>
      </c>
      <c r="G53" s="3">
        <f t="shared" ref="G53:G67" si="9">IF(ISERROR(VLOOKUP($A53,한일화학공업인입공사,6,FALSE)),0,VLOOKUP($A53,한일화학공업인입공사,6,FALSE))</f>
        <v>0</v>
      </c>
      <c r="H53" s="3">
        <f t="shared" ref="H53:H67" si="10">IF(ISERROR(VLOOKUP($A53,한국산업기술대학교인입공사,6,FALSE)),0,VLOOKUP($A53,한국산업기술대학교인입공사,6,FALSE))</f>
        <v>0</v>
      </c>
      <c r="I53" s="418" t="s">
        <v>90</v>
      </c>
      <c r="J53" s="949">
        <f>SUM(D53:H53)</f>
        <v>0</v>
      </c>
      <c r="K53" s="415"/>
    </row>
    <row r="54" spans="1:11" ht="18" customHeight="1">
      <c r="A54" s="194" t="e">
        <f>#REF!</f>
        <v>#REF!</v>
      </c>
      <c r="B54" s="414" t="e">
        <f>VLOOKUP(A54,#REF!,2,FALSE)</f>
        <v>#REF!</v>
      </c>
      <c r="C54" s="413" t="e">
        <f>VLOOKUP(A54,#REF!,3,FALSE)</f>
        <v>#REF!</v>
      </c>
      <c r="D54" s="3">
        <f t="shared" si="6"/>
        <v>0</v>
      </c>
      <c r="E54" s="3">
        <f t="shared" si="7"/>
        <v>0</v>
      </c>
      <c r="F54" s="3">
        <f t="shared" si="8"/>
        <v>0</v>
      </c>
      <c r="G54" s="3">
        <f t="shared" si="9"/>
        <v>0</v>
      </c>
      <c r="H54" s="3">
        <f t="shared" si="10"/>
        <v>0</v>
      </c>
      <c r="I54" s="418" t="s">
        <v>90</v>
      </c>
      <c r="J54" s="949">
        <f t="shared" ref="J54:J67" si="11">SUM(D54:H54)</f>
        <v>0</v>
      </c>
      <c r="K54" s="415"/>
    </row>
    <row r="55" spans="1:11" ht="18" customHeight="1">
      <c r="A55" s="194" t="e">
        <f>#REF!</f>
        <v>#REF!</v>
      </c>
      <c r="B55" s="414" t="e">
        <f>VLOOKUP(A55,#REF!,2,FALSE)</f>
        <v>#REF!</v>
      </c>
      <c r="C55" s="413" t="e">
        <f>VLOOKUP(A55,#REF!,3,FALSE)</f>
        <v>#REF!</v>
      </c>
      <c r="D55" s="3">
        <f t="shared" si="6"/>
        <v>0</v>
      </c>
      <c r="E55" s="3">
        <f t="shared" si="7"/>
        <v>0</v>
      </c>
      <c r="F55" s="3">
        <f t="shared" si="8"/>
        <v>0</v>
      </c>
      <c r="G55" s="3">
        <f t="shared" si="9"/>
        <v>0</v>
      </c>
      <c r="H55" s="3">
        <f t="shared" si="10"/>
        <v>0</v>
      </c>
      <c r="I55" s="418" t="s">
        <v>90</v>
      </c>
      <c r="J55" s="949">
        <f t="shared" si="11"/>
        <v>0</v>
      </c>
      <c r="K55" s="415"/>
    </row>
    <row r="56" spans="1:11" ht="18" customHeight="1">
      <c r="A56" s="194" t="e">
        <f>#REF!</f>
        <v>#REF!</v>
      </c>
      <c r="B56" s="414" t="e">
        <f>VLOOKUP(A56,#REF!,2,FALSE)</f>
        <v>#REF!</v>
      </c>
      <c r="C56" s="413" t="e">
        <f>VLOOKUP(A56,#REF!,3,FALSE)</f>
        <v>#REF!</v>
      </c>
      <c r="D56" s="3">
        <f t="shared" si="6"/>
        <v>0</v>
      </c>
      <c r="E56" s="3">
        <f t="shared" si="7"/>
        <v>0</v>
      </c>
      <c r="F56" s="3">
        <f t="shared" si="8"/>
        <v>0</v>
      </c>
      <c r="G56" s="3">
        <f t="shared" si="9"/>
        <v>0</v>
      </c>
      <c r="H56" s="3">
        <f t="shared" si="10"/>
        <v>0</v>
      </c>
      <c r="I56" s="418" t="s">
        <v>90</v>
      </c>
      <c r="J56" s="949">
        <f t="shared" si="11"/>
        <v>0</v>
      </c>
      <c r="K56" s="415"/>
    </row>
    <row r="57" spans="1:11" ht="18" customHeight="1">
      <c r="A57" s="194" t="e">
        <f>#REF!</f>
        <v>#REF!</v>
      </c>
      <c r="B57" s="414" t="e">
        <f>VLOOKUP(A57,#REF!,2,FALSE)</f>
        <v>#REF!</v>
      </c>
      <c r="C57" s="413" t="e">
        <f>VLOOKUP(A57,#REF!,3,FALSE)</f>
        <v>#REF!</v>
      </c>
      <c r="D57" s="3">
        <f t="shared" si="6"/>
        <v>0</v>
      </c>
      <c r="E57" s="3">
        <f t="shared" si="7"/>
        <v>0</v>
      </c>
      <c r="F57" s="3">
        <f t="shared" si="8"/>
        <v>0</v>
      </c>
      <c r="G57" s="3">
        <f t="shared" si="9"/>
        <v>0</v>
      </c>
      <c r="H57" s="3">
        <f t="shared" si="10"/>
        <v>0</v>
      </c>
      <c r="I57" s="418" t="s">
        <v>90</v>
      </c>
      <c r="J57" s="949">
        <f t="shared" si="11"/>
        <v>0</v>
      </c>
      <c r="K57" s="415"/>
    </row>
    <row r="58" spans="1:11" ht="18" customHeight="1">
      <c r="A58" s="194" t="e">
        <f>#REF!</f>
        <v>#REF!</v>
      </c>
      <c r="B58" s="414" t="e">
        <f>VLOOKUP(A58,#REF!,2,FALSE)</f>
        <v>#REF!</v>
      </c>
      <c r="C58" s="413" t="e">
        <f>VLOOKUP(A58,#REF!,3,FALSE)</f>
        <v>#REF!</v>
      </c>
      <c r="D58" s="3">
        <f t="shared" si="6"/>
        <v>0</v>
      </c>
      <c r="E58" s="3">
        <f t="shared" si="7"/>
        <v>0</v>
      </c>
      <c r="F58" s="3">
        <f t="shared" si="8"/>
        <v>0</v>
      </c>
      <c r="G58" s="3">
        <f t="shared" si="9"/>
        <v>0</v>
      </c>
      <c r="H58" s="3">
        <f t="shared" si="10"/>
        <v>0</v>
      </c>
      <c r="I58" s="418" t="s">
        <v>90</v>
      </c>
      <c r="J58" s="949">
        <f t="shared" si="11"/>
        <v>0</v>
      </c>
      <c r="K58" s="415"/>
    </row>
    <row r="59" spans="1:11" ht="18" customHeight="1">
      <c r="A59" s="194" t="e">
        <f>#REF!</f>
        <v>#REF!</v>
      </c>
      <c r="B59" s="414" t="e">
        <f>VLOOKUP(A59,#REF!,2,FALSE)</f>
        <v>#REF!</v>
      </c>
      <c r="C59" s="413" t="e">
        <f>VLOOKUP(A59,#REF!,3,FALSE)</f>
        <v>#REF!</v>
      </c>
      <c r="D59" s="3">
        <f t="shared" si="6"/>
        <v>0</v>
      </c>
      <c r="E59" s="3">
        <f t="shared" si="7"/>
        <v>0</v>
      </c>
      <c r="F59" s="3">
        <f t="shared" si="8"/>
        <v>0</v>
      </c>
      <c r="G59" s="3">
        <f t="shared" si="9"/>
        <v>0</v>
      </c>
      <c r="H59" s="3">
        <f>IF(ISERROR(VLOOKUP($A59,한국산업기술대학교인입공사,6,FALSE)),0,VLOOKUP($A59,한국산업기술대학교인입공사,6,FALSE))</f>
        <v>0</v>
      </c>
      <c r="I59" s="418" t="s">
        <v>90</v>
      </c>
      <c r="J59" s="949">
        <f t="shared" si="11"/>
        <v>0</v>
      </c>
      <c r="K59" s="415"/>
    </row>
    <row r="60" spans="1:11" ht="18" customHeight="1">
      <c r="A60" s="194" t="e">
        <f>#REF!</f>
        <v>#REF!</v>
      </c>
      <c r="B60" s="414" t="e">
        <f>VLOOKUP(A60,#REF!,2,FALSE)</f>
        <v>#REF!</v>
      </c>
      <c r="C60" s="413" t="e">
        <f>VLOOKUP(A60,#REF!,3,FALSE)</f>
        <v>#REF!</v>
      </c>
      <c r="D60" s="3">
        <f t="shared" si="6"/>
        <v>0</v>
      </c>
      <c r="E60" s="3">
        <f t="shared" si="7"/>
        <v>0</v>
      </c>
      <c r="F60" s="3">
        <f t="shared" si="8"/>
        <v>0</v>
      </c>
      <c r="G60" s="3">
        <f t="shared" si="9"/>
        <v>0</v>
      </c>
      <c r="H60" s="3">
        <f t="shared" si="10"/>
        <v>0</v>
      </c>
      <c r="I60" s="418" t="s">
        <v>90</v>
      </c>
      <c r="J60" s="949">
        <f t="shared" si="11"/>
        <v>0</v>
      </c>
      <c r="K60" s="415"/>
    </row>
    <row r="61" spans="1:11" ht="18" customHeight="1">
      <c r="A61" s="194" t="e">
        <f>#REF!</f>
        <v>#REF!</v>
      </c>
      <c r="B61" s="414" t="e">
        <f>VLOOKUP(A61,#REF!,2,FALSE)</f>
        <v>#REF!</v>
      </c>
      <c r="C61" s="413" t="e">
        <f>VLOOKUP(A61,#REF!,3,FALSE)</f>
        <v>#REF!</v>
      </c>
      <c r="D61" s="3">
        <f t="shared" si="6"/>
        <v>0</v>
      </c>
      <c r="E61" s="3">
        <f t="shared" si="7"/>
        <v>0</v>
      </c>
      <c r="F61" s="3">
        <f t="shared" si="8"/>
        <v>0</v>
      </c>
      <c r="G61" s="3">
        <f t="shared" si="9"/>
        <v>0</v>
      </c>
      <c r="H61" s="3">
        <f t="shared" si="10"/>
        <v>0</v>
      </c>
      <c r="I61" s="418" t="s">
        <v>90</v>
      </c>
      <c r="J61" s="949">
        <f t="shared" si="11"/>
        <v>0</v>
      </c>
      <c r="K61" s="415"/>
    </row>
    <row r="62" spans="1:11" ht="18" customHeight="1">
      <c r="A62" s="194" t="e">
        <f>#REF!</f>
        <v>#REF!</v>
      </c>
      <c r="B62" s="414" t="e">
        <f>VLOOKUP(A62,#REF!,2,FALSE)</f>
        <v>#REF!</v>
      </c>
      <c r="C62" s="413" t="e">
        <f>VLOOKUP(A62,#REF!,3,FALSE)</f>
        <v>#REF!</v>
      </c>
      <c r="D62" s="3">
        <f t="shared" si="6"/>
        <v>0</v>
      </c>
      <c r="E62" s="3">
        <f t="shared" si="7"/>
        <v>0</v>
      </c>
      <c r="F62" s="3">
        <f t="shared" si="8"/>
        <v>0</v>
      </c>
      <c r="G62" s="3">
        <f t="shared" si="9"/>
        <v>0</v>
      </c>
      <c r="H62" s="3">
        <f t="shared" si="10"/>
        <v>0</v>
      </c>
      <c r="I62" s="418" t="s">
        <v>90</v>
      </c>
      <c r="J62" s="949">
        <f t="shared" si="11"/>
        <v>0</v>
      </c>
      <c r="K62" s="415"/>
    </row>
    <row r="63" spans="1:11" ht="18" customHeight="1">
      <c r="A63" s="194" t="e">
        <f>#REF!</f>
        <v>#REF!</v>
      </c>
      <c r="B63" s="414" t="e">
        <f>VLOOKUP(A63,#REF!,2,FALSE)</f>
        <v>#REF!</v>
      </c>
      <c r="C63" s="413" t="e">
        <f>VLOOKUP(A63,#REF!,3,FALSE)</f>
        <v>#REF!</v>
      </c>
      <c r="D63" s="3">
        <f t="shared" si="6"/>
        <v>0</v>
      </c>
      <c r="E63" s="3">
        <f t="shared" si="7"/>
        <v>0</v>
      </c>
      <c r="F63" s="3">
        <f t="shared" si="8"/>
        <v>0</v>
      </c>
      <c r="G63" s="3">
        <f t="shared" si="9"/>
        <v>0</v>
      </c>
      <c r="H63" s="3">
        <f t="shared" si="10"/>
        <v>0</v>
      </c>
      <c r="I63" s="418" t="s">
        <v>90</v>
      </c>
      <c r="J63" s="949">
        <f t="shared" si="11"/>
        <v>0</v>
      </c>
      <c r="K63" s="415"/>
    </row>
    <row r="64" spans="1:11" ht="18" customHeight="1">
      <c r="A64" s="194" t="e">
        <f>#REF!</f>
        <v>#REF!</v>
      </c>
      <c r="B64" s="414" t="e">
        <f>VLOOKUP(A64,#REF!,2,FALSE)</f>
        <v>#REF!</v>
      </c>
      <c r="C64" s="413" t="e">
        <f>VLOOKUP(A64,#REF!,3,FALSE)</f>
        <v>#REF!</v>
      </c>
      <c r="D64" s="3">
        <f t="shared" si="6"/>
        <v>0</v>
      </c>
      <c r="E64" s="3">
        <f t="shared" si="7"/>
        <v>0</v>
      </c>
      <c r="F64" s="3">
        <f t="shared" si="8"/>
        <v>0</v>
      </c>
      <c r="G64" s="3">
        <f t="shared" si="9"/>
        <v>0</v>
      </c>
      <c r="H64" s="3">
        <f t="shared" si="10"/>
        <v>0</v>
      </c>
      <c r="I64" s="418" t="s">
        <v>90</v>
      </c>
      <c r="J64" s="949">
        <f t="shared" si="11"/>
        <v>0</v>
      </c>
      <c r="K64" s="415"/>
    </row>
    <row r="65" spans="1:11" ht="18" customHeight="1">
      <c r="A65" s="193" t="e">
        <f>#REF!</f>
        <v>#REF!</v>
      </c>
      <c r="B65" s="414" t="e">
        <f>VLOOKUP(A65,#REF!,2,FALSE)</f>
        <v>#REF!</v>
      </c>
      <c r="C65" s="413" t="e">
        <f>VLOOKUP(A65,#REF!,3,FALSE)</f>
        <v>#REF!</v>
      </c>
      <c r="D65" s="3">
        <f t="shared" si="6"/>
        <v>0</v>
      </c>
      <c r="E65" s="3">
        <f t="shared" si="7"/>
        <v>0</v>
      </c>
      <c r="F65" s="3">
        <f t="shared" si="8"/>
        <v>0</v>
      </c>
      <c r="G65" s="3">
        <f t="shared" si="9"/>
        <v>0</v>
      </c>
      <c r="H65" s="3">
        <f t="shared" si="10"/>
        <v>0</v>
      </c>
      <c r="I65" s="418" t="s">
        <v>90</v>
      </c>
      <c r="J65" s="949">
        <f t="shared" si="11"/>
        <v>0</v>
      </c>
      <c r="K65" s="415"/>
    </row>
    <row r="66" spans="1:11" ht="18" customHeight="1">
      <c r="A66" s="193" t="e">
        <f>#REF!</f>
        <v>#REF!</v>
      </c>
      <c r="B66" s="414" t="e">
        <f>VLOOKUP(A66,#REF!,2,FALSE)</f>
        <v>#REF!</v>
      </c>
      <c r="C66" s="413" t="e">
        <f>VLOOKUP(A66,#REF!,3,FALSE)</f>
        <v>#REF!</v>
      </c>
      <c r="D66" s="3">
        <f t="shared" si="6"/>
        <v>0</v>
      </c>
      <c r="E66" s="3">
        <f t="shared" si="7"/>
        <v>0</v>
      </c>
      <c r="F66" s="3">
        <f t="shared" si="8"/>
        <v>0</v>
      </c>
      <c r="G66" s="3">
        <f t="shared" si="9"/>
        <v>0</v>
      </c>
      <c r="H66" s="3">
        <f t="shared" si="10"/>
        <v>0</v>
      </c>
      <c r="I66" s="418" t="s">
        <v>90</v>
      </c>
      <c r="J66" s="949">
        <f t="shared" si="11"/>
        <v>0</v>
      </c>
      <c r="K66" s="415"/>
    </row>
    <row r="67" spans="1:11" s="931" customFormat="1" ht="18" customHeight="1">
      <c r="A67" s="937" t="e">
        <f>#REF!</f>
        <v>#REF!</v>
      </c>
      <c r="B67" s="938" t="e">
        <f>VLOOKUP(A67,#REF!,2,FALSE)</f>
        <v>#REF!</v>
      </c>
      <c r="C67" s="939" t="e">
        <f>VLOOKUP(A67,#REF!,3,FALSE)</f>
        <v>#REF!</v>
      </c>
      <c r="D67" s="941">
        <f t="shared" si="6"/>
        <v>0</v>
      </c>
      <c r="E67" s="941">
        <f t="shared" si="7"/>
        <v>0</v>
      </c>
      <c r="F67" s="941">
        <f t="shared" si="8"/>
        <v>0</v>
      </c>
      <c r="G67" s="941">
        <f t="shared" si="9"/>
        <v>0</v>
      </c>
      <c r="H67" s="941">
        <f t="shared" si="10"/>
        <v>0</v>
      </c>
      <c r="I67" s="940" t="s">
        <v>90</v>
      </c>
      <c r="J67" s="950">
        <f t="shared" si="11"/>
        <v>0</v>
      </c>
      <c r="K67" s="942">
        <f>폐기물일위대가!G65</f>
        <v>0.17625000000000005</v>
      </c>
    </row>
    <row r="68" spans="1:11" ht="18" customHeight="1">
      <c r="A68" s="193"/>
      <c r="B68" s="414"/>
      <c r="C68" s="413"/>
      <c r="D68" s="418"/>
      <c r="E68" s="418"/>
      <c r="F68" s="418"/>
      <c r="G68" s="418"/>
      <c r="H68" s="418"/>
      <c r="I68" s="418"/>
      <c r="J68" s="418"/>
      <c r="K68" s="415"/>
    </row>
    <row r="69" spans="1:11" ht="18" customHeight="1">
      <c r="A69" s="193"/>
      <c r="B69" s="414"/>
      <c r="C69" s="413"/>
      <c r="D69" s="418"/>
      <c r="E69" s="418"/>
      <c r="F69" s="418"/>
      <c r="G69" s="418"/>
      <c r="H69" s="418"/>
      <c r="I69" s="418"/>
      <c r="J69" s="418"/>
      <c r="K69" s="415"/>
    </row>
    <row r="70" spans="1:11" ht="18" customHeight="1">
      <c r="A70" s="193"/>
      <c r="B70" s="414"/>
      <c r="C70" s="413"/>
      <c r="D70" s="418"/>
      <c r="E70" s="418"/>
      <c r="F70" s="418"/>
      <c r="G70" s="418"/>
      <c r="H70" s="418"/>
      <c r="I70" s="418"/>
      <c r="J70" s="418"/>
      <c r="K70" s="415"/>
    </row>
    <row r="71" spans="1:11" ht="18" customHeight="1">
      <c r="A71" s="193"/>
      <c r="B71" s="414"/>
      <c r="C71" s="413"/>
      <c r="D71" s="418"/>
      <c r="E71" s="418"/>
      <c r="F71" s="418"/>
      <c r="G71" s="418"/>
      <c r="H71" s="418"/>
      <c r="I71" s="418"/>
      <c r="J71" s="418"/>
      <c r="K71" s="415"/>
    </row>
    <row r="72" spans="1:11" ht="18" customHeight="1">
      <c r="A72" s="193"/>
      <c r="B72" s="414"/>
      <c r="C72" s="413"/>
      <c r="D72" s="418"/>
      <c r="E72" s="418"/>
      <c r="F72" s="418"/>
      <c r="G72" s="418"/>
      <c r="H72" s="418"/>
      <c r="I72" s="418"/>
      <c r="J72" s="418"/>
      <c r="K72" s="415"/>
    </row>
    <row r="73" spans="1:11" ht="18" customHeight="1">
      <c r="A73" s="193"/>
      <c r="B73" s="414"/>
      <c r="C73" s="413"/>
      <c r="D73" s="418"/>
      <c r="E73" s="418"/>
      <c r="F73" s="418"/>
      <c r="G73" s="418"/>
      <c r="H73" s="418"/>
      <c r="I73" s="418"/>
      <c r="J73" s="418"/>
      <c r="K73" s="415"/>
    </row>
    <row r="74" spans="1:11" s="808" customFormat="1" ht="18" customHeight="1">
      <c r="A74" s="193"/>
      <c r="B74" s="759"/>
      <c r="C74" s="751"/>
      <c r="D74" s="418"/>
      <c r="E74" s="418"/>
      <c r="F74" s="934"/>
      <c r="G74" s="418"/>
      <c r="H74" s="418"/>
      <c r="I74" s="934"/>
      <c r="J74" s="934"/>
      <c r="K74" s="935"/>
    </row>
    <row r="75" spans="1:11" ht="18.95" customHeight="1">
      <c r="A75" t="s">
        <v>1301</v>
      </c>
      <c r="B75" s="662" t="s">
        <v>1562</v>
      </c>
      <c r="C75" s="936"/>
      <c r="D75" s="413"/>
      <c r="E75" s="413"/>
      <c r="F75" s="418"/>
      <c r="G75" s="413"/>
      <c r="H75" s="413"/>
      <c r="I75" s="418"/>
      <c r="J75" s="418"/>
      <c r="K75" s="415"/>
    </row>
    <row r="76" spans="1:11" ht="18" customHeight="1">
      <c r="A76" s="193" t="e">
        <f>#REF!</f>
        <v>#REF!</v>
      </c>
      <c r="B76" s="414" t="e">
        <f>VLOOKUP(A76,#REF!,2,FALSE)</f>
        <v>#REF!</v>
      </c>
      <c r="C76" s="413" t="e">
        <f>VLOOKUP(A76,#REF!,3,FALSE)</f>
        <v>#REF!</v>
      </c>
      <c r="D76" s="3">
        <f t="shared" ref="D76:D136" si="12">IF(ISERROR(VLOOKUP($A76,월곶초등학교신설공사,6,FALSE)),0,VLOOKUP($A76,월곶초등학교신설공사,6,FALSE))</f>
        <v>0</v>
      </c>
      <c r="E76" s="3">
        <f t="shared" ref="E76:E136" si="13">IF(ISERROR(VLOOKUP($A76,센텀베이1차아파트신설공사,6,FALSE)),0,VLOOKUP($A76,센텀베이1차아파트신설공사,6,FALSE))</f>
        <v>0</v>
      </c>
      <c r="F76" s="3">
        <f t="shared" ref="F76:F136" si="14">IF(ISERROR(VLOOKUP($A76,영남2차신설공사,6,FALSE)),0,VLOOKUP($A76,영남2차신설공사,6,FALSE))</f>
        <v>0</v>
      </c>
      <c r="G76" s="3">
        <f t="shared" ref="G76:G136" si="15">IF(ISERROR(VLOOKUP($A76,한일화학공업신설공사,6,FALSE)),0,VLOOKUP($A76,한일화학공업신설공사,6,FALSE))</f>
        <v>0</v>
      </c>
      <c r="H76" s="3">
        <f t="shared" ref="H76:H136" si="16">IF(ISERROR(VLOOKUP($A76,한국산업기술대학교신설공사,6,FALSE)),0,VLOOKUP($A76,한국산업기술대학교신설공사,6,FALSE))</f>
        <v>0</v>
      </c>
      <c r="I76" s="418" t="s">
        <v>90</v>
      </c>
      <c r="J76" s="949">
        <f>SUM(D76:H76)</f>
        <v>0</v>
      </c>
      <c r="K76" s="415"/>
    </row>
    <row r="77" spans="1:11" ht="18" customHeight="1">
      <c r="A77" s="193" t="e">
        <f>#REF!</f>
        <v>#REF!</v>
      </c>
      <c r="B77" s="414" t="e">
        <f>VLOOKUP(A77,#REF!,2,FALSE)</f>
        <v>#REF!</v>
      </c>
      <c r="C77" s="413" t="e">
        <f>VLOOKUP(A77,#REF!,3,FALSE)</f>
        <v>#REF!</v>
      </c>
      <c r="D77" s="3">
        <f t="shared" si="12"/>
        <v>0</v>
      </c>
      <c r="E77" s="3">
        <f t="shared" si="13"/>
        <v>0</v>
      </c>
      <c r="F77" s="3">
        <f t="shared" si="14"/>
        <v>0</v>
      </c>
      <c r="G77" s="3">
        <f t="shared" si="15"/>
        <v>0</v>
      </c>
      <c r="H77" s="3">
        <f t="shared" si="16"/>
        <v>0</v>
      </c>
      <c r="I77" s="418" t="s">
        <v>90</v>
      </c>
      <c r="J77" s="949">
        <f t="shared" ref="J77:J136" si="17">SUM(D77:H77)</f>
        <v>0</v>
      </c>
      <c r="K77" s="415"/>
    </row>
    <row r="78" spans="1:11" ht="18" customHeight="1">
      <c r="A78" s="193" t="e">
        <f>#REF!</f>
        <v>#REF!</v>
      </c>
      <c r="B78" s="414" t="e">
        <f>VLOOKUP(A78,#REF!,2,FALSE)</f>
        <v>#REF!</v>
      </c>
      <c r="C78" s="413" t="e">
        <f>VLOOKUP(A78,#REF!,3,FALSE)</f>
        <v>#REF!</v>
      </c>
      <c r="D78" s="3">
        <f t="shared" si="12"/>
        <v>0</v>
      </c>
      <c r="E78" s="3">
        <f t="shared" si="13"/>
        <v>0</v>
      </c>
      <c r="F78" s="3">
        <f t="shared" si="14"/>
        <v>0</v>
      </c>
      <c r="G78" s="3">
        <f t="shared" si="15"/>
        <v>0</v>
      </c>
      <c r="H78" s="3">
        <f t="shared" si="16"/>
        <v>0</v>
      </c>
      <c r="I78" s="418" t="s">
        <v>90</v>
      </c>
      <c r="J78" s="949">
        <f t="shared" si="17"/>
        <v>0</v>
      </c>
      <c r="K78" s="415"/>
    </row>
    <row r="79" spans="1:11" ht="18" customHeight="1">
      <c r="A79" s="193" t="e">
        <f>#REF!</f>
        <v>#REF!</v>
      </c>
      <c r="B79" s="414" t="e">
        <f>VLOOKUP(A79,#REF!,2,FALSE)</f>
        <v>#REF!</v>
      </c>
      <c r="C79" s="413" t="e">
        <f>VLOOKUP(A79,#REF!,3,FALSE)</f>
        <v>#REF!</v>
      </c>
      <c r="D79" s="3">
        <f t="shared" si="12"/>
        <v>0</v>
      </c>
      <c r="E79" s="3">
        <f t="shared" si="13"/>
        <v>0</v>
      </c>
      <c r="F79" s="3">
        <f t="shared" si="14"/>
        <v>0</v>
      </c>
      <c r="G79" s="3">
        <f t="shared" si="15"/>
        <v>0</v>
      </c>
      <c r="H79" s="3">
        <f t="shared" si="16"/>
        <v>0</v>
      </c>
      <c r="I79" s="418" t="s">
        <v>90</v>
      </c>
      <c r="J79" s="949">
        <f t="shared" si="17"/>
        <v>0</v>
      </c>
      <c r="K79" s="415"/>
    </row>
    <row r="80" spans="1:11" ht="18" customHeight="1">
      <c r="A80" s="193" t="e">
        <f>#REF!</f>
        <v>#REF!</v>
      </c>
      <c r="B80" s="414" t="e">
        <f>VLOOKUP(A80,#REF!,2,FALSE)</f>
        <v>#REF!</v>
      </c>
      <c r="C80" s="413" t="e">
        <f>VLOOKUP(A80,#REF!,3,FALSE)</f>
        <v>#REF!</v>
      </c>
      <c r="D80" s="3">
        <f t="shared" si="12"/>
        <v>0</v>
      </c>
      <c r="E80" s="3">
        <f t="shared" si="13"/>
        <v>0</v>
      </c>
      <c r="F80" s="3">
        <f t="shared" si="14"/>
        <v>0</v>
      </c>
      <c r="G80" s="3">
        <f t="shared" si="15"/>
        <v>0</v>
      </c>
      <c r="H80" s="3">
        <f t="shared" si="16"/>
        <v>0</v>
      </c>
      <c r="I80" s="418" t="s">
        <v>90</v>
      </c>
      <c r="J80" s="949">
        <f t="shared" si="17"/>
        <v>0</v>
      </c>
      <c r="K80" s="415"/>
    </row>
    <row r="81" spans="1:11" ht="18" customHeight="1">
      <c r="A81" s="193" t="e">
        <f>#REF!</f>
        <v>#REF!</v>
      </c>
      <c r="B81" s="414" t="e">
        <f>VLOOKUP(A81,#REF!,2,FALSE)</f>
        <v>#REF!</v>
      </c>
      <c r="C81" s="413" t="e">
        <f>VLOOKUP(A81,#REF!,3,FALSE)</f>
        <v>#REF!</v>
      </c>
      <c r="D81" s="3">
        <f t="shared" si="12"/>
        <v>0</v>
      </c>
      <c r="E81" s="3">
        <f t="shared" si="13"/>
        <v>0</v>
      </c>
      <c r="F81" s="3">
        <f t="shared" si="14"/>
        <v>0</v>
      </c>
      <c r="G81" s="3">
        <f t="shared" si="15"/>
        <v>0</v>
      </c>
      <c r="H81" s="3">
        <f t="shared" si="16"/>
        <v>0</v>
      </c>
      <c r="I81" s="418" t="s">
        <v>90</v>
      </c>
      <c r="J81" s="949">
        <f t="shared" si="17"/>
        <v>0</v>
      </c>
      <c r="K81" s="415"/>
    </row>
    <row r="82" spans="1:11" ht="18" customHeight="1">
      <c r="A82" s="193" t="e">
        <f>#REF!</f>
        <v>#REF!</v>
      </c>
      <c r="B82" s="414" t="e">
        <f>VLOOKUP(A82,#REF!,2,FALSE)</f>
        <v>#REF!</v>
      </c>
      <c r="C82" s="413" t="e">
        <f>VLOOKUP(A82,#REF!,3,FALSE)</f>
        <v>#REF!</v>
      </c>
      <c r="D82" s="3">
        <f t="shared" si="12"/>
        <v>0</v>
      </c>
      <c r="E82" s="3">
        <f t="shared" si="13"/>
        <v>0</v>
      </c>
      <c r="F82" s="3">
        <f t="shared" si="14"/>
        <v>0</v>
      </c>
      <c r="G82" s="3">
        <f t="shared" si="15"/>
        <v>0</v>
      </c>
      <c r="H82" s="3">
        <f t="shared" si="16"/>
        <v>0</v>
      </c>
      <c r="I82" s="418" t="s">
        <v>90</v>
      </c>
      <c r="J82" s="949">
        <f t="shared" si="17"/>
        <v>0</v>
      </c>
      <c r="K82" s="415"/>
    </row>
    <row r="83" spans="1:11" ht="18" customHeight="1">
      <c r="A83" s="193" t="e">
        <f>#REF!</f>
        <v>#REF!</v>
      </c>
      <c r="B83" s="414" t="e">
        <f>VLOOKUP(A83,#REF!,2,FALSE)</f>
        <v>#REF!</v>
      </c>
      <c r="C83" s="413" t="e">
        <f>VLOOKUP(A83,#REF!,3,FALSE)</f>
        <v>#REF!</v>
      </c>
      <c r="D83" s="3">
        <f t="shared" si="12"/>
        <v>0</v>
      </c>
      <c r="E83" s="3">
        <f t="shared" si="13"/>
        <v>0</v>
      </c>
      <c r="F83" s="3">
        <f t="shared" si="14"/>
        <v>0</v>
      </c>
      <c r="G83" s="3">
        <f t="shared" si="15"/>
        <v>0</v>
      </c>
      <c r="H83" s="3">
        <f t="shared" si="16"/>
        <v>0</v>
      </c>
      <c r="I83" s="418" t="s">
        <v>90</v>
      </c>
      <c r="J83" s="949">
        <f t="shared" si="17"/>
        <v>0</v>
      </c>
      <c r="K83" s="415"/>
    </row>
    <row r="84" spans="1:11" ht="18" customHeight="1">
      <c r="A84" s="193" t="e">
        <f>#REF!</f>
        <v>#REF!</v>
      </c>
      <c r="B84" s="414" t="e">
        <f>VLOOKUP(A84,#REF!,2,FALSE)</f>
        <v>#REF!</v>
      </c>
      <c r="C84" s="413" t="e">
        <f>VLOOKUP(A84,#REF!,3,FALSE)</f>
        <v>#REF!</v>
      </c>
      <c r="D84" s="3">
        <f t="shared" si="12"/>
        <v>0</v>
      </c>
      <c r="E84" s="3">
        <f t="shared" si="13"/>
        <v>0</v>
      </c>
      <c r="F84" s="3">
        <f t="shared" si="14"/>
        <v>0</v>
      </c>
      <c r="G84" s="3">
        <f t="shared" si="15"/>
        <v>0</v>
      </c>
      <c r="H84" s="3">
        <f t="shared" si="16"/>
        <v>0</v>
      </c>
      <c r="I84" s="418" t="s">
        <v>90</v>
      </c>
      <c r="J84" s="949">
        <f t="shared" si="17"/>
        <v>0</v>
      </c>
      <c r="K84" s="415"/>
    </row>
    <row r="85" spans="1:11" ht="18" customHeight="1">
      <c r="A85" s="193" t="e">
        <f>#REF!</f>
        <v>#REF!</v>
      </c>
      <c r="B85" s="414" t="e">
        <f>VLOOKUP(A85,#REF!,2,FALSE)</f>
        <v>#REF!</v>
      </c>
      <c r="C85" s="413" t="e">
        <f>VLOOKUP(A85,#REF!,3,FALSE)</f>
        <v>#REF!</v>
      </c>
      <c r="D85" s="3">
        <f t="shared" si="12"/>
        <v>0</v>
      </c>
      <c r="E85" s="3">
        <f t="shared" si="13"/>
        <v>0</v>
      </c>
      <c r="F85" s="3">
        <f t="shared" si="14"/>
        <v>0</v>
      </c>
      <c r="G85" s="3">
        <f t="shared" si="15"/>
        <v>0</v>
      </c>
      <c r="H85" s="3">
        <f t="shared" si="16"/>
        <v>0</v>
      </c>
      <c r="I85" s="418" t="s">
        <v>90</v>
      </c>
      <c r="J85" s="949">
        <f t="shared" si="17"/>
        <v>0</v>
      </c>
      <c r="K85" s="415"/>
    </row>
    <row r="86" spans="1:11" ht="18" customHeight="1">
      <c r="A86" s="193" t="e">
        <f>#REF!</f>
        <v>#REF!</v>
      </c>
      <c r="B86" s="414" t="e">
        <f>VLOOKUP(A86,#REF!,2,FALSE)</f>
        <v>#REF!</v>
      </c>
      <c r="C86" s="413" t="e">
        <f>VLOOKUP(A86,#REF!,3,FALSE)</f>
        <v>#REF!</v>
      </c>
      <c r="D86" s="3">
        <f t="shared" si="12"/>
        <v>0</v>
      </c>
      <c r="E86" s="3">
        <f t="shared" si="13"/>
        <v>0</v>
      </c>
      <c r="F86" s="3">
        <f t="shared" si="14"/>
        <v>0</v>
      </c>
      <c r="G86" s="3">
        <f t="shared" si="15"/>
        <v>0</v>
      </c>
      <c r="H86" s="3">
        <f t="shared" si="16"/>
        <v>0</v>
      </c>
      <c r="I86" s="418" t="s">
        <v>90</v>
      </c>
      <c r="J86" s="949">
        <f t="shared" si="17"/>
        <v>0</v>
      </c>
      <c r="K86" s="415"/>
    </row>
    <row r="87" spans="1:11" ht="18" customHeight="1">
      <c r="A87" s="193" t="e">
        <f>#REF!</f>
        <v>#REF!</v>
      </c>
      <c r="B87" s="414" t="e">
        <f>VLOOKUP(A87,#REF!,2,FALSE)</f>
        <v>#REF!</v>
      </c>
      <c r="C87" s="413" t="e">
        <f>VLOOKUP(A87,#REF!,3,FALSE)</f>
        <v>#REF!</v>
      </c>
      <c r="D87" s="3">
        <f t="shared" si="12"/>
        <v>0</v>
      </c>
      <c r="E87" s="3">
        <f t="shared" si="13"/>
        <v>0</v>
      </c>
      <c r="F87" s="3">
        <f t="shared" si="14"/>
        <v>0</v>
      </c>
      <c r="G87" s="3">
        <f t="shared" si="15"/>
        <v>0</v>
      </c>
      <c r="H87" s="3">
        <f t="shared" si="16"/>
        <v>0</v>
      </c>
      <c r="I87" s="418" t="s">
        <v>90</v>
      </c>
      <c r="J87" s="949">
        <f t="shared" si="17"/>
        <v>0</v>
      </c>
      <c r="K87" s="415"/>
    </row>
    <row r="88" spans="1:11" ht="18" customHeight="1">
      <c r="A88" s="193" t="e">
        <f>#REF!</f>
        <v>#REF!</v>
      </c>
      <c r="B88" s="414" t="e">
        <f>VLOOKUP(A88,#REF!,2,FALSE)</f>
        <v>#REF!</v>
      </c>
      <c r="C88" s="413" t="e">
        <f>VLOOKUP(A88,#REF!,3,FALSE)</f>
        <v>#REF!</v>
      </c>
      <c r="D88" s="3">
        <f t="shared" si="12"/>
        <v>0</v>
      </c>
      <c r="E88" s="3">
        <f t="shared" si="13"/>
        <v>0</v>
      </c>
      <c r="F88" s="3">
        <f t="shared" si="14"/>
        <v>0</v>
      </c>
      <c r="G88" s="3">
        <f t="shared" si="15"/>
        <v>0</v>
      </c>
      <c r="H88" s="3">
        <f t="shared" si="16"/>
        <v>0</v>
      </c>
      <c r="I88" s="418" t="s">
        <v>90</v>
      </c>
      <c r="J88" s="949">
        <f t="shared" si="17"/>
        <v>0</v>
      </c>
      <c r="K88" s="415"/>
    </row>
    <row r="89" spans="1:11" ht="18" customHeight="1">
      <c r="A89" s="193" t="e">
        <f>#REF!</f>
        <v>#REF!</v>
      </c>
      <c r="B89" s="414" t="e">
        <f>VLOOKUP(A89,#REF!,2,FALSE)</f>
        <v>#REF!</v>
      </c>
      <c r="C89" s="413" t="e">
        <f>VLOOKUP(A89,#REF!,3,FALSE)</f>
        <v>#REF!</v>
      </c>
      <c r="D89" s="3">
        <f t="shared" si="12"/>
        <v>0</v>
      </c>
      <c r="E89" s="3">
        <f t="shared" si="13"/>
        <v>0</v>
      </c>
      <c r="F89" s="3">
        <f t="shared" si="14"/>
        <v>0</v>
      </c>
      <c r="G89" s="3">
        <f t="shared" si="15"/>
        <v>0</v>
      </c>
      <c r="H89" s="3">
        <f t="shared" si="16"/>
        <v>0</v>
      </c>
      <c r="I89" s="418" t="s">
        <v>90</v>
      </c>
      <c r="J89" s="949">
        <f t="shared" si="17"/>
        <v>0</v>
      </c>
      <c r="K89" s="415"/>
    </row>
    <row r="90" spans="1:11" ht="18" customHeight="1">
      <c r="A90" s="193" t="e">
        <f>#REF!</f>
        <v>#REF!</v>
      </c>
      <c r="B90" s="414" t="e">
        <f>VLOOKUP(A90,#REF!,2,FALSE)</f>
        <v>#REF!</v>
      </c>
      <c r="C90" s="413" t="e">
        <f>VLOOKUP(A90,#REF!,3,FALSE)</f>
        <v>#REF!</v>
      </c>
      <c r="D90" s="3">
        <f t="shared" si="12"/>
        <v>0</v>
      </c>
      <c r="E90" s="3">
        <f t="shared" si="13"/>
        <v>0</v>
      </c>
      <c r="F90" s="3">
        <f t="shared" si="14"/>
        <v>0</v>
      </c>
      <c r="G90" s="3">
        <f t="shared" si="15"/>
        <v>0</v>
      </c>
      <c r="H90" s="3">
        <f t="shared" si="16"/>
        <v>0</v>
      </c>
      <c r="I90" s="418" t="s">
        <v>90</v>
      </c>
      <c r="J90" s="949">
        <f t="shared" si="17"/>
        <v>0</v>
      </c>
      <c r="K90" s="415"/>
    </row>
    <row r="91" spans="1:11" ht="18" customHeight="1">
      <c r="A91" s="193" t="e">
        <f>#REF!</f>
        <v>#REF!</v>
      </c>
      <c r="B91" s="414" t="e">
        <f>VLOOKUP(A91,#REF!,2,FALSE)</f>
        <v>#REF!</v>
      </c>
      <c r="C91" s="413" t="e">
        <f>VLOOKUP(A91,#REF!,3,FALSE)</f>
        <v>#REF!</v>
      </c>
      <c r="D91" s="3">
        <f t="shared" si="12"/>
        <v>0</v>
      </c>
      <c r="E91" s="3">
        <f t="shared" si="13"/>
        <v>0</v>
      </c>
      <c r="F91" s="3">
        <f t="shared" si="14"/>
        <v>0</v>
      </c>
      <c r="G91" s="3">
        <f t="shared" si="15"/>
        <v>0</v>
      </c>
      <c r="H91" s="3">
        <f t="shared" si="16"/>
        <v>0</v>
      </c>
      <c r="I91" s="418" t="s">
        <v>90</v>
      </c>
      <c r="J91" s="949">
        <f t="shared" si="17"/>
        <v>0</v>
      </c>
      <c r="K91" s="415"/>
    </row>
    <row r="92" spans="1:11" ht="18" customHeight="1">
      <c r="A92" s="193" t="e">
        <f>#REF!</f>
        <v>#REF!</v>
      </c>
      <c r="B92" s="414" t="e">
        <f>VLOOKUP(A92,#REF!,2,FALSE)</f>
        <v>#REF!</v>
      </c>
      <c r="C92" s="413" t="e">
        <f>VLOOKUP(A92,#REF!,3,FALSE)</f>
        <v>#REF!</v>
      </c>
      <c r="D92" s="3">
        <f t="shared" si="12"/>
        <v>0</v>
      </c>
      <c r="E92" s="3">
        <f t="shared" si="13"/>
        <v>0</v>
      </c>
      <c r="F92" s="3">
        <f t="shared" si="14"/>
        <v>0</v>
      </c>
      <c r="G92" s="3">
        <f t="shared" si="15"/>
        <v>0</v>
      </c>
      <c r="H92" s="3">
        <f t="shared" si="16"/>
        <v>0</v>
      </c>
      <c r="I92" s="418" t="s">
        <v>90</v>
      </c>
      <c r="J92" s="949">
        <f t="shared" si="17"/>
        <v>0</v>
      </c>
      <c r="K92" s="415"/>
    </row>
    <row r="93" spans="1:11" ht="18" customHeight="1">
      <c r="A93" s="193" t="e">
        <f>#REF!</f>
        <v>#REF!</v>
      </c>
      <c r="B93" s="414" t="e">
        <f>VLOOKUP(A93,#REF!,2,FALSE)</f>
        <v>#REF!</v>
      </c>
      <c r="C93" s="413" t="e">
        <f>VLOOKUP(A93,#REF!,3,FALSE)</f>
        <v>#REF!</v>
      </c>
      <c r="D93" s="3">
        <f t="shared" si="12"/>
        <v>0</v>
      </c>
      <c r="E93" s="3">
        <f t="shared" si="13"/>
        <v>0</v>
      </c>
      <c r="F93" s="3">
        <f t="shared" si="14"/>
        <v>0</v>
      </c>
      <c r="G93" s="3">
        <f t="shared" si="15"/>
        <v>0</v>
      </c>
      <c r="H93" s="3">
        <f t="shared" si="16"/>
        <v>0</v>
      </c>
      <c r="I93" s="418" t="s">
        <v>90</v>
      </c>
      <c r="J93" s="949">
        <f t="shared" si="17"/>
        <v>0</v>
      </c>
      <c r="K93" s="415"/>
    </row>
    <row r="94" spans="1:11" ht="18" customHeight="1">
      <c r="A94" s="193" t="e">
        <f>#REF!</f>
        <v>#REF!</v>
      </c>
      <c r="B94" s="414" t="e">
        <f>VLOOKUP(A94,#REF!,2,FALSE)</f>
        <v>#REF!</v>
      </c>
      <c r="C94" s="413" t="e">
        <f>VLOOKUP(A94,#REF!,3,FALSE)</f>
        <v>#REF!</v>
      </c>
      <c r="D94" s="3">
        <f t="shared" si="12"/>
        <v>0</v>
      </c>
      <c r="E94" s="3">
        <f t="shared" si="13"/>
        <v>0</v>
      </c>
      <c r="F94" s="3">
        <f t="shared" si="14"/>
        <v>0</v>
      </c>
      <c r="G94" s="3">
        <f t="shared" si="15"/>
        <v>0</v>
      </c>
      <c r="H94" s="3">
        <f t="shared" si="16"/>
        <v>0</v>
      </c>
      <c r="I94" s="418" t="s">
        <v>90</v>
      </c>
      <c r="J94" s="949">
        <f t="shared" si="17"/>
        <v>0</v>
      </c>
      <c r="K94" s="415"/>
    </row>
    <row r="95" spans="1:11" ht="18" customHeight="1">
      <c r="A95" s="193" t="e">
        <f>#REF!</f>
        <v>#REF!</v>
      </c>
      <c r="B95" s="414" t="e">
        <f>VLOOKUP(A95,#REF!,2,FALSE)</f>
        <v>#REF!</v>
      </c>
      <c r="C95" s="413" t="e">
        <f>VLOOKUP(A95,#REF!,3,FALSE)</f>
        <v>#REF!</v>
      </c>
      <c r="D95" s="3">
        <f t="shared" si="12"/>
        <v>0</v>
      </c>
      <c r="E95" s="3">
        <f t="shared" si="13"/>
        <v>0</v>
      </c>
      <c r="F95" s="3">
        <f t="shared" si="14"/>
        <v>0</v>
      </c>
      <c r="G95" s="3">
        <f t="shared" si="15"/>
        <v>0</v>
      </c>
      <c r="H95" s="3">
        <f t="shared" si="16"/>
        <v>0</v>
      </c>
      <c r="I95" s="418" t="s">
        <v>90</v>
      </c>
      <c r="J95" s="949">
        <f t="shared" si="17"/>
        <v>0</v>
      </c>
      <c r="K95" s="415"/>
    </row>
    <row r="96" spans="1:11" ht="18" customHeight="1">
      <c r="A96" s="193" t="e">
        <f>#REF!</f>
        <v>#REF!</v>
      </c>
      <c r="B96" s="414" t="e">
        <f>VLOOKUP(A96,#REF!,2,FALSE)</f>
        <v>#REF!</v>
      </c>
      <c r="C96" s="413" t="e">
        <f>VLOOKUP(A96,#REF!,3,FALSE)</f>
        <v>#REF!</v>
      </c>
      <c r="D96" s="3">
        <f t="shared" si="12"/>
        <v>0</v>
      </c>
      <c r="E96" s="3">
        <f t="shared" si="13"/>
        <v>0</v>
      </c>
      <c r="F96" s="3">
        <f t="shared" si="14"/>
        <v>0</v>
      </c>
      <c r="G96" s="3">
        <f t="shared" si="15"/>
        <v>0</v>
      </c>
      <c r="H96" s="3">
        <f t="shared" si="16"/>
        <v>0</v>
      </c>
      <c r="I96" s="418" t="s">
        <v>90</v>
      </c>
      <c r="J96" s="949">
        <f t="shared" si="17"/>
        <v>0</v>
      </c>
      <c r="K96" s="415"/>
    </row>
    <row r="97" spans="1:11" ht="18" customHeight="1">
      <c r="A97" s="193" t="e">
        <f>#REF!</f>
        <v>#REF!</v>
      </c>
      <c r="B97" s="414" t="e">
        <f>VLOOKUP(A97,#REF!,2,FALSE)</f>
        <v>#REF!</v>
      </c>
      <c r="C97" s="413" t="e">
        <f>VLOOKUP(A97,#REF!,3,FALSE)</f>
        <v>#REF!</v>
      </c>
      <c r="D97" s="3">
        <f t="shared" si="12"/>
        <v>0</v>
      </c>
      <c r="E97" s="3">
        <f t="shared" si="13"/>
        <v>0</v>
      </c>
      <c r="F97" s="3">
        <f t="shared" si="14"/>
        <v>0</v>
      </c>
      <c r="G97" s="3">
        <f t="shared" si="15"/>
        <v>0</v>
      </c>
      <c r="H97" s="3">
        <f t="shared" si="16"/>
        <v>0</v>
      </c>
      <c r="I97" s="418" t="s">
        <v>90</v>
      </c>
      <c r="J97" s="949">
        <f t="shared" si="17"/>
        <v>0</v>
      </c>
      <c r="K97" s="415"/>
    </row>
    <row r="98" spans="1:11" ht="18" customHeight="1">
      <c r="A98" s="193" t="e">
        <f>#REF!</f>
        <v>#REF!</v>
      </c>
      <c r="B98" s="414" t="e">
        <f>VLOOKUP(A98,#REF!,2,FALSE)</f>
        <v>#REF!</v>
      </c>
      <c r="C98" s="413" t="e">
        <f>VLOOKUP(A98,#REF!,3,FALSE)</f>
        <v>#REF!</v>
      </c>
      <c r="D98" s="3">
        <f t="shared" si="12"/>
        <v>0</v>
      </c>
      <c r="E98" s="3">
        <f t="shared" si="13"/>
        <v>0</v>
      </c>
      <c r="F98" s="3">
        <f t="shared" si="14"/>
        <v>0</v>
      </c>
      <c r="G98" s="3">
        <f t="shared" si="15"/>
        <v>0</v>
      </c>
      <c r="H98" s="3">
        <f t="shared" si="16"/>
        <v>0</v>
      </c>
      <c r="I98" s="418" t="s">
        <v>90</v>
      </c>
      <c r="J98" s="949">
        <f t="shared" si="17"/>
        <v>0</v>
      </c>
      <c r="K98" s="415"/>
    </row>
    <row r="99" spans="1:11" ht="18" customHeight="1">
      <c r="A99" s="193" t="e">
        <f>#REF!</f>
        <v>#REF!</v>
      </c>
      <c r="B99" s="414" t="e">
        <f>VLOOKUP(A99,#REF!,2,FALSE)</f>
        <v>#REF!</v>
      </c>
      <c r="C99" s="413" t="e">
        <f>VLOOKUP(A99,#REF!,3,FALSE)</f>
        <v>#REF!</v>
      </c>
      <c r="D99" s="3">
        <f t="shared" si="12"/>
        <v>0</v>
      </c>
      <c r="E99" s="3">
        <f t="shared" si="13"/>
        <v>0</v>
      </c>
      <c r="F99" s="3">
        <f t="shared" si="14"/>
        <v>0</v>
      </c>
      <c r="G99" s="3">
        <f t="shared" si="15"/>
        <v>0</v>
      </c>
      <c r="H99" s="3">
        <f t="shared" si="16"/>
        <v>0</v>
      </c>
      <c r="I99" s="418" t="s">
        <v>90</v>
      </c>
      <c r="J99" s="949">
        <f t="shared" si="17"/>
        <v>0</v>
      </c>
      <c r="K99" s="415"/>
    </row>
    <row r="100" spans="1:11" ht="18" customHeight="1">
      <c r="A100" s="193" t="e">
        <f>#REF!</f>
        <v>#REF!</v>
      </c>
      <c r="B100" s="414" t="e">
        <f>VLOOKUP(A100,#REF!,2,FALSE)</f>
        <v>#REF!</v>
      </c>
      <c r="C100" s="413" t="e">
        <f>VLOOKUP(A100,#REF!,3,FALSE)</f>
        <v>#REF!</v>
      </c>
      <c r="D100" s="3">
        <f t="shared" si="12"/>
        <v>0</v>
      </c>
      <c r="E100" s="3">
        <f t="shared" si="13"/>
        <v>0</v>
      </c>
      <c r="F100" s="3">
        <f t="shared" si="14"/>
        <v>0</v>
      </c>
      <c r="G100" s="3">
        <f t="shared" si="15"/>
        <v>0</v>
      </c>
      <c r="H100" s="3">
        <f t="shared" si="16"/>
        <v>0</v>
      </c>
      <c r="I100" s="418" t="s">
        <v>90</v>
      </c>
      <c r="J100" s="949">
        <f t="shared" si="17"/>
        <v>0</v>
      </c>
      <c r="K100" s="415"/>
    </row>
    <row r="101" spans="1:11" ht="18" customHeight="1">
      <c r="A101" s="193" t="e">
        <f>#REF!</f>
        <v>#REF!</v>
      </c>
      <c r="B101" s="414" t="e">
        <f>VLOOKUP(A101,#REF!,2,FALSE)</f>
        <v>#REF!</v>
      </c>
      <c r="C101" s="413" t="e">
        <f>VLOOKUP(A101,#REF!,3,FALSE)</f>
        <v>#REF!</v>
      </c>
      <c r="D101" s="3">
        <f t="shared" si="12"/>
        <v>0</v>
      </c>
      <c r="E101" s="3">
        <f t="shared" si="13"/>
        <v>0</v>
      </c>
      <c r="F101" s="3">
        <f t="shared" si="14"/>
        <v>0</v>
      </c>
      <c r="G101" s="3">
        <f t="shared" si="15"/>
        <v>0</v>
      </c>
      <c r="H101" s="3">
        <f t="shared" si="16"/>
        <v>0</v>
      </c>
      <c r="I101" s="418" t="s">
        <v>90</v>
      </c>
      <c r="J101" s="949">
        <f t="shared" si="17"/>
        <v>0</v>
      </c>
      <c r="K101" s="415"/>
    </row>
    <row r="102" spans="1:11" ht="18" customHeight="1">
      <c r="A102" s="193" t="e">
        <f>#REF!</f>
        <v>#REF!</v>
      </c>
      <c r="B102" s="414" t="e">
        <f>VLOOKUP(A102,#REF!,2,FALSE)</f>
        <v>#REF!</v>
      </c>
      <c r="C102" s="413" t="e">
        <f>VLOOKUP(A102,#REF!,3,FALSE)</f>
        <v>#REF!</v>
      </c>
      <c r="D102" s="3">
        <f t="shared" si="12"/>
        <v>0</v>
      </c>
      <c r="E102" s="3">
        <f t="shared" si="13"/>
        <v>0</v>
      </c>
      <c r="F102" s="3">
        <f t="shared" si="14"/>
        <v>0</v>
      </c>
      <c r="G102" s="3">
        <f t="shared" si="15"/>
        <v>0</v>
      </c>
      <c r="H102" s="3">
        <f t="shared" si="16"/>
        <v>0</v>
      </c>
      <c r="I102" s="418" t="s">
        <v>90</v>
      </c>
      <c r="J102" s="949">
        <f t="shared" si="17"/>
        <v>0</v>
      </c>
      <c r="K102" s="415"/>
    </row>
    <row r="103" spans="1:11" ht="18" customHeight="1">
      <c r="A103" s="193" t="e">
        <f>#REF!</f>
        <v>#REF!</v>
      </c>
      <c r="B103" s="414" t="e">
        <f>VLOOKUP(A103,#REF!,2,FALSE)</f>
        <v>#REF!</v>
      </c>
      <c r="C103" s="413" t="e">
        <f>VLOOKUP(A103,#REF!,3,FALSE)</f>
        <v>#REF!</v>
      </c>
      <c r="D103" s="3">
        <f t="shared" si="12"/>
        <v>0</v>
      </c>
      <c r="E103" s="3">
        <f t="shared" si="13"/>
        <v>0</v>
      </c>
      <c r="F103" s="3">
        <f t="shared" si="14"/>
        <v>0</v>
      </c>
      <c r="G103" s="3">
        <f t="shared" si="15"/>
        <v>0</v>
      </c>
      <c r="H103" s="3">
        <f t="shared" si="16"/>
        <v>0</v>
      </c>
      <c r="I103" s="418" t="s">
        <v>90</v>
      </c>
      <c r="J103" s="949">
        <f t="shared" si="17"/>
        <v>0</v>
      </c>
      <c r="K103" s="415"/>
    </row>
    <row r="104" spans="1:11" ht="18" customHeight="1">
      <c r="A104" s="193" t="e">
        <f>#REF!</f>
        <v>#REF!</v>
      </c>
      <c r="B104" s="414" t="e">
        <f>VLOOKUP(A104,#REF!,2,FALSE)</f>
        <v>#REF!</v>
      </c>
      <c r="C104" s="413" t="e">
        <f>VLOOKUP(A104,#REF!,3,FALSE)</f>
        <v>#REF!</v>
      </c>
      <c r="D104" s="3">
        <f t="shared" si="12"/>
        <v>0</v>
      </c>
      <c r="E104" s="3">
        <f t="shared" si="13"/>
        <v>0</v>
      </c>
      <c r="F104" s="3">
        <f t="shared" si="14"/>
        <v>0</v>
      </c>
      <c r="G104" s="3">
        <f t="shared" si="15"/>
        <v>0</v>
      </c>
      <c r="H104" s="3">
        <f t="shared" si="16"/>
        <v>0</v>
      </c>
      <c r="I104" s="418" t="s">
        <v>90</v>
      </c>
      <c r="J104" s="949">
        <f t="shared" si="17"/>
        <v>0</v>
      </c>
      <c r="K104" s="415"/>
    </row>
    <row r="105" spans="1:11" ht="18" customHeight="1">
      <c r="A105" s="193" t="e">
        <f>#REF!</f>
        <v>#REF!</v>
      </c>
      <c r="B105" s="414" t="e">
        <f>VLOOKUP(A105,#REF!,2,FALSE)</f>
        <v>#REF!</v>
      </c>
      <c r="C105" s="413" t="e">
        <f>VLOOKUP(A105,#REF!,3,FALSE)</f>
        <v>#REF!</v>
      </c>
      <c r="D105" s="3">
        <f t="shared" si="12"/>
        <v>0</v>
      </c>
      <c r="E105" s="3">
        <f t="shared" si="13"/>
        <v>0</v>
      </c>
      <c r="F105" s="3">
        <f t="shared" si="14"/>
        <v>0</v>
      </c>
      <c r="G105" s="3">
        <f t="shared" si="15"/>
        <v>0</v>
      </c>
      <c r="H105" s="3">
        <f t="shared" si="16"/>
        <v>0</v>
      </c>
      <c r="I105" s="418" t="s">
        <v>90</v>
      </c>
      <c r="J105" s="949">
        <f t="shared" si="17"/>
        <v>0</v>
      </c>
      <c r="K105" s="415"/>
    </row>
    <row r="106" spans="1:11" ht="18" customHeight="1">
      <c r="A106" s="193" t="e">
        <f>#REF!</f>
        <v>#REF!</v>
      </c>
      <c r="B106" s="414" t="e">
        <f>VLOOKUP(A106,#REF!,2,FALSE)</f>
        <v>#REF!</v>
      </c>
      <c r="C106" s="413" t="e">
        <f>VLOOKUP(A106,#REF!,3,FALSE)</f>
        <v>#REF!</v>
      </c>
      <c r="D106" s="3">
        <f t="shared" si="12"/>
        <v>0</v>
      </c>
      <c r="E106" s="3">
        <f t="shared" si="13"/>
        <v>0</v>
      </c>
      <c r="F106" s="3">
        <f t="shared" si="14"/>
        <v>0</v>
      </c>
      <c r="G106" s="3">
        <f t="shared" si="15"/>
        <v>0</v>
      </c>
      <c r="H106" s="3">
        <f t="shared" si="16"/>
        <v>0</v>
      </c>
      <c r="I106" s="418" t="s">
        <v>90</v>
      </c>
      <c r="J106" s="949">
        <f t="shared" si="17"/>
        <v>0</v>
      </c>
      <c r="K106" s="415"/>
    </row>
    <row r="107" spans="1:11" ht="18" customHeight="1">
      <c r="A107" s="193" t="e">
        <f>#REF!</f>
        <v>#REF!</v>
      </c>
      <c r="B107" s="414" t="e">
        <f>VLOOKUP(A107,#REF!,2,FALSE)</f>
        <v>#REF!</v>
      </c>
      <c r="C107" s="413" t="e">
        <f>VLOOKUP(A107,#REF!,3,FALSE)</f>
        <v>#REF!</v>
      </c>
      <c r="D107" s="3">
        <f t="shared" si="12"/>
        <v>0</v>
      </c>
      <c r="E107" s="3">
        <f t="shared" si="13"/>
        <v>0</v>
      </c>
      <c r="F107" s="3">
        <f t="shared" si="14"/>
        <v>0</v>
      </c>
      <c r="G107" s="3">
        <f t="shared" si="15"/>
        <v>0</v>
      </c>
      <c r="H107" s="3">
        <f t="shared" si="16"/>
        <v>0</v>
      </c>
      <c r="I107" s="418" t="s">
        <v>90</v>
      </c>
      <c r="J107" s="949">
        <f t="shared" si="17"/>
        <v>0</v>
      </c>
      <c r="K107" s="415"/>
    </row>
    <row r="108" spans="1:11" ht="18" customHeight="1">
      <c r="A108" s="193" t="e">
        <f>#REF!</f>
        <v>#REF!</v>
      </c>
      <c r="B108" s="414" t="e">
        <f>VLOOKUP(A108,#REF!,2,FALSE)</f>
        <v>#REF!</v>
      </c>
      <c r="C108" s="413" t="e">
        <f>VLOOKUP(A108,#REF!,3,FALSE)</f>
        <v>#REF!</v>
      </c>
      <c r="D108" s="3">
        <f>IF(ISERROR(VLOOKUP($A108,월곶초등학교신설공사,6,FALSE)),0,VLOOKUP($A108,월곶초등학교신설공사,6,FALSE))</f>
        <v>0</v>
      </c>
      <c r="E108" s="3">
        <f t="shared" si="13"/>
        <v>0</v>
      </c>
      <c r="F108" s="3">
        <f t="shared" si="14"/>
        <v>0</v>
      </c>
      <c r="G108" s="3">
        <f t="shared" si="15"/>
        <v>0</v>
      </c>
      <c r="H108" s="3">
        <f t="shared" si="16"/>
        <v>0</v>
      </c>
      <c r="I108" s="418" t="s">
        <v>90</v>
      </c>
      <c r="J108" s="949">
        <f t="shared" si="17"/>
        <v>0</v>
      </c>
      <c r="K108" s="415"/>
    </row>
    <row r="109" spans="1:11" ht="18" customHeight="1">
      <c r="A109" s="193" t="e">
        <f>#REF!</f>
        <v>#REF!</v>
      </c>
      <c r="B109" s="414" t="e">
        <f>VLOOKUP(A109,#REF!,2,FALSE)</f>
        <v>#REF!</v>
      </c>
      <c r="C109" s="413" t="e">
        <f>VLOOKUP(A109,#REF!,3,FALSE)</f>
        <v>#REF!</v>
      </c>
      <c r="D109" s="3">
        <f>IF(ISERROR(VLOOKUP($A109,월곶초등학교신설공사,6,FALSE)),0,VLOOKUP($A109,월곶초등학교신설공사,6,FALSE))</f>
        <v>0</v>
      </c>
      <c r="E109" s="3">
        <f t="shared" si="13"/>
        <v>0</v>
      </c>
      <c r="F109" s="3">
        <f t="shared" si="14"/>
        <v>0</v>
      </c>
      <c r="G109" s="3">
        <f t="shared" si="15"/>
        <v>0</v>
      </c>
      <c r="H109" s="3">
        <f t="shared" si="16"/>
        <v>0</v>
      </c>
      <c r="I109" s="418" t="s">
        <v>90</v>
      </c>
      <c r="J109" s="949">
        <f t="shared" si="17"/>
        <v>0</v>
      </c>
      <c r="K109" s="415"/>
    </row>
    <row r="110" spans="1:11" ht="18" customHeight="1">
      <c r="A110" s="193" t="e">
        <f>#REF!</f>
        <v>#REF!</v>
      </c>
      <c r="B110" s="414" t="e">
        <f>VLOOKUP(A110,#REF!,2,FALSE)</f>
        <v>#REF!</v>
      </c>
      <c r="C110" s="413" t="e">
        <f>VLOOKUP(A110,#REF!,3,FALSE)</f>
        <v>#REF!</v>
      </c>
      <c r="D110" s="3">
        <f t="shared" si="12"/>
        <v>0</v>
      </c>
      <c r="E110" s="3">
        <f t="shared" si="13"/>
        <v>0</v>
      </c>
      <c r="F110" s="3">
        <f t="shared" si="14"/>
        <v>0</v>
      </c>
      <c r="G110" s="3">
        <f t="shared" si="15"/>
        <v>0</v>
      </c>
      <c r="H110" s="3">
        <f t="shared" si="16"/>
        <v>0</v>
      </c>
      <c r="I110" s="418" t="s">
        <v>90</v>
      </c>
      <c r="J110" s="949">
        <f t="shared" si="17"/>
        <v>0</v>
      </c>
      <c r="K110" s="415"/>
    </row>
    <row r="111" spans="1:11" ht="18" customHeight="1">
      <c r="A111" s="193" t="e">
        <f>#REF!</f>
        <v>#REF!</v>
      </c>
      <c r="B111" s="414" t="e">
        <f>VLOOKUP(A111,#REF!,2,FALSE)</f>
        <v>#REF!</v>
      </c>
      <c r="C111" s="413" t="e">
        <f>VLOOKUP(A111,#REF!,3,FALSE)</f>
        <v>#REF!</v>
      </c>
      <c r="D111" s="3">
        <f t="shared" si="12"/>
        <v>0</v>
      </c>
      <c r="E111" s="3">
        <f t="shared" si="13"/>
        <v>0</v>
      </c>
      <c r="F111" s="3">
        <f t="shared" si="14"/>
        <v>0</v>
      </c>
      <c r="G111" s="3">
        <f t="shared" si="15"/>
        <v>0</v>
      </c>
      <c r="H111" s="3">
        <f t="shared" si="16"/>
        <v>0</v>
      </c>
      <c r="I111" s="418" t="s">
        <v>90</v>
      </c>
      <c r="J111" s="949">
        <f t="shared" si="17"/>
        <v>0</v>
      </c>
      <c r="K111" s="415"/>
    </row>
    <row r="112" spans="1:11" ht="18" customHeight="1">
      <c r="A112" s="193" t="e">
        <f>#REF!</f>
        <v>#REF!</v>
      </c>
      <c r="B112" s="414" t="e">
        <f>VLOOKUP(A112,#REF!,2,FALSE)</f>
        <v>#REF!</v>
      </c>
      <c r="C112" s="413" t="e">
        <f>VLOOKUP(A112,#REF!,3,FALSE)</f>
        <v>#REF!</v>
      </c>
      <c r="D112" s="3">
        <f t="shared" si="12"/>
        <v>0</v>
      </c>
      <c r="E112" s="3">
        <f t="shared" si="13"/>
        <v>0</v>
      </c>
      <c r="F112" s="3">
        <f t="shared" si="14"/>
        <v>0</v>
      </c>
      <c r="G112" s="3">
        <f t="shared" si="15"/>
        <v>0</v>
      </c>
      <c r="H112" s="3">
        <f t="shared" si="16"/>
        <v>0</v>
      </c>
      <c r="I112" s="418" t="s">
        <v>90</v>
      </c>
      <c r="J112" s="949">
        <f t="shared" si="17"/>
        <v>0</v>
      </c>
      <c r="K112" s="415"/>
    </row>
    <row r="113" spans="1:11" ht="18" customHeight="1">
      <c r="A113" s="193" t="e">
        <f>#REF!</f>
        <v>#REF!</v>
      </c>
      <c r="B113" s="414" t="e">
        <f>VLOOKUP(A113,#REF!,2,FALSE)</f>
        <v>#REF!</v>
      </c>
      <c r="C113" s="413" t="e">
        <f>VLOOKUP(A113,#REF!,3,FALSE)</f>
        <v>#REF!</v>
      </c>
      <c r="D113" s="3">
        <f t="shared" si="12"/>
        <v>0</v>
      </c>
      <c r="E113" s="3">
        <f t="shared" si="13"/>
        <v>0</v>
      </c>
      <c r="F113" s="3">
        <f t="shared" si="14"/>
        <v>0</v>
      </c>
      <c r="G113" s="3">
        <f t="shared" si="15"/>
        <v>0</v>
      </c>
      <c r="H113" s="3">
        <f t="shared" si="16"/>
        <v>0</v>
      </c>
      <c r="I113" s="418" t="s">
        <v>90</v>
      </c>
      <c r="J113" s="949">
        <f t="shared" si="17"/>
        <v>0</v>
      </c>
      <c r="K113" s="415"/>
    </row>
    <row r="114" spans="1:11" ht="18" customHeight="1">
      <c r="A114" s="193" t="e">
        <f>#REF!</f>
        <v>#REF!</v>
      </c>
      <c r="B114" s="414" t="e">
        <f>VLOOKUP(A114,#REF!,2,FALSE)</f>
        <v>#REF!</v>
      </c>
      <c r="C114" s="413" t="e">
        <f>VLOOKUP(A114,#REF!,3,FALSE)</f>
        <v>#REF!</v>
      </c>
      <c r="D114" s="3">
        <f t="shared" si="12"/>
        <v>0</v>
      </c>
      <c r="E114" s="3">
        <f t="shared" si="13"/>
        <v>0</v>
      </c>
      <c r="F114" s="3">
        <f t="shared" si="14"/>
        <v>0</v>
      </c>
      <c r="G114" s="3">
        <f t="shared" si="15"/>
        <v>0</v>
      </c>
      <c r="H114" s="3">
        <f t="shared" si="16"/>
        <v>0</v>
      </c>
      <c r="I114" s="418" t="s">
        <v>90</v>
      </c>
      <c r="J114" s="949">
        <f t="shared" si="17"/>
        <v>0</v>
      </c>
      <c r="K114" s="415"/>
    </row>
    <row r="115" spans="1:11" ht="18" customHeight="1">
      <c r="A115" s="193" t="e">
        <f>#REF!</f>
        <v>#REF!</v>
      </c>
      <c r="B115" s="414" t="e">
        <f>VLOOKUP(A115,#REF!,2,FALSE)</f>
        <v>#REF!</v>
      </c>
      <c r="C115" s="413" t="e">
        <f>VLOOKUP(A115,#REF!,3,FALSE)</f>
        <v>#REF!</v>
      </c>
      <c r="D115" s="3">
        <f t="shared" si="12"/>
        <v>0</v>
      </c>
      <c r="E115" s="3">
        <f t="shared" si="13"/>
        <v>0</v>
      </c>
      <c r="F115" s="3">
        <f t="shared" si="14"/>
        <v>0</v>
      </c>
      <c r="G115" s="3">
        <f t="shared" si="15"/>
        <v>0</v>
      </c>
      <c r="H115" s="3">
        <f t="shared" si="16"/>
        <v>0</v>
      </c>
      <c r="I115" s="418" t="s">
        <v>90</v>
      </c>
      <c r="J115" s="949">
        <f t="shared" si="17"/>
        <v>0</v>
      </c>
      <c r="K115" s="415"/>
    </row>
    <row r="116" spans="1:11" ht="18" customHeight="1">
      <c r="A116" s="193" t="e">
        <f>#REF!</f>
        <v>#REF!</v>
      </c>
      <c r="B116" s="414" t="e">
        <f>VLOOKUP(A116,#REF!,2,FALSE)</f>
        <v>#REF!</v>
      </c>
      <c r="C116" s="413" t="e">
        <f>VLOOKUP(A116,#REF!,3,FALSE)</f>
        <v>#REF!</v>
      </c>
      <c r="D116" s="3">
        <f t="shared" si="12"/>
        <v>0</v>
      </c>
      <c r="E116" s="3">
        <f t="shared" si="13"/>
        <v>0</v>
      </c>
      <c r="F116" s="3">
        <f t="shared" si="14"/>
        <v>0</v>
      </c>
      <c r="G116" s="3">
        <f t="shared" si="15"/>
        <v>0</v>
      </c>
      <c r="H116" s="3">
        <f t="shared" si="16"/>
        <v>0</v>
      </c>
      <c r="I116" s="418" t="s">
        <v>90</v>
      </c>
      <c r="J116" s="949">
        <f t="shared" si="17"/>
        <v>0</v>
      </c>
      <c r="K116" s="415"/>
    </row>
    <row r="117" spans="1:11" ht="17.25" customHeight="1">
      <c r="A117" s="193" t="e">
        <f>#REF!</f>
        <v>#REF!</v>
      </c>
      <c r="B117" s="414" t="e">
        <f>VLOOKUP(A117,#REF!,2,FALSE)</f>
        <v>#REF!</v>
      </c>
      <c r="C117" s="413" t="e">
        <f>VLOOKUP(A117,#REF!,3,FALSE)</f>
        <v>#REF!</v>
      </c>
      <c r="D117" s="3">
        <f t="shared" si="12"/>
        <v>0</v>
      </c>
      <c r="E117" s="3">
        <f t="shared" si="13"/>
        <v>0</v>
      </c>
      <c r="F117" s="3">
        <f t="shared" si="14"/>
        <v>0</v>
      </c>
      <c r="G117" s="3">
        <f t="shared" si="15"/>
        <v>0</v>
      </c>
      <c r="H117" s="3">
        <f t="shared" si="16"/>
        <v>0</v>
      </c>
      <c r="I117" s="418" t="s">
        <v>90</v>
      </c>
      <c r="J117" s="949">
        <f t="shared" si="17"/>
        <v>0</v>
      </c>
      <c r="K117" s="415"/>
    </row>
    <row r="118" spans="1:11" ht="17.25" customHeight="1">
      <c r="A118" s="193" t="e">
        <f>#REF!</f>
        <v>#REF!</v>
      </c>
      <c r="B118" s="414" t="e">
        <f>VLOOKUP(A118,#REF!,2,FALSE)</f>
        <v>#REF!</v>
      </c>
      <c r="C118" s="413" t="e">
        <f>VLOOKUP(A118,#REF!,3,FALSE)</f>
        <v>#REF!</v>
      </c>
      <c r="D118" s="3">
        <f t="shared" si="12"/>
        <v>0</v>
      </c>
      <c r="E118" s="3">
        <f t="shared" si="13"/>
        <v>0</v>
      </c>
      <c r="F118" s="3">
        <f t="shared" si="14"/>
        <v>0</v>
      </c>
      <c r="G118" s="3">
        <f t="shared" si="15"/>
        <v>0</v>
      </c>
      <c r="H118" s="3">
        <f t="shared" si="16"/>
        <v>0</v>
      </c>
      <c r="I118" s="418" t="s">
        <v>90</v>
      </c>
      <c r="J118" s="949">
        <f t="shared" si="17"/>
        <v>0</v>
      </c>
      <c r="K118" s="415"/>
    </row>
    <row r="119" spans="1:11" ht="18" customHeight="1">
      <c r="A119" s="193" t="e">
        <f>#REF!</f>
        <v>#REF!</v>
      </c>
      <c r="B119" s="414" t="e">
        <f>VLOOKUP(A119,#REF!,2,FALSE)</f>
        <v>#REF!</v>
      </c>
      <c r="C119" s="413" t="e">
        <f>VLOOKUP(A119,#REF!,3,FALSE)</f>
        <v>#REF!</v>
      </c>
      <c r="D119" s="3">
        <f t="shared" si="12"/>
        <v>0</v>
      </c>
      <c r="E119" s="3">
        <f t="shared" si="13"/>
        <v>0</v>
      </c>
      <c r="F119" s="3">
        <f t="shared" si="14"/>
        <v>0</v>
      </c>
      <c r="G119" s="3">
        <f t="shared" si="15"/>
        <v>0</v>
      </c>
      <c r="H119" s="3">
        <f t="shared" si="16"/>
        <v>0</v>
      </c>
      <c r="I119" s="418" t="s">
        <v>90</v>
      </c>
      <c r="J119" s="949">
        <f t="shared" si="17"/>
        <v>0</v>
      </c>
      <c r="K119" s="415"/>
    </row>
    <row r="120" spans="1:11" ht="18" customHeight="1">
      <c r="A120" s="193" t="e">
        <f>#REF!</f>
        <v>#REF!</v>
      </c>
      <c r="B120" s="414" t="e">
        <f>VLOOKUP(A120,#REF!,2,FALSE)</f>
        <v>#REF!</v>
      </c>
      <c r="C120" s="413" t="e">
        <f>VLOOKUP(A120,#REF!,3,FALSE)</f>
        <v>#REF!</v>
      </c>
      <c r="D120" s="3">
        <f t="shared" si="12"/>
        <v>0</v>
      </c>
      <c r="E120" s="3">
        <f t="shared" si="13"/>
        <v>0</v>
      </c>
      <c r="F120" s="3">
        <f t="shared" si="14"/>
        <v>0</v>
      </c>
      <c r="G120" s="3">
        <f t="shared" si="15"/>
        <v>0</v>
      </c>
      <c r="H120" s="3">
        <f t="shared" si="16"/>
        <v>0</v>
      </c>
      <c r="I120" s="418" t="s">
        <v>90</v>
      </c>
      <c r="J120" s="949">
        <f t="shared" si="17"/>
        <v>0</v>
      </c>
      <c r="K120" s="415"/>
    </row>
    <row r="121" spans="1:11" s="931" customFormat="1" ht="18" customHeight="1">
      <c r="A121" s="937" t="e">
        <f>#REF!</f>
        <v>#REF!</v>
      </c>
      <c r="B121" s="938" t="e">
        <f>VLOOKUP(A121,#REF!,2,FALSE)</f>
        <v>#REF!</v>
      </c>
      <c r="C121" s="939" t="e">
        <f>VLOOKUP(A121,#REF!,3,FALSE)</f>
        <v>#REF!</v>
      </c>
      <c r="D121" s="941">
        <f t="shared" si="12"/>
        <v>0</v>
      </c>
      <c r="E121" s="941">
        <f t="shared" si="13"/>
        <v>0</v>
      </c>
      <c r="F121" s="941">
        <f t="shared" si="14"/>
        <v>0</v>
      </c>
      <c r="G121" s="941">
        <f t="shared" si="15"/>
        <v>0</v>
      </c>
      <c r="H121" s="941">
        <f t="shared" si="16"/>
        <v>0</v>
      </c>
      <c r="I121" s="940" t="s">
        <v>90</v>
      </c>
      <c r="J121" s="950">
        <f t="shared" si="17"/>
        <v>0</v>
      </c>
      <c r="K121" s="942">
        <f>J121*폐기물일위대가!G65</f>
        <v>0</v>
      </c>
    </row>
    <row r="122" spans="1:11" s="931" customFormat="1" ht="18" customHeight="1">
      <c r="A122" s="937" t="e">
        <f>#REF!</f>
        <v>#REF!</v>
      </c>
      <c r="B122" s="938" t="e">
        <f>VLOOKUP(A122,#REF!,2,FALSE)</f>
        <v>#REF!</v>
      </c>
      <c r="C122" s="939" t="e">
        <f>VLOOKUP(A122,#REF!,3,FALSE)</f>
        <v>#REF!</v>
      </c>
      <c r="D122" s="941">
        <f t="shared" si="12"/>
        <v>0</v>
      </c>
      <c r="E122" s="941">
        <f t="shared" si="13"/>
        <v>0</v>
      </c>
      <c r="F122" s="941">
        <f t="shared" si="14"/>
        <v>0</v>
      </c>
      <c r="G122" s="941">
        <f t="shared" si="15"/>
        <v>0</v>
      </c>
      <c r="H122" s="941">
        <f t="shared" si="16"/>
        <v>0</v>
      </c>
      <c r="I122" s="940" t="s">
        <v>90</v>
      </c>
      <c r="J122" s="950">
        <f t="shared" si="17"/>
        <v>0</v>
      </c>
      <c r="K122" s="942">
        <f>J122*폐기물일위대가!G88</f>
        <v>0</v>
      </c>
    </row>
    <row r="123" spans="1:11" ht="18" customHeight="1">
      <c r="A123" s="193" t="e">
        <f>#REF!</f>
        <v>#REF!</v>
      </c>
      <c r="B123" s="414" t="e">
        <f>VLOOKUP(A123,#REF!,2,FALSE)</f>
        <v>#REF!</v>
      </c>
      <c r="C123" s="413" t="e">
        <f>VLOOKUP(A123,#REF!,3,FALSE)</f>
        <v>#REF!</v>
      </c>
      <c r="D123" s="3">
        <f t="shared" si="12"/>
        <v>0</v>
      </c>
      <c r="E123" s="3">
        <f t="shared" si="13"/>
        <v>0</v>
      </c>
      <c r="F123" s="3">
        <f t="shared" si="14"/>
        <v>0</v>
      </c>
      <c r="G123" s="3">
        <f t="shared" si="15"/>
        <v>0</v>
      </c>
      <c r="H123" s="3">
        <f t="shared" si="16"/>
        <v>0</v>
      </c>
      <c r="I123" s="418" t="s">
        <v>90</v>
      </c>
      <c r="J123" s="949">
        <f t="shared" si="17"/>
        <v>0</v>
      </c>
      <c r="K123" s="415"/>
    </row>
    <row r="124" spans="1:11" ht="18" customHeight="1">
      <c r="A124" s="193" t="e">
        <f>#REF!</f>
        <v>#REF!</v>
      </c>
      <c r="B124" s="414" t="e">
        <f>VLOOKUP(A124,#REF!,2,FALSE)</f>
        <v>#REF!</v>
      </c>
      <c r="C124" s="413" t="e">
        <f>VLOOKUP(A124,#REF!,3,FALSE)</f>
        <v>#REF!</v>
      </c>
      <c r="D124" s="3">
        <f t="shared" si="12"/>
        <v>0</v>
      </c>
      <c r="E124" s="3">
        <f t="shared" si="13"/>
        <v>0</v>
      </c>
      <c r="F124" s="3">
        <f t="shared" si="14"/>
        <v>0</v>
      </c>
      <c r="G124" s="3">
        <f t="shared" si="15"/>
        <v>0</v>
      </c>
      <c r="H124" s="3">
        <f t="shared" si="16"/>
        <v>0</v>
      </c>
      <c r="I124" s="418" t="s">
        <v>90</v>
      </c>
      <c r="J124" s="949">
        <f t="shared" si="17"/>
        <v>0</v>
      </c>
      <c r="K124" s="415"/>
    </row>
    <row r="125" spans="1:11" ht="18" customHeight="1">
      <c r="A125" s="193" t="e">
        <f>#REF!</f>
        <v>#REF!</v>
      </c>
      <c r="B125" s="414" t="e">
        <f>VLOOKUP(A125,#REF!,2,FALSE)</f>
        <v>#REF!</v>
      </c>
      <c r="C125" s="413" t="e">
        <f>VLOOKUP(A125,#REF!,3,FALSE)</f>
        <v>#REF!</v>
      </c>
      <c r="D125" s="3">
        <f t="shared" si="12"/>
        <v>0</v>
      </c>
      <c r="E125" s="3">
        <f t="shared" si="13"/>
        <v>0</v>
      </c>
      <c r="F125" s="3">
        <f t="shared" si="14"/>
        <v>0</v>
      </c>
      <c r="G125" s="3">
        <f t="shared" si="15"/>
        <v>0</v>
      </c>
      <c r="H125" s="3">
        <f t="shared" si="16"/>
        <v>0</v>
      </c>
      <c r="I125" s="418" t="s">
        <v>90</v>
      </c>
      <c r="J125" s="949">
        <f t="shared" si="17"/>
        <v>0</v>
      </c>
      <c r="K125" s="415"/>
    </row>
    <row r="126" spans="1:11" ht="18" customHeight="1">
      <c r="A126" s="193" t="e">
        <f>#REF!</f>
        <v>#REF!</v>
      </c>
      <c r="B126" s="414" t="e">
        <f>VLOOKUP(A126,#REF!,2,FALSE)</f>
        <v>#REF!</v>
      </c>
      <c r="C126" s="413" t="e">
        <f>VLOOKUP(A126,#REF!,3,FALSE)</f>
        <v>#REF!</v>
      </c>
      <c r="D126" s="3">
        <f t="shared" si="12"/>
        <v>0</v>
      </c>
      <c r="E126" s="3">
        <f t="shared" si="13"/>
        <v>0</v>
      </c>
      <c r="F126" s="3">
        <f t="shared" si="14"/>
        <v>0</v>
      </c>
      <c r="G126" s="3">
        <f t="shared" si="15"/>
        <v>0</v>
      </c>
      <c r="H126" s="3">
        <f t="shared" si="16"/>
        <v>0</v>
      </c>
      <c r="I126" s="418" t="s">
        <v>90</v>
      </c>
      <c r="J126" s="949">
        <f t="shared" si="17"/>
        <v>0</v>
      </c>
      <c r="K126" s="415"/>
    </row>
    <row r="127" spans="1:11" ht="18" customHeight="1">
      <c r="A127" s="193" t="e">
        <f>#REF!</f>
        <v>#REF!</v>
      </c>
      <c r="B127" s="414" t="e">
        <f>VLOOKUP(A127,#REF!,2,FALSE)</f>
        <v>#REF!</v>
      </c>
      <c r="C127" s="413" t="e">
        <f>VLOOKUP(A127,#REF!,3,FALSE)</f>
        <v>#REF!</v>
      </c>
      <c r="D127" s="3">
        <f t="shared" si="12"/>
        <v>0</v>
      </c>
      <c r="E127" s="3">
        <f t="shared" si="13"/>
        <v>0</v>
      </c>
      <c r="F127" s="3">
        <f t="shared" si="14"/>
        <v>0</v>
      </c>
      <c r="G127" s="3">
        <f t="shared" si="15"/>
        <v>0</v>
      </c>
      <c r="H127" s="3">
        <f t="shared" si="16"/>
        <v>0</v>
      </c>
      <c r="I127" s="418" t="s">
        <v>90</v>
      </c>
      <c r="J127" s="949">
        <f t="shared" si="17"/>
        <v>0</v>
      </c>
      <c r="K127" s="415"/>
    </row>
    <row r="128" spans="1:11" ht="18" customHeight="1">
      <c r="A128" s="193" t="e">
        <f>#REF!</f>
        <v>#REF!</v>
      </c>
      <c r="B128" s="414" t="e">
        <f>VLOOKUP(A128,#REF!,2,FALSE)</f>
        <v>#REF!</v>
      </c>
      <c r="C128" s="413" t="e">
        <f>VLOOKUP(A128,#REF!,3,FALSE)</f>
        <v>#REF!</v>
      </c>
      <c r="D128" s="3">
        <f t="shared" si="12"/>
        <v>0</v>
      </c>
      <c r="E128" s="3">
        <f t="shared" si="13"/>
        <v>0</v>
      </c>
      <c r="F128" s="3">
        <f t="shared" si="14"/>
        <v>0</v>
      </c>
      <c r="G128" s="3">
        <f t="shared" si="15"/>
        <v>0</v>
      </c>
      <c r="H128" s="3">
        <f t="shared" si="16"/>
        <v>0</v>
      </c>
      <c r="I128" s="418" t="s">
        <v>90</v>
      </c>
      <c r="J128" s="949">
        <f t="shared" si="17"/>
        <v>0</v>
      </c>
      <c r="K128" s="415"/>
    </row>
    <row r="129" spans="1:11" ht="18" customHeight="1">
      <c r="A129" s="193" t="e">
        <f>#REF!</f>
        <v>#REF!</v>
      </c>
      <c r="B129" s="414" t="e">
        <f>VLOOKUP(A129,#REF!,2,FALSE)</f>
        <v>#REF!</v>
      </c>
      <c r="C129" s="413" t="e">
        <f>VLOOKUP(A129,#REF!,3,FALSE)</f>
        <v>#REF!</v>
      </c>
      <c r="D129" s="3">
        <f t="shared" si="12"/>
        <v>0</v>
      </c>
      <c r="E129" s="3">
        <f t="shared" si="13"/>
        <v>0</v>
      </c>
      <c r="F129" s="3">
        <f t="shared" si="14"/>
        <v>0</v>
      </c>
      <c r="G129" s="3">
        <f t="shared" si="15"/>
        <v>0</v>
      </c>
      <c r="H129" s="3">
        <f t="shared" si="16"/>
        <v>0</v>
      </c>
      <c r="I129" s="418" t="s">
        <v>90</v>
      </c>
      <c r="J129" s="949">
        <f t="shared" si="17"/>
        <v>0</v>
      </c>
      <c r="K129" s="415"/>
    </row>
    <row r="130" spans="1:11" ht="18" customHeight="1">
      <c r="A130" s="193" t="e">
        <f>#REF!</f>
        <v>#REF!</v>
      </c>
      <c r="B130" s="414" t="e">
        <f>VLOOKUP(A130,#REF!,2,FALSE)</f>
        <v>#REF!</v>
      </c>
      <c r="C130" s="413" t="e">
        <f>VLOOKUP(A130,#REF!,3,FALSE)</f>
        <v>#REF!</v>
      </c>
      <c r="D130" s="3">
        <f t="shared" si="12"/>
        <v>0</v>
      </c>
      <c r="E130" s="3">
        <f t="shared" si="13"/>
        <v>0</v>
      </c>
      <c r="F130" s="3">
        <f t="shared" si="14"/>
        <v>0</v>
      </c>
      <c r="G130" s="3">
        <f t="shared" si="15"/>
        <v>0</v>
      </c>
      <c r="H130" s="3">
        <f t="shared" si="16"/>
        <v>0</v>
      </c>
      <c r="I130" s="418" t="s">
        <v>90</v>
      </c>
      <c r="J130" s="949">
        <f t="shared" si="17"/>
        <v>0</v>
      </c>
      <c r="K130" s="415"/>
    </row>
    <row r="131" spans="1:11" ht="18" customHeight="1">
      <c r="A131" s="193" t="e">
        <f>#REF!</f>
        <v>#REF!</v>
      </c>
      <c r="B131" s="414" t="e">
        <f>VLOOKUP(A131,#REF!,2,FALSE)</f>
        <v>#REF!</v>
      </c>
      <c r="C131" s="413" t="e">
        <f>VLOOKUP(A131,#REF!,3,FALSE)</f>
        <v>#REF!</v>
      </c>
      <c r="D131" s="3">
        <f t="shared" si="12"/>
        <v>0</v>
      </c>
      <c r="E131" s="3">
        <f t="shared" si="13"/>
        <v>0</v>
      </c>
      <c r="F131" s="3">
        <f t="shared" si="14"/>
        <v>0</v>
      </c>
      <c r="G131" s="3">
        <f t="shared" si="15"/>
        <v>0</v>
      </c>
      <c r="H131" s="3">
        <f t="shared" si="16"/>
        <v>0</v>
      </c>
      <c r="I131" s="418" t="s">
        <v>90</v>
      </c>
      <c r="J131" s="949">
        <f t="shared" si="17"/>
        <v>0</v>
      </c>
      <c r="K131" s="415"/>
    </row>
    <row r="132" spans="1:11" ht="18" customHeight="1">
      <c r="A132" s="193" t="e">
        <f>#REF!</f>
        <v>#REF!</v>
      </c>
      <c r="B132" s="414" t="e">
        <f>VLOOKUP(A132,#REF!,2,FALSE)</f>
        <v>#REF!</v>
      </c>
      <c r="C132" s="413" t="e">
        <f>VLOOKUP(A132,#REF!,3,FALSE)</f>
        <v>#REF!</v>
      </c>
      <c r="D132" s="3">
        <f t="shared" si="12"/>
        <v>0</v>
      </c>
      <c r="E132" s="3">
        <f t="shared" si="13"/>
        <v>0</v>
      </c>
      <c r="F132" s="3">
        <f t="shared" si="14"/>
        <v>0</v>
      </c>
      <c r="G132" s="3">
        <f t="shared" si="15"/>
        <v>0</v>
      </c>
      <c r="H132" s="3">
        <f t="shared" si="16"/>
        <v>0</v>
      </c>
      <c r="I132" s="418" t="s">
        <v>90</v>
      </c>
      <c r="J132" s="949">
        <f t="shared" si="17"/>
        <v>0</v>
      </c>
      <c r="K132" s="415"/>
    </row>
    <row r="133" spans="1:11" ht="18" customHeight="1">
      <c r="A133" s="193" t="e">
        <f>#REF!</f>
        <v>#REF!</v>
      </c>
      <c r="B133" s="414" t="e">
        <f>VLOOKUP(A133,#REF!,2,FALSE)</f>
        <v>#REF!</v>
      </c>
      <c r="C133" s="413" t="e">
        <f>VLOOKUP(A133,#REF!,3,FALSE)</f>
        <v>#REF!</v>
      </c>
      <c r="D133" s="3">
        <f t="shared" si="12"/>
        <v>0</v>
      </c>
      <c r="E133" s="3">
        <f t="shared" si="13"/>
        <v>0</v>
      </c>
      <c r="F133" s="3">
        <f t="shared" si="14"/>
        <v>0</v>
      </c>
      <c r="G133" s="3">
        <f t="shared" si="15"/>
        <v>0</v>
      </c>
      <c r="H133" s="3">
        <f t="shared" si="16"/>
        <v>0</v>
      </c>
      <c r="I133" s="418" t="s">
        <v>90</v>
      </c>
      <c r="J133" s="949">
        <f t="shared" si="17"/>
        <v>0</v>
      </c>
      <c r="K133" s="415"/>
    </row>
    <row r="134" spans="1:11" ht="18" customHeight="1">
      <c r="A134" s="193" t="e">
        <f>#REF!</f>
        <v>#REF!</v>
      </c>
      <c r="B134" s="414" t="e">
        <f>VLOOKUP(A134,#REF!,2,FALSE)</f>
        <v>#REF!</v>
      </c>
      <c r="C134" s="413" t="e">
        <f>VLOOKUP(A134,#REF!,3,FALSE)</f>
        <v>#REF!</v>
      </c>
      <c r="D134" s="3">
        <f t="shared" si="12"/>
        <v>0</v>
      </c>
      <c r="E134" s="3">
        <f t="shared" si="13"/>
        <v>0</v>
      </c>
      <c r="F134" s="3">
        <f t="shared" si="14"/>
        <v>0</v>
      </c>
      <c r="G134" s="3">
        <f t="shared" si="15"/>
        <v>0</v>
      </c>
      <c r="H134" s="3">
        <f t="shared" si="16"/>
        <v>0</v>
      </c>
      <c r="I134" s="418" t="s">
        <v>90</v>
      </c>
      <c r="J134" s="949">
        <f t="shared" si="17"/>
        <v>0</v>
      </c>
      <c r="K134" s="415"/>
    </row>
    <row r="135" spans="1:11" ht="18" customHeight="1">
      <c r="A135" s="193" t="e">
        <f>#REF!</f>
        <v>#REF!</v>
      </c>
      <c r="B135" s="414" t="e">
        <f>VLOOKUP(A135,#REF!,2,FALSE)</f>
        <v>#REF!</v>
      </c>
      <c r="C135" s="413" t="e">
        <f>VLOOKUP(A135,#REF!,3,FALSE)</f>
        <v>#REF!</v>
      </c>
      <c r="D135" s="3">
        <f t="shared" si="12"/>
        <v>0</v>
      </c>
      <c r="E135" s="3">
        <f t="shared" si="13"/>
        <v>0</v>
      </c>
      <c r="F135" s="3">
        <f t="shared" si="14"/>
        <v>0</v>
      </c>
      <c r="G135" s="3">
        <f t="shared" si="15"/>
        <v>0</v>
      </c>
      <c r="H135" s="3">
        <f t="shared" si="16"/>
        <v>0</v>
      </c>
      <c r="I135" s="418" t="s">
        <v>90</v>
      </c>
      <c r="J135" s="949">
        <f t="shared" si="17"/>
        <v>0</v>
      </c>
      <c r="K135" s="415"/>
    </row>
    <row r="136" spans="1:11" ht="18" customHeight="1">
      <c r="A136" s="193" t="e">
        <f>#REF!</f>
        <v>#REF!</v>
      </c>
      <c r="B136" s="414" t="e">
        <f>VLOOKUP(A136,#REF!,2,FALSE)</f>
        <v>#REF!</v>
      </c>
      <c r="C136" s="413" t="e">
        <f>VLOOKUP(A136,#REF!,3,FALSE)</f>
        <v>#REF!</v>
      </c>
      <c r="D136" s="3">
        <f t="shared" si="12"/>
        <v>0</v>
      </c>
      <c r="E136" s="3">
        <f t="shared" si="13"/>
        <v>0</v>
      </c>
      <c r="F136" s="3">
        <f t="shared" si="14"/>
        <v>0</v>
      </c>
      <c r="G136" s="3">
        <f t="shared" si="15"/>
        <v>0</v>
      </c>
      <c r="H136" s="3">
        <f t="shared" si="16"/>
        <v>0</v>
      </c>
      <c r="I136" s="418" t="s">
        <v>90</v>
      </c>
      <c r="J136" s="949">
        <f t="shared" si="17"/>
        <v>0</v>
      </c>
      <c r="K136" s="415"/>
    </row>
    <row r="137" spans="1:11" ht="18" customHeight="1">
      <c r="A137" s="193"/>
      <c r="B137" s="414"/>
      <c r="C137" s="413"/>
      <c r="D137" s="3"/>
      <c r="E137" s="418"/>
      <c r="F137" s="3"/>
      <c r="G137" s="418"/>
      <c r="H137" s="418"/>
      <c r="I137" s="418"/>
      <c r="J137" s="418"/>
      <c r="K137" s="415"/>
    </row>
    <row r="138" spans="1:11" ht="18" customHeight="1">
      <c r="A138" s="193"/>
      <c r="B138" s="414"/>
      <c r="C138" s="413"/>
      <c r="D138" s="3"/>
      <c r="E138" s="418"/>
      <c r="F138" s="3"/>
      <c r="G138" s="418"/>
      <c r="H138" s="418"/>
      <c r="I138" s="418"/>
      <c r="J138" s="418"/>
      <c r="K138" s="415"/>
    </row>
    <row r="139" spans="1:11" ht="18" customHeight="1">
      <c r="A139" s="193"/>
      <c r="B139" s="414"/>
      <c r="C139" s="413"/>
      <c r="D139" s="3"/>
      <c r="E139" s="418"/>
      <c r="F139" s="3"/>
      <c r="G139" s="3"/>
      <c r="H139" s="3"/>
      <c r="I139" s="418"/>
      <c r="J139" s="418"/>
      <c r="K139" s="415"/>
    </row>
    <row r="140" spans="1:11" ht="18" customHeight="1">
      <c r="A140" s="193"/>
      <c r="B140" s="414"/>
      <c r="C140" s="413"/>
      <c r="D140" s="3"/>
      <c r="E140" s="418"/>
      <c r="F140" s="3"/>
      <c r="G140" s="418"/>
      <c r="H140" s="418"/>
      <c r="I140" s="418"/>
      <c r="J140" s="418"/>
      <c r="K140" s="415"/>
    </row>
    <row r="141" spans="1:11" ht="18" customHeight="1">
      <c r="A141" s="193"/>
      <c r="B141" s="414"/>
      <c r="C141" s="413"/>
      <c r="D141" s="3"/>
      <c r="E141" s="418"/>
      <c r="F141" s="3"/>
      <c r="G141" s="418"/>
      <c r="H141" s="418"/>
      <c r="I141" s="418"/>
      <c r="J141" s="418"/>
      <c r="K141" s="415"/>
    </row>
    <row r="142" spans="1:11" ht="18" customHeight="1">
      <c r="A142" s="194"/>
      <c r="B142" s="651"/>
      <c r="C142" s="652"/>
      <c r="D142" s="648"/>
      <c r="E142" s="648"/>
      <c r="F142" s="648"/>
      <c r="G142" s="648"/>
      <c r="H142" s="648"/>
      <c r="I142" s="648"/>
      <c r="J142" s="648"/>
      <c r="K142" s="653"/>
    </row>
    <row r="143" spans="1:11" ht="18" customHeight="1">
      <c r="B143" s="803"/>
      <c r="C143" s="803"/>
      <c r="D143" s="803"/>
      <c r="E143" s="803"/>
      <c r="F143" s="948"/>
      <c r="G143" s="803"/>
      <c r="H143" s="803"/>
      <c r="I143" s="803"/>
      <c r="J143" s="803"/>
      <c r="K143" s="803"/>
    </row>
  </sheetData>
  <mergeCells count="11">
    <mergeCell ref="B3:B5"/>
    <mergeCell ref="C3:C5"/>
    <mergeCell ref="D3:H3"/>
    <mergeCell ref="I3:I5"/>
    <mergeCell ref="J3:J5"/>
    <mergeCell ref="K3:K5"/>
    <mergeCell ref="F4:F5"/>
    <mergeCell ref="D4:D5"/>
    <mergeCell ref="G4:G5"/>
    <mergeCell ref="E4:E5"/>
    <mergeCell ref="H4:H5"/>
  </mergeCells>
  <phoneticPr fontId="7" type="noConversion"/>
  <printOptions horizontalCentered="1" verticalCentered="1"/>
  <pageMargins left="0.59055118110236227" right="0.39370078740157483" top="0.59055118110236227" bottom="0.59055118110236227" header="0.39370078740157483" footer="0.19685039370078741"/>
  <pageSetup paperSize="9" orientation="landscape" r:id="rId1"/>
  <headerFooter alignWithMargins="0">
    <oddHeader>&amp;C&amp;"돋움체,굵게"&amp;20&amp;U산 출 집 계 표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2"/>
  <sheetViews>
    <sheetView view="pageBreakPreview" zoomScaleSheetLayoutView="100" workbookViewId="0">
      <selection activeCell="E39" sqref="E39"/>
    </sheetView>
  </sheetViews>
  <sheetFormatPr defaultRowHeight="13.5"/>
  <cols>
    <col min="1" max="1" width="11.44140625" style="374" customWidth="1"/>
    <col min="2" max="4" width="7.77734375" style="374" customWidth="1"/>
    <col min="5" max="6" width="4.33203125" style="374" customWidth="1"/>
    <col min="7" max="7" width="7.77734375" style="374" customWidth="1"/>
    <col min="8" max="11" width="4.33203125" style="374" customWidth="1"/>
    <col min="12" max="12" width="8.77734375" style="374" customWidth="1"/>
    <col min="13" max="16384" width="8.88671875" style="374"/>
  </cols>
  <sheetData>
    <row r="1" spans="1:12" s="375" customFormat="1" ht="30" customHeight="1">
      <c r="A1" s="1766" t="s">
        <v>938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</row>
    <row r="2" spans="1:12" s="375" customFormat="1" ht="15" customHeight="1">
      <c r="A2" s="402" t="s">
        <v>937</v>
      </c>
      <c r="B2" s="402">
        <v>34</v>
      </c>
      <c r="C2" s="402">
        <v>48.6</v>
      </c>
      <c r="D2" s="402">
        <v>60.5</v>
      </c>
      <c r="E2" s="1767">
        <v>76.3</v>
      </c>
      <c r="F2" s="1768"/>
      <c r="G2" s="402">
        <v>89.1</v>
      </c>
      <c r="H2" s="1769">
        <v>114.3</v>
      </c>
      <c r="I2" s="1769"/>
      <c r="J2" s="1769">
        <v>139.80000000000001</v>
      </c>
      <c r="K2" s="1769"/>
      <c r="L2" s="402">
        <v>165.2</v>
      </c>
    </row>
    <row r="3" spans="1:12" s="375" customFormat="1" ht="15" customHeight="1">
      <c r="A3" s="402" t="s">
        <v>935</v>
      </c>
      <c r="B3" s="402">
        <v>3.25</v>
      </c>
      <c r="C3" s="402">
        <v>3.25</v>
      </c>
      <c r="D3" s="402">
        <v>3.65</v>
      </c>
      <c r="E3" s="1767">
        <v>3.65</v>
      </c>
      <c r="F3" s="1768"/>
      <c r="G3" s="402">
        <v>4.05</v>
      </c>
      <c r="H3" s="1769">
        <v>4.5</v>
      </c>
      <c r="I3" s="1769"/>
      <c r="J3" s="1769">
        <v>4.8499999999999996</v>
      </c>
      <c r="K3" s="1769"/>
      <c r="L3" s="402">
        <v>4.8499999999999996</v>
      </c>
    </row>
    <row r="4" spans="1:12" s="375" customFormat="1" ht="15" customHeight="1">
      <c r="A4" s="402" t="s">
        <v>934</v>
      </c>
      <c r="B4" s="402">
        <v>2.4500000000000002</v>
      </c>
      <c r="C4" s="402">
        <v>3.63</v>
      </c>
      <c r="D4" s="402">
        <v>5.12</v>
      </c>
      <c r="E4" s="1767">
        <v>6.34</v>
      </c>
      <c r="F4" s="1768"/>
      <c r="G4" s="402">
        <v>8.49</v>
      </c>
      <c r="H4" s="1769">
        <v>12.2</v>
      </c>
      <c r="I4" s="1769"/>
      <c r="J4" s="1769">
        <v>16.100000000000001</v>
      </c>
      <c r="K4" s="1769"/>
      <c r="L4" s="402">
        <v>19.2</v>
      </c>
    </row>
    <row r="5" spans="1:12" s="375" customFormat="1" ht="15" customHeight="1">
      <c r="A5" s="405"/>
      <c r="B5" s="405"/>
      <c r="C5" s="405"/>
      <c r="D5" s="405"/>
      <c r="E5" s="405"/>
      <c r="F5" s="405"/>
      <c r="G5" s="405"/>
      <c r="H5" s="405"/>
      <c r="I5" s="405"/>
      <c r="J5" s="405"/>
      <c r="K5" s="405"/>
      <c r="L5" s="405"/>
    </row>
    <row r="6" spans="1:12" s="375" customFormat="1" ht="15" customHeight="1">
      <c r="A6" s="402" t="s">
        <v>937</v>
      </c>
      <c r="B6" s="402">
        <v>216.5</v>
      </c>
      <c r="C6" s="402">
        <v>267.39999999999998</v>
      </c>
      <c r="D6" s="402">
        <v>318.5</v>
      </c>
      <c r="E6" s="1767">
        <v>355.6</v>
      </c>
      <c r="F6" s="1768"/>
      <c r="G6" s="402" t="s">
        <v>936</v>
      </c>
      <c r="H6" s="1769">
        <v>15</v>
      </c>
      <c r="I6" s="1769"/>
      <c r="J6" s="1769">
        <v>12</v>
      </c>
      <c r="K6" s="1769"/>
      <c r="L6" s="402">
        <v>9</v>
      </c>
    </row>
    <row r="7" spans="1:12" s="375" customFormat="1" ht="15" customHeight="1">
      <c r="A7" s="402" t="s">
        <v>935</v>
      </c>
      <c r="B7" s="402">
        <v>5.85</v>
      </c>
      <c r="C7" s="402">
        <v>6.4</v>
      </c>
      <c r="D7" s="402">
        <v>7</v>
      </c>
      <c r="E7" s="1767">
        <v>9</v>
      </c>
      <c r="F7" s="1768"/>
      <c r="G7" s="402"/>
      <c r="H7" s="1769"/>
      <c r="I7" s="1769"/>
      <c r="J7" s="1769"/>
      <c r="K7" s="1769"/>
      <c r="L7" s="402"/>
    </row>
    <row r="8" spans="1:12" s="375" customFormat="1" ht="15" customHeight="1">
      <c r="A8" s="402" t="s">
        <v>934</v>
      </c>
      <c r="B8" s="402">
        <v>30.4</v>
      </c>
      <c r="C8" s="402">
        <v>41.2</v>
      </c>
      <c r="D8" s="402">
        <v>53.8</v>
      </c>
      <c r="E8" s="1767">
        <v>76.900000000000006</v>
      </c>
      <c r="F8" s="1768"/>
      <c r="G8" s="404" t="s">
        <v>933</v>
      </c>
      <c r="H8" s="1771">
        <f>TRUNC(H6*7.85,2)</f>
        <v>117.75</v>
      </c>
      <c r="I8" s="1771"/>
      <c r="J8" s="1769">
        <f>TRUNC(J6*7.85,2)</f>
        <v>94.2</v>
      </c>
      <c r="K8" s="1769"/>
      <c r="L8" s="403">
        <f>TRUNC(L6*7.85,2)</f>
        <v>70.650000000000006</v>
      </c>
    </row>
    <row r="9" spans="1:12" s="375" customFormat="1" ht="15" customHeight="1"/>
    <row r="10" spans="1:12" s="375" customFormat="1" ht="20.100000000000001" customHeight="1">
      <c r="A10" s="644" t="s">
        <v>932</v>
      </c>
      <c r="B10" s="1770" t="s">
        <v>931</v>
      </c>
      <c r="C10" s="1770"/>
      <c r="D10" s="1770"/>
      <c r="E10" s="1770"/>
      <c r="F10" s="1770"/>
      <c r="G10" s="1770"/>
      <c r="H10" s="1770"/>
      <c r="I10" s="1770"/>
      <c r="J10" s="1770"/>
      <c r="K10" s="1770"/>
      <c r="L10" s="645" t="s">
        <v>930</v>
      </c>
    </row>
    <row r="11" spans="1:12" s="375" customFormat="1" ht="15" customHeight="1">
      <c r="A11" s="387" t="s">
        <v>929</v>
      </c>
      <c r="B11" s="401" t="s">
        <v>1016</v>
      </c>
      <c r="C11" s="398"/>
      <c r="D11" s="400">
        <v>8</v>
      </c>
      <c r="E11" s="399" t="s">
        <v>916</v>
      </c>
      <c r="F11" s="399" t="s">
        <v>910</v>
      </c>
      <c r="G11" s="398">
        <f>+C8</f>
        <v>41.2</v>
      </c>
      <c r="H11" s="399" t="s">
        <v>913</v>
      </c>
      <c r="I11" s="398"/>
      <c r="J11" s="398"/>
      <c r="K11" s="397"/>
      <c r="L11" s="388">
        <f>TRUNC((D11*G11),2)</f>
        <v>329.6</v>
      </c>
    </row>
    <row r="12" spans="1:12" s="375" customFormat="1" ht="15" customHeight="1">
      <c r="A12" s="387" t="s">
        <v>1015</v>
      </c>
      <c r="B12" s="386" t="s">
        <v>928</v>
      </c>
      <c r="C12" s="384"/>
      <c r="D12" s="384">
        <v>0.65</v>
      </c>
      <c r="E12" s="385" t="s">
        <v>916</v>
      </c>
      <c r="F12" s="385" t="s">
        <v>910</v>
      </c>
      <c r="G12" s="384">
        <f>$J$3</f>
        <v>4.8499999999999996</v>
      </c>
      <c r="H12" s="385" t="s">
        <v>913</v>
      </c>
      <c r="I12" s="384"/>
      <c r="J12" s="384"/>
      <c r="K12" s="383"/>
      <c r="L12" s="382">
        <f>TRUNC((D12*G12),2)</f>
        <v>3.15</v>
      </c>
    </row>
    <row r="13" spans="1:12" s="375" customFormat="1" ht="15" customHeight="1">
      <c r="A13" s="387"/>
      <c r="B13" s="386" t="s">
        <v>927</v>
      </c>
      <c r="C13" s="384"/>
      <c r="D13" s="384">
        <f>TRUNC(0.5*0.5*0.7,3)</f>
        <v>0.17499999999999999</v>
      </c>
      <c r="E13" s="385" t="s">
        <v>911</v>
      </c>
      <c r="F13" s="385" t="s">
        <v>910</v>
      </c>
      <c r="G13" s="396">
        <f>+H8</f>
        <v>117.75</v>
      </c>
      <c r="H13" s="385" t="s">
        <v>910</v>
      </c>
      <c r="I13" s="384">
        <v>1</v>
      </c>
      <c r="J13" s="384" t="s">
        <v>909</v>
      </c>
      <c r="K13" s="383"/>
      <c r="L13" s="382">
        <f>TRUNC((D13*G13*I13),2)</f>
        <v>20.6</v>
      </c>
    </row>
    <row r="14" spans="1:12" s="375" customFormat="1" ht="15" customHeight="1">
      <c r="A14" s="387"/>
      <c r="B14" s="386" t="s">
        <v>912</v>
      </c>
      <c r="C14" s="384"/>
      <c r="D14" s="384">
        <f>TRUNC((0.3*0.14)/2,3)</f>
        <v>2.1000000000000001E-2</v>
      </c>
      <c r="E14" s="385" t="s">
        <v>911</v>
      </c>
      <c r="F14" s="385" t="s">
        <v>910</v>
      </c>
      <c r="G14" s="384">
        <f>$J$8</f>
        <v>94.2</v>
      </c>
      <c r="H14" s="385" t="s">
        <v>910</v>
      </c>
      <c r="I14" s="384">
        <v>4</v>
      </c>
      <c r="J14" s="384" t="s">
        <v>909</v>
      </c>
      <c r="K14" s="383"/>
      <c r="L14" s="382">
        <f>TRUNC((D14*G14*I14),2)</f>
        <v>7.91</v>
      </c>
    </row>
    <row r="15" spans="1:12" s="375" customFormat="1" ht="15" customHeight="1">
      <c r="A15" s="387"/>
      <c r="B15" s="386" t="s">
        <v>912</v>
      </c>
      <c r="C15" s="384"/>
      <c r="D15" s="384">
        <f>TRUNC((0.3*0.22)/2,3)</f>
        <v>3.3000000000000002E-2</v>
      </c>
      <c r="E15" s="385" t="s">
        <v>911</v>
      </c>
      <c r="F15" s="385" t="s">
        <v>910</v>
      </c>
      <c r="G15" s="384">
        <f>$J$8</f>
        <v>94.2</v>
      </c>
      <c r="H15" s="385" t="s">
        <v>910</v>
      </c>
      <c r="I15" s="384">
        <v>4</v>
      </c>
      <c r="J15" s="384" t="s">
        <v>909</v>
      </c>
      <c r="K15" s="383"/>
      <c r="L15" s="382">
        <f>TRUNC((D15*G15*I15),2)</f>
        <v>12.43</v>
      </c>
    </row>
    <row r="16" spans="1:12" s="375" customFormat="1" ht="15" customHeight="1">
      <c r="A16" s="387"/>
      <c r="B16" s="386" t="s">
        <v>926</v>
      </c>
      <c r="C16" s="384"/>
      <c r="D16" s="384">
        <f>TRUNC(3.14*(0.125*0.125)*0.7,3)</f>
        <v>3.4000000000000002E-2</v>
      </c>
      <c r="E16" s="385" t="s">
        <v>911</v>
      </c>
      <c r="F16" s="385" t="s">
        <v>910</v>
      </c>
      <c r="G16" s="396">
        <f>+J8</f>
        <v>94.2</v>
      </c>
      <c r="H16" s="385" t="s">
        <v>910</v>
      </c>
      <c r="I16" s="384">
        <v>1</v>
      </c>
      <c r="J16" s="384" t="s">
        <v>909</v>
      </c>
      <c r="K16" s="383"/>
      <c r="L16" s="382">
        <f>TRUNC((D16*G16*I16),2)</f>
        <v>3.2</v>
      </c>
    </row>
    <row r="17" spans="1:12" s="375" customFormat="1" ht="15" customHeight="1">
      <c r="A17" s="387"/>
      <c r="B17" s="386" t="s">
        <v>925</v>
      </c>
      <c r="C17" s="384"/>
      <c r="D17" s="384">
        <f>TRUNC(0.38*0.05,3)</f>
        <v>1.9E-2</v>
      </c>
      <c r="E17" s="385" t="s">
        <v>911</v>
      </c>
      <c r="F17" s="385" t="s">
        <v>910</v>
      </c>
      <c r="G17" s="396">
        <f>$L$8</f>
        <v>70.650000000000006</v>
      </c>
      <c r="H17" s="385" t="s">
        <v>910</v>
      </c>
      <c r="I17" s="384">
        <v>6</v>
      </c>
      <c r="J17" s="384" t="s">
        <v>909</v>
      </c>
      <c r="K17" s="383"/>
      <c r="L17" s="382">
        <f>TRUNC((D17*G17*I17),2)</f>
        <v>8.0500000000000007</v>
      </c>
    </row>
    <row r="18" spans="1:12" s="375" customFormat="1" ht="15" customHeight="1">
      <c r="A18" s="395"/>
      <c r="B18" s="380" t="s">
        <v>908</v>
      </c>
      <c r="C18" s="378"/>
      <c r="D18" s="378"/>
      <c r="E18" s="378"/>
      <c r="F18" s="378"/>
      <c r="G18" s="378"/>
      <c r="H18" s="379"/>
      <c r="I18" s="378"/>
      <c r="J18" s="378"/>
      <c r="K18" s="377"/>
      <c r="L18" s="376">
        <f>SUM(L11:L17)</f>
        <v>384.94000000000005</v>
      </c>
    </row>
    <row r="19" spans="1:12" s="375" customFormat="1" ht="15" customHeight="1">
      <c r="A19" s="387" t="s">
        <v>918</v>
      </c>
      <c r="B19" s="393" t="s">
        <v>917</v>
      </c>
      <c r="C19" s="390"/>
      <c r="D19" s="392">
        <v>4</v>
      </c>
      <c r="E19" s="391" t="s">
        <v>916</v>
      </c>
      <c r="F19" s="391" t="s">
        <v>910</v>
      </c>
      <c r="G19" s="390">
        <f>$J$3</f>
        <v>4.8499999999999996</v>
      </c>
      <c r="H19" s="391" t="s">
        <v>913</v>
      </c>
      <c r="I19" s="390"/>
      <c r="J19" s="390"/>
      <c r="K19" s="389"/>
      <c r="L19" s="388">
        <f>TRUNC((D19*G19),2)</f>
        <v>19.399999999999999</v>
      </c>
    </row>
    <row r="20" spans="1:12" s="375" customFormat="1" ht="15" customHeight="1">
      <c r="A20" s="387" t="s">
        <v>915</v>
      </c>
      <c r="B20" s="386" t="s">
        <v>914</v>
      </c>
      <c r="C20" s="384"/>
      <c r="D20" s="384">
        <f>TRUNC(0.35*0.35*0.7,3)</f>
        <v>8.5000000000000006E-2</v>
      </c>
      <c r="E20" s="385" t="s">
        <v>911</v>
      </c>
      <c r="F20" s="385" t="s">
        <v>910</v>
      </c>
      <c r="G20" s="384">
        <f>$J$8</f>
        <v>94.2</v>
      </c>
      <c r="H20" s="385" t="s">
        <v>913</v>
      </c>
      <c r="I20" s="384"/>
      <c r="J20" s="384"/>
      <c r="K20" s="383"/>
      <c r="L20" s="382">
        <f>TRUNC((D20*G20),2)</f>
        <v>8</v>
      </c>
    </row>
    <row r="21" spans="1:12" s="375" customFormat="1" ht="15" customHeight="1">
      <c r="A21" s="387"/>
      <c r="B21" s="386" t="s">
        <v>912</v>
      </c>
      <c r="C21" s="384"/>
      <c r="D21" s="384">
        <f>TRUNC((0.2*0.15)/2,3)</f>
        <v>1.4999999999999999E-2</v>
      </c>
      <c r="E21" s="385" t="s">
        <v>911</v>
      </c>
      <c r="F21" s="385" t="s">
        <v>910</v>
      </c>
      <c r="G21" s="384">
        <f>$J$8</f>
        <v>94.2</v>
      </c>
      <c r="H21" s="385" t="s">
        <v>910</v>
      </c>
      <c r="I21" s="384">
        <v>4</v>
      </c>
      <c r="J21" s="384" t="s">
        <v>909</v>
      </c>
      <c r="K21" s="383"/>
      <c r="L21" s="382">
        <f>TRUNC((D21*G21*I21),2)</f>
        <v>5.65</v>
      </c>
    </row>
    <row r="22" spans="1:12" s="375" customFormat="1" ht="15" customHeight="1">
      <c r="A22" s="381"/>
      <c r="B22" s="380" t="s">
        <v>908</v>
      </c>
      <c r="C22" s="378"/>
      <c r="D22" s="378"/>
      <c r="E22" s="378"/>
      <c r="F22" s="378"/>
      <c r="G22" s="378"/>
      <c r="H22" s="379"/>
      <c r="I22" s="378"/>
      <c r="J22" s="378"/>
      <c r="K22" s="377"/>
      <c r="L22" s="376">
        <f>SUM(L19:L21)</f>
        <v>33.049999999999997</v>
      </c>
    </row>
    <row r="23" spans="1:12" s="375" customFormat="1" ht="15" customHeight="1">
      <c r="A23" s="642" t="s">
        <v>1017</v>
      </c>
      <c r="B23" s="393" t="s">
        <v>922</v>
      </c>
      <c r="C23" s="390"/>
      <c r="D23" s="390">
        <v>8</v>
      </c>
      <c r="E23" s="391" t="s">
        <v>54</v>
      </c>
      <c r="F23" s="391" t="s">
        <v>910</v>
      </c>
      <c r="G23" s="390">
        <f>$G$4</f>
        <v>8.49</v>
      </c>
      <c r="H23" s="391" t="s">
        <v>913</v>
      </c>
      <c r="I23" s="390"/>
      <c r="J23" s="390"/>
      <c r="K23" s="389"/>
      <c r="L23" s="388">
        <f>TRUNC((D23*G23),2)</f>
        <v>67.92</v>
      </c>
    </row>
    <row r="24" spans="1:12" s="375" customFormat="1" ht="15" customHeight="1">
      <c r="A24" s="642"/>
      <c r="B24" s="386" t="s">
        <v>921</v>
      </c>
      <c r="C24" s="384"/>
      <c r="D24" s="384">
        <v>3</v>
      </c>
      <c r="E24" s="385" t="s">
        <v>54</v>
      </c>
      <c r="F24" s="385" t="s">
        <v>910</v>
      </c>
      <c r="G24" s="384">
        <f>$E$4</f>
        <v>6.34</v>
      </c>
      <c r="H24" s="385" t="s">
        <v>913</v>
      </c>
      <c r="I24" s="384"/>
      <c r="J24" s="384"/>
      <c r="K24" s="383"/>
      <c r="L24" s="382">
        <f>TRUNC((D24*G24),2)</f>
        <v>19.02</v>
      </c>
    </row>
    <row r="25" spans="1:12" s="375" customFormat="1" ht="15" customHeight="1">
      <c r="A25" s="642"/>
      <c r="B25" s="386" t="s">
        <v>920</v>
      </c>
      <c r="C25" s="384"/>
      <c r="D25" s="384">
        <f>TRUNC(3.14*(0.125*0.125)*0.7,3)</f>
        <v>3.4000000000000002E-2</v>
      </c>
      <c r="E25" s="385" t="s">
        <v>150</v>
      </c>
      <c r="F25" s="385" t="s">
        <v>910</v>
      </c>
      <c r="G25" s="384">
        <f>$J$8</f>
        <v>94.2</v>
      </c>
      <c r="H25" s="385" t="s">
        <v>913</v>
      </c>
      <c r="I25" s="384"/>
      <c r="J25" s="384"/>
      <c r="K25" s="383"/>
      <c r="L25" s="382">
        <f>TRUNC((D25*G25),2)</f>
        <v>3.2</v>
      </c>
    </row>
    <row r="26" spans="1:12" s="375" customFormat="1" ht="15" customHeight="1">
      <c r="A26" s="642"/>
      <c r="B26" s="386" t="s">
        <v>919</v>
      </c>
      <c r="C26" s="384"/>
      <c r="D26" s="384">
        <f>TRUNC((0.25*0.05),3)</f>
        <v>1.2E-2</v>
      </c>
      <c r="E26" s="385" t="s">
        <v>150</v>
      </c>
      <c r="F26" s="385" t="s">
        <v>910</v>
      </c>
      <c r="G26" s="384">
        <f>$L$8</f>
        <v>70.650000000000006</v>
      </c>
      <c r="H26" s="385" t="s">
        <v>913</v>
      </c>
      <c r="I26" s="384"/>
      <c r="J26" s="384"/>
      <c r="K26" s="383"/>
      <c r="L26" s="382">
        <f>TRUNC((D26*G26),2)</f>
        <v>0.84</v>
      </c>
    </row>
    <row r="27" spans="1:12" s="394" customFormat="1" ht="15" customHeight="1">
      <c r="A27" s="643"/>
      <c r="B27" s="380" t="s">
        <v>95</v>
      </c>
      <c r="C27" s="378"/>
      <c r="D27" s="378"/>
      <c r="E27" s="378"/>
      <c r="F27" s="378"/>
      <c r="G27" s="378"/>
      <c r="H27" s="379"/>
      <c r="I27" s="378"/>
      <c r="J27" s="378"/>
      <c r="K27" s="377"/>
      <c r="L27" s="376">
        <f>SUM(L23:L26)</f>
        <v>90.98</v>
      </c>
    </row>
    <row r="28" spans="1:12" s="375" customFormat="1" ht="15" customHeight="1">
      <c r="A28" s="642" t="s">
        <v>1018</v>
      </c>
      <c r="B28" s="393" t="s">
        <v>922</v>
      </c>
      <c r="C28" s="390"/>
      <c r="D28" s="390">
        <v>6</v>
      </c>
      <c r="E28" s="391" t="s">
        <v>54</v>
      </c>
      <c r="F28" s="391" t="s">
        <v>910</v>
      </c>
      <c r="G28" s="390">
        <f>$G$4</f>
        <v>8.49</v>
      </c>
      <c r="H28" s="391" t="s">
        <v>913</v>
      </c>
      <c r="I28" s="390"/>
      <c r="J28" s="390"/>
      <c r="K28" s="389"/>
      <c r="L28" s="388">
        <f>TRUNC((D28*G28),2)</f>
        <v>50.94</v>
      </c>
    </row>
    <row r="29" spans="1:12" s="375" customFormat="1" ht="15" customHeight="1">
      <c r="A29" s="387"/>
      <c r="B29" s="386" t="s">
        <v>921</v>
      </c>
      <c r="C29" s="384"/>
      <c r="D29" s="384">
        <v>3</v>
      </c>
      <c r="E29" s="385" t="s">
        <v>54</v>
      </c>
      <c r="F29" s="385" t="s">
        <v>910</v>
      </c>
      <c r="G29" s="384">
        <f>$E$4</f>
        <v>6.34</v>
      </c>
      <c r="H29" s="385" t="s">
        <v>913</v>
      </c>
      <c r="I29" s="384"/>
      <c r="J29" s="384"/>
      <c r="K29" s="383"/>
      <c r="L29" s="382">
        <f>TRUNC((D29*G29),2)</f>
        <v>19.02</v>
      </c>
    </row>
    <row r="30" spans="1:12" s="375" customFormat="1" ht="15" customHeight="1">
      <c r="A30" s="387"/>
      <c r="B30" s="386" t="s">
        <v>920</v>
      </c>
      <c r="C30" s="384"/>
      <c r="D30" s="384">
        <f>TRUNC(3.14*(0.125*0.125)*0.7,3)</f>
        <v>3.4000000000000002E-2</v>
      </c>
      <c r="E30" s="385" t="s">
        <v>150</v>
      </c>
      <c r="F30" s="385" t="s">
        <v>910</v>
      </c>
      <c r="G30" s="384">
        <f>$J$8</f>
        <v>94.2</v>
      </c>
      <c r="H30" s="385" t="s">
        <v>913</v>
      </c>
      <c r="I30" s="384"/>
      <c r="J30" s="384"/>
      <c r="K30" s="383"/>
      <c r="L30" s="382">
        <f>TRUNC((D30*G30),2)</f>
        <v>3.2</v>
      </c>
    </row>
    <row r="31" spans="1:12" s="375" customFormat="1" ht="15" customHeight="1">
      <c r="A31" s="387"/>
      <c r="B31" s="386" t="s">
        <v>919</v>
      </c>
      <c r="C31" s="384"/>
      <c r="D31" s="384">
        <f>TRUNC((0.25*0.05),3)</f>
        <v>1.2E-2</v>
      </c>
      <c r="E31" s="385" t="s">
        <v>150</v>
      </c>
      <c r="F31" s="385" t="s">
        <v>910</v>
      </c>
      <c r="G31" s="384">
        <f>$L$8</f>
        <v>70.650000000000006</v>
      </c>
      <c r="H31" s="385" t="s">
        <v>913</v>
      </c>
      <c r="I31" s="384"/>
      <c r="J31" s="384"/>
      <c r="K31" s="383"/>
      <c r="L31" s="382">
        <f>TRUNC((D31*G31),2)</f>
        <v>0.84</v>
      </c>
    </row>
    <row r="32" spans="1:12" s="394" customFormat="1" ht="15" customHeight="1">
      <c r="A32" s="395"/>
      <c r="B32" s="380" t="s">
        <v>95</v>
      </c>
      <c r="C32" s="378"/>
      <c r="D32" s="378"/>
      <c r="E32" s="378"/>
      <c r="F32" s="378"/>
      <c r="G32" s="378"/>
      <c r="H32" s="379"/>
      <c r="I32" s="378"/>
      <c r="J32" s="378"/>
      <c r="K32" s="377"/>
      <c r="L32" s="376">
        <f>SUM(L28:L31)</f>
        <v>74</v>
      </c>
    </row>
    <row r="33" spans="1:12" s="375" customFormat="1" ht="15" customHeight="1">
      <c r="A33" s="387" t="s">
        <v>924</v>
      </c>
      <c r="B33" s="393" t="s">
        <v>922</v>
      </c>
      <c r="C33" s="390"/>
      <c r="D33" s="390">
        <v>4</v>
      </c>
      <c r="E33" s="391" t="s">
        <v>916</v>
      </c>
      <c r="F33" s="391" t="s">
        <v>910</v>
      </c>
      <c r="G33" s="390">
        <f>$G$4</f>
        <v>8.49</v>
      </c>
      <c r="H33" s="391" t="s">
        <v>913</v>
      </c>
      <c r="I33" s="390"/>
      <c r="J33" s="390"/>
      <c r="K33" s="389"/>
      <c r="L33" s="388">
        <f>TRUNC((D33*G33),2)</f>
        <v>33.96</v>
      </c>
    </row>
    <row r="34" spans="1:12" s="375" customFormat="1" ht="15" customHeight="1">
      <c r="A34" s="387"/>
      <c r="B34" s="386" t="s">
        <v>921</v>
      </c>
      <c r="C34" s="384"/>
      <c r="D34" s="384">
        <v>3</v>
      </c>
      <c r="E34" s="385" t="s">
        <v>916</v>
      </c>
      <c r="F34" s="385" t="s">
        <v>910</v>
      </c>
      <c r="G34" s="384">
        <f>$E$4</f>
        <v>6.34</v>
      </c>
      <c r="H34" s="385" t="s">
        <v>913</v>
      </c>
      <c r="I34" s="384"/>
      <c r="J34" s="384"/>
      <c r="K34" s="383"/>
      <c r="L34" s="382">
        <f>TRUNC((D34*G34),2)</f>
        <v>19.02</v>
      </c>
    </row>
    <row r="35" spans="1:12" s="375" customFormat="1" ht="15" customHeight="1">
      <c r="A35" s="387"/>
      <c r="B35" s="386" t="s">
        <v>920</v>
      </c>
      <c r="C35" s="384"/>
      <c r="D35" s="384">
        <f>TRUNC(3.14*(0.125*0.125)*0.7,3)</f>
        <v>3.4000000000000002E-2</v>
      </c>
      <c r="E35" s="385" t="s">
        <v>911</v>
      </c>
      <c r="F35" s="385" t="s">
        <v>910</v>
      </c>
      <c r="G35" s="384">
        <f>$J$8</f>
        <v>94.2</v>
      </c>
      <c r="H35" s="385" t="s">
        <v>913</v>
      </c>
      <c r="I35" s="384"/>
      <c r="J35" s="384"/>
      <c r="K35" s="383"/>
      <c r="L35" s="382">
        <f>TRUNC((D35*G35),2)</f>
        <v>3.2</v>
      </c>
    </row>
    <row r="36" spans="1:12" s="375" customFormat="1" ht="15" customHeight="1">
      <c r="A36" s="387"/>
      <c r="B36" s="386" t="s">
        <v>919</v>
      </c>
      <c r="C36" s="384"/>
      <c r="D36" s="384">
        <f>TRUNC((0.25*0.05),3)</f>
        <v>1.2E-2</v>
      </c>
      <c r="E36" s="385" t="s">
        <v>911</v>
      </c>
      <c r="F36" s="385" t="s">
        <v>910</v>
      </c>
      <c r="G36" s="384">
        <f>$L$8</f>
        <v>70.650000000000006</v>
      </c>
      <c r="H36" s="385" t="s">
        <v>913</v>
      </c>
      <c r="I36" s="384"/>
      <c r="J36" s="384"/>
      <c r="K36" s="383"/>
      <c r="L36" s="382">
        <f>TRUNC((D36*G36),2)</f>
        <v>0.84</v>
      </c>
    </row>
    <row r="37" spans="1:12" s="394" customFormat="1" ht="15" customHeight="1">
      <c r="A37" s="395"/>
      <c r="B37" s="380" t="s">
        <v>908</v>
      </c>
      <c r="C37" s="378"/>
      <c r="D37" s="378"/>
      <c r="E37" s="378"/>
      <c r="F37" s="378"/>
      <c r="G37" s="378"/>
      <c r="H37" s="379"/>
      <c r="I37" s="378"/>
      <c r="J37" s="378"/>
      <c r="K37" s="377"/>
      <c r="L37" s="376">
        <f>SUM(L33:L36)</f>
        <v>57.02000000000001</v>
      </c>
    </row>
    <row r="38" spans="1:12" s="375" customFormat="1" ht="15" customHeight="1">
      <c r="A38" s="387" t="s">
        <v>923</v>
      </c>
      <c r="B38" s="393" t="s">
        <v>922</v>
      </c>
      <c r="C38" s="390"/>
      <c r="D38" s="390">
        <v>2</v>
      </c>
      <c r="E38" s="391" t="s">
        <v>916</v>
      </c>
      <c r="F38" s="391" t="s">
        <v>910</v>
      </c>
      <c r="G38" s="390">
        <f>$G$4</f>
        <v>8.49</v>
      </c>
      <c r="H38" s="391" t="s">
        <v>913</v>
      </c>
      <c r="I38" s="390"/>
      <c r="J38" s="390"/>
      <c r="K38" s="389"/>
      <c r="L38" s="388">
        <f>TRUNC((D38*G38),2)</f>
        <v>16.98</v>
      </c>
    </row>
    <row r="39" spans="1:12" s="375" customFormat="1" ht="15" customHeight="1">
      <c r="A39" s="387"/>
      <c r="B39" s="386" t="s">
        <v>921</v>
      </c>
      <c r="C39" s="384"/>
      <c r="D39" s="384">
        <v>3</v>
      </c>
      <c r="E39" s="385" t="s">
        <v>916</v>
      </c>
      <c r="F39" s="385" t="s">
        <v>910</v>
      </c>
      <c r="G39" s="384">
        <f>$E$4</f>
        <v>6.34</v>
      </c>
      <c r="H39" s="385" t="s">
        <v>913</v>
      </c>
      <c r="I39" s="384"/>
      <c r="J39" s="384"/>
      <c r="K39" s="383"/>
      <c r="L39" s="382">
        <f>TRUNC((D39*G39),2)</f>
        <v>19.02</v>
      </c>
    </row>
    <row r="40" spans="1:12" s="375" customFormat="1" ht="15" customHeight="1">
      <c r="A40" s="387"/>
      <c r="B40" s="386" t="s">
        <v>920</v>
      </c>
      <c r="C40" s="384"/>
      <c r="D40" s="384">
        <f>TRUNC(3.14*(0.125*0.125)*0.7,3)</f>
        <v>3.4000000000000002E-2</v>
      </c>
      <c r="E40" s="385" t="s">
        <v>911</v>
      </c>
      <c r="F40" s="385" t="s">
        <v>910</v>
      </c>
      <c r="G40" s="384">
        <f>$J$8</f>
        <v>94.2</v>
      </c>
      <c r="H40" s="385" t="s">
        <v>913</v>
      </c>
      <c r="I40" s="384"/>
      <c r="J40" s="384"/>
      <c r="K40" s="383"/>
      <c r="L40" s="382">
        <f>TRUNC((D40*G40),2)</f>
        <v>3.2</v>
      </c>
    </row>
    <row r="41" spans="1:12" s="375" customFormat="1" ht="15" customHeight="1">
      <c r="A41" s="387"/>
      <c r="B41" s="386" t="s">
        <v>919</v>
      </c>
      <c r="C41" s="384"/>
      <c r="D41" s="384">
        <f>TRUNC((0.25*0.05),3)</f>
        <v>1.2E-2</v>
      </c>
      <c r="E41" s="385" t="s">
        <v>911</v>
      </c>
      <c r="F41" s="385" t="s">
        <v>910</v>
      </c>
      <c r="G41" s="384">
        <f>$L$8</f>
        <v>70.650000000000006</v>
      </c>
      <c r="H41" s="385" t="s">
        <v>913</v>
      </c>
      <c r="I41" s="384"/>
      <c r="J41" s="384"/>
      <c r="K41" s="383"/>
      <c r="L41" s="382">
        <f>TRUNC((D41*G41),2)</f>
        <v>0.84</v>
      </c>
    </row>
    <row r="42" spans="1:12" s="394" customFormat="1" ht="15" customHeight="1">
      <c r="A42" s="395"/>
      <c r="B42" s="380" t="s">
        <v>908</v>
      </c>
      <c r="C42" s="378"/>
      <c r="D42" s="378"/>
      <c r="E42" s="378"/>
      <c r="F42" s="378"/>
      <c r="G42" s="378"/>
      <c r="H42" s="379"/>
      <c r="I42" s="378"/>
      <c r="J42" s="378"/>
      <c r="K42" s="377"/>
      <c r="L42" s="376">
        <f>SUM(L38:L41)</f>
        <v>40.040000000000006</v>
      </c>
    </row>
  </sheetData>
  <mergeCells count="20">
    <mergeCell ref="B10:K10"/>
    <mergeCell ref="E7:F7"/>
    <mergeCell ref="H7:I7"/>
    <mergeCell ref="J7:K7"/>
    <mergeCell ref="E8:F8"/>
    <mergeCell ref="H8:I8"/>
    <mergeCell ref="J8:K8"/>
    <mergeCell ref="E4:F4"/>
    <mergeCell ref="H4:I4"/>
    <mergeCell ref="J4:K4"/>
    <mergeCell ref="E6:F6"/>
    <mergeCell ref="H6:I6"/>
    <mergeCell ref="J6:K6"/>
    <mergeCell ref="A1:L1"/>
    <mergeCell ref="E2:F2"/>
    <mergeCell ref="H2:I2"/>
    <mergeCell ref="J2:K2"/>
    <mergeCell ref="E3:F3"/>
    <mergeCell ref="H3:I3"/>
    <mergeCell ref="J3:K3"/>
  </mergeCells>
  <phoneticPr fontId="7" type="noConversion"/>
  <pageMargins left="0.55118110236220474" right="0.55118110236220474" top="0.78740157480314965" bottom="0.59055118110236227" header="0" footer="0"/>
  <pageSetup paperSize="9" scale="9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>
      <selection activeCell="B4" sqref="B4"/>
    </sheetView>
  </sheetViews>
  <sheetFormatPr defaultRowHeight="13.5"/>
  <sheetData/>
  <phoneticPr fontId="7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G1311"/>
  <sheetViews>
    <sheetView view="pageBreakPreview" zoomScaleSheetLayoutView="100" workbookViewId="0">
      <pane ySplit="3" topLeftCell="A308" activePane="bottomLeft" state="frozen"/>
      <selection activeCell="E14" sqref="E14"/>
      <selection pane="bottomLeft" activeCell="A494" sqref="A494:XFD1242"/>
    </sheetView>
  </sheetViews>
  <sheetFormatPr defaultRowHeight="12.75"/>
  <cols>
    <col min="1" max="1" width="8.88671875" style="226"/>
    <col min="2" max="11" width="1.21875" style="226" customWidth="1"/>
    <col min="12" max="14" width="1.21875" style="303" customWidth="1"/>
    <col min="15" max="70" width="1.21875" style="226" customWidth="1"/>
    <col min="71" max="71" width="1.21875" style="303" customWidth="1"/>
    <col min="72" max="141" width="0.21875" style="226" customWidth="1"/>
    <col min="142" max="142" width="1.77734375" style="226" customWidth="1"/>
    <col min="143" max="146" width="6.77734375" style="226" customWidth="1"/>
    <col min="147" max="147" width="8.77734375" style="226" customWidth="1"/>
    <col min="148" max="148" width="8.88671875" style="226"/>
    <col min="149" max="149" width="9.44140625" style="226" bestFit="1" customWidth="1"/>
    <col min="150" max="256" width="8.88671875" style="226"/>
    <col min="257" max="257" width="0.5546875" style="226" customWidth="1"/>
    <col min="258" max="397" width="0.6640625" style="226" customWidth="1"/>
    <col min="398" max="398" width="12.44140625" style="226" customWidth="1"/>
    <col min="399" max="399" width="11" style="226" customWidth="1"/>
    <col min="400" max="401" width="10.44140625" style="226" customWidth="1"/>
    <col min="402" max="512" width="8.88671875" style="226"/>
    <col min="513" max="513" width="0.5546875" style="226" customWidth="1"/>
    <col min="514" max="653" width="0.6640625" style="226" customWidth="1"/>
    <col min="654" max="654" width="12.44140625" style="226" customWidth="1"/>
    <col min="655" max="655" width="11" style="226" customWidth="1"/>
    <col min="656" max="657" width="10.44140625" style="226" customWidth="1"/>
    <col min="658" max="768" width="8.88671875" style="226"/>
    <col min="769" max="769" width="0.5546875" style="226" customWidth="1"/>
    <col min="770" max="909" width="0.6640625" style="226" customWidth="1"/>
    <col min="910" max="910" width="12.44140625" style="226" customWidth="1"/>
    <col min="911" max="911" width="11" style="226" customWidth="1"/>
    <col min="912" max="913" width="10.44140625" style="226" customWidth="1"/>
    <col min="914" max="1024" width="8.88671875" style="226"/>
    <col min="1025" max="1025" width="0.5546875" style="226" customWidth="1"/>
    <col min="1026" max="1165" width="0.6640625" style="226" customWidth="1"/>
    <col min="1166" max="1166" width="12.44140625" style="226" customWidth="1"/>
    <col min="1167" max="1167" width="11" style="226" customWidth="1"/>
    <col min="1168" max="1169" width="10.44140625" style="226" customWidth="1"/>
    <col min="1170" max="1280" width="8.88671875" style="226"/>
    <col min="1281" max="1281" width="0.5546875" style="226" customWidth="1"/>
    <col min="1282" max="1421" width="0.6640625" style="226" customWidth="1"/>
    <col min="1422" max="1422" width="12.44140625" style="226" customWidth="1"/>
    <col min="1423" max="1423" width="11" style="226" customWidth="1"/>
    <col min="1424" max="1425" width="10.44140625" style="226" customWidth="1"/>
    <col min="1426" max="1536" width="8.88671875" style="226"/>
    <col min="1537" max="1537" width="0.5546875" style="226" customWidth="1"/>
    <col min="1538" max="1677" width="0.6640625" style="226" customWidth="1"/>
    <col min="1678" max="1678" width="12.44140625" style="226" customWidth="1"/>
    <col min="1679" max="1679" width="11" style="226" customWidth="1"/>
    <col min="1680" max="1681" width="10.44140625" style="226" customWidth="1"/>
    <col min="1682" max="1792" width="8.88671875" style="226"/>
    <col min="1793" max="1793" width="0.5546875" style="226" customWidth="1"/>
    <col min="1794" max="1933" width="0.6640625" style="226" customWidth="1"/>
    <col min="1934" max="1934" width="12.44140625" style="226" customWidth="1"/>
    <col min="1935" max="1935" width="11" style="226" customWidth="1"/>
    <col min="1936" max="1937" width="10.44140625" style="226" customWidth="1"/>
    <col min="1938" max="2048" width="8.88671875" style="226"/>
    <col min="2049" max="2049" width="0.5546875" style="226" customWidth="1"/>
    <col min="2050" max="2189" width="0.6640625" style="226" customWidth="1"/>
    <col min="2190" max="2190" width="12.44140625" style="226" customWidth="1"/>
    <col min="2191" max="2191" width="11" style="226" customWidth="1"/>
    <col min="2192" max="2193" width="10.44140625" style="226" customWidth="1"/>
    <col min="2194" max="2304" width="8.88671875" style="226"/>
    <col min="2305" max="2305" width="0.5546875" style="226" customWidth="1"/>
    <col min="2306" max="2445" width="0.6640625" style="226" customWidth="1"/>
    <col min="2446" max="2446" width="12.44140625" style="226" customWidth="1"/>
    <col min="2447" max="2447" width="11" style="226" customWidth="1"/>
    <col min="2448" max="2449" width="10.44140625" style="226" customWidth="1"/>
    <col min="2450" max="2560" width="8.88671875" style="226"/>
    <col min="2561" max="2561" width="0.5546875" style="226" customWidth="1"/>
    <col min="2562" max="2701" width="0.6640625" style="226" customWidth="1"/>
    <col min="2702" max="2702" width="12.44140625" style="226" customWidth="1"/>
    <col min="2703" max="2703" width="11" style="226" customWidth="1"/>
    <col min="2704" max="2705" width="10.44140625" style="226" customWidth="1"/>
    <col min="2706" max="2816" width="8.88671875" style="226"/>
    <col min="2817" max="2817" width="0.5546875" style="226" customWidth="1"/>
    <col min="2818" max="2957" width="0.6640625" style="226" customWidth="1"/>
    <col min="2958" max="2958" width="12.44140625" style="226" customWidth="1"/>
    <col min="2959" max="2959" width="11" style="226" customWidth="1"/>
    <col min="2960" max="2961" width="10.44140625" style="226" customWidth="1"/>
    <col min="2962" max="3072" width="8.88671875" style="226"/>
    <col min="3073" max="3073" width="0.5546875" style="226" customWidth="1"/>
    <col min="3074" max="3213" width="0.6640625" style="226" customWidth="1"/>
    <col min="3214" max="3214" width="12.44140625" style="226" customWidth="1"/>
    <col min="3215" max="3215" width="11" style="226" customWidth="1"/>
    <col min="3216" max="3217" width="10.44140625" style="226" customWidth="1"/>
    <col min="3218" max="3328" width="8.88671875" style="226"/>
    <col min="3329" max="3329" width="0.5546875" style="226" customWidth="1"/>
    <col min="3330" max="3469" width="0.6640625" style="226" customWidth="1"/>
    <col min="3470" max="3470" width="12.44140625" style="226" customWidth="1"/>
    <col min="3471" max="3471" width="11" style="226" customWidth="1"/>
    <col min="3472" max="3473" width="10.44140625" style="226" customWidth="1"/>
    <col min="3474" max="3584" width="8.88671875" style="226"/>
    <col min="3585" max="3585" width="0.5546875" style="226" customWidth="1"/>
    <col min="3586" max="3725" width="0.6640625" style="226" customWidth="1"/>
    <col min="3726" max="3726" width="12.44140625" style="226" customWidth="1"/>
    <col min="3727" max="3727" width="11" style="226" customWidth="1"/>
    <col min="3728" max="3729" width="10.44140625" style="226" customWidth="1"/>
    <col min="3730" max="3840" width="8.88671875" style="226"/>
    <col min="3841" max="3841" width="0.5546875" style="226" customWidth="1"/>
    <col min="3842" max="3981" width="0.6640625" style="226" customWidth="1"/>
    <col min="3982" max="3982" width="12.44140625" style="226" customWidth="1"/>
    <col min="3983" max="3983" width="11" style="226" customWidth="1"/>
    <col min="3984" max="3985" width="10.44140625" style="226" customWidth="1"/>
    <col min="3986" max="4096" width="8.88671875" style="226"/>
    <col min="4097" max="4097" width="0.5546875" style="226" customWidth="1"/>
    <col min="4098" max="4237" width="0.6640625" style="226" customWidth="1"/>
    <col min="4238" max="4238" width="12.44140625" style="226" customWidth="1"/>
    <col min="4239" max="4239" width="11" style="226" customWidth="1"/>
    <col min="4240" max="4241" width="10.44140625" style="226" customWidth="1"/>
    <col min="4242" max="4352" width="8.88671875" style="226"/>
    <col min="4353" max="4353" width="0.5546875" style="226" customWidth="1"/>
    <col min="4354" max="4493" width="0.6640625" style="226" customWidth="1"/>
    <col min="4494" max="4494" width="12.44140625" style="226" customWidth="1"/>
    <col min="4495" max="4495" width="11" style="226" customWidth="1"/>
    <col min="4496" max="4497" width="10.44140625" style="226" customWidth="1"/>
    <col min="4498" max="4608" width="8.88671875" style="226"/>
    <col min="4609" max="4609" width="0.5546875" style="226" customWidth="1"/>
    <col min="4610" max="4749" width="0.6640625" style="226" customWidth="1"/>
    <col min="4750" max="4750" width="12.44140625" style="226" customWidth="1"/>
    <col min="4751" max="4751" width="11" style="226" customWidth="1"/>
    <col min="4752" max="4753" width="10.44140625" style="226" customWidth="1"/>
    <col min="4754" max="4864" width="8.88671875" style="226"/>
    <col min="4865" max="4865" width="0.5546875" style="226" customWidth="1"/>
    <col min="4866" max="5005" width="0.6640625" style="226" customWidth="1"/>
    <col min="5006" max="5006" width="12.44140625" style="226" customWidth="1"/>
    <col min="5007" max="5007" width="11" style="226" customWidth="1"/>
    <col min="5008" max="5009" width="10.44140625" style="226" customWidth="1"/>
    <col min="5010" max="5120" width="8.88671875" style="226"/>
    <col min="5121" max="5121" width="0.5546875" style="226" customWidth="1"/>
    <col min="5122" max="5261" width="0.6640625" style="226" customWidth="1"/>
    <col min="5262" max="5262" width="12.44140625" style="226" customWidth="1"/>
    <col min="5263" max="5263" width="11" style="226" customWidth="1"/>
    <col min="5264" max="5265" width="10.44140625" style="226" customWidth="1"/>
    <col min="5266" max="5376" width="8.88671875" style="226"/>
    <col min="5377" max="5377" width="0.5546875" style="226" customWidth="1"/>
    <col min="5378" max="5517" width="0.6640625" style="226" customWidth="1"/>
    <col min="5518" max="5518" width="12.44140625" style="226" customWidth="1"/>
    <col min="5519" max="5519" width="11" style="226" customWidth="1"/>
    <col min="5520" max="5521" width="10.44140625" style="226" customWidth="1"/>
    <col min="5522" max="5632" width="8.88671875" style="226"/>
    <col min="5633" max="5633" width="0.5546875" style="226" customWidth="1"/>
    <col min="5634" max="5773" width="0.6640625" style="226" customWidth="1"/>
    <col min="5774" max="5774" width="12.44140625" style="226" customWidth="1"/>
    <col min="5775" max="5775" width="11" style="226" customWidth="1"/>
    <col min="5776" max="5777" width="10.44140625" style="226" customWidth="1"/>
    <col min="5778" max="5888" width="8.88671875" style="226"/>
    <col min="5889" max="5889" width="0.5546875" style="226" customWidth="1"/>
    <col min="5890" max="6029" width="0.6640625" style="226" customWidth="1"/>
    <col min="6030" max="6030" width="12.44140625" style="226" customWidth="1"/>
    <col min="6031" max="6031" width="11" style="226" customWidth="1"/>
    <col min="6032" max="6033" width="10.44140625" style="226" customWidth="1"/>
    <col min="6034" max="6144" width="8.88671875" style="226"/>
    <col min="6145" max="6145" width="0.5546875" style="226" customWidth="1"/>
    <col min="6146" max="6285" width="0.6640625" style="226" customWidth="1"/>
    <col min="6286" max="6286" width="12.44140625" style="226" customWidth="1"/>
    <col min="6287" max="6287" width="11" style="226" customWidth="1"/>
    <col min="6288" max="6289" width="10.44140625" style="226" customWidth="1"/>
    <col min="6290" max="6400" width="8.88671875" style="226"/>
    <col min="6401" max="6401" width="0.5546875" style="226" customWidth="1"/>
    <col min="6402" max="6541" width="0.6640625" style="226" customWidth="1"/>
    <col min="6542" max="6542" width="12.44140625" style="226" customWidth="1"/>
    <col min="6543" max="6543" width="11" style="226" customWidth="1"/>
    <col min="6544" max="6545" width="10.44140625" style="226" customWidth="1"/>
    <col min="6546" max="6656" width="8.88671875" style="226"/>
    <col min="6657" max="6657" width="0.5546875" style="226" customWidth="1"/>
    <col min="6658" max="6797" width="0.6640625" style="226" customWidth="1"/>
    <col min="6798" max="6798" width="12.44140625" style="226" customWidth="1"/>
    <col min="6799" max="6799" width="11" style="226" customWidth="1"/>
    <col min="6800" max="6801" width="10.44140625" style="226" customWidth="1"/>
    <col min="6802" max="6912" width="8.88671875" style="226"/>
    <col min="6913" max="6913" width="0.5546875" style="226" customWidth="1"/>
    <col min="6914" max="7053" width="0.6640625" style="226" customWidth="1"/>
    <col min="7054" max="7054" width="12.44140625" style="226" customWidth="1"/>
    <col min="7055" max="7055" width="11" style="226" customWidth="1"/>
    <col min="7056" max="7057" width="10.44140625" style="226" customWidth="1"/>
    <col min="7058" max="7168" width="8.88671875" style="226"/>
    <col min="7169" max="7169" width="0.5546875" style="226" customWidth="1"/>
    <col min="7170" max="7309" width="0.6640625" style="226" customWidth="1"/>
    <col min="7310" max="7310" width="12.44140625" style="226" customWidth="1"/>
    <col min="7311" max="7311" width="11" style="226" customWidth="1"/>
    <col min="7312" max="7313" width="10.44140625" style="226" customWidth="1"/>
    <col min="7314" max="7424" width="8.88671875" style="226"/>
    <col min="7425" max="7425" width="0.5546875" style="226" customWidth="1"/>
    <col min="7426" max="7565" width="0.6640625" style="226" customWidth="1"/>
    <col min="7566" max="7566" width="12.44140625" style="226" customWidth="1"/>
    <col min="7567" max="7567" width="11" style="226" customWidth="1"/>
    <col min="7568" max="7569" width="10.44140625" style="226" customWidth="1"/>
    <col min="7570" max="7680" width="8.88671875" style="226"/>
    <col min="7681" max="7681" width="0.5546875" style="226" customWidth="1"/>
    <col min="7682" max="7821" width="0.6640625" style="226" customWidth="1"/>
    <col min="7822" max="7822" width="12.44140625" style="226" customWidth="1"/>
    <col min="7823" max="7823" width="11" style="226" customWidth="1"/>
    <col min="7824" max="7825" width="10.44140625" style="226" customWidth="1"/>
    <col min="7826" max="7936" width="8.88671875" style="226"/>
    <col min="7937" max="7937" width="0.5546875" style="226" customWidth="1"/>
    <col min="7938" max="8077" width="0.6640625" style="226" customWidth="1"/>
    <col min="8078" max="8078" width="12.44140625" style="226" customWidth="1"/>
    <col min="8079" max="8079" width="11" style="226" customWidth="1"/>
    <col min="8080" max="8081" width="10.44140625" style="226" customWidth="1"/>
    <col min="8082" max="8192" width="8.88671875" style="226"/>
    <col min="8193" max="8193" width="0.5546875" style="226" customWidth="1"/>
    <col min="8194" max="8333" width="0.6640625" style="226" customWidth="1"/>
    <col min="8334" max="8334" width="12.44140625" style="226" customWidth="1"/>
    <col min="8335" max="8335" width="11" style="226" customWidth="1"/>
    <col min="8336" max="8337" width="10.44140625" style="226" customWidth="1"/>
    <col min="8338" max="8448" width="8.88671875" style="226"/>
    <col min="8449" max="8449" width="0.5546875" style="226" customWidth="1"/>
    <col min="8450" max="8589" width="0.6640625" style="226" customWidth="1"/>
    <col min="8590" max="8590" width="12.44140625" style="226" customWidth="1"/>
    <col min="8591" max="8591" width="11" style="226" customWidth="1"/>
    <col min="8592" max="8593" width="10.44140625" style="226" customWidth="1"/>
    <col min="8594" max="8704" width="8.88671875" style="226"/>
    <col min="8705" max="8705" width="0.5546875" style="226" customWidth="1"/>
    <col min="8706" max="8845" width="0.6640625" style="226" customWidth="1"/>
    <col min="8846" max="8846" width="12.44140625" style="226" customWidth="1"/>
    <col min="8847" max="8847" width="11" style="226" customWidth="1"/>
    <col min="8848" max="8849" width="10.44140625" style="226" customWidth="1"/>
    <col min="8850" max="8960" width="8.88671875" style="226"/>
    <col min="8961" max="8961" width="0.5546875" style="226" customWidth="1"/>
    <col min="8962" max="9101" width="0.6640625" style="226" customWidth="1"/>
    <col min="9102" max="9102" width="12.44140625" style="226" customWidth="1"/>
    <col min="9103" max="9103" width="11" style="226" customWidth="1"/>
    <col min="9104" max="9105" width="10.44140625" style="226" customWidth="1"/>
    <col min="9106" max="9216" width="8.88671875" style="226"/>
    <col min="9217" max="9217" width="0.5546875" style="226" customWidth="1"/>
    <col min="9218" max="9357" width="0.6640625" style="226" customWidth="1"/>
    <col min="9358" max="9358" width="12.44140625" style="226" customWidth="1"/>
    <col min="9359" max="9359" width="11" style="226" customWidth="1"/>
    <col min="9360" max="9361" width="10.44140625" style="226" customWidth="1"/>
    <col min="9362" max="9472" width="8.88671875" style="226"/>
    <col min="9473" max="9473" width="0.5546875" style="226" customWidth="1"/>
    <col min="9474" max="9613" width="0.6640625" style="226" customWidth="1"/>
    <col min="9614" max="9614" width="12.44140625" style="226" customWidth="1"/>
    <col min="9615" max="9615" width="11" style="226" customWidth="1"/>
    <col min="9616" max="9617" width="10.44140625" style="226" customWidth="1"/>
    <col min="9618" max="9728" width="8.88671875" style="226"/>
    <col min="9729" max="9729" width="0.5546875" style="226" customWidth="1"/>
    <col min="9730" max="9869" width="0.6640625" style="226" customWidth="1"/>
    <col min="9870" max="9870" width="12.44140625" style="226" customWidth="1"/>
    <col min="9871" max="9871" width="11" style="226" customWidth="1"/>
    <col min="9872" max="9873" width="10.44140625" style="226" customWidth="1"/>
    <col min="9874" max="9984" width="8.88671875" style="226"/>
    <col min="9985" max="9985" width="0.5546875" style="226" customWidth="1"/>
    <col min="9986" max="10125" width="0.6640625" style="226" customWidth="1"/>
    <col min="10126" max="10126" width="12.44140625" style="226" customWidth="1"/>
    <col min="10127" max="10127" width="11" style="226" customWidth="1"/>
    <col min="10128" max="10129" width="10.44140625" style="226" customWidth="1"/>
    <col min="10130" max="10240" width="8.88671875" style="226"/>
    <col min="10241" max="10241" width="0.5546875" style="226" customWidth="1"/>
    <col min="10242" max="10381" width="0.6640625" style="226" customWidth="1"/>
    <col min="10382" max="10382" width="12.44140625" style="226" customWidth="1"/>
    <col min="10383" max="10383" width="11" style="226" customWidth="1"/>
    <col min="10384" max="10385" width="10.44140625" style="226" customWidth="1"/>
    <col min="10386" max="10496" width="8.88671875" style="226"/>
    <col min="10497" max="10497" width="0.5546875" style="226" customWidth="1"/>
    <col min="10498" max="10637" width="0.6640625" style="226" customWidth="1"/>
    <col min="10638" max="10638" width="12.44140625" style="226" customWidth="1"/>
    <col min="10639" max="10639" width="11" style="226" customWidth="1"/>
    <col min="10640" max="10641" width="10.44140625" style="226" customWidth="1"/>
    <col min="10642" max="10752" width="8.88671875" style="226"/>
    <col min="10753" max="10753" width="0.5546875" style="226" customWidth="1"/>
    <col min="10754" max="10893" width="0.6640625" style="226" customWidth="1"/>
    <col min="10894" max="10894" width="12.44140625" style="226" customWidth="1"/>
    <col min="10895" max="10895" width="11" style="226" customWidth="1"/>
    <col min="10896" max="10897" width="10.44140625" style="226" customWidth="1"/>
    <col min="10898" max="11008" width="8.88671875" style="226"/>
    <col min="11009" max="11009" width="0.5546875" style="226" customWidth="1"/>
    <col min="11010" max="11149" width="0.6640625" style="226" customWidth="1"/>
    <col min="11150" max="11150" width="12.44140625" style="226" customWidth="1"/>
    <col min="11151" max="11151" width="11" style="226" customWidth="1"/>
    <col min="11152" max="11153" width="10.44140625" style="226" customWidth="1"/>
    <col min="11154" max="11264" width="8.88671875" style="226"/>
    <col min="11265" max="11265" width="0.5546875" style="226" customWidth="1"/>
    <col min="11266" max="11405" width="0.6640625" style="226" customWidth="1"/>
    <col min="11406" max="11406" width="12.44140625" style="226" customWidth="1"/>
    <col min="11407" max="11407" width="11" style="226" customWidth="1"/>
    <col min="11408" max="11409" width="10.44140625" style="226" customWidth="1"/>
    <col min="11410" max="11520" width="8.88671875" style="226"/>
    <col min="11521" max="11521" width="0.5546875" style="226" customWidth="1"/>
    <col min="11522" max="11661" width="0.6640625" style="226" customWidth="1"/>
    <col min="11662" max="11662" width="12.44140625" style="226" customWidth="1"/>
    <col min="11663" max="11663" width="11" style="226" customWidth="1"/>
    <col min="11664" max="11665" width="10.44140625" style="226" customWidth="1"/>
    <col min="11666" max="11776" width="8.88671875" style="226"/>
    <col min="11777" max="11777" width="0.5546875" style="226" customWidth="1"/>
    <col min="11778" max="11917" width="0.6640625" style="226" customWidth="1"/>
    <col min="11918" max="11918" width="12.44140625" style="226" customWidth="1"/>
    <col min="11919" max="11919" width="11" style="226" customWidth="1"/>
    <col min="11920" max="11921" width="10.44140625" style="226" customWidth="1"/>
    <col min="11922" max="12032" width="8.88671875" style="226"/>
    <col min="12033" max="12033" width="0.5546875" style="226" customWidth="1"/>
    <col min="12034" max="12173" width="0.6640625" style="226" customWidth="1"/>
    <col min="12174" max="12174" width="12.44140625" style="226" customWidth="1"/>
    <col min="12175" max="12175" width="11" style="226" customWidth="1"/>
    <col min="12176" max="12177" width="10.44140625" style="226" customWidth="1"/>
    <col min="12178" max="12288" width="8.88671875" style="226"/>
    <col min="12289" max="12289" width="0.5546875" style="226" customWidth="1"/>
    <col min="12290" max="12429" width="0.6640625" style="226" customWidth="1"/>
    <col min="12430" max="12430" width="12.44140625" style="226" customWidth="1"/>
    <col min="12431" max="12431" width="11" style="226" customWidth="1"/>
    <col min="12432" max="12433" width="10.44140625" style="226" customWidth="1"/>
    <col min="12434" max="12544" width="8.88671875" style="226"/>
    <col min="12545" max="12545" width="0.5546875" style="226" customWidth="1"/>
    <col min="12546" max="12685" width="0.6640625" style="226" customWidth="1"/>
    <col min="12686" max="12686" width="12.44140625" style="226" customWidth="1"/>
    <col min="12687" max="12687" width="11" style="226" customWidth="1"/>
    <col min="12688" max="12689" width="10.44140625" style="226" customWidth="1"/>
    <col min="12690" max="12800" width="8.88671875" style="226"/>
    <col min="12801" max="12801" width="0.5546875" style="226" customWidth="1"/>
    <col min="12802" max="12941" width="0.6640625" style="226" customWidth="1"/>
    <col min="12942" max="12942" width="12.44140625" style="226" customWidth="1"/>
    <col min="12943" max="12943" width="11" style="226" customWidth="1"/>
    <col min="12944" max="12945" width="10.44140625" style="226" customWidth="1"/>
    <col min="12946" max="13056" width="8.88671875" style="226"/>
    <col min="13057" max="13057" width="0.5546875" style="226" customWidth="1"/>
    <col min="13058" max="13197" width="0.6640625" style="226" customWidth="1"/>
    <col min="13198" max="13198" width="12.44140625" style="226" customWidth="1"/>
    <col min="13199" max="13199" width="11" style="226" customWidth="1"/>
    <col min="13200" max="13201" width="10.44140625" style="226" customWidth="1"/>
    <col min="13202" max="13312" width="8.88671875" style="226"/>
    <col min="13313" max="13313" width="0.5546875" style="226" customWidth="1"/>
    <col min="13314" max="13453" width="0.6640625" style="226" customWidth="1"/>
    <col min="13454" max="13454" width="12.44140625" style="226" customWidth="1"/>
    <col min="13455" max="13455" width="11" style="226" customWidth="1"/>
    <col min="13456" max="13457" width="10.44140625" style="226" customWidth="1"/>
    <col min="13458" max="13568" width="8.88671875" style="226"/>
    <col min="13569" max="13569" width="0.5546875" style="226" customWidth="1"/>
    <col min="13570" max="13709" width="0.6640625" style="226" customWidth="1"/>
    <col min="13710" max="13710" width="12.44140625" style="226" customWidth="1"/>
    <col min="13711" max="13711" width="11" style="226" customWidth="1"/>
    <col min="13712" max="13713" width="10.44140625" style="226" customWidth="1"/>
    <col min="13714" max="13824" width="8.88671875" style="226"/>
    <col min="13825" max="13825" width="0.5546875" style="226" customWidth="1"/>
    <col min="13826" max="13965" width="0.6640625" style="226" customWidth="1"/>
    <col min="13966" max="13966" width="12.44140625" style="226" customWidth="1"/>
    <col min="13967" max="13967" width="11" style="226" customWidth="1"/>
    <col min="13968" max="13969" width="10.44140625" style="226" customWidth="1"/>
    <col min="13970" max="14080" width="8.88671875" style="226"/>
    <col min="14081" max="14081" width="0.5546875" style="226" customWidth="1"/>
    <col min="14082" max="14221" width="0.6640625" style="226" customWidth="1"/>
    <col min="14222" max="14222" width="12.44140625" style="226" customWidth="1"/>
    <col min="14223" max="14223" width="11" style="226" customWidth="1"/>
    <col min="14224" max="14225" width="10.44140625" style="226" customWidth="1"/>
    <col min="14226" max="14336" width="8.88671875" style="226"/>
    <col min="14337" max="14337" width="0.5546875" style="226" customWidth="1"/>
    <col min="14338" max="14477" width="0.6640625" style="226" customWidth="1"/>
    <col min="14478" max="14478" width="12.44140625" style="226" customWidth="1"/>
    <col min="14479" max="14479" width="11" style="226" customWidth="1"/>
    <col min="14480" max="14481" width="10.44140625" style="226" customWidth="1"/>
    <col min="14482" max="14592" width="8.88671875" style="226"/>
    <col min="14593" max="14593" width="0.5546875" style="226" customWidth="1"/>
    <col min="14594" max="14733" width="0.6640625" style="226" customWidth="1"/>
    <col min="14734" max="14734" width="12.44140625" style="226" customWidth="1"/>
    <col min="14735" max="14735" width="11" style="226" customWidth="1"/>
    <col min="14736" max="14737" width="10.44140625" style="226" customWidth="1"/>
    <col min="14738" max="14848" width="8.88671875" style="226"/>
    <col min="14849" max="14849" width="0.5546875" style="226" customWidth="1"/>
    <col min="14850" max="14989" width="0.6640625" style="226" customWidth="1"/>
    <col min="14990" max="14990" width="12.44140625" style="226" customWidth="1"/>
    <col min="14991" max="14991" width="11" style="226" customWidth="1"/>
    <col min="14992" max="14993" width="10.44140625" style="226" customWidth="1"/>
    <col min="14994" max="15104" width="8.88671875" style="226"/>
    <col min="15105" max="15105" width="0.5546875" style="226" customWidth="1"/>
    <col min="15106" max="15245" width="0.6640625" style="226" customWidth="1"/>
    <col min="15246" max="15246" width="12.44140625" style="226" customWidth="1"/>
    <col min="15247" max="15247" width="11" style="226" customWidth="1"/>
    <col min="15248" max="15249" width="10.44140625" style="226" customWidth="1"/>
    <col min="15250" max="15360" width="8.88671875" style="226"/>
    <col min="15361" max="15361" width="0.5546875" style="226" customWidth="1"/>
    <col min="15362" max="15501" width="0.6640625" style="226" customWidth="1"/>
    <col min="15502" max="15502" width="12.44140625" style="226" customWidth="1"/>
    <col min="15503" max="15503" width="11" style="226" customWidth="1"/>
    <col min="15504" max="15505" width="10.44140625" style="226" customWidth="1"/>
    <col min="15506" max="15616" width="8.88671875" style="226"/>
    <col min="15617" max="15617" width="0.5546875" style="226" customWidth="1"/>
    <col min="15618" max="15757" width="0.6640625" style="226" customWidth="1"/>
    <col min="15758" max="15758" width="12.44140625" style="226" customWidth="1"/>
    <col min="15759" max="15759" width="11" style="226" customWidth="1"/>
    <col min="15760" max="15761" width="10.44140625" style="226" customWidth="1"/>
    <col min="15762" max="15872" width="8.88671875" style="226"/>
    <col min="15873" max="15873" width="0.5546875" style="226" customWidth="1"/>
    <col min="15874" max="16013" width="0.6640625" style="226" customWidth="1"/>
    <col min="16014" max="16014" width="12.44140625" style="226" customWidth="1"/>
    <col min="16015" max="16015" width="11" style="226" customWidth="1"/>
    <col min="16016" max="16017" width="10.44140625" style="226" customWidth="1"/>
    <col min="16018" max="16128" width="8.88671875" style="226"/>
    <col min="16129" max="16129" width="0.5546875" style="226" customWidth="1"/>
    <col min="16130" max="16269" width="0.6640625" style="226" customWidth="1"/>
    <col min="16270" max="16270" width="12.44140625" style="226" customWidth="1"/>
    <col min="16271" max="16271" width="11" style="226" customWidth="1"/>
    <col min="16272" max="16273" width="10.44140625" style="226" customWidth="1"/>
    <col min="16274" max="16384" width="8.88671875" style="226"/>
  </cols>
  <sheetData>
    <row r="1" spans="1:149" ht="24.95" customHeight="1">
      <c r="B1" s="1772" t="s">
        <v>764</v>
      </c>
      <c r="C1" s="1773"/>
      <c r="D1" s="1773"/>
      <c r="E1" s="1773"/>
      <c r="F1" s="1773"/>
      <c r="G1" s="1773"/>
      <c r="H1" s="1773"/>
      <c r="I1" s="1773"/>
      <c r="J1" s="1773"/>
      <c r="K1" s="1773"/>
      <c r="L1" s="1773"/>
      <c r="M1" s="1773"/>
      <c r="N1" s="1773"/>
      <c r="O1" s="1773"/>
      <c r="P1" s="1773"/>
      <c r="Q1" s="1773"/>
      <c r="R1" s="1773"/>
      <c r="S1" s="1773"/>
      <c r="T1" s="1773"/>
      <c r="U1" s="1773"/>
      <c r="V1" s="1773"/>
      <c r="W1" s="1773"/>
      <c r="X1" s="1773"/>
      <c r="Y1" s="1773"/>
      <c r="Z1" s="1773"/>
      <c r="AA1" s="1773"/>
      <c r="AB1" s="1773"/>
      <c r="AC1" s="1773"/>
      <c r="AD1" s="1773"/>
      <c r="AE1" s="1773"/>
      <c r="AF1" s="1773"/>
      <c r="AG1" s="1773"/>
      <c r="AH1" s="1773"/>
      <c r="AI1" s="1773"/>
      <c r="AJ1" s="1773"/>
      <c r="AK1" s="1773"/>
      <c r="AL1" s="1773"/>
      <c r="AM1" s="1773"/>
      <c r="AN1" s="1773"/>
      <c r="AO1" s="1773"/>
      <c r="AP1" s="1773"/>
      <c r="AQ1" s="1773"/>
      <c r="AR1" s="1773"/>
      <c r="AS1" s="1773"/>
      <c r="AT1" s="1773"/>
      <c r="AU1" s="1773"/>
      <c r="AV1" s="1773"/>
      <c r="AW1" s="1773"/>
      <c r="AX1" s="1773"/>
      <c r="AY1" s="1773"/>
      <c r="AZ1" s="1773"/>
      <c r="BA1" s="1773"/>
      <c r="BB1" s="1773"/>
      <c r="BC1" s="1773"/>
      <c r="BD1" s="1773"/>
      <c r="BE1" s="1773"/>
      <c r="BF1" s="1773"/>
      <c r="BG1" s="1773"/>
      <c r="BH1" s="1773"/>
      <c r="BI1" s="1773"/>
      <c r="BJ1" s="1773"/>
      <c r="BK1" s="1773"/>
      <c r="BL1" s="1773"/>
      <c r="BM1" s="1773"/>
      <c r="BN1" s="1773"/>
      <c r="BO1" s="1773"/>
      <c r="BP1" s="1773"/>
      <c r="BQ1" s="1773"/>
      <c r="BR1" s="1773"/>
      <c r="BS1" s="1773"/>
      <c r="BT1" s="1773"/>
      <c r="BU1" s="1773"/>
      <c r="BV1" s="1773"/>
      <c r="BW1" s="1773"/>
      <c r="BX1" s="1773"/>
      <c r="BY1" s="1773"/>
      <c r="BZ1" s="1773"/>
      <c r="CA1" s="1773"/>
      <c r="CB1" s="1773"/>
      <c r="CC1" s="1773"/>
      <c r="CD1" s="1773"/>
      <c r="CE1" s="1773"/>
      <c r="CF1" s="1773"/>
      <c r="CG1" s="1773"/>
      <c r="CH1" s="1773"/>
      <c r="CI1" s="1773"/>
      <c r="CJ1" s="1773"/>
      <c r="CK1" s="1773"/>
      <c r="CL1" s="1773"/>
      <c r="CM1" s="1773"/>
      <c r="CN1" s="1773"/>
      <c r="CO1" s="1773"/>
      <c r="CP1" s="1773"/>
      <c r="CQ1" s="1773"/>
      <c r="CR1" s="1773"/>
      <c r="CS1" s="1773"/>
      <c r="CT1" s="1773"/>
      <c r="CU1" s="1773"/>
      <c r="CV1" s="1773"/>
      <c r="CW1" s="1773"/>
      <c r="CX1" s="1773"/>
      <c r="CY1" s="1773"/>
      <c r="CZ1" s="1773"/>
      <c r="DA1" s="1773"/>
      <c r="DB1" s="1773"/>
      <c r="DC1" s="1773"/>
      <c r="DD1" s="1773"/>
      <c r="DE1" s="1773"/>
      <c r="DF1" s="1773"/>
      <c r="DG1" s="1773"/>
      <c r="DH1" s="1773"/>
      <c r="DI1" s="1773"/>
      <c r="DJ1" s="1773"/>
      <c r="DK1" s="1773"/>
      <c r="DL1" s="1773"/>
      <c r="DM1" s="1773"/>
      <c r="DN1" s="1773"/>
      <c r="DO1" s="1773"/>
      <c r="DP1" s="1773"/>
      <c r="DQ1" s="1773"/>
      <c r="DR1" s="1773"/>
      <c r="DS1" s="1773"/>
      <c r="DT1" s="1773"/>
      <c r="DU1" s="1773"/>
      <c r="DV1" s="1773"/>
      <c r="DW1" s="1773"/>
      <c r="DX1" s="1773"/>
      <c r="DY1" s="1773"/>
      <c r="DZ1" s="1773"/>
      <c r="EA1" s="1773"/>
      <c r="EB1" s="1773"/>
      <c r="EC1" s="1773"/>
      <c r="ED1" s="1773"/>
      <c r="EE1" s="1773"/>
      <c r="EF1" s="1773"/>
      <c r="EG1" s="1773"/>
      <c r="EH1" s="1773"/>
      <c r="EI1" s="1773"/>
      <c r="EJ1" s="1773"/>
      <c r="EK1" s="1773"/>
      <c r="EL1" s="1773"/>
      <c r="EM1" s="1773"/>
      <c r="EN1" s="1773"/>
      <c r="EO1" s="1773"/>
      <c r="EP1" s="1773"/>
      <c r="EQ1" s="1773"/>
    </row>
    <row r="2" spans="1:149" ht="9.9499999999999993" customHeight="1">
      <c r="B2" s="1779"/>
      <c r="C2" s="1779"/>
      <c r="D2" s="1779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79"/>
      <c r="Q2" s="1779"/>
      <c r="R2" s="1779"/>
      <c r="S2" s="1779"/>
      <c r="T2" s="1779"/>
      <c r="U2" s="1779"/>
      <c r="V2" s="1779"/>
      <c r="W2" s="1779"/>
      <c r="X2" s="1779"/>
      <c r="Y2" s="1779"/>
      <c r="Z2" s="1779"/>
      <c r="AA2" s="1779"/>
      <c r="AB2" s="1779"/>
      <c r="AC2" s="1779"/>
      <c r="AD2" s="1779"/>
      <c r="AE2" s="1779"/>
      <c r="AF2" s="1779"/>
      <c r="AG2" s="1779"/>
      <c r="AH2" s="1779"/>
      <c r="AI2" s="1779"/>
      <c r="AJ2" s="1779"/>
      <c r="AK2" s="1779"/>
      <c r="AL2" s="1779"/>
      <c r="AM2" s="1779"/>
      <c r="AN2" s="1779"/>
      <c r="AO2" s="1779"/>
      <c r="AP2" s="1779"/>
      <c r="AQ2" s="1779"/>
      <c r="AR2" s="1779"/>
      <c r="AS2" s="1779"/>
      <c r="AT2" s="1779"/>
      <c r="AU2" s="1779"/>
      <c r="AV2" s="1779"/>
      <c r="AW2" s="1779"/>
      <c r="AX2" s="1779"/>
      <c r="AY2" s="1779"/>
      <c r="AZ2" s="1779"/>
      <c r="BA2" s="1779"/>
      <c r="BB2" s="1779"/>
      <c r="BC2" s="1779"/>
      <c r="BD2" s="1779"/>
      <c r="BE2" s="1779"/>
      <c r="BF2" s="1779"/>
      <c r="BG2" s="1779"/>
      <c r="BH2" s="1779"/>
      <c r="BI2" s="1779"/>
      <c r="BJ2" s="1779"/>
      <c r="BK2" s="1779"/>
      <c r="BL2" s="1779"/>
      <c r="BM2" s="1779"/>
      <c r="BN2" s="1779"/>
      <c r="BO2" s="1779"/>
      <c r="BP2" s="1779"/>
      <c r="BQ2" s="1779"/>
      <c r="BR2" s="1779"/>
      <c r="BS2" s="1779"/>
      <c r="BT2" s="1779"/>
      <c r="BU2" s="1779"/>
      <c r="BV2" s="1779"/>
      <c r="BW2" s="1779"/>
      <c r="BX2" s="1779"/>
      <c r="BY2" s="1779"/>
      <c r="BZ2" s="1779"/>
      <c r="CA2" s="1779"/>
      <c r="CB2" s="1779"/>
      <c r="CC2" s="1779"/>
      <c r="CD2" s="1779"/>
      <c r="CE2" s="1779"/>
      <c r="CF2" s="1779"/>
      <c r="CG2" s="1779"/>
      <c r="CH2" s="1779"/>
      <c r="CI2" s="1779"/>
      <c r="CJ2" s="1779"/>
      <c r="CK2" s="1779"/>
      <c r="CL2" s="1779"/>
      <c r="CM2" s="1779"/>
      <c r="CN2" s="1779"/>
      <c r="CO2" s="1779"/>
      <c r="CP2" s="1779"/>
      <c r="CQ2" s="1779"/>
      <c r="CR2" s="1779"/>
      <c r="CS2" s="1779"/>
      <c r="CT2" s="1779"/>
      <c r="CU2" s="1779"/>
      <c r="CV2" s="1779"/>
      <c r="CW2" s="1779"/>
      <c r="CX2" s="1779"/>
      <c r="CY2" s="1779"/>
      <c r="CZ2" s="1779"/>
      <c r="DA2" s="1779"/>
      <c r="DB2" s="1779"/>
      <c r="DC2" s="1779"/>
      <c r="DD2" s="1779"/>
      <c r="DE2" s="1779"/>
      <c r="DF2" s="1779"/>
      <c r="DG2" s="1779"/>
      <c r="DH2" s="1779"/>
      <c r="DI2" s="1779"/>
      <c r="DJ2" s="1779"/>
      <c r="DK2" s="1779"/>
      <c r="DL2" s="1779"/>
      <c r="DM2" s="1779"/>
      <c r="DN2" s="1779"/>
      <c r="DO2" s="1779"/>
      <c r="DP2" s="1779"/>
      <c r="DQ2" s="1779"/>
      <c r="DR2" s="1779"/>
      <c r="DS2" s="1779"/>
      <c r="DT2" s="1779"/>
      <c r="DU2" s="1779"/>
      <c r="DV2" s="1779"/>
      <c r="DW2" s="1779"/>
      <c r="DX2" s="1779"/>
      <c r="DY2" s="1779"/>
      <c r="DZ2" s="1779"/>
      <c r="EA2" s="1779"/>
      <c r="EB2" s="1779"/>
      <c r="EC2" s="1779"/>
      <c r="ED2" s="1779"/>
      <c r="EE2" s="1779"/>
      <c r="EF2" s="1779"/>
      <c r="EG2" s="1779"/>
      <c r="EH2" s="1779"/>
      <c r="EI2" s="1779"/>
      <c r="EJ2" s="1779"/>
      <c r="EK2" s="1779"/>
      <c r="EL2" s="1779"/>
      <c r="EM2" s="1779"/>
      <c r="EN2" s="1779"/>
      <c r="EO2" s="1779"/>
      <c r="EP2" s="1779"/>
      <c r="EQ2" s="1779"/>
    </row>
    <row r="3" spans="1:149" ht="27.95" customHeight="1">
      <c r="B3" s="1777" t="s">
        <v>672</v>
      </c>
      <c r="C3" s="1778" t="s">
        <v>615</v>
      </c>
      <c r="D3" s="1778" t="s">
        <v>616</v>
      </c>
      <c r="E3" s="1778" t="s">
        <v>617</v>
      </c>
      <c r="F3" s="1778" t="s">
        <v>673</v>
      </c>
      <c r="G3" s="1778"/>
      <c r="H3" s="1778"/>
      <c r="I3" s="1778"/>
      <c r="J3" s="1778"/>
      <c r="K3" s="1778"/>
      <c r="L3" s="1778"/>
      <c r="M3" s="1778"/>
      <c r="N3" s="1778"/>
      <c r="O3" s="1778"/>
      <c r="P3" s="1778"/>
      <c r="Q3" s="1778"/>
      <c r="R3" s="1778"/>
      <c r="S3" s="1778"/>
      <c r="T3" s="1778"/>
      <c r="U3" s="1778"/>
      <c r="V3" s="1778"/>
      <c r="W3" s="1778"/>
      <c r="X3" s="1778"/>
      <c r="Y3" s="1778"/>
      <c r="Z3" s="1778"/>
      <c r="AA3" s="1778"/>
      <c r="AB3" s="1778"/>
      <c r="AC3" s="1778"/>
      <c r="AD3" s="1778"/>
      <c r="AE3" s="1778"/>
      <c r="AF3" s="1778"/>
      <c r="AG3" s="1778"/>
      <c r="AH3" s="1778"/>
      <c r="AI3" s="1778"/>
      <c r="AJ3" s="1778"/>
      <c r="AK3" s="1778"/>
      <c r="AL3" s="1778"/>
      <c r="AM3" s="1778"/>
      <c r="AN3" s="1778"/>
      <c r="AO3" s="1778"/>
      <c r="AP3" s="1778"/>
      <c r="AQ3" s="1778"/>
      <c r="AR3" s="1778"/>
      <c r="AS3" s="1778"/>
      <c r="AT3" s="1778"/>
      <c r="AU3" s="1778"/>
      <c r="AV3" s="1778"/>
      <c r="AW3" s="1778"/>
      <c r="AX3" s="1778"/>
      <c r="AY3" s="1778"/>
      <c r="AZ3" s="1778"/>
      <c r="BA3" s="1778"/>
      <c r="BB3" s="1778"/>
      <c r="BC3" s="1778"/>
      <c r="BD3" s="1778"/>
      <c r="BE3" s="1778"/>
      <c r="BF3" s="1778"/>
      <c r="BG3" s="1778"/>
      <c r="BH3" s="1778"/>
      <c r="BI3" s="1778"/>
      <c r="BJ3" s="1778"/>
      <c r="BK3" s="1778"/>
      <c r="BL3" s="1778"/>
      <c r="BM3" s="1778"/>
      <c r="BN3" s="1778"/>
      <c r="BO3" s="1778"/>
      <c r="BP3" s="1778"/>
      <c r="BQ3" s="1778"/>
      <c r="BR3" s="1778"/>
      <c r="BS3" s="1778"/>
      <c r="BT3" s="1778"/>
      <c r="BU3" s="1778"/>
      <c r="BV3" s="1778"/>
      <c r="BW3" s="1778"/>
      <c r="BX3" s="1778"/>
      <c r="BY3" s="1778"/>
      <c r="BZ3" s="1778"/>
      <c r="CA3" s="1778"/>
      <c r="CB3" s="1778"/>
      <c r="CC3" s="1778"/>
      <c r="CD3" s="1778"/>
      <c r="CE3" s="1778"/>
      <c r="CF3" s="1778"/>
      <c r="CG3" s="1778"/>
      <c r="CH3" s="1778"/>
      <c r="CI3" s="1778"/>
      <c r="CJ3" s="1778"/>
      <c r="CK3" s="1778"/>
      <c r="CL3" s="1778"/>
      <c r="CM3" s="1778"/>
      <c r="CN3" s="1778"/>
      <c r="CO3" s="1778"/>
      <c r="CP3" s="1778"/>
      <c r="CQ3" s="1778"/>
      <c r="CR3" s="1778"/>
      <c r="CS3" s="1778"/>
      <c r="CT3" s="1778"/>
      <c r="CU3" s="1778"/>
      <c r="CV3" s="1778"/>
      <c r="CW3" s="1778"/>
      <c r="CX3" s="1778"/>
      <c r="CY3" s="1778"/>
      <c r="CZ3" s="1778"/>
      <c r="DA3" s="1778"/>
      <c r="DB3" s="1778"/>
      <c r="DC3" s="1778"/>
      <c r="DD3" s="1778"/>
      <c r="DE3" s="1778"/>
      <c r="DF3" s="1778"/>
      <c r="DG3" s="1778"/>
      <c r="DH3" s="1778"/>
      <c r="DI3" s="1778"/>
      <c r="DJ3" s="1778"/>
      <c r="DK3" s="1778"/>
      <c r="DL3" s="1778"/>
      <c r="DM3" s="1778"/>
      <c r="DN3" s="1778"/>
      <c r="DO3" s="1778"/>
      <c r="DP3" s="1778"/>
      <c r="DQ3" s="1778"/>
      <c r="DR3" s="1778"/>
      <c r="DS3" s="1778"/>
      <c r="DT3" s="1778"/>
      <c r="DU3" s="1778"/>
      <c r="DV3" s="1778"/>
      <c r="DW3" s="1778"/>
      <c r="DX3" s="1778"/>
      <c r="DY3" s="1778"/>
      <c r="DZ3" s="1778"/>
      <c r="EA3" s="1778"/>
      <c r="EB3" s="1778"/>
      <c r="EC3" s="1778"/>
      <c r="ED3" s="1778"/>
      <c r="EE3" s="1778"/>
      <c r="EF3" s="1778"/>
      <c r="EG3" s="1778"/>
      <c r="EH3" s="1778"/>
      <c r="EI3" s="1778"/>
      <c r="EJ3" s="1778"/>
      <c r="EK3" s="1778"/>
      <c r="EL3" s="1778"/>
      <c r="EM3" s="251" t="s">
        <v>615</v>
      </c>
      <c r="EN3" s="251" t="s">
        <v>616</v>
      </c>
      <c r="EO3" s="251" t="s">
        <v>617</v>
      </c>
      <c r="EP3" s="251" t="s">
        <v>673</v>
      </c>
      <c r="EQ3" s="252" t="s">
        <v>753</v>
      </c>
    </row>
    <row r="4" spans="1:149" ht="11.45" customHeight="1">
      <c r="B4" s="334"/>
      <c r="C4" s="335"/>
      <c r="D4" s="335"/>
      <c r="E4" s="335"/>
      <c r="F4" s="335"/>
      <c r="G4" s="335"/>
      <c r="H4" s="335"/>
      <c r="I4" s="335"/>
      <c r="J4" s="335"/>
      <c r="K4" s="335"/>
      <c r="L4" s="298"/>
      <c r="M4" s="298"/>
      <c r="N4" s="298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335"/>
      <c r="BA4" s="335"/>
      <c r="BB4" s="335"/>
      <c r="BC4" s="335"/>
      <c r="BD4" s="335"/>
      <c r="BE4" s="335"/>
      <c r="BF4" s="335"/>
      <c r="BG4" s="335"/>
      <c r="BH4" s="335"/>
      <c r="BI4" s="335"/>
      <c r="BJ4" s="335"/>
      <c r="BK4" s="335"/>
      <c r="BL4" s="335"/>
      <c r="BM4" s="335"/>
      <c r="BN4" s="335"/>
      <c r="BO4" s="335"/>
      <c r="BP4" s="335"/>
      <c r="BQ4" s="335"/>
      <c r="BR4" s="335"/>
      <c r="BS4" s="298"/>
      <c r="BT4" s="335"/>
      <c r="BU4" s="335"/>
      <c r="BV4" s="335"/>
      <c r="BW4" s="335"/>
      <c r="BX4" s="335"/>
      <c r="BY4" s="335"/>
      <c r="BZ4" s="335"/>
      <c r="CA4" s="335"/>
      <c r="CB4" s="335"/>
      <c r="CC4" s="335"/>
      <c r="CD4" s="335"/>
      <c r="CE4" s="335"/>
      <c r="CF4" s="335"/>
      <c r="CG4" s="335"/>
      <c r="CH4" s="335"/>
      <c r="CI4" s="335"/>
      <c r="CJ4" s="335"/>
      <c r="CK4" s="335"/>
      <c r="CL4" s="335"/>
      <c r="CM4" s="335"/>
      <c r="CN4" s="335"/>
      <c r="CO4" s="335"/>
      <c r="CP4" s="335"/>
      <c r="CQ4" s="335"/>
      <c r="CR4" s="335"/>
      <c r="CS4" s="335"/>
      <c r="CT4" s="335"/>
      <c r="CU4" s="335"/>
      <c r="CV4" s="335"/>
      <c r="CW4" s="335"/>
      <c r="CX4" s="335"/>
      <c r="CY4" s="335"/>
      <c r="CZ4" s="335"/>
      <c r="DA4" s="335"/>
      <c r="DB4" s="335"/>
      <c r="DC4" s="335"/>
      <c r="DD4" s="335"/>
      <c r="DE4" s="335"/>
      <c r="DF4" s="335"/>
      <c r="DG4" s="335"/>
      <c r="DH4" s="335"/>
      <c r="DI4" s="335"/>
      <c r="DJ4" s="335"/>
      <c r="DK4" s="335"/>
      <c r="DL4" s="335"/>
      <c r="DM4" s="335"/>
      <c r="DN4" s="335"/>
      <c r="DO4" s="335"/>
      <c r="DP4" s="335"/>
      <c r="DQ4" s="335"/>
      <c r="DR4" s="335"/>
      <c r="DS4" s="335"/>
      <c r="DT4" s="335"/>
      <c r="DU4" s="335"/>
      <c r="DV4" s="335"/>
      <c r="DW4" s="335"/>
      <c r="DX4" s="335"/>
      <c r="DY4" s="335"/>
      <c r="DZ4" s="335"/>
      <c r="EA4" s="335"/>
      <c r="EB4" s="335"/>
      <c r="EC4" s="335"/>
      <c r="ED4" s="335"/>
      <c r="EE4" s="335"/>
      <c r="EF4" s="335"/>
      <c r="EG4" s="335"/>
      <c r="EH4" s="335"/>
      <c r="EI4" s="335"/>
      <c r="EJ4" s="335"/>
      <c r="EK4" s="335"/>
      <c r="EL4" s="304"/>
      <c r="EM4" s="251"/>
      <c r="EN4" s="251"/>
      <c r="EO4" s="251"/>
      <c r="EP4" s="251"/>
      <c r="EQ4" s="252"/>
    </row>
    <row r="5" spans="1:149" s="243" customFormat="1" ht="11.25" customHeight="1">
      <c r="A5" s="243">
        <v>1</v>
      </c>
      <c r="B5" s="343"/>
      <c r="C5" s="1781">
        <f>A5</f>
        <v>1</v>
      </c>
      <c r="D5" s="1781"/>
      <c r="E5" s="344" t="s">
        <v>877</v>
      </c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  <c r="BD5" s="240"/>
      <c r="BE5" s="240"/>
      <c r="BF5" s="240"/>
      <c r="BG5" s="240"/>
      <c r="BH5" s="240"/>
      <c r="BI5" s="240"/>
      <c r="BJ5" s="240"/>
      <c r="BK5" s="240"/>
      <c r="BL5" s="240"/>
      <c r="BM5" s="240"/>
      <c r="BN5" s="240"/>
      <c r="BO5" s="240"/>
      <c r="BP5" s="240"/>
      <c r="BQ5" s="240"/>
      <c r="BR5" s="240"/>
      <c r="BS5" s="240"/>
      <c r="BT5" s="240"/>
      <c r="BU5" s="240"/>
      <c r="BV5" s="240"/>
      <c r="BW5" s="240"/>
      <c r="BX5" s="240"/>
      <c r="BY5" s="240"/>
      <c r="BZ5" s="240"/>
      <c r="CA5" s="240"/>
      <c r="CB5" s="240"/>
      <c r="CC5" s="240"/>
      <c r="CD5" s="240"/>
      <c r="CE5" s="240"/>
      <c r="CF5" s="240"/>
      <c r="CG5" s="240"/>
      <c r="CH5" s="240"/>
      <c r="CI5" s="240"/>
      <c r="CJ5" s="240"/>
      <c r="CK5" s="240"/>
      <c r="CL5" s="240"/>
      <c r="CM5" s="240"/>
      <c r="CN5" s="240"/>
      <c r="CO5" s="240"/>
      <c r="CP5" s="240"/>
      <c r="CQ5" s="240"/>
      <c r="CR5" s="240"/>
      <c r="CS5" s="240"/>
      <c r="CT5" s="240"/>
      <c r="CU5" s="240"/>
      <c r="CV5" s="240"/>
      <c r="CW5" s="240"/>
      <c r="CX5" s="240"/>
      <c r="CY5" s="240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241"/>
      <c r="DS5" s="241"/>
      <c r="DT5" s="241"/>
      <c r="DU5" s="241"/>
      <c r="DV5" s="241"/>
      <c r="DW5" s="241"/>
      <c r="DX5" s="241"/>
      <c r="DY5" s="241"/>
      <c r="DZ5" s="241"/>
      <c r="EA5" s="241"/>
      <c r="EB5" s="241"/>
      <c r="EC5" s="241"/>
      <c r="ED5" s="241"/>
      <c r="EE5" s="241"/>
      <c r="EF5" s="241"/>
      <c r="EG5" s="241"/>
      <c r="EH5" s="241"/>
      <c r="EI5" s="241"/>
      <c r="EJ5" s="241"/>
      <c r="EK5" s="241"/>
      <c r="EL5" s="345"/>
      <c r="EM5" s="242">
        <f>EM18</f>
        <v>40837</v>
      </c>
      <c r="EN5" s="242" t="str">
        <f>EN18</f>
        <v>40,837</v>
      </c>
      <c r="EO5" s="245">
        <f>EO18</f>
        <v>0</v>
      </c>
      <c r="EP5" s="245">
        <f>EP18</f>
        <v>0</v>
      </c>
      <c r="EQ5" s="312" t="s">
        <v>903</v>
      </c>
      <c r="ES5" s="800">
        <f>A5</f>
        <v>1</v>
      </c>
    </row>
    <row r="6" spans="1:149" s="243" customFormat="1" ht="11.25" customHeight="1">
      <c r="B6" s="343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  <c r="BT6" s="240"/>
      <c r="BU6" s="240"/>
      <c r="BV6" s="240"/>
      <c r="BW6" s="240"/>
      <c r="BX6" s="240"/>
      <c r="BY6" s="240"/>
      <c r="BZ6" s="240"/>
      <c r="CA6" s="240"/>
      <c r="CB6" s="240"/>
      <c r="CC6" s="240"/>
      <c r="CD6" s="240"/>
      <c r="CE6" s="240"/>
      <c r="CF6" s="240"/>
      <c r="CG6" s="240"/>
      <c r="CH6" s="240"/>
      <c r="CI6" s="240"/>
      <c r="CJ6" s="240"/>
      <c r="CK6" s="240"/>
      <c r="CL6" s="240"/>
      <c r="CM6" s="240"/>
      <c r="CN6" s="240"/>
      <c r="CO6" s="240"/>
      <c r="CP6" s="240"/>
      <c r="CQ6" s="240"/>
      <c r="CR6" s="240"/>
      <c r="CS6" s="240"/>
      <c r="CT6" s="240"/>
      <c r="CU6" s="240"/>
      <c r="CV6" s="240"/>
      <c r="CW6" s="240"/>
      <c r="CX6" s="240"/>
      <c r="CY6" s="240"/>
      <c r="CZ6" s="241"/>
      <c r="DA6" s="241"/>
      <c r="DB6" s="241"/>
      <c r="DC6" s="241"/>
      <c r="DD6" s="241"/>
      <c r="DE6" s="241"/>
      <c r="DF6" s="241"/>
      <c r="DG6" s="241"/>
      <c r="DH6" s="241"/>
      <c r="DI6" s="241"/>
      <c r="DJ6" s="241"/>
      <c r="DK6" s="241"/>
      <c r="DL6" s="241"/>
      <c r="DM6" s="241"/>
      <c r="DN6" s="241"/>
      <c r="DO6" s="241"/>
      <c r="DP6" s="241"/>
      <c r="DQ6" s="241"/>
      <c r="DR6" s="241"/>
      <c r="DS6" s="241"/>
      <c r="DT6" s="241"/>
      <c r="DU6" s="241"/>
      <c r="DV6" s="241"/>
      <c r="DW6" s="241"/>
      <c r="DX6" s="241"/>
      <c r="DY6" s="241"/>
      <c r="DZ6" s="241"/>
      <c r="EA6" s="241"/>
      <c r="EB6" s="241"/>
      <c r="EC6" s="241"/>
      <c r="ED6" s="241"/>
      <c r="EE6" s="241"/>
      <c r="EF6" s="241"/>
      <c r="EG6" s="241"/>
      <c r="EH6" s="241"/>
      <c r="EI6" s="241"/>
      <c r="EJ6" s="241"/>
      <c r="EK6" s="241"/>
      <c r="EL6" s="345"/>
      <c r="EM6" s="245"/>
      <c r="EN6" s="245"/>
      <c r="EO6" s="245"/>
      <c r="EP6" s="245"/>
      <c r="EQ6" s="351"/>
    </row>
    <row r="7" spans="1:149" s="243" customFormat="1" ht="11.25" customHeight="1">
      <c r="B7" s="343"/>
      <c r="C7" s="240"/>
      <c r="D7" s="240"/>
      <c r="E7" s="240" t="s">
        <v>674</v>
      </c>
      <c r="F7" s="240"/>
      <c r="G7" s="240"/>
      <c r="H7" s="240" t="s">
        <v>102</v>
      </c>
      <c r="I7" s="240"/>
      <c r="J7" s="240"/>
      <c r="K7" s="240" t="s">
        <v>820</v>
      </c>
      <c r="L7" s="240"/>
      <c r="M7" s="240"/>
      <c r="N7" s="240" t="s">
        <v>821</v>
      </c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  <c r="BA7" s="240"/>
      <c r="BB7" s="240"/>
      <c r="BC7" s="240"/>
      <c r="BD7" s="240"/>
      <c r="BE7" s="240"/>
      <c r="BF7" s="240"/>
      <c r="BG7" s="240"/>
      <c r="BH7" s="240"/>
      <c r="BI7" s="240"/>
      <c r="BJ7" s="240"/>
      <c r="BK7" s="240"/>
      <c r="BL7" s="240"/>
      <c r="BM7" s="240"/>
      <c r="BN7" s="240"/>
      <c r="BO7" s="240"/>
      <c r="BP7" s="240"/>
      <c r="BQ7" s="240"/>
      <c r="BR7" s="240"/>
      <c r="BS7" s="240"/>
      <c r="BT7" s="240"/>
      <c r="BU7" s="240"/>
      <c r="BV7" s="240"/>
      <c r="BW7" s="240"/>
      <c r="BX7" s="240"/>
      <c r="BY7" s="240"/>
      <c r="BZ7" s="240"/>
      <c r="CA7" s="240"/>
      <c r="CB7" s="240"/>
      <c r="CC7" s="240"/>
      <c r="CD7" s="240"/>
      <c r="CE7" s="240"/>
      <c r="CF7" s="240"/>
      <c r="CG7" s="240"/>
      <c r="CH7" s="240"/>
      <c r="CI7" s="240"/>
      <c r="CJ7" s="240"/>
      <c r="CK7" s="240"/>
      <c r="CL7" s="240"/>
      <c r="CM7" s="240"/>
      <c r="CN7" s="240"/>
      <c r="CO7" s="240"/>
      <c r="CP7" s="240"/>
      <c r="CQ7" s="240"/>
      <c r="CR7" s="240"/>
      <c r="CS7" s="240"/>
      <c r="CT7" s="240"/>
      <c r="CU7" s="240"/>
      <c r="CV7" s="240"/>
      <c r="CW7" s="240"/>
      <c r="CX7" s="240"/>
      <c r="CY7" s="240"/>
      <c r="CZ7" s="241"/>
      <c r="DA7" s="241"/>
      <c r="DB7" s="241"/>
      <c r="DC7" s="241"/>
      <c r="DD7" s="241"/>
      <c r="DE7" s="241"/>
      <c r="DF7" s="241"/>
      <c r="DG7" s="241"/>
      <c r="DH7" s="241"/>
      <c r="DI7" s="241"/>
      <c r="DJ7" s="241"/>
      <c r="DK7" s="241"/>
      <c r="DL7" s="241"/>
      <c r="DM7" s="241"/>
      <c r="DN7" s="241"/>
      <c r="DO7" s="241"/>
      <c r="DP7" s="241"/>
      <c r="DQ7" s="241"/>
      <c r="DR7" s="241"/>
      <c r="DS7" s="241"/>
      <c r="DT7" s="241"/>
      <c r="DU7" s="241"/>
      <c r="DV7" s="241"/>
      <c r="DW7" s="241"/>
      <c r="DX7" s="241"/>
      <c r="DY7" s="241"/>
      <c r="DZ7" s="241"/>
      <c r="EA7" s="241"/>
      <c r="EB7" s="241"/>
      <c r="EC7" s="241"/>
      <c r="ED7" s="241"/>
      <c r="EE7" s="241"/>
      <c r="EF7" s="241"/>
      <c r="EG7" s="241"/>
      <c r="EH7" s="241"/>
      <c r="EI7" s="241"/>
      <c r="EJ7" s="241"/>
      <c r="EK7" s="241"/>
      <c r="EL7" s="345"/>
      <c r="EM7" s="245"/>
      <c r="EN7" s="245"/>
      <c r="EO7" s="245"/>
      <c r="EP7" s="245"/>
      <c r="EQ7" s="351"/>
    </row>
    <row r="8" spans="1:149" s="243" customFormat="1" ht="11.25" customHeight="1">
      <c r="B8" s="343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  <c r="BA8" s="240"/>
      <c r="BB8" s="240"/>
      <c r="BC8" s="240"/>
      <c r="BD8" s="240"/>
      <c r="BE8" s="240"/>
      <c r="BF8" s="240"/>
      <c r="BG8" s="240"/>
      <c r="BH8" s="240"/>
      <c r="BI8" s="240"/>
      <c r="BJ8" s="240"/>
      <c r="BK8" s="240"/>
      <c r="BL8" s="240"/>
      <c r="BM8" s="240"/>
      <c r="BN8" s="240"/>
      <c r="BO8" s="240"/>
      <c r="BP8" s="240"/>
      <c r="BQ8" s="240"/>
      <c r="BR8" s="240"/>
      <c r="BS8" s="240"/>
      <c r="BT8" s="240"/>
      <c r="BU8" s="240"/>
      <c r="BV8" s="240"/>
      <c r="BW8" s="240"/>
      <c r="BX8" s="240"/>
      <c r="BY8" s="240"/>
      <c r="BZ8" s="240"/>
      <c r="CA8" s="240"/>
      <c r="CB8" s="240"/>
      <c r="CC8" s="240"/>
      <c r="CD8" s="240"/>
      <c r="CE8" s="240"/>
      <c r="CF8" s="240"/>
      <c r="CG8" s="240"/>
      <c r="CH8" s="240"/>
      <c r="CI8" s="240"/>
      <c r="CJ8" s="240"/>
      <c r="CK8" s="240"/>
      <c r="CL8" s="240"/>
      <c r="CM8" s="240"/>
      <c r="CN8" s="240"/>
      <c r="CO8" s="240"/>
      <c r="CP8" s="240"/>
      <c r="CQ8" s="240"/>
      <c r="CR8" s="240"/>
      <c r="CS8" s="240"/>
      <c r="CT8" s="240"/>
      <c r="CU8" s="240"/>
      <c r="CV8" s="240"/>
      <c r="CW8" s="240"/>
      <c r="CX8" s="240"/>
      <c r="CY8" s="240"/>
      <c r="CZ8" s="241"/>
      <c r="DA8" s="241"/>
      <c r="DB8" s="241"/>
      <c r="DC8" s="241"/>
      <c r="DD8" s="241"/>
      <c r="DE8" s="241"/>
      <c r="DF8" s="241"/>
      <c r="DG8" s="241"/>
      <c r="DH8" s="241"/>
      <c r="DI8" s="241"/>
      <c r="DJ8" s="241"/>
      <c r="DK8" s="241"/>
      <c r="DL8" s="241"/>
      <c r="DM8" s="241"/>
      <c r="DN8" s="241"/>
      <c r="DO8" s="241"/>
      <c r="DP8" s="241"/>
      <c r="DQ8" s="241"/>
      <c r="DR8" s="241"/>
      <c r="DS8" s="241"/>
      <c r="DT8" s="241"/>
      <c r="DU8" s="241"/>
      <c r="DV8" s="241"/>
      <c r="DW8" s="241"/>
      <c r="DX8" s="241"/>
      <c r="DY8" s="241"/>
      <c r="DZ8" s="241"/>
      <c r="EA8" s="241"/>
      <c r="EB8" s="241"/>
      <c r="EC8" s="241"/>
      <c r="ED8" s="241"/>
      <c r="EE8" s="241"/>
      <c r="EF8" s="241"/>
      <c r="EG8" s="241"/>
      <c r="EH8" s="241"/>
      <c r="EI8" s="241"/>
      <c r="EJ8" s="241"/>
      <c r="EK8" s="241"/>
      <c r="EL8" s="345"/>
      <c r="EM8" s="245"/>
      <c r="EN8" s="245"/>
      <c r="EO8" s="245"/>
      <c r="EP8" s="245"/>
      <c r="EQ8" s="351"/>
    </row>
    <row r="9" spans="1:149" s="243" customFormat="1" ht="11.25" customHeight="1">
      <c r="B9" s="343"/>
      <c r="C9" s="240"/>
      <c r="D9" s="240"/>
      <c r="E9" s="240"/>
      <c r="F9" s="240"/>
      <c r="G9" s="240"/>
      <c r="H9" s="240" t="s">
        <v>147</v>
      </c>
      <c r="I9" s="240" t="s">
        <v>822</v>
      </c>
      <c r="J9" s="240"/>
      <c r="K9" s="240"/>
      <c r="L9" s="240"/>
      <c r="M9" s="240"/>
      <c r="N9" s="240"/>
      <c r="O9" s="240" t="s">
        <v>823</v>
      </c>
      <c r="P9" s="240"/>
      <c r="Q9" s="240"/>
      <c r="R9" s="240"/>
      <c r="S9" s="240"/>
      <c r="T9" s="240"/>
      <c r="U9" s="240"/>
      <c r="V9" s="240" t="s">
        <v>824</v>
      </c>
      <c r="W9" s="240"/>
      <c r="X9" s="240"/>
      <c r="Y9" s="240"/>
      <c r="Z9" s="240"/>
      <c r="AA9" s="240"/>
      <c r="AB9" s="240"/>
      <c r="AC9" s="240" t="s">
        <v>148</v>
      </c>
      <c r="AD9" s="240" t="s">
        <v>825</v>
      </c>
      <c r="AE9" s="240"/>
      <c r="AF9" s="240"/>
      <c r="AG9" s="240" t="s">
        <v>826</v>
      </c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  <c r="CK9" s="240"/>
      <c r="CL9" s="240"/>
      <c r="CM9" s="240"/>
      <c r="CN9" s="240"/>
      <c r="CO9" s="240"/>
      <c r="CP9" s="240"/>
      <c r="CQ9" s="240"/>
      <c r="CR9" s="240"/>
      <c r="CS9" s="240"/>
      <c r="CT9" s="240"/>
      <c r="CU9" s="240"/>
      <c r="CV9" s="240"/>
      <c r="CW9" s="240"/>
      <c r="CX9" s="240"/>
      <c r="CY9" s="240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345"/>
      <c r="EM9" s="245"/>
      <c r="EN9" s="245"/>
      <c r="EO9" s="245"/>
      <c r="EP9" s="245"/>
      <c r="EQ9" s="351"/>
    </row>
    <row r="10" spans="1:149" s="243" customFormat="1" ht="11.25" customHeight="1">
      <c r="B10" s="343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345"/>
      <c r="EM10" s="245"/>
      <c r="EN10" s="245"/>
      <c r="EO10" s="245"/>
      <c r="EP10" s="245"/>
      <c r="EQ10" s="351"/>
    </row>
    <row r="11" spans="1:149" s="243" customFormat="1" ht="11.25" customHeight="1">
      <c r="B11" s="343"/>
      <c r="C11" s="240"/>
      <c r="D11" s="240"/>
      <c r="E11" s="240"/>
      <c r="F11" s="240"/>
      <c r="G11" s="240"/>
      <c r="H11" s="240" t="s">
        <v>103</v>
      </c>
      <c r="I11" s="240"/>
      <c r="J11" s="240"/>
      <c r="K11" s="240"/>
      <c r="L11" s="240"/>
      <c r="M11" s="240"/>
      <c r="N11" s="240" t="s">
        <v>132</v>
      </c>
      <c r="O11" s="240"/>
      <c r="P11" s="1774">
        <f>VLOOKUP($H11,노임단가!$A:$B,2,FALSE)</f>
        <v>157068</v>
      </c>
      <c r="Q11" s="1774"/>
      <c r="R11" s="1774"/>
      <c r="S11" s="1774"/>
      <c r="T11" s="1774"/>
      <c r="U11" s="1774"/>
      <c r="V11" s="240" t="s">
        <v>652</v>
      </c>
      <c r="W11" s="240"/>
      <c r="X11" s="240" t="s">
        <v>147</v>
      </c>
      <c r="Y11" s="240" t="str">
        <f>TEXT(0.2,"#,##0.#######")</f>
        <v>0.2</v>
      </c>
      <c r="Z11" s="240"/>
      <c r="AA11" s="240"/>
      <c r="AB11" s="240" t="s">
        <v>130</v>
      </c>
      <c r="AC11" s="240" t="str">
        <f>TEXT(0.26,"#,##0.#######")</f>
        <v>0.26</v>
      </c>
      <c r="AD11" s="240"/>
      <c r="AE11" s="240"/>
      <c r="AF11" s="240"/>
      <c r="AG11" s="240" t="s">
        <v>130</v>
      </c>
      <c r="AH11" s="240" t="str">
        <f>TEXT(0.32,"#,##0.#######")</f>
        <v>0.32</v>
      </c>
      <c r="AI11" s="240"/>
      <c r="AJ11" s="240"/>
      <c r="AK11" s="240"/>
      <c r="AL11" s="240" t="s">
        <v>148</v>
      </c>
      <c r="AM11" s="240" t="s">
        <v>139</v>
      </c>
      <c r="AN11" s="240" t="str">
        <f>TEXT(3,"#,##0.#######")</f>
        <v>3.</v>
      </c>
      <c r="AO11" s="240" t="s">
        <v>102</v>
      </c>
      <c r="AP11" s="240"/>
      <c r="AQ11" s="240"/>
      <c r="AR11" s="240" t="s">
        <v>134</v>
      </c>
      <c r="AS11" s="240"/>
      <c r="AT11" s="240" t="str">
        <f>TEXT(TRUNC(P11*(Y11+AC11+AH11)/AN11,1),"#,##0.#")</f>
        <v>40,837.6</v>
      </c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345"/>
      <c r="EM11" s="245">
        <f>EN11+EO11+EP11</f>
        <v>40837.599999999999</v>
      </c>
      <c r="EN11" s="245" t="str">
        <f>AT11</f>
        <v>40,837.6</v>
      </c>
      <c r="EO11" s="245"/>
      <c r="EP11" s="245"/>
      <c r="EQ11" s="351"/>
    </row>
    <row r="12" spans="1:149" s="243" customFormat="1" ht="11.25" customHeight="1">
      <c r="B12" s="343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345"/>
      <c r="EM12" s="245"/>
      <c r="EN12" s="245"/>
      <c r="EO12" s="245"/>
      <c r="EP12" s="245"/>
      <c r="EQ12" s="351"/>
    </row>
    <row r="13" spans="1:149" s="243" customFormat="1" ht="11.25" customHeight="1">
      <c r="B13" s="343"/>
      <c r="C13" s="240"/>
      <c r="D13" s="240"/>
      <c r="E13" s="240" t="s">
        <v>675</v>
      </c>
      <c r="F13" s="240"/>
      <c r="G13" s="240"/>
      <c r="H13" s="240" t="s">
        <v>678</v>
      </c>
      <c r="I13" s="240"/>
      <c r="J13" s="240"/>
      <c r="K13" s="240" t="s">
        <v>96</v>
      </c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345"/>
      <c r="EM13" s="245"/>
      <c r="EN13" s="245"/>
      <c r="EO13" s="245"/>
      <c r="EP13" s="245"/>
      <c r="EQ13" s="351"/>
    </row>
    <row r="14" spans="1:149" s="243" customFormat="1" ht="11.25" customHeight="1">
      <c r="B14" s="343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345"/>
      <c r="EM14" s="245"/>
      <c r="EN14" s="245"/>
      <c r="EO14" s="245"/>
      <c r="EP14" s="245"/>
      <c r="EQ14" s="351"/>
    </row>
    <row r="15" spans="1:149" s="243" customFormat="1" ht="11.25" customHeight="1">
      <c r="B15" s="343"/>
      <c r="C15" s="240"/>
      <c r="D15" s="240"/>
      <c r="E15" s="240"/>
      <c r="F15" s="240"/>
      <c r="G15" s="240"/>
      <c r="H15" s="240"/>
      <c r="I15" s="240"/>
      <c r="J15" s="240" t="s">
        <v>616</v>
      </c>
      <c r="K15" s="240"/>
      <c r="L15" s="240"/>
      <c r="M15" s="240"/>
      <c r="N15" s="240"/>
      <c r="O15" s="240" t="s">
        <v>132</v>
      </c>
      <c r="P15" s="240"/>
      <c r="Q15" s="240" t="str">
        <f>TEXT(TRUNC(EN11,0),"#,##0")</f>
        <v>40,837</v>
      </c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345"/>
      <c r="EM15" s="245"/>
      <c r="EN15" s="245"/>
      <c r="EO15" s="245"/>
      <c r="EP15" s="245"/>
      <c r="EQ15" s="351"/>
    </row>
    <row r="16" spans="1:149" s="243" customFormat="1" ht="11.25" customHeight="1">
      <c r="B16" s="343"/>
      <c r="C16" s="240"/>
      <c r="D16" s="240"/>
      <c r="E16" s="240"/>
      <c r="F16" s="240"/>
      <c r="G16" s="240"/>
      <c r="H16" s="240"/>
      <c r="I16" s="240"/>
      <c r="J16" s="240" t="s">
        <v>617</v>
      </c>
      <c r="K16" s="240"/>
      <c r="L16" s="240"/>
      <c r="M16" s="240"/>
      <c r="N16" s="240"/>
      <c r="O16" s="240" t="s">
        <v>132</v>
      </c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345"/>
      <c r="EM16" s="245"/>
      <c r="EN16" s="245"/>
      <c r="EO16" s="245"/>
      <c r="EP16" s="245"/>
      <c r="EQ16" s="351"/>
    </row>
    <row r="17" spans="1:167" s="243" customFormat="1" ht="11.25" customHeight="1">
      <c r="B17" s="343"/>
      <c r="C17" s="240"/>
      <c r="D17" s="240"/>
      <c r="E17" s="240"/>
      <c r="F17" s="240"/>
      <c r="G17" s="240"/>
      <c r="H17" s="240"/>
      <c r="I17" s="240"/>
      <c r="J17" s="240" t="s">
        <v>679</v>
      </c>
      <c r="K17" s="240"/>
      <c r="L17" s="240" t="s">
        <v>680</v>
      </c>
      <c r="M17" s="240"/>
      <c r="N17" s="240"/>
      <c r="O17" s="240" t="s">
        <v>132</v>
      </c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345"/>
      <c r="EM17" s="245"/>
      <c r="EN17" s="245"/>
      <c r="EO17" s="245"/>
      <c r="EP17" s="245"/>
      <c r="EQ17" s="351"/>
    </row>
    <row r="18" spans="1:167" s="243" customFormat="1" ht="11.25" customHeight="1">
      <c r="B18" s="343"/>
      <c r="C18" s="240"/>
      <c r="D18" s="240"/>
      <c r="E18" s="240"/>
      <c r="F18" s="240"/>
      <c r="G18" s="240"/>
      <c r="H18" s="240"/>
      <c r="I18" s="240"/>
      <c r="J18" s="240" t="s">
        <v>96</v>
      </c>
      <c r="K18" s="240"/>
      <c r="L18" s="240"/>
      <c r="M18" s="240"/>
      <c r="N18" s="240"/>
      <c r="O18" s="240" t="s">
        <v>132</v>
      </c>
      <c r="P18" s="240"/>
      <c r="Q18" s="240" t="str">
        <f>TEXT(Q15,"#,##0")</f>
        <v>40,837</v>
      </c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345"/>
      <c r="EM18" s="250">
        <f>EN18+EO18+EP18</f>
        <v>40837</v>
      </c>
      <c r="EN18" s="245" t="str">
        <f>TEXT(Q15,"#,##0")</f>
        <v>40,837</v>
      </c>
      <c r="EO18" s="245"/>
      <c r="EP18" s="245"/>
      <c r="EQ18" s="351"/>
    </row>
    <row r="19" spans="1:167" ht="11.25" customHeight="1">
      <c r="B19" s="337"/>
      <c r="C19" s="338"/>
      <c r="D19" s="338"/>
      <c r="E19" s="338"/>
      <c r="F19" s="338"/>
      <c r="G19" s="338"/>
      <c r="H19" s="338"/>
      <c r="I19" s="338"/>
      <c r="J19" s="338"/>
      <c r="K19" s="338"/>
      <c r="L19" s="339"/>
      <c r="M19" s="339"/>
      <c r="N19" s="339"/>
      <c r="O19" s="338"/>
      <c r="P19" s="338"/>
      <c r="Q19" s="338"/>
      <c r="R19" s="338"/>
      <c r="S19" s="338"/>
      <c r="T19" s="338"/>
      <c r="U19" s="338"/>
      <c r="V19" s="338"/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9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  <c r="CK19" s="338"/>
      <c r="CL19" s="338"/>
      <c r="CM19" s="338"/>
      <c r="CN19" s="338"/>
      <c r="CO19" s="338"/>
      <c r="CP19" s="338"/>
      <c r="CQ19" s="338"/>
      <c r="CR19" s="338"/>
      <c r="CS19" s="338"/>
      <c r="CT19" s="338"/>
      <c r="CU19" s="338"/>
      <c r="CV19" s="338"/>
      <c r="CW19" s="338"/>
      <c r="CX19" s="338"/>
      <c r="CY19" s="338"/>
      <c r="CZ19" s="338"/>
      <c r="DA19" s="338"/>
      <c r="DB19" s="338"/>
      <c r="DC19" s="338"/>
      <c r="DD19" s="338"/>
      <c r="DE19" s="338"/>
      <c r="DF19" s="338"/>
      <c r="DG19" s="338"/>
      <c r="DH19" s="338"/>
      <c r="DI19" s="338"/>
      <c r="DJ19" s="338"/>
      <c r="DK19" s="338"/>
      <c r="DL19" s="338"/>
      <c r="DM19" s="338"/>
      <c r="DN19" s="338"/>
      <c r="DO19" s="338"/>
      <c r="DP19" s="338"/>
      <c r="DQ19" s="338"/>
      <c r="DR19" s="338"/>
      <c r="DS19" s="338"/>
      <c r="DT19" s="338"/>
      <c r="DU19" s="338"/>
      <c r="DV19" s="338"/>
      <c r="DW19" s="338"/>
      <c r="DX19" s="338"/>
      <c r="DY19" s="338"/>
      <c r="DZ19" s="338"/>
      <c r="EA19" s="338"/>
      <c r="EB19" s="338"/>
      <c r="EC19" s="338"/>
      <c r="ED19" s="338"/>
      <c r="EE19" s="338"/>
      <c r="EF19" s="338"/>
      <c r="EG19" s="338"/>
      <c r="EH19" s="338"/>
      <c r="EI19" s="338"/>
      <c r="EJ19" s="338"/>
      <c r="EK19" s="338"/>
      <c r="EL19" s="340"/>
      <c r="EM19" s="341"/>
      <c r="EN19" s="341"/>
      <c r="EO19" s="341"/>
      <c r="EP19" s="341"/>
      <c r="EQ19" s="342"/>
    </row>
    <row r="20" spans="1:167" ht="11.45" customHeight="1">
      <c r="B20" s="337"/>
      <c r="C20" s="338"/>
      <c r="D20" s="338"/>
      <c r="E20" s="338"/>
      <c r="F20" s="338"/>
      <c r="G20" s="338"/>
      <c r="H20" s="338"/>
      <c r="I20" s="338"/>
      <c r="J20" s="338"/>
      <c r="K20" s="338"/>
      <c r="L20" s="339"/>
      <c r="M20" s="339"/>
      <c r="N20" s="339"/>
      <c r="O20" s="338"/>
      <c r="P20" s="338"/>
      <c r="Q20" s="338"/>
      <c r="R20" s="338"/>
      <c r="S20" s="338"/>
      <c r="T20" s="338"/>
      <c r="U20" s="338"/>
      <c r="V20" s="338"/>
      <c r="W20" s="338"/>
      <c r="X20" s="338"/>
      <c r="Y20" s="338"/>
      <c r="Z20" s="338"/>
      <c r="AA20" s="338"/>
      <c r="AB20" s="338"/>
      <c r="AC20" s="338"/>
      <c r="AD20" s="33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9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  <c r="CK20" s="338"/>
      <c r="CL20" s="338"/>
      <c r="CM20" s="338"/>
      <c r="CN20" s="338"/>
      <c r="CO20" s="338"/>
      <c r="CP20" s="338"/>
      <c r="CQ20" s="338"/>
      <c r="CR20" s="338"/>
      <c r="CS20" s="338"/>
      <c r="CT20" s="338"/>
      <c r="CU20" s="338"/>
      <c r="CV20" s="338"/>
      <c r="CW20" s="338"/>
      <c r="CX20" s="338"/>
      <c r="CY20" s="338"/>
      <c r="CZ20" s="338"/>
      <c r="DA20" s="338"/>
      <c r="DB20" s="338"/>
      <c r="DC20" s="338"/>
      <c r="DD20" s="338"/>
      <c r="DE20" s="338"/>
      <c r="DF20" s="338"/>
      <c r="DG20" s="338"/>
      <c r="DH20" s="338"/>
      <c r="DI20" s="338"/>
      <c r="DJ20" s="338"/>
      <c r="DK20" s="338"/>
      <c r="DL20" s="338"/>
      <c r="DM20" s="338"/>
      <c r="DN20" s="338"/>
      <c r="DO20" s="338"/>
      <c r="DP20" s="338"/>
      <c r="DQ20" s="338"/>
      <c r="DR20" s="338"/>
      <c r="DS20" s="338"/>
      <c r="DT20" s="338"/>
      <c r="DU20" s="338"/>
      <c r="DV20" s="338"/>
      <c r="DW20" s="338"/>
      <c r="DX20" s="338"/>
      <c r="DY20" s="338"/>
      <c r="DZ20" s="338"/>
      <c r="EA20" s="338"/>
      <c r="EB20" s="338"/>
      <c r="EC20" s="338"/>
      <c r="ED20" s="338"/>
      <c r="EE20" s="338"/>
      <c r="EF20" s="338"/>
      <c r="EG20" s="338"/>
      <c r="EH20" s="338"/>
      <c r="EI20" s="338"/>
      <c r="EJ20" s="338"/>
      <c r="EK20" s="338"/>
      <c r="EL20" s="340"/>
      <c r="EM20" s="341"/>
      <c r="EN20" s="341"/>
      <c r="EO20" s="341"/>
      <c r="EP20" s="341"/>
      <c r="EQ20" s="342"/>
    </row>
    <row r="21" spans="1:167" ht="11.45" customHeight="1">
      <c r="B21" s="337"/>
      <c r="C21" s="338"/>
      <c r="D21" s="338"/>
      <c r="E21" s="338"/>
      <c r="F21" s="338"/>
      <c r="G21" s="338"/>
      <c r="H21" s="338"/>
      <c r="I21" s="338"/>
      <c r="J21" s="338"/>
      <c r="K21" s="338"/>
      <c r="L21" s="339"/>
      <c r="M21" s="339"/>
      <c r="N21" s="339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9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40"/>
      <c r="EM21" s="341"/>
      <c r="EN21" s="341"/>
      <c r="EO21" s="341"/>
      <c r="EP21" s="341"/>
      <c r="EQ21" s="342"/>
    </row>
    <row r="22" spans="1:167" s="243" customFormat="1" ht="11.25" customHeight="1">
      <c r="A22" s="243">
        <v>2</v>
      </c>
      <c r="B22" s="343"/>
      <c r="C22" s="1781">
        <f>A22</f>
        <v>2</v>
      </c>
      <c r="D22" s="1781"/>
      <c r="E22" s="344" t="s">
        <v>878</v>
      </c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345"/>
      <c r="EM22" s="242" t="e">
        <f>EM44</f>
        <v>#REF!</v>
      </c>
      <c r="EN22" s="242" t="e">
        <f>EN44</f>
        <v>#REF!</v>
      </c>
      <c r="EO22" s="242" t="e">
        <f>EO44</f>
        <v>#REF!</v>
      </c>
      <c r="EP22" s="242" t="e">
        <f>EP44</f>
        <v>#REF!</v>
      </c>
      <c r="EQ22" s="312" t="s">
        <v>903</v>
      </c>
      <c r="ES22" s="800">
        <f>A22</f>
        <v>2</v>
      </c>
    </row>
    <row r="23" spans="1:167" s="243" customFormat="1" ht="11.25" customHeight="1">
      <c r="B23" s="343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1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345"/>
      <c r="EM23" s="245"/>
      <c r="EN23" s="245"/>
      <c r="EO23" s="245"/>
      <c r="EP23" s="245"/>
      <c r="EQ23" s="351"/>
    </row>
    <row r="24" spans="1:167" s="243" customFormat="1" ht="11.25" customHeight="1">
      <c r="B24" s="343"/>
      <c r="C24" s="240"/>
      <c r="D24" s="240"/>
      <c r="E24" s="240" t="s">
        <v>674</v>
      </c>
      <c r="F24" s="240"/>
      <c r="G24" s="240"/>
      <c r="H24" s="240" t="s">
        <v>691</v>
      </c>
      <c r="I24" s="240"/>
      <c r="J24" s="240"/>
      <c r="K24" s="240"/>
      <c r="L24" s="240"/>
      <c r="M24" s="240"/>
      <c r="N24" s="240"/>
      <c r="O24" s="240"/>
      <c r="P24" s="240"/>
      <c r="Q24" s="240"/>
      <c r="R24" s="240" t="s">
        <v>827</v>
      </c>
      <c r="S24" s="240"/>
      <c r="T24" s="240"/>
      <c r="U24" s="240"/>
      <c r="V24" s="240"/>
      <c r="W24" s="240"/>
      <c r="X24" s="240"/>
      <c r="Y24" s="240"/>
      <c r="Z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345"/>
      <c r="EM24" s="245"/>
      <c r="EN24" s="245"/>
      <c r="EO24" s="245"/>
      <c r="EP24" s="245"/>
      <c r="EQ24" s="351"/>
    </row>
    <row r="25" spans="1:167" s="243" customFormat="1" ht="11.25" customHeight="1">
      <c r="B25" s="343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345"/>
      <c r="EM25" s="245"/>
      <c r="EN25" s="245"/>
      <c r="EO25" s="245"/>
      <c r="EP25" s="245"/>
      <c r="EQ25" s="351"/>
    </row>
    <row r="26" spans="1:167" s="243" customFormat="1" ht="11.25" customHeight="1">
      <c r="B26" s="343"/>
      <c r="C26" s="240"/>
      <c r="D26" s="240"/>
      <c r="E26" s="240"/>
      <c r="F26" s="240"/>
      <c r="G26" s="240"/>
      <c r="H26" s="240" t="s">
        <v>773</v>
      </c>
      <c r="I26" s="240"/>
      <c r="J26" s="240" t="s">
        <v>134</v>
      </c>
      <c r="K26" s="240"/>
      <c r="L26" s="240" t="str">
        <f>TEXT(0.2,"#,##0.#######")</f>
        <v>0.2</v>
      </c>
      <c r="M26" s="240"/>
      <c r="N26" s="240"/>
      <c r="O26" s="240" t="s">
        <v>91</v>
      </c>
      <c r="P26" s="240"/>
      <c r="Q26" s="240"/>
      <c r="R26" s="240"/>
      <c r="S26" s="240" t="s">
        <v>774</v>
      </c>
      <c r="T26" s="240"/>
      <c r="U26" s="240" t="s">
        <v>134</v>
      </c>
      <c r="V26" s="240"/>
      <c r="W26" s="240" t="str">
        <f>TEXT(1,"#,##0.#######")</f>
        <v>1.</v>
      </c>
      <c r="X26" s="240"/>
      <c r="Y26" s="240" t="s">
        <v>139</v>
      </c>
      <c r="Z26" s="240"/>
      <c r="AA26" s="240" t="str">
        <f>TEXT(1.24,"#,##0.#######")</f>
        <v>1.24</v>
      </c>
      <c r="AB26" s="240"/>
      <c r="AC26" s="240"/>
      <c r="AD26" s="240"/>
      <c r="AE26" s="240"/>
      <c r="AF26" s="240" t="s">
        <v>134</v>
      </c>
      <c r="AG26" s="240"/>
      <c r="AH26" s="240" t="str">
        <f>TEXT(ROUND(W26/AA26,2),"#,##0.#######")</f>
        <v>0.81</v>
      </c>
      <c r="AM26" s="240"/>
      <c r="AN26" s="240"/>
      <c r="AO26" s="240"/>
      <c r="AP26" s="240"/>
      <c r="AQ26" s="240"/>
      <c r="AR26" s="240" t="s">
        <v>775</v>
      </c>
      <c r="AS26" s="240"/>
      <c r="AT26" s="240" t="s">
        <v>134</v>
      </c>
      <c r="AU26" s="240"/>
      <c r="AV26" s="240" t="str">
        <f>TEXT(0.9,"#,##0.#######")</f>
        <v>0.9</v>
      </c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345"/>
      <c r="EM26" s="245"/>
      <c r="EN26" s="245"/>
      <c r="EO26" s="245"/>
      <c r="EP26" s="245"/>
      <c r="EQ26" s="351"/>
    </row>
    <row r="27" spans="1:167" s="243" customFormat="1" ht="11.25" customHeight="1">
      <c r="B27" s="343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1"/>
      <c r="DA27" s="241"/>
      <c r="DB27" s="241"/>
      <c r="DC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DR27" s="241"/>
      <c r="DS27" s="241"/>
      <c r="DT27" s="241"/>
      <c r="DU27" s="241"/>
      <c r="DV27" s="241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345"/>
      <c r="EM27" s="245"/>
      <c r="EN27" s="245"/>
      <c r="EO27" s="245"/>
      <c r="EP27" s="245"/>
      <c r="EQ27" s="351"/>
    </row>
    <row r="28" spans="1:167" s="243" customFormat="1" ht="11.25" customHeight="1">
      <c r="B28" s="343"/>
      <c r="C28" s="240"/>
      <c r="D28" s="240"/>
      <c r="E28" s="240"/>
      <c r="F28" s="240"/>
      <c r="G28" s="240"/>
      <c r="H28" s="240" t="s">
        <v>692</v>
      </c>
      <c r="I28" s="240"/>
      <c r="J28" s="240" t="s">
        <v>134</v>
      </c>
      <c r="K28" s="240"/>
      <c r="L28" s="240" t="s">
        <v>147</v>
      </c>
      <c r="M28" s="240" t="str">
        <f>TEXT(0.7,"#,##0.#######")</f>
        <v>0.7</v>
      </c>
      <c r="N28" s="240"/>
      <c r="O28" s="240"/>
      <c r="P28" s="240" t="s">
        <v>130</v>
      </c>
      <c r="Q28" s="240" t="str">
        <f>TEXT(0.6,"#,##0.#######")</f>
        <v>0.6</v>
      </c>
      <c r="R28" s="240"/>
      <c r="S28" s="240"/>
      <c r="T28" s="240" t="s">
        <v>148</v>
      </c>
      <c r="U28" s="240" t="s">
        <v>139</v>
      </c>
      <c r="V28" s="240" t="str">
        <f>TEXT(2,"#,##0.#######")</f>
        <v>2.</v>
      </c>
      <c r="W28" s="240" t="s">
        <v>131</v>
      </c>
      <c r="X28" s="240" t="str">
        <f>TEXT(0.05,"#,##0.#######")</f>
        <v>0.05</v>
      </c>
      <c r="Y28" s="240"/>
      <c r="Z28" s="240"/>
      <c r="AA28" s="240"/>
      <c r="AB28" s="240"/>
      <c r="AC28" s="240" t="s">
        <v>134</v>
      </c>
      <c r="AD28" s="240"/>
      <c r="AE28" s="240" t="str">
        <f>TEXT(ROUND((M28+Q28)/V28-X28,2),"#,##0.#######")</f>
        <v>0.6</v>
      </c>
      <c r="AF28" s="240"/>
      <c r="AG28" s="240"/>
      <c r="AH28" s="240"/>
      <c r="AI28" s="240"/>
      <c r="AJ28" s="240"/>
      <c r="AK28" s="240"/>
      <c r="AL28" s="240"/>
      <c r="AM28" s="240"/>
      <c r="AN28" s="240"/>
      <c r="AO28" s="240" t="s">
        <v>693</v>
      </c>
      <c r="AP28" s="240"/>
      <c r="AQ28" s="240"/>
      <c r="AR28" s="240" t="s">
        <v>134</v>
      </c>
      <c r="AS28" s="240"/>
      <c r="AT28" s="240" t="str">
        <f>TEXT(18,"#,##0.#######")</f>
        <v>18.</v>
      </c>
      <c r="AU28" s="240"/>
      <c r="AV28" s="240" t="s">
        <v>776</v>
      </c>
      <c r="AW28" s="240"/>
      <c r="AX28" s="240"/>
      <c r="AY28" s="240"/>
      <c r="AZ28" s="240" t="s">
        <v>147</v>
      </c>
      <c r="BA28" s="240" t="s">
        <v>553</v>
      </c>
      <c r="BB28" s="240"/>
      <c r="BC28" s="240"/>
      <c r="BD28" s="240" t="s">
        <v>777</v>
      </c>
      <c r="BE28" s="240"/>
      <c r="BF28" s="240" t="s">
        <v>148</v>
      </c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345"/>
      <c r="EM28" s="245"/>
      <c r="EN28" s="245"/>
      <c r="EO28" s="245"/>
      <c r="EP28" s="245"/>
      <c r="EQ28" s="351"/>
    </row>
    <row r="29" spans="1:167" s="243" customFormat="1" ht="11.25" customHeight="1">
      <c r="B29" s="343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1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345"/>
      <c r="EM29" s="245"/>
      <c r="EN29" s="245"/>
      <c r="EO29" s="245"/>
      <c r="EP29" s="245"/>
      <c r="EQ29" s="351"/>
    </row>
    <row r="30" spans="1:167" s="243" customFormat="1" ht="11.25" customHeight="1">
      <c r="B30" s="343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 t="str">
        <f>TEXT(3600,"#,##0.#######")</f>
        <v>3,600.</v>
      </c>
      <c r="N30" s="240"/>
      <c r="O30" s="240"/>
      <c r="P30" s="240"/>
      <c r="Q30" s="240"/>
      <c r="R30" s="240" t="s">
        <v>652</v>
      </c>
      <c r="S30" s="240"/>
      <c r="T30" s="240" t="s">
        <v>773</v>
      </c>
      <c r="U30" s="240" t="s">
        <v>652</v>
      </c>
      <c r="V30" s="240"/>
      <c r="W30" s="240" t="s">
        <v>775</v>
      </c>
      <c r="X30" s="240" t="s">
        <v>652</v>
      </c>
      <c r="Y30" s="240"/>
      <c r="Z30" s="240" t="s">
        <v>774</v>
      </c>
      <c r="AA30" s="240" t="s">
        <v>652</v>
      </c>
      <c r="AB30" s="240"/>
      <c r="AC30" s="240" t="s">
        <v>692</v>
      </c>
      <c r="AD30" s="240"/>
      <c r="AE30" s="240"/>
      <c r="AF30" s="240"/>
      <c r="AG30" s="240"/>
      <c r="AH30" s="240"/>
      <c r="AI30" s="240"/>
      <c r="AJ30" s="240" t="str">
        <f>TEXT(M30,"#,##0.#######")</f>
        <v>3,600.</v>
      </c>
      <c r="AK30" s="240"/>
      <c r="AL30" s="240"/>
      <c r="AM30" s="240"/>
      <c r="AN30" s="240"/>
      <c r="AO30" s="240" t="s">
        <v>652</v>
      </c>
      <c r="AP30" s="240"/>
      <c r="AQ30" s="240" t="str">
        <f>TEXT(L26,"#,##0.#######")</f>
        <v>0.2</v>
      </c>
      <c r="AR30" s="240"/>
      <c r="AS30" s="240"/>
      <c r="AT30" s="240" t="s">
        <v>652</v>
      </c>
      <c r="AU30" s="240"/>
      <c r="AV30" s="240" t="str">
        <f>TEXT(AV26,"#,##0.#######")</f>
        <v>0.9</v>
      </c>
      <c r="AW30" s="240"/>
      <c r="AX30" s="240"/>
      <c r="AY30" s="240" t="s">
        <v>652</v>
      </c>
      <c r="AZ30" s="240"/>
      <c r="BA30" s="240" t="str">
        <f>TEXT(AH26,"#,##0.#######")</f>
        <v>0.81</v>
      </c>
      <c r="BB30" s="240"/>
      <c r="BC30" s="240"/>
      <c r="BD30" s="240"/>
      <c r="BE30" s="240" t="s">
        <v>652</v>
      </c>
      <c r="BF30" s="240"/>
      <c r="BG30" s="240" t="str">
        <f>TEXT(AE28,"#,##0.#######")</f>
        <v>0.6</v>
      </c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1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345"/>
      <c r="EM30" s="245"/>
      <c r="EN30" s="245"/>
      <c r="EO30" s="245"/>
      <c r="EP30" s="245"/>
      <c r="EQ30" s="351"/>
      <c r="ES30" s="240"/>
      <c r="ET30" s="240"/>
      <c r="EU30" s="240"/>
      <c r="EV30" s="240"/>
      <c r="EW30" s="240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240"/>
    </row>
    <row r="31" spans="1:167" s="243" customFormat="1" ht="11.25" customHeight="1">
      <c r="B31" s="343"/>
      <c r="C31" s="240"/>
      <c r="D31" s="240"/>
      <c r="E31" s="240"/>
      <c r="F31" s="240"/>
      <c r="G31" s="240"/>
      <c r="H31" s="240" t="s">
        <v>687</v>
      </c>
      <c r="I31" s="240"/>
      <c r="J31" s="240" t="s">
        <v>134</v>
      </c>
      <c r="K31" s="240"/>
      <c r="L31" s="240" t="s">
        <v>694</v>
      </c>
      <c r="M31" s="240"/>
      <c r="N31" s="240" t="s">
        <v>694</v>
      </c>
      <c r="O31" s="240"/>
      <c r="P31" s="240" t="s">
        <v>694</v>
      </c>
      <c r="Q31" s="240"/>
      <c r="R31" s="240" t="s">
        <v>694</v>
      </c>
      <c r="S31" s="240"/>
      <c r="T31" s="240" t="s">
        <v>694</v>
      </c>
      <c r="U31" s="240"/>
      <c r="V31" s="240" t="s">
        <v>694</v>
      </c>
      <c r="W31" s="240"/>
      <c r="X31" s="240" t="s">
        <v>694</v>
      </c>
      <c r="Y31" s="240"/>
      <c r="Z31" s="240" t="s">
        <v>694</v>
      </c>
      <c r="AA31" s="240"/>
      <c r="AB31" s="240" t="s">
        <v>694</v>
      </c>
      <c r="AC31" s="240"/>
      <c r="AD31" s="240" t="s">
        <v>694</v>
      </c>
      <c r="AE31" s="240"/>
      <c r="AF31" s="240"/>
      <c r="AG31" s="240" t="s">
        <v>134</v>
      </c>
      <c r="AH31" s="240"/>
      <c r="AI31" s="240" t="s">
        <v>694</v>
      </c>
      <c r="AJ31" s="240"/>
      <c r="AK31" s="240" t="s">
        <v>694</v>
      </c>
      <c r="AL31" s="240"/>
      <c r="AM31" s="240" t="s">
        <v>694</v>
      </c>
      <c r="AN31" s="240"/>
      <c r="AO31" s="240" t="s">
        <v>694</v>
      </c>
      <c r="AP31" s="240"/>
      <c r="AQ31" s="240" t="s">
        <v>694</v>
      </c>
      <c r="AR31" s="240"/>
      <c r="AS31" s="240" t="s">
        <v>694</v>
      </c>
      <c r="AT31" s="240"/>
      <c r="AU31" s="240" t="s">
        <v>694</v>
      </c>
      <c r="AV31" s="240"/>
      <c r="AW31" s="240" t="s">
        <v>694</v>
      </c>
      <c r="AX31" s="240"/>
      <c r="AY31" s="240" t="s">
        <v>694</v>
      </c>
      <c r="AZ31" s="240"/>
      <c r="BA31" s="240" t="s">
        <v>694</v>
      </c>
      <c r="BB31" s="240"/>
      <c r="BC31" s="240" t="s">
        <v>694</v>
      </c>
      <c r="BD31" s="240"/>
      <c r="BE31" s="240" t="s">
        <v>694</v>
      </c>
      <c r="BF31" s="240"/>
      <c r="BG31" s="240" t="s">
        <v>694</v>
      </c>
      <c r="BH31" s="240"/>
      <c r="BI31" s="240" t="s">
        <v>694</v>
      </c>
      <c r="BJ31" s="240"/>
      <c r="BK31" s="240" t="s">
        <v>134</v>
      </c>
      <c r="BL31" s="240" t="str">
        <f>TEXT(ROUND((3600*L26*AV26*AH26*AE28)/(AT28),2),"#,##0.#######")</f>
        <v>17.5</v>
      </c>
      <c r="BM31" s="240"/>
      <c r="BN31" s="240"/>
      <c r="BO31" s="240" t="s">
        <v>91</v>
      </c>
      <c r="BP31" s="240"/>
      <c r="BQ31" s="240" t="s">
        <v>139</v>
      </c>
      <c r="BR31" s="240" t="s">
        <v>618</v>
      </c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1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345"/>
      <c r="EM31" s="245"/>
      <c r="EN31" s="245"/>
      <c r="EO31" s="245"/>
      <c r="EP31" s="245"/>
      <c r="EQ31" s="351"/>
    </row>
    <row r="32" spans="1:167" s="243" customFormat="1" ht="11.25" customHeight="1">
      <c r="B32" s="343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 t="s">
        <v>693</v>
      </c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 t="str">
        <f>TEXT(AT28,"#,##0.#######")</f>
        <v>18.</v>
      </c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  <c r="BH32" s="240"/>
      <c r="BI32" s="240"/>
      <c r="BJ32" s="240"/>
      <c r="BK32" s="240"/>
      <c r="BL32" s="240"/>
      <c r="BM32" s="240"/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1"/>
      <c r="DA32" s="241"/>
      <c r="DB32" s="241"/>
      <c r="DC32" s="241"/>
      <c r="DD32" s="241"/>
      <c r="DE32" s="241"/>
      <c r="DF32" s="241"/>
      <c r="DG32" s="241"/>
      <c r="DH32" s="241"/>
      <c r="DI32" s="241"/>
      <c r="DJ32" s="241"/>
      <c r="DK32" s="241"/>
      <c r="DL32" s="241"/>
      <c r="DM32" s="241"/>
      <c r="DN32" s="241"/>
      <c r="DO32" s="241"/>
      <c r="DP32" s="241"/>
      <c r="DQ32" s="241"/>
      <c r="DR32" s="241"/>
      <c r="DS32" s="241"/>
      <c r="DT32" s="241"/>
      <c r="DU32" s="241"/>
      <c r="DV32" s="241"/>
      <c r="DW32" s="241"/>
      <c r="DX32" s="241"/>
      <c r="DY32" s="241"/>
      <c r="DZ32" s="241"/>
      <c r="EA32" s="241"/>
      <c r="EB32" s="241"/>
      <c r="EC32" s="241"/>
      <c r="ED32" s="241"/>
      <c r="EE32" s="241"/>
      <c r="EF32" s="241"/>
      <c r="EG32" s="241"/>
      <c r="EH32" s="241"/>
      <c r="EI32" s="241"/>
      <c r="EJ32" s="241"/>
      <c r="EK32" s="241"/>
      <c r="EL32" s="345"/>
      <c r="EM32" s="245"/>
      <c r="EN32" s="245"/>
      <c r="EO32" s="245"/>
      <c r="EP32" s="245"/>
      <c r="EQ32" s="351"/>
    </row>
    <row r="33" spans="2:147" s="243" customFormat="1" ht="11.25" customHeight="1">
      <c r="B33" s="343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DR33" s="241"/>
      <c r="DS33" s="241"/>
      <c r="DT33" s="241"/>
      <c r="DU33" s="241"/>
      <c r="DV33" s="241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345"/>
      <c r="EM33" s="245"/>
      <c r="EN33" s="245"/>
      <c r="EO33" s="245"/>
      <c r="EP33" s="245"/>
      <c r="EQ33" s="351"/>
    </row>
    <row r="34" spans="2:147" s="243" customFormat="1" ht="11.25" customHeight="1">
      <c r="B34" s="343"/>
      <c r="C34" s="240"/>
      <c r="D34" s="240"/>
      <c r="E34" s="240"/>
      <c r="F34" s="240"/>
      <c r="G34" s="240"/>
      <c r="H34" s="240" t="s">
        <v>616</v>
      </c>
      <c r="I34" s="240"/>
      <c r="J34" s="240"/>
      <c r="K34" s="240"/>
      <c r="L34" s="240"/>
      <c r="M34" s="240"/>
      <c r="N34" s="240"/>
      <c r="O34" s="240" t="s">
        <v>132</v>
      </c>
      <c r="P34" s="240"/>
      <c r="Q34" s="1780" t="e">
        <f>#REF!</f>
        <v>#REF!</v>
      </c>
      <c r="R34" s="1780"/>
      <c r="S34" s="1780"/>
      <c r="T34" s="1780"/>
      <c r="U34" s="1780"/>
      <c r="V34" s="240"/>
      <c r="W34" s="240"/>
      <c r="X34" s="240"/>
      <c r="Y34" s="240"/>
      <c r="Z34" s="240" t="s">
        <v>683</v>
      </c>
      <c r="AA34" s="240"/>
      <c r="AB34" s="240"/>
      <c r="AC34" s="240" t="str">
        <f>TEXT(BL31,"#,##0.#######")</f>
        <v>17.5</v>
      </c>
      <c r="AD34" s="240"/>
      <c r="AE34" s="240"/>
      <c r="AF34" s="240"/>
      <c r="AG34" s="240" t="s">
        <v>134</v>
      </c>
      <c r="AH34" s="240"/>
      <c r="AI34" s="240" t="e">
        <f>TEXT(TRUNC(Q34/BL31,1),"#,##0.#")</f>
        <v>#REF!</v>
      </c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345"/>
      <c r="EM34" s="245"/>
      <c r="EN34" s="245"/>
      <c r="EO34" s="245"/>
      <c r="EP34" s="245"/>
      <c r="EQ34" s="351"/>
    </row>
    <row r="35" spans="2:147" s="243" customFormat="1" ht="11.25" customHeight="1">
      <c r="B35" s="343"/>
      <c r="C35" s="240"/>
      <c r="D35" s="240"/>
      <c r="E35" s="240"/>
      <c r="F35" s="240"/>
      <c r="G35" s="240"/>
      <c r="H35" s="240" t="s">
        <v>617</v>
      </c>
      <c r="I35" s="240"/>
      <c r="J35" s="240"/>
      <c r="K35" s="240"/>
      <c r="L35" s="240"/>
      <c r="M35" s="240"/>
      <c r="N35" s="240"/>
      <c r="O35" s="240" t="s">
        <v>132</v>
      </c>
      <c r="P35" s="240"/>
      <c r="Q35" s="1780" t="e">
        <f>#REF!</f>
        <v>#REF!</v>
      </c>
      <c r="R35" s="1780"/>
      <c r="S35" s="1780"/>
      <c r="T35" s="1780"/>
      <c r="U35" s="1780"/>
      <c r="V35" s="240"/>
      <c r="W35" s="240"/>
      <c r="X35" s="240"/>
      <c r="Y35" s="240"/>
      <c r="Z35" s="240" t="s">
        <v>683</v>
      </c>
      <c r="AA35" s="240"/>
      <c r="AB35" s="240"/>
      <c r="AC35" s="240" t="str">
        <f>TEXT(BL31,"#,##0.#######")</f>
        <v>17.5</v>
      </c>
      <c r="AD35" s="240"/>
      <c r="AE35" s="240"/>
      <c r="AF35" s="240"/>
      <c r="AG35" s="240" t="s">
        <v>134</v>
      </c>
      <c r="AH35" s="240"/>
      <c r="AI35" s="240" t="e">
        <f>TEXT(TRUNC(Q35/BL31,1),"#,##0.#")</f>
        <v>#REF!</v>
      </c>
      <c r="AM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345"/>
      <c r="EM35" s="245"/>
      <c r="EN35" s="245"/>
      <c r="EO35" s="245"/>
      <c r="EP35" s="245"/>
      <c r="EQ35" s="351"/>
    </row>
    <row r="36" spans="2:147" s="243" customFormat="1" ht="11.25" customHeight="1">
      <c r="B36" s="343"/>
      <c r="C36" s="240"/>
      <c r="D36" s="240"/>
      <c r="E36" s="240"/>
      <c r="F36" s="240"/>
      <c r="G36" s="240"/>
      <c r="H36" s="240" t="s">
        <v>679</v>
      </c>
      <c r="I36" s="240"/>
      <c r="J36" s="240" t="s">
        <v>680</v>
      </c>
      <c r="K36" s="240"/>
      <c r="M36" s="240"/>
      <c r="N36" s="240"/>
      <c r="O36" s="240" t="s">
        <v>132</v>
      </c>
      <c r="P36" s="240"/>
      <c r="Q36" s="1780" t="e">
        <f>#REF!</f>
        <v>#REF!</v>
      </c>
      <c r="R36" s="1780"/>
      <c r="S36" s="1780"/>
      <c r="T36" s="1780"/>
      <c r="U36" s="1780"/>
      <c r="V36" s="240"/>
      <c r="W36" s="240"/>
      <c r="X36" s="240"/>
      <c r="Y36" s="240"/>
      <c r="Z36" s="240" t="s">
        <v>683</v>
      </c>
      <c r="AA36" s="240"/>
      <c r="AB36" s="240"/>
      <c r="AC36" s="240" t="str">
        <f>TEXT(BL31,"#,##0.#######")</f>
        <v>17.5</v>
      </c>
      <c r="AD36" s="240"/>
      <c r="AE36" s="240"/>
      <c r="AF36" s="240"/>
      <c r="AG36" s="240" t="s">
        <v>134</v>
      </c>
      <c r="AH36" s="240"/>
      <c r="AI36" s="240" t="e">
        <f>TEXT(TRUNC(Q36/BL31,1),"#,##0.#")</f>
        <v>#REF!</v>
      </c>
      <c r="AM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345"/>
      <c r="EM36" s="245"/>
      <c r="EN36" s="245"/>
      <c r="EO36" s="245"/>
      <c r="EP36" s="245"/>
      <c r="EQ36" s="351"/>
    </row>
    <row r="37" spans="2:147" s="243" customFormat="1" ht="11.25" customHeight="1">
      <c r="B37" s="343"/>
      <c r="C37" s="240"/>
      <c r="D37" s="240"/>
      <c r="E37" s="240"/>
      <c r="F37" s="240"/>
      <c r="G37" s="240"/>
      <c r="H37" s="240" t="s">
        <v>688</v>
      </c>
      <c r="I37" s="240"/>
      <c r="J37" s="240" t="s">
        <v>96</v>
      </c>
      <c r="K37" s="240"/>
      <c r="M37" s="240"/>
      <c r="N37" s="240"/>
      <c r="O37" s="240" t="s">
        <v>132</v>
      </c>
      <c r="P37" s="240"/>
      <c r="Q37" s="240" t="e">
        <f>TEXT(AI34+AI35+AI36,"#,##0.#######")</f>
        <v>#REF!</v>
      </c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1"/>
      <c r="DA37" s="241"/>
      <c r="DB37" s="241"/>
      <c r="DC37" s="241"/>
      <c r="DD37" s="241"/>
      <c r="DE37" s="241"/>
      <c r="DF37" s="241"/>
      <c r="DG37" s="241"/>
      <c r="DH37" s="241"/>
      <c r="DI37" s="241"/>
      <c r="DJ37" s="241"/>
      <c r="DK37" s="241"/>
      <c r="DL37" s="241"/>
      <c r="DM37" s="241"/>
      <c r="DN37" s="241"/>
      <c r="DO37" s="241"/>
      <c r="DP37" s="241"/>
      <c r="DQ37" s="241"/>
      <c r="DR37" s="241"/>
      <c r="DS37" s="241"/>
      <c r="DT37" s="241"/>
      <c r="DU37" s="241"/>
      <c r="DV37" s="241"/>
      <c r="DW37" s="241"/>
      <c r="DX37" s="241"/>
      <c r="DY37" s="241"/>
      <c r="DZ37" s="241"/>
      <c r="EA37" s="241"/>
      <c r="EB37" s="241"/>
      <c r="EC37" s="241"/>
      <c r="ED37" s="241"/>
      <c r="EE37" s="241"/>
      <c r="EF37" s="241"/>
      <c r="EG37" s="241"/>
      <c r="EH37" s="241"/>
      <c r="EI37" s="241"/>
      <c r="EJ37" s="241"/>
      <c r="EK37" s="241"/>
      <c r="EL37" s="345"/>
      <c r="EM37" s="245" t="e">
        <f>EN37+EO37+EP37</f>
        <v>#REF!</v>
      </c>
      <c r="EN37" s="245" t="e">
        <f>TEXT(AI34,"#,###.0")</f>
        <v>#REF!</v>
      </c>
      <c r="EO37" s="245" t="e">
        <f>TEXT(AI35,"#,###.0")</f>
        <v>#REF!</v>
      </c>
      <c r="EP37" s="245" t="e">
        <f>TEXT(AI36,"#,###.0")</f>
        <v>#REF!</v>
      </c>
      <c r="EQ37" s="351"/>
    </row>
    <row r="38" spans="2:147" s="243" customFormat="1" ht="11.25" customHeight="1">
      <c r="B38" s="343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345"/>
      <c r="EM38" s="245"/>
      <c r="EN38" s="245"/>
      <c r="EO38" s="245"/>
      <c r="EP38" s="245"/>
      <c r="EQ38" s="351"/>
    </row>
    <row r="39" spans="2:147" s="243" customFormat="1" ht="11.25" customHeight="1">
      <c r="B39" s="343"/>
      <c r="C39" s="240"/>
      <c r="D39" s="240"/>
      <c r="E39" s="240" t="s">
        <v>675</v>
      </c>
      <c r="F39" s="240"/>
      <c r="G39" s="240"/>
      <c r="H39" s="240" t="s">
        <v>678</v>
      </c>
      <c r="I39" s="240"/>
      <c r="J39" s="240"/>
      <c r="K39" s="240"/>
      <c r="L39" s="240" t="s">
        <v>96</v>
      </c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345"/>
      <c r="EM39" s="245"/>
      <c r="EN39" s="245"/>
      <c r="EO39" s="245"/>
      <c r="EP39" s="245"/>
      <c r="EQ39" s="351"/>
    </row>
    <row r="40" spans="2:147" s="243" customFormat="1" ht="11.25" customHeight="1">
      <c r="B40" s="343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345"/>
      <c r="EM40" s="245"/>
      <c r="EN40" s="245"/>
      <c r="EO40" s="245"/>
      <c r="EP40" s="245"/>
      <c r="EQ40" s="351"/>
    </row>
    <row r="41" spans="2:147" s="243" customFormat="1" ht="11.25" customHeight="1">
      <c r="B41" s="343"/>
      <c r="C41" s="240"/>
      <c r="D41" s="240"/>
      <c r="E41" s="240"/>
      <c r="F41" s="240"/>
      <c r="G41" s="240"/>
      <c r="H41" s="240"/>
      <c r="I41" s="240" t="s">
        <v>616</v>
      </c>
      <c r="J41" s="240"/>
      <c r="K41" s="240"/>
      <c r="L41" s="240"/>
      <c r="M41" s="240"/>
      <c r="N41" s="240"/>
      <c r="O41" s="240"/>
      <c r="P41" s="240" t="s">
        <v>132</v>
      </c>
      <c r="Q41" s="240"/>
      <c r="R41" s="240" t="e">
        <f>TEXT(TRUNC(EN37,0),"#,##0")</f>
        <v>#REF!</v>
      </c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1"/>
      <c r="DA41" s="241"/>
      <c r="DB41" s="241"/>
      <c r="DC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DR41" s="241"/>
      <c r="DS41" s="241"/>
      <c r="DT41" s="241"/>
      <c r="DU41" s="241"/>
      <c r="DV41" s="241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345"/>
      <c r="EM41" s="245"/>
      <c r="EN41" s="245"/>
      <c r="EO41" s="245"/>
      <c r="EP41" s="245"/>
      <c r="EQ41" s="351"/>
    </row>
    <row r="42" spans="2:147" s="243" customFormat="1" ht="11.25" customHeight="1">
      <c r="B42" s="343"/>
      <c r="C42" s="240"/>
      <c r="D42" s="240"/>
      <c r="E42" s="240"/>
      <c r="F42" s="240"/>
      <c r="G42" s="240"/>
      <c r="H42" s="240"/>
      <c r="I42" s="240" t="s">
        <v>617</v>
      </c>
      <c r="J42" s="240"/>
      <c r="K42" s="240"/>
      <c r="L42" s="240"/>
      <c r="M42" s="240"/>
      <c r="N42" s="240"/>
      <c r="O42" s="240"/>
      <c r="P42" s="240" t="s">
        <v>132</v>
      </c>
      <c r="Q42" s="240"/>
      <c r="R42" s="240" t="e">
        <f>TEXT(TRUNC(EO37,0),"#,##0")</f>
        <v>#REF!</v>
      </c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1"/>
      <c r="DA42" s="241"/>
      <c r="DB42" s="241"/>
      <c r="DC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DR42" s="241"/>
      <c r="DS42" s="241"/>
      <c r="DT42" s="241"/>
      <c r="DU42" s="241"/>
      <c r="DV42" s="241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345"/>
      <c r="EM42" s="245"/>
      <c r="EN42" s="245"/>
      <c r="EO42" s="245"/>
      <c r="EP42" s="245"/>
      <c r="EQ42" s="351"/>
    </row>
    <row r="43" spans="2:147" s="243" customFormat="1" ht="11.25" customHeight="1">
      <c r="B43" s="343"/>
      <c r="C43" s="240"/>
      <c r="D43" s="240"/>
      <c r="E43" s="240"/>
      <c r="F43" s="240"/>
      <c r="G43" s="240"/>
      <c r="H43" s="240"/>
      <c r="I43" s="240" t="s">
        <v>679</v>
      </c>
      <c r="J43" s="240"/>
      <c r="K43" s="240" t="s">
        <v>680</v>
      </c>
      <c r="L43" s="240"/>
      <c r="N43" s="240"/>
      <c r="O43" s="240"/>
      <c r="P43" s="240" t="s">
        <v>132</v>
      </c>
      <c r="Q43" s="240"/>
      <c r="R43" s="240" t="e">
        <f>TEXT(TRUNC(EP37,0),"#,##0")</f>
        <v>#REF!</v>
      </c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1"/>
      <c r="DA43" s="241"/>
      <c r="DB43" s="241"/>
      <c r="DC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1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345"/>
      <c r="EM43" s="245"/>
      <c r="EN43" s="245"/>
      <c r="EO43" s="245"/>
      <c r="EP43" s="245"/>
      <c r="EQ43" s="351"/>
    </row>
    <row r="44" spans="2:147" s="243" customFormat="1" ht="11.25" customHeight="1">
      <c r="B44" s="343"/>
      <c r="C44" s="240"/>
      <c r="D44" s="240"/>
      <c r="E44" s="240"/>
      <c r="F44" s="240"/>
      <c r="G44" s="240"/>
      <c r="H44" s="240"/>
      <c r="I44" s="240" t="s">
        <v>96</v>
      </c>
      <c r="J44" s="240"/>
      <c r="K44" s="240"/>
      <c r="L44" s="240"/>
      <c r="M44" s="240"/>
      <c r="N44" s="240"/>
      <c r="O44" s="240"/>
      <c r="P44" s="240" t="s">
        <v>132</v>
      </c>
      <c r="Q44" s="240"/>
      <c r="R44" s="240" t="e">
        <f>TEXT(R41+R42+R43,"#,##0")</f>
        <v>#REF!</v>
      </c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1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345"/>
      <c r="EM44" s="250" t="e">
        <f>EN44+EO44+EP44</f>
        <v>#REF!</v>
      </c>
      <c r="EN44" s="245" t="e">
        <f>TEXT(R41,"#,##0")</f>
        <v>#REF!</v>
      </c>
      <c r="EO44" s="245" t="e">
        <f>TEXT(R42,"#,##0")</f>
        <v>#REF!</v>
      </c>
      <c r="EP44" s="245" t="e">
        <f>TEXT(R43,"#,##0")</f>
        <v>#REF!</v>
      </c>
      <c r="EQ44" s="351"/>
    </row>
    <row r="45" spans="2:147" s="243" customFormat="1" ht="11.25" customHeight="1">
      <c r="B45" s="343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1"/>
      <c r="DA45" s="241"/>
      <c r="DB45" s="241"/>
      <c r="DC45" s="241"/>
      <c r="DD45" s="241"/>
      <c r="DE45" s="241"/>
      <c r="DF45" s="241"/>
      <c r="DG45" s="241"/>
      <c r="DH45" s="241"/>
      <c r="DI45" s="241"/>
      <c r="DJ45" s="241"/>
      <c r="DK45" s="241"/>
      <c r="DL45" s="241"/>
      <c r="DM45" s="241"/>
      <c r="DN45" s="241"/>
      <c r="DO45" s="241"/>
      <c r="DP45" s="241"/>
      <c r="DQ45" s="241"/>
      <c r="DR45" s="241"/>
      <c r="DS45" s="241"/>
      <c r="DT45" s="241"/>
      <c r="DU45" s="241"/>
      <c r="DV45" s="241"/>
      <c r="DW45" s="241"/>
      <c r="DX45" s="241"/>
      <c r="DY45" s="241"/>
      <c r="DZ45" s="241"/>
      <c r="EA45" s="241"/>
      <c r="EB45" s="241"/>
      <c r="EC45" s="241"/>
      <c r="ED45" s="241"/>
      <c r="EE45" s="241"/>
      <c r="EF45" s="241"/>
      <c r="EG45" s="241"/>
      <c r="EH45" s="241"/>
      <c r="EI45" s="241"/>
      <c r="EJ45" s="241"/>
      <c r="EK45" s="241"/>
      <c r="EL45" s="345"/>
      <c r="EM45" s="245"/>
      <c r="EN45" s="245"/>
      <c r="EO45" s="245"/>
      <c r="EP45" s="245"/>
      <c r="EQ45" s="351"/>
    </row>
    <row r="46" spans="2:147" ht="11.45" customHeight="1">
      <c r="B46" s="337"/>
      <c r="C46" s="338"/>
      <c r="D46" s="338"/>
      <c r="E46" s="338"/>
      <c r="F46" s="338"/>
      <c r="G46" s="338"/>
      <c r="H46" s="338"/>
      <c r="I46" s="338"/>
      <c r="J46" s="338"/>
      <c r="K46" s="338"/>
      <c r="L46" s="339"/>
      <c r="M46" s="339"/>
      <c r="N46" s="339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9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  <c r="CK46" s="338"/>
      <c r="CL46" s="338"/>
      <c r="CM46" s="338"/>
      <c r="CN46" s="338"/>
      <c r="CO46" s="338"/>
      <c r="CP46" s="338"/>
      <c r="CQ46" s="338"/>
      <c r="CR46" s="338"/>
      <c r="CS46" s="338"/>
      <c r="CT46" s="338"/>
      <c r="CU46" s="338"/>
      <c r="CV46" s="338"/>
      <c r="CW46" s="338"/>
      <c r="CX46" s="338"/>
      <c r="CY46" s="338"/>
      <c r="CZ46" s="338"/>
      <c r="DA46" s="338"/>
      <c r="DB46" s="338"/>
      <c r="DC46" s="338"/>
      <c r="DD46" s="338"/>
      <c r="DE46" s="338"/>
      <c r="DF46" s="338"/>
      <c r="DG46" s="338"/>
      <c r="DH46" s="338"/>
      <c r="DI46" s="338"/>
      <c r="DJ46" s="338"/>
      <c r="DK46" s="338"/>
      <c r="DL46" s="338"/>
      <c r="DM46" s="338"/>
      <c r="DN46" s="338"/>
      <c r="DO46" s="338"/>
      <c r="DP46" s="338"/>
      <c r="DQ46" s="338"/>
      <c r="DR46" s="338"/>
      <c r="DS46" s="338"/>
      <c r="DT46" s="338"/>
      <c r="DU46" s="338"/>
      <c r="DV46" s="338"/>
      <c r="DW46" s="338"/>
      <c r="DX46" s="338"/>
      <c r="DY46" s="338"/>
      <c r="DZ46" s="338"/>
      <c r="EA46" s="338"/>
      <c r="EB46" s="338"/>
      <c r="EC46" s="338"/>
      <c r="ED46" s="338"/>
      <c r="EE46" s="338"/>
      <c r="EF46" s="338"/>
      <c r="EG46" s="338"/>
      <c r="EH46" s="338"/>
      <c r="EI46" s="338"/>
      <c r="EJ46" s="338"/>
      <c r="EK46" s="338"/>
      <c r="EL46" s="340"/>
      <c r="EM46" s="341"/>
      <c r="EN46" s="341"/>
      <c r="EO46" s="341"/>
      <c r="EP46" s="341"/>
      <c r="EQ46" s="342"/>
    </row>
    <row r="47" spans="2:147" ht="11.45" customHeight="1">
      <c r="B47" s="337"/>
      <c r="C47" s="338"/>
      <c r="D47" s="338"/>
      <c r="E47" s="338"/>
      <c r="F47" s="338"/>
      <c r="G47" s="338"/>
      <c r="H47" s="338"/>
      <c r="I47" s="338"/>
      <c r="J47" s="338"/>
      <c r="K47" s="338"/>
      <c r="L47" s="339"/>
      <c r="M47" s="339"/>
      <c r="N47" s="339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9"/>
      <c r="BT47" s="338"/>
      <c r="BU47" s="338"/>
      <c r="BV47" s="338"/>
      <c r="BW47" s="338"/>
      <c r="BX47" s="338"/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  <c r="CK47" s="338"/>
      <c r="CL47" s="338"/>
      <c r="CM47" s="338"/>
      <c r="CN47" s="338"/>
      <c r="CO47" s="338"/>
      <c r="CP47" s="338"/>
      <c r="CQ47" s="338"/>
      <c r="CR47" s="338"/>
      <c r="CS47" s="338"/>
      <c r="CT47" s="338"/>
      <c r="CU47" s="338"/>
      <c r="CV47" s="338"/>
      <c r="CW47" s="338"/>
      <c r="CX47" s="338"/>
      <c r="CY47" s="338"/>
      <c r="CZ47" s="338"/>
      <c r="DA47" s="338"/>
      <c r="DB47" s="338"/>
      <c r="DC47" s="338"/>
      <c r="DD47" s="338"/>
      <c r="DE47" s="338"/>
      <c r="DF47" s="338"/>
      <c r="DG47" s="338"/>
      <c r="DH47" s="338"/>
      <c r="DI47" s="338"/>
      <c r="DJ47" s="338"/>
      <c r="DK47" s="338"/>
      <c r="DL47" s="338"/>
      <c r="DM47" s="338"/>
      <c r="DN47" s="338"/>
      <c r="DO47" s="338"/>
      <c r="DP47" s="338"/>
      <c r="DQ47" s="338"/>
      <c r="DR47" s="338"/>
      <c r="DS47" s="338"/>
      <c r="DT47" s="338"/>
      <c r="DU47" s="338"/>
      <c r="DV47" s="338"/>
      <c r="DW47" s="338"/>
      <c r="DX47" s="338"/>
      <c r="DY47" s="338"/>
      <c r="DZ47" s="338"/>
      <c r="EA47" s="338"/>
      <c r="EB47" s="338"/>
      <c r="EC47" s="338"/>
      <c r="ED47" s="338"/>
      <c r="EE47" s="338"/>
      <c r="EF47" s="338"/>
      <c r="EG47" s="338"/>
      <c r="EH47" s="338"/>
      <c r="EI47" s="338"/>
      <c r="EJ47" s="338"/>
      <c r="EK47" s="338"/>
      <c r="EL47" s="340"/>
      <c r="EM47" s="341"/>
      <c r="EN47" s="341"/>
      <c r="EO47" s="341"/>
      <c r="EP47" s="341"/>
      <c r="EQ47" s="342"/>
    </row>
    <row r="48" spans="2:147" ht="11.45" customHeight="1">
      <c r="B48" s="337"/>
      <c r="C48" s="338"/>
      <c r="D48" s="338"/>
      <c r="E48" s="338"/>
      <c r="F48" s="338"/>
      <c r="G48" s="338"/>
      <c r="H48" s="338"/>
      <c r="I48" s="338"/>
      <c r="J48" s="338"/>
      <c r="K48" s="338"/>
      <c r="L48" s="339"/>
      <c r="M48" s="339"/>
      <c r="N48" s="339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F48" s="338"/>
      <c r="BG48" s="338"/>
      <c r="BH48" s="338"/>
      <c r="BI48" s="338"/>
      <c r="BJ48" s="338"/>
      <c r="BK48" s="338"/>
      <c r="BL48" s="338"/>
      <c r="BM48" s="338"/>
      <c r="BN48" s="338"/>
      <c r="BO48" s="338"/>
      <c r="BP48" s="338"/>
      <c r="BQ48" s="338"/>
      <c r="BR48" s="338"/>
      <c r="BS48" s="339"/>
      <c r="BT48" s="338"/>
      <c r="BU48" s="338"/>
      <c r="BV48" s="338"/>
      <c r="BW48" s="338"/>
      <c r="BX48" s="338"/>
      <c r="BY48" s="338"/>
      <c r="BZ48" s="338"/>
      <c r="CA48" s="338"/>
      <c r="CB48" s="338"/>
      <c r="CC48" s="338"/>
      <c r="CD48" s="338"/>
      <c r="CE48" s="338"/>
      <c r="CF48" s="338"/>
      <c r="CG48" s="338"/>
      <c r="CH48" s="338"/>
      <c r="CI48" s="338"/>
      <c r="CJ48" s="338"/>
      <c r="CK48" s="338"/>
      <c r="CL48" s="338"/>
      <c r="CM48" s="338"/>
      <c r="CN48" s="338"/>
      <c r="CO48" s="338"/>
      <c r="CP48" s="338"/>
      <c r="CQ48" s="338"/>
      <c r="CR48" s="338"/>
      <c r="CS48" s="338"/>
      <c r="CT48" s="338"/>
      <c r="CU48" s="338"/>
      <c r="CV48" s="338"/>
      <c r="CW48" s="338"/>
      <c r="CX48" s="338"/>
      <c r="CY48" s="338"/>
      <c r="CZ48" s="338"/>
      <c r="DA48" s="338"/>
      <c r="DB48" s="338"/>
      <c r="DC48" s="338"/>
      <c r="DD48" s="338"/>
      <c r="DE48" s="338"/>
      <c r="DF48" s="338"/>
      <c r="DG48" s="338"/>
      <c r="DH48" s="338"/>
      <c r="DI48" s="338"/>
      <c r="DJ48" s="338"/>
      <c r="DK48" s="338"/>
      <c r="DL48" s="338"/>
      <c r="DM48" s="338"/>
      <c r="DN48" s="338"/>
      <c r="DO48" s="338"/>
      <c r="DP48" s="338"/>
      <c r="DQ48" s="338"/>
      <c r="DR48" s="338"/>
      <c r="DS48" s="338"/>
      <c r="DT48" s="338"/>
      <c r="DU48" s="338"/>
      <c r="DV48" s="338"/>
      <c r="DW48" s="338"/>
      <c r="DX48" s="338"/>
      <c r="DY48" s="338"/>
      <c r="DZ48" s="338"/>
      <c r="EA48" s="338"/>
      <c r="EB48" s="338"/>
      <c r="EC48" s="338"/>
      <c r="ED48" s="338"/>
      <c r="EE48" s="338"/>
      <c r="EF48" s="338"/>
      <c r="EG48" s="338"/>
      <c r="EH48" s="338"/>
      <c r="EI48" s="338"/>
      <c r="EJ48" s="338"/>
      <c r="EK48" s="338"/>
      <c r="EL48" s="340"/>
      <c r="EM48" s="341"/>
      <c r="EN48" s="341"/>
      <c r="EO48" s="341"/>
      <c r="EP48" s="341"/>
      <c r="EQ48" s="342"/>
    </row>
    <row r="49" spans="1:149" ht="11.45" customHeight="1">
      <c r="B49" s="337"/>
      <c r="C49" s="338"/>
      <c r="D49" s="338"/>
      <c r="E49" s="338"/>
      <c r="F49" s="338"/>
      <c r="G49" s="338"/>
      <c r="H49" s="338"/>
      <c r="I49" s="338"/>
      <c r="J49" s="338"/>
      <c r="K49" s="338"/>
      <c r="L49" s="339"/>
      <c r="M49" s="339"/>
      <c r="N49" s="339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9"/>
      <c r="BT49" s="338"/>
      <c r="BU49" s="338"/>
      <c r="BV49" s="338"/>
      <c r="BW49" s="338"/>
      <c r="BX49" s="338"/>
      <c r="BY49" s="338"/>
      <c r="BZ49" s="338"/>
      <c r="CA49" s="338"/>
      <c r="CB49" s="338"/>
      <c r="CC49" s="338"/>
      <c r="CD49" s="338"/>
      <c r="CE49" s="338"/>
      <c r="CF49" s="338"/>
      <c r="CG49" s="338"/>
      <c r="CH49" s="338"/>
      <c r="CI49" s="338"/>
      <c r="CJ49" s="338"/>
      <c r="CK49" s="338"/>
      <c r="CL49" s="338"/>
      <c r="CM49" s="338"/>
      <c r="CN49" s="338"/>
      <c r="CO49" s="338"/>
      <c r="CP49" s="338"/>
      <c r="CQ49" s="338"/>
      <c r="CR49" s="338"/>
      <c r="CS49" s="338"/>
      <c r="CT49" s="338"/>
      <c r="CU49" s="338"/>
      <c r="CV49" s="338"/>
      <c r="CW49" s="338"/>
      <c r="CX49" s="338"/>
      <c r="CY49" s="338"/>
      <c r="CZ49" s="338"/>
      <c r="DA49" s="338"/>
      <c r="DB49" s="338"/>
      <c r="DC49" s="338"/>
      <c r="DD49" s="338"/>
      <c r="DE49" s="338"/>
      <c r="DF49" s="338"/>
      <c r="DG49" s="338"/>
      <c r="DH49" s="338"/>
      <c r="DI49" s="338"/>
      <c r="DJ49" s="338"/>
      <c r="DK49" s="338"/>
      <c r="DL49" s="338"/>
      <c r="DM49" s="338"/>
      <c r="DN49" s="338"/>
      <c r="DO49" s="338"/>
      <c r="DP49" s="338"/>
      <c r="DQ49" s="338"/>
      <c r="DR49" s="338"/>
      <c r="DS49" s="338"/>
      <c r="DT49" s="338"/>
      <c r="DU49" s="338"/>
      <c r="DV49" s="338"/>
      <c r="DW49" s="338"/>
      <c r="DX49" s="338"/>
      <c r="DY49" s="338"/>
      <c r="DZ49" s="338"/>
      <c r="EA49" s="338"/>
      <c r="EB49" s="338"/>
      <c r="EC49" s="338"/>
      <c r="ED49" s="338"/>
      <c r="EE49" s="338"/>
      <c r="EF49" s="338"/>
      <c r="EG49" s="338"/>
      <c r="EH49" s="338"/>
      <c r="EI49" s="338"/>
      <c r="EJ49" s="338"/>
      <c r="EK49" s="338"/>
      <c r="EL49" s="340"/>
      <c r="EM49" s="341"/>
      <c r="EN49" s="341"/>
      <c r="EO49" s="341"/>
      <c r="EP49" s="341"/>
      <c r="EQ49" s="342"/>
    </row>
    <row r="50" spans="1:149" ht="11.45" customHeight="1">
      <c r="B50" s="337"/>
      <c r="C50" s="338"/>
      <c r="D50" s="338"/>
      <c r="E50" s="338"/>
      <c r="F50" s="338"/>
      <c r="G50" s="338"/>
      <c r="H50" s="338"/>
      <c r="I50" s="338"/>
      <c r="J50" s="338"/>
      <c r="K50" s="338"/>
      <c r="L50" s="339"/>
      <c r="M50" s="339"/>
      <c r="N50" s="339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C50" s="338"/>
      <c r="AD50" s="338"/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9"/>
      <c r="BT50" s="338"/>
      <c r="BU50" s="338"/>
      <c r="BV50" s="338"/>
      <c r="BW50" s="338"/>
      <c r="BX50" s="338"/>
      <c r="BY50" s="338"/>
      <c r="BZ50" s="338"/>
      <c r="CA50" s="338"/>
      <c r="CB50" s="338"/>
      <c r="CC50" s="338"/>
      <c r="CD50" s="338"/>
      <c r="CE50" s="338"/>
      <c r="CF50" s="338"/>
      <c r="CG50" s="338"/>
      <c r="CH50" s="338"/>
      <c r="CI50" s="338"/>
      <c r="CJ50" s="338"/>
      <c r="CK50" s="338"/>
      <c r="CL50" s="338"/>
      <c r="CM50" s="338"/>
      <c r="CN50" s="338"/>
      <c r="CO50" s="338"/>
      <c r="CP50" s="338"/>
      <c r="CQ50" s="338"/>
      <c r="CR50" s="338"/>
      <c r="CS50" s="338"/>
      <c r="CT50" s="338"/>
      <c r="CU50" s="338"/>
      <c r="CV50" s="338"/>
      <c r="CW50" s="338"/>
      <c r="CX50" s="338"/>
      <c r="CY50" s="338"/>
      <c r="CZ50" s="338"/>
      <c r="DA50" s="338"/>
      <c r="DB50" s="338"/>
      <c r="DC50" s="338"/>
      <c r="DD50" s="338"/>
      <c r="DE50" s="338"/>
      <c r="DF50" s="338"/>
      <c r="DG50" s="338"/>
      <c r="DH50" s="338"/>
      <c r="DI50" s="338"/>
      <c r="DJ50" s="338"/>
      <c r="DK50" s="338"/>
      <c r="DL50" s="338"/>
      <c r="DM50" s="338"/>
      <c r="DN50" s="338"/>
      <c r="DO50" s="338"/>
      <c r="DP50" s="338"/>
      <c r="DQ50" s="338"/>
      <c r="DR50" s="338"/>
      <c r="DS50" s="338"/>
      <c r="DT50" s="338"/>
      <c r="DU50" s="338"/>
      <c r="DV50" s="338"/>
      <c r="DW50" s="338"/>
      <c r="DX50" s="338"/>
      <c r="DY50" s="338"/>
      <c r="DZ50" s="338"/>
      <c r="EA50" s="338"/>
      <c r="EB50" s="338"/>
      <c r="EC50" s="338"/>
      <c r="ED50" s="338"/>
      <c r="EE50" s="338"/>
      <c r="EF50" s="338"/>
      <c r="EG50" s="338"/>
      <c r="EH50" s="338"/>
      <c r="EI50" s="338"/>
      <c r="EJ50" s="338"/>
      <c r="EK50" s="338"/>
      <c r="EL50" s="340"/>
      <c r="EM50" s="341"/>
      <c r="EN50" s="341"/>
      <c r="EO50" s="341"/>
      <c r="EP50" s="341"/>
      <c r="EQ50" s="342"/>
    </row>
    <row r="51" spans="1:149" ht="11.45" customHeight="1">
      <c r="B51" s="337"/>
      <c r="C51" s="338"/>
      <c r="D51" s="338"/>
      <c r="E51" s="338"/>
      <c r="F51" s="338"/>
      <c r="G51" s="338"/>
      <c r="H51" s="338"/>
      <c r="I51" s="338"/>
      <c r="J51" s="338"/>
      <c r="K51" s="338"/>
      <c r="L51" s="339"/>
      <c r="M51" s="339"/>
      <c r="N51" s="339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C51" s="338"/>
      <c r="AD51" s="338"/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9"/>
      <c r="BT51" s="338"/>
      <c r="BU51" s="338"/>
      <c r="BV51" s="338"/>
      <c r="BW51" s="338"/>
      <c r="BX51" s="338"/>
      <c r="BY51" s="338"/>
      <c r="BZ51" s="338"/>
      <c r="CA51" s="338"/>
      <c r="CB51" s="338"/>
      <c r="CC51" s="338"/>
      <c r="CD51" s="338"/>
      <c r="CE51" s="338"/>
      <c r="CF51" s="338"/>
      <c r="CG51" s="338"/>
      <c r="CH51" s="338"/>
      <c r="CI51" s="338"/>
      <c r="CJ51" s="338"/>
      <c r="CK51" s="338"/>
      <c r="CL51" s="338"/>
      <c r="CM51" s="338"/>
      <c r="CN51" s="338"/>
      <c r="CO51" s="338"/>
      <c r="CP51" s="338"/>
      <c r="CQ51" s="338"/>
      <c r="CR51" s="338"/>
      <c r="CS51" s="338"/>
      <c r="CT51" s="338"/>
      <c r="CU51" s="338"/>
      <c r="CV51" s="338"/>
      <c r="CW51" s="338"/>
      <c r="CX51" s="338"/>
      <c r="CY51" s="338"/>
      <c r="CZ51" s="338"/>
      <c r="DA51" s="338"/>
      <c r="DB51" s="338"/>
      <c r="DC51" s="338"/>
      <c r="DD51" s="338"/>
      <c r="DE51" s="338"/>
      <c r="DF51" s="338"/>
      <c r="DG51" s="338"/>
      <c r="DH51" s="338"/>
      <c r="DI51" s="338"/>
      <c r="DJ51" s="338"/>
      <c r="DK51" s="338"/>
      <c r="DL51" s="338"/>
      <c r="DM51" s="338"/>
      <c r="DN51" s="338"/>
      <c r="DO51" s="338"/>
      <c r="DP51" s="338"/>
      <c r="DQ51" s="338"/>
      <c r="DR51" s="338"/>
      <c r="DS51" s="338"/>
      <c r="DT51" s="338"/>
      <c r="DU51" s="338"/>
      <c r="DV51" s="338"/>
      <c r="DW51" s="338"/>
      <c r="DX51" s="338"/>
      <c r="DY51" s="338"/>
      <c r="DZ51" s="338"/>
      <c r="EA51" s="338"/>
      <c r="EB51" s="338"/>
      <c r="EC51" s="338"/>
      <c r="ED51" s="338"/>
      <c r="EE51" s="338"/>
      <c r="EF51" s="338"/>
      <c r="EG51" s="338"/>
      <c r="EH51" s="338"/>
      <c r="EI51" s="338"/>
      <c r="EJ51" s="338"/>
      <c r="EK51" s="338"/>
      <c r="EL51" s="340"/>
      <c r="EM51" s="341"/>
      <c r="EN51" s="341"/>
      <c r="EO51" s="341"/>
      <c r="EP51" s="341"/>
      <c r="EQ51" s="342"/>
    </row>
    <row r="52" spans="1:149" ht="11.45" customHeight="1">
      <c r="B52" s="346"/>
      <c r="C52" s="347"/>
      <c r="D52" s="347"/>
      <c r="E52" s="347"/>
      <c r="F52" s="347"/>
      <c r="G52" s="347"/>
      <c r="H52" s="347"/>
      <c r="I52" s="347"/>
      <c r="J52" s="347"/>
      <c r="K52" s="347"/>
      <c r="L52" s="348"/>
      <c r="M52" s="348"/>
      <c r="N52" s="348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  <c r="BB52" s="347"/>
      <c r="BC52" s="347"/>
      <c r="BD52" s="347"/>
      <c r="BE52" s="347"/>
      <c r="BF52" s="347"/>
      <c r="BG52" s="347"/>
      <c r="BH52" s="347"/>
      <c r="BI52" s="347"/>
      <c r="BJ52" s="347"/>
      <c r="BK52" s="347"/>
      <c r="BL52" s="347"/>
      <c r="BM52" s="347"/>
      <c r="BN52" s="347"/>
      <c r="BO52" s="347"/>
      <c r="BP52" s="347"/>
      <c r="BQ52" s="347"/>
      <c r="BR52" s="347"/>
      <c r="BS52" s="348"/>
      <c r="BT52" s="347"/>
      <c r="BU52" s="347"/>
      <c r="BV52" s="347"/>
      <c r="BW52" s="347"/>
      <c r="BX52" s="347"/>
      <c r="BY52" s="347"/>
      <c r="BZ52" s="347"/>
      <c r="CA52" s="347"/>
      <c r="CB52" s="347"/>
      <c r="CC52" s="347"/>
      <c r="CD52" s="347"/>
      <c r="CE52" s="347"/>
      <c r="CF52" s="347"/>
      <c r="CG52" s="347"/>
      <c r="CH52" s="347"/>
      <c r="CI52" s="347"/>
      <c r="CJ52" s="347"/>
      <c r="CK52" s="347"/>
      <c r="CL52" s="347"/>
      <c r="CM52" s="347"/>
      <c r="CN52" s="347"/>
      <c r="CO52" s="347"/>
      <c r="CP52" s="347"/>
      <c r="CQ52" s="347"/>
      <c r="CR52" s="347"/>
      <c r="CS52" s="347"/>
      <c r="CT52" s="347"/>
      <c r="CU52" s="347"/>
      <c r="CV52" s="347"/>
      <c r="CW52" s="347"/>
      <c r="CX52" s="347"/>
      <c r="CY52" s="347"/>
      <c r="CZ52" s="347"/>
      <c r="DA52" s="347"/>
      <c r="DB52" s="347"/>
      <c r="DC52" s="347"/>
      <c r="DD52" s="347"/>
      <c r="DE52" s="347"/>
      <c r="DF52" s="347"/>
      <c r="DG52" s="347"/>
      <c r="DH52" s="347"/>
      <c r="DI52" s="347"/>
      <c r="DJ52" s="347"/>
      <c r="DK52" s="347"/>
      <c r="DL52" s="347"/>
      <c r="DM52" s="347"/>
      <c r="DN52" s="347"/>
      <c r="DO52" s="347"/>
      <c r="DP52" s="347"/>
      <c r="DQ52" s="347"/>
      <c r="DR52" s="347"/>
      <c r="DS52" s="347"/>
      <c r="DT52" s="347"/>
      <c r="DU52" s="347"/>
      <c r="DV52" s="347"/>
      <c r="DW52" s="347"/>
      <c r="DX52" s="347"/>
      <c r="DY52" s="347"/>
      <c r="DZ52" s="347"/>
      <c r="EA52" s="347"/>
      <c r="EB52" s="347"/>
      <c r="EC52" s="347"/>
      <c r="ED52" s="347"/>
      <c r="EE52" s="347"/>
      <c r="EF52" s="347"/>
      <c r="EG52" s="347"/>
      <c r="EH52" s="347"/>
      <c r="EI52" s="347"/>
      <c r="EJ52" s="347"/>
      <c r="EK52" s="347"/>
      <c r="EL52" s="349"/>
      <c r="EM52" s="353"/>
      <c r="EN52" s="353"/>
      <c r="EO52" s="353"/>
      <c r="EP52" s="353"/>
      <c r="EQ52" s="354"/>
    </row>
    <row r="53" spans="1:149" ht="11.45" customHeight="1">
      <c r="B53" s="334"/>
      <c r="C53" s="335"/>
      <c r="D53" s="335"/>
      <c r="E53" s="335"/>
      <c r="F53" s="335"/>
      <c r="G53" s="335"/>
      <c r="H53" s="335"/>
      <c r="I53" s="335"/>
      <c r="J53" s="335"/>
      <c r="K53" s="335"/>
      <c r="L53" s="298"/>
      <c r="M53" s="298"/>
      <c r="N53" s="298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O53" s="335"/>
      <c r="AP53" s="335"/>
      <c r="AQ53" s="335"/>
      <c r="AR53" s="335"/>
      <c r="AS53" s="335"/>
      <c r="AT53" s="335"/>
      <c r="AU53" s="335"/>
      <c r="AV53" s="335"/>
      <c r="AW53" s="335"/>
      <c r="AX53" s="335"/>
      <c r="AY53" s="335"/>
      <c r="AZ53" s="335"/>
      <c r="BA53" s="335"/>
      <c r="BB53" s="335"/>
      <c r="BC53" s="335"/>
      <c r="BD53" s="335"/>
      <c r="BE53" s="335"/>
      <c r="BF53" s="335"/>
      <c r="BG53" s="335"/>
      <c r="BH53" s="335"/>
      <c r="BI53" s="335"/>
      <c r="BJ53" s="335"/>
      <c r="BK53" s="335"/>
      <c r="BL53" s="335"/>
      <c r="BM53" s="335"/>
      <c r="BN53" s="335"/>
      <c r="BO53" s="335"/>
      <c r="BP53" s="335"/>
      <c r="BQ53" s="335"/>
      <c r="BR53" s="335"/>
      <c r="BS53" s="298"/>
      <c r="BT53" s="335"/>
      <c r="BU53" s="335"/>
      <c r="BV53" s="335"/>
      <c r="BW53" s="335"/>
      <c r="BX53" s="335"/>
      <c r="BY53" s="335"/>
      <c r="BZ53" s="335"/>
      <c r="CA53" s="335"/>
      <c r="CB53" s="335"/>
      <c r="CC53" s="335"/>
      <c r="CD53" s="335"/>
      <c r="CE53" s="335"/>
      <c r="CF53" s="335"/>
      <c r="CG53" s="335"/>
      <c r="CH53" s="335"/>
      <c r="CI53" s="335"/>
      <c r="CJ53" s="335"/>
      <c r="CK53" s="335"/>
      <c r="CL53" s="335"/>
      <c r="CM53" s="335"/>
      <c r="CN53" s="335"/>
      <c r="CO53" s="335"/>
      <c r="CP53" s="335"/>
      <c r="CQ53" s="335"/>
      <c r="CR53" s="335"/>
      <c r="CS53" s="335"/>
      <c r="CT53" s="335"/>
      <c r="CU53" s="335"/>
      <c r="CV53" s="335"/>
      <c r="CW53" s="335"/>
      <c r="CX53" s="335"/>
      <c r="CY53" s="335"/>
      <c r="CZ53" s="335"/>
      <c r="DA53" s="335"/>
      <c r="DB53" s="335"/>
      <c r="DC53" s="335"/>
      <c r="DD53" s="335"/>
      <c r="DE53" s="335"/>
      <c r="DF53" s="335"/>
      <c r="DG53" s="335"/>
      <c r="DH53" s="335"/>
      <c r="DI53" s="335"/>
      <c r="DJ53" s="335"/>
      <c r="DK53" s="335"/>
      <c r="DL53" s="335"/>
      <c r="DM53" s="335"/>
      <c r="DN53" s="335"/>
      <c r="DO53" s="335"/>
      <c r="DP53" s="335"/>
      <c r="DQ53" s="335"/>
      <c r="DR53" s="335"/>
      <c r="DS53" s="335"/>
      <c r="DT53" s="335"/>
      <c r="DU53" s="335"/>
      <c r="DV53" s="335"/>
      <c r="DW53" s="335"/>
      <c r="DX53" s="335"/>
      <c r="DY53" s="335"/>
      <c r="DZ53" s="335"/>
      <c r="EA53" s="335"/>
      <c r="EB53" s="335"/>
      <c r="EC53" s="335"/>
      <c r="ED53" s="335"/>
      <c r="EE53" s="335"/>
      <c r="EF53" s="335"/>
      <c r="EG53" s="335"/>
      <c r="EH53" s="335"/>
      <c r="EI53" s="335"/>
      <c r="EJ53" s="335"/>
      <c r="EK53" s="335"/>
      <c r="EL53" s="335"/>
      <c r="EM53" s="251"/>
      <c r="EN53" s="251"/>
      <c r="EO53" s="251"/>
      <c r="EP53" s="251"/>
      <c r="EQ53" s="252"/>
    </row>
    <row r="54" spans="1:149" s="243" customFormat="1" ht="11.25" customHeight="1">
      <c r="B54" s="343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1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5"/>
      <c r="EN54" s="245"/>
      <c r="EO54" s="245"/>
      <c r="EP54" s="245"/>
      <c r="EQ54" s="351"/>
    </row>
    <row r="55" spans="1:149" s="243" customFormat="1" ht="11.25" customHeight="1">
      <c r="A55" s="243">
        <v>3</v>
      </c>
      <c r="B55" s="343"/>
      <c r="C55" s="1781">
        <f>A55</f>
        <v>3</v>
      </c>
      <c r="D55" s="1781"/>
      <c r="E55" s="344" t="s">
        <v>879</v>
      </c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1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2" t="e">
        <f>EM83</f>
        <v>#REF!</v>
      </c>
      <c r="EN55" s="242" t="e">
        <f>EN83</f>
        <v>#REF!</v>
      </c>
      <c r="EO55" s="242" t="e">
        <f>EO83</f>
        <v>#REF!</v>
      </c>
      <c r="EP55" s="242" t="e">
        <f>EP83</f>
        <v>#REF!</v>
      </c>
      <c r="EQ55" s="312" t="s">
        <v>903</v>
      </c>
      <c r="ES55" s="800">
        <f>A55</f>
        <v>3</v>
      </c>
    </row>
    <row r="56" spans="1:149" s="243" customFormat="1" ht="11.25" customHeight="1">
      <c r="B56" s="343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1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5"/>
      <c r="EN56" s="245"/>
      <c r="EO56" s="245"/>
      <c r="EP56" s="245"/>
      <c r="EQ56" s="351"/>
    </row>
    <row r="57" spans="1:149" s="243" customFormat="1" ht="11.25" customHeight="1">
      <c r="B57" s="343"/>
      <c r="C57" s="240"/>
      <c r="D57" s="240"/>
      <c r="E57" s="240" t="s">
        <v>674</v>
      </c>
      <c r="F57" s="240"/>
      <c r="G57" s="240"/>
      <c r="H57" s="240" t="s">
        <v>557</v>
      </c>
      <c r="I57" s="240"/>
      <c r="J57" s="240"/>
      <c r="K57" s="240" t="s">
        <v>96</v>
      </c>
      <c r="L57" s="240"/>
      <c r="M57" s="240" t="s">
        <v>147</v>
      </c>
      <c r="N57" s="240" t="s">
        <v>552</v>
      </c>
      <c r="O57" s="240"/>
      <c r="P57" s="240" t="s">
        <v>657</v>
      </c>
      <c r="Q57" s="240" t="s">
        <v>148</v>
      </c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1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5"/>
      <c r="EN57" s="245"/>
      <c r="EO57" s="245"/>
      <c r="EP57" s="245"/>
      <c r="EQ57" s="351"/>
    </row>
    <row r="58" spans="1:149" s="243" customFormat="1" ht="11.25" customHeight="1">
      <c r="B58" s="343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1"/>
      <c r="DA58" s="241"/>
      <c r="DB58" s="241"/>
      <c r="DC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DR58" s="241"/>
      <c r="DS58" s="241"/>
      <c r="DT58" s="241"/>
      <c r="DU58" s="241"/>
      <c r="DV58" s="241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5"/>
      <c r="EN58" s="245"/>
      <c r="EO58" s="245"/>
      <c r="EP58" s="245"/>
      <c r="EQ58" s="351"/>
    </row>
    <row r="59" spans="1:149" s="243" customFormat="1" ht="11.25" customHeight="1">
      <c r="B59" s="343"/>
      <c r="C59" s="240"/>
      <c r="D59" s="240"/>
      <c r="E59" s="240"/>
      <c r="F59" s="240"/>
      <c r="G59" s="240"/>
      <c r="H59" s="240" t="s">
        <v>691</v>
      </c>
      <c r="I59" s="240"/>
      <c r="J59" s="240"/>
      <c r="K59" s="240"/>
      <c r="L59" s="240"/>
      <c r="M59" s="240"/>
      <c r="N59" s="240"/>
      <c r="O59" s="240"/>
      <c r="P59" s="240"/>
      <c r="Q59" s="240"/>
      <c r="R59" s="240" t="s">
        <v>827</v>
      </c>
      <c r="S59" s="240"/>
      <c r="T59" s="240"/>
      <c r="U59" s="240"/>
      <c r="V59" s="240"/>
      <c r="W59" s="240"/>
      <c r="X59" s="240"/>
      <c r="Y59" s="240"/>
      <c r="Z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1"/>
      <c r="DA59" s="241"/>
      <c r="DB59" s="241"/>
      <c r="DC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DR59" s="241"/>
      <c r="DS59" s="241"/>
      <c r="DT59" s="241"/>
      <c r="DU59" s="241"/>
      <c r="DV59" s="241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5"/>
      <c r="EN59" s="245"/>
      <c r="EO59" s="245"/>
      <c r="EP59" s="245"/>
      <c r="EQ59" s="351"/>
    </row>
    <row r="60" spans="1:149" s="243" customFormat="1" ht="11.25" customHeight="1">
      <c r="B60" s="343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1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5"/>
      <c r="EN60" s="245"/>
      <c r="EO60" s="245"/>
      <c r="EP60" s="245"/>
      <c r="EQ60" s="351"/>
    </row>
    <row r="61" spans="1:149" s="243" customFormat="1" ht="11.25" customHeight="1">
      <c r="B61" s="343"/>
      <c r="C61" s="240"/>
      <c r="D61" s="240"/>
      <c r="E61" s="240"/>
      <c r="F61" s="240"/>
      <c r="G61" s="240"/>
      <c r="H61" s="240" t="s">
        <v>773</v>
      </c>
      <c r="I61" s="240"/>
      <c r="J61" s="240" t="s">
        <v>134</v>
      </c>
      <c r="K61" s="240"/>
      <c r="L61" s="240" t="str">
        <f>TEXT(0.2,"#,##0.#######")</f>
        <v>0.2</v>
      </c>
      <c r="M61" s="240"/>
      <c r="N61" s="240"/>
      <c r="O61" s="240" t="s">
        <v>91</v>
      </c>
      <c r="P61" s="240"/>
      <c r="Q61" s="240"/>
      <c r="R61" s="240"/>
      <c r="S61" s="240"/>
      <c r="T61" s="240"/>
      <c r="U61" s="240"/>
      <c r="V61" s="240"/>
      <c r="W61" s="240" t="s">
        <v>774</v>
      </c>
      <c r="X61" s="240"/>
      <c r="Y61" s="240" t="s">
        <v>134</v>
      </c>
      <c r="Z61" s="240"/>
      <c r="AA61" s="240" t="str">
        <f>TEXT(1,"#,##0.#######")</f>
        <v>1.</v>
      </c>
      <c r="AB61" s="240"/>
      <c r="AC61" s="240" t="s">
        <v>139</v>
      </c>
      <c r="AD61" s="240"/>
      <c r="AE61" s="240" t="str">
        <f>TEXT(1.24,"#,##0.#######")</f>
        <v>1.24</v>
      </c>
      <c r="AF61" s="240"/>
      <c r="AG61" s="240"/>
      <c r="AH61" s="240"/>
      <c r="AI61" s="240"/>
      <c r="AJ61" s="240" t="s">
        <v>134</v>
      </c>
      <c r="AK61" s="240"/>
      <c r="AL61" s="240" t="str">
        <f>TEXT(ROUND(AA61/AE61,2),"#,##0.#######")</f>
        <v>0.81</v>
      </c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 t="s">
        <v>775</v>
      </c>
      <c r="AX61" s="240"/>
      <c r="AY61" s="240" t="s">
        <v>134</v>
      </c>
      <c r="AZ61" s="240"/>
      <c r="BA61" s="240" t="str">
        <f>TEXT(0.9,"#,##0.#######")</f>
        <v>0.9</v>
      </c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1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5"/>
      <c r="EN61" s="245"/>
      <c r="EO61" s="245"/>
      <c r="EP61" s="245"/>
      <c r="EQ61" s="351"/>
    </row>
    <row r="62" spans="1:149" s="243" customFormat="1" ht="11.25" customHeight="1">
      <c r="B62" s="343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1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5"/>
      <c r="EN62" s="245"/>
      <c r="EO62" s="245"/>
      <c r="EP62" s="245"/>
      <c r="EQ62" s="351"/>
    </row>
    <row r="63" spans="1:149" s="243" customFormat="1" ht="11.25" customHeight="1">
      <c r="B63" s="343"/>
      <c r="C63" s="240"/>
      <c r="D63" s="240"/>
      <c r="E63" s="240"/>
      <c r="F63" s="240"/>
      <c r="G63" s="240"/>
      <c r="H63" s="240" t="s">
        <v>692</v>
      </c>
      <c r="I63" s="240"/>
      <c r="J63" s="240" t="s">
        <v>134</v>
      </c>
      <c r="K63" s="240"/>
      <c r="L63" s="240" t="s">
        <v>147</v>
      </c>
      <c r="M63" s="240" t="str">
        <f>TEXT(0.7,"#,##0.#######")</f>
        <v>0.7</v>
      </c>
      <c r="N63" s="240"/>
      <c r="O63" s="240"/>
      <c r="P63" s="240" t="s">
        <v>130</v>
      </c>
      <c r="Q63" s="240" t="str">
        <f>TEXT(0.6,"#,##0.#######")</f>
        <v>0.6</v>
      </c>
      <c r="R63" s="240"/>
      <c r="S63" s="240"/>
      <c r="T63" s="240" t="s">
        <v>148</v>
      </c>
      <c r="U63" s="240" t="s">
        <v>139</v>
      </c>
      <c r="V63" s="240" t="str">
        <f>TEXT(2,"#,##0.#######")</f>
        <v>2.</v>
      </c>
      <c r="W63" s="240" t="s">
        <v>131</v>
      </c>
      <c r="X63" s="240" t="str">
        <f>TEXT(0.05,"#,##0.#######")</f>
        <v>0.05</v>
      </c>
      <c r="Y63" s="240"/>
      <c r="Z63" s="240"/>
      <c r="AA63" s="240"/>
      <c r="AB63" s="240"/>
      <c r="AC63" s="240" t="s">
        <v>134</v>
      </c>
      <c r="AD63" s="240"/>
      <c r="AE63" s="240" t="str">
        <f>TEXT(ROUND((M63+Q63)/V63-X63,2),"#,##0.#######")</f>
        <v>0.6</v>
      </c>
      <c r="AF63" s="240"/>
      <c r="AG63" s="240"/>
      <c r="AH63" s="240"/>
      <c r="AI63" s="240"/>
      <c r="AJ63" s="240"/>
      <c r="AK63" s="240"/>
      <c r="AL63" s="240"/>
      <c r="AM63" s="240"/>
      <c r="AN63" s="240"/>
      <c r="AO63" s="240" t="s">
        <v>693</v>
      </c>
      <c r="AP63" s="240"/>
      <c r="AQ63" s="240"/>
      <c r="AR63" s="240" t="s">
        <v>134</v>
      </c>
      <c r="AS63" s="240"/>
      <c r="AT63" s="240" t="str">
        <f>TEXT(18,"#,##0.#######")</f>
        <v>18.</v>
      </c>
      <c r="AU63" s="240"/>
      <c r="AV63" s="240" t="s">
        <v>776</v>
      </c>
      <c r="AW63" s="240"/>
      <c r="AX63" s="240"/>
      <c r="AY63" s="240"/>
      <c r="AZ63" s="240" t="s">
        <v>147</v>
      </c>
      <c r="BA63" s="240" t="s">
        <v>553</v>
      </c>
      <c r="BB63" s="240"/>
      <c r="BC63" s="240"/>
      <c r="BD63" s="240" t="s">
        <v>777</v>
      </c>
      <c r="BE63" s="240"/>
      <c r="BF63" s="240" t="s">
        <v>148</v>
      </c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5"/>
      <c r="EN63" s="245"/>
      <c r="EO63" s="245"/>
      <c r="EP63" s="245"/>
      <c r="EQ63" s="351"/>
    </row>
    <row r="64" spans="1:149" s="243" customFormat="1" ht="11.25" customHeight="1">
      <c r="B64" s="343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5"/>
      <c r="EN64" s="245"/>
      <c r="EO64" s="245"/>
      <c r="EP64" s="245"/>
      <c r="EQ64" s="351"/>
    </row>
    <row r="65" spans="2:147" s="243" customFormat="1" ht="11.25" customHeight="1">
      <c r="B65" s="343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 t="str">
        <f>TEXT(3600,"#,##0.#######")</f>
        <v>3,600.</v>
      </c>
      <c r="N65" s="240"/>
      <c r="O65" s="240"/>
      <c r="P65" s="240"/>
      <c r="Q65" s="240"/>
      <c r="R65" s="240" t="s">
        <v>652</v>
      </c>
      <c r="S65" s="240"/>
      <c r="T65" s="240" t="s">
        <v>773</v>
      </c>
      <c r="U65" s="240" t="s">
        <v>652</v>
      </c>
      <c r="V65" s="240"/>
      <c r="W65" s="240" t="s">
        <v>775</v>
      </c>
      <c r="X65" s="240" t="s">
        <v>652</v>
      </c>
      <c r="Y65" s="240"/>
      <c r="Z65" s="240" t="s">
        <v>774</v>
      </c>
      <c r="AA65" s="240" t="s">
        <v>652</v>
      </c>
      <c r="AB65" s="240"/>
      <c r="AC65" s="240" t="s">
        <v>692</v>
      </c>
      <c r="AD65" s="240"/>
      <c r="AE65" s="240"/>
      <c r="AF65" s="240"/>
      <c r="AG65" s="240"/>
      <c r="AH65" s="240"/>
      <c r="AI65" s="240"/>
      <c r="AJ65" s="240" t="str">
        <f>TEXT(M65,"#,##0.#######")</f>
        <v>3,600.</v>
      </c>
      <c r="AK65" s="240"/>
      <c r="AL65" s="240"/>
      <c r="AM65" s="240"/>
      <c r="AN65" s="240"/>
      <c r="AO65" s="240" t="s">
        <v>652</v>
      </c>
      <c r="AP65" s="240"/>
      <c r="AQ65" s="240" t="str">
        <f>TEXT(L61,"#,##0.#######")</f>
        <v>0.2</v>
      </c>
      <c r="AR65" s="240"/>
      <c r="AS65" s="240"/>
      <c r="AT65" s="240" t="s">
        <v>652</v>
      </c>
      <c r="AU65" s="240"/>
      <c r="AV65" s="240" t="str">
        <f>TEXT(BA61,"#,##0.#######")</f>
        <v>0.9</v>
      </c>
      <c r="AW65" s="240"/>
      <c r="AX65" s="240"/>
      <c r="AY65" s="240" t="s">
        <v>652</v>
      </c>
      <c r="AZ65" s="240"/>
      <c r="BA65" s="240" t="str">
        <f>TEXT(AL61,"#,##0.#######")</f>
        <v>0.81</v>
      </c>
      <c r="BB65" s="240"/>
      <c r="BC65" s="240"/>
      <c r="BD65" s="240"/>
      <c r="BE65" s="240" t="s">
        <v>652</v>
      </c>
      <c r="BF65" s="240"/>
      <c r="BG65" s="240" t="str">
        <f>TEXT(AE63,"#,##0.#######")</f>
        <v>0.6</v>
      </c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1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5"/>
      <c r="EN65" s="245"/>
      <c r="EO65" s="245"/>
      <c r="EP65" s="245"/>
      <c r="EQ65" s="351"/>
    </row>
    <row r="66" spans="2:147" s="243" customFormat="1" ht="11.25" customHeight="1">
      <c r="B66" s="343"/>
      <c r="C66" s="240"/>
      <c r="D66" s="240"/>
      <c r="E66" s="240"/>
      <c r="F66" s="240"/>
      <c r="G66" s="240"/>
      <c r="H66" s="240" t="s">
        <v>687</v>
      </c>
      <c r="I66" s="240"/>
      <c r="J66" s="240" t="s">
        <v>134</v>
      </c>
      <c r="K66" s="240"/>
      <c r="L66" s="240" t="s">
        <v>694</v>
      </c>
      <c r="M66" s="240"/>
      <c r="N66" s="240" t="s">
        <v>694</v>
      </c>
      <c r="O66" s="240"/>
      <c r="P66" s="240" t="s">
        <v>694</v>
      </c>
      <c r="Q66" s="240"/>
      <c r="R66" s="240" t="s">
        <v>694</v>
      </c>
      <c r="S66" s="240"/>
      <c r="T66" s="240" t="s">
        <v>694</v>
      </c>
      <c r="U66" s="240"/>
      <c r="V66" s="240" t="s">
        <v>694</v>
      </c>
      <c r="W66" s="240"/>
      <c r="X66" s="240" t="s">
        <v>694</v>
      </c>
      <c r="Y66" s="240"/>
      <c r="Z66" s="240" t="s">
        <v>694</v>
      </c>
      <c r="AA66" s="240"/>
      <c r="AB66" s="240" t="s">
        <v>694</v>
      </c>
      <c r="AC66" s="240"/>
      <c r="AD66" s="240" t="s">
        <v>694</v>
      </c>
      <c r="AE66" s="240"/>
      <c r="AF66" s="240"/>
      <c r="AG66" s="240" t="s">
        <v>134</v>
      </c>
      <c r="AH66" s="240"/>
      <c r="AI66" s="240" t="s">
        <v>694</v>
      </c>
      <c r="AJ66" s="240"/>
      <c r="AK66" s="240" t="s">
        <v>694</v>
      </c>
      <c r="AL66" s="240"/>
      <c r="AM66" s="240" t="s">
        <v>694</v>
      </c>
      <c r="AN66" s="240"/>
      <c r="AO66" s="240" t="s">
        <v>694</v>
      </c>
      <c r="AP66" s="240"/>
      <c r="AQ66" s="240" t="s">
        <v>694</v>
      </c>
      <c r="AR66" s="240"/>
      <c r="AS66" s="240" t="s">
        <v>694</v>
      </c>
      <c r="AT66" s="240"/>
      <c r="AU66" s="240" t="s">
        <v>694</v>
      </c>
      <c r="AV66" s="240"/>
      <c r="AW66" s="240" t="s">
        <v>694</v>
      </c>
      <c r="AX66" s="240"/>
      <c r="AY66" s="240" t="s">
        <v>694</v>
      </c>
      <c r="AZ66" s="240"/>
      <c r="BA66" s="240" t="s">
        <v>694</v>
      </c>
      <c r="BB66" s="240"/>
      <c r="BC66" s="240" t="s">
        <v>694</v>
      </c>
      <c r="BD66" s="240"/>
      <c r="BE66" s="240" t="s">
        <v>694</v>
      </c>
      <c r="BF66" s="240"/>
      <c r="BG66" s="240" t="s">
        <v>694</v>
      </c>
      <c r="BH66" s="240"/>
      <c r="BI66" s="240" t="s">
        <v>694</v>
      </c>
      <c r="BJ66" s="240"/>
      <c r="BK66" s="240" t="s">
        <v>134</v>
      </c>
      <c r="BL66" s="240" t="str">
        <f>TEXT(ROUND((3600*L61*BA61*AL61*AE63)/(AT63),2),"#,##0.#######")</f>
        <v>17.5</v>
      </c>
      <c r="BN66" s="240"/>
      <c r="BO66" s="240" t="s">
        <v>91</v>
      </c>
      <c r="BP66" s="240"/>
      <c r="BQ66" s="240" t="s">
        <v>139</v>
      </c>
      <c r="BR66" s="240" t="s">
        <v>618</v>
      </c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5"/>
      <c r="EN66" s="245"/>
      <c r="EO66" s="245"/>
      <c r="EP66" s="245"/>
      <c r="EQ66" s="351"/>
    </row>
    <row r="67" spans="2:147" s="243" customFormat="1" ht="11.25" customHeight="1">
      <c r="B67" s="343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 t="s">
        <v>693</v>
      </c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 t="str">
        <f>TEXT(AT63,"#,##0.#######")</f>
        <v>18.</v>
      </c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1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5"/>
      <c r="EN67" s="245"/>
      <c r="EO67" s="245"/>
      <c r="EP67" s="245"/>
      <c r="EQ67" s="351"/>
    </row>
    <row r="68" spans="2:147" s="243" customFormat="1" ht="11.25" customHeight="1">
      <c r="B68" s="343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1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5"/>
      <c r="EN68" s="245"/>
      <c r="EO68" s="245"/>
      <c r="EP68" s="245"/>
      <c r="EQ68" s="351"/>
    </row>
    <row r="69" spans="2:147" s="243" customFormat="1" ht="11.25" customHeight="1">
      <c r="B69" s="343"/>
      <c r="C69" s="240"/>
      <c r="D69" s="240"/>
      <c r="E69" s="240"/>
      <c r="F69" s="240"/>
      <c r="G69" s="240"/>
      <c r="H69" s="240" t="s">
        <v>616</v>
      </c>
      <c r="I69" s="240"/>
      <c r="J69" s="240"/>
      <c r="K69" s="240"/>
      <c r="L69" s="240"/>
      <c r="M69" s="240"/>
      <c r="N69" s="240"/>
      <c r="O69" s="240" t="s">
        <v>132</v>
      </c>
      <c r="P69" s="240"/>
      <c r="Q69" s="1780" t="e">
        <f>#REF!</f>
        <v>#REF!</v>
      </c>
      <c r="R69" s="1780"/>
      <c r="S69" s="1780"/>
      <c r="T69" s="1780"/>
      <c r="U69" s="1780"/>
      <c r="V69" s="240"/>
      <c r="W69" s="240"/>
      <c r="X69" s="240"/>
      <c r="Y69" s="240"/>
      <c r="Z69" s="240" t="s">
        <v>683</v>
      </c>
      <c r="AA69" s="240"/>
      <c r="AB69" s="240"/>
      <c r="AC69" s="240" t="str">
        <f>TEXT(BL66,"#,##0.#######")</f>
        <v>17.5</v>
      </c>
      <c r="AD69" s="240"/>
      <c r="AE69" s="240"/>
      <c r="AF69" s="240"/>
      <c r="AG69" s="240"/>
      <c r="AH69" s="240"/>
      <c r="AI69" s="240"/>
      <c r="AJ69" s="240" t="s">
        <v>652</v>
      </c>
      <c r="AK69" s="240"/>
      <c r="AL69" s="240" t="str">
        <f>TEXT(0.9,"#,##0.#######")</f>
        <v>0.9</v>
      </c>
      <c r="AM69" s="240"/>
      <c r="AN69" s="240"/>
      <c r="AO69" s="240"/>
      <c r="AP69" s="240" t="s">
        <v>134</v>
      </c>
      <c r="AQ69" s="240"/>
      <c r="AR69" s="240" t="e">
        <f>TEXT(TRUNC(Q69/BL66*AL69,1),"#,##0.#")</f>
        <v>#REF!</v>
      </c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1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5"/>
      <c r="EN69" s="245"/>
      <c r="EO69" s="245"/>
      <c r="EP69" s="245"/>
      <c r="EQ69" s="351"/>
    </row>
    <row r="70" spans="2:147" s="243" customFormat="1" ht="11.25" customHeight="1">
      <c r="B70" s="343"/>
      <c r="C70" s="240"/>
      <c r="D70" s="240"/>
      <c r="E70" s="240"/>
      <c r="F70" s="240"/>
      <c r="G70" s="240"/>
      <c r="H70" s="240" t="s">
        <v>617</v>
      </c>
      <c r="I70" s="240"/>
      <c r="J70" s="240"/>
      <c r="K70" s="240"/>
      <c r="L70" s="240"/>
      <c r="M70" s="240"/>
      <c r="N70" s="240"/>
      <c r="O70" s="240" t="s">
        <v>132</v>
      </c>
      <c r="P70" s="240"/>
      <c r="Q70" s="1780" t="e">
        <f>#REF!</f>
        <v>#REF!</v>
      </c>
      <c r="R70" s="1780"/>
      <c r="S70" s="1780"/>
      <c r="T70" s="1780"/>
      <c r="U70" s="1780"/>
      <c r="V70" s="240"/>
      <c r="W70" s="240"/>
      <c r="X70" s="240"/>
      <c r="Y70" s="240"/>
      <c r="Z70" s="240" t="s">
        <v>683</v>
      </c>
      <c r="AA70" s="240"/>
      <c r="AB70" s="240"/>
      <c r="AC70" s="240" t="str">
        <f>TEXT(BL66,"#,##0.#######")</f>
        <v>17.5</v>
      </c>
      <c r="AD70" s="240"/>
      <c r="AE70" s="240"/>
      <c r="AF70" s="240"/>
      <c r="AG70" s="240"/>
      <c r="AH70" s="240"/>
      <c r="AI70" s="240"/>
      <c r="AJ70" s="240" t="s">
        <v>652</v>
      </c>
      <c r="AK70" s="240"/>
      <c r="AL70" s="240" t="str">
        <f>TEXT(0.9,"#,##0.#######")</f>
        <v>0.9</v>
      </c>
      <c r="AM70" s="240"/>
      <c r="AN70" s="240"/>
      <c r="AO70" s="240"/>
      <c r="AP70" s="240" t="s">
        <v>134</v>
      </c>
      <c r="AQ70" s="240"/>
      <c r="AR70" s="240" t="e">
        <f>TEXT(TRUNC(Q70/BL66*AL70,1),"#,##0.#")</f>
        <v>#REF!</v>
      </c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5"/>
      <c r="EN70" s="245"/>
      <c r="EO70" s="245"/>
      <c r="EP70" s="245"/>
      <c r="EQ70" s="351"/>
    </row>
    <row r="71" spans="2:147" s="243" customFormat="1" ht="11.25" customHeight="1">
      <c r="B71" s="343"/>
      <c r="C71" s="240"/>
      <c r="D71" s="240"/>
      <c r="E71" s="240"/>
      <c r="F71" s="240"/>
      <c r="G71" s="240"/>
      <c r="H71" s="240" t="s">
        <v>679</v>
      </c>
      <c r="I71" s="240"/>
      <c r="J71" s="240"/>
      <c r="K71" s="240"/>
      <c r="L71" s="240" t="s">
        <v>680</v>
      </c>
      <c r="M71" s="240"/>
      <c r="N71" s="240"/>
      <c r="O71" s="240" t="s">
        <v>132</v>
      </c>
      <c r="P71" s="240"/>
      <c r="Q71" s="1780" t="e">
        <f>#REF!</f>
        <v>#REF!</v>
      </c>
      <c r="R71" s="1780"/>
      <c r="S71" s="1780"/>
      <c r="T71" s="1780"/>
      <c r="U71" s="1780"/>
      <c r="V71" s="240"/>
      <c r="W71" s="240"/>
      <c r="X71" s="240"/>
      <c r="Y71" s="240"/>
      <c r="Z71" s="240" t="s">
        <v>683</v>
      </c>
      <c r="AA71" s="240"/>
      <c r="AB71" s="240"/>
      <c r="AC71" s="240" t="str">
        <f>TEXT(BL66,"#,##0.#######")</f>
        <v>17.5</v>
      </c>
      <c r="AD71" s="240"/>
      <c r="AE71" s="240"/>
      <c r="AF71" s="240"/>
      <c r="AG71" s="240"/>
      <c r="AH71" s="240"/>
      <c r="AI71" s="240"/>
      <c r="AJ71" s="240" t="s">
        <v>652</v>
      </c>
      <c r="AK71" s="240"/>
      <c r="AL71" s="240" t="str">
        <f>TEXT(0.9,"#,##0.#######")</f>
        <v>0.9</v>
      </c>
      <c r="AM71" s="240"/>
      <c r="AN71" s="240"/>
      <c r="AO71" s="240"/>
      <c r="AP71" s="240" t="s">
        <v>134</v>
      </c>
      <c r="AQ71" s="240"/>
      <c r="AR71" s="240" t="e">
        <f>TEXT(TRUNC(Q71/BL66*AL71,1),"#,##0.#")</f>
        <v>#REF!</v>
      </c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0"/>
      <c r="CQ71" s="240"/>
      <c r="CR71" s="240"/>
      <c r="CS71" s="240"/>
      <c r="CT71" s="240"/>
      <c r="CU71" s="240"/>
      <c r="CV71" s="240"/>
      <c r="CW71" s="240"/>
      <c r="CX71" s="240"/>
      <c r="CY71" s="240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1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5"/>
      <c r="EN71" s="245"/>
      <c r="EO71" s="245"/>
      <c r="EP71" s="245"/>
      <c r="EQ71" s="351"/>
    </row>
    <row r="72" spans="2:147" s="243" customFormat="1" ht="11.25" customHeight="1">
      <c r="B72" s="343"/>
      <c r="C72" s="240"/>
      <c r="D72" s="240"/>
      <c r="E72" s="240"/>
      <c r="F72" s="240"/>
      <c r="G72" s="240"/>
      <c r="H72" s="240" t="s">
        <v>688</v>
      </c>
      <c r="I72" s="240"/>
      <c r="J72" s="240"/>
      <c r="K72" s="240"/>
      <c r="L72" s="240" t="s">
        <v>96</v>
      </c>
      <c r="M72" s="240"/>
      <c r="N72" s="240"/>
      <c r="O72" s="240" t="s">
        <v>132</v>
      </c>
      <c r="P72" s="240"/>
      <c r="Q72" s="240" t="e">
        <f>TEXT(AR69+AR70+AR71,"#,##0.#######")</f>
        <v>#REF!</v>
      </c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  <c r="CW72" s="240"/>
      <c r="CX72" s="240"/>
      <c r="CY72" s="240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1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5" t="e">
        <f>EN72+EO72+EP72</f>
        <v>#REF!</v>
      </c>
      <c r="EN72" s="245" t="e">
        <f>TEXT(AR69,"#,###.0")</f>
        <v>#REF!</v>
      </c>
      <c r="EO72" s="245" t="e">
        <f>TEXT(AR70,"#,###.0")</f>
        <v>#REF!</v>
      </c>
      <c r="EP72" s="245" t="e">
        <f>TEXT(AR71,"#,###.0")</f>
        <v>#REF!</v>
      </c>
      <c r="EQ72" s="351"/>
    </row>
    <row r="73" spans="2:147" s="243" customFormat="1" ht="11.25" customHeight="1">
      <c r="B73" s="343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1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5"/>
      <c r="EN73" s="245"/>
      <c r="EO73" s="245"/>
      <c r="EP73" s="245"/>
      <c r="EQ73" s="351"/>
    </row>
    <row r="74" spans="2:147" s="243" customFormat="1" ht="11.25" customHeight="1">
      <c r="B74" s="343"/>
      <c r="C74" s="240"/>
      <c r="D74" s="240"/>
      <c r="E74" s="240" t="s">
        <v>675</v>
      </c>
      <c r="F74" s="240"/>
      <c r="G74" s="240"/>
      <c r="H74" s="240" t="s">
        <v>102</v>
      </c>
      <c r="I74" s="240"/>
      <c r="J74" s="240"/>
      <c r="K74" s="240" t="s">
        <v>820</v>
      </c>
      <c r="L74" s="240"/>
      <c r="M74" s="240" t="s">
        <v>147</v>
      </c>
      <c r="N74" s="240" t="s">
        <v>547</v>
      </c>
      <c r="O74" s="240"/>
      <c r="P74" s="240" t="s">
        <v>657</v>
      </c>
      <c r="Q74" s="240" t="s">
        <v>148</v>
      </c>
      <c r="R74" s="240"/>
      <c r="S74" s="240" t="s">
        <v>132</v>
      </c>
      <c r="T74" s="240"/>
      <c r="U74" s="240" t="s">
        <v>147</v>
      </c>
      <c r="V74" s="240" t="s">
        <v>822</v>
      </c>
      <c r="W74" s="240"/>
      <c r="X74" s="240"/>
      <c r="Y74" s="240"/>
      <c r="Z74" s="240"/>
      <c r="AA74" s="240"/>
      <c r="AB74" s="240" t="s">
        <v>823</v>
      </c>
      <c r="AC74" s="240"/>
      <c r="AD74" s="240"/>
      <c r="AE74" s="240"/>
      <c r="AF74" s="240"/>
      <c r="AG74" s="240"/>
      <c r="AH74" s="240"/>
      <c r="AI74" s="240" t="s">
        <v>824</v>
      </c>
      <c r="AJ74" s="240"/>
      <c r="AK74" s="240"/>
      <c r="AL74" s="240"/>
      <c r="AM74" s="240"/>
      <c r="AN74" s="240"/>
      <c r="AO74" s="240"/>
      <c r="AP74" s="240" t="s">
        <v>148</v>
      </c>
      <c r="AQ74" s="240" t="s">
        <v>825</v>
      </c>
      <c r="AR74" s="240"/>
      <c r="AS74" s="240"/>
      <c r="AT74" s="240" t="s">
        <v>826</v>
      </c>
      <c r="AU74" s="240"/>
      <c r="AV74" s="240"/>
      <c r="AW74" s="240"/>
      <c r="AX74" s="240"/>
      <c r="AY74" s="240"/>
      <c r="AZ74" s="240"/>
      <c r="BA74" s="240"/>
      <c r="BB74" s="240"/>
      <c r="BC74" s="240"/>
      <c r="BD74" s="240"/>
      <c r="BE74" s="240"/>
      <c r="BF74" s="240"/>
      <c r="BG74" s="240"/>
      <c r="BH74" s="240"/>
      <c r="BI74" s="240"/>
      <c r="BJ74" s="240"/>
      <c r="BK74" s="240"/>
      <c r="BL74" s="240"/>
      <c r="BM74" s="240"/>
      <c r="BN74" s="240"/>
      <c r="BO74" s="240"/>
      <c r="BP74" s="240"/>
      <c r="BQ74" s="240"/>
      <c r="BR74" s="240"/>
      <c r="BS74" s="240"/>
      <c r="BT74" s="240"/>
      <c r="BU74" s="240"/>
      <c r="BV74" s="240"/>
      <c r="BW74" s="240"/>
      <c r="BX74" s="240"/>
      <c r="BY74" s="240"/>
      <c r="BZ74" s="240"/>
      <c r="CA74" s="240"/>
      <c r="CB74" s="240"/>
      <c r="CC74" s="240"/>
      <c r="CD74" s="240"/>
      <c r="CE74" s="240"/>
      <c r="CF74" s="240"/>
      <c r="CG74" s="240"/>
      <c r="CH74" s="240"/>
      <c r="CI74" s="240"/>
      <c r="CJ74" s="240"/>
      <c r="CK74" s="240"/>
      <c r="CL74" s="240"/>
      <c r="CM74" s="240"/>
      <c r="CN74" s="240"/>
      <c r="CO74" s="240"/>
      <c r="CP74" s="240"/>
      <c r="CQ74" s="240"/>
      <c r="CR74" s="240"/>
      <c r="CS74" s="240"/>
      <c r="CT74" s="240"/>
      <c r="CU74" s="240"/>
      <c r="CV74" s="240"/>
      <c r="CW74" s="240"/>
      <c r="CX74" s="240"/>
      <c r="CY74" s="240"/>
      <c r="CZ74" s="241"/>
      <c r="DA74" s="241"/>
      <c r="DB74" s="241"/>
      <c r="DC74" s="241"/>
      <c r="DD74" s="241"/>
      <c r="DE74" s="241"/>
      <c r="DF74" s="241"/>
      <c r="DG74" s="241"/>
      <c r="DH74" s="241"/>
      <c r="DI74" s="241"/>
      <c r="DJ74" s="241"/>
      <c r="DK74" s="241"/>
      <c r="DL74" s="241"/>
      <c r="DM74" s="241"/>
      <c r="DN74" s="241"/>
      <c r="DO74" s="241"/>
      <c r="DP74" s="241"/>
      <c r="DQ74" s="241"/>
      <c r="DR74" s="241"/>
      <c r="DS74" s="241"/>
      <c r="DT74" s="241"/>
      <c r="DU74" s="241"/>
      <c r="DV74" s="241"/>
      <c r="DW74" s="241"/>
      <c r="DX74" s="241"/>
      <c r="DY74" s="241"/>
      <c r="DZ74" s="241"/>
      <c r="EA74" s="241"/>
      <c r="EB74" s="241"/>
      <c r="EC74" s="241"/>
      <c r="ED74" s="241"/>
      <c r="EE74" s="241"/>
      <c r="EF74" s="241"/>
      <c r="EG74" s="241"/>
      <c r="EH74" s="241"/>
      <c r="EI74" s="241"/>
      <c r="EJ74" s="241"/>
      <c r="EK74" s="241"/>
      <c r="EL74" s="241"/>
      <c r="EM74" s="245"/>
      <c r="EN74" s="245"/>
      <c r="EO74" s="245"/>
      <c r="EP74" s="245"/>
      <c r="EQ74" s="351"/>
    </row>
    <row r="75" spans="2:147" s="243" customFormat="1" ht="11.25" customHeight="1">
      <c r="B75" s="343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1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5"/>
      <c r="EN75" s="245"/>
      <c r="EO75" s="245"/>
      <c r="EP75" s="245"/>
      <c r="EQ75" s="351"/>
    </row>
    <row r="76" spans="2:147" s="243" customFormat="1" ht="11.25" customHeight="1">
      <c r="B76" s="343"/>
      <c r="C76" s="240"/>
      <c r="D76" s="240"/>
      <c r="E76" s="240"/>
      <c r="F76" s="240"/>
      <c r="G76" s="240"/>
      <c r="H76" s="240" t="s">
        <v>103</v>
      </c>
      <c r="I76" s="240"/>
      <c r="J76" s="240"/>
      <c r="K76" s="240"/>
      <c r="L76" s="240"/>
      <c r="M76" s="240"/>
      <c r="N76" s="240" t="s">
        <v>132</v>
      </c>
      <c r="O76" s="240"/>
      <c r="P76" s="1774">
        <f>VLOOKUP($H76,노임단가!$A:$B,2,FALSE)</f>
        <v>157068</v>
      </c>
      <c r="Q76" s="1774"/>
      <c r="R76" s="1774"/>
      <c r="S76" s="1774"/>
      <c r="T76" s="1774"/>
      <c r="U76" s="1774"/>
      <c r="V76" s="240" t="s">
        <v>652</v>
      </c>
      <c r="W76" s="240"/>
      <c r="X76" s="240" t="s">
        <v>147</v>
      </c>
      <c r="Y76" s="240" t="str">
        <f>TEXT(0.2,"#,##0.#######")</f>
        <v>0.2</v>
      </c>
      <c r="Z76" s="240"/>
      <c r="AA76" s="240"/>
      <c r="AB76" s="240" t="s">
        <v>130</v>
      </c>
      <c r="AC76" s="240" t="str">
        <f>TEXT(0.26,"#,##0.#######")</f>
        <v>0.26</v>
      </c>
      <c r="AD76" s="240"/>
      <c r="AE76" s="240"/>
      <c r="AF76" s="240"/>
      <c r="AG76" s="240" t="s">
        <v>130</v>
      </c>
      <c r="AH76" s="240" t="str">
        <f>TEXT(0.32,"#,##0.#######")</f>
        <v>0.32</v>
      </c>
      <c r="AI76" s="240"/>
      <c r="AJ76" s="240"/>
      <c r="AK76" s="240"/>
      <c r="AL76" s="240" t="s">
        <v>148</v>
      </c>
      <c r="AM76" s="240" t="s">
        <v>139</v>
      </c>
      <c r="AN76" s="240" t="str">
        <f>TEXT(3,"#,##0.#######")</f>
        <v>3.</v>
      </c>
      <c r="AO76" s="240" t="s">
        <v>102</v>
      </c>
      <c r="AP76" s="240"/>
      <c r="AQ76" s="240"/>
      <c r="AR76" s="240" t="s">
        <v>652</v>
      </c>
      <c r="AS76" s="240"/>
      <c r="AT76" s="240"/>
      <c r="AU76" s="240" t="str">
        <f>TEXT(0.1,"#,##0.#######")</f>
        <v>0.1</v>
      </c>
      <c r="AV76" s="240"/>
      <c r="AW76" s="240"/>
      <c r="AX76" s="240"/>
      <c r="AY76" s="240" t="s">
        <v>134</v>
      </c>
      <c r="AZ76" s="240"/>
      <c r="BA76" s="240" t="str">
        <f>TEXT(TRUNC(P76*(Y76+AC76+AH76)/AN76*AU76,1),"#,##0.#")</f>
        <v>4,083.7</v>
      </c>
      <c r="BB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5">
        <f>EN76+EO76+EP76</f>
        <v>4083.7</v>
      </c>
      <c r="EN76" s="245" t="str">
        <f>BA76</f>
        <v>4,083.7</v>
      </c>
      <c r="EO76" s="245"/>
      <c r="EP76" s="245"/>
      <c r="EQ76" s="351"/>
    </row>
    <row r="77" spans="2:147" s="243" customFormat="1" ht="11.25" customHeight="1">
      <c r="B77" s="343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  <c r="CW77" s="240"/>
      <c r="CX77" s="240"/>
      <c r="CY77" s="240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1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5"/>
      <c r="EN77" s="245"/>
      <c r="EO77" s="245"/>
      <c r="EP77" s="245"/>
      <c r="EQ77" s="351"/>
    </row>
    <row r="78" spans="2:147" s="243" customFormat="1" ht="11.25" customHeight="1">
      <c r="B78" s="343"/>
      <c r="C78" s="240"/>
      <c r="D78" s="240"/>
      <c r="E78" s="240" t="s">
        <v>677</v>
      </c>
      <c r="F78" s="240"/>
      <c r="G78" s="240"/>
      <c r="H78" s="240" t="s">
        <v>678</v>
      </c>
      <c r="I78" s="240"/>
      <c r="J78" s="240"/>
      <c r="K78" s="240"/>
      <c r="L78" s="240" t="s">
        <v>96</v>
      </c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1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5"/>
      <c r="EN78" s="245"/>
      <c r="EO78" s="245"/>
      <c r="EP78" s="245"/>
      <c r="EQ78" s="351"/>
    </row>
    <row r="79" spans="2:147" s="243" customFormat="1" ht="11.25" customHeight="1">
      <c r="B79" s="343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  <c r="BA79" s="240"/>
      <c r="BB79" s="240"/>
      <c r="BC79" s="240"/>
      <c r="BD79" s="240"/>
      <c r="BE79" s="240"/>
      <c r="BF79" s="240"/>
      <c r="BG79" s="240"/>
      <c r="BH79" s="240"/>
      <c r="BI79" s="240"/>
      <c r="BJ79" s="240"/>
      <c r="BK79" s="240"/>
      <c r="BL79" s="240"/>
      <c r="BM79" s="240"/>
      <c r="BN79" s="240"/>
      <c r="BO79" s="240"/>
      <c r="BP79" s="240"/>
      <c r="BQ79" s="240"/>
      <c r="BR79" s="240"/>
      <c r="BS79" s="240"/>
      <c r="BT79" s="240"/>
      <c r="BU79" s="240"/>
      <c r="BV79" s="240"/>
      <c r="BW79" s="240"/>
      <c r="BX79" s="240"/>
      <c r="BY79" s="240"/>
      <c r="BZ79" s="240"/>
      <c r="CA79" s="240"/>
      <c r="CB79" s="240"/>
      <c r="CC79" s="240"/>
      <c r="CD79" s="240"/>
      <c r="CE79" s="240"/>
      <c r="CF79" s="240"/>
      <c r="CG79" s="240"/>
      <c r="CH79" s="240"/>
      <c r="CI79" s="240"/>
      <c r="CJ79" s="240"/>
      <c r="CK79" s="240"/>
      <c r="CL79" s="240"/>
      <c r="CM79" s="240"/>
      <c r="CN79" s="240"/>
      <c r="CO79" s="240"/>
      <c r="CP79" s="240"/>
      <c r="CQ79" s="240"/>
      <c r="CR79" s="240"/>
      <c r="CS79" s="240"/>
      <c r="CT79" s="240"/>
      <c r="CU79" s="240"/>
      <c r="CV79" s="240"/>
      <c r="CW79" s="240"/>
      <c r="CX79" s="240"/>
      <c r="CY79" s="240"/>
      <c r="CZ79" s="241"/>
      <c r="DA79" s="241"/>
      <c r="DB79" s="241"/>
      <c r="DC79" s="241"/>
      <c r="DD79" s="241"/>
      <c r="DE79" s="241"/>
      <c r="DF79" s="241"/>
      <c r="DG79" s="241"/>
      <c r="DH79" s="241"/>
      <c r="DI79" s="241"/>
      <c r="DJ79" s="241"/>
      <c r="DK79" s="241"/>
      <c r="DL79" s="241"/>
      <c r="DM79" s="241"/>
      <c r="DN79" s="241"/>
      <c r="DO79" s="241"/>
      <c r="DP79" s="241"/>
      <c r="DQ79" s="241"/>
      <c r="DR79" s="241"/>
      <c r="DS79" s="241"/>
      <c r="DT79" s="241"/>
      <c r="DU79" s="241"/>
      <c r="DV79" s="241"/>
      <c r="DW79" s="241"/>
      <c r="DX79" s="241"/>
      <c r="DY79" s="241"/>
      <c r="DZ79" s="241"/>
      <c r="EA79" s="241"/>
      <c r="EB79" s="241"/>
      <c r="EC79" s="241"/>
      <c r="ED79" s="241"/>
      <c r="EE79" s="241"/>
      <c r="EF79" s="241"/>
      <c r="EG79" s="241"/>
      <c r="EH79" s="241"/>
      <c r="EI79" s="241"/>
      <c r="EJ79" s="241"/>
      <c r="EK79" s="241"/>
      <c r="EL79" s="241"/>
      <c r="EM79" s="245"/>
      <c r="EN79" s="245"/>
      <c r="EO79" s="245"/>
      <c r="EP79" s="245"/>
      <c r="EQ79" s="351"/>
    </row>
    <row r="80" spans="2:147" s="243" customFormat="1" ht="11.25" customHeight="1">
      <c r="B80" s="343"/>
      <c r="C80" s="240"/>
      <c r="D80" s="240"/>
      <c r="E80" s="240"/>
      <c r="F80" s="240"/>
      <c r="G80" s="240"/>
      <c r="H80" s="240"/>
      <c r="I80" s="240" t="s">
        <v>616</v>
      </c>
      <c r="J80" s="240"/>
      <c r="K80" s="240"/>
      <c r="L80" s="240"/>
      <c r="M80" s="240"/>
      <c r="N80" s="240"/>
      <c r="O80" s="240"/>
      <c r="P80" s="240" t="s">
        <v>132</v>
      </c>
      <c r="Q80" s="240"/>
      <c r="R80" s="240" t="e">
        <f>TEXT(EN72,"#,###.##")</f>
        <v>#REF!</v>
      </c>
      <c r="S80" s="240"/>
      <c r="T80" s="240"/>
      <c r="U80" s="240"/>
      <c r="V80" s="240"/>
      <c r="W80" s="240" t="s">
        <v>130</v>
      </c>
      <c r="X80" s="240"/>
      <c r="Y80" s="240" t="str">
        <f>TEXT(EN76,"#,###.##")</f>
        <v>4,083.7</v>
      </c>
      <c r="Z80" s="240"/>
      <c r="AD80" s="240" t="s">
        <v>134</v>
      </c>
      <c r="AE80" s="240"/>
      <c r="AF80" s="240"/>
      <c r="AG80" s="240" t="e">
        <f>TEXT(TRUNC(EN72+EN76,0),"#,##0")</f>
        <v>#REF!</v>
      </c>
      <c r="AH80" s="240"/>
      <c r="AI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1"/>
      <c r="DA80" s="241"/>
      <c r="DB80" s="241"/>
      <c r="DC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DR80" s="241"/>
      <c r="DS80" s="241"/>
      <c r="DT80" s="241"/>
      <c r="DU80" s="241"/>
      <c r="DV80" s="241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5"/>
      <c r="EN80" s="245"/>
      <c r="EO80" s="245"/>
      <c r="EP80" s="245"/>
      <c r="EQ80" s="351"/>
    </row>
    <row r="81" spans="2:147" s="243" customFormat="1" ht="11.25" customHeight="1">
      <c r="B81" s="343"/>
      <c r="C81" s="240"/>
      <c r="D81" s="240"/>
      <c r="E81" s="240"/>
      <c r="F81" s="240"/>
      <c r="G81" s="240"/>
      <c r="H81" s="240"/>
      <c r="I81" s="240" t="s">
        <v>617</v>
      </c>
      <c r="J81" s="240"/>
      <c r="K81" s="240"/>
      <c r="L81" s="240"/>
      <c r="M81" s="240"/>
      <c r="N81" s="240"/>
      <c r="O81" s="240"/>
      <c r="P81" s="240" t="s">
        <v>132</v>
      </c>
      <c r="Q81" s="240"/>
      <c r="R81" s="240" t="e">
        <f>TEXT(TRUNC(EO72,0),"#,##0")</f>
        <v>#REF!</v>
      </c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1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5"/>
      <c r="EN81" s="245"/>
      <c r="EO81" s="245"/>
      <c r="EP81" s="245"/>
      <c r="EQ81" s="351"/>
    </row>
    <row r="82" spans="2:147" s="243" customFormat="1" ht="11.25" customHeight="1">
      <c r="B82" s="343"/>
      <c r="C82" s="240"/>
      <c r="D82" s="240"/>
      <c r="E82" s="240"/>
      <c r="F82" s="240"/>
      <c r="G82" s="240"/>
      <c r="H82" s="240"/>
      <c r="I82" s="240" t="s">
        <v>679</v>
      </c>
      <c r="J82" s="240"/>
      <c r="K82" s="240" t="s">
        <v>680</v>
      </c>
      <c r="L82" s="240"/>
      <c r="M82" s="240"/>
      <c r="N82" s="240"/>
      <c r="O82" s="240"/>
      <c r="P82" s="240" t="s">
        <v>132</v>
      </c>
      <c r="Q82" s="240"/>
      <c r="R82" s="240" t="e">
        <f>TEXT(TRUNC(EP72,0),"#,##0")</f>
        <v>#REF!</v>
      </c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1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5"/>
      <c r="EN82" s="245"/>
      <c r="EO82" s="245"/>
      <c r="EP82" s="245"/>
      <c r="EQ82" s="351"/>
    </row>
    <row r="83" spans="2:147" s="243" customFormat="1" ht="11.25" customHeight="1">
      <c r="B83" s="343"/>
      <c r="C83" s="240"/>
      <c r="D83" s="240"/>
      <c r="E83" s="240"/>
      <c r="F83" s="240"/>
      <c r="G83" s="240"/>
      <c r="H83" s="240"/>
      <c r="I83" s="240" t="s">
        <v>96</v>
      </c>
      <c r="J83" s="240"/>
      <c r="K83" s="240"/>
      <c r="L83" s="240"/>
      <c r="M83" s="240"/>
      <c r="N83" s="240"/>
      <c r="O83" s="240"/>
      <c r="P83" s="240" t="s">
        <v>132</v>
      </c>
      <c r="Q83" s="240"/>
      <c r="R83" s="240" t="e">
        <f>TEXT(AG80+R81+R82,"#,##0")</f>
        <v>#REF!</v>
      </c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  <c r="CW83" s="240"/>
      <c r="CX83" s="240"/>
      <c r="CY83" s="240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1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50" t="e">
        <f>EN83+EO83+EP83</f>
        <v>#REF!</v>
      </c>
      <c r="EN83" s="245" t="e">
        <f>TEXT(AG80,"#,##0")</f>
        <v>#REF!</v>
      </c>
      <c r="EO83" s="245" t="e">
        <f>TEXT(R81,"#,##0")</f>
        <v>#REF!</v>
      </c>
      <c r="EP83" s="245" t="e">
        <f>TEXT(R82,"#,##0")</f>
        <v>#REF!</v>
      </c>
      <c r="EQ83" s="351"/>
    </row>
    <row r="84" spans="2:147" s="243" customFormat="1" ht="11.25" customHeight="1">
      <c r="B84" s="343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1"/>
      <c r="DA84" s="241"/>
      <c r="DB84" s="241"/>
      <c r="DC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DR84" s="241"/>
      <c r="DS84" s="241"/>
      <c r="DT84" s="241"/>
      <c r="DU84" s="241"/>
      <c r="DV84" s="241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50"/>
      <c r="EN84" s="245"/>
      <c r="EO84" s="245"/>
      <c r="EP84" s="245"/>
      <c r="EQ84" s="351"/>
    </row>
    <row r="85" spans="2:147" s="243" customFormat="1" ht="11.25" customHeight="1">
      <c r="B85" s="343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  <c r="CW85" s="240"/>
      <c r="CX85" s="240"/>
      <c r="CY85" s="240"/>
      <c r="CZ85" s="241"/>
      <c r="DA85" s="241"/>
      <c r="DB85" s="241"/>
      <c r="DC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DR85" s="241"/>
      <c r="DS85" s="241"/>
      <c r="DT85" s="241"/>
      <c r="DU85" s="241"/>
      <c r="DV85" s="241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50"/>
      <c r="EN85" s="245"/>
      <c r="EO85" s="245"/>
      <c r="EP85" s="245"/>
      <c r="EQ85" s="351"/>
    </row>
    <row r="86" spans="2:147" s="243" customFormat="1" ht="11.25" customHeight="1">
      <c r="B86" s="343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1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50"/>
      <c r="EN86" s="245"/>
      <c r="EO86" s="245"/>
      <c r="EP86" s="245"/>
      <c r="EQ86" s="351"/>
    </row>
    <row r="87" spans="2:147" s="243" customFormat="1" ht="11.25" customHeight="1">
      <c r="B87" s="343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  <c r="BA87" s="240"/>
      <c r="BB87" s="240"/>
      <c r="BC87" s="240"/>
      <c r="BD87" s="240"/>
      <c r="BE87" s="240"/>
      <c r="BF87" s="240"/>
      <c r="BG87" s="240"/>
      <c r="BH87" s="240"/>
      <c r="BI87" s="240"/>
      <c r="BJ87" s="240"/>
      <c r="BK87" s="240"/>
      <c r="BL87" s="240"/>
      <c r="BM87" s="240"/>
      <c r="BN87" s="240"/>
      <c r="BO87" s="240"/>
      <c r="BP87" s="240"/>
      <c r="BQ87" s="240"/>
      <c r="BR87" s="240"/>
      <c r="BS87" s="240"/>
      <c r="BT87" s="240"/>
      <c r="BU87" s="240"/>
      <c r="BV87" s="240"/>
      <c r="BW87" s="240"/>
      <c r="BX87" s="240"/>
      <c r="BY87" s="240"/>
      <c r="BZ87" s="240"/>
      <c r="CA87" s="240"/>
      <c r="CB87" s="240"/>
      <c r="CC87" s="240"/>
      <c r="CD87" s="240"/>
      <c r="CE87" s="240"/>
      <c r="CF87" s="240"/>
      <c r="CG87" s="240"/>
      <c r="CH87" s="240"/>
      <c r="CI87" s="240"/>
      <c r="CJ87" s="240"/>
      <c r="CK87" s="240"/>
      <c r="CL87" s="240"/>
      <c r="CM87" s="240"/>
      <c r="CN87" s="240"/>
      <c r="CO87" s="240"/>
      <c r="CP87" s="240"/>
      <c r="CQ87" s="240"/>
      <c r="CR87" s="240"/>
      <c r="CS87" s="240"/>
      <c r="CT87" s="240"/>
      <c r="CU87" s="240"/>
      <c r="CV87" s="240"/>
      <c r="CW87" s="240"/>
      <c r="CX87" s="240"/>
      <c r="CY87" s="240"/>
      <c r="CZ87" s="241"/>
      <c r="DA87" s="241"/>
      <c r="DB87" s="241"/>
      <c r="DC87" s="241"/>
      <c r="DD87" s="241"/>
      <c r="DE87" s="241"/>
      <c r="DF87" s="241"/>
      <c r="DG87" s="241"/>
      <c r="DH87" s="241"/>
      <c r="DI87" s="241"/>
      <c r="DJ87" s="241"/>
      <c r="DK87" s="241"/>
      <c r="DL87" s="241"/>
      <c r="DM87" s="241"/>
      <c r="DN87" s="241"/>
      <c r="DO87" s="241"/>
      <c r="DP87" s="241"/>
      <c r="DQ87" s="241"/>
      <c r="DR87" s="241"/>
      <c r="DS87" s="241"/>
      <c r="DT87" s="241"/>
      <c r="DU87" s="241"/>
      <c r="DV87" s="241"/>
      <c r="DW87" s="241"/>
      <c r="DX87" s="241"/>
      <c r="DY87" s="241"/>
      <c r="DZ87" s="241"/>
      <c r="EA87" s="241"/>
      <c r="EB87" s="241"/>
      <c r="EC87" s="241"/>
      <c r="ED87" s="241"/>
      <c r="EE87" s="241"/>
      <c r="EF87" s="241"/>
      <c r="EG87" s="241"/>
      <c r="EH87" s="241"/>
      <c r="EI87" s="241"/>
      <c r="EJ87" s="241"/>
      <c r="EK87" s="241"/>
      <c r="EL87" s="241"/>
      <c r="EM87" s="250"/>
      <c r="EN87" s="245"/>
      <c r="EO87" s="245"/>
      <c r="EP87" s="245"/>
      <c r="EQ87" s="351"/>
    </row>
    <row r="88" spans="2:147" s="243" customFormat="1" ht="11.25" customHeight="1">
      <c r="B88" s="343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  <c r="CW88" s="240"/>
      <c r="CX88" s="240"/>
      <c r="CY88" s="240"/>
      <c r="CZ88" s="241"/>
      <c r="DA88" s="241"/>
      <c r="DB88" s="241"/>
      <c r="DC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DR88" s="241"/>
      <c r="DS88" s="241"/>
      <c r="DT88" s="241"/>
      <c r="DU88" s="241"/>
      <c r="DV88" s="241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50"/>
      <c r="EN88" s="245"/>
      <c r="EO88" s="245"/>
      <c r="EP88" s="245"/>
      <c r="EQ88" s="351"/>
    </row>
    <row r="89" spans="2:147" s="243" customFormat="1" ht="11.25" customHeight="1">
      <c r="B89" s="343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1"/>
      <c r="DA89" s="241"/>
      <c r="DB89" s="241"/>
      <c r="DC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DR89" s="241"/>
      <c r="DS89" s="241"/>
      <c r="DT89" s="241"/>
      <c r="DU89" s="241"/>
      <c r="DV89" s="241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50"/>
      <c r="EN89" s="245"/>
      <c r="EO89" s="245"/>
      <c r="EP89" s="245"/>
      <c r="EQ89" s="351"/>
    </row>
    <row r="90" spans="2:147" s="243" customFormat="1" ht="11.25" customHeight="1">
      <c r="B90" s="343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1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50"/>
      <c r="EN90" s="245"/>
      <c r="EO90" s="245"/>
      <c r="EP90" s="245"/>
      <c r="EQ90" s="351"/>
    </row>
    <row r="91" spans="2:147" s="243" customFormat="1" ht="11.25" customHeight="1">
      <c r="B91" s="343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1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50"/>
      <c r="EN91" s="245"/>
      <c r="EO91" s="245"/>
      <c r="EP91" s="245"/>
      <c r="EQ91" s="351"/>
    </row>
    <row r="92" spans="2:147" s="243" customFormat="1" ht="11.25" customHeight="1">
      <c r="B92" s="343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  <c r="CW92" s="240"/>
      <c r="CX92" s="240"/>
      <c r="CY92" s="240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1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50"/>
      <c r="EN92" s="245"/>
      <c r="EO92" s="245"/>
      <c r="EP92" s="245"/>
      <c r="EQ92" s="351"/>
    </row>
    <row r="93" spans="2:147" s="243" customFormat="1" ht="11.25" customHeight="1">
      <c r="B93" s="343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  <c r="BA93" s="240"/>
      <c r="BB93" s="240"/>
      <c r="BC93" s="240"/>
      <c r="BD93" s="240"/>
      <c r="BE93" s="240"/>
      <c r="BF93" s="240"/>
      <c r="BG93" s="240"/>
      <c r="BH93" s="240"/>
      <c r="BI93" s="240"/>
      <c r="BJ93" s="240"/>
      <c r="BK93" s="240"/>
      <c r="BL93" s="240"/>
      <c r="BM93" s="240"/>
      <c r="BN93" s="240"/>
      <c r="BO93" s="240"/>
      <c r="BP93" s="240"/>
      <c r="BQ93" s="240"/>
      <c r="BR93" s="240"/>
      <c r="BS93" s="240"/>
      <c r="BT93" s="240"/>
      <c r="BU93" s="240"/>
      <c r="BV93" s="240"/>
      <c r="BW93" s="240"/>
      <c r="BX93" s="240"/>
      <c r="BY93" s="240"/>
      <c r="BZ93" s="240"/>
      <c r="CA93" s="240"/>
      <c r="CB93" s="240"/>
      <c r="CC93" s="240"/>
      <c r="CD93" s="240"/>
      <c r="CE93" s="240"/>
      <c r="CF93" s="240"/>
      <c r="CG93" s="240"/>
      <c r="CH93" s="240"/>
      <c r="CI93" s="240"/>
      <c r="CJ93" s="240"/>
      <c r="CK93" s="240"/>
      <c r="CL93" s="240"/>
      <c r="CM93" s="240"/>
      <c r="CN93" s="240"/>
      <c r="CO93" s="240"/>
      <c r="CP93" s="240"/>
      <c r="CQ93" s="240"/>
      <c r="CR93" s="240"/>
      <c r="CS93" s="240"/>
      <c r="CT93" s="240"/>
      <c r="CU93" s="240"/>
      <c r="CV93" s="240"/>
      <c r="CW93" s="240"/>
      <c r="CX93" s="240"/>
      <c r="CY93" s="240"/>
      <c r="CZ93" s="241"/>
      <c r="DA93" s="241"/>
      <c r="DB93" s="241"/>
      <c r="DC93" s="241"/>
      <c r="DD93" s="241"/>
      <c r="DE93" s="241"/>
      <c r="DF93" s="241"/>
      <c r="DG93" s="241"/>
      <c r="DH93" s="241"/>
      <c r="DI93" s="241"/>
      <c r="DJ93" s="241"/>
      <c r="DK93" s="241"/>
      <c r="DL93" s="241"/>
      <c r="DM93" s="241"/>
      <c r="DN93" s="241"/>
      <c r="DO93" s="241"/>
      <c r="DP93" s="241"/>
      <c r="DQ93" s="241"/>
      <c r="DR93" s="241"/>
      <c r="DS93" s="241"/>
      <c r="DT93" s="241"/>
      <c r="DU93" s="241"/>
      <c r="DV93" s="241"/>
      <c r="DW93" s="241"/>
      <c r="DX93" s="241"/>
      <c r="DY93" s="241"/>
      <c r="DZ93" s="241"/>
      <c r="EA93" s="241"/>
      <c r="EB93" s="241"/>
      <c r="EC93" s="241"/>
      <c r="ED93" s="241"/>
      <c r="EE93" s="241"/>
      <c r="EF93" s="241"/>
      <c r="EG93" s="241"/>
      <c r="EH93" s="241"/>
      <c r="EI93" s="241"/>
      <c r="EJ93" s="241"/>
      <c r="EK93" s="241"/>
      <c r="EL93" s="241"/>
      <c r="EM93" s="250"/>
      <c r="EN93" s="245"/>
      <c r="EO93" s="245"/>
      <c r="EP93" s="245"/>
      <c r="EQ93" s="351"/>
    </row>
    <row r="94" spans="2:147" s="243" customFormat="1" ht="11.25" customHeight="1">
      <c r="B94" s="343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1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50"/>
      <c r="EN94" s="245"/>
      <c r="EO94" s="245"/>
      <c r="EP94" s="245"/>
      <c r="EQ94" s="351"/>
    </row>
    <row r="95" spans="2:147" s="243" customFormat="1" ht="11.25" customHeight="1">
      <c r="B95" s="343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0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1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50"/>
      <c r="EN95" s="245"/>
      <c r="EO95" s="245"/>
      <c r="EP95" s="245"/>
      <c r="EQ95" s="351"/>
    </row>
    <row r="96" spans="2:147" s="243" customFormat="1" ht="11.25" customHeight="1">
      <c r="B96" s="343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1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50"/>
      <c r="EN96" s="245"/>
      <c r="EO96" s="245"/>
      <c r="EP96" s="245"/>
      <c r="EQ96" s="351"/>
    </row>
    <row r="97" spans="1:150" s="243" customFormat="1" ht="11.25" customHeight="1">
      <c r="B97" s="343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1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50"/>
      <c r="EN97" s="245"/>
      <c r="EO97" s="245"/>
      <c r="EP97" s="245"/>
      <c r="EQ97" s="351"/>
    </row>
    <row r="98" spans="1:150" s="243" customFormat="1" ht="11.25" customHeight="1">
      <c r="B98" s="343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1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50"/>
      <c r="EN98" s="245"/>
      <c r="EO98" s="245"/>
      <c r="EP98" s="245"/>
      <c r="EQ98" s="351"/>
    </row>
    <row r="99" spans="1:150" s="243" customFormat="1" ht="11.25" customHeight="1">
      <c r="B99" s="343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1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50"/>
      <c r="EN99" s="245"/>
      <c r="EO99" s="245"/>
      <c r="EP99" s="245"/>
      <c r="EQ99" s="351"/>
    </row>
    <row r="100" spans="1:150" s="243" customFormat="1" ht="11.25" customHeight="1">
      <c r="B100" s="343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1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50"/>
      <c r="EN100" s="245"/>
      <c r="EO100" s="245"/>
      <c r="EP100" s="245"/>
      <c r="EQ100" s="351"/>
    </row>
    <row r="101" spans="1:150" s="243" customFormat="1" ht="11.25" customHeight="1">
      <c r="B101" s="350"/>
      <c r="C101" s="247"/>
      <c r="D101" s="247"/>
      <c r="E101" s="247"/>
      <c r="F101" s="247"/>
      <c r="G101" s="247"/>
      <c r="H101" s="247"/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G101" s="247"/>
      <c r="BH101" s="247"/>
      <c r="BI101" s="247"/>
      <c r="BJ101" s="247"/>
      <c r="BK101" s="247"/>
      <c r="BL101" s="247"/>
      <c r="BM101" s="247"/>
      <c r="BN101" s="247"/>
      <c r="BO101" s="247"/>
      <c r="BP101" s="247"/>
      <c r="BQ101" s="247"/>
      <c r="BR101" s="247"/>
      <c r="BS101" s="247"/>
      <c r="BT101" s="247"/>
      <c r="BU101" s="247"/>
      <c r="BV101" s="247"/>
      <c r="BW101" s="247"/>
      <c r="BX101" s="247"/>
      <c r="BY101" s="247"/>
      <c r="BZ101" s="247"/>
      <c r="CA101" s="247"/>
      <c r="CB101" s="247"/>
      <c r="CC101" s="247"/>
      <c r="CD101" s="247"/>
      <c r="CE101" s="247"/>
      <c r="CF101" s="247"/>
      <c r="CG101" s="247"/>
      <c r="CH101" s="247"/>
      <c r="CI101" s="247"/>
      <c r="CJ101" s="247"/>
      <c r="CK101" s="247"/>
      <c r="CL101" s="247"/>
      <c r="CM101" s="247"/>
      <c r="CN101" s="247"/>
      <c r="CO101" s="247"/>
      <c r="CP101" s="247"/>
      <c r="CQ101" s="247"/>
      <c r="CR101" s="247"/>
      <c r="CS101" s="247"/>
      <c r="CT101" s="247"/>
      <c r="CU101" s="247"/>
      <c r="CV101" s="247"/>
      <c r="CW101" s="247"/>
      <c r="CX101" s="247"/>
      <c r="CY101" s="247"/>
      <c r="CZ101" s="248"/>
      <c r="DA101" s="248"/>
      <c r="DB101" s="248"/>
      <c r="DC101" s="248"/>
      <c r="DD101" s="248"/>
      <c r="DE101" s="248"/>
      <c r="DF101" s="248"/>
      <c r="DG101" s="248"/>
      <c r="DH101" s="248"/>
      <c r="DI101" s="248"/>
      <c r="DJ101" s="248"/>
      <c r="DK101" s="248"/>
      <c r="DL101" s="248"/>
      <c r="DM101" s="248"/>
      <c r="DN101" s="248"/>
      <c r="DO101" s="248"/>
      <c r="DP101" s="248"/>
      <c r="DQ101" s="248"/>
      <c r="DR101" s="248"/>
      <c r="DS101" s="248"/>
      <c r="DT101" s="248"/>
      <c r="DU101" s="248"/>
      <c r="DV101" s="248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48"/>
      <c r="EH101" s="248"/>
      <c r="EI101" s="248"/>
      <c r="EJ101" s="248"/>
      <c r="EK101" s="248"/>
      <c r="EL101" s="248"/>
      <c r="EM101" s="264"/>
      <c r="EN101" s="249"/>
      <c r="EO101" s="249"/>
      <c r="EP101" s="249"/>
      <c r="EQ101" s="352"/>
    </row>
    <row r="102" spans="1:150" s="243" customFormat="1" ht="11.25" customHeight="1">
      <c r="B102" s="355"/>
      <c r="C102" s="265"/>
      <c r="D102" s="265"/>
      <c r="E102" s="265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65"/>
      <c r="AR102" s="265"/>
      <c r="AS102" s="265"/>
      <c r="AT102" s="265"/>
      <c r="AU102" s="265"/>
      <c r="AV102" s="265"/>
      <c r="AW102" s="265"/>
      <c r="AX102" s="265"/>
      <c r="AY102" s="265"/>
      <c r="AZ102" s="265"/>
      <c r="BA102" s="265"/>
      <c r="BB102" s="265"/>
      <c r="BC102" s="265"/>
      <c r="BD102" s="265"/>
      <c r="BE102" s="265"/>
      <c r="BF102" s="265"/>
      <c r="BG102" s="265"/>
      <c r="BH102" s="265"/>
      <c r="BI102" s="265"/>
      <c r="BJ102" s="265"/>
      <c r="BK102" s="265"/>
      <c r="BL102" s="265"/>
      <c r="BM102" s="265"/>
      <c r="BN102" s="265"/>
      <c r="BO102" s="265"/>
      <c r="BP102" s="265"/>
      <c r="BQ102" s="265"/>
      <c r="BR102" s="265"/>
      <c r="BS102" s="265"/>
      <c r="BT102" s="265"/>
      <c r="BU102" s="265"/>
      <c r="BV102" s="265"/>
      <c r="BW102" s="265"/>
      <c r="BX102" s="265"/>
      <c r="BY102" s="265"/>
      <c r="BZ102" s="265"/>
      <c r="CA102" s="265"/>
      <c r="CB102" s="265"/>
      <c r="CC102" s="265"/>
      <c r="CD102" s="265"/>
      <c r="CE102" s="265"/>
      <c r="CF102" s="265"/>
      <c r="CG102" s="265"/>
      <c r="CH102" s="265"/>
      <c r="CI102" s="265"/>
      <c r="CJ102" s="265"/>
      <c r="CK102" s="265"/>
      <c r="CL102" s="265"/>
      <c r="CM102" s="265"/>
      <c r="CN102" s="265"/>
      <c r="CO102" s="265"/>
      <c r="CP102" s="265"/>
      <c r="CQ102" s="265"/>
      <c r="CR102" s="265"/>
      <c r="CS102" s="265"/>
      <c r="CT102" s="265"/>
      <c r="CU102" s="265"/>
      <c r="CV102" s="265"/>
      <c r="CW102" s="265"/>
      <c r="CX102" s="265"/>
      <c r="CY102" s="265"/>
      <c r="CZ102" s="314"/>
      <c r="DA102" s="314"/>
      <c r="DB102" s="314"/>
      <c r="DC102" s="314"/>
      <c r="DD102" s="314"/>
      <c r="DE102" s="314"/>
      <c r="DF102" s="314"/>
      <c r="DG102" s="314"/>
      <c r="DH102" s="314"/>
      <c r="DI102" s="314"/>
      <c r="DJ102" s="314"/>
      <c r="DK102" s="314"/>
      <c r="DL102" s="314"/>
      <c r="DM102" s="314"/>
      <c r="DN102" s="314"/>
      <c r="DO102" s="314"/>
      <c r="DP102" s="314"/>
      <c r="DQ102" s="314"/>
      <c r="DR102" s="314"/>
      <c r="DS102" s="314"/>
      <c r="DT102" s="314"/>
      <c r="DU102" s="314"/>
      <c r="DV102" s="314"/>
      <c r="DW102" s="314"/>
      <c r="DX102" s="314"/>
      <c r="DY102" s="314"/>
      <c r="DZ102" s="314"/>
      <c r="EA102" s="314"/>
      <c r="EB102" s="314"/>
      <c r="EC102" s="314"/>
      <c r="ED102" s="314"/>
      <c r="EE102" s="314"/>
      <c r="EF102" s="314"/>
      <c r="EG102" s="314"/>
      <c r="EH102" s="314"/>
      <c r="EI102" s="314"/>
      <c r="EJ102" s="314"/>
      <c r="EK102" s="314"/>
      <c r="EL102" s="356"/>
      <c r="EM102" s="269"/>
      <c r="EN102" s="269"/>
      <c r="EO102" s="269"/>
      <c r="EP102" s="269"/>
      <c r="EQ102" s="315"/>
    </row>
    <row r="103" spans="1:150" s="243" customFormat="1" ht="11.25" customHeight="1">
      <c r="A103" s="243">
        <v>4</v>
      </c>
      <c r="B103" s="343"/>
      <c r="C103" s="1781">
        <f>A103</f>
        <v>4</v>
      </c>
      <c r="D103" s="1781"/>
      <c r="E103" s="344" t="s">
        <v>880</v>
      </c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0"/>
      <c r="CQ103" s="240"/>
      <c r="CR103" s="240"/>
      <c r="CS103" s="240"/>
      <c r="CT103" s="240"/>
      <c r="CU103" s="240"/>
      <c r="CV103" s="240"/>
      <c r="CW103" s="240"/>
      <c r="CX103" s="240"/>
      <c r="CY103" s="240"/>
      <c r="CZ103" s="241"/>
      <c r="DA103" s="241"/>
      <c r="DB103" s="241"/>
      <c r="DC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DR103" s="241"/>
      <c r="DS103" s="241"/>
      <c r="DT103" s="241"/>
      <c r="DU103" s="241"/>
      <c r="DV103" s="241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345"/>
      <c r="EM103" s="242" t="e">
        <f>EM131</f>
        <v>#REF!</v>
      </c>
      <c r="EN103" s="242" t="e">
        <f>EN131</f>
        <v>#REF!</v>
      </c>
      <c r="EO103" s="242" t="e">
        <f>EO131</f>
        <v>#REF!</v>
      </c>
      <c r="EP103" s="242" t="e">
        <f>EP131</f>
        <v>#REF!</v>
      </c>
      <c r="EQ103" s="312" t="s">
        <v>903</v>
      </c>
      <c r="ES103" s="800">
        <f>A103</f>
        <v>4</v>
      </c>
      <c r="ET103" s="226"/>
    </row>
    <row r="104" spans="1:150" s="243" customFormat="1" ht="11.25" customHeight="1">
      <c r="B104" s="343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1"/>
      <c r="DA104" s="241"/>
      <c r="DB104" s="241"/>
      <c r="DC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DR104" s="241"/>
      <c r="DS104" s="241"/>
      <c r="DT104" s="241"/>
      <c r="DU104" s="241"/>
      <c r="DV104" s="241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345"/>
      <c r="EM104" s="245"/>
      <c r="EN104" s="245"/>
      <c r="EO104" s="245"/>
      <c r="EP104" s="245"/>
      <c r="EQ104" s="316"/>
    </row>
    <row r="105" spans="1:150" s="243" customFormat="1" ht="11.25" customHeight="1">
      <c r="B105" s="343"/>
      <c r="C105" s="240"/>
      <c r="D105" s="240"/>
      <c r="E105" s="240" t="s">
        <v>674</v>
      </c>
      <c r="F105" s="240"/>
      <c r="G105" s="240"/>
      <c r="H105" s="240" t="s">
        <v>557</v>
      </c>
      <c r="I105" s="240"/>
      <c r="J105" s="240"/>
      <c r="K105" s="240" t="s">
        <v>96</v>
      </c>
      <c r="L105" s="240"/>
      <c r="M105" s="240" t="s">
        <v>147</v>
      </c>
      <c r="N105" s="240" t="s">
        <v>551</v>
      </c>
      <c r="O105" s="240"/>
      <c r="P105" s="240" t="s">
        <v>657</v>
      </c>
      <c r="Q105" s="240" t="s">
        <v>148</v>
      </c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0"/>
      <c r="CW105" s="240"/>
      <c r="CX105" s="240"/>
      <c r="CY105" s="240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1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345"/>
      <c r="EM105" s="245"/>
      <c r="EN105" s="245"/>
      <c r="EO105" s="245"/>
      <c r="EP105" s="245"/>
      <c r="EQ105" s="316"/>
    </row>
    <row r="106" spans="1:150" s="243" customFormat="1" ht="11.25" customHeight="1">
      <c r="B106" s="343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1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345"/>
      <c r="EM106" s="245"/>
      <c r="EN106" s="245"/>
      <c r="EO106" s="245"/>
      <c r="EP106" s="245"/>
      <c r="EQ106" s="316"/>
    </row>
    <row r="107" spans="1:150" s="243" customFormat="1" ht="11.25" customHeight="1">
      <c r="B107" s="343"/>
      <c r="C107" s="240"/>
      <c r="D107" s="240"/>
      <c r="E107" s="240"/>
      <c r="F107" s="240"/>
      <c r="G107" s="240"/>
      <c r="H107" s="240" t="s">
        <v>691</v>
      </c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 t="s">
        <v>827</v>
      </c>
      <c r="T107" s="240"/>
      <c r="U107" s="240"/>
      <c r="V107" s="240"/>
      <c r="W107" s="240"/>
      <c r="X107" s="240"/>
      <c r="Y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240"/>
      <c r="CN107" s="240"/>
      <c r="CO107" s="240"/>
      <c r="CP107" s="240"/>
      <c r="CQ107" s="240"/>
      <c r="CR107" s="240"/>
      <c r="CS107" s="240"/>
      <c r="CT107" s="240"/>
      <c r="CU107" s="240"/>
      <c r="CV107" s="240"/>
      <c r="CW107" s="240"/>
      <c r="CX107" s="240"/>
      <c r="CY107" s="240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1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345"/>
      <c r="EM107" s="245"/>
      <c r="EN107" s="245"/>
      <c r="EO107" s="245"/>
      <c r="EP107" s="245"/>
      <c r="EQ107" s="316"/>
    </row>
    <row r="108" spans="1:150" s="243" customFormat="1" ht="11.25" customHeight="1">
      <c r="B108" s="343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240"/>
      <c r="CN108" s="240"/>
      <c r="CO108" s="240"/>
      <c r="CP108" s="240"/>
      <c r="CQ108" s="240"/>
      <c r="CR108" s="240"/>
      <c r="CS108" s="240"/>
      <c r="CT108" s="240"/>
      <c r="CU108" s="240"/>
      <c r="CV108" s="240"/>
      <c r="CW108" s="240"/>
      <c r="CX108" s="240"/>
      <c r="CY108" s="240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1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345"/>
      <c r="EM108" s="245"/>
      <c r="EN108" s="245"/>
      <c r="EO108" s="245"/>
      <c r="EP108" s="245"/>
      <c r="EQ108" s="316"/>
    </row>
    <row r="109" spans="1:150" s="243" customFormat="1" ht="11.25" customHeight="1">
      <c r="B109" s="343"/>
      <c r="C109" s="240"/>
      <c r="D109" s="240"/>
      <c r="E109" s="240"/>
      <c r="F109" s="240"/>
      <c r="G109" s="240"/>
      <c r="H109" s="240" t="s">
        <v>773</v>
      </c>
      <c r="I109" s="240"/>
      <c r="J109" s="240" t="s">
        <v>134</v>
      </c>
      <c r="K109" s="240"/>
      <c r="L109" s="240" t="str">
        <f>TEXT(0.2,"#,##0.#######")</f>
        <v>0.2</v>
      </c>
      <c r="M109" s="240"/>
      <c r="N109" s="240"/>
      <c r="O109" s="240" t="s">
        <v>91</v>
      </c>
      <c r="P109" s="240"/>
      <c r="Q109" s="240"/>
      <c r="R109" s="240"/>
      <c r="S109" s="240"/>
      <c r="T109" s="240"/>
      <c r="U109" s="240"/>
      <c r="V109" s="240"/>
      <c r="W109" s="240" t="s">
        <v>774</v>
      </c>
      <c r="X109" s="240"/>
      <c r="Y109" s="240" t="s">
        <v>134</v>
      </c>
      <c r="Z109" s="240"/>
      <c r="AA109" s="240" t="str">
        <f>TEXT(1,"#,##0.#######")</f>
        <v>1.</v>
      </c>
      <c r="AB109" s="240"/>
      <c r="AC109" s="240" t="s">
        <v>139</v>
      </c>
      <c r="AD109" s="240"/>
      <c r="AE109" s="240" t="str">
        <f>TEXT(1.24,"#,##0.#######")</f>
        <v>1.24</v>
      </c>
      <c r="AF109" s="240"/>
      <c r="AG109" s="240"/>
      <c r="AH109" s="240"/>
      <c r="AI109" s="240"/>
      <c r="AJ109" s="240" t="s">
        <v>134</v>
      </c>
      <c r="AK109" s="240"/>
      <c r="AL109" s="240" t="str">
        <f>TEXT(ROUND(AA109/AE109,2),"#,##0.#######")</f>
        <v>0.81</v>
      </c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 t="s">
        <v>775</v>
      </c>
      <c r="AX109" s="240"/>
      <c r="AY109" s="240" t="s">
        <v>134</v>
      </c>
      <c r="AZ109" s="240"/>
      <c r="BA109" s="240" t="str">
        <f>TEXT(0.9,"#,##0.#######")</f>
        <v>0.9</v>
      </c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240"/>
      <c r="CN109" s="240"/>
      <c r="CO109" s="240"/>
      <c r="CP109" s="240"/>
      <c r="CQ109" s="240"/>
      <c r="CR109" s="240"/>
      <c r="CS109" s="240"/>
      <c r="CT109" s="240"/>
      <c r="CU109" s="240"/>
      <c r="CV109" s="240"/>
      <c r="CW109" s="240"/>
      <c r="CX109" s="240"/>
      <c r="CY109" s="240"/>
      <c r="CZ109" s="241"/>
      <c r="DA109" s="241"/>
      <c r="DB109" s="241"/>
      <c r="DC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DR109" s="241"/>
      <c r="DS109" s="241"/>
      <c r="DT109" s="241"/>
      <c r="DU109" s="241"/>
      <c r="DV109" s="241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345"/>
      <c r="EM109" s="245"/>
      <c r="EN109" s="245"/>
      <c r="EO109" s="245"/>
      <c r="EP109" s="245"/>
      <c r="EQ109" s="316"/>
    </row>
    <row r="110" spans="1:150" s="243" customFormat="1" ht="11.25" customHeight="1">
      <c r="B110" s="343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240"/>
      <c r="CN110" s="240"/>
      <c r="CO110" s="240"/>
      <c r="CP110" s="240"/>
      <c r="CQ110" s="240"/>
      <c r="CR110" s="240"/>
      <c r="CS110" s="240"/>
      <c r="CT110" s="240"/>
      <c r="CU110" s="240"/>
      <c r="CV110" s="240"/>
      <c r="CW110" s="240"/>
      <c r="CX110" s="240"/>
      <c r="CY110" s="240"/>
      <c r="CZ110" s="241"/>
      <c r="DA110" s="241"/>
      <c r="DB110" s="241"/>
      <c r="DC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DR110" s="241"/>
      <c r="DS110" s="241"/>
      <c r="DT110" s="241"/>
      <c r="DU110" s="241"/>
      <c r="DV110" s="241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345"/>
      <c r="EM110" s="245"/>
      <c r="EN110" s="245"/>
      <c r="EO110" s="245"/>
      <c r="EP110" s="245"/>
      <c r="EQ110" s="316"/>
    </row>
    <row r="111" spans="1:150" s="243" customFormat="1" ht="11.25" customHeight="1">
      <c r="B111" s="343"/>
      <c r="C111" s="240"/>
      <c r="D111" s="240"/>
      <c r="E111" s="240"/>
      <c r="F111" s="240"/>
      <c r="G111" s="240"/>
      <c r="H111" s="240" t="s">
        <v>692</v>
      </c>
      <c r="I111" s="240"/>
      <c r="J111" s="240" t="s">
        <v>134</v>
      </c>
      <c r="K111" s="240"/>
      <c r="L111" s="240" t="s">
        <v>147</v>
      </c>
      <c r="M111" s="240" t="str">
        <f>TEXT(0.7,"#,##0.#######")</f>
        <v>0.7</v>
      </c>
      <c r="N111" s="240"/>
      <c r="O111" s="240"/>
      <c r="P111" s="240" t="s">
        <v>130</v>
      </c>
      <c r="Q111" s="240" t="str">
        <f>TEXT(0.6,"#,##0.#######")</f>
        <v>0.6</v>
      </c>
      <c r="R111" s="240"/>
      <c r="S111" s="240"/>
      <c r="T111" s="240" t="s">
        <v>148</v>
      </c>
      <c r="U111" s="240" t="s">
        <v>139</v>
      </c>
      <c r="V111" s="240" t="str">
        <f>TEXT(2,"#,##0.#######")</f>
        <v>2.</v>
      </c>
      <c r="W111" s="240" t="s">
        <v>131</v>
      </c>
      <c r="X111" s="240" t="str">
        <f>TEXT(0.05,"#,##0.#######")</f>
        <v>0.05</v>
      </c>
      <c r="Y111" s="240"/>
      <c r="Z111" s="240"/>
      <c r="AA111" s="240"/>
      <c r="AB111" s="240"/>
      <c r="AC111" s="240" t="s">
        <v>134</v>
      </c>
      <c r="AD111" s="240"/>
      <c r="AE111" s="240" t="str">
        <f>TEXT(ROUND((M111+Q111)/V111-X111,2),"#,##0.#######")</f>
        <v>0.6</v>
      </c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 t="s">
        <v>693</v>
      </c>
      <c r="AP111" s="240"/>
      <c r="AQ111" s="240"/>
      <c r="AR111" s="240" t="s">
        <v>134</v>
      </c>
      <c r="AS111" s="240"/>
      <c r="AT111" s="240" t="str">
        <f>TEXT(18,"#,##0.#######")</f>
        <v>18.</v>
      </c>
      <c r="AU111" s="240"/>
      <c r="AV111" s="240" t="s">
        <v>776</v>
      </c>
      <c r="AW111" s="240"/>
      <c r="AX111" s="240"/>
      <c r="AY111" s="240"/>
      <c r="AZ111" s="240" t="s">
        <v>147</v>
      </c>
      <c r="BA111" s="240" t="s">
        <v>553</v>
      </c>
      <c r="BB111" s="240"/>
      <c r="BC111" s="240"/>
      <c r="BD111" s="240" t="s">
        <v>777</v>
      </c>
      <c r="BE111" s="240"/>
      <c r="BF111" s="240" t="s">
        <v>148</v>
      </c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0"/>
      <c r="CW111" s="240"/>
      <c r="CX111" s="240"/>
      <c r="CY111" s="240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1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345"/>
      <c r="EM111" s="245"/>
      <c r="EN111" s="245"/>
      <c r="EO111" s="245"/>
      <c r="EP111" s="245"/>
      <c r="EQ111" s="316"/>
    </row>
    <row r="112" spans="1:150" s="243" customFormat="1" ht="11.25" customHeight="1">
      <c r="B112" s="343"/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240"/>
      <c r="CN112" s="240"/>
      <c r="CO112" s="240"/>
      <c r="CP112" s="240"/>
      <c r="CQ112" s="240"/>
      <c r="CR112" s="240"/>
      <c r="CS112" s="240"/>
      <c r="CT112" s="240"/>
      <c r="CU112" s="240"/>
      <c r="CV112" s="240"/>
      <c r="CW112" s="240"/>
      <c r="CX112" s="240"/>
      <c r="CY112" s="240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1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345"/>
      <c r="EM112" s="245"/>
      <c r="EN112" s="245"/>
      <c r="EO112" s="245"/>
      <c r="EP112" s="245"/>
      <c r="EQ112" s="316"/>
    </row>
    <row r="113" spans="2:147" s="243" customFormat="1" ht="11.25" customHeight="1">
      <c r="B113" s="343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 t="str">
        <f>TEXT(3600,"#,##0.#######")</f>
        <v>3,600.</v>
      </c>
      <c r="N113" s="240"/>
      <c r="O113" s="240"/>
      <c r="P113" s="240"/>
      <c r="Q113" s="240"/>
      <c r="R113" s="240" t="s">
        <v>652</v>
      </c>
      <c r="S113" s="240"/>
      <c r="T113" s="240" t="s">
        <v>773</v>
      </c>
      <c r="U113" s="240" t="s">
        <v>652</v>
      </c>
      <c r="V113" s="240"/>
      <c r="W113" s="240" t="s">
        <v>775</v>
      </c>
      <c r="X113" s="240" t="s">
        <v>652</v>
      </c>
      <c r="Y113" s="240"/>
      <c r="Z113" s="240" t="s">
        <v>774</v>
      </c>
      <c r="AA113" s="240" t="s">
        <v>652</v>
      </c>
      <c r="AB113" s="240"/>
      <c r="AC113" s="240" t="s">
        <v>692</v>
      </c>
      <c r="AD113" s="240"/>
      <c r="AE113" s="240"/>
      <c r="AF113" s="240"/>
      <c r="AG113" s="240"/>
      <c r="AH113" s="240"/>
      <c r="AI113" s="240"/>
      <c r="AJ113" s="240" t="str">
        <f>TEXT(M113,"#,##0.#######")</f>
        <v>3,600.</v>
      </c>
      <c r="AK113" s="240"/>
      <c r="AL113" s="240"/>
      <c r="AM113" s="240"/>
      <c r="AN113" s="240"/>
      <c r="AO113" s="240" t="s">
        <v>652</v>
      </c>
      <c r="AP113" s="240"/>
      <c r="AQ113" s="240" t="str">
        <f>TEXT(L109,"#,##0.#######")</f>
        <v>0.2</v>
      </c>
      <c r="AR113" s="240"/>
      <c r="AS113" s="240"/>
      <c r="AT113" s="240" t="s">
        <v>652</v>
      </c>
      <c r="AU113" s="240"/>
      <c r="AV113" s="240" t="str">
        <f>TEXT(BA109,"#,##0.#######")</f>
        <v>0.9</v>
      </c>
      <c r="AW113" s="240"/>
      <c r="AX113" s="240"/>
      <c r="AY113" s="240" t="s">
        <v>652</v>
      </c>
      <c r="AZ113" s="240"/>
      <c r="BA113" s="240" t="str">
        <f>TEXT(AL109,"#,##0.#######")</f>
        <v>0.81</v>
      </c>
      <c r="BB113" s="240"/>
      <c r="BC113" s="240"/>
      <c r="BD113" s="240"/>
      <c r="BE113" s="240" t="s">
        <v>652</v>
      </c>
      <c r="BF113" s="240"/>
      <c r="BG113" s="240" t="str">
        <f>TEXT(AE111,"#,##0.#######")</f>
        <v>0.6</v>
      </c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0"/>
      <c r="BU113" s="240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0"/>
      <c r="CI113" s="240"/>
      <c r="CJ113" s="240"/>
      <c r="CK113" s="240"/>
      <c r="CL113" s="240"/>
      <c r="CM113" s="240"/>
      <c r="CN113" s="240"/>
      <c r="CO113" s="240"/>
      <c r="CP113" s="240"/>
      <c r="CQ113" s="240"/>
      <c r="CR113" s="240"/>
      <c r="CS113" s="240"/>
      <c r="CT113" s="240"/>
      <c r="CU113" s="240"/>
      <c r="CV113" s="240"/>
      <c r="CW113" s="240"/>
      <c r="CX113" s="240"/>
      <c r="CY113" s="240"/>
      <c r="CZ113" s="241"/>
      <c r="DA113" s="241"/>
      <c r="DB113" s="241"/>
      <c r="DC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DR113" s="241"/>
      <c r="DS113" s="241"/>
      <c r="DT113" s="241"/>
      <c r="DU113" s="241"/>
      <c r="DV113" s="241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345"/>
      <c r="EM113" s="245"/>
      <c r="EN113" s="245"/>
      <c r="EO113" s="245"/>
      <c r="EP113" s="245"/>
      <c r="EQ113" s="316"/>
    </row>
    <row r="114" spans="2:147" s="243" customFormat="1" ht="11.25" customHeight="1">
      <c r="B114" s="343"/>
      <c r="C114" s="240"/>
      <c r="D114" s="240"/>
      <c r="E114" s="240"/>
      <c r="F114" s="240"/>
      <c r="G114" s="240"/>
      <c r="H114" s="240" t="s">
        <v>687</v>
      </c>
      <c r="I114" s="240"/>
      <c r="J114" s="240" t="s">
        <v>134</v>
      </c>
      <c r="K114" s="240"/>
      <c r="L114" s="240" t="s">
        <v>694</v>
      </c>
      <c r="M114" s="240"/>
      <c r="N114" s="240" t="s">
        <v>694</v>
      </c>
      <c r="O114" s="240"/>
      <c r="P114" s="240" t="s">
        <v>694</v>
      </c>
      <c r="Q114" s="240"/>
      <c r="R114" s="240" t="s">
        <v>694</v>
      </c>
      <c r="S114" s="240"/>
      <c r="T114" s="240" t="s">
        <v>694</v>
      </c>
      <c r="U114" s="240"/>
      <c r="V114" s="240" t="s">
        <v>694</v>
      </c>
      <c r="W114" s="240"/>
      <c r="X114" s="240" t="s">
        <v>694</v>
      </c>
      <c r="Y114" s="240"/>
      <c r="Z114" s="240" t="s">
        <v>694</v>
      </c>
      <c r="AA114" s="240"/>
      <c r="AB114" s="240" t="s">
        <v>694</v>
      </c>
      <c r="AC114" s="240"/>
      <c r="AD114" s="240" t="s">
        <v>694</v>
      </c>
      <c r="AE114" s="240"/>
      <c r="AF114" s="240"/>
      <c r="AG114" s="240" t="s">
        <v>134</v>
      </c>
      <c r="AH114" s="240"/>
      <c r="AI114" s="240" t="s">
        <v>694</v>
      </c>
      <c r="AJ114" s="240"/>
      <c r="AK114" s="240" t="s">
        <v>694</v>
      </c>
      <c r="AL114" s="240"/>
      <c r="AM114" s="240" t="s">
        <v>694</v>
      </c>
      <c r="AN114" s="240"/>
      <c r="AO114" s="240" t="s">
        <v>694</v>
      </c>
      <c r="AP114" s="240"/>
      <c r="AQ114" s="240" t="s">
        <v>694</v>
      </c>
      <c r="AR114" s="240"/>
      <c r="AS114" s="240" t="s">
        <v>694</v>
      </c>
      <c r="AT114" s="240"/>
      <c r="AU114" s="240" t="s">
        <v>694</v>
      </c>
      <c r="AV114" s="240"/>
      <c r="AW114" s="240" t="s">
        <v>694</v>
      </c>
      <c r="AX114" s="240"/>
      <c r="AY114" s="240" t="s">
        <v>694</v>
      </c>
      <c r="AZ114" s="240"/>
      <c r="BA114" s="240" t="s">
        <v>694</v>
      </c>
      <c r="BB114" s="240"/>
      <c r="BC114" s="240" t="s">
        <v>694</v>
      </c>
      <c r="BD114" s="240"/>
      <c r="BE114" s="240" t="s">
        <v>694</v>
      </c>
      <c r="BF114" s="240"/>
      <c r="BG114" s="240" t="s">
        <v>694</v>
      </c>
      <c r="BH114" s="240"/>
      <c r="BI114" s="240" t="s">
        <v>694</v>
      </c>
      <c r="BJ114" s="240"/>
      <c r="BK114" s="240" t="s">
        <v>134</v>
      </c>
      <c r="BL114" s="240" t="str">
        <f>TEXT(ROUND((3600*L109*BA109*AL109*AE111)/(AT111),2),"#,##0.#######")</f>
        <v>17.5</v>
      </c>
      <c r="BN114" s="240"/>
      <c r="BO114" s="240" t="s">
        <v>91</v>
      </c>
      <c r="BP114" s="240"/>
      <c r="BQ114" s="240" t="s">
        <v>139</v>
      </c>
      <c r="BR114" s="240" t="s">
        <v>618</v>
      </c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240"/>
      <c r="CN114" s="240"/>
      <c r="CO114" s="240"/>
      <c r="CP114" s="240"/>
      <c r="CQ114" s="240"/>
      <c r="CR114" s="240"/>
      <c r="CS114" s="240"/>
      <c r="CT114" s="240"/>
      <c r="CU114" s="240"/>
      <c r="CV114" s="240"/>
      <c r="CW114" s="240"/>
      <c r="CX114" s="240"/>
      <c r="CY114" s="240"/>
      <c r="CZ114" s="241"/>
      <c r="DA114" s="241"/>
      <c r="DB114" s="241"/>
      <c r="DC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DR114" s="241"/>
      <c r="DS114" s="241"/>
      <c r="DT114" s="241"/>
      <c r="DU114" s="241"/>
      <c r="DV114" s="241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345"/>
      <c r="EM114" s="245"/>
      <c r="EN114" s="245"/>
      <c r="EO114" s="245"/>
      <c r="EP114" s="245"/>
      <c r="EQ114" s="316"/>
    </row>
    <row r="115" spans="2:147" s="243" customFormat="1" ht="11.25" customHeight="1">
      <c r="B115" s="343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 t="s">
        <v>693</v>
      </c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 t="str">
        <f>TEXT(AT111,"#,##0.#######")</f>
        <v>18.</v>
      </c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0"/>
      <c r="CW115" s="240"/>
      <c r="CX115" s="240"/>
      <c r="CY115" s="240"/>
      <c r="CZ115" s="241"/>
      <c r="DA115" s="241"/>
      <c r="DB115" s="241"/>
      <c r="DC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DR115" s="241"/>
      <c r="DS115" s="241"/>
      <c r="DT115" s="241"/>
      <c r="DU115" s="241"/>
      <c r="DV115" s="241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345"/>
      <c r="EM115" s="245"/>
      <c r="EN115" s="245"/>
      <c r="EO115" s="245"/>
      <c r="EP115" s="245"/>
      <c r="EQ115" s="316"/>
    </row>
    <row r="116" spans="2:147" s="243" customFormat="1" ht="11.25" customHeight="1">
      <c r="B116" s="343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0"/>
      <c r="CW116" s="240"/>
      <c r="CX116" s="240"/>
      <c r="CY116" s="240"/>
      <c r="CZ116" s="241"/>
      <c r="DA116" s="241"/>
      <c r="DB116" s="241"/>
      <c r="DC116" s="241"/>
      <c r="DD116" s="241"/>
      <c r="DE116" s="241"/>
      <c r="DF116" s="241"/>
      <c r="DG116" s="241"/>
      <c r="DH116" s="241"/>
      <c r="DI116" s="241"/>
      <c r="DJ116" s="241"/>
      <c r="DK116" s="241"/>
      <c r="DL116" s="241"/>
      <c r="DM116" s="241"/>
      <c r="DN116" s="241"/>
      <c r="DO116" s="241"/>
      <c r="DP116" s="241"/>
      <c r="DQ116" s="241"/>
      <c r="DR116" s="241"/>
      <c r="DS116" s="241"/>
      <c r="DT116" s="241"/>
      <c r="DU116" s="241"/>
      <c r="DV116" s="241"/>
      <c r="DW116" s="241"/>
      <c r="DX116" s="241"/>
      <c r="DY116" s="241"/>
      <c r="DZ116" s="241"/>
      <c r="EA116" s="241"/>
      <c r="EB116" s="241"/>
      <c r="EC116" s="241"/>
      <c r="ED116" s="241"/>
      <c r="EE116" s="241"/>
      <c r="EF116" s="241"/>
      <c r="EG116" s="241"/>
      <c r="EH116" s="241"/>
      <c r="EI116" s="241"/>
      <c r="EJ116" s="241"/>
      <c r="EK116" s="241"/>
      <c r="EL116" s="345"/>
      <c r="EM116" s="245"/>
      <c r="EN116" s="245"/>
      <c r="EO116" s="245"/>
      <c r="EP116" s="245"/>
      <c r="EQ116" s="316"/>
    </row>
    <row r="117" spans="2:147" s="243" customFormat="1" ht="11.25" customHeight="1">
      <c r="B117" s="343"/>
      <c r="C117" s="240"/>
      <c r="D117" s="240"/>
      <c r="E117" s="240"/>
      <c r="F117" s="240"/>
      <c r="G117" s="240"/>
      <c r="H117" s="240" t="s">
        <v>616</v>
      </c>
      <c r="I117" s="240"/>
      <c r="J117" s="240"/>
      <c r="K117" s="240"/>
      <c r="L117" s="240"/>
      <c r="M117" s="240"/>
      <c r="N117" s="240"/>
      <c r="O117" s="240" t="s">
        <v>132</v>
      </c>
      <c r="P117" s="240"/>
      <c r="Q117" s="1780" t="e">
        <f>#REF!</f>
        <v>#REF!</v>
      </c>
      <c r="R117" s="1780"/>
      <c r="S117" s="1780"/>
      <c r="T117" s="1780"/>
      <c r="U117" s="1780"/>
      <c r="V117" s="240"/>
      <c r="W117" s="240"/>
      <c r="X117" s="240"/>
      <c r="Y117" s="240"/>
      <c r="Z117" s="240" t="s">
        <v>683</v>
      </c>
      <c r="AA117" s="240"/>
      <c r="AB117" s="240"/>
      <c r="AC117" s="240" t="str">
        <f>TEXT(BL114,"#,##0.#######")</f>
        <v>17.5</v>
      </c>
      <c r="AD117" s="240"/>
      <c r="AE117" s="240"/>
      <c r="AF117" s="240"/>
      <c r="AG117" s="240"/>
      <c r="AH117" s="240"/>
      <c r="AI117" s="240"/>
      <c r="AJ117" s="240" t="s">
        <v>652</v>
      </c>
      <c r="AK117" s="240"/>
      <c r="AL117" s="240" t="str">
        <f>TEXT(0.8,"#,##0.#######")</f>
        <v>0.8</v>
      </c>
      <c r="AM117" s="240"/>
      <c r="AN117" s="240"/>
      <c r="AO117" s="240"/>
      <c r="AP117" s="240" t="s">
        <v>134</v>
      </c>
      <c r="AQ117" s="240"/>
      <c r="AR117" s="240" t="e">
        <f>TEXT(TRUNC(Q117/BL114*AL117,1),"#,##0.#")</f>
        <v>#REF!</v>
      </c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1"/>
      <c r="DA117" s="241"/>
      <c r="DB117" s="241"/>
      <c r="DC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DR117" s="241"/>
      <c r="DS117" s="241"/>
      <c r="DT117" s="241"/>
      <c r="DU117" s="241"/>
      <c r="DV117" s="241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345"/>
      <c r="EM117" s="245"/>
      <c r="EN117" s="245"/>
      <c r="EO117" s="245"/>
      <c r="EP117" s="245"/>
      <c r="EQ117" s="316"/>
    </row>
    <row r="118" spans="2:147" s="243" customFormat="1" ht="11.25" customHeight="1">
      <c r="B118" s="343"/>
      <c r="C118" s="240"/>
      <c r="D118" s="240"/>
      <c r="E118" s="240"/>
      <c r="F118" s="240"/>
      <c r="G118" s="240"/>
      <c r="H118" s="240" t="s">
        <v>617</v>
      </c>
      <c r="I118" s="240"/>
      <c r="J118" s="240"/>
      <c r="K118" s="240"/>
      <c r="L118" s="240"/>
      <c r="M118" s="240"/>
      <c r="N118" s="240"/>
      <c r="O118" s="240" t="s">
        <v>132</v>
      </c>
      <c r="P118" s="240"/>
      <c r="Q118" s="1780" t="e">
        <f>#REF!</f>
        <v>#REF!</v>
      </c>
      <c r="R118" s="1780"/>
      <c r="S118" s="1780"/>
      <c r="T118" s="1780"/>
      <c r="U118" s="1780"/>
      <c r="V118" s="240"/>
      <c r="W118" s="240"/>
      <c r="X118" s="240"/>
      <c r="Y118" s="240"/>
      <c r="Z118" s="240" t="s">
        <v>683</v>
      </c>
      <c r="AA118" s="240"/>
      <c r="AB118" s="240"/>
      <c r="AC118" s="240" t="str">
        <f>TEXT(BL114,"#,##0.#######")</f>
        <v>17.5</v>
      </c>
      <c r="AD118" s="240"/>
      <c r="AE118" s="240"/>
      <c r="AF118" s="240"/>
      <c r="AG118" s="240"/>
      <c r="AH118" s="240"/>
      <c r="AI118" s="240"/>
      <c r="AJ118" s="240" t="s">
        <v>652</v>
      </c>
      <c r="AK118" s="240"/>
      <c r="AL118" s="240" t="str">
        <f>TEXT(0.8,"#,##0.#######")</f>
        <v>0.8</v>
      </c>
      <c r="AM118" s="240"/>
      <c r="AN118" s="240"/>
      <c r="AO118" s="240"/>
      <c r="AP118" s="240" t="s">
        <v>134</v>
      </c>
      <c r="AQ118" s="240"/>
      <c r="AR118" s="240" t="e">
        <f>TEXT(TRUNC(Q118/BL114*AL118,1),"#,##0.#")</f>
        <v>#REF!</v>
      </c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1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345"/>
      <c r="EM118" s="245"/>
      <c r="EN118" s="245"/>
      <c r="EO118" s="245"/>
      <c r="EP118" s="245"/>
      <c r="EQ118" s="316"/>
    </row>
    <row r="119" spans="2:147" s="243" customFormat="1" ht="11.25" customHeight="1">
      <c r="B119" s="343"/>
      <c r="C119" s="240"/>
      <c r="D119" s="240"/>
      <c r="E119" s="240"/>
      <c r="F119" s="240"/>
      <c r="G119" s="240"/>
      <c r="H119" s="240" t="s">
        <v>679</v>
      </c>
      <c r="I119" s="240"/>
      <c r="J119" s="240"/>
      <c r="K119" s="240"/>
      <c r="L119" s="240" t="s">
        <v>680</v>
      </c>
      <c r="M119" s="240"/>
      <c r="N119" s="240"/>
      <c r="O119" s="240" t="s">
        <v>132</v>
      </c>
      <c r="P119" s="240"/>
      <c r="Q119" s="1780" t="e">
        <f>#REF!</f>
        <v>#REF!</v>
      </c>
      <c r="R119" s="1780"/>
      <c r="S119" s="1780"/>
      <c r="T119" s="1780"/>
      <c r="U119" s="1780"/>
      <c r="V119" s="240"/>
      <c r="W119" s="240"/>
      <c r="X119" s="240"/>
      <c r="Y119" s="240"/>
      <c r="Z119" s="240" t="s">
        <v>683</v>
      </c>
      <c r="AA119" s="240"/>
      <c r="AB119" s="240"/>
      <c r="AC119" s="240" t="str">
        <f>TEXT(BL114,"#,##0.#######")</f>
        <v>17.5</v>
      </c>
      <c r="AD119" s="240"/>
      <c r="AE119" s="240"/>
      <c r="AF119" s="240"/>
      <c r="AG119" s="240"/>
      <c r="AH119" s="240"/>
      <c r="AI119" s="240"/>
      <c r="AJ119" s="240" t="s">
        <v>652</v>
      </c>
      <c r="AK119" s="240"/>
      <c r="AL119" s="240" t="str">
        <f>TEXT(0.8,"#,##0.#######")</f>
        <v>0.8</v>
      </c>
      <c r="AM119" s="240"/>
      <c r="AN119" s="240"/>
      <c r="AO119" s="240"/>
      <c r="AP119" s="240" t="s">
        <v>134</v>
      </c>
      <c r="AQ119" s="240"/>
      <c r="AR119" s="240" t="e">
        <f>TEXT(TRUNC(Q119/BL114*AL119,1),"#,##0.#")</f>
        <v>#REF!</v>
      </c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1"/>
      <c r="DA119" s="241"/>
      <c r="DB119" s="241"/>
      <c r="DC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DR119" s="241"/>
      <c r="DS119" s="241"/>
      <c r="DT119" s="241"/>
      <c r="DU119" s="241"/>
      <c r="DV119" s="241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345"/>
      <c r="EM119" s="245"/>
      <c r="EN119" s="245"/>
      <c r="EO119" s="245"/>
      <c r="EP119" s="245"/>
      <c r="EQ119" s="316"/>
    </row>
    <row r="120" spans="2:147" s="243" customFormat="1" ht="11.25" customHeight="1">
      <c r="B120" s="343"/>
      <c r="C120" s="240"/>
      <c r="D120" s="240"/>
      <c r="E120" s="240"/>
      <c r="F120" s="240"/>
      <c r="G120" s="240"/>
      <c r="H120" s="240" t="s">
        <v>688</v>
      </c>
      <c r="I120" s="240"/>
      <c r="J120" s="240"/>
      <c r="K120" s="240"/>
      <c r="L120" s="240" t="s">
        <v>96</v>
      </c>
      <c r="M120" s="240"/>
      <c r="N120" s="240"/>
      <c r="O120" s="240" t="s">
        <v>132</v>
      </c>
      <c r="P120" s="240"/>
      <c r="Q120" s="240" t="e">
        <f>TEXT(AR117+AR118+AR119,"#,##0.#######")</f>
        <v>#REF!</v>
      </c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345"/>
      <c r="EM120" s="245" t="e">
        <f>EN120+EO120+EP120</f>
        <v>#REF!</v>
      </c>
      <c r="EN120" s="245" t="e">
        <f>TEXT(AR117,"#,###.0")</f>
        <v>#REF!</v>
      </c>
      <c r="EO120" s="245" t="e">
        <f>TEXT(AR118,"#,###.0")</f>
        <v>#REF!</v>
      </c>
      <c r="EP120" s="245" t="e">
        <f>TEXT(AR119,"#,###.0")</f>
        <v>#REF!</v>
      </c>
      <c r="EQ120" s="316"/>
    </row>
    <row r="121" spans="2:147" s="243" customFormat="1" ht="11.25" customHeight="1">
      <c r="B121" s="343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345"/>
      <c r="EM121" s="245"/>
      <c r="EN121" s="245"/>
      <c r="EO121" s="245"/>
      <c r="EP121" s="245"/>
      <c r="EQ121" s="316"/>
    </row>
    <row r="122" spans="2:147" s="243" customFormat="1" ht="11.25" customHeight="1">
      <c r="B122" s="343"/>
      <c r="C122" s="240"/>
      <c r="D122" s="240"/>
      <c r="E122" s="240" t="s">
        <v>675</v>
      </c>
      <c r="F122" s="240"/>
      <c r="G122" s="240"/>
      <c r="H122" s="240" t="s">
        <v>102</v>
      </c>
      <c r="I122" s="240"/>
      <c r="J122" s="240"/>
      <c r="K122" s="240" t="s">
        <v>820</v>
      </c>
      <c r="L122" s="240"/>
      <c r="M122" s="240" t="s">
        <v>147</v>
      </c>
      <c r="N122" s="240" t="s">
        <v>549</v>
      </c>
      <c r="O122" s="240"/>
      <c r="P122" s="240" t="s">
        <v>657</v>
      </c>
      <c r="Q122" s="240" t="s">
        <v>148</v>
      </c>
      <c r="R122" s="240"/>
      <c r="S122" s="240" t="s">
        <v>132</v>
      </c>
      <c r="T122" s="240"/>
      <c r="U122" s="240" t="s">
        <v>147</v>
      </c>
      <c r="V122" s="240" t="s">
        <v>822</v>
      </c>
      <c r="W122" s="240"/>
      <c r="X122" s="240"/>
      <c r="Y122" s="240"/>
      <c r="Z122" s="240"/>
      <c r="AA122" s="240"/>
      <c r="AB122" s="240" t="s">
        <v>823</v>
      </c>
      <c r="AC122" s="240"/>
      <c r="AD122" s="240"/>
      <c r="AE122" s="240"/>
      <c r="AF122" s="240"/>
      <c r="AG122" s="240"/>
      <c r="AH122" s="240"/>
      <c r="AI122" s="240" t="s">
        <v>824</v>
      </c>
      <c r="AJ122" s="240"/>
      <c r="AK122" s="240"/>
      <c r="AL122" s="240"/>
      <c r="AM122" s="240"/>
      <c r="AN122" s="240"/>
      <c r="AO122" s="240"/>
      <c r="AP122" s="240" t="s">
        <v>148</v>
      </c>
      <c r="AQ122" s="240" t="s">
        <v>825</v>
      </c>
      <c r="AR122" s="240"/>
      <c r="AS122" s="240"/>
      <c r="AT122" s="240" t="s">
        <v>826</v>
      </c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345"/>
      <c r="EM122" s="245"/>
      <c r="EN122" s="245"/>
      <c r="EO122" s="245"/>
      <c r="EP122" s="245"/>
      <c r="EQ122" s="316"/>
    </row>
    <row r="123" spans="2:147" s="243" customFormat="1" ht="11.25" customHeight="1">
      <c r="B123" s="343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345"/>
      <c r="EM123" s="245"/>
      <c r="EN123" s="245"/>
      <c r="EO123" s="245"/>
      <c r="EP123" s="245"/>
      <c r="EQ123" s="316"/>
    </row>
    <row r="124" spans="2:147" s="243" customFormat="1" ht="11.25" customHeight="1">
      <c r="B124" s="343"/>
      <c r="C124" s="240"/>
      <c r="D124" s="240"/>
      <c r="E124" s="240"/>
      <c r="F124" s="240"/>
      <c r="G124" s="240"/>
      <c r="H124" s="240" t="s">
        <v>103</v>
      </c>
      <c r="I124" s="240"/>
      <c r="J124" s="240"/>
      <c r="K124" s="240"/>
      <c r="L124" s="240"/>
      <c r="M124" s="240"/>
      <c r="N124" s="240" t="s">
        <v>132</v>
      </c>
      <c r="O124" s="240"/>
      <c r="P124" s="1774">
        <f>VLOOKUP($H124,노임단가!$A:$B,2,FALSE)</f>
        <v>157068</v>
      </c>
      <c r="Q124" s="1774"/>
      <c r="R124" s="1774"/>
      <c r="S124" s="1774"/>
      <c r="T124" s="1774"/>
      <c r="U124" s="1774"/>
      <c r="V124" s="240" t="s">
        <v>652</v>
      </c>
      <c r="W124" s="240"/>
      <c r="X124" s="240" t="s">
        <v>147</v>
      </c>
      <c r="Y124" s="240" t="str">
        <f>TEXT(0.2,"#,##0.#######")</f>
        <v>0.2</v>
      </c>
      <c r="Z124" s="240"/>
      <c r="AA124" s="240"/>
      <c r="AB124" s="240" t="s">
        <v>130</v>
      </c>
      <c r="AC124" s="240" t="str">
        <f>TEXT(0.26,"#,##0.#######")</f>
        <v>0.26</v>
      </c>
      <c r="AD124" s="240"/>
      <c r="AE124" s="240"/>
      <c r="AF124" s="240"/>
      <c r="AG124" s="240" t="s">
        <v>130</v>
      </c>
      <c r="AH124" s="240" t="str">
        <f>TEXT(0.32,"#,##0.#######")</f>
        <v>0.32</v>
      </c>
      <c r="AI124" s="240"/>
      <c r="AJ124" s="240"/>
      <c r="AK124" s="240"/>
      <c r="AL124" s="240" t="s">
        <v>148</v>
      </c>
      <c r="AM124" s="240" t="s">
        <v>139</v>
      </c>
      <c r="AN124" s="240" t="str">
        <f>TEXT(3,"#,##0.#######")</f>
        <v>3.</v>
      </c>
      <c r="AO124" s="240" t="s">
        <v>102</v>
      </c>
      <c r="AP124" s="240"/>
      <c r="AQ124" s="240"/>
      <c r="AR124" s="240" t="s">
        <v>652</v>
      </c>
      <c r="AS124" s="240"/>
      <c r="AT124" s="240"/>
      <c r="AU124" s="240" t="str">
        <f>TEXT(0.2,"#,##0.#######")</f>
        <v>0.2</v>
      </c>
      <c r="AV124" s="240"/>
      <c r="AW124" s="240"/>
      <c r="AX124" s="240"/>
      <c r="AY124" s="240" t="s">
        <v>134</v>
      </c>
      <c r="AZ124" s="240"/>
      <c r="BA124" s="240" t="str">
        <f>TEXT(TRUNC(P124*(Y124+AC124+AH124)/AN124*AU124,1),"#,##0.#")</f>
        <v>8,167.5</v>
      </c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345"/>
      <c r="EM124" s="245">
        <f>EN124+EO124+EP124</f>
        <v>8167.5</v>
      </c>
      <c r="EN124" s="245" t="str">
        <f>BA124</f>
        <v>8,167.5</v>
      </c>
      <c r="EO124" s="245"/>
      <c r="EP124" s="245"/>
      <c r="EQ124" s="316"/>
    </row>
    <row r="125" spans="2:147" s="243" customFormat="1" ht="11.25" customHeight="1">
      <c r="B125" s="343"/>
      <c r="C125" s="240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345"/>
      <c r="EM125" s="245"/>
      <c r="EN125" s="245"/>
      <c r="EO125" s="245"/>
      <c r="EP125" s="245"/>
      <c r="EQ125" s="316"/>
    </row>
    <row r="126" spans="2:147" s="243" customFormat="1" ht="11.25" customHeight="1">
      <c r="B126" s="343"/>
      <c r="C126" s="240"/>
      <c r="D126" s="240"/>
      <c r="E126" s="240" t="s">
        <v>677</v>
      </c>
      <c r="F126" s="240"/>
      <c r="G126" s="240"/>
      <c r="H126" s="240" t="s">
        <v>678</v>
      </c>
      <c r="I126" s="240"/>
      <c r="J126" s="240"/>
      <c r="K126" s="240"/>
      <c r="L126" s="240" t="s">
        <v>96</v>
      </c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345"/>
      <c r="EM126" s="245"/>
      <c r="EN126" s="245"/>
      <c r="EO126" s="245"/>
      <c r="EP126" s="245"/>
      <c r="EQ126" s="316"/>
    </row>
    <row r="127" spans="2:147" s="243" customFormat="1" ht="11.25" customHeight="1">
      <c r="B127" s="343"/>
      <c r="C127" s="240"/>
      <c r="D127" s="240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345"/>
      <c r="EM127" s="245"/>
      <c r="EN127" s="245"/>
      <c r="EO127" s="245"/>
      <c r="EP127" s="245"/>
      <c r="EQ127" s="316"/>
    </row>
    <row r="128" spans="2:147" s="243" customFormat="1" ht="11.25" customHeight="1">
      <c r="B128" s="343"/>
      <c r="C128" s="240"/>
      <c r="D128" s="240"/>
      <c r="E128" s="240"/>
      <c r="F128" s="240"/>
      <c r="G128" s="240"/>
      <c r="H128" s="240"/>
      <c r="I128" s="240" t="s">
        <v>616</v>
      </c>
      <c r="J128" s="240"/>
      <c r="K128" s="240"/>
      <c r="L128" s="240"/>
      <c r="M128" s="240"/>
      <c r="N128" s="240"/>
      <c r="O128" s="240"/>
      <c r="P128" s="240" t="s">
        <v>132</v>
      </c>
      <c r="Q128" s="240"/>
      <c r="R128" s="240" t="e">
        <f>TEXT(EN120,"#,###.##")</f>
        <v>#REF!</v>
      </c>
      <c r="S128" s="240"/>
      <c r="T128" s="240"/>
      <c r="U128" s="240"/>
      <c r="V128" s="240"/>
      <c r="W128" s="240" t="s">
        <v>130</v>
      </c>
      <c r="X128" s="240"/>
      <c r="Y128" s="240" t="str">
        <f>TEXT(EN124,"#,###.##")</f>
        <v>8,167.5</v>
      </c>
      <c r="Z128" s="240"/>
      <c r="AA128" s="240"/>
      <c r="AB128" s="240"/>
      <c r="AC128" s="240"/>
      <c r="AD128" s="240" t="s">
        <v>134</v>
      </c>
      <c r="AE128" s="240"/>
      <c r="AF128" s="240"/>
      <c r="AG128" s="240" t="e">
        <f>TEXT(TRUNC(EN120+EN124,0),"#,##0")</f>
        <v>#REF!</v>
      </c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345"/>
      <c r="EM128" s="245"/>
      <c r="EN128" s="245"/>
      <c r="EO128" s="245"/>
      <c r="EP128" s="245"/>
      <c r="EQ128" s="316"/>
    </row>
    <row r="129" spans="1:150" s="243" customFormat="1" ht="11.25" customHeight="1">
      <c r="B129" s="343"/>
      <c r="C129" s="240"/>
      <c r="D129" s="240"/>
      <c r="E129" s="240"/>
      <c r="F129" s="240"/>
      <c r="G129" s="240"/>
      <c r="H129" s="240"/>
      <c r="I129" s="240" t="s">
        <v>617</v>
      </c>
      <c r="J129" s="240"/>
      <c r="K129" s="240"/>
      <c r="L129" s="240"/>
      <c r="M129" s="240"/>
      <c r="N129" s="240"/>
      <c r="O129" s="240"/>
      <c r="P129" s="240" t="s">
        <v>132</v>
      </c>
      <c r="Q129" s="240"/>
      <c r="R129" s="240" t="e">
        <f>TEXT(TRUNC(EO120,0),"#,##0")</f>
        <v>#REF!</v>
      </c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345"/>
      <c r="EM129" s="245"/>
      <c r="EN129" s="245"/>
      <c r="EO129" s="245"/>
      <c r="EP129" s="245"/>
      <c r="EQ129" s="316"/>
    </row>
    <row r="130" spans="1:150" s="243" customFormat="1" ht="11.25" customHeight="1">
      <c r="B130" s="343"/>
      <c r="C130" s="240"/>
      <c r="D130" s="240"/>
      <c r="E130" s="240"/>
      <c r="F130" s="240"/>
      <c r="G130" s="240"/>
      <c r="H130" s="240"/>
      <c r="I130" s="240" t="s">
        <v>679</v>
      </c>
      <c r="J130" s="240"/>
      <c r="K130" s="240" t="s">
        <v>680</v>
      </c>
      <c r="L130" s="240"/>
      <c r="M130" s="240"/>
      <c r="N130" s="240"/>
      <c r="O130" s="240"/>
      <c r="P130" s="240" t="s">
        <v>132</v>
      </c>
      <c r="Q130" s="240"/>
      <c r="R130" s="240" t="e">
        <f>TEXT(TRUNC(EP120,0),"#,##0")</f>
        <v>#REF!</v>
      </c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345"/>
      <c r="EM130" s="245"/>
      <c r="EN130" s="245"/>
      <c r="EO130" s="245"/>
      <c r="EP130" s="245"/>
      <c r="EQ130" s="316"/>
    </row>
    <row r="131" spans="1:150" s="243" customFormat="1" ht="11.25" customHeight="1">
      <c r="B131" s="343"/>
      <c r="C131" s="240"/>
      <c r="D131" s="240"/>
      <c r="E131" s="240"/>
      <c r="F131" s="240"/>
      <c r="G131" s="240"/>
      <c r="H131" s="240"/>
      <c r="I131" s="240" t="s">
        <v>96</v>
      </c>
      <c r="J131" s="240"/>
      <c r="K131" s="240"/>
      <c r="L131" s="240"/>
      <c r="M131" s="240"/>
      <c r="N131" s="240"/>
      <c r="O131" s="240"/>
      <c r="P131" s="240" t="s">
        <v>132</v>
      </c>
      <c r="Q131" s="240"/>
      <c r="R131" s="240" t="e">
        <f>TEXT(AG128+R129+R130,"#,##0")</f>
        <v>#REF!</v>
      </c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345"/>
      <c r="EM131" s="250" t="e">
        <f>EN131+EO131+EP131</f>
        <v>#REF!</v>
      </c>
      <c r="EN131" s="245" t="e">
        <f>TEXT(AG128,"#,##0")</f>
        <v>#REF!</v>
      </c>
      <c r="EO131" s="245" t="e">
        <f>TEXT(R129,"#,##0")</f>
        <v>#REF!</v>
      </c>
      <c r="EP131" s="245" t="e">
        <f>TEXT(R130,"#,##0")</f>
        <v>#REF!</v>
      </c>
      <c r="EQ131" s="316"/>
    </row>
    <row r="132" spans="1:150" s="243" customFormat="1" ht="11.25" customHeight="1">
      <c r="B132" s="343"/>
      <c r="C132" s="240"/>
      <c r="D132" s="240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345"/>
      <c r="EM132" s="250"/>
      <c r="EN132" s="245"/>
      <c r="EO132" s="245"/>
      <c r="EP132" s="245"/>
      <c r="EQ132" s="316"/>
    </row>
    <row r="133" spans="1:150" s="243" customFormat="1" ht="11.25" customHeight="1">
      <c r="B133" s="343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345"/>
      <c r="EM133" s="250"/>
      <c r="EN133" s="245"/>
      <c r="EO133" s="245"/>
      <c r="EP133" s="245"/>
      <c r="EQ133" s="316"/>
    </row>
    <row r="134" spans="1:150" s="243" customFormat="1" ht="11.25" customHeight="1">
      <c r="B134" s="343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345"/>
      <c r="EM134" s="250"/>
      <c r="EN134" s="245"/>
      <c r="EO134" s="245"/>
      <c r="EP134" s="245"/>
      <c r="EQ134" s="316"/>
    </row>
    <row r="135" spans="1:150" s="243" customFormat="1" ht="11.25" customHeight="1">
      <c r="A135" s="243">
        <v>5</v>
      </c>
      <c r="B135" s="343"/>
      <c r="C135" s="1781">
        <f>A135</f>
        <v>5</v>
      </c>
      <c r="D135" s="1781"/>
      <c r="E135" s="344" t="s">
        <v>881</v>
      </c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345"/>
      <c r="EM135" s="242">
        <f>EM146</f>
        <v>31413</v>
      </c>
      <c r="EN135" s="242" t="str">
        <f>EN146</f>
        <v>31,413</v>
      </c>
      <c r="EO135" s="245">
        <f>EO146</f>
        <v>0</v>
      </c>
      <c r="EP135" s="245">
        <f>EP146</f>
        <v>0</v>
      </c>
      <c r="EQ135" s="312" t="s">
        <v>903</v>
      </c>
      <c r="ES135" s="800">
        <f>A135</f>
        <v>5</v>
      </c>
      <c r="ET135" s="226"/>
    </row>
    <row r="136" spans="1:150" s="243" customFormat="1" ht="11.25" customHeight="1">
      <c r="B136" s="343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345"/>
      <c r="EM136" s="245"/>
      <c r="EN136" s="245"/>
      <c r="EO136" s="245"/>
      <c r="EP136" s="245"/>
      <c r="EQ136" s="316"/>
    </row>
    <row r="137" spans="1:150" s="243" customFormat="1" ht="11.25" customHeight="1">
      <c r="B137" s="343"/>
      <c r="C137" s="240"/>
      <c r="D137" s="240"/>
      <c r="E137" s="240" t="s">
        <v>674</v>
      </c>
      <c r="F137" s="240"/>
      <c r="G137" s="240"/>
      <c r="H137" s="240" t="s">
        <v>102</v>
      </c>
      <c r="I137" s="240"/>
      <c r="J137" s="240"/>
      <c r="K137" s="240"/>
      <c r="L137" s="240" t="s">
        <v>820</v>
      </c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345"/>
      <c r="EM137" s="245"/>
      <c r="EN137" s="245"/>
      <c r="EO137" s="245"/>
      <c r="EP137" s="245"/>
      <c r="EQ137" s="316"/>
    </row>
    <row r="138" spans="1:150" s="243" customFormat="1" ht="11.25" customHeight="1">
      <c r="B138" s="343"/>
      <c r="C138" s="240"/>
      <c r="D138" s="240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345"/>
      <c r="EM138" s="245"/>
      <c r="EN138" s="245"/>
      <c r="EO138" s="245"/>
      <c r="EP138" s="245"/>
      <c r="EQ138" s="316"/>
    </row>
    <row r="139" spans="1:150" s="243" customFormat="1" ht="11.25" customHeight="1">
      <c r="B139" s="343"/>
      <c r="C139" s="240"/>
      <c r="D139" s="240"/>
      <c r="E139" s="240"/>
      <c r="F139" s="240"/>
      <c r="G139" s="240"/>
      <c r="H139" s="240" t="s">
        <v>103</v>
      </c>
      <c r="I139" s="240"/>
      <c r="J139" s="240"/>
      <c r="K139" s="240"/>
      <c r="L139" s="240"/>
      <c r="M139" s="240"/>
      <c r="N139" s="240" t="s">
        <v>132</v>
      </c>
      <c r="O139" s="240"/>
      <c r="P139" s="1774">
        <f>VLOOKUP($H139,노임단가!$A:$B,2,FALSE)</f>
        <v>157068</v>
      </c>
      <c r="Q139" s="1774"/>
      <c r="R139" s="1774"/>
      <c r="S139" s="1774"/>
      <c r="T139" s="1774"/>
      <c r="U139" s="1774"/>
      <c r="V139" s="240"/>
      <c r="W139" s="240"/>
      <c r="X139" s="240" t="s">
        <v>652</v>
      </c>
      <c r="Y139" s="240"/>
      <c r="Z139" s="240"/>
      <c r="AA139" s="240" t="str">
        <f>TEXT(0.2,"#,##0.#######")</f>
        <v>0.2</v>
      </c>
      <c r="AB139" s="240"/>
      <c r="AC139" s="240"/>
      <c r="AD139" s="240" t="s">
        <v>102</v>
      </c>
      <c r="AE139" s="240"/>
      <c r="AF139" s="240"/>
      <c r="AG139" s="240" t="s">
        <v>134</v>
      </c>
      <c r="AH139" s="240"/>
      <c r="AI139" s="240" t="str">
        <f>TEXT(TRUNC(P139*AA139,1),"#,##0.#")</f>
        <v>31,413.6</v>
      </c>
      <c r="AJ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345"/>
      <c r="EM139" s="245">
        <f>EN139+EO139+EP139</f>
        <v>31413.599999999999</v>
      </c>
      <c r="EN139" s="245" t="str">
        <f>AI139</f>
        <v>31,413.6</v>
      </c>
      <c r="EO139" s="245"/>
      <c r="EP139" s="245"/>
      <c r="EQ139" s="316"/>
    </row>
    <row r="140" spans="1:150" s="243" customFormat="1" ht="11.25" customHeight="1">
      <c r="B140" s="343"/>
      <c r="C140" s="240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345"/>
      <c r="EM140" s="245"/>
      <c r="EN140" s="245"/>
      <c r="EO140" s="245"/>
      <c r="EP140" s="245"/>
      <c r="EQ140" s="316"/>
    </row>
    <row r="141" spans="1:150" s="243" customFormat="1" ht="11.25" customHeight="1">
      <c r="B141" s="343"/>
      <c r="C141" s="240"/>
      <c r="D141" s="240"/>
      <c r="E141" s="240" t="s">
        <v>675</v>
      </c>
      <c r="F141" s="240"/>
      <c r="G141" s="240"/>
      <c r="H141" s="240" t="s">
        <v>678</v>
      </c>
      <c r="I141" s="240"/>
      <c r="J141" s="240"/>
      <c r="K141" s="240"/>
      <c r="L141" s="240" t="s">
        <v>96</v>
      </c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345"/>
      <c r="EM141" s="245"/>
      <c r="EN141" s="245"/>
      <c r="EO141" s="245"/>
      <c r="EP141" s="245"/>
      <c r="EQ141" s="316"/>
    </row>
    <row r="142" spans="1:150" s="243" customFormat="1" ht="11.25" customHeight="1">
      <c r="B142" s="343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345"/>
      <c r="EM142" s="245"/>
      <c r="EN142" s="245"/>
      <c r="EO142" s="245"/>
      <c r="EP142" s="245"/>
      <c r="EQ142" s="316"/>
    </row>
    <row r="143" spans="1:150" s="243" customFormat="1" ht="11.25" customHeight="1">
      <c r="B143" s="343"/>
      <c r="C143" s="240"/>
      <c r="D143" s="240"/>
      <c r="E143" s="240"/>
      <c r="F143" s="240"/>
      <c r="G143" s="240"/>
      <c r="H143" s="240"/>
      <c r="I143" s="240"/>
      <c r="J143" s="240" t="s">
        <v>616</v>
      </c>
      <c r="K143" s="240"/>
      <c r="L143" s="240"/>
      <c r="M143" s="240"/>
      <c r="N143" s="240"/>
      <c r="O143" s="240"/>
      <c r="P143" s="240"/>
      <c r="Q143" s="240" t="s">
        <v>132</v>
      </c>
      <c r="R143" s="240"/>
      <c r="S143" s="240" t="str">
        <f>TEXT(TRUNC(EN139,0),"#,##0")</f>
        <v>31,413</v>
      </c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345"/>
      <c r="EM143" s="245"/>
      <c r="EN143" s="245"/>
      <c r="EO143" s="245"/>
      <c r="EP143" s="245"/>
      <c r="EQ143" s="316"/>
    </row>
    <row r="144" spans="1:150" s="243" customFormat="1" ht="11.25" customHeight="1">
      <c r="B144" s="343"/>
      <c r="C144" s="240"/>
      <c r="D144" s="240"/>
      <c r="E144" s="240"/>
      <c r="F144" s="240"/>
      <c r="G144" s="240"/>
      <c r="H144" s="240"/>
      <c r="I144" s="240"/>
      <c r="J144" s="240" t="s">
        <v>617</v>
      </c>
      <c r="K144" s="240"/>
      <c r="L144" s="240"/>
      <c r="M144" s="240"/>
      <c r="N144" s="240"/>
      <c r="O144" s="240"/>
      <c r="P144" s="240"/>
      <c r="Q144" s="240" t="s">
        <v>132</v>
      </c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345"/>
      <c r="EM144" s="245"/>
      <c r="EN144" s="245"/>
      <c r="EO144" s="245"/>
      <c r="EP144" s="245"/>
      <c r="EQ144" s="316"/>
    </row>
    <row r="145" spans="1:150" s="243" customFormat="1" ht="11.25" customHeight="1">
      <c r="B145" s="343"/>
      <c r="C145" s="240"/>
      <c r="D145" s="240"/>
      <c r="E145" s="240"/>
      <c r="F145" s="240"/>
      <c r="G145" s="240"/>
      <c r="H145" s="240"/>
      <c r="I145" s="240"/>
      <c r="J145" s="240" t="s">
        <v>679</v>
      </c>
      <c r="K145" s="240"/>
      <c r="L145" s="240" t="s">
        <v>680</v>
      </c>
      <c r="M145" s="240"/>
      <c r="N145" s="240"/>
      <c r="O145" s="240"/>
      <c r="P145" s="240"/>
      <c r="Q145" s="240" t="s">
        <v>132</v>
      </c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345"/>
      <c r="EM145" s="245"/>
      <c r="EN145" s="245"/>
      <c r="EO145" s="245"/>
      <c r="EP145" s="245"/>
      <c r="EQ145" s="316"/>
    </row>
    <row r="146" spans="1:150" s="243" customFormat="1" ht="11.25" customHeight="1">
      <c r="B146" s="343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 t="s">
        <v>96</v>
      </c>
      <c r="M146" s="240"/>
      <c r="N146" s="240"/>
      <c r="O146" s="240"/>
      <c r="P146" s="240"/>
      <c r="Q146" s="240" t="s">
        <v>132</v>
      </c>
      <c r="R146" s="240"/>
      <c r="S146" s="240" t="str">
        <f>TEXT(S143,"#,##0")</f>
        <v>31,413</v>
      </c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345"/>
      <c r="EM146" s="250">
        <f>EN146+EO146+EP146</f>
        <v>31413</v>
      </c>
      <c r="EN146" s="245" t="str">
        <f>TEXT(S143,"#,##0")</f>
        <v>31,413</v>
      </c>
      <c r="EO146" s="245"/>
      <c r="EP146" s="245"/>
      <c r="EQ146" s="316"/>
    </row>
    <row r="147" spans="1:150" s="243" customFormat="1" ht="11.25" customHeight="1">
      <c r="B147" s="343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345"/>
      <c r="EM147" s="250"/>
      <c r="EN147" s="245"/>
      <c r="EO147" s="245"/>
      <c r="EP147" s="245"/>
      <c r="EQ147" s="316"/>
    </row>
    <row r="148" spans="1:150" s="243" customFormat="1" ht="11.25" customHeight="1">
      <c r="B148" s="343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345"/>
      <c r="EM148" s="250"/>
      <c r="EN148" s="245"/>
      <c r="EO148" s="245"/>
      <c r="EP148" s="245"/>
      <c r="EQ148" s="316"/>
    </row>
    <row r="149" spans="1:150" s="243" customFormat="1" ht="11.25" customHeight="1">
      <c r="B149" s="343"/>
      <c r="C149" s="240"/>
      <c r="D149" s="240"/>
      <c r="E149" s="240"/>
      <c r="F149" s="240"/>
      <c r="G149" s="240"/>
      <c r="H149" s="240"/>
      <c r="I149" s="240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345"/>
      <c r="EM149" s="250"/>
      <c r="EN149" s="245"/>
      <c r="EO149" s="245"/>
      <c r="EP149" s="245"/>
      <c r="EQ149" s="316"/>
    </row>
    <row r="150" spans="1:150" s="243" customFormat="1" ht="11.25" customHeight="1">
      <c r="B150" s="350"/>
      <c r="C150" s="247"/>
      <c r="D150" s="247"/>
      <c r="E150" s="247"/>
      <c r="F150" s="247"/>
      <c r="G150" s="247"/>
      <c r="H150" s="247"/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G150" s="247"/>
      <c r="BH150" s="247"/>
      <c r="BI150" s="247"/>
      <c r="BJ150" s="247"/>
      <c r="BK150" s="247"/>
      <c r="BL150" s="247"/>
      <c r="BM150" s="247"/>
      <c r="BN150" s="247"/>
      <c r="BO150" s="247"/>
      <c r="BP150" s="247"/>
      <c r="BQ150" s="247"/>
      <c r="BR150" s="247"/>
      <c r="BS150" s="247"/>
      <c r="BT150" s="247"/>
      <c r="BU150" s="247"/>
      <c r="BV150" s="247"/>
      <c r="BW150" s="247"/>
      <c r="BX150" s="247"/>
      <c r="BY150" s="247"/>
      <c r="BZ150" s="247"/>
      <c r="CA150" s="247"/>
      <c r="CB150" s="247"/>
      <c r="CC150" s="247"/>
      <c r="CD150" s="247"/>
      <c r="CE150" s="247"/>
      <c r="CF150" s="247"/>
      <c r="CG150" s="247"/>
      <c r="CH150" s="247"/>
      <c r="CI150" s="247"/>
      <c r="CJ150" s="247"/>
      <c r="CK150" s="247"/>
      <c r="CL150" s="247"/>
      <c r="CM150" s="247"/>
      <c r="CN150" s="247"/>
      <c r="CO150" s="247"/>
      <c r="CP150" s="247"/>
      <c r="CQ150" s="247"/>
      <c r="CR150" s="247"/>
      <c r="CS150" s="247"/>
      <c r="CT150" s="247"/>
      <c r="CU150" s="247"/>
      <c r="CV150" s="247"/>
      <c r="CW150" s="247"/>
      <c r="CX150" s="247"/>
      <c r="CY150" s="247"/>
      <c r="CZ150" s="248"/>
      <c r="DA150" s="248"/>
      <c r="DB150" s="248"/>
      <c r="DC150" s="248"/>
      <c r="DD150" s="248"/>
      <c r="DE150" s="248"/>
      <c r="DF150" s="248"/>
      <c r="DG150" s="248"/>
      <c r="DH150" s="248"/>
      <c r="DI150" s="248"/>
      <c r="DJ150" s="248"/>
      <c r="DK150" s="248"/>
      <c r="DL150" s="248"/>
      <c r="DM150" s="248"/>
      <c r="DN150" s="248"/>
      <c r="DO150" s="248"/>
      <c r="DP150" s="248"/>
      <c r="DQ150" s="248"/>
      <c r="DR150" s="248"/>
      <c r="DS150" s="248"/>
      <c r="DT150" s="248"/>
      <c r="DU150" s="248"/>
      <c r="DV150" s="248"/>
      <c r="DW150" s="248"/>
      <c r="DX150" s="248"/>
      <c r="DY150" s="248"/>
      <c r="DZ150" s="248"/>
      <c r="EA150" s="248"/>
      <c r="EB150" s="248"/>
      <c r="EC150" s="248"/>
      <c r="ED150" s="248"/>
      <c r="EE150" s="248"/>
      <c r="EF150" s="248"/>
      <c r="EG150" s="248"/>
      <c r="EH150" s="248"/>
      <c r="EI150" s="248"/>
      <c r="EJ150" s="248"/>
      <c r="EK150" s="248"/>
      <c r="EL150" s="357"/>
      <c r="EM150" s="264"/>
      <c r="EN150" s="249"/>
      <c r="EO150" s="249"/>
      <c r="EP150" s="249"/>
      <c r="EQ150" s="317"/>
    </row>
    <row r="151" spans="1:150" s="243" customFormat="1" ht="11.25" customHeight="1">
      <c r="B151" s="355"/>
      <c r="C151" s="265"/>
      <c r="D151" s="265"/>
      <c r="E151" s="265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  <c r="Z151" s="265"/>
      <c r="AA151" s="265"/>
      <c r="AB151" s="265"/>
      <c r="AC151" s="265"/>
      <c r="AD151" s="265"/>
      <c r="AE151" s="265"/>
      <c r="AF151" s="265"/>
      <c r="AG151" s="265"/>
      <c r="AH151" s="265"/>
      <c r="AI151" s="265"/>
      <c r="AJ151" s="265"/>
      <c r="AK151" s="265"/>
      <c r="AL151" s="265"/>
      <c r="AM151" s="265"/>
      <c r="AN151" s="265"/>
      <c r="AO151" s="265"/>
      <c r="AP151" s="265"/>
      <c r="AQ151" s="265"/>
      <c r="AR151" s="265"/>
      <c r="AS151" s="265"/>
      <c r="AT151" s="265"/>
      <c r="AU151" s="265"/>
      <c r="AV151" s="265"/>
      <c r="AW151" s="265"/>
      <c r="AX151" s="265"/>
      <c r="AY151" s="265"/>
      <c r="AZ151" s="265"/>
      <c r="BA151" s="265"/>
      <c r="BB151" s="265"/>
      <c r="BC151" s="265"/>
      <c r="BD151" s="265"/>
      <c r="BE151" s="265"/>
      <c r="BF151" s="265"/>
      <c r="BG151" s="265"/>
      <c r="BH151" s="265"/>
      <c r="BI151" s="265"/>
      <c r="BJ151" s="265"/>
      <c r="BK151" s="265"/>
      <c r="BL151" s="265"/>
      <c r="BM151" s="265"/>
      <c r="BN151" s="265"/>
      <c r="BO151" s="265"/>
      <c r="BP151" s="265"/>
      <c r="BQ151" s="265"/>
      <c r="BR151" s="265"/>
      <c r="BS151" s="265"/>
      <c r="BT151" s="265"/>
      <c r="BU151" s="265"/>
      <c r="BV151" s="265"/>
      <c r="BW151" s="265"/>
      <c r="BX151" s="265"/>
      <c r="BY151" s="265"/>
      <c r="BZ151" s="265"/>
      <c r="CA151" s="265"/>
      <c r="CB151" s="265"/>
      <c r="CC151" s="265"/>
      <c r="CD151" s="265"/>
      <c r="CE151" s="265"/>
      <c r="CF151" s="265"/>
      <c r="CG151" s="265"/>
      <c r="CH151" s="265"/>
      <c r="CI151" s="265"/>
      <c r="CJ151" s="265"/>
      <c r="CK151" s="265"/>
      <c r="CL151" s="265"/>
      <c r="CM151" s="265"/>
      <c r="CN151" s="265"/>
      <c r="CO151" s="265"/>
      <c r="CP151" s="265"/>
      <c r="CQ151" s="265"/>
      <c r="CR151" s="265"/>
      <c r="CS151" s="265"/>
      <c r="CT151" s="265"/>
      <c r="CU151" s="265"/>
      <c r="CV151" s="265"/>
      <c r="CW151" s="265"/>
      <c r="CX151" s="265"/>
      <c r="CY151" s="265"/>
      <c r="CZ151" s="314"/>
      <c r="DA151" s="314"/>
      <c r="DB151" s="314"/>
      <c r="DC151" s="314"/>
      <c r="DD151" s="314"/>
      <c r="DE151" s="314"/>
      <c r="DF151" s="314"/>
      <c r="DG151" s="314"/>
      <c r="DH151" s="314"/>
      <c r="DI151" s="314"/>
      <c r="DJ151" s="314"/>
      <c r="DK151" s="314"/>
      <c r="DL151" s="314"/>
      <c r="DM151" s="314"/>
      <c r="DN151" s="314"/>
      <c r="DO151" s="314"/>
      <c r="DP151" s="314"/>
      <c r="DQ151" s="314"/>
      <c r="DR151" s="314"/>
      <c r="DS151" s="314"/>
      <c r="DT151" s="314"/>
      <c r="DU151" s="314"/>
      <c r="DV151" s="314"/>
      <c r="DW151" s="314"/>
      <c r="DX151" s="314"/>
      <c r="DY151" s="314"/>
      <c r="DZ151" s="314"/>
      <c r="EA151" s="314"/>
      <c r="EB151" s="314"/>
      <c r="EC151" s="314"/>
      <c r="ED151" s="314"/>
      <c r="EE151" s="314"/>
      <c r="EF151" s="314"/>
      <c r="EG151" s="314"/>
      <c r="EH151" s="314"/>
      <c r="EI151" s="314"/>
      <c r="EJ151" s="314"/>
      <c r="EK151" s="314"/>
      <c r="EL151" s="356"/>
      <c r="EM151" s="268"/>
      <c r="EN151" s="269"/>
      <c r="EO151" s="269"/>
      <c r="EP151" s="269"/>
      <c r="EQ151" s="358"/>
    </row>
    <row r="152" spans="1:150" s="243" customFormat="1" ht="11.25" customHeight="1">
      <c r="A152" s="243">
        <v>6</v>
      </c>
      <c r="B152" s="343"/>
      <c r="C152" s="1781">
        <f>A152</f>
        <v>6</v>
      </c>
      <c r="D152" s="1781"/>
      <c r="E152" s="344" t="s">
        <v>882</v>
      </c>
      <c r="F152" s="240"/>
      <c r="G152" s="240"/>
      <c r="H152" s="240"/>
      <c r="I152" s="240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345"/>
      <c r="EM152" s="242">
        <f>EM164</f>
        <v>32984</v>
      </c>
      <c r="EN152" s="242" t="str">
        <f>EN164</f>
        <v>32,984</v>
      </c>
      <c r="EO152" s="245">
        <f>EO164</f>
        <v>0</v>
      </c>
      <c r="EP152" s="245">
        <f>EP164</f>
        <v>0</v>
      </c>
      <c r="EQ152" s="312" t="s">
        <v>903</v>
      </c>
      <c r="ES152" s="800">
        <f>A152</f>
        <v>6</v>
      </c>
      <c r="ET152" s="226"/>
    </row>
    <row r="153" spans="1:150" s="243" customFormat="1" ht="11.25" customHeight="1">
      <c r="B153" s="343"/>
      <c r="C153" s="240"/>
      <c r="D153" s="240"/>
      <c r="E153" s="240"/>
      <c r="F153" s="240"/>
      <c r="G153" s="240"/>
      <c r="H153" s="240"/>
      <c r="I153" s="240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345"/>
      <c r="EM153" s="245"/>
      <c r="EN153" s="245"/>
      <c r="EO153" s="245"/>
      <c r="EP153" s="245"/>
      <c r="EQ153" s="351"/>
    </row>
    <row r="154" spans="1:150" s="243" customFormat="1" ht="11.25" customHeight="1">
      <c r="B154" s="343"/>
      <c r="C154" s="240"/>
      <c r="D154" s="240"/>
      <c r="E154" s="240" t="s">
        <v>674</v>
      </c>
      <c r="F154" s="240"/>
      <c r="G154" s="240"/>
      <c r="H154" s="240" t="s">
        <v>828</v>
      </c>
      <c r="I154" s="240"/>
      <c r="J154" s="240"/>
      <c r="K154" s="240"/>
      <c r="L154" s="240"/>
      <c r="M154" s="240"/>
      <c r="N154" s="240"/>
      <c r="O154" s="240"/>
      <c r="P154" s="240"/>
      <c r="Q154" s="240" t="s">
        <v>821</v>
      </c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345"/>
      <c r="EM154" s="245"/>
      <c r="EN154" s="245"/>
      <c r="EO154" s="245"/>
      <c r="EP154" s="245"/>
      <c r="EQ154" s="351"/>
    </row>
    <row r="155" spans="1:150" s="243" customFormat="1" ht="11.25" customHeight="1">
      <c r="B155" s="343"/>
      <c r="C155" s="240"/>
      <c r="D155" s="240"/>
      <c r="E155" s="240"/>
      <c r="F155" s="240"/>
      <c r="G155" s="240"/>
      <c r="H155" s="240" t="s">
        <v>103</v>
      </c>
      <c r="I155" s="240"/>
      <c r="J155" s="240"/>
      <c r="K155" s="240"/>
      <c r="L155" s="240"/>
      <c r="M155" s="240"/>
      <c r="N155" s="240" t="s">
        <v>132</v>
      </c>
      <c r="O155" s="240"/>
      <c r="P155" s="1774">
        <f>VLOOKUP($H155,노임단가!$A:$B,2,FALSE)</f>
        <v>157068</v>
      </c>
      <c r="Q155" s="1774"/>
      <c r="R155" s="1774"/>
      <c r="S155" s="1774"/>
      <c r="T155" s="1774"/>
      <c r="U155" s="1774"/>
      <c r="V155" s="240"/>
      <c r="W155" s="240"/>
      <c r="X155" s="240"/>
      <c r="Y155" s="240"/>
      <c r="Z155" s="240"/>
      <c r="AA155" s="240"/>
      <c r="AB155" s="240"/>
      <c r="AC155" s="240"/>
      <c r="AD155" s="240" t="s">
        <v>652</v>
      </c>
      <c r="AE155" s="240"/>
      <c r="AF155" s="240"/>
      <c r="AG155" s="240" t="str">
        <f>TEXT(0.1,"#,##0.#######")</f>
        <v>0.1</v>
      </c>
      <c r="AH155" s="240"/>
      <c r="AI155" s="240"/>
      <c r="AJ155" s="240" t="s">
        <v>102</v>
      </c>
      <c r="AK155" s="240"/>
      <c r="AL155" s="240"/>
      <c r="AM155" s="240" t="s">
        <v>134</v>
      </c>
      <c r="AN155" s="240"/>
      <c r="AO155" s="240" t="str">
        <f>TEXT(TRUNC(P155*AG155,1),"#,##0.#")</f>
        <v>15,706.8</v>
      </c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345"/>
      <c r="EM155" s="245">
        <f>EN155+EO155+EP155</f>
        <v>15706.8</v>
      </c>
      <c r="EN155" s="245" t="str">
        <f>AO155</f>
        <v>15,706.8</v>
      </c>
      <c r="EO155" s="245"/>
      <c r="EP155" s="245"/>
      <c r="EQ155" s="351"/>
    </row>
    <row r="156" spans="1:150" s="243" customFormat="1" ht="11.25" customHeight="1">
      <c r="B156" s="343"/>
      <c r="C156" s="240"/>
      <c r="D156" s="240"/>
      <c r="E156" s="240"/>
      <c r="F156" s="240"/>
      <c r="G156" s="240"/>
      <c r="H156" s="240"/>
      <c r="I156" s="240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345"/>
      <c r="EM156" s="245"/>
      <c r="EN156" s="245"/>
      <c r="EO156" s="245"/>
      <c r="EP156" s="245"/>
      <c r="EQ156" s="351"/>
    </row>
    <row r="157" spans="1:150" s="243" customFormat="1" ht="11.25" customHeight="1">
      <c r="B157" s="343"/>
      <c r="C157" s="240"/>
      <c r="D157" s="240"/>
      <c r="E157" s="240" t="s">
        <v>675</v>
      </c>
      <c r="F157" s="240"/>
      <c r="G157" s="240"/>
      <c r="H157" s="240" t="s">
        <v>690</v>
      </c>
      <c r="I157" s="240"/>
      <c r="J157" s="240"/>
      <c r="K157" s="240" t="s">
        <v>731</v>
      </c>
      <c r="L157" s="240"/>
      <c r="M157" s="240"/>
      <c r="N157" s="240"/>
      <c r="O157" s="240"/>
      <c r="P157" s="240"/>
      <c r="Q157" s="240" t="s">
        <v>829</v>
      </c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345"/>
      <c r="EM157" s="245"/>
      <c r="EN157" s="245"/>
      <c r="EO157" s="245"/>
      <c r="EP157" s="245"/>
      <c r="EQ157" s="351"/>
    </row>
    <row r="158" spans="1:150" s="243" customFormat="1" ht="11.25" customHeight="1">
      <c r="B158" s="343"/>
      <c r="C158" s="240"/>
      <c r="D158" s="240"/>
      <c r="E158" s="240"/>
      <c r="F158" s="240"/>
      <c r="G158" s="240"/>
      <c r="H158" s="240" t="s">
        <v>103</v>
      </c>
      <c r="I158" s="240"/>
      <c r="J158" s="240"/>
      <c r="K158" s="240"/>
      <c r="L158" s="240"/>
      <c r="M158" s="240"/>
      <c r="N158" s="240" t="s">
        <v>132</v>
      </c>
      <c r="O158" s="240"/>
      <c r="P158" s="1774">
        <f>VLOOKUP($H158,노임단가!$A:$B,2,FALSE)</f>
        <v>157068</v>
      </c>
      <c r="Q158" s="1774"/>
      <c r="R158" s="1774"/>
      <c r="S158" s="1774"/>
      <c r="T158" s="1774"/>
      <c r="U158" s="1774"/>
      <c r="V158" s="240"/>
      <c r="W158" s="240"/>
      <c r="X158" s="240"/>
      <c r="Y158" s="240"/>
      <c r="Z158" s="240"/>
      <c r="AA158" s="240"/>
      <c r="AB158" s="240"/>
      <c r="AC158" s="240"/>
      <c r="AD158" s="240" t="s">
        <v>652</v>
      </c>
      <c r="AE158" s="240"/>
      <c r="AF158" s="240"/>
      <c r="AG158" s="240" t="str">
        <f>TEXT(0.11,"#,##0.#######")</f>
        <v>0.11</v>
      </c>
      <c r="AH158" s="240"/>
      <c r="AI158" s="240"/>
      <c r="AJ158" s="240"/>
      <c r="AK158" s="240" t="s">
        <v>102</v>
      </c>
      <c r="AL158" s="240"/>
      <c r="AM158" s="240"/>
      <c r="AN158" s="240" t="s">
        <v>134</v>
      </c>
      <c r="AO158" s="240"/>
      <c r="AP158" s="240" t="str">
        <f>TEXT(TRUNC(P158*AG158,1),"#,##0.#")</f>
        <v>17,277.4</v>
      </c>
      <c r="AQ158" s="240"/>
      <c r="AR158" s="240"/>
      <c r="AS158" s="240"/>
      <c r="AT158" s="240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345"/>
      <c r="EM158" s="245">
        <f>EN158+EO158+EP158</f>
        <v>17277.400000000001</v>
      </c>
      <c r="EN158" s="245" t="str">
        <f>AP158</f>
        <v>17,277.4</v>
      </c>
      <c r="EO158" s="245"/>
      <c r="EP158" s="245"/>
      <c r="EQ158" s="351"/>
    </row>
    <row r="159" spans="1:150" s="243" customFormat="1" ht="11.25" customHeight="1">
      <c r="B159" s="343"/>
      <c r="C159" s="240"/>
      <c r="D159" s="240"/>
      <c r="E159" s="240"/>
      <c r="F159" s="240"/>
      <c r="G159" s="240"/>
      <c r="H159" s="240"/>
      <c r="I159" s="240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345"/>
      <c r="EM159" s="245"/>
      <c r="EN159" s="245"/>
      <c r="EO159" s="245"/>
      <c r="EP159" s="245"/>
      <c r="EQ159" s="351"/>
    </row>
    <row r="160" spans="1:150" s="243" customFormat="1" ht="11.25" customHeight="1">
      <c r="B160" s="343"/>
      <c r="C160" s="240"/>
      <c r="D160" s="240"/>
      <c r="E160" s="240" t="s">
        <v>677</v>
      </c>
      <c r="F160" s="240"/>
      <c r="G160" s="240"/>
      <c r="H160" s="240" t="s">
        <v>678</v>
      </c>
      <c r="I160" s="240"/>
      <c r="J160" s="240"/>
      <c r="K160" s="240" t="s">
        <v>96</v>
      </c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345"/>
      <c r="EM160" s="245"/>
      <c r="EN160" s="245"/>
      <c r="EO160" s="245"/>
      <c r="EP160" s="245"/>
      <c r="EQ160" s="351"/>
    </row>
    <row r="161" spans="1:150" s="243" customFormat="1" ht="11.25" customHeight="1">
      <c r="B161" s="343"/>
      <c r="C161" s="240"/>
      <c r="D161" s="240"/>
      <c r="E161" s="240"/>
      <c r="F161" s="240"/>
      <c r="G161" s="240"/>
      <c r="H161" s="240"/>
      <c r="I161" s="240"/>
      <c r="J161" s="240" t="s">
        <v>616</v>
      </c>
      <c r="K161" s="240"/>
      <c r="L161" s="240"/>
      <c r="M161" s="240"/>
      <c r="N161" s="240"/>
      <c r="O161" s="240"/>
      <c r="P161" s="240"/>
      <c r="Q161" s="240" t="s">
        <v>132</v>
      </c>
      <c r="R161" s="240"/>
      <c r="S161" s="240" t="str">
        <f>TEXT(EN155,"#,###.##")</f>
        <v>15,706.8</v>
      </c>
      <c r="T161" s="240"/>
      <c r="U161" s="240"/>
      <c r="V161" s="240"/>
      <c r="W161" s="240"/>
      <c r="X161" s="240"/>
      <c r="Y161" s="240"/>
      <c r="Z161" s="240"/>
      <c r="AA161" s="240" t="s">
        <v>130</v>
      </c>
      <c r="AB161" s="240"/>
      <c r="AC161" s="240" t="str">
        <f>TEXT(EN158,"#,###.##")</f>
        <v>17,277.4</v>
      </c>
      <c r="AD161" s="240"/>
      <c r="AE161" s="240"/>
      <c r="AF161" s="240"/>
      <c r="AG161" s="240"/>
      <c r="AH161" s="240"/>
      <c r="AI161" s="240"/>
      <c r="AJ161" s="240"/>
      <c r="AK161" s="240"/>
      <c r="AL161" s="240" t="s">
        <v>134</v>
      </c>
      <c r="AM161" s="240"/>
      <c r="AN161" s="240"/>
      <c r="AO161" s="240" t="str">
        <f>TEXT(TRUNC(EN155+EN158,0),"#,##0")</f>
        <v>32,984</v>
      </c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345"/>
      <c r="EM161" s="245"/>
      <c r="EN161" s="245"/>
      <c r="EO161" s="245"/>
      <c r="EP161" s="245"/>
      <c r="EQ161" s="351"/>
    </row>
    <row r="162" spans="1:150" s="243" customFormat="1" ht="11.25" customHeight="1">
      <c r="B162" s="343"/>
      <c r="C162" s="240"/>
      <c r="D162" s="240"/>
      <c r="E162" s="240"/>
      <c r="F162" s="240"/>
      <c r="G162" s="240"/>
      <c r="H162" s="240"/>
      <c r="I162" s="240"/>
      <c r="J162" s="240" t="s">
        <v>617</v>
      </c>
      <c r="K162" s="240"/>
      <c r="L162" s="240"/>
      <c r="M162" s="240"/>
      <c r="N162" s="240"/>
      <c r="O162" s="240"/>
      <c r="P162" s="240"/>
      <c r="Q162" s="240" t="s">
        <v>132</v>
      </c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345"/>
      <c r="EM162" s="245"/>
      <c r="EN162" s="245"/>
      <c r="EO162" s="245"/>
      <c r="EP162" s="245"/>
      <c r="EQ162" s="351"/>
    </row>
    <row r="163" spans="1:150" s="243" customFormat="1" ht="11.25" customHeight="1">
      <c r="B163" s="343"/>
      <c r="C163" s="240"/>
      <c r="D163" s="240"/>
      <c r="E163" s="240"/>
      <c r="F163" s="240"/>
      <c r="G163" s="240"/>
      <c r="H163" s="240"/>
      <c r="I163" s="240"/>
      <c r="J163" s="240" t="s">
        <v>679</v>
      </c>
      <c r="K163" s="240"/>
      <c r="L163" s="240" t="s">
        <v>680</v>
      </c>
      <c r="M163" s="240"/>
      <c r="N163" s="240"/>
      <c r="O163" s="240"/>
      <c r="P163" s="240"/>
      <c r="Q163" s="240" t="s">
        <v>132</v>
      </c>
      <c r="R163" s="240"/>
      <c r="S163" s="240"/>
      <c r="T163" s="240"/>
      <c r="U163" s="240"/>
      <c r="V163" s="240"/>
      <c r="W163" s="240"/>
      <c r="X163" s="240"/>
      <c r="Y163" s="240"/>
      <c r="Z163" s="240"/>
      <c r="AA163" s="240"/>
      <c r="AB163" s="240"/>
      <c r="AC163" s="240"/>
      <c r="AD163" s="240"/>
      <c r="AE163" s="240"/>
      <c r="AF163" s="240"/>
      <c r="AG163" s="240"/>
      <c r="AH163" s="240"/>
      <c r="AI163" s="240"/>
      <c r="AJ163" s="240"/>
      <c r="AK163" s="240"/>
      <c r="AL163" s="240"/>
      <c r="AM163" s="240"/>
      <c r="AN163" s="240"/>
      <c r="AO163" s="240"/>
      <c r="AP163" s="240"/>
      <c r="AQ163" s="240"/>
      <c r="AR163" s="240"/>
      <c r="AS163" s="240"/>
      <c r="AT163" s="240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345"/>
      <c r="EM163" s="245"/>
      <c r="EN163" s="245"/>
      <c r="EO163" s="245"/>
      <c r="EP163" s="245"/>
      <c r="EQ163" s="351"/>
    </row>
    <row r="164" spans="1:150" s="243" customFormat="1" ht="11.25" customHeight="1">
      <c r="B164" s="343"/>
      <c r="C164" s="240"/>
      <c r="D164" s="240"/>
      <c r="E164" s="240"/>
      <c r="F164" s="240"/>
      <c r="G164" s="240"/>
      <c r="H164" s="240"/>
      <c r="I164" s="240"/>
      <c r="J164" s="240"/>
      <c r="K164" s="240"/>
      <c r="L164" s="240" t="s">
        <v>96</v>
      </c>
      <c r="M164" s="240"/>
      <c r="N164" s="240"/>
      <c r="O164" s="240"/>
      <c r="P164" s="240"/>
      <c r="Q164" s="240" t="s">
        <v>132</v>
      </c>
      <c r="R164" s="240"/>
      <c r="S164" s="240" t="str">
        <f>TEXT(AO161,"#,##0")</f>
        <v>32,984</v>
      </c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345"/>
      <c r="EM164" s="250">
        <f>EN164+EO164+EP164</f>
        <v>32984</v>
      </c>
      <c r="EN164" s="245" t="str">
        <f>TEXT(AO161,"#,##0")</f>
        <v>32,984</v>
      </c>
      <c r="EO164" s="245"/>
      <c r="EP164" s="245"/>
      <c r="EQ164" s="351"/>
    </row>
    <row r="165" spans="1:150" s="243" customFormat="1" ht="11.25" customHeight="1">
      <c r="B165" s="343"/>
      <c r="C165" s="240"/>
      <c r="D165" s="240"/>
      <c r="E165" s="240"/>
      <c r="F165" s="240"/>
      <c r="G165" s="240"/>
      <c r="H165" s="240"/>
      <c r="I165" s="240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345"/>
      <c r="EM165" s="245"/>
      <c r="EN165" s="245"/>
      <c r="EO165" s="245"/>
      <c r="EP165" s="245"/>
      <c r="EQ165" s="351"/>
    </row>
    <row r="166" spans="1:150" s="243" customFormat="1" ht="11.25" customHeight="1">
      <c r="A166" s="243">
        <v>7</v>
      </c>
      <c r="B166" s="343"/>
      <c r="C166" s="1781">
        <f>A166</f>
        <v>7</v>
      </c>
      <c r="D166" s="1781"/>
      <c r="E166" s="344" t="s">
        <v>883</v>
      </c>
      <c r="F166" s="240"/>
      <c r="G166" s="240"/>
      <c r="H166" s="240"/>
      <c r="I166" s="240"/>
      <c r="J166" s="240"/>
      <c r="K166" s="240"/>
      <c r="L166" s="240"/>
      <c r="M166" s="240"/>
      <c r="N166" s="240"/>
      <c r="O166" s="240"/>
      <c r="P166" s="240"/>
      <c r="Q166" s="240"/>
      <c r="R166" s="240"/>
      <c r="S166" s="240"/>
      <c r="T166" s="240"/>
      <c r="U166" s="240"/>
      <c r="V166" s="240"/>
      <c r="W166" s="240"/>
      <c r="X166" s="240"/>
      <c r="Y166" s="240"/>
      <c r="Z166" s="240"/>
      <c r="AA166" s="240"/>
      <c r="AB166" s="240"/>
      <c r="AC166" s="240"/>
      <c r="AD166" s="240"/>
      <c r="AE166" s="240"/>
      <c r="AF166" s="240"/>
      <c r="AG166" s="240"/>
      <c r="AH166" s="240"/>
      <c r="AI166" s="240"/>
      <c r="AJ166" s="240"/>
      <c r="AK166" s="240"/>
      <c r="AL166" s="240"/>
      <c r="AM166" s="240"/>
      <c r="AN166" s="240"/>
      <c r="AO166" s="240"/>
      <c r="AP166" s="240"/>
      <c r="AQ166" s="240"/>
      <c r="AR166" s="240"/>
      <c r="AS166" s="240"/>
      <c r="AT166" s="240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345"/>
      <c r="EM166" s="242" t="e">
        <f>EM198</f>
        <v>#REF!</v>
      </c>
      <c r="EN166" s="242" t="e">
        <f>EN198</f>
        <v>#REF!</v>
      </c>
      <c r="EO166" s="242" t="e">
        <f>EO198</f>
        <v>#REF!</v>
      </c>
      <c r="EP166" s="242" t="e">
        <f>EP198</f>
        <v>#REF!</v>
      </c>
      <c r="EQ166" s="312" t="s">
        <v>903</v>
      </c>
      <c r="ES166" s="800">
        <f>A166</f>
        <v>7</v>
      </c>
      <c r="ET166" s="226"/>
    </row>
    <row r="167" spans="1:150" s="243" customFormat="1" ht="11.25" customHeight="1">
      <c r="B167" s="343"/>
      <c r="C167" s="240"/>
      <c r="D167" s="240"/>
      <c r="E167" s="240"/>
      <c r="F167" s="240"/>
      <c r="G167" s="240"/>
      <c r="H167" s="240"/>
      <c r="I167" s="240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345"/>
      <c r="EM167" s="245"/>
      <c r="EN167" s="245"/>
      <c r="EO167" s="245"/>
      <c r="EP167" s="245"/>
      <c r="EQ167" s="351"/>
    </row>
    <row r="168" spans="1:150" s="243" customFormat="1" ht="11.25" customHeight="1">
      <c r="B168" s="343"/>
      <c r="C168" s="240"/>
      <c r="D168" s="240"/>
      <c r="E168" s="240" t="s">
        <v>674</v>
      </c>
      <c r="F168" s="240"/>
      <c r="G168" s="240"/>
      <c r="H168" s="240" t="s">
        <v>691</v>
      </c>
      <c r="I168" s="240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 t="s">
        <v>827</v>
      </c>
      <c r="T168" s="240"/>
      <c r="U168" s="240"/>
      <c r="V168" s="240"/>
      <c r="W168" s="240"/>
      <c r="X168" s="240"/>
      <c r="Y168" s="240"/>
      <c r="Z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345"/>
      <c r="EM168" s="245"/>
      <c r="EN168" s="245"/>
      <c r="EO168" s="245"/>
      <c r="EP168" s="245"/>
      <c r="EQ168" s="351"/>
    </row>
    <row r="169" spans="1:150" s="243" customFormat="1" ht="11.25" customHeight="1">
      <c r="B169" s="343"/>
      <c r="C169" s="240"/>
      <c r="D169" s="240"/>
      <c r="E169" s="240"/>
      <c r="F169" s="240"/>
      <c r="G169" s="240"/>
      <c r="H169" s="240" t="s">
        <v>773</v>
      </c>
      <c r="I169" s="240"/>
      <c r="J169" s="240" t="s">
        <v>134</v>
      </c>
      <c r="K169" s="240"/>
      <c r="L169" s="240" t="str">
        <f>TEXT(0.2,"#,##0.#######")</f>
        <v>0.2</v>
      </c>
      <c r="M169" s="240"/>
      <c r="N169" s="240"/>
      <c r="O169" s="240" t="s">
        <v>91</v>
      </c>
      <c r="P169" s="240"/>
      <c r="Q169" s="240"/>
      <c r="R169" s="240"/>
      <c r="S169" s="240"/>
      <c r="T169" s="240"/>
      <c r="U169" s="240"/>
      <c r="V169" s="240"/>
      <c r="W169" s="240" t="s">
        <v>774</v>
      </c>
      <c r="X169" s="240"/>
      <c r="Y169" s="240" t="s">
        <v>134</v>
      </c>
      <c r="Z169" s="240"/>
      <c r="AA169" s="240" t="str">
        <f>TEXT(0.98,"#,##0.#######")</f>
        <v>0.98</v>
      </c>
      <c r="AB169" s="240"/>
      <c r="AC169" s="240"/>
      <c r="AD169" s="240"/>
      <c r="AE169" s="240"/>
      <c r="AF169" s="240" t="s">
        <v>139</v>
      </c>
      <c r="AG169" s="240"/>
      <c r="AH169" s="240" t="str">
        <f>TEXT(1.24,"#,##0.#######")</f>
        <v>1.24</v>
      </c>
      <c r="AI169" s="240"/>
      <c r="AJ169" s="240"/>
      <c r="AK169" s="240"/>
      <c r="AL169" s="240"/>
      <c r="AM169" s="240" t="s">
        <v>134</v>
      </c>
      <c r="AN169" s="240"/>
      <c r="AO169" s="240" t="str">
        <f>TEXT(ROUND(AA169/AH169,2),"#,##0.#######")</f>
        <v>0.79</v>
      </c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 t="s">
        <v>775</v>
      </c>
      <c r="BA169" s="240"/>
      <c r="BB169" s="240" t="s">
        <v>134</v>
      </c>
      <c r="BC169" s="240"/>
      <c r="BD169" s="240" t="str">
        <f>TEXT(1.1,"#,##0.#######")</f>
        <v>1.1</v>
      </c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345"/>
      <c r="EM169" s="245"/>
      <c r="EN169" s="245"/>
      <c r="EO169" s="245"/>
      <c r="EP169" s="245"/>
      <c r="EQ169" s="351"/>
    </row>
    <row r="170" spans="1:150" s="243" customFormat="1" ht="11.25" customHeight="1">
      <c r="B170" s="343"/>
      <c r="C170" s="240"/>
      <c r="D170" s="240"/>
      <c r="E170" s="240"/>
      <c r="F170" s="240"/>
      <c r="G170" s="240"/>
      <c r="H170" s="240"/>
      <c r="I170" s="240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345"/>
      <c r="EM170" s="245"/>
      <c r="EN170" s="245"/>
      <c r="EO170" s="245"/>
      <c r="EP170" s="245"/>
      <c r="EQ170" s="351"/>
    </row>
    <row r="171" spans="1:150" s="243" customFormat="1" ht="11.25" customHeight="1">
      <c r="B171" s="343"/>
      <c r="C171" s="240"/>
      <c r="D171" s="240"/>
      <c r="E171" s="240"/>
      <c r="F171" s="240"/>
      <c r="G171" s="240"/>
      <c r="H171" s="240" t="s">
        <v>692</v>
      </c>
      <c r="I171" s="240"/>
      <c r="J171" s="240" t="s">
        <v>134</v>
      </c>
      <c r="K171" s="240"/>
      <c r="L171" s="240" t="s">
        <v>147</v>
      </c>
      <c r="M171" s="240" t="str">
        <f>TEXT(0.75,"#,##0.#######")</f>
        <v>0.75</v>
      </c>
      <c r="N171" s="240"/>
      <c r="O171" s="240"/>
      <c r="P171" s="240"/>
      <c r="Q171" s="240" t="s">
        <v>130</v>
      </c>
      <c r="R171" s="240" t="str">
        <f>TEXT(0.65,"#,##0.#######")</f>
        <v>0.65</v>
      </c>
      <c r="S171" s="240"/>
      <c r="T171" s="240"/>
      <c r="U171" s="240"/>
      <c r="V171" s="240" t="s">
        <v>148</v>
      </c>
      <c r="W171" s="240" t="s">
        <v>139</v>
      </c>
      <c r="X171" s="240" t="str">
        <f>TEXT(2,"#,##0.#######")</f>
        <v>2.</v>
      </c>
      <c r="Y171" s="240"/>
      <c r="Z171" s="240" t="s">
        <v>134</v>
      </c>
      <c r="AA171" s="240"/>
      <c r="AB171" s="240" t="str">
        <f>TEXT(ROUND((M171+R171)/X171,2),"#,##0.#######")</f>
        <v>0.7</v>
      </c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 t="s">
        <v>693</v>
      </c>
      <c r="AM171" s="240"/>
      <c r="AN171" s="240"/>
      <c r="AO171" s="240" t="s">
        <v>134</v>
      </c>
      <c r="AP171" s="240"/>
      <c r="AQ171" s="240" t="str">
        <f>TEXT(18,"#,##0.#######")</f>
        <v>18.</v>
      </c>
      <c r="AR171" s="240"/>
      <c r="AS171" s="240" t="s">
        <v>776</v>
      </c>
      <c r="AT171" s="240"/>
      <c r="AU171" s="240"/>
      <c r="AV171" s="240"/>
      <c r="AW171" s="240" t="s">
        <v>147</v>
      </c>
      <c r="AX171" s="240" t="s">
        <v>553</v>
      </c>
      <c r="AY171" s="240"/>
      <c r="AZ171" s="240"/>
      <c r="BA171" s="240" t="s">
        <v>777</v>
      </c>
      <c r="BB171" s="240"/>
      <c r="BC171" s="240" t="s">
        <v>148</v>
      </c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345"/>
      <c r="EM171" s="245"/>
      <c r="EN171" s="245"/>
      <c r="EO171" s="245"/>
      <c r="EP171" s="245"/>
      <c r="EQ171" s="351"/>
    </row>
    <row r="172" spans="1:150" s="243" customFormat="1" ht="11.25" customHeight="1">
      <c r="B172" s="343"/>
      <c r="C172" s="240"/>
      <c r="D172" s="240"/>
      <c r="E172" s="240"/>
      <c r="F172" s="240"/>
      <c r="G172" s="240"/>
      <c r="H172" s="240"/>
      <c r="I172" s="240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345"/>
      <c r="EM172" s="245"/>
      <c r="EN172" s="245"/>
      <c r="EO172" s="245"/>
      <c r="EP172" s="245"/>
      <c r="EQ172" s="351"/>
    </row>
    <row r="173" spans="1:150" s="243" customFormat="1" ht="11.25" customHeight="1">
      <c r="B173" s="343"/>
      <c r="C173" s="240"/>
      <c r="D173" s="240"/>
      <c r="E173" s="240"/>
      <c r="F173" s="240"/>
      <c r="G173" s="240"/>
      <c r="H173" s="240"/>
      <c r="I173" s="240"/>
      <c r="J173" s="240"/>
      <c r="K173" s="240"/>
      <c r="L173" s="240"/>
      <c r="M173" s="240" t="str">
        <f>TEXT(3600,"#,##0.#######")</f>
        <v>3,600.</v>
      </c>
      <c r="N173" s="240"/>
      <c r="O173" s="240"/>
      <c r="P173" s="240"/>
      <c r="Q173" s="240"/>
      <c r="R173" s="240" t="s">
        <v>652</v>
      </c>
      <c r="S173" s="240"/>
      <c r="T173" s="240" t="s">
        <v>773</v>
      </c>
      <c r="U173" s="240" t="s">
        <v>652</v>
      </c>
      <c r="V173" s="240"/>
      <c r="W173" s="240" t="s">
        <v>775</v>
      </c>
      <c r="X173" s="240" t="s">
        <v>652</v>
      </c>
      <c r="Y173" s="240"/>
      <c r="Z173" s="240" t="s">
        <v>774</v>
      </c>
      <c r="AA173" s="240" t="s">
        <v>652</v>
      </c>
      <c r="AB173" s="240"/>
      <c r="AC173" s="240" t="s">
        <v>692</v>
      </c>
      <c r="AD173" s="240"/>
      <c r="AE173" s="240"/>
      <c r="AF173" s="240"/>
      <c r="AG173" s="240"/>
      <c r="AH173" s="240"/>
      <c r="AI173" s="240"/>
      <c r="AJ173" s="240" t="str">
        <f>TEXT(M173,"#,##0.#######")</f>
        <v>3,600.</v>
      </c>
      <c r="AK173" s="240"/>
      <c r="AL173" s="240"/>
      <c r="AM173" s="240"/>
      <c r="AN173" s="240"/>
      <c r="AO173" s="240" t="s">
        <v>652</v>
      </c>
      <c r="AP173" s="240"/>
      <c r="AQ173" s="240" t="str">
        <f>TEXT(L169,"#,##0.#######")</f>
        <v>0.2</v>
      </c>
      <c r="AR173" s="240"/>
      <c r="AS173" s="240"/>
      <c r="AT173" s="240" t="s">
        <v>652</v>
      </c>
      <c r="AU173" s="240"/>
      <c r="AV173" s="240" t="str">
        <f>TEXT(BD169,"#,##0.#######")</f>
        <v>1.1</v>
      </c>
      <c r="AW173" s="240"/>
      <c r="AX173" s="240"/>
      <c r="AY173" s="240" t="s">
        <v>652</v>
      </c>
      <c r="AZ173" s="240"/>
      <c r="BA173" s="240" t="str">
        <f>TEXT(AO169,"#,##0.#######")</f>
        <v>0.79</v>
      </c>
      <c r="BB173" s="240"/>
      <c r="BC173" s="240"/>
      <c r="BD173" s="240"/>
      <c r="BE173" s="240" t="s">
        <v>652</v>
      </c>
      <c r="BF173" s="240"/>
      <c r="BG173" s="240" t="str">
        <f>TEXT(AB171,"#,##0.#######")</f>
        <v>0.7</v>
      </c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345"/>
      <c r="EM173" s="245"/>
      <c r="EN173" s="245"/>
      <c r="EO173" s="245"/>
      <c r="EP173" s="245"/>
      <c r="EQ173" s="351"/>
    </row>
    <row r="174" spans="1:150" s="243" customFormat="1" ht="11.25" customHeight="1">
      <c r="B174" s="343"/>
      <c r="C174" s="240"/>
      <c r="D174" s="240"/>
      <c r="E174" s="240"/>
      <c r="F174" s="240"/>
      <c r="G174" s="240"/>
      <c r="H174" s="240" t="s">
        <v>687</v>
      </c>
      <c r="I174" s="240"/>
      <c r="J174" s="240" t="s">
        <v>134</v>
      </c>
      <c r="K174" s="240"/>
      <c r="L174" s="240" t="s">
        <v>694</v>
      </c>
      <c r="M174" s="240"/>
      <c r="N174" s="240" t="s">
        <v>694</v>
      </c>
      <c r="O174" s="240"/>
      <c r="P174" s="240" t="s">
        <v>694</v>
      </c>
      <c r="Q174" s="240"/>
      <c r="R174" s="240" t="s">
        <v>694</v>
      </c>
      <c r="S174" s="240"/>
      <c r="T174" s="240" t="s">
        <v>694</v>
      </c>
      <c r="U174" s="240"/>
      <c r="V174" s="240" t="s">
        <v>694</v>
      </c>
      <c r="W174" s="240"/>
      <c r="X174" s="240" t="s">
        <v>694</v>
      </c>
      <c r="Y174" s="240"/>
      <c r="Z174" s="240" t="s">
        <v>694</v>
      </c>
      <c r="AA174" s="240"/>
      <c r="AB174" s="240" t="s">
        <v>694</v>
      </c>
      <c r="AC174" s="240"/>
      <c r="AD174" s="240" t="s">
        <v>694</v>
      </c>
      <c r="AE174" s="240"/>
      <c r="AF174" s="240"/>
      <c r="AG174" s="240" t="s">
        <v>134</v>
      </c>
      <c r="AH174" s="240"/>
      <c r="AI174" s="240" t="s">
        <v>694</v>
      </c>
      <c r="AJ174" s="240"/>
      <c r="AK174" s="240" t="s">
        <v>694</v>
      </c>
      <c r="AL174" s="240"/>
      <c r="AM174" s="240" t="s">
        <v>694</v>
      </c>
      <c r="AN174" s="240"/>
      <c r="AO174" s="240" t="s">
        <v>694</v>
      </c>
      <c r="AP174" s="240"/>
      <c r="AQ174" s="240" t="s">
        <v>694</v>
      </c>
      <c r="AR174" s="240"/>
      <c r="AS174" s="240" t="s">
        <v>694</v>
      </c>
      <c r="AT174" s="240"/>
      <c r="AU174" s="240" t="s">
        <v>694</v>
      </c>
      <c r="AV174" s="240"/>
      <c r="AW174" s="240" t="s">
        <v>694</v>
      </c>
      <c r="AX174" s="240"/>
      <c r="AY174" s="240" t="s">
        <v>694</v>
      </c>
      <c r="AZ174" s="240"/>
      <c r="BA174" s="240" t="s">
        <v>694</v>
      </c>
      <c r="BB174" s="240"/>
      <c r="BC174" s="240" t="s">
        <v>694</v>
      </c>
      <c r="BD174" s="240"/>
      <c r="BE174" s="240" t="s">
        <v>694</v>
      </c>
      <c r="BF174" s="240"/>
      <c r="BG174" s="240" t="s">
        <v>694</v>
      </c>
      <c r="BH174" s="240"/>
      <c r="BI174" s="240" t="s">
        <v>694</v>
      </c>
      <c r="BJ174" s="240"/>
      <c r="BK174" s="240" t="s">
        <v>134</v>
      </c>
      <c r="BL174" s="240" t="str">
        <f>TEXT(ROUND((3600*L169*BD169*AO169*AB171)/(AQ171),2),"#,##0.#######")</f>
        <v>24.33</v>
      </c>
      <c r="BN174" s="240"/>
      <c r="BO174" s="240" t="s">
        <v>91</v>
      </c>
      <c r="BP174" s="240"/>
      <c r="BQ174" s="240" t="s">
        <v>139</v>
      </c>
      <c r="BR174" s="240" t="s">
        <v>618</v>
      </c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345"/>
      <c r="EM174" s="245"/>
      <c r="EN174" s="245"/>
      <c r="EO174" s="245"/>
      <c r="EP174" s="245"/>
      <c r="EQ174" s="351"/>
    </row>
    <row r="175" spans="1:150" s="243" customFormat="1" ht="11.25" customHeight="1">
      <c r="B175" s="343"/>
      <c r="C175" s="240"/>
      <c r="D175" s="240"/>
      <c r="E175" s="240"/>
      <c r="F175" s="240"/>
      <c r="G175" s="240"/>
      <c r="H175" s="240"/>
      <c r="I175" s="240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 t="s">
        <v>693</v>
      </c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 t="str">
        <f>TEXT(AQ171,"#,##0.#######")</f>
        <v>18.</v>
      </c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345"/>
      <c r="EM175" s="245"/>
      <c r="EN175" s="245"/>
      <c r="EO175" s="245"/>
      <c r="EP175" s="245"/>
      <c r="EQ175" s="351"/>
    </row>
    <row r="176" spans="1:150" s="243" customFormat="1" ht="11.25" customHeight="1">
      <c r="B176" s="343"/>
      <c r="C176" s="240"/>
      <c r="D176" s="240"/>
      <c r="E176" s="240"/>
      <c r="F176" s="240"/>
      <c r="G176" s="240"/>
      <c r="H176" s="240"/>
      <c r="I176" s="240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345"/>
      <c r="EM176" s="245"/>
      <c r="EN176" s="245"/>
      <c r="EO176" s="245"/>
      <c r="EP176" s="245"/>
      <c r="EQ176" s="351"/>
    </row>
    <row r="177" spans="2:147" s="243" customFormat="1" ht="11.25" customHeight="1">
      <c r="B177" s="343"/>
      <c r="C177" s="240"/>
      <c r="D177" s="240"/>
      <c r="E177" s="240"/>
      <c r="F177" s="240"/>
      <c r="G177" s="240"/>
      <c r="H177" s="240" t="s">
        <v>616</v>
      </c>
      <c r="I177" s="240"/>
      <c r="J177" s="240"/>
      <c r="K177" s="240"/>
      <c r="L177" s="240"/>
      <c r="M177" s="240"/>
      <c r="N177" s="240"/>
      <c r="O177" s="240" t="s">
        <v>132</v>
      </c>
      <c r="P177" s="240"/>
      <c r="Q177" s="1780" t="e">
        <f>#REF!</f>
        <v>#REF!</v>
      </c>
      <c r="R177" s="1780"/>
      <c r="S177" s="1780"/>
      <c r="T177" s="1780"/>
      <c r="U177" s="1780"/>
      <c r="V177" s="240"/>
      <c r="W177" s="240"/>
      <c r="X177" s="240"/>
      <c r="Y177" s="240"/>
      <c r="Z177" s="240" t="s">
        <v>683</v>
      </c>
      <c r="AA177" s="240"/>
      <c r="AB177" s="240"/>
      <c r="AC177" s="240" t="str">
        <f>TEXT(BL174,"#,##0.#######")</f>
        <v>24.33</v>
      </c>
      <c r="AD177" s="240"/>
      <c r="AE177" s="240"/>
      <c r="AF177" s="240"/>
      <c r="AG177" s="240"/>
      <c r="AH177" s="240"/>
      <c r="AI177" s="240"/>
      <c r="AJ177" s="240"/>
      <c r="AK177" s="240" t="s">
        <v>134</v>
      </c>
      <c r="AL177" s="240"/>
      <c r="AM177" s="240"/>
      <c r="AN177" s="240"/>
      <c r="AO177" s="240" t="e">
        <f>TEXT(TRUNC(Q177/BL174,1),"#,##0.#")</f>
        <v>#REF!</v>
      </c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345"/>
      <c r="EM177" s="245"/>
      <c r="EN177" s="245"/>
      <c r="EO177" s="245"/>
      <c r="EP177" s="245"/>
      <c r="EQ177" s="351"/>
    </row>
    <row r="178" spans="2:147" s="243" customFormat="1" ht="11.25" customHeight="1">
      <c r="B178" s="343"/>
      <c r="C178" s="240"/>
      <c r="D178" s="240"/>
      <c r="E178" s="240"/>
      <c r="F178" s="240"/>
      <c r="G178" s="240"/>
      <c r="H178" s="240" t="s">
        <v>617</v>
      </c>
      <c r="I178" s="240"/>
      <c r="J178" s="240"/>
      <c r="K178" s="240"/>
      <c r="L178" s="240"/>
      <c r="M178" s="240"/>
      <c r="N178" s="240"/>
      <c r="O178" s="240" t="s">
        <v>132</v>
      </c>
      <c r="P178" s="240"/>
      <c r="Q178" s="1780" t="e">
        <f>#REF!</f>
        <v>#REF!</v>
      </c>
      <c r="R178" s="1780"/>
      <c r="S178" s="1780"/>
      <c r="T178" s="1780"/>
      <c r="U178" s="1780"/>
      <c r="V178" s="240"/>
      <c r="W178" s="240"/>
      <c r="X178" s="240"/>
      <c r="Y178" s="240"/>
      <c r="Z178" s="240" t="s">
        <v>683</v>
      </c>
      <c r="AA178" s="240"/>
      <c r="AB178" s="240"/>
      <c r="AC178" s="240" t="str">
        <f>TEXT(BL174,"#,##0.#######")</f>
        <v>24.33</v>
      </c>
      <c r="AD178" s="240"/>
      <c r="AE178" s="240"/>
      <c r="AF178" s="240"/>
      <c r="AG178" s="240"/>
      <c r="AH178" s="240"/>
      <c r="AI178" s="240"/>
      <c r="AJ178" s="240"/>
      <c r="AK178" s="240" t="s">
        <v>134</v>
      </c>
      <c r="AL178" s="240"/>
      <c r="AM178" s="240"/>
      <c r="AN178" s="240"/>
      <c r="AO178" s="240" t="e">
        <f>TEXT(TRUNC(Q178/BL174,1),"#,##0.#")</f>
        <v>#REF!</v>
      </c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345"/>
      <c r="EM178" s="245"/>
      <c r="EN178" s="245"/>
      <c r="EO178" s="245"/>
      <c r="EP178" s="245"/>
      <c r="EQ178" s="351"/>
    </row>
    <row r="179" spans="2:147" s="243" customFormat="1" ht="11.25" customHeight="1">
      <c r="B179" s="343"/>
      <c r="C179" s="240"/>
      <c r="D179" s="240"/>
      <c r="E179" s="240"/>
      <c r="F179" s="240"/>
      <c r="G179" s="240"/>
      <c r="H179" s="240" t="s">
        <v>679</v>
      </c>
      <c r="I179" s="240"/>
      <c r="J179" s="240"/>
      <c r="K179" s="240"/>
      <c r="L179" s="240" t="s">
        <v>680</v>
      </c>
      <c r="M179" s="240"/>
      <c r="N179" s="240"/>
      <c r="O179" s="240" t="s">
        <v>132</v>
      </c>
      <c r="P179" s="240"/>
      <c r="Q179" s="1780" t="e">
        <f>#REF!</f>
        <v>#REF!</v>
      </c>
      <c r="R179" s="1780"/>
      <c r="S179" s="1780"/>
      <c r="T179" s="1780"/>
      <c r="U179" s="1780"/>
      <c r="V179" s="240"/>
      <c r="W179" s="240"/>
      <c r="X179" s="240"/>
      <c r="Y179" s="240"/>
      <c r="Z179" s="240" t="s">
        <v>683</v>
      </c>
      <c r="AA179" s="240"/>
      <c r="AB179" s="240"/>
      <c r="AC179" s="240" t="str">
        <f>TEXT(BL174,"#,##0.#######")</f>
        <v>24.33</v>
      </c>
      <c r="AD179" s="240"/>
      <c r="AE179" s="240"/>
      <c r="AF179" s="240"/>
      <c r="AG179" s="240"/>
      <c r="AH179" s="240"/>
      <c r="AI179" s="240"/>
      <c r="AJ179" s="240"/>
      <c r="AK179" s="240" t="s">
        <v>134</v>
      </c>
      <c r="AL179" s="240"/>
      <c r="AM179" s="240"/>
      <c r="AN179" s="240"/>
      <c r="AO179" s="240" t="e">
        <f>TEXT(TRUNC(Q179/BL174,1),"#,##0.#")</f>
        <v>#REF!</v>
      </c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345"/>
      <c r="EM179" s="245"/>
      <c r="EN179" s="245"/>
      <c r="EO179" s="245"/>
      <c r="EP179" s="245"/>
      <c r="EQ179" s="351"/>
    </row>
    <row r="180" spans="2:147" s="243" customFormat="1" ht="11.25" customHeight="1">
      <c r="B180" s="343"/>
      <c r="C180" s="240"/>
      <c r="D180" s="240"/>
      <c r="E180" s="240"/>
      <c r="F180" s="240"/>
      <c r="G180" s="240"/>
      <c r="H180" s="240" t="s">
        <v>688</v>
      </c>
      <c r="I180" s="240"/>
      <c r="J180" s="240"/>
      <c r="K180" s="240"/>
      <c r="L180" s="240" t="s">
        <v>96</v>
      </c>
      <c r="M180" s="240"/>
      <c r="N180" s="240"/>
      <c r="O180" s="240" t="s">
        <v>132</v>
      </c>
      <c r="P180" s="240"/>
      <c r="Q180" s="240" t="e">
        <f>TEXT(AO177+AO178+AO179,"#,##0.#######")</f>
        <v>#REF!</v>
      </c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345"/>
      <c r="EM180" s="245" t="e">
        <f>EN180+EO180+EP180</f>
        <v>#REF!</v>
      </c>
      <c r="EN180" s="245" t="e">
        <f>TEXT(AO177,"#,###.0")</f>
        <v>#REF!</v>
      </c>
      <c r="EO180" s="245" t="e">
        <f>TEXT(AO178,"#,###.0")</f>
        <v>#REF!</v>
      </c>
      <c r="EP180" s="245" t="e">
        <f>TEXT(AO179,"#,###.0")</f>
        <v>#REF!</v>
      </c>
      <c r="EQ180" s="351"/>
    </row>
    <row r="181" spans="2:147" s="243" customFormat="1" ht="11.25" customHeight="1">
      <c r="B181" s="343"/>
      <c r="C181" s="240"/>
      <c r="D181" s="240"/>
      <c r="E181" s="240"/>
      <c r="F181" s="240"/>
      <c r="G181" s="240"/>
      <c r="H181" s="240"/>
      <c r="I181" s="240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345"/>
      <c r="EM181" s="245"/>
      <c r="EN181" s="245"/>
      <c r="EO181" s="245"/>
      <c r="EP181" s="245"/>
      <c r="EQ181" s="351"/>
    </row>
    <row r="182" spans="2:147" s="243" customFormat="1" ht="11.25" customHeight="1">
      <c r="B182" s="343"/>
      <c r="C182" s="240"/>
      <c r="D182" s="240"/>
      <c r="E182" s="240" t="s">
        <v>675</v>
      </c>
      <c r="F182" s="240"/>
      <c r="G182" s="240"/>
      <c r="H182" s="240" t="s">
        <v>830</v>
      </c>
      <c r="I182" s="240"/>
      <c r="J182" s="240"/>
      <c r="K182" s="240"/>
      <c r="L182" s="240"/>
      <c r="M182" s="240" t="s">
        <v>132</v>
      </c>
      <c r="N182" s="240"/>
      <c r="O182" s="240" t="s">
        <v>831</v>
      </c>
      <c r="P182" s="240"/>
      <c r="Q182" s="240"/>
      <c r="R182" s="240"/>
      <c r="S182" s="240"/>
      <c r="T182" s="240"/>
      <c r="U182" s="240"/>
      <c r="V182" s="240" t="s">
        <v>832</v>
      </c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345"/>
      <c r="EM182" s="245"/>
      <c r="EN182" s="245"/>
      <c r="EO182" s="245"/>
      <c r="EP182" s="245"/>
      <c r="EQ182" s="351"/>
    </row>
    <row r="183" spans="2:147" s="243" customFormat="1" ht="11.25" customHeight="1">
      <c r="B183" s="343"/>
      <c r="C183" s="240"/>
      <c r="D183" s="240"/>
      <c r="E183" s="240"/>
      <c r="F183" s="240"/>
      <c r="G183" s="240"/>
      <c r="H183" s="240" t="s">
        <v>728</v>
      </c>
      <c r="I183" s="240"/>
      <c r="J183" s="240" t="s">
        <v>134</v>
      </c>
      <c r="K183" s="240"/>
      <c r="L183" s="240" t="str">
        <f>TEXT(0.28,"#,##0.#######")</f>
        <v>0.28</v>
      </c>
      <c r="M183" s="240"/>
      <c r="N183" s="240"/>
      <c r="O183" s="240"/>
      <c r="P183" s="240"/>
      <c r="Q183" s="240" t="s">
        <v>652</v>
      </c>
      <c r="R183" s="240"/>
      <c r="S183" s="240"/>
      <c r="T183" s="240" t="str">
        <f>TEXT(0.33,"#,##0.#######")</f>
        <v>0.33</v>
      </c>
      <c r="U183" s="240"/>
      <c r="V183" s="240"/>
      <c r="W183" s="240"/>
      <c r="X183" s="240"/>
      <c r="Y183" s="240" t="s">
        <v>134</v>
      </c>
      <c r="Z183" s="240"/>
      <c r="AA183" s="240" t="str">
        <f>TEXT(TRUNC(L183*T183,4),"#,##0.#######")</f>
        <v>0.0924</v>
      </c>
      <c r="AB183" s="240"/>
      <c r="AC183" s="240"/>
      <c r="AD183" s="240"/>
      <c r="AE183" s="240"/>
      <c r="AF183" s="240"/>
      <c r="AG183" s="240"/>
      <c r="AH183" s="240"/>
      <c r="AI183" s="240" t="s">
        <v>548</v>
      </c>
      <c r="AJ183" s="240"/>
      <c r="AK183" s="240"/>
      <c r="AL183" s="240"/>
      <c r="AM183" s="240"/>
      <c r="AN183" s="240"/>
      <c r="AO183" s="240"/>
      <c r="AP183" s="240" t="s">
        <v>833</v>
      </c>
      <c r="AQ183" s="240"/>
      <c r="AR183" s="240" t="s">
        <v>134</v>
      </c>
      <c r="AS183" s="240"/>
      <c r="AT183" s="240" t="str">
        <f>TEXT(36000,"#,##0.#######")</f>
        <v>36,000.</v>
      </c>
      <c r="AU183" s="240"/>
      <c r="AV183" s="240"/>
      <c r="AW183" s="240"/>
      <c r="AX183" s="240"/>
      <c r="AY183" s="240"/>
      <c r="AZ183" s="240" t="s">
        <v>558</v>
      </c>
      <c r="BA183" s="240"/>
      <c r="BB183" s="240" t="s">
        <v>139</v>
      </c>
      <c r="BC183" s="240" t="s">
        <v>618</v>
      </c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345"/>
      <c r="EM183" s="245"/>
      <c r="EN183" s="245"/>
      <c r="EO183" s="245"/>
      <c r="EP183" s="245"/>
      <c r="EQ183" s="351"/>
    </row>
    <row r="184" spans="2:147" s="243" customFormat="1" ht="11.25" customHeight="1">
      <c r="B184" s="343"/>
      <c r="C184" s="240"/>
      <c r="D184" s="240"/>
      <c r="E184" s="240"/>
      <c r="F184" s="240"/>
      <c r="G184" s="240"/>
      <c r="H184" s="240" t="s">
        <v>133</v>
      </c>
      <c r="I184" s="240"/>
      <c r="J184" s="240" t="s">
        <v>134</v>
      </c>
      <c r="K184" s="240"/>
      <c r="L184" s="240" t="str">
        <f>TEXT(0.15,"#,##0.#######")</f>
        <v>0.15</v>
      </c>
      <c r="M184" s="240"/>
      <c r="N184" s="240"/>
      <c r="O184" s="240"/>
      <c r="P184" s="240" t="s">
        <v>90</v>
      </c>
      <c r="Q184" s="240"/>
      <c r="R184" s="240"/>
      <c r="S184" s="240"/>
      <c r="T184" s="240"/>
      <c r="U184" s="240"/>
      <c r="V184" s="240" t="s">
        <v>774</v>
      </c>
      <c r="W184" s="240"/>
      <c r="X184" s="240" t="s">
        <v>134</v>
      </c>
      <c r="Y184" s="240"/>
      <c r="Z184" s="240" t="str">
        <f>TEXT(1,"#,##0.#######")</f>
        <v>1.</v>
      </c>
      <c r="AA184" s="240"/>
      <c r="AB184" s="240"/>
      <c r="AC184" s="240"/>
      <c r="AD184" s="240"/>
      <c r="AE184" s="240"/>
      <c r="AF184" s="240"/>
      <c r="AG184" s="240"/>
      <c r="AH184" s="240" t="s">
        <v>692</v>
      </c>
      <c r="AI184" s="240"/>
      <c r="AJ184" s="240" t="s">
        <v>134</v>
      </c>
      <c r="AK184" s="240"/>
      <c r="AL184" s="240" t="str">
        <f>TEXT(0.5,"#,##0.#######")</f>
        <v>0.5</v>
      </c>
      <c r="AM184" s="240"/>
      <c r="AN184" s="240"/>
      <c r="AO184" s="240"/>
      <c r="AP184" s="240"/>
      <c r="AQ184" s="240"/>
      <c r="AR184" s="240"/>
      <c r="AS184" s="240"/>
      <c r="AT184" s="240" t="s">
        <v>834</v>
      </c>
      <c r="AU184" s="240"/>
      <c r="AV184" s="240" t="s">
        <v>134</v>
      </c>
      <c r="AW184" s="240"/>
      <c r="AX184" s="240" t="str">
        <f>TEXT(57,"#,##0.#######")</f>
        <v>57.</v>
      </c>
      <c r="AY184" s="240"/>
      <c r="AZ184" s="240" t="s">
        <v>558</v>
      </c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345"/>
      <c r="EM184" s="245"/>
      <c r="EN184" s="245"/>
      <c r="EO184" s="245"/>
      <c r="EP184" s="245"/>
      <c r="EQ184" s="351"/>
    </row>
    <row r="185" spans="2:147" s="243" customFormat="1" ht="11.25" customHeight="1">
      <c r="B185" s="343"/>
      <c r="C185" s="240"/>
      <c r="D185" s="240"/>
      <c r="E185" s="240"/>
      <c r="F185" s="240"/>
      <c r="G185" s="240"/>
      <c r="H185" s="240"/>
      <c r="I185" s="240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345"/>
      <c r="EM185" s="245"/>
      <c r="EN185" s="245"/>
      <c r="EO185" s="245"/>
      <c r="EP185" s="245"/>
      <c r="EQ185" s="351"/>
    </row>
    <row r="186" spans="2:147" s="243" customFormat="1" ht="11.25" customHeight="1">
      <c r="B186" s="343"/>
      <c r="C186" s="240"/>
      <c r="D186" s="240"/>
      <c r="E186" s="240"/>
      <c r="F186" s="240"/>
      <c r="G186" s="240"/>
      <c r="H186" s="240"/>
      <c r="I186" s="240"/>
      <c r="J186" s="240"/>
      <c r="K186" s="240"/>
      <c r="L186" s="240"/>
      <c r="M186" s="240" t="s">
        <v>728</v>
      </c>
      <c r="N186" s="240" t="s">
        <v>652</v>
      </c>
      <c r="O186" s="240"/>
      <c r="P186" s="240" t="s">
        <v>833</v>
      </c>
      <c r="Q186" s="240" t="s">
        <v>652</v>
      </c>
      <c r="R186" s="240"/>
      <c r="S186" s="240" t="s">
        <v>133</v>
      </c>
      <c r="T186" s="240" t="s">
        <v>652</v>
      </c>
      <c r="U186" s="240"/>
      <c r="V186" s="240" t="s">
        <v>774</v>
      </c>
      <c r="W186" s="240" t="s">
        <v>652</v>
      </c>
      <c r="X186" s="240"/>
      <c r="Y186" s="240" t="s">
        <v>692</v>
      </c>
      <c r="Z186" s="240"/>
      <c r="AA186" s="240"/>
      <c r="AB186" s="240"/>
      <c r="AC186" s="240"/>
      <c r="AD186" s="240"/>
      <c r="AE186" s="240"/>
      <c r="AF186" s="240" t="str">
        <f>TEXT(AA183,"#,##0.#######")</f>
        <v>0.0924</v>
      </c>
      <c r="AG186" s="240"/>
      <c r="AH186" s="240"/>
      <c r="AI186" s="240"/>
      <c r="AJ186" s="240"/>
      <c r="AK186" s="240"/>
      <c r="AL186" s="240" t="s">
        <v>652</v>
      </c>
      <c r="AM186" s="240"/>
      <c r="AN186" s="240" t="str">
        <f>TEXT(AT183,"#,##0.#######")</f>
        <v>36,000.</v>
      </c>
      <c r="AO186" s="240"/>
      <c r="AP186" s="240"/>
      <c r="AQ186" s="240"/>
      <c r="AR186" s="240"/>
      <c r="AS186" s="240"/>
      <c r="AT186" s="240" t="s">
        <v>652</v>
      </c>
      <c r="AU186" s="240"/>
      <c r="AV186" s="240" t="str">
        <f>TEXT(L184,"#,##0.#######")</f>
        <v>0.15</v>
      </c>
      <c r="AW186" s="240"/>
      <c r="AX186" s="240"/>
      <c r="AY186" s="240"/>
      <c r="AZ186" s="240" t="s">
        <v>652</v>
      </c>
      <c r="BA186" s="240"/>
      <c r="BB186" s="240" t="str">
        <f>TEXT(Z184,"#,##0.#######")</f>
        <v>1.</v>
      </c>
      <c r="BC186" s="240" t="s">
        <v>652</v>
      </c>
      <c r="BD186" s="240"/>
      <c r="BE186" s="240" t="str">
        <f>TEXT(AL184,"#,##0.#######")</f>
        <v>0.5</v>
      </c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345"/>
      <c r="EM186" s="245"/>
      <c r="EN186" s="245"/>
      <c r="EO186" s="245"/>
      <c r="EP186" s="245"/>
      <c r="EQ186" s="351"/>
    </row>
    <row r="187" spans="2:147" s="243" customFormat="1" ht="11.25" customHeight="1">
      <c r="B187" s="343"/>
      <c r="C187" s="240"/>
      <c r="D187" s="240"/>
      <c r="E187" s="240"/>
      <c r="F187" s="240"/>
      <c r="G187" s="240"/>
      <c r="H187" s="240" t="s">
        <v>687</v>
      </c>
      <c r="I187" s="240"/>
      <c r="J187" s="240" t="s">
        <v>134</v>
      </c>
      <c r="K187" s="240"/>
      <c r="L187" s="240" t="s">
        <v>694</v>
      </c>
      <c r="M187" s="240"/>
      <c r="N187" s="240" t="s">
        <v>694</v>
      </c>
      <c r="O187" s="240"/>
      <c r="P187" s="240" t="s">
        <v>694</v>
      </c>
      <c r="Q187" s="240"/>
      <c r="R187" s="240" t="s">
        <v>694</v>
      </c>
      <c r="S187" s="240"/>
      <c r="T187" s="240" t="s">
        <v>694</v>
      </c>
      <c r="U187" s="240"/>
      <c r="V187" s="240" t="s">
        <v>694</v>
      </c>
      <c r="W187" s="240"/>
      <c r="X187" s="240" t="s">
        <v>694</v>
      </c>
      <c r="Y187" s="240"/>
      <c r="Z187" s="240" t="s">
        <v>694</v>
      </c>
      <c r="AA187" s="240"/>
      <c r="AB187" s="240"/>
      <c r="AC187" s="240" t="s">
        <v>134</v>
      </c>
      <c r="AD187" s="240"/>
      <c r="AE187" s="240" t="s">
        <v>694</v>
      </c>
      <c r="AF187" s="240"/>
      <c r="AG187" s="240" t="s">
        <v>694</v>
      </c>
      <c r="AH187" s="240"/>
      <c r="AI187" s="240" t="s">
        <v>694</v>
      </c>
      <c r="AJ187" s="240"/>
      <c r="AK187" s="240" t="s">
        <v>694</v>
      </c>
      <c r="AL187" s="240"/>
      <c r="AM187" s="240" t="s">
        <v>694</v>
      </c>
      <c r="AN187" s="240"/>
      <c r="AO187" s="240" t="s">
        <v>694</v>
      </c>
      <c r="AP187" s="240"/>
      <c r="AQ187" s="240" t="s">
        <v>694</v>
      </c>
      <c r="AR187" s="240"/>
      <c r="AS187" s="240" t="s">
        <v>694</v>
      </c>
      <c r="AT187" s="240"/>
      <c r="AU187" s="240" t="s">
        <v>694</v>
      </c>
      <c r="AV187" s="240"/>
      <c r="AW187" s="240" t="s">
        <v>694</v>
      </c>
      <c r="AX187" s="240"/>
      <c r="AY187" s="240" t="s">
        <v>694</v>
      </c>
      <c r="AZ187" s="240"/>
      <c r="BA187" s="240" t="s">
        <v>694</v>
      </c>
      <c r="BB187" s="240"/>
      <c r="BC187" s="240" t="s">
        <v>694</v>
      </c>
      <c r="BD187" s="240"/>
      <c r="BE187" s="240" t="s">
        <v>694</v>
      </c>
      <c r="BF187" s="240"/>
      <c r="BG187" s="240" t="s">
        <v>694</v>
      </c>
      <c r="BH187" s="240"/>
      <c r="BI187" s="240"/>
      <c r="BJ187" s="240" t="s">
        <v>134</v>
      </c>
      <c r="BK187" s="240"/>
      <c r="BL187" s="240" t="str">
        <f>TEXT(ROUND((AA183*AT183*L184*Z184*AL184)/(AX184),2),"#,##0.#######")</f>
        <v>4.38</v>
      </c>
      <c r="BM187" s="240"/>
      <c r="BN187" s="240"/>
      <c r="BO187" s="240" t="s">
        <v>91</v>
      </c>
      <c r="BP187" s="240"/>
      <c r="BQ187" s="240" t="s">
        <v>139</v>
      </c>
      <c r="BR187" s="240" t="s">
        <v>618</v>
      </c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345"/>
      <c r="EM187" s="245"/>
      <c r="EN187" s="245"/>
      <c r="EO187" s="245"/>
      <c r="EP187" s="245"/>
      <c r="EQ187" s="351"/>
    </row>
    <row r="188" spans="2:147" s="243" customFormat="1" ht="11.25" customHeight="1">
      <c r="B188" s="343"/>
      <c r="C188" s="240"/>
      <c r="D188" s="240"/>
      <c r="E188" s="240"/>
      <c r="F188" s="240"/>
      <c r="G188" s="240"/>
      <c r="H188" s="240"/>
      <c r="I188" s="240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 t="s">
        <v>834</v>
      </c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 t="str">
        <f>TEXT(AX184,"#,##0.#######")</f>
        <v>57.</v>
      </c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345"/>
      <c r="EM188" s="245"/>
      <c r="EN188" s="245"/>
      <c r="EO188" s="245"/>
      <c r="EP188" s="245"/>
      <c r="EQ188" s="351"/>
    </row>
    <row r="189" spans="2:147" s="243" customFormat="1" ht="11.25" customHeight="1">
      <c r="B189" s="343"/>
      <c r="C189" s="240"/>
      <c r="D189" s="240"/>
      <c r="E189" s="240"/>
      <c r="F189" s="240"/>
      <c r="G189" s="240"/>
      <c r="H189" s="240" t="s">
        <v>616</v>
      </c>
      <c r="I189" s="240"/>
      <c r="J189" s="240"/>
      <c r="K189" s="240"/>
      <c r="L189" s="240"/>
      <c r="M189" s="240" t="s">
        <v>132</v>
      </c>
      <c r="N189" s="240"/>
      <c r="O189" s="1780" t="e">
        <f>#REF!</f>
        <v>#REF!</v>
      </c>
      <c r="P189" s="1780"/>
      <c r="Q189" s="1780"/>
      <c r="R189" s="1780"/>
      <c r="S189" s="1780"/>
      <c r="T189" s="240"/>
      <c r="U189" s="240"/>
      <c r="V189" s="240"/>
      <c r="W189" s="240"/>
      <c r="X189" s="240"/>
      <c r="Y189" s="240"/>
      <c r="Z189" s="240" t="s">
        <v>683</v>
      </c>
      <c r="AA189" s="240"/>
      <c r="AB189" s="240"/>
      <c r="AC189" s="240" t="str">
        <f>TEXT(BL187,"#,##0.#######")</f>
        <v>4.38</v>
      </c>
      <c r="AD189" s="240"/>
      <c r="AE189" s="240"/>
      <c r="AF189" s="240"/>
      <c r="AG189" s="240"/>
      <c r="AH189" s="240"/>
      <c r="AI189" s="240"/>
      <c r="AJ189" s="240" t="s">
        <v>134</v>
      </c>
      <c r="AK189" s="240"/>
      <c r="AL189" s="240" t="e">
        <f>TEXT(TRUNC(O189/BL187,1),"#,##0.#")</f>
        <v>#REF!</v>
      </c>
      <c r="AM189" s="240"/>
      <c r="AN189" s="240"/>
      <c r="AO189" s="240"/>
      <c r="AP189" s="240"/>
      <c r="AQ189" s="240"/>
      <c r="AR189" s="240"/>
      <c r="AS189" s="240"/>
      <c r="AT189" s="240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345"/>
      <c r="EM189" s="245"/>
      <c r="EN189" s="245"/>
      <c r="EO189" s="245"/>
      <c r="EP189" s="245"/>
      <c r="EQ189" s="351"/>
    </row>
    <row r="190" spans="2:147" s="243" customFormat="1" ht="11.25" customHeight="1">
      <c r="B190" s="343"/>
      <c r="C190" s="240"/>
      <c r="D190" s="240"/>
      <c r="E190" s="240"/>
      <c r="F190" s="240"/>
      <c r="G190" s="240"/>
      <c r="H190" s="240" t="s">
        <v>617</v>
      </c>
      <c r="I190" s="240"/>
      <c r="J190" s="240"/>
      <c r="K190" s="240"/>
      <c r="L190" s="240"/>
      <c r="M190" s="240" t="s">
        <v>132</v>
      </c>
      <c r="N190" s="240"/>
      <c r="O190" s="1780" t="e">
        <f>#REF!</f>
        <v>#REF!</v>
      </c>
      <c r="P190" s="1780"/>
      <c r="Q190" s="1780"/>
      <c r="R190" s="1780"/>
      <c r="S190" s="1780"/>
      <c r="T190" s="240"/>
      <c r="U190" s="240"/>
      <c r="V190" s="240"/>
      <c r="W190" s="240"/>
      <c r="X190" s="240"/>
      <c r="Y190" s="240"/>
      <c r="Z190" s="240" t="s">
        <v>683</v>
      </c>
      <c r="AA190" s="240"/>
      <c r="AB190" s="240"/>
      <c r="AC190" s="240" t="str">
        <f>TEXT(BL187,"#,##0.#######")</f>
        <v>4.38</v>
      </c>
      <c r="AD190" s="240"/>
      <c r="AE190" s="240"/>
      <c r="AF190" s="240"/>
      <c r="AG190" s="240"/>
      <c r="AH190" s="240"/>
      <c r="AI190" s="240"/>
      <c r="AJ190" s="240" t="s">
        <v>134</v>
      </c>
      <c r="AK190" s="240"/>
      <c r="AL190" s="240" t="e">
        <f>TEXT(TRUNC(O190/BL187,1),"#,##0.#")</f>
        <v>#REF!</v>
      </c>
      <c r="AM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345"/>
      <c r="EM190" s="245"/>
      <c r="EN190" s="245"/>
      <c r="EO190" s="245"/>
      <c r="EP190" s="245"/>
      <c r="EQ190" s="351"/>
    </row>
    <row r="191" spans="2:147" s="243" customFormat="1" ht="11.25" customHeight="1">
      <c r="B191" s="343"/>
      <c r="C191" s="240"/>
      <c r="D191" s="240"/>
      <c r="E191" s="240"/>
      <c r="F191" s="240"/>
      <c r="G191" s="240"/>
      <c r="H191" s="240" t="s">
        <v>679</v>
      </c>
      <c r="I191" s="240"/>
      <c r="J191" s="240" t="s">
        <v>680</v>
      </c>
      <c r="K191" s="240"/>
      <c r="M191" s="240" t="s">
        <v>132</v>
      </c>
      <c r="N191" s="240"/>
      <c r="O191" s="1780" t="e">
        <f>#REF!</f>
        <v>#REF!</v>
      </c>
      <c r="P191" s="1780"/>
      <c r="Q191" s="1780"/>
      <c r="R191" s="1780"/>
      <c r="S191" s="1780"/>
      <c r="U191" s="240"/>
      <c r="V191" s="240"/>
      <c r="W191" s="240"/>
      <c r="X191" s="240"/>
      <c r="Y191" s="240"/>
      <c r="Z191" s="240" t="s">
        <v>683</v>
      </c>
      <c r="AA191" s="240"/>
      <c r="AB191" s="240"/>
      <c r="AC191" s="240" t="str">
        <f>TEXT(BL187,"#,##0.#######")</f>
        <v>4.38</v>
      </c>
      <c r="AD191" s="240"/>
      <c r="AE191" s="240"/>
      <c r="AF191" s="240"/>
      <c r="AG191" s="240"/>
      <c r="AH191" s="240"/>
      <c r="AI191" s="240"/>
      <c r="AJ191" s="240" t="s">
        <v>134</v>
      </c>
      <c r="AK191" s="240"/>
      <c r="AL191" s="240" t="e">
        <f>TEXT(TRUNC(O191/BL187,1),"#,##0.#")</f>
        <v>#REF!</v>
      </c>
      <c r="AM191" s="240"/>
      <c r="AN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345"/>
      <c r="EM191" s="245"/>
      <c r="EN191" s="245"/>
      <c r="EO191" s="245"/>
      <c r="EP191" s="245"/>
      <c r="EQ191" s="351"/>
    </row>
    <row r="192" spans="2:147" s="243" customFormat="1" ht="11.25" customHeight="1">
      <c r="B192" s="343"/>
      <c r="C192" s="240"/>
      <c r="D192" s="240"/>
      <c r="E192" s="240"/>
      <c r="F192" s="240"/>
      <c r="G192" s="240"/>
      <c r="H192" s="240" t="s">
        <v>688</v>
      </c>
      <c r="I192" s="240"/>
      <c r="J192" s="240" t="s">
        <v>96</v>
      </c>
      <c r="K192" s="240"/>
      <c r="M192" s="240" t="s">
        <v>132</v>
      </c>
      <c r="N192" s="240"/>
      <c r="O192" s="240" t="e">
        <f>TEXT(AL189+AL190+AL191,"#,##0.#######")</f>
        <v>#REF!</v>
      </c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345"/>
      <c r="EM192" s="245" t="e">
        <f>EN192+EO192+EP192</f>
        <v>#REF!</v>
      </c>
      <c r="EN192" s="245" t="e">
        <f>TEXT(AL189,"#,###.0")</f>
        <v>#REF!</v>
      </c>
      <c r="EO192" s="245" t="e">
        <f>TEXT(AL190,"#,###.0")</f>
        <v>#REF!</v>
      </c>
      <c r="EP192" s="245" t="e">
        <f>TEXT(AL191,"#,###.0")</f>
        <v>#REF!</v>
      </c>
      <c r="EQ192" s="351"/>
    </row>
    <row r="193" spans="1:150" s="243" customFormat="1" ht="11.25" customHeight="1">
      <c r="B193" s="343"/>
      <c r="C193" s="240"/>
      <c r="D193" s="240"/>
      <c r="E193" s="240"/>
      <c r="F193" s="240"/>
      <c r="G193" s="240"/>
      <c r="H193" s="240"/>
      <c r="I193" s="240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345"/>
      <c r="EM193" s="245"/>
      <c r="EN193" s="245"/>
      <c r="EO193" s="245"/>
      <c r="EP193" s="245"/>
      <c r="EQ193" s="351"/>
    </row>
    <row r="194" spans="1:150" s="243" customFormat="1" ht="11.25" customHeight="1">
      <c r="B194" s="343"/>
      <c r="C194" s="240"/>
      <c r="D194" s="240"/>
      <c r="E194" s="240"/>
      <c r="F194" s="240"/>
      <c r="G194" s="240"/>
      <c r="H194" s="240"/>
      <c r="I194" s="240"/>
      <c r="J194" s="240"/>
      <c r="K194" s="240"/>
      <c r="L194" s="240"/>
      <c r="M194" s="240"/>
      <c r="N194" s="240"/>
      <c r="O194" s="240"/>
      <c r="P194" s="240"/>
      <c r="Q194" s="240"/>
      <c r="R194" s="240"/>
      <c r="S194" s="240"/>
      <c r="T194" s="240"/>
      <c r="U194" s="240"/>
      <c r="V194" s="240"/>
      <c r="W194" s="240"/>
      <c r="X194" s="240"/>
      <c r="Y194" s="240"/>
      <c r="Z194" s="240"/>
      <c r="AA194" s="240"/>
      <c r="AB194" s="240"/>
      <c r="AC194" s="240"/>
      <c r="AD194" s="240"/>
      <c r="AE194" s="240"/>
      <c r="AF194" s="240"/>
      <c r="AG194" s="240"/>
      <c r="AH194" s="240"/>
      <c r="AI194" s="240"/>
      <c r="AJ194" s="240"/>
      <c r="AK194" s="240"/>
      <c r="AL194" s="240"/>
      <c r="AM194" s="240"/>
      <c r="AN194" s="240"/>
      <c r="AO194" s="240"/>
      <c r="AP194" s="240"/>
      <c r="AQ194" s="240"/>
      <c r="AR194" s="240"/>
      <c r="AS194" s="240"/>
      <c r="AT194" s="240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345"/>
      <c r="EM194" s="245"/>
      <c r="EN194" s="245"/>
      <c r="EO194" s="245"/>
      <c r="EP194" s="245"/>
      <c r="EQ194" s="351"/>
    </row>
    <row r="195" spans="1:150" s="243" customFormat="1" ht="11.25" customHeight="1">
      <c r="B195" s="343"/>
      <c r="C195" s="240"/>
      <c r="D195" s="240"/>
      <c r="E195" s="240"/>
      <c r="F195" s="240"/>
      <c r="G195" s="240"/>
      <c r="H195" s="240"/>
      <c r="I195" s="240" t="s">
        <v>616</v>
      </c>
      <c r="J195" s="240"/>
      <c r="K195" s="240"/>
      <c r="L195" s="240"/>
      <c r="M195" s="240"/>
      <c r="N195" s="240"/>
      <c r="O195" s="240"/>
      <c r="P195" s="240" t="s">
        <v>132</v>
      </c>
      <c r="Q195" s="240"/>
      <c r="R195" s="240" t="e">
        <f>TEXT(EN180,"#,###.##")</f>
        <v>#REF!</v>
      </c>
      <c r="S195" s="240"/>
      <c r="T195" s="240"/>
      <c r="U195" s="240"/>
      <c r="V195" s="240"/>
      <c r="W195" s="240"/>
      <c r="X195" s="240" t="s">
        <v>130</v>
      </c>
      <c r="Y195" s="240"/>
      <c r="Z195" s="240" t="e">
        <f>TEXT(EN192,"#,###.##")</f>
        <v>#REF!</v>
      </c>
      <c r="AA195" s="240"/>
      <c r="AB195" s="240"/>
      <c r="AC195" s="240"/>
      <c r="AD195" s="240"/>
      <c r="AE195" s="240"/>
      <c r="AF195" s="240" t="s">
        <v>134</v>
      </c>
      <c r="AG195" s="240"/>
      <c r="AH195" s="240"/>
      <c r="AI195" s="240" t="e">
        <f>TEXT(TRUNC(EN180+EN192,0),"#,##0")</f>
        <v>#REF!</v>
      </c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345"/>
      <c r="EM195" s="245"/>
      <c r="EN195" s="245"/>
      <c r="EO195" s="245"/>
      <c r="EP195" s="245"/>
      <c r="EQ195" s="351"/>
    </row>
    <row r="196" spans="1:150" s="243" customFormat="1" ht="11.25" customHeight="1">
      <c r="B196" s="343"/>
      <c r="C196" s="240"/>
      <c r="D196" s="240"/>
      <c r="E196" s="240"/>
      <c r="F196" s="240"/>
      <c r="G196" s="240"/>
      <c r="H196" s="240"/>
      <c r="I196" s="240" t="s">
        <v>617</v>
      </c>
      <c r="J196" s="240"/>
      <c r="K196" s="240"/>
      <c r="L196" s="240"/>
      <c r="M196" s="240"/>
      <c r="N196" s="240"/>
      <c r="O196" s="240"/>
      <c r="P196" s="240" t="s">
        <v>132</v>
      </c>
      <c r="Q196" s="240"/>
      <c r="R196" s="240" t="e">
        <f>TEXT(EO180,"#,###.##")</f>
        <v>#REF!</v>
      </c>
      <c r="S196" s="240"/>
      <c r="T196" s="240"/>
      <c r="U196" s="240"/>
      <c r="V196" s="240"/>
      <c r="W196" s="240"/>
      <c r="X196" s="240" t="s">
        <v>130</v>
      </c>
      <c r="Y196" s="240"/>
      <c r="Z196" s="240" t="e">
        <f>TEXT(EO192,"#,###.##")</f>
        <v>#REF!</v>
      </c>
      <c r="AA196" s="240"/>
      <c r="AB196" s="240"/>
      <c r="AC196" s="240"/>
      <c r="AD196" s="240"/>
      <c r="AE196" s="240"/>
      <c r="AF196" s="240" t="s">
        <v>134</v>
      </c>
      <c r="AG196" s="240"/>
      <c r="AH196" s="240"/>
      <c r="AI196" s="240" t="e">
        <f>TEXT(TRUNC(EO180+EO192,0),"#,##0")</f>
        <v>#REF!</v>
      </c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345"/>
      <c r="EM196" s="245"/>
      <c r="EN196" s="245"/>
      <c r="EO196" s="245"/>
      <c r="EP196" s="245"/>
      <c r="EQ196" s="351"/>
    </row>
    <row r="197" spans="1:150" s="243" customFormat="1" ht="11.25" customHeight="1">
      <c r="B197" s="343"/>
      <c r="C197" s="240"/>
      <c r="D197" s="240"/>
      <c r="E197" s="240"/>
      <c r="F197" s="240"/>
      <c r="G197" s="240"/>
      <c r="H197" s="240"/>
      <c r="I197" s="240" t="s">
        <v>679</v>
      </c>
      <c r="J197" s="240"/>
      <c r="K197" s="240" t="s">
        <v>680</v>
      </c>
      <c r="L197" s="240"/>
      <c r="M197" s="240"/>
      <c r="N197" s="240"/>
      <c r="O197" s="240"/>
      <c r="P197" s="240" t="s">
        <v>132</v>
      </c>
      <c r="Q197" s="240"/>
      <c r="R197" s="240" t="e">
        <f>TEXT(EP180,"#,###.##")</f>
        <v>#REF!</v>
      </c>
      <c r="S197" s="240"/>
      <c r="T197" s="240"/>
      <c r="U197" s="240"/>
      <c r="V197" s="240"/>
      <c r="W197" s="240"/>
      <c r="X197" s="240" t="s">
        <v>130</v>
      </c>
      <c r="Y197" s="240"/>
      <c r="Z197" s="240" t="e">
        <f>TEXT(EP192,"#,###.##")</f>
        <v>#REF!</v>
      </c>
      <c r="AA197" s="240"/>
      <c r="AB197" s="240"/>
      <c r="AF197" s="240" t="s">
        <v>134</v>
      </c>
      <c r="AG197" s="240"/>
      <c r="AH197" s="240"/>
      <c r="AI197" s="240" t="e">
        <f>TEXT(TRUNC(EP180+EP192,0),"#,##0")</f>
        <v>#REF!</v>
      </c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345"/>
      <c r="EM197" s="245"/>
      <c r="EN197" s="245"/>
      <c r="EO197" s="245"/>
      <c r="EP197" s="245"/>
      <c r="EQ197" s="351"/>
    </row>
    <row r="198" spans="1:150" s="243" customFormat="1" ht="11.25" customHeight="1">
      <c r="B198" s="343"/>
      <c r="C198" s="240"/>
      <c r="D198" s="240"/>
      <c r="E198" s="240"/>
      <c r="F198" s="240"/>
      <c r="G198" s="240"/>
      <c r="H198" s="240"/>
      <c r="I198" s="240"/>
      <c r="J198" s="240"/>
      <c r="K198" s="240" t="s">
        <v>96</v>
      </c>
      <c r="L198" s="240"/>
      <c r="M198" s="240"/>
      <c r="N198" s="240"/>
      <c r="O198" s="240"/>
      <c r="P198" s="240" t="s">
        <v>132</v>
      </c>
      <c r="Q198" s="240"/>
      <c r="R198" s="240" t="e">
        <f>TEXT(AI195+AI196+AI197,"#,##0")</f>
        <v>#REF!</v>
      </c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345"/>
      <c r="EM198" s="250" t="e">
        <f>EN198+EO198+EP198</f>
        <v>#REF!</v>
      </c>
      <c r="EN198" s="245" t="e">
        <f>TEXT(AI195,"#,##0")</f>
        <v>#REF!</v>
      </c>
      <c r="EO198" s="245" t="e">
        <f>TEXT(AI196,"#,##0")</f>
        <v>#REF!</v>
      </c>
      <c r="EP198" s="245" t="e">
        <f>TEXT(AI197,"#,##0")</f>
        <v>#REF!</v>
      </c>
      <c r="EQ198" s="351"/>
    </row>
    <row r="199" spans="1:150" s="243" customFormat="1" ht="11.25" customHeight="1">
      <c r="B199" s="350"/>
      <c r="C199" s="247"/>
      <c r="D199" s="247"/>
      <c r="E199" s="247"/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47"/>
      <c r="AG199" s="247"/>
      <c r="AH199" s="247"/>
      <c r="AI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  <c r="BB199" s="247"/>
      <c r="BC199" s="247"/>
      <c r="BD199" s="247"/>
      <c r="BE199" s="247"/>
      <c r="BF199" s="247"/>
      <c r="BG199" s="247"/>
      <c r="BH199" s="247"/>
      <c r="BI199" s="247"/>
      <c r="BJ199" s="247"/>
      <c r="BK199" s="247"/>
      <c r="BL199" s="247"/>
      <c r="BM199" s="247"/>
      <c r="BN199" s="247"/>
      <c r="BO199" s="247"/>
      <c r="BP199" s="247"/>
      <c r="BQ199" s="247"/>
      <c r="BR199" s="247"/>
      <c r="BS199" s="247"/>
      <c r="BT199" s="247"/>
      <c r="BU199" s="247"/>
      <c r="BV199" s="247"/>
      <c r="BW199" s="247"/>
      <c r="BX199" s="247"/>
      <c r="BY199" s="247"/>
      <c r="BZ199" s="247"/>
      <c r="CA199" s="247"/>
      <c r="CB199" s="247"/>
      <c r="CC199" s="247"/>
      <c r="CD199" s="247"/>
      <c r="CE199" s="247"/>
      <c r="CF199" s="247"/>
      <c r="CG199" s="247"/>
      <c r="CH199" s="247"/>
      <c r="CI199" s="247"/>
      <c r="CJ199" s="247"/>
      <c r="CK199" s="247"/>
      <c r="CL199" s="247"/>
      <c r="CM199" s="247"/>
      <c r="CN199" s="247"/>
      <c r="CO199" s="247"/>
      <c r="CP199" s="247"/>
      <c r="CQ199" s="247"/>
      <c r="CR199" s="247"/>
      <c r="CS199" s="247"/>
      <c r="CT199" s="247"/>
      <c r="CU199" s="247"/>
      <c r="CV199" s="247"/>
      <c r="CW199" s="247"/>
      <c r="CX199" s="247"/>
      <c r="CY199" s="247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357"/>
      <c r="EM199" s="249"/>
      <c r="EN199" s="249"/>
      <c r="EO199" s="249"/>
      <c r="EP199" s="249"/>
      <c r="EQ199" s="352"/>
    </row>
    <row r="200" spans="1:150" s="243" customFormat="1" ht="11.25" customHeight="1">
      <c r="B200" s="355"/>
      <c r="C200" s="265"/>
      <c r="D200" s="265"/>
      <c r="E200" s="265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  <c r="Z200" s="265"/>
      <c r="AA200" s="265"/>
      <c r="AB200" s="265"/>
      <c r="AC200" s="265"/>
      <c r="AD200" s="265"/>
      <c r="AE200" s="265"/>
      <c r="AF200" s="265"/>
      <c r="AG200" s="265"/>
      <c r="AH200" s="265"/>
      <c r="AI200" s="265"/>
      <c r="AJ200" s="265"/>
      <c r="AK200" s="265"/>
      <c r="AL200" s="265"/>
      <c r="AM200" s="265"/>
      <c r="AN200" s="265"/>
      <c r="AO200" s="265"/>
      <c r="AP200" s="265"/>
      <c r="AQ200" s="265"/>
      <c r="AR200" s="265"/>
      <c r="AS200" s="265"/>
      <c r="AT200" s="265"/>
      <c r="AU200" s="265"/>
      <c r="AV200" s="265"/>
      <c r="AW200" s="265"/>
      <c r="AX200" s="265"/>
      <c r="AY200" s="265"/>
      <c r="AZ200" s="265"/>
      <c r="BA200" s="265"/>
      <c r="BB200" s="265"/>
      <c r="BC200" s="265"/>
      <c r="BD200" s="265"/>
      <c r="BE200" s="265"/>
      <c r="BF200" s="265"/>
      <c r="BG200" s="265"/>
      <c r="BH200" s="265"/>
      <c r="BI200" s="265"/>
      <c r="BJ200" s="265"/>
      <c r="BK200" s="265"/>
      <c r="BL200" s="265"/>
      <c r="BM200" s="265"/>
      <c r="BN200" s="265"/>
      <c r="BO200" s="265"/>
      <c r="BP200" s="265"/>
      <c r="BQ200" s="265"/>
      <c r="BR200" s="265"/>
      <c r="BS200" s="265"/>
      <c r="BT200" s="265"/>
      <c r="BU200" s="265"/>
      <c r="BV200" s="265"/>
      <c r="BW200" s="265"/>
      <c r="BX200" s="265"/>
      <c r="BY200" s="265"/>
      <c r="BZ200" s="265"/>
      <c r="CA200" s="265"/>
      <c r="CB200" s="265"/>
      <c r="CC200" s="265"/>
      <c r="CD200" s="265"/>
      <c r="CE200" s="265"/>
      <c r="CF200" s="265"/>
      <c r="CG200" s="265"/>
      <c r="CH200" s="265"/>
      <c r="CI200" s="265"/>
      <c r="CJ200" s="265"/>
      <c r="CK200" s="265"/>
      <c r="CL200" s="265"/>
      <c r="CM200" s="265"/>
      <c r="CN200" s="265"/>
      <c r="CO200" s="265"/>
      <c r="CP200" s="265"/>
      <c r="CQ200" s="265"/>
      <c r="CR200" s="265"/>
      <c r="CS200" s="265"/>
      <c r="CT200" s="265"/>
      <c r="CU200" s="265"/>
      <c r="CV200" s="265"/>
      <c r="CW200" s="265"/>
      <c r="CX200" s="265"/>
      <c r="CY200" s="265"/>
      <c r="CZ200" s="314"/>
      <c r="DA200" s="314"/>
      <c r="DB200" s="314"/>
      <c r="DC200" s="314"/>
      <c r="DD200" s="314"/>
      <c r="DE200" s="314"/>
      <c r="DF200" s="314"/>
      <c r="DG200" s="314"/>
      <c r="DH200" s="314"/>
      <c r="DI200" s="314"/>
      <c r="DJ200" s="314"/>
      <c r="DK200" s="314"/>
      <c r="DL200" s="314"/>
      <c r="DM200" s="314"/>
      <c r="DN200" s="314"/>
      <c r="DO200" s="314"/>
      <c r="DP200" s="314"/>
      <c r="DQ200" s="314"/>
      <c r="DR200" s="314"/>
      <c r="DS200" s="314"/>
      <c r="DT200" s="314"/>
      <c r="DU200" s="314"/>
      <c r="DV200" s="314"/>
      <c r="DW200" s="314"/>
      <c r="DX200" s="314"/>
      <c r="DY200" s="314"/>
      <c r="DZ200" s="314"/>
      <c r="EA200" s="314"/>
      <c r="EB200" s="314"/>
      <c r="EC200" s="314"/>
      <c r="ED200" s="314"/>
      <c r="EE200" s="314"/>
      <c r="EF200" s="314"/>
      <c r="EG200" s="314"/>
      <c r="EH200" s="314"/>
      <c r="EI200" s="314"/>
      <c r="EJ200" s="314"/>
      <c r="EK200" s="314"/>
      <c r="EL200" s="356"/>
      <c r="EM200" s="269"/>
      <c r="EN200" s="269"/>
      <c r="EO200" s="269"/>
      <c r="EP200" s="269"/>
      <c r="EQ200" s="358"/>
    </row>
    <row r="201" spans="1:150" s="243" customFormat="1" ht="11.25" customHeight="1">
      <c r="A201" s="243">
        <v>8</v>
      </c>
      <c r="B201" s="343"/>
      <c r="C201" s="1781">
        <f>A201</f>
        <v>8</v>
      </c>
      <c r="D201" s="1781"/>
      <c r="E201" s="344" t="s">
        <v>884</v>
      </c>
      <c r="F201" s="240"/>
      <c r="G201" s="240"/>
      <c r="H201" s="240"/>
      <c r="I201" s="240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345"/>
      <c r="EM201" s="242" t="e">
        <f>EM244</f>
        <v>#REF!</v>
      </c>
      <c r="EN201" s="242" t="e">
        <f>EN244</f>
        <v>#REF!</v>
      </c>
      <c r="EO201" s="242" t="e">
        <f>EO244</f>
        <v>#REF!</v>
      </c>
      <c r="EP201" s="242" t="e">
        <f>EP244</f>
        <v>#REF!</v>
      </c>
      <c r="EQ201" s="312" t="s">
        <v>903</v>
      </c>
      <c r="ES201" s="800">
        <f>A201</f>
        <v>8</v>
      </c>
      <c r="ET201" s="226"/>
    </row>
    <row r="202" spans="1:150" s="243" customFormat="1" ht="11.25" customHeight="1">
      <c r="B202" s="343"/>
      <c r="C202" s="240"/>
      <c r="D202" s="240"/>
      <c r="E202" s="240"/>
      <c r="F202" s="240"/>
      <c r="G202" s="240"/>
      <c r="H202" s="240"/>
      <c r="I202" s="240"/>
      <c r="J202" s="240"/>
      <c r="K202" s="240"/>
      <c r="L202" s="240"/>
      <c r="M202" s="240"/>
      <c r="N202" s="240"/>
      <c r="O202" s="240"/>
      <c r="P202" s="240"/>
      <c r="Q202" s="240"/>
      <c r="R202" s="240"/>
      <c r="S202" s="240"/>
      <c r="T202" s="240"/>
      <c r="U202" s="240"/>
      <c r="V202" s="240"/>
      <c r="W202" s="240"/>
      <c r="X202" s="240"/>
      <c r="Y202" s="240"/>
      <c r="Z202" s="240"/>
      <c r="AA202" s="240"/>
      <c r="AB202" s="240"/>
      <c r="AC202" s="240"/>
      <c r="AD202" s="240"/>
      <c r="AE202" s="240"/>
      <c r="AF202" s="240"/>
      <c r="AG202" s="240"/>
      <c r="AH202" s="240"/>
      <c r="AI202" s="240"/>
      <c r="AJ202" s="240"/>
      <c r="AK202" s="240"/>
      <c r="AL202" s="240"/>
      <c r="AM202" s="240"/>
      <c r="AN202" s="240"/>
      <c r="AO202" s="240"/>
      <c r="AP202" s="240"/>
      <c r="AQ202" s="240"/>
      <c r="AR202" s="240"/>
      <c r="AS202" s="240"/>
      <c r="AT202" s="240"/>
      <c r="AU202" s="240"/>
      <c r="AV202" s="240"/>
      <c r="AW202" s="240"/>
      <c r="AX202" s="240"/>
      <c r="AY202" s="240"/>
      <c r="AZ202" s="240"/>
      <c r="BA202" s="240"/>
      <c r="BB202" s="240"/>
      <c r="BC202" s="240"/>
      <c r="BD202" s="240"/>
      <c r="BE202" s="240"/>
      <c r="BF202" s="240"/>
      <c r="BG202" s="240"/>
      <c r="BH202" s="240"/>
      <c r="BI202" s="240"/>
      <c r="BJ202" s="240"/>
      <c r="BK202" s="240"/>
      <c r="BL202" s="240"/>
      <c r="BM202" s="240"/>
      <c r="BN202" s="240"/>
      <c r="BO202" s="240"/>
      <c r="BP202" s="240"/>
      <c r="BQ202" s="240"/>
      <c r="BR202" s="240"/>
      <c r="BS202" s="240"/>
      <c r="BT202" s="240"/>
      <c r="BU202" s="240"/>
      <c r="BV202" s="240"/>
      <c r="BW202" s="240"/>
      <c r="BX202" s="240"/>
      <c r="BY202" s="240"/>
      <c r="BZ202" s="240"/>
      <c r="CA202" s="240"/>
      <c r="CB202" s="240"/>
      <c r="CC202" s="240"/>
      <c r="CD202" s="240"/>
      <c r="CE202" s="240"/>
      <c r="CF202" s="240"/>
      <c r="CG202" s="240"/>
      <c r="CH202" s="240"/>
      <c r="CI202" s="240"/>
      <c r="CJ202" s="240"/>
      <c r="CK202" s="240"/>
      <c r="CL202" s="240"/>
      <c r="CM202" s="240"/>
      <c r="CN202" s="240"/>
      <c r="CO202" s="240"/>
      <c r="CP202" s="240"/>
      <c r="CQ202" s="240"/>
      <c r="CR202" s="240"/>
      <c r="CS202" s="240"/>
      <c r="CT202" s="240"/>
      <c r="CU202" s="240"/>
      <c r="CV202" s="240"/>
      <c r="CW202" s="240"/>
      <c r="CX202" s="240"/>
      <c r="CY202" s="240"/>
      <c r="CZ202" s="241"/>
      <c r="DA202" s="241"/>
      <c r="DB202" s="241"/>
      <c r="DC202" s="241"/>
      <c r="DD202" s="241"/>
      <c r="DE202" s="241"/>
      <c r="DF202" s="241"/>
      <c r="DG202" s="241"/>
      <c r="DH202" s="241"/>
      <c r="DI202" s="241"/>
      <c r="DJ202" s="241"/>
      <c r="DK202" s="241"/>
      <c r="DL202" s="241"/>
      <c r="DM202" s="241"/>
      <c r="DN202" s="241"/>
      <c r="DO202" s="241"/>
      <c r="DP202" s="241"/>
      <c r="DQ202" s="241"/>
      <c r="DR202" s="241"/>
      <c r="DS202" s="241"/>
      <c r="DT202" s="241"/>
      <c r="DU202" s="241"/>
      <c r="DV202" s="241"/>
      <c r="DW202" s="241"/>
      <c r="DX202" s="241"/>
      <c r="DY202" s="241"/>
      <c r="DZ202" s="241"/>
      <c r="EA202" s="241"/>
      <c r="EB202" s="241"/>
      <c r="EC202" s="241"/>
      <c r="ED202" s="241"/>
      <c r="EE202" s="241"/>
      <c r="EF202" s="241"/>
      <c r="EG202" s="241"/>
      <c r="EH202" s="241"/>
      <c r="EI202" s="241"/>
      <c r="EJ202" s="241"/>
      <c r="EK202" s="241"/>
      <c r="EL202" s="345"/>
      <c r="EM202" s="245"/>
      <c r="EN202" s="245"/>
      <c r="EO202" s="245"/>
      <c r="EP202" s="245"/>
      <c r="EQ202" s="351"/>
    </row>
    <row r="203" spans="1:150" s="243" customFormat="1" ht="11.25" customHeight="1">
      <c r="B203" s="343"/>
      <c r="C203" s="240"/>
      <c r="D203" s="240"/>
      <c r="E203" s="240" t="s">
        <v>674</v>
      </c>
      <c r="F203" s="240"/>
      <c r="G203" s="240"/>
      <c r="H203" s="240" t="s">
        <v>557</v>
      </c>
      <c r="I203" s="240"/>
      <c r="J203" s="240"/>
      <c r="K203" s="240" t="s">
        <v>96</v>
      </c>
      <c r="L203" s="240"/>
      <c r="M203" s="240"/>
      <c r="N203" s="240" t="s">
        <v>147</v>
      </c>
      <c r="O203" s="240" t="s">
        <v>552</v>
      </c>
      <c r="P203" s="240"/>
      <c r="Q203" s="240" t="s">
        <v>657</v>
      </c>
      <c r="R203" s="240" t="s">
        <v>148</v>
      </c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40"/>
      <c r="CA203" s="240"/>
      <c r="CB203" s="240"/>
      <c r="CC203" s="240"/>
      <c r="CD203" s="240"/>
      <c r="CE203" s="240"/>
      <c r="CF203" s="240"/>
      <c r="CG203" s="240"/>
      <c r="CH203" s="240"/>
      <c r="CI203" s="240"/>
      <c r="CJ203" s="240"/>
      <c r="CK203" s="240"/>
      <c r="CL203" s="240"/>
      <c r="CM203" s="240"/>
      <c r="CN203" s="240"/>
      <c r="CO203" s="240"/>
      <c r="CP203" s="240"/>
      <c r="CQ203" s="240"/>
      <c r="CR203" s="240"/>
      <c r="CS203" s="240"/>
      <c r="CT203" s="240"/>
      <c r="CU203" s="240"/>
      <c r="CV203" s="240"/>
      <c r="CW203" s="240"/>
      <c r="CX203" s="240"/>
      <c r="CY203" s="240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41"/>
      <c r="DU203" s="241"/>
      <c r="DV203" s="241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345"/>
      <c r="EM203" s="245"/>
      <c r="EN203" s="245"/>
      <c r="EO203" s="245"/>
      <c r="EP203" s="245"/>
      <c r="EQ203" s="351"/>
    </row>
    <row r="204" spans="1:150" s="243" customFormat="1" ht="11.25" customHeight="1">
      <c r="B204" s="343"/>
      <c r="C204" s="240"/>
      <c r="D204" s="240"/>
      <c r="E204" s="240"/>
      <c r="F204" s="240"/>
      <c r="G204" s="240"/>
      <c r="H204" s="240"/>
      <c r="I204" s="240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240"/>
      <c r="CD204" s="240"/>
      <c r="CE204" s="240"/>
      <c r="CF204" s="240"/>
      <c r="CG204" s="240"/>
      <c r="CH204" s="240"/>
      <c r="CI204" s="240"/>
      <c r="CJ204" s="240"/>
      <c r="CK204" s="240"/>
      <c r="CL204" s="240"/>
      <c r="CM204" s="240"/>
      <c r="CN204" s="240"/>
      <c r="CO204" s="240"/>
      <c r="CP204" s="240"/>
      <c r="CQ204" s="240"/>
      <c r="CR204" s="240"/>
      <c r="CS204" s="240"/>
      <c r="CT204" s="240"/>
      <c r="CU204" s="240"/>
      <c r="CV204" s="240"/>
      <c r="CW204" s="240"/>
      <c r="CX204" s="240"/>
      <c r="CY204" s="240"/>
      <c r="CZ204" s="241"/>
      <c r="DA204" s="241"/>
      <c r="DB204" s="241"/>
      <c r="DC204" s="241"/>
      <c r="DD204" s="241"/>
      <c r="DE204" s="241"/>
      <c r="DF204" s="241"/>
      <c r="DG204" s="241"/>
      <c r="DH204" s="241"/>
      <c r="DI204" s="241"/>
      <c r="DJ204" s="241"/>
      <c r="DK204" s="241"/>
      <c r="DL204" s="241"/>
      <c r="DM204" s="241"/>
      <c r="DN204" s="241"/>
      <c r="DO204" s="241"/>
      <c r="DP204" s="241"/>
      <c r="DQ204" s="241"/>
      <c r="DR204" s="241"/>
      <c r="DS204" s="241"/>
      <c r="DT204" s="241"/>
      <c r="DU204" s="241"/>
      <c r="DV204" s="241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345"/>
      <c r="EM204" s="245"/>
      <c r="EN204" s="245"/>
      <c r="EO204" s="245"/>
      <c r="EP204" s="245"/>
      <c r="EQ204" s="351"/>
    </row>
    <row r="205" spans="1:150" s="243" customFormat="1" ht="11.25" customHeight="1">
      <c r="B205" s="343"/>
      <c r="C205" s="240"/>
      <c r="D205" s="240"/>
      <c r="E205" s="240"/>
      <c r="F205" s="240"/>
      <c r="G205" s="240"/>
      <c r="H205" s="240" t="s">
        <v>691</v>
      </c>
      <c r="I205" s="240"/>
      <c r="J205" s="240"/>
      <c r="K205" s="240"/>
      <c r="L205" s="240"/>
      <c r="M205" s="240"/>
      <c r="N205" s="240"/>
      <c r="O205" s="240"/>
      <c r="P205" s="240"/>
      <c r="Q205" s="240"/>
      <c r="R205" s="240" t="s">
        <v>827</v>
      </c>
      <c r="S205" s="240"/>
      <c r="T205" s="240"/>
      <c r="U205" s="240"/>
      <c r="V205" s="240"/>
      <c r="W205" s="240"/>
      <c r="X205" s="240"/>
      <c r="Y205" s="240"/>
      <c r="Z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0"/>
      <c r="BZ205" s="240"/>
      <c r="CA205" s="240"/>
      <c r="CB205" s="240"/>
      <c r="CC205" s="240"/>
      <c r="CD205" s="240"/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1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345"/>
      <c r="EM205" s="245"/>
      <c r="EN205" s="245"/>
      <c r="EO205" s="245"/>
      <c r="EP205" s="245"/>
      <c r="EQ205" s="351"/>
    </row>
    <row r="206" spans="1:150" s="243" customFormat="1" ht="11.25" customHeight="1">
      <c r="B206" s="343"/>
      <c r="C206" s="240"/>
      <c r="D206" s="240"/>
      <c r="E206" s="240"/>
      <c r="F206" s="240"/>
      <c r="G206" s="240"/>
      <c r="H206" s="240"/>
      <c r="I206" s="240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0"/>
      <c r="BZ206" s="240"/>
      <c r="CA206" s="240"/>
      <c r="CB206" s="240"/>
      <c r="CC206" s="240"/>
      <c r="CD206" s="240"/>
      <c r="CE206" s="240"/>
      <c r="CF206" s="240"/>
      <c r="CG206" s="240"/>
      <c r="CH206" s="240"/>
      <c r="CI206" s="240"/>
      <c r="CJ206" s="240"/>
      <c r="CK206" s="240"/>
      <c r="CL206" s="240"/>
      <c r="CM206" s="240"/>
      <c r="CN206" s="240"/>
      <c r="CO206" s="240"/>
      <c r="CP206" s="240"/>
      <c r="CQ206" s="240"/>
      <c r="CR206" s="240"/>
      <c r="CS206" s="240"/>
      <c r="CT206" s="240"/>
      <c r="CU206" s="240"/>
      <c r="CV206" s="240"/>
      <c r="CW206" s="240"/>
      <c r="CX206" s="240"/>
      <c r="CY206" s="240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1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345"/>
      <c r="EM206" s="245"/>
      <c r="EN206" s="245"/>
      <c r="EO206" s="245"/>
      <c r="EP206" s="245"/>
      <c r="EQ206" s="351"/>
    </row>
    <row r="207" spans="1:150" s="243" customFormat="1" ht="11.25" customHeight="1">
      <c r="B207" s="343"/>
      <c r="C207" s="240"/>
      <c r="D207" s="240"/>
      <c r="E207" s="240"/>
      <c r="F207" s="240"/>
      <c r="G207" s="240"/>
      <c r="H207" s="240" t="s">
        <v>773</v>
      </c>
      <c r="I207" s="240"/>
      <c r="J207" s="240" t="s">
        <v>134</v>
      </c>
      <c r="K207" s="240"/>
      <c r="L207" s="240" t="str">
        <f>TEXT(0.2,"#,##0.#######")</f>
        <v>0.2</v>
      </c>
      <c r="M207" s="240"/>
      <c r="N207" s="240"/>
      <c r="O207" s="240" t="s">
        <v>91</v>
      </c>
      <c r="P207" s="240"/>
      <c r="Q207" s="240"/>
      <c r="R207" s="240"/>
      <c r="S207" s="240"/>
      <c r="T207" s="240"/>
      <c r="U207" s="240"/>
      <c r="V207" s="240"/>
      <c r="W207" s="240" t="s">
        <v>774</v>
      </c>
      <c r="X207" s="240"/>
      <c r="Y207" s="240" t="s">
        <v>134</v>
      </c>
      <c r="Z207" s="240"/>
      <c r="AA207" s="240" t="str">
        <f>TEXT(0.98,"#,##0.#######")</f>
        <v>0.98</v>
      </c>
      <c r="AB207" s="240"/>
      <c r="AC207" s="240"/>
      <c r="AD207" s="240"/>
      <c r="AE207" s="240"/>
      <c r="AF207" s="240" t="s">
        <v>139</v>
      </c>
      <c r="AG207" s="240"/>
      <c r="AH207" s="240" t="str">
        <f>TEXT(1.24,"#,##0.#######")</f>
        <v>1.24</v>
      </c>
      <c r="AI207" s="240"/>
      <c r="AJ207" s="240"/>
      <c r="AK207" s="240"/>
      <c r="AL207" s="240"/>
      <c r="AM207" s="240" t="s">
        <v>134</v>
      </c>
      <c r="AN207" s="240"/>
      <c r="AO207" s="240" t="str">
        <f>TEXT(ROUND(AA207/AH207,2),"#,##0.#######")</f>
        <v>0.79</v>
      </c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 t="s">
        <v>775</v>
      </c>
      <c r="BA207" s="240"/>
      <c r="BB207" s="240" t="s">
        <v>134</v>
      </c>
      <c r="BC207" s="240"/>
      <c r="BD207" s="240" t="str">
        <f>TEXT(1.1,"#,##0.#######")</f>
        <v>1.1</v>
      </c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  <c r="BT207" s="240"/>
      <c r="BU207" s="240"/>
      <c r="BV207" s="240"/>
      <c r="BW207" s="240"/>
      <c r="BX207" s="240"/>
      <c r="BY207" s="240"/>
      <c r="BZ207" s="240"/>
      <c r="CA207" s="240"/>
      <c r="CB207" s="240"/>
      <c r="CC207" s="240"/>
      <c r="CD207" s="240"/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1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345"/>
      <c r="EM207" s="245"/>
      <c r="EN207" s="245"/>
      <c r="EO207" s="245"/>
      <c r="EP207" s="245"/>
      <c r="EQ207" s="351"/>
    </row>
    <row r="208" spans="1:150" s="243" customFormat="1" ht="11.25" customHeight="1">
      <c r="B208" s="343"/>
      <c r="C208" s="240"/>
      <c r="D208" s="240"/>
      <c r="E208" s="240"/>
      <c r="F208" s="240"/>
      <c r="G208" s="240"/>
      <c r="H208" s="240"/>
      <c r="I208" s="240"/>
      <c r="J208" s="240"/>
      <c r="K208" s="240"/>
      <c r="L208" s="240"/>
      <c r="M208" s="240"/>
      <c r="N208" s="240"/>
      <c r="O208" s="240"/>
      <c r="P208" s="240"/>
      <c r="Q208" s="240"/>
      <c r="R208" s="240"/>
      <c r="S208" s="240"/>
      <c r="T208" s="240"/>
      <c r="U208" s="240"/>
      <c r="V208" s="240"/>
      <c r="W208" s="240"/>
      <c r="X208" s="240"/>
      <c r="Y208" s="240"/>
      <c r="Z208" s="240"/>
      <c r="AA208" s="240"/>
      <c r="AB208" s="240"/>
      <c r="AC208" s="240"/>
      <c r="AD208" s="240"/>
      <c r="AE208" s="240"/>
      <c r="AF208" s="240"/>
      <c r="AG208" s="240"/>
      <c r="AH208" s="240"/>
      <c r="AI208" s="240"/>
      <c r="AJ208" s="240"/>
      <c r="AK208" s="240"/>
      <c r="AL208" s="240"/>
      <c r="AM208" s="240"/>
      <c r="AN208" s="240"/>
      <c r="AO208" s="240"/>
      <c r="AP208" s="240"/>
      <c r="AQ208" s="240"/>
      <c r="AR208" s="240"/>
      <c r="AS208" s="240"/>
      <c r="AT208" s="240"/>
      <c r="AU208" s="240"/>
      <c r="AV208" s="240"/>
      <c r="AW208" s="240"/>
      <c r="AX208" s="240"/>
      <c r="AY208" s="240"/>
      <c r="AZ208" s="240"/>
      <c r="BA208" s="240"/>
      <c r="BB208" s="240"/>
      <c r="BC208" s="240"/>
      <c r="BD208" s="240"/>
      <c r="BE208" s="240"/>
      <c r="BF208" s="240"/>
      <c r="BG208" s="240"/>
      <c r="BH208" s="240"/>
      <c r="BI208" s="240"/>
      <c r="BJ208" s="240"/>
      <c r="BK208" s="240"/>
      <c r="BL208" s="240"/>
      <c r="BM208" s="240"/>
      <c r="BN208" s="240"/>
      <c r="BO208" s="240"/>
      <c r="BP208" s="240"/>
      <c r="BQ208" s="240"/>
      <c r="BR208" s="240"/>
      <c r="BS208" s="240"/>
      <c r="BT208" s="240"/>
      <c r="BU208" s="240"/>
      <c r="BV208" s="240"/>
      <c r="BW208" s="240"/>
      <c r="BX208" s="240"/>
      <c r="BY208" s="240"/>
      <c r="BZ208" s="240"/>
      <c r="CA208" s="240"/>
      <c r="CB208" s="240"/>
      <c r="CC208" s="240"/>
      <c r="CD208" s="240"/>
      <c r="CE208" s="240"/>
      <c r="CF208" s="240"/>
      <c r="CG208" s="240"/>
      <c r="CH208" s="240"/>
      <c r="CI208" s="240"/>
      <c r="CJ208" s="240"/>
      <c r="CK208" s="240"/>
      <c r="CL208" s="240"/>
      <c r="CM208" s="240"/>
      <c r="CN208" s="240"/>
      <c r="CO208" s="240"/>
      <c r="CP208" s="240"/>
      <c r="CQ208" s="240"/>
      <c r="CR208" s="240"/>
      <c r="CS208" s="240"/>
      <c r="CT208" s="240"/>
      <c r="CU208" s="240"/>
      <c r="CV208" s="240"/>
      <c r="CW208" s="240"/>
      <c r="CX208" s="240"/>
      <c r="CY208" s="240"/>
      <c r="CZ208" s="241"/>
      <c r="DA208" s="241"/>
      <c r="DB208" s="241"/>
      <c r="DC208" s="241"/>
      <c r="DD208" s="241"/>
      <c r="DE208" s="241"/>
      <c r="DF208" s="241"/>
      <c r="DG208" s="241"/>
      <c r="DH208" s="241"/>
      <c r="DI208" s="241"/>
      <c r="DJ208" s="241"/>
      <c r="DK208" s="241"/>
      <c r="DL208" s="241"/>
      <c r="DM208" s="241"/>
      <c r="DN208" s="241"/>
      <c r="DO208" s="241"/>
      <c r="DP208" s="241"/>
      <c r="DQ208" s="241"/>
      <c r="DR208" s="241"/>
      <c r="DS208" s="241"/>
      <c r="DT208" s="241"/>
      <c r="DU208" s="241"/>
      <c r="DV208" s="241"/>
      <c r="DW208" s="241"/>
      <c r="DX208" s="241"/>
      <c r="DY208" s="241"/>
      <c r="DZ208" s="241"/>
      <c r="EA208" s="241"/>
      <c r="EB208" s="241"/>
      <c r="EC208" s="241"/>
      <c r="ED208" s="241"/>
      <c r="EE208" s="241"/>
      <c r="EF208" s="241"/>
      <c r="EG208" s="241"/>
      <c r="EH208" s="241"/>
      <c r="EI208" s="241"/>
      <c r="EJ208" s="241"/>
      <c r="EK208" s="241"/>
      <c r="EL208" s="345"/>
      <c r="EM208" s="245"/>
      <c r="EN208" s="245"/>
      <c r="EO208" s="245"/>
      <c r="EP208" s="245"/>
      <c r="EQ208" s="351"/>
    </row>
    <row r="209" spans="2:147" s="243" customFormat="1" ht="11.25" customHeight="1">
      <c r="B209" s="343"/>
      <c r="C209" s="240"/>
      <c r="D209" s="240"/>
      <c r="E209" s="240"/>
      <c r="F209" s="240"/>
      <c r="G209" s="240"/>
      <c r="H209" s="240" t="s">
        <v>692</v>
      </c>
      <c r="I209" s="240"/>
      <c r="J209" s="240" t="s">
        <v>134</v>
      </c>
      <c r="K209" s="240"/>
      <c r="L209" s="240" t="s">
        <v>147</v>
      </c>
      <c r="M209" s="240" t="str">
        <f>TEXT(0.75,"#,##0.#######")</f>
        <v>0.75</v>
      </c>
      <c r="N209" s="240"/>
      <c r="O209" s="240"/>
      <c r="P209" s="240"/>
      <c r="Q209" s="240" t="s">
        <v>130</v>
      </c>
      <c r="R209" s="240" t="str">
        <f>TEXT(0.65,"#,##0.#######")</f>
        <v>0.65</v>
      </c>
      <c r="S209" s="240"/>
      <c r="T209" s="240"/>
      <c r="U209" s="240"/>
      <c r="V209" s="240" t="s">
        <v>148</v>
      </c>
      <c r="W209" s="240" t="s">
        <v>139</v>
      </c>
      <c r="X209" s="240" t="str">
        <f>TEXT(2,"#,##0.#######")</f>
        <v>2.</v>
      </c>
      <c r="Y209" s="240"/>
      <c r="Z209" s="240" t="s">
        <v>134</v>
      </c>
      <c r="AA209" s="240"/>
      <c r="AB209" s="240" t="str">
        <f>TEXT(ROUND((M209+R209)/X209,2),"#,##0.#######")</f>
        <v>0.7</v>
      </c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 t="s">
        <v>693</v>
      </c>
      <c r="AM209" s="240"/>
      <c r="AN209" s="240"/>
      <c r="AO209" s="240" t="s">
        <v>134</v>
      </c>
      <c r="AP209" s="240"/>
      <c r="AQ209" s="240" t="str">
        <f>TEXT(18,"#,##0.#######")</f>
        <v>18.</v>
      </c>
      <c r="AR209" s="240"/>
      <c r="AS209" s="240" t="s">
        <v>776</v>
      </c>
      <c r="AT209" s="240"/>
      <c r="AU209" s="240"/>
      <c r="AV209" s="240"/>
      <c r="AW209" s="240" t="s">
        <v>147</v>
      </c>
      <c r="AX209" s="240" t="s">
        <v>553</v>
      </c>
      <c r="AY209" s="240"/>
      <c r="AZ209" s="240"/>
      <c r="BA209" s="240" t="s">
        <v>777</v>
      </c>
      <c r="BB209" s="240"/>
      <c r="BC209" s="240" t="s">
        <v>148</v>
      </c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0"/>
      <c r="BZ209" s="240"/>
      <c r="CA209" s="240"/>
      <c r="CB209" s="240"/>
      <c r="CC209" s="240"/>
      <c r="CD209" s="240"/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1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345"/>
      <c r="EM209" s="245"/>
      <c r="EN209" s="245"/>
      <c r="EO209" s="245"/>
      <c r="EP209" s="245"/>
      <c r="EQ209" s="351"/>
    </row>
    <row r="210" spans="2:147" s="243" customFormat="1" ht="11.25" customHeight="1">
      <c r="B210" s="343"/>
      <c r="C210" s="240"/>
      <c r="D210" s="240"/>
      <c r="E210" s="240"/>
      <c r="F210" s="240"/>
      <c r="G210" s="240"/>
      <c r="H210" s="240"/>
      <c r="I210" s="240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  <c r="BT210" s="240"/>
      <c r="BU210" s="240"/>
      <c r="BV210" s="240"/>
      <c r="BW210" s="240"/>
      <c r="BX210" s="240"/>
      <c r="BY210" s="240"/>
      <c r="BZ210" s="240"/>
      <c r="CA210" s="240"/>
      <c r="CB210" s="240"/>
      <c r="CC210" s="240"/>
      <c r="CD210" s="240"/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1"/>
      <c r="DA210" s="241"/>
      <c r="DB210" s="241"/>
      <c r="DC210" s="241"/>
      <c r="DD210" s="241"/>
      <c r="DE210" s="241"/>
      <c r="DF210" s="241"/>
      <c r="DG210" s="241"/>
      <c r="DH210" s="241"/>
      <c r="DI210" s="241"/>
      <c r="DJ210" s="241"/>
      <c r="DK210" s="241"/>
      <c r="DL210" s="241"/>
      <c r="DM210" s="241"/>
      <c r="DN210" s="241"/>
      <c r="DO210" s="241"/>
      <c r="DP210" s="241"/>
      <c r="DQ210" s="241"/>
      <c r="DR210" s="241"/>
      <c r="DS210" s="241"/>
      <c r="DT210" s="241"/>
      <c r="DU210" s="241"/>
      <c r="DV210" s="241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345"/>
      <c r="EM210" s="245"/>
      <c r="EN210" s="245"/>
      <c r="EO210" s="245"/>
      <c r="EP210" s="245"/>
      <c r="EQ210" s="351"/>
    </row>
    <row r="211" spans="2:147" s="243" customFormat="1" ht="11.25" customHeight="1">
      <c r="B211" s="343"/>
      <c r="C211" s="240"/>
      <c r="D211" s="240"/>
      <c r="E211" s="240"/>
      <c r="F211" s="240"/>
      <c r="G211" s="240"/>
      <c r="H211" s="240"/>
      <c r="I211" s="240"/>
      <c r="J211" s="240"/>
      <c r="K211" s="240"/>
      <c r="L211" s="240"/>
      <c r="M211" s="240" t="str">
        <f>TEXT(3600,"#,##0.#######")</f>
        <v>3,600.</v>
      </c>
      <c r="N211" s="240"/>
      <c r="O211" s="240"/>
      <c r="P211" s="240"/>
      <c r="Q211" s="240"/>
      <c r="R211" s="240" t="s">
        <v>652</v>
      </c>
      <c r="S211" s="240"/>
      <c r="T211" s="240" t="s">
        <v>773</v>
      </c>
      <c r="U211" s="240" t="s">
        <v>652</v>
      </c>
      <c r="V211" s="240"/>
      <c r="W211" s="240" t="s">
        <v>775</v>
      </c>
      <c r="X211" s="240" t="s">
        <v>652</v>
      </c>
      <c r="Y211" s="240"/>
      <c r="Z211" s="240" t="s">
        <v>774</v>
      </c>
      <c r="AA211" s="240" t="s">
        <v>652</v>
      </c>
      <c r="AB211" s="240"/>
      <c r="AC211" s="240" t="s">
        <v>692</v>
      </c>
      <c r="AD211" s="240"/>
      <c r="AE211" s="240"/>
      <c r="AF211" s="240"/>
      <c r="AG211" s="240"/>
      <c r="AH211" s="240"/>
      <c r="AI211" s="240"/>
      <c r="AJ211" s="240" t="str">
        <f>TEXT(M211,"#,##0.#######")</f>
        <v>3,600.</v>
      </c>
      <c r="AK211" s="240"/>
      <c r="AL211" s="240"/>
      <c r="AM211" s="240"/>
      <c r="AN211" s="240"/>
      <c r="AO211" s="240" t="s">
        <v>652</v>
      </c>
      <c r="AP211" s="240"/>
      <c r="AQ211" s="240" t="str">
        <f>TEXT(L207,"#,##0.#######")</f>
        <v>0.2</v>
      </c>
      <c r="AR211" s="240"/>
      <c r="AS211" s="240"/>
      <c r="AT211" s="240" t="s">
        <v>652</v>
      </c>
      <c r="AU211" s="240"/>
      <c r="AV211" s="240" t="str">
        <f>TEXT(BD207,"#,##0.#######")</f>
        <v>1.1</v>
      </c>
      <c r="AW211" s="240"/>
      <c r="AX211" s="240"/>
      <c r="AY211" s="240" t="s">
        <v>652</v>
      </c>
      <c r="AZ211" s="240"/>
      <c r="BA211" s="240" t="str">
        <f>TEXT(AO207,"#,##0.#######")</f>
        <v>0.79</v>
      </c>
      <c r="BB211" s="240"/>
      <c r="BC211" s="240"/>
      <c r="BD211" s="240"/>
      <c r="BE211" s="240" t="s">
        <v>652</v>
      </c>
      <c r="BF211" s="240"/>
      <c r="BG211" s="240" t="str">
        <f>TEXT(AB209,"#,##0.#######")</f>
        <v>0.7</v>
      </c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  <c r="BT211" s="240"/>
      <c r="BU211" s="240"/>
      <c r="BV211" s="240"/>
      <c r="BW211" s="240"/>
      <c r="BX211" s="240"/>
      <c r="BY211" s="240"/>
      <c r="BZ211" s="240"/>
      <c r="CA211" s="240"/>
      <c r="CB211" s="240"/>
      <c r="CC211" s="240"/>
      <c r="CD211" s="240"/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1"/>
      <c r="DA211" s="241"/>
      <c r="DB211" s="241"/>
      <c r="DC211" s="241"/>
      <c r="DD211" s="241"/>
      <c r="DE211" s="241"/>
      <c r="DF211" s="241"/>
      <c r="DG211" s="241"/>
      <c r="DH211" s="241"/>
      <c r="DI211" s="241"/>
      <c r="DJ211" s="241"/>
      <c r="DK211" s="241"/>
      <c r="DL211" s="241"/>
      <c r="DM211" s="241"/>
      <c r="DN211" s="241"/>
      <c r="DO211" s="241"/>
      <c r="DP211" s="241"/>
      <c r="DQ211" s="241"/>
      <c r="DR211" s="241"/>
      <c r="DS211" s="241"/>
      <c r="DT211" s="241"/>
      <c r="DU211" s="241"/>
      <c r="DV211" s="241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345"/>
      <c r="EM211" s="245"/>
      <c r="EN211" s="245"/>
      <c r="EO211" s="245"/>
      <c r="EP211" s="245"/>
      <c r="EQ211" s="351"/>
    </row>
    <row r="212" spans="2:147" s="243" customFormat="1" ht="11.25" customHeight="1">
      <c r="B212" s="343"/>
      <c r="C212" s="240"/>
      <c r="D212" s="240"/>
      <c r="E212" s="240"/>
      <c r="F212" s="240"/>
      <c r="G212" s="240"/>
      <c r="H212" s="240" t="s">
        <v>687</v>
      </c>
      <c r="I212" s="240"/>
      <c r="J212" s="240" t="s">
        <v>134</v>
      </c>
      <c r="K212" s="240"/>
      <c r="L212" s="240" t="s">
        <v>694</v>
      </c>
      <c r="M212" s="240"/>
      <c r="N212" s="240" t="s">
        <v>694</v>
      </c>
      <c r="O212" s="240"/>
      <c r="P212" s="240" t="s">
        <v>694</v>
      </c>
      <c r="Q212" s="240"/>
      <c r="R212" s="240" t="s">
        <v>694</v>
      </c>
      <c r="S212" s="240"/>
      <c r="T212" s="240" t="s">
        <v>694</v>
      </c>
      <c r="U212" s="240"/>
      <c r="V212" s="240" t="s">
        <v>694</v>
      </c>
      <c r="W212" s="240"/>
      <c r="X212" s="240" t="s">
        <v>694</v>
      </c>
      <c r="Y212" s="240"/>
      <c r="Z212" s="240" t="s">
        <v>694</v>
      </c>
      <c r="AA212" s="240"/>
      <c r="AB212" s="240" t="s">
        <v>694</v>
      </c>
      <c r="AC212" s="240"/>
      <c r="AD212" s="240" t="s">
        <v>694</v>
      </c>
      <c r="AE212" s="240"/>
      <c r="AF212" s="240"/>
      <c r="AG212" s="240" t="s">
        <v>134</v>
      </c>
      <c r="AH212" s="240"/>
      <c r="AI212" s="240" t="s">
        <v>694</v>
      </c>
      <c r="AJ212" s="240"/>
      <c r="AK212" s="240" t="s">
        <v>694</v>
      </c>
      <c r="AL212" s="240"/>
      <c r="AM212" s="240" t="s">
        <v>694</v>
      </c>
      <c r="AN212" s="240"/>
      <c r="AO212" s="240" t="s">
        <v>694</v>
      </c>
      <c r="AP212" s="240"/>
      <c r="AQ212" s="240" t="s">
        <v>694</v>
      </c>
      <c r="AR212" s="240"/>
      <c r="AS212" s="240" t="s">
        <v>694</v>
      </c>
      <c r="AT212" s="240"/>
      <c r="AU212" s="240" t="s">
        <v>694</v>
      </c>
      <c r="AV212" s="240"/>
      <c r="AW212" s="240" t="s">
        <v>694</v>
      </c>
      <c r="AX212" s="240"/>
      <c r="AY212" s="240" t="s">
        <v>694</v>
      </c>
      <c r="AZ212" s="240"/>
      <c r="BA212" s="240" t="s">
        <v>694</v>
      </c>
      <c r="BB212" s="240"/>
      <c r="BC212" s="240" t="s">
        <v>694</v>
      </c>
      <c r="BD212" s="240"/>
      <c r="BE212" s="240" t="s">
        <v>694</v>
      </c>
      <c r="BF212" s="240"/>
      <c r="BG212" s="240" t="s">
        <v>694</v>
      </c>
      <c r="BH212" s="240"/>
      <c r="BI212" s="240" t="s">
        <v>694</v>
      </c>
      <c r="BJ212" s="240"/>
      <c r="BK212" s="240" t="s">
        <v>134</v>
      </c>
      <c r="BL212" s="240" t="str">
        <f>TEXT(ROUND((3600*L207*BD207*AO207*AB209)/(AQ209),2),"#,##0.#######")</f>
        <v>24.33</v>
      </c>
      <c r="BN212" s="240"/>
      <c r="BO212" s="240" t="s">
        <v>91</v>
      </c>
      <c r="BP212" s="240"/>
      <c r="BQ212" s="240" t="s">
        <v>139</v>
      </c>
      <c r="BR212" s="240" t="s">
        <v>618</v>
      </c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1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345"/>
      <c r="EM212" s="245"/>
      <c r="EN212" s="245"/>
      <c r="EO212" s="245"/>
      <c r="EP212" s="245"/>
      <c r="EQ212" s="351"/>
    </row>
    <row r="213" spans="2:147" s="243" customFormat="1" ht="11.25" customHeight="1">
      <c r="B213" s="343"/>
      <c r="C213" s="240"/>
      <c r="D213" s="240"/>
      <c r="E213" s="240"/>
      <c r="F213" s="240"/>
      <c r="G213" s="240"/>
      <c r="H213" s="240"/>
      <c r="I213" s="240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 t="s">
        <v>693</v>
      </c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 t="str">
        <f>TEXT(AQ209,"#,##0.#######")</f>
        <v>18.</v>
      </c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1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345"/>
      <c r="EM213" s="245"/>
      <c r="EN213" s="245"/>
      <c r="EO213" s="245"/>
      <c r="EP213" s="245"/>
      <c r="EQ213" s="351"/>
    </row>
    <row r="214" spans="2:147" s="243" customFormat="1" ht="11.25" customHeight="1">
      <c r="B214" s="343"/>
      <c r="C214" s="240"/>
      <c r="D214" s="240"/>
      <c r="E214" s="240"/>
      <c r="F214" s="240"/>
      <c r="G214" s="240"/>
      <c r="H214" s="240"/>
      <c r="I214" s="240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1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345"/>
      <c r="EM214" s="245"/>
      <c r="EN214" s="245"/>
      <c r="EO214" s="245"/>
      <c r="EP214" s="245"/>
      <c r="EQ214" s="351"/>
    </row>
    <row r="215" spans="2:147" s="243" customFormat="1" ht="11.25" customHeight="1">
      <c r="B215" s="343"/>
      <c r="C215" s="240"/>
      <c r="D215" s="240"/>
      <c r="E215" s="240"/>
      <c r="F215" s="240"/>
      <c r="G215" s="240"/>
      <c r="H215" s="240" t="s">
        <v>616</v>
      </c>
      <c r="I215" s="240"/>
      <c r="J215" s="240"/>
      <c r="K215" s="240"/>
      <c r="L215" s="240"/>
      <c r="M215" s="240"/>
      <c r="N215" s="240"/>
      <c r="O215" s="240" t="s">
        <v>132</v>
      </c>
      <c r="P215" s="240"/>
      <c r="Q215" s="1780" t="e">
        <f>#REF!</f>
        <v>#REF!</v>
      </c>
      <c r="R215" s="1780"/>
      <c r="S215" s="1780"/>
      <c r="T215" s="1780"/>
      <c r="U215" s="1780"/>
      <c r="V215" s="240"/>
      <c r="W215" s="240" t="s">
        <v>683</v>
      </c>
      <c r="X215" s="240"/>
      <c r="Y215" s="240"/>
      <c r="Z215" s="240" t="str">
        <f>TEXT(BL212,"#,##0.#######")</f>
        <v>24.33</v>
      </c>
      <c r="AA215" s="240"/>
      <c r="AB215" s="240"/>
      <c r="AC215" s="240"/>
      <c r="AD215" s="240" t="s">
        <v>652</v>
      </c>
      <c r="AE215" s="240"/>
      <c r="AF215" s="240" t="str">
        <f>TEXT(0.9,"#,##0.#######")</f>
        <v>0.9</v>
      </c>
      <c r="AG215" s="240"/>
      <c r="AH215" s="240"/>
      <c r="AI215" s="240"/>
      <c r="AJ215" s="240" t="s">
        <v>134</v>
      </c>
      <c r="AK215" s="240"/>
      <c r="AL215" s="240"/>
      <c r="AM215" s="240" t="e">
        <f>TEXT(TRUNC(Q215/BL212*AF215,1),"#,##0.#")</f>
        <v>#REF!</v>
      </c>
      <c r="AN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1"/>
      <c r="DA215" s="241"/>
      <c r="DB215" s="241"/>
      <c r="DC215" s="241"/>
      <c r="DD215" s="241"/>
      <c r="DE215" s="241"/>
      <c r="DF215" s="241"/>
      <c r="DG215" s="241"/>
      <c r="DH215" s="241"/>
      <c r="DI215" s="241"/>
      <c r="DJ215" s="241"/>
      <c r="DK215" s="241"/>
      <c r="DL215" s="241"/>
      <c r="DM215" s="241"/>
      <c r="DN215" s="241"/>
      <c r="DO215" s="241"/>
      <c r="DP215" s="241"/>
      <c r="DQ215" s="241"/>
      <c r="DR215" s="241"/>
      <c r="DS215" s="241"/>
      <c r="DT215" s="241"/>
      <c r="DU215" s="241"/>
      <c r="DV215" s="241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345"/>
      <c r="EM215" s="245"/>
      <c r="EN215" s="245"/>
      <c r="EO215" s="245"/>
      <c r="EP215" s="245"/>
      <c r="EQ215" s="351"/>
    </row>
    <row r="216" spans="2:147" s="243" customFormat="1" ht="11.25" customHeight="1">
      <c r="B216" s="343"/>
      <c r="C216" s="240"/>
      <c r="D216" s="240"/>
      <c r="E216" s="240"/>
      <c r="F216" s="240"/>
      <c r="G216" s="240"/>
      <c r="H216" s="240" t="s">
        <v>617</v>
      </c>
      <c r="I216" s="240"/>
      <c r="J216" s="240"/>
      <c r="K216" s="240"/>
      <c r="L216" s="240"/>
      <c r="M216" s="240"/>
      <c r="N216" s="240"/>
      <c r="O216" s="240" t="s">
        <v>132</v>
      </c>
      <c r="P216" s="240"/>
      <c r="Q216" s="1780" t="e">
        <f>#REF!</f>
        <v>#REF!</v>
      </c>
      <c r="R216" s="1780"/>
      <c r="S216" s="1780"/>
      <c r="T216" s="1780"/>
      <c r="U216" s="1780"/>
      <c r="V216" s="240"/>
      <c r="W216" s="240" t="s">
        <v>683</v>
      </c>
      <c r="X216" s="240"/>
      <c r="Y216" s="240"/>
      <c r="Z216" s="240" t="str">
        <f>TEXT(BL212,"#,##0.#######")</f>
        <v>24.33</v>
      </c>
      <c r="AA216" s="240"/>
      <c r="AB216" s="240"/>
      <c r="AC216" s="240"/>
      <c r="AD216" s="240" t="s">
        <v>652</v>
      </c>
      <c r="AE216" s="240"/>
      <c r="AF216" s="240" t="str">
        <f>TEXT(0.9,"#,##0.#######")</f>
        <v>0.9</v>
      </c>
      <c r="AG216" s="240"/>
      <c r="AH216" s="240"/>
      <c r="AI216" s="240"/>
      <c r="AJ216" s="240" t="s">
        <v>134</v>
      </c>
      <c r="AK216" s="240"/>
      <c r="AL216" s="240"/>
      <c r="AM216" s="240" t="e">
        <f>TEXT(TRUNC(Q216/BL212*AF216,1),"#,##0.#")</f>
        <v>#REF!</v>
      </c>
      <c r="AN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1"/>
      <c r="DA216" s="241"/>
      <c r="DB216" s="241"/>
      <c r="DC216" s="241"/>
      <c r="DD216" s="241"/>
      <c r="DE216" s="241"/>
      <c r="DF216" s="241"/>
      <c r="DG216" s="241"/>
      <c r="DH216" s="241"/>
      <c r="DI216" s="241"/>
      <c r="DJ216" s="241"/>
      <c r="DK216" s="241"/>
      <c r="DL216" s="241"/>
      <c r="DM216" s="241"/>
      <c r="DN216" s="241"/>
      <c r="DO216" s="241"/>
      <c r="DP216" s="241"/>
      <c r="DQ216" s="241"/>
      <c r="DR216" s="241"/>
      <c r="DS216" s="241"/>
      <c r="DT216" s="241"/>
      <c r="DU216" s="241"/>
      <c r="DV216" s="241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345"/>
      <c r="EM216" s="245"/>
      <c r="EN216" s="245"/>
      <c r="EO216" s="245"/>
      <c r="EP216" s="245"/>
      <c r="EQ216" s="351"/>
    </row>
    <row r="217" spans="2:147" s="243" customFormat="1" ht="11.25" customHeight="1">
      <c r="B217" s="343"/>
      <c r="C217" s="240"/>
      <c r="D217" s="240"/>
      <c r="E217" s="240"/>
      <c r="F217" s="240"/>
      <c r="G217" s="240"/>
      <c r="H217" s="240" t="s">
        <v>679</v>
      </c>
      <c r="I217" s="240"/>
      <c r="J217" s="240"/>
      <c r="K217" s="240"/>
      <c r="L217" s="240" t="s">
        <v>680</v>
      </c>
      <c r="M217" s="240"/>
      <c r="N217" s="240"/>
      <c r="O217" s="240" t="s">
        <v>132</v>
      </c>
      <c r="P217" s="240"/>
      <c r="Q217" s="1780" t="e">
        <f>#REF!</f>
        <v>#REF!</v>
      </c>
      <c r="R217" s="1780"/>
      <c r="S217" s="1780"/>
      <c r="T217" s="1780"/>
      <c r="U217" s="1780"/>
      <c r="V217" s="240"/>
      <c r="W217" s="240" t="s">
        <v>683</v>
      </c>
      <c r="X217" s="240"/>
      <c r="Y217" s="240"/>
      <c r="Z217" s="240" t="str">
        <f>TEXT(BL212,"#,##0.#######")</f>
        <v>24.33</v>
      </c>
      <c r="AA217" s="240"/>
      <c r="AB217" s="240"/>
      <c r="AC217" s="240"/>
      <c r="AD217" s="240" t="s">
        <v>652</v>
      </c>
      <c r="AE217" s="240"/>
      <c r="AF217" s="240" t="str">
        <f>TEXT(0.9,"#,##0.#######")</f>
        <v>0.9</v>
      </c>
      <c r="AG217" s="240"/>
      <c r="AH217" s="240"/>
      <c r="AI217" s="240"/>
      <c r="AJ217" s="240" t="s">
        <v>134</v>
      </c>
      <c r="AK217" s="240"/>
      <c r="AL217" s="240"/>
      <c r="AM217" s="240" t="e">
        <f>TEXT(TRUNC(Q217/BL212*AF217,1),"#,##0.#")</f>
        <v>#REF!</v>
      </c>
      <c r="AN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1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345"/>
      <c r="EM217" s="245"/>
      <c r="EN217" s="245"/>
      <c r="EO217" s="245"/>
      <c r="EP217" s="245"/>
      <c r="EQ217" s="351"/>
    </row>
    <row r="218" spans="2:147" s="243" customFormat="1" ht="11.25" customHeight="1">
      <c r="B218" s="343"/>
      <c r="C218" s="240"/>
      <c r="D218" s="240"/>
      <c r="E218" s="240"/>
      <c r="F218" s="240"/>
      <c r="G218" s="240"/>
      <c r="H218" s="240" t="s">
        <v>688</v>
      </c>
      <c r="I218" s="240"/>
      <c r="J218" s="240"/>
      <c r="K218" s="240"/>
      <c r="L218" s="240" t="s">
        <v>96</v>
      </c>
      <c r="M218" s="240"/>
      <c r="N218" s="240"/>
      <c r="O218" s="240" t="s">
        <v>132</v>
      </c>
      <c r="P218" s="240"/>
      <c r="Q218" s="240" t="e">
        <f>TEXT(AM215+AM216+AM217,"#,##0.#######")</f>
        <v>#REF!</v>
      </c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1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345"/>
      <c r="EM218" s="245" t="e">
        <f>EN218+EO218+EP218</f>
        <v>#REF!</v>
      </c>
      <c r="EN218" s="245" t="e">
        <f>TEXT(AM215,"#,###.0")</f>
        <v>#REF!</v>
      </c>
      <c r="EO218" s="245" t="e">
        <f>TEXT(AM216,"#,###.0")</f>
        <v>#REF!</v>
      </c>
      <c r="EP218" s="245" t="e">
        <f>TEXT(AM217,"#,###.0")</f>
        <v>#REF!</v>
      </c>
      <c r="EQ218" s="351"/>
    </row>
    <row r="219" spans="2:147" s="243" customFormat="1" ht="11.25" customHeight="1">
      <c r="B219" s="343"/>
      <c r="C219" s="240"/>
      <c r="D219" s="240"/>
      <c r="E219" s="240"/>
      <c r="F219" s="240"/>
      <c r="G219" s="240"/>
      <c r="H219" s="240"/>
      <c r="I219" s="240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1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345"/>
      <c r="EM219" s="245"/>
      <c r="EN219" s="245"/>
      <c r="EO219" s="245"/>
      <c r="EP219" s="245"/>
      <c r="EQ219" s="351"/>
    </row>
    <row r="220" spans="2:147" s="243" customFormat="1" ht="11.25" customHeight="1">
      <c r="B220" s="343"/>
      <c r="C220" s="240"/>
      <c r="D220" s="240"/>
      <c r="E220" s="240" t="s">
        <v>675</v>
      </c>
      <c r="F220" s="240"/>
      <c r="G220" s="240"/>
      <c r="H220" s="240" t="s">
        <v>102</v>
      </c>
      <c r="I220" s="240"/>
      <c r="J220" s="240"/>
      <c r="K220" s="240" t="s">
        <v>820</v>
      </c>
      <c r="L220" s="240"/>
      <c r="M220" s="240"/>
      <c r="N220" s="240" t="s">
        <v>147</v>
      </c>
      <c r="O220" s="240" t="s">
        <v>547</v>
      </c>
      <c r="P220" s="240"/>
      <c r="Q220" s="240" t="s">
        <v>657</v>
      </c>
      <c r="R220" s="240" t="s">
        <v>148</v>
      </c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1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345"/>
      <c r="EM220" s="245"/>
      <c r="EN220" s="245"/>
      <c r="EO220" s="245"/>
      <c r="EP220" s="245"/>
      <c r="EQ220" s="351"/>
    </row>
    <row r="221" spans="2:147" s="243" customFormat="1" ht="11.25" customHeight="1">
      <c r="B221" s="343"/>
      <c r="C221" s="240"/>
      <c r="D221" s="240"/>
      <c r="E221" s="240"/>
      <c r="F221" s="240"/>
      <c r="G221" s="240"/>
      <c r="H221" s="240"/>
      <c r="I221" s="240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1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345"/>
      <c r="EM221" s="245"/>
      <c r="EN221" s="245"/>
      <c r="EO221" s="245"/>
      <c r="EP221" s="245"/>
      <c r="EQ221" s="351"/>
    </row>
    <row r="222" spans="2:147" s="243" customFormat="1" ht="11.25" customHeight="1">
      <c r="B222" s="343"/>
      <c r="C222" s="240"/>
      <c r="D222" s="240"/>
      <c r="E222" s="240"/>
      <c r="F222" s="240"/>
      <c r="G222" s="240"/>
      <c r="H222" s="240" t="s">
        <v>103</v>
      </c>
      <c r="I222" s="240"/>
      <c r="J222" s="240"/>
      <c r="K222" s="240"/>
      <c r="L222" s="240"/>
      <c r="M222" s="240"/>
      <c r="N222" s="240" t="s">
        <v>132</v>
      </c>
      <c r="O222" s="240"/>
      <c r="P222" s="1774">
        <f>VLOOKUP($H222,노임단가!$A:$B,2,FALSE)</f>
        <v>157068</v>
      </c>
      <c r="Q222" s="1774"/>
      <c r="R222" s="1774"/>
      <c r="S222" s="1774"/>
      <c r="T222" s="1774"/>
      <c r="U222" s="1774"/>
      <c r="V222" s="240"/>
      <c r="W222" s="240" t="s">
        <v>652</v>
      </c>
      <c r="X222" s="240"/>
      <c r="Y222" s="240"/>
      <c r="Z222" s="240" t="str">
        <f>TEXT(0.1,"#,##0.#######")</f>
        <v>0.1</v>
      </c>
      <c r="AA222" s="240"/>
      <c r="AB222" s="240"/>
      <c r="AC222" s="240" t="s">
        <v>102</v>
      </c>
      <c r="AD222" s="240"/>
      <c r="AE222" s="240"/>
      <c r="AF222" s="240" t="s">
        <v>652</v>
      </c>
      <c r="AG222" s="240"/>
      <c r="AH222" s="240"/>
      <c r="AI222" s="240" t="str">
        <f>TEXT(0.1,"#,##0.#######")</f>
        <v>0.1</v>
      </c>
      <c r="AJ222" s="240"/>
      <c r="AK222" s="240"/>
      <c r="AL222" s="240"/>
      <c r="AM222" s="240" t="s">
        <v>134</v>
      </c>
      <c r="AN222" s="240"/>
      <c r="AO222" s="240" t="str">
        <f>TEXT(TRUNC(P222*Z222*AI222,1),"#,##0.#")</f>
        <v>1,570.6</v>
      </c>
      <c r="AP222" s="240"/>
      <c r="AQ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1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345"/>
      <c r="EM222" s="245">
        <f>EN222+EO222+EP222</f>
        <v>1570.6</v>
      </c>
      <c r="EN222" s="245" t="str">
        <f>AO222</f>
        <v>1,570.6</v>
      </c>
      <c r="EO222" s="245"/>
      <c r="EP222" s="245"/>
      <c r="EQ222" s="351"/>
    </row>
    <row r="223" spans="2:147" s="243" customFormat="1" ht="11.25" customHeight="1">
      <c r="B223" s="343"/>
      <c r="C223" s="240"/>
      <c r="D223" s="240"/>
      <c r="E223" s="240"/>
      <c r="F223" s="240"/>
      <c r="G223" s="240"/>
      <c r="H223" s="240"/>
      <c r="I223" s="240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1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345"/>
      <c r="EM223" s="245"/>
      <c r="EN223" s="245"/>
      <c r="EO223" s="245"/>
      <c r="EP223" s="245"/>
      <c r="EQ223" s="351"/>
    </row>
    <row r="224" spans="2:147" s="243" customFormat="1" ht="11.25" customHeight="1">
      <c r="B224" s="343"/>
      <c r="C224" s="240"/>
      <c r="D224" s="240"/>
      <c r="E224" s="240" t="s">
        <v>677</v>
      </c>
      <c r="F224" s="240"/>
      <c r="G224" s="240"/>
      <c r="H224" s="240" t="s">
        <v>830</v>
      </c>
      <c r="I224" s="240"/>
      <c r="J224" s="240"/>
      <c r="K224" s="240"/>
      <c r="L224" s="240"/>
      <c r="M224" s="240" t="s">
        <v>132</v>
      </c>
      <c r="N224" s="240"/>
      <c r="O224" s="240" t="s">
        <v>831</v>
      </c>
      <c r="P224" s="240"/>
      <c r="Q224" s="240"/>
      <c r="R224" s="240"/>
      <c r="S224" s="240"/>
      <c r="T224" s="240"/>
      <c r="U224" s="240"/>
      <c r="V224" s="240" t="s">
        <v>832</v>
      </c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1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345"/>
      <c r="EM224" s="245"/>
      <c r="EN224" s="245"/>
      <c r="EO224" s="245"/>
      <c r="EP224" s="245"/>
      <c r="EQ224" s="351"/>
    </row>
    <row r="225" spans="2:147" s="243" customFormat="1" ht="11.25" customHeight="1">
      <c r="B225" s="343"/>
      <c r="C225" s="240"/>
      <c r="D225" s="240"/>
      <c r="E225" s="240"/>
      <c r="F225" s="240"/>
      <c r="G225" s="240"/>
      <c r="H225" s="240"/>
      <c r="I225" s="240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1"/>
      <c r="DA225" s="241"/>
      <c r="DB225" s="241"/>
      <c r="DC225" s="241"/>
      <c r="DD225" s="241"/>
      <c r="DE225" s="241"/>
      <c r="DF225" s="241"/>
      <c r="DG225" s="241"/>
      <c r="DH225" s="241"/>
      <c r="DI225" s="241"/>
      <c r="DJ225" s="241"/>
      <c r="DK225" s="241"/>
      <c r="DL225" s="241"/>
      <c r="DM225" s="241"/>
      <c r="DN225" s="241"/>
      <c r="DO225" s="241"/>
      <c r="DP225" s="241"/>
      <c r="DQ225" s="241"/>
      <c r="DR225" s="241"/>
      <c r="DS225" s="241"/>
      <c r="DT225" s="241"/>
      <c r="DU225" s="241"/>
      <c r="DV225" s="241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345"/>
      <c r="EM225" s="245"/>
      <c r="EN225" s="245"/>
      <c r="EO225" s="245"/>
      <c r="EP225" s="245"/>
      <c r="EQ225" s="351"/>
    </row>
    <row r="226" spans="2:147" s="243" customFormat="1" ht="11.25" customHeight="1">
      <c r="B226" s="343"/>
      <c r="C226" s="240"/>
      <c r="D226" s="240"/>
      <c r="E226" s="240"/>
      <c r="F226" s="240"/>
      <c r="G226" s="240"/>
      <c r="H226" s="240" t="s">
        <v>728</v>
      </c>
      <c r="I226" s="240"/>
      <c r="J226" s="240" t="s">
        <v>134</v>
      </c>
      <c r="K226" s="240"/>
      <c r="L226" s="240" t="str">
        <f>TEXT(0.28,"#,##0.#######")</f>
        <v>0.28</v>
      </c>
      <c r="M226" s="240"/>
      <c r="N226" s="240"/>
      <c r="O226" s="240"/>
      <c r="P226" s="240"/>
      <c r="Q226" s="240" t="s">
        <v>652</v>
      </c>
      <c r="R226" s="240"/>
      <c r="S226" s="240"/>
      <c r="T226" s="240" t="str">
        <f>TEXT(0.33,"#,##0.#######")</f>
        <v>0.33</v>
      </c>
      <c r="U226" s="240"/>
      <c r="V226" s="240"/>
      <c r="W226" s="240"/>
      <c r="X226" s="240"/>
      <c r="Y226" s="240" t="s">
        <v>134</v>
      </c>
      <c r="Z226" s="240"/>
      <c r="AA226" s="240" t="str">
        <f>TEXT(TRUNC(L226*T226,4),"#,##0.#######")</f>
        <v>0.0924</v>
      </c>
      <c r="AB226" s="240"/>
      <c r="AC226" s="240"/>
      <c r="AD226" s="240"/>
      <c r="AE226" s="240" t="s">
        <v>548</v>
      </c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 t="s">
        <v>833</v>
      </c>
      <c r="AQ226" s="240"/>
      <c r="AR226" s="240" t="s">
        <v>134</v>
      </c>
      <c r="AS226" s="240"/>
      <c r="AT226" s="240" t="str">
        <f>TEXT(36000,"#,##0.#######")</f>
        <v>36,000.</v>
      </c>
      <c r="AU226" s="240"/>
      <c r="AV226" s="240"/>
      <c r="AW226" s="240"/>
      <c r="AX226" s="240"/>
      <c r="AY226" s="240"/>
      <c r="AZ226" s="240" t="s">
        <v>558</v>
      </c>
      <c r="BA226" s="240"/>
      <c r="BB226" s="240" t="s">
        <v>139</v>
      </c>
      <c r="BC226" s="240" t="s">
        <v>618</v>
      </c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1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345"/>
      <c r="EM226" s="245"/>
      <c r="EN226" s="245"/>
      <c r="EO226" s="245"/>
      <c r="EP226" s="245"/>
      <c r="EQ226" s="351"/>
    </row>
    <row r="227" spans="2:147" s="243" customFormat="1" ht="11.25" customHeight="1">
      <c r="B227" s="343"/>
      <c r="C227" s="240"/>
      <c r="D227" s="240"/>
      <c r="E227" s="240"/>
      <c r="F227" s="240"/>
      <c r="G227" s="240"/>
      <c r="H227" s="240"/>
      <c r="I227" s="240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1"/>
      <c r="DA227" s="241"/>
      <c r="DB227" s="241"/>
      <c r="DC227" s="241"/>
      <c r="DD227" s="241"/>
      <c r="DE227" s="241"/>
      <c r="DF227" s="241"/>
      <c r="DG227" s="241"/>
      <c r="DH227" s="241"/>
      <c r="DI227" s="241"/>
      <c r="DJ227" s="241"/>
      <c r="DK227" s="241"/>
      <c r="DL227" s="241"/>
      <c r="DM227" s="241"/>
      <c r="DN227" s="241"/>
      <c r="DO227" s="241"/>
      <c r="DP227" s="241"/>
      <c r="DQ227" s="241"/>
      <c r="DR227" s="241"/>
      <c r="DS227" s="241"/>
      <c r="DT227" s="241"/>
      <c r="DU227" s="241"/>
      <c r="DV227" s="241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345"/>
      <c r="EM227" s="245"/>
      <c r="EN227" s="245"/>
      <c r="EO227" s="245"/>
      <c r="EP227" s="245"/>
      <c r="EQ227" s="351"/>
    </row>
    <row r="228" spans="2:147" s="243" customFormat="1" ht="11.25" customHeight="1">
      <c r="B228" s="343"/>
      <c r="C228" s="240"/>
      <c r="D228" s="240"/>
      <c r="E228" s="240"/>
      <c r="F228" s="240"/>
      <c r="G228" s="240"/>
      <c r="H228" s="240" t="s">
        <v>133</v>
      </c>
      <c r="I228" s="240"/>
      <c r="J228" s="240" t="s">
        <v>134</v>
      </c>
      <c r="K228" s="240"/>
      <c r="L228" s="240" t="str">
        <f>TEXT(0.15,"#,##0.#######")</f>
        <v>0.15</v>
      </c>
      <c r="M228" s="240"/>
      <c r="N228" s="240"/>
      <c r="O228" s="240"/>
      <c r="P228" s="240" t="s">
        <v>90</v>
      </c>
      <c r="Q228" s="240"/>
      <c r="R228" s="240"/>
      <c r="S228" s="240"/>
      <c r="T228" s="240"/>
      <c r="U228" s="240"/>
      <c r="V228" s="240" t="s">
        <v>774</v>
      </c>
      <c r="W228" s="240"/>
      <c r="X228" s="240" t="s">
        <v>134</v>
      </c>
      <c r="Y228" s="240"/>
      <c r="Z228" s="240" t="str">
        <f>TEXT(1,"#,##0.#######")</f>
        <v>1.</v>
      </c>
      <c r="AA228" s="240"/>
      <c r="AB228" s="240"/>
      <c r="AC228" s="240"/>
      <c r="AD228" s="240"/>
      <c r="AE228" s="240"/>
      <c r="AF228" s="240"/>
      <c r="AG228" s="240"/>
      <c r="AH228" s="240" t="s">
        <v>692</v>
      </c>
      <c r="AI228" s="240"/>
      <c r="AJ228" s="240" t="s">
        <v>134</v>
      </c>
      <c r="AK228" s="240"/>
      <c r="AL228" s="240" t="str">
        <f>TEXT(0.5,"#,##0.#######")</f>
        <v>0.5</v>
      </c>
      <c r="AM228" s="240"/>
      <c r="AN228" s="240"/>
      <c r="AO228" s="240"/>
      <c r="AP228" s="240"/>
      <c r="AQ228" s="240"/>
      <c r="AR228" s="240"/>
      <c r="AS228" s="240"/>
      <c r="AT228" s="240" t="s">
        <v>834</v>
      </c>
      <c r="AU228" s="240"/>
      <c r="AV228" s="240" t="s">
        <v>134</v>
      </c>
      <c r="AW228" s="240"/>
      <c r="AX228" s="240" t="str">
        <f>TEXT(57,"#,##0.#######")</f>
        <v>57.</v>
      </c>
      <c r="AY228" s="240"/>
      <c r="AZ228" s="240" t="s">
        <v>558</v>
      </c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1"/>
      <c r="DA228" s="241"/>
      <c r="DB228" s="241"/>
      <c r="DC228" s="241"/>
      <c r="DD228" s="241"/>
      <c r="DE228" s="241"/>
      <c r="DF228" s="241"/>
      <c r="DG228" s="241"/>
      <c r="DH228" s="241"/>
      <c r="DI228" s="241"/>
      <c r="DJ228" s="241"/>
      <c r="DK228" s="241"/>
      <c r="DL228" s="241"/>
      <c r="DM228" s="241"/>
      <c r="DN228" s="241"/>
      <c r="DO228" s="241"/>
      <c r="DP228" s="241"/>
      <c r="DQ228" s="241"/>
      <c r="DR228" s="241"/>
      <c r="DS228" s="241"/>
      <c r="DT228" s="241"/>
      <c r="DU228" s="241"/>
      <c r="DV228" s="241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345"/>
      <c r="EM228" s="245"/>
      <c r="EN228" s="245"/>
      <c r="EO228" s="245"/>
      <c r="EP228" s="245"/>
      <c r="EQ228" s="351"/>
    </row>
    <row r="229" spans="2:147" s="243" customFormat="1" ht="11.25" customHeight="1">
      <c r="B229" s="343"/>
      <c r="C229" s="240"/>
      <c r="D229" s="240"/>
      <c r="E229" s="240"/>
      <c r="F229" s="240"/>
      <c r="G229" s="240"/>
      <c r="H229" s="240"/>
      <c r="I229" s="240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1"/>
      <c r="DA229" s="241"/>
      <c r="DB229" s="241"/>
      <c r="DC229" s="241"/>
      <c r="DD229" s="241"/>
      <c r="DE229" s="241"/>
      <c r="DF229" s="241"/>
      <c r="DG229" s="241"/>
      <c r="DH229" s="241"/>
      <c r="DI229" s="241"/>
      <c r="DJ229" s="241"/>
      <c r="DK229" s="241"/>
      <c r="DL229" s="241"/>
      <c r="DM229" s="241"/>
      <c r="DN229" s="241"/>
      <c r="DO229" s="241"/>
      <c r="DP229" s="241"/>
      <c r="DQ229" s="241"/>
      <c r="DR229" s="241"/>
      <c r="DS229" s="241"/>
      <c r="DT229" s="241"/>
      <c r="DU229" s="241"/>
      <c r="DV229" s="241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345"/>
      <c r="EM229" s="245"/>
      <c r="EN229" s="245"/>
      <c r="EO229" s="245"/>
      <c r="EP229" s="245"/>
      <c r="EQ229" s="351"/>
    </row>
    <row r="230" spans="2:147" s="243" customFormat="1" ht="11.25" customHeight="1">
      <c r="B230" s="343"/>
      <c r="C230" s="240"/>
      <c r="D230" s="240"/>
      <c r="E230" s="240"/>
      <c r="F230" s="240"/>
      <c r="G230" s="240"/>
      <c r="H230" s="240"/>
      <c r="I230" s="240"/>
      <c r="J230" s="240"/>
      <c r="K230" s="240"/>
      <c r="L230" s="240"/>
      <c r="M230" s="240" t="s">
        <v>728</v>
      </c>
      <c r="N230" s="240" t="s">
        <v>652</v>
      </c>
      <c r="O230" s="240"/>
      <c r="P230" s="240" t="s">
        <v>833</v>
      </c>
      <c r="Q230" s="240" t="s">
        <v>652</v>
      </c>
      <c r="R230" s="240"/>
      <c r="S230" s="240" t="s">
        <v>133</v>
      </c>
      <c r="T230" s="240" t="s">
        <v>652</v>
      </c>
      <c r="U230" s="240"/>
      <c r="V230" s="240" t="s">
        <v>774</v>
      </c>
      <c r="W230" s="240" t="s">
        <v>652</v>
      </c>
      <c r="X230" s="240"/>
      <c r="Y230" s="240" t="s">
        <v>692</v>
      </c>
      <c r="Z230" s="240"/>
      <c r="AA230" s="240"/>
      <c r="AB230" s="240"/>
      <c r="AC230" s="240"/>
      <c r="AD230" s="240"/>
      <c r="AE230" s="240"/>
      <c r="AF230" s="240" t="str">
        <f>TEXT(AA226,"#,##0.#######")</f>
        <v>0.0924</v>
      </c>
      <c r="AG230" s="240"/>
      <c r="AH230" s="240"/>
      <c r="AI230" s="240"/>
      <c r="AJ230" s="240"/>
      <c r="AK230" s="240"/>
      <c r="AL230" s="240" t="s">
        <v>652</v>
      </c>
      <c r="AM230" s="240"/>
      <c r="AN230" s="240" t="str">
        <f>TEXT(AT226,"#,##0.#######")</f>
        <v>36,000.</v>
      </c>
      <c r="AO230" s="240"/>
      <c r="AP230" s="240"/>
      <c r="AQ230" s="240"/>
      <c r="AR230" s="240"/>
      <c r="AS230" s="240"/>
      <c r="AT230" s="240" t="s">
        <v>652</v>
      </c>
      <c r="AU230" s="240"/>
      <c r="AV230" s="240" t="str">
        <f>TEXT(L228,"#,##0.#######")</f>
        <v>0.15</v>
      </c>
      <c r="AW230" s="240"/>
      <c r="AX230" s="240"/>
      <c r="AY230" s="240"/>
      <c r="AZ230" s="240" t="s">
        <v>652</v>
      </c>
      <c r="BA230" s="240"/>
      <c r="BB230" s="240" t="str">
        <f>TEXT(Z228,"#,##0.#######")</f>
        <v>1.</v>
      </c>
      <c r="BC230" s="240" t="s">
        <v>652</v>
      </c>
      <c r="BD230" s="240"/>
      <c r="BE230" s="240" t="str">
        <f>TEXT(AL228,"#,##0.#######")</f>
        <v>0.5</v>
      </c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1"/>
      <c r="DA230" s="241"/>
      <c r="DB230" s="241"/>
      <c r="DC230" s="241"/>
      <c r="DD230" s="241"/>
      <c r="DE230" s="241"/>
      <c r="DF230" s="241"/>
      <c r="DG230" s="241"/>
      <c r="DH230" s="241"/>
      <c r="DI230" s="241"/>
      <c r="DJ230" s="241"/>
      <c r="DK230" s="241"/>
      <c r="DL230" s="241"/>
      <c r="DM230" s="241"/>
      <c r="DN230" s="241"/>
      <c r="DO230" s="241"/>
      <c r="DP230" s="241"/>
      <c r="DQ230" s="241"/>
      <c r="DR230" s="241"/>
      <c r="DS230" s="241"/>
      <c r="DT230" s="241"/>
      <c r="DU230" s="241"/>
      <c r="DV230" s="241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345"/>
      <c r="EM230" s="245"/>
      <c r="EN230" s="245"/>
      <c r="EO230" s="245"/>
      <c r="EP230" s="245"/>
      <c r="EQ230" s="351"/>
    </row>
    <row r="231" spans="2:147" s="243" customFormat="1" ht="11.25" customHeight="1">
      <c r="B231" s="343"/>
      <c r="C231" s="240"/>
      <c r="D231" s="240"/>
      <c r="E231" s="240"/>
      <c r="F231" s="240"/>
      <c r="G231" s="240"/>
      <c r="H231" s="240" t="s">
        <v>687</v>
      </c>
      <c r="I231" s="240"/>
      <c r="J231" s="240" t="s">
        <v>134</v>
      </c>
      <c r="K231" s="240"/>
      <c r="L231" s="240" t="s">
        <v>694</v>
      </c>
      <c r="M231" s="240"/>
      <c r="N231" s="240" t="s">
        <v>694</v>
      </c>
      <c r="O231" s="240"/>
      <c r="P231" s="240" t="s">
        <v>694</v>
      </c>
      <c r="Q231" s="240"/>
      <c r="R231" s="240" t="s">
        <v>694</v>
      </c>
      <c r="S231" s="240"/>
      <c r="T231" s="240" t="s">
        <v>694</v>
      </c>
      <c r="U231" s="240"/>
      <c r="V231" s="240" t="s">
        <v>694</v>
      </c>
      <c r="W231" s="240"/>
      <c r="X231" s="240" t="s">
        <v>694</v>
      </c>
      <c r="Y231" s="240"/>
      <c r="Z231" s="240" t="s">
        <v>694</v>
      </c>
      <c r="AA231" s="240"/>
      <c r="AB231" s="240"/>
      <c r="AC231" s="240" t="s">
        <v>134</v>
      </c>
      <c r="AD231" s="240"/>
      <c r="AE231" s="240" t="s">
        <v>694</v>
      </c>
      <c r="AF231" s="240"/>
      <c r="AG231" s="240" t="s">
        <v>694</v>
      </c>
      <c r="AH231" s="240"/>
      <c r="AI231" s="240" t="s">
        <v>694</v>
      </c>
      <c r="AJ231" s="240"/>
      <c r="AK231" s="240" t="s">
        <v>694</v>
      </c>
      <c r="AL231" s="240"/>
      <c r="AM231" s="240" t="s">
        <v>694</v>
      </c>
      <c r="AN231" s="240"/>
      <c r="AO231" s="240" t="s">
        <v>694</v>
      </c>
      <c r="AP231" s="240"/>
      <c r="AQ231" s="240" t="s">
        <v>694</v>
      </c>
      <c r="AR231" s="240"/>
      <c r="AS231" s="240" t="s">
        <v>694</v>
      </c>
      <c r="AT231" s="240"/>
      <c r="AU231" s="240" t="s">
        <v>694</v>
      </c>
      <c r="AV231" s="240"/>
      <c r="AW231" s="240" t="s">
        <v>694</v>
      </c>
      <c r="AX231" s="240"/>
      <c r="AY231" s="240" t="s">
        <v>694</v>
      </c>
      <c r="AZ231" s="240"/>
      <c r="BA231" s="240" t="s">
        <v>694</v>
      </c>
      <c r="BB231" s="240"/>
      <c r="BC231" s="240" t="s">
        <v>694</v>
      </c>
      <c r="BD231" s="240"/>
      <c r="BE231" s="240" t="s">
        <v>694</v>
      </c>
      <c r="BF231" s="240"/>
      <c r="BG231" s="240" t="s">
        <v>694</v>
      </c>
      <c r="BH231" s="240"/>
      <c r="BI231" s="240"/>
      <c r="BJ231" s="240" t="s">
        <v>134</v>
      </c>
      <c r="BK231" s="240"/>
      <c r="BL231" s="240" t="str">
        <f>TEXT(ROUND((AA226*AT226*L228*Z228*AL228)/(AX228),2),"#,##0.#######")</f>
        <v>4.38</v>
      </c>
      <c r="BM231" s="240"/>
      <c r="BN231" s="240"/>
      <c r="BO231" s="240" t="s">
        <v>91</v>
      </c>
      <c r="BP231" s="240"/>
      <c r="BQ231" s="240" t="s">
        <v>139</v>
      </c>
      <c r="BR231" s="240" t="s">
        <v>618</v>
      </c>
      <c r="BS231" s="240"/>
      <c r="BT231" s="240"/>
      <c r="BU231" s="240"/>
      <c r="BV231" s="240"/>
      <c r="BW231" s="240"/>
      <c r="BX231" s="240"/>
      <c r="BY231" s="240"/>
      <c r="BZ231" s="240"/>
      <c r="CA231" s="240"/>
      <c r="CB231" s="240"/>
      <c r="CC231" s="240"/>
      <c r="CD231" s="240"/>
      <c r="CE231" s="240"/>
      <c r="CF231" s="240"/>
      <c r="CG231" s="240"/>
      <c r="CH231" s="240"/>
      <c r="CI231" s="240"/>
      <c r="CJ231" s="240"/>
      <c r="CK231" s="240"/>
      <c r="CL231" s="240"/>
      <c r="CM231" s="240"/>
      <c r="CN231" s="240"/>
      <c r="CO231" s="240"/>
      <c r="CP231" s="240"/>
      <c r="CQ231" s="240"/>
      <c r="CR231" s="240"/>
      <c r="CS231" s="240"/>
      <c r="CT231" s="240"/>
      <c r="CU231" s="240"/>
      <c r="CV231" s="240"/>
      <c r="CW231" s="240"/>
      <c r="CX231" s="240"/>
      <c r="CY231" s="240"/>
      <c r="CZ231" s="241"/>
      <c r="DA231" s="241"/>
      <c r="DB231" s="241"/>
      <c r="DC231" s="241"/>
      <c r="DD231" s="241"/>
      <c r="DE231" s="241"/>
      <c r="DF231" s="241"/>
      <c r="DG231" s="241"/>
      <c r="DH231" s="241"/>
      <c r="DI231" s="241"/>
      <c r="DJ231" s="241"/>
      <c r="DK231" s="241"/>
      <c r="DL231" s="241"/>
      <c r="DM231" s="241"/>
      <c r="DN231" s="241"/>
      <c r="DO231" s="241"/>
      <c r="DP231" s="241"/>
      <c r="DQ231" s="241"/>
      <c r="DR231" s="241"/>
      <c r="DS231" s="241"/>
      <c r="DT231" s="241"/>
      <c r="DU231" s="241"/>
      <c r="DV231" s="241"/>
      <c r="DW231" s="241"/>
      <c r="DX231" s="241"/>
      <c r="DY231" s="241"/>
      <c r="DZ231" s="241"/>
      <c r="EA231" s="241"/>
      <c r="EB231" s="241"/>
      <c r="EC231" s="241"/>
      <c r="ED231" s="241"/>
      <c r="EE231" s="241"/>
      <c r="EF231" s="241"/>
      <c r="EG231" s="241"/>
      <c r="EH231" s="241"/>
      <c r="EI231" s="241"/>
      <c r="EJ231" s="241"/>
      <c r="EK231" s="241"/>
      <c r="EL231" s="345"/>
      <c r="EM231" s="245"/>
      <c r="EN231" s="245"/>
      <c r="EO231" s="245"/>
      <c r="EP231" s="245"/>
      <c r="EQ231" s="351"/>
    </row>
    <row r="232" spans="2:147" s="243" customFormat="1" ht="11.25" customHeight="1">
      <c r="B232" s="343"/>
      <c r="C232" s="240"/>
      <c r="D232" s="240"/>
      <c r="E232" s="240"/>
      <c r="F232" s="240"/>
      <c r="G232" s="240"/>
      <c r="H232" s="240"/>
      <c r="I232" s="240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 t="s">
        <v>834</v>
      </c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 t="str">
        <f>TEXT(AX228,"#,##0.#######")</f>
        <v>57.</v>
      </c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345"/>
      <c r="EM232" s="245"/>
      <c r="EN232" s="245"/>
      <c r="EO232" s="245"/>
      <c r="EP232" s="245"/>
      <c r="EQ232" s="351"/>
    </row>
    <row r="233" spans="2:147" s="243" customFormat="1" ht="11.25" customHeight="1">
      <c r="B233" s="343"/>
      <c r="C233" s="240"/>
      <c r="D233" s="240"/>
      <c r="E233" s="240"/>
      <c r="F233" s="240"/>
      <c r="G233" s="240"/>
      <c r="H233" s="240"/>
      <c r="I233" s="240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1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345"/>
      <c r="EM233" s="245"/>
      <c r="EN233" s="245"/>
      <c r="EO233" s="245"/>
      <c r="EP233" s="245"/>
      <c r="EQ233" s="351"/>
    </row>
    <row r="234" spans="2:147" s="243" customFormat="1" ht="11.25" customHeight="1">
      <c r="B234" s="343"/>
      <c r="C234" s="240"/>
      <c r="D234" s="240"/>
      <c r="E234" s="240"/>
      <c r="F234" s="240"/>
      <c r="G234" s="240"/>
      <c r="H234" s="240" t="s">
        <v>616</v>
      </c>
      <c r="I234" s="240"/>
      <c r="J234" s="240"/>
      <c r="K234" s="240"/>
      <c r="L234" s="240"/>
      <c r="M234" s="240"/>
      <c r="N234" s="240"/>
      <c r="O234" s="240" t="s">
        <v>132</v>
      </c>
      <c r="P234" s="240"/>
      <c r="Q234" s="1780" t="e">
        <f>#REF!</f>
        <v>#REF!</v>
      </c>
      <c r="R234" s="1780"/>
      <c r="S234" s="1780"/>
      <c r="T234" s="1780"/>
      <c r="U234" s="1780"/>
      <c r="V234" s="240"/>
      <c r="W234" s="240" t="s">
        <v>683</v>
      </c>
      <c r="X234" s="240"/>
      <c r="Y234" s="240"/>
      <c r="Z234" s="240" t="str">
        <f>TEXT(BL231,"#,##0.#######")</f>
        <v>4.38</v>
      </c>
      <c r="AA234" s="240"/>
      <c r="AB234" s="240"/>
      <c r="AC234" s="240"/>
      <c r="AD234" s="240" t="s">
        <v>134</v>
      </c>
      <c r="AE234" s="240"/>
      <c r="AF234" s="240" t="e">
        <f>TEXT(TRUNC(Q234/BL231,1),"#,##0.#")</f>
        <v>#REF!</v>
      </c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1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345"/>
      <c r="EM234" s="245"/>
      <c r="EN234" s="245"/>
      <c r="EO234" s="245"/>
      <c r="EP234" s="245"/>
      <c r="EQ234" s="351"/>
    </row>
    <row r="235" spans="2:147" s="243" customFormat="1" ht="11.25" customHeight="1">
      <c r="B235" s="343"/>
      <c r="C235" s="240"/>
      <c r="D235" s="240"/>
      <c r="E235" s="240"/>
      <c r="F235" s="240"/>
      <c r="G235" s="240"/>
      <c r="H235" s="240" t="s">
        <v>617</v>
      </c>
      <c r="I235" s="240"/>
      <c r="J235" s="240"/>
      <c r="K235" s="240"/>
      <c r="L235" s="240"/>
      <c r="M235" s="240"/>
      <c r="N235" s="240"/>
      <c r="O235" s="240" t="s">
        <v>132</v>
      </c>
      <c r="P235" s="240"/>
      <c r="Q235" s="1780" t="e">
        <f>#REF!</f>
        <v>#REF!</v>
      </c>
      <c r="R235" s="1780"/>
      <c r="S235" s="1780"/>
      <c r="T235" s="1780"/>
      <c r="U235" s="1780"/>
      <c r="V235" s="240"/>
      <c r="W235" s="240" t="s">
        <v>683</v>
      </c>
      <c r="X235" s="240"/>
      <c r="Y235" s="240"/>
      <c r="Z235" s="240" t="str">
        <f>TEXT(BL231,"#,##0.#######")</f>
        <v>4.38</v>
      </c>
      <c r="AA235" s="240"/>
      <c r="AB235" s="240"/>
      <c r="AC235" s="240"/>
      <c r="AD235" s="240" t="s">
        <v>134</v>
      </c>
      <c r="AE235" s="240"/>
      <c r="AF235" s="240" t="e">
        <f>TEXT(TRUNC(Q235/BL231,1),"#,##0.#")</f>
        <v>#REF!</v>
      </c>
      <c r="AM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1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345"/>
      <c r="EM235" s="245"/>
      <c r="EN235" s="245"/>
      <c r="EO235" s="245"/>
      <c r="EP235" s="245"/>
      <c r="EQ235" s="351"/>
    </row>
    <row r="236" spans="2:147" s="243" customFormat="1" ht="11.25" customHeight="1">
      <c r="B236" s="343"/>
      <c r="C236" s="240"/>
      <c r="D236" s="240"/>
      <c r="E236" s="240"/>
      <c r="F236" s="240"/>
      <c r="G236" s="240"/>
      <c r="H236" s="240" t="s">
        <v>679</v>
      </c>
      <c r="I236" s="240"/>
      <c r="J236" s="240" t="s">
        <v>680</v>
      </c>
      <c r="K236" s="240"/>
      <c r="L236" s="240"/>
      <c r="M236" s="240"/>
      <c r="N236" s="240"/>
      <c r="O236" s="240" t="s">
        <v>132</v>
      </c>
      <c r="P236" s="240"/>
      <c r="Q236" s="1780" t="e">
        <f>#REF!</f>
        <v>#REF!</v>
      </c>
      <c r="R236" s="1780"/>
      <c r="S236" s="1780"/>
      <c r="T236" s="1780"/>
      <c r="U236" s="1780"/>
      <c r="V236" s="240"/>
      <c r="W236" s="240" t="s">
        <v>683</v>
      </c>
      <c r="X236" s="240"/>
      <c r="Y236" s="240"/>
      <c r="Z236" s="240" t="str">
        <f>TEXT(BL231,"#,##0.#######")</f>
        <v>4.38</v>
      </c>
      <c r="AA236" s="240"/>
      <c r="AB236" s="240"/>
      <c r="AC236" s="240"/>
      <c r="AD236" s="240" t="s">
        <v>134</v>
      </c>
      <c r="AE236" s="240"/>
      <c r="AF236" s="240" t="e">
        <f>TEXT(TRUNC(Q236/BL231,1),"#,##0.#")</f>
        <v>#REF!</v>
      </c>
      <c r="AM236" s="240"/>
      <c r="AN236" s="240"/>
      <c r="AP236" s="240"/>
      <c r="AQ236" s="240"/>
      <c r="AR236" s="240"/>
      <c r="AS236" s="240"/>
      <c r="AT236" s="240"/>
      <c r="AU236" s="240"/>
      <c r="AV236" s="240"/>
      <c r="AW236" s="240"/>
      <c r="AX236" s="240"/>
      <c r="AY236" s="240"/>
      <c r="AZ236" s="240"/>
      <c r="BA236" s="240"/>
      <c r="BB236" s="240"/>
      <c r="BC236" s="240"/>
      <c r="BD236" s="240"/>
      <c r="BE236" s="240"/>
      <c r="BF236" s="240"/>
      <c r="BG236" s="240"/>
      <c r="BH236" s="240"/>
      <c r="BI236" s="240"/>
      <c r="BJ236" s="240"/>
      <c r="BK236" s="240"/>
      <c r="BL236" s="240"/>
      <c r="BM236" s="240"/>
      <c r="BN236" s="240"/>
      <c r="BO236" s="240"/>
      <c r="BP236" s="240"/>
      <c r="BQ236" s="240"/>
      <c r="BR236" s="240"/>
      <c r="BS236" s="240"/>
      <c r="BT236" s="240"/>
      <c r="BU236" s="240"/>
      <c r="BV236" s="240"/>
      <c r="BW236" s="240"/>
      <c r="BX236" s="240"/>
      <c r="BY236" s="240"/>
      <c r="BZ236" s="240"/>
      <c r="CA236" s="240"/>
      <c r="CB236" s="240"/>
      <c r="CC236" s="240"/>
      <c r="CD236" s="240"/>
      <c r="CE236" s="240"/>
      <c r="CF236" s="240"/>
      <c r="CG236" s="240"/>
      <c r="CH236" s="240"/>
      <c r="CI236" s="240"/>
      <c r="CJ236" s="240"/>
      <c r="CK236" s="240"/>
      <c r="CL236" s="240"/>
      <c r="CM236" s="240"/>
      <c r="CN236" s="240"/>
      <c r="CO236" s="240"/>
      <c r="CP236" s="240"/>
      <c r="CQ236" s="240"/>
      <c r="CR236" s="240"/>
      <c r="CS236" s="240"/>
      <c r="CT236" s="240"/>
      <c r="CU236" s="240"/>
      <c r="CV236" s="240"/>
      <c r="CW236" s="240"/>
      <c r="CX236" s="240"/>
      <c r="CY236" s="240"/>
      <c r="CZ236" s="241"/>
      <c r="DA236" s="241"/>
      <c r="DB236" s="241"/>
      <c r="DC236" s="241"/>
      <c r="DD236" s="241"/>
      <c r="DE236" s="241"/>
      <c r="DF236" s="241"/>
      <c r="DG236" s="241"/>
      <c r="DH236" s="241"/>
      <c r="DI236" s="241"/>
      <c r="DJ236" s="241"/>
      <c r="DK236" s="241"/>
      <c r="DL236" s="241"/>
      <c r="DM236" s="241"/>
      <c r="DN236" s="241"/>
      <c r="DO236" s="241"/>
      <c r="DP236" s="241"/>
      <c r="DQ236" s="241"/>
      <c r="DR236" s="241"/>
      <c r="DS236" s="241"/>
      <c r="DT236" s="241"/>
      <c r="DU236" s="241"/>
      <c r="DV236" s="241"/>
      <c r="DW236" s="241"/>
      <c r="DX236" s="241"/>
      <c r="DY236" s="241"/>
      <c r="DZ236" s="241"/>
      <c r="EA236" s="241"/>
      <c r="EB236" s="241"/>
      <c r="EC236" s="241"/>
      <c r="ED236" s="241"/>
      <c r="EE236" s="241"/>
      <c r="EF236" s="241"/>
      <c r="EG236" s="241"/>
      <c r="EH236" s="241"/>
      <c r="EI236" s="241"/>
      <c r="EJ236" s="241"/>
      <c r="EK236" s="241"/>
      <c r="EL236" s="345"/>
      <c r="EM236" s="245"/>
      <c r="EN236" s="245"/>
      <c r="EO236" s="245"/>
      <c r="EP236" s="245"/>
      <c r="EQ236" s="351"/>
    </row>
    <row r="237" spans="2:147" s="243" customFormat="1" ht="11.25" customHeight="1">
      <c r="B237" s="343"/>
      <c r="C237" s="240"/>
      <c r="D237" s="240"/>
      <c r="E237" s="240"/>
      <c r="F237" s="240"/>
      <c r="G237" s="240"/>
      <c r="H237" s="240" t="s">
        <v>688</v>
      </c>
      <c r="I237" s="240"/>
      <c r="J237" s="240" t="s">
        <v>96</v>
      </c>
      <c r="K237" s="240"/>
      <c r="L237" s="240"/>
      <c r="M237" s="240"/>
      <c r="N237" s="240"/>
      <c r="O237" s="240" t="s">
        <v>132</v>
      </c>
      <c r="P237" s="240"/>
      <c r="Q237" s="240" t="e">
        <f>TEXT(AF234+AF235+AF236,"#,##0.#######")</f>
        <v>#REF!</v>
      </c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1"/>
      <c r="DA237" s="241"/>
      <c r="DB237" s="241"/>
      <c r="DC237" s="241"/>
      <c r="DD237" s="241"/>
      <c r="DE237" s="241"/>
      <c r="DF237" s="241"/>
      <c r="DG237" s="241"/>
      <c r="DH237" s="241"/>
      <c r="DI237" s="241"/>
      <c r="DJ237" s="241"/>
      <c r="DK237" s="241"/>
      <c r="DL237" s="241"/>
      <c r="DM237" s="241"/>
      <c r="DN237" s="241"/>
      <c r="DO237" s="241"/>
      <c r="DP237" s="241"/>
      <c r="DQ237" s="241"/>
      <c r="DR237" s="241"/>
      <c r="DS237" s="241"/>
      <c r="DT237" s="241"/>
      <c r="DU237" s="241"/>
      <c r="DV237" s="241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345"/>
      <c r="EM237" s="245" t="e">
        <f>EN237+EO237+EP237</f>
        <v>#REF!</v>
      </c>
      <c r="EN237" s="245" t="e">
        <f>TEXT(AF234,"#,###.0")</f>
        <v>#REF!</v>
      </c>
      <c r="EO237" s="245" t="e">
        <f>TEXT(AF235,"#,###.0")</f>
        <v>#REF!</v>
      </c>
      <c r="EP237" s="245" t="e">
        <f>TEXT(AF236,"#,###.0")</f>
        <v>#REF!</v>
      </c>
      <c r="EQ237" s="351"/>
    </row>
    <row r="238" spans="2:147" s="243" customFormat="1" ht="11.25" customHeight="1">
      <c r="B238" s="343"/>
      <c r="C238" s="240"/>
      <c r="D238" s="240"/>
      <c r="E238" s="240"/>
      <c r="F238" s="240"/>
      <c r="G238" s="240"/>
      <c r="H238" s="240"/>
      <c r="I238" s="240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1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345"/>
      <c r="EM238" s="245"/>
      <c r="EN238" s="245"/>
      <c r="EO238" s="245"/>
      <c r="EP238" s="245"/>
      <c r="EQ238" s="351"/>
    </row>
    <row r="239" spans="2:147" s="243" customFormat="1" ht="11.25" customHeight="1">
      <c r="B239" s="343"/>
      <c r="C239" s="240"/>
      <c r="D239" s="240"/>
      <c r="E239" s="240" t="s">
        <v>695</v>
      </c>
      <c r="F239" s="240"/>
      <c r="G239" s="240"/>
      <c r="H239" s="240" t="s">
        <v>678</v>
      </c>
      <c r="I239" s="240"/>
      <c r="J239" s="240"/>
      <c r="K239" s="240"/>
      <c r="L239" s="240" t="s">
        <v>96</v>
      </c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1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345"/>
      <c r="EM239" s="245"/>
      <c r="EN239" s="245"/>
      <c r="EO239" s="245"/>
      <c r="EP239" s="245"/>
      <c r="EQ239" s="351"/>
    </row>
    <row r="240" spans="2:147" s="243" customFormat="1" ht="11.25" customHeight="1">
      <c r="B240" s="343"/>
      <c r="C240" s="240"/>
      <c r="D240" s="240"/>
      <c r="E240" s="240"/>
      <c r="F240" s="240"/>
      <c r="G240" s="240"/>
      <c r="H240" s="240"/>
      <c r="I240" s="240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  <c r="BT240" s="240"/>
      <c r="BU240" s="240"/>
      <c r="BV240" s="240"/>
      <c r="BW240" s="240"/>
      <c r="BX240" s="240"/>
      <c r="BY240" s="240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1"/>
      <c r="DA240" s="241"/>
      <c r="DB240" s="241"/>
      <c r="DC240" s="241"/>
      <c r="DD240" s="241"/>
      <c r="DE240" s="241"/>
      <c r="DF240" s="241"/>
      <c r="DG240" s="241"/>
      <c r="DH240" s="241"/>
      <c r="DI240" s="241"/>
      <c r="DJ240" s="241"/>
      <c r="DK240" s="241"/>
      <c r="DL240" s="241"/>
      <c r="DM240" s="241"/>
      <c r="DN240" s="241"/>
      <c r="DO240" s="241"/>
      <c r="DP240" s="241"/>
      <c r="DQ240" s="241"/>
      <c r="DR240" s="241"/>
      <c r="DS240" s="241"/>
      <c r="DT240" s="241"/>
      <c r="DU240" s="241"/>
      <c r="DV240" s="241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345"/>
      <c r="EM240" s="245"/>
      <c r="EN240" s="245"/>
      <c r="EO240" s="245"/>
      <c r="EP240" s="245"/>
      <c r="EQ240" s="351"/>
    </row>
    <row r="241" spans="1:150" s="243" customFormat="1" ht="11.25" customHeight="1">
      <c r="B241" s="343"/>
      <c r="C241" s="240"/>
      <c r="D241" s="240"/>
      <c r="E241" s="240"/>
      <c r="F241" s="240"/>
      <c r="G241" s="240"/>
      <c r="H241" s="240"/>
      <c r="I241" s="240" t="s">
        <v>616</v>
      </c>
      <c r="J241" s="240"/>
      <c r="K241" s="240"/>
      <c r="L241" s="240"/>
      <c r="M241" s="240"/>
      <c r="N241" s="240"/>
      <c r="O241" s="240"/>
      <c r="P241" s="240" t="s">
        <v>132</v>
      </c>
      <c r="Q241" s="240"/>
      <c r="R241" s="240" t="e">
        <f>TEXT(EN218,"#,###.##")</f>
        <v>#REF!</v>
      </c>
      <c r="S241" s="240"/>
      <c r="T241" s="240"/>
      <c r="U241" s="240"/>
      <c r="V241" s="240"/>
      <c r="W241" s="240"/>
      <c r="X241" s="240" t="s">
        <v>130</v>
      </c>
      <c r="Y241" s="240"/>
      <c r="Z241" s="240" t="str">
        <f>TEXT(EN222,"#,###.##")</f>
        <v>1,570.6</v>
      </c>
      <c r="AA241" s="240"/>
      <c r="AB241" s="240"/>
      <c r="AC241" s="240"/>
      <c r="AD241" s="240"/>
      <c r="AE241" s="240" t="s">
        <v>130</v>
      </c>
      <c r="AF241" s="240"/>
      <c r="AG241" s="240" t="e">
        <f>TEXT(EN237,"#,###.##")</f>
        <v>#REF!</v>
      </c>
      <c r="AH241" s="240"/>
      <c r="AI241" s="240"/>
      <c r="AJ241" s="240"/>
      <c r="AK241" s="240"/>
      <c r="AL241" s="240" t="s">
        <v>134</v>
      </c>
      <c r="AM241" s="240"/>
      <c r="AN241" s="240"/>
      <c r="AO241" s="240" t="e">
        <f>TEXT(TRUNC(EN218+EN222+EN237,0),"#,##0")</f>
        <v>#REF!</v>
      </c>
      <c r="AS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1"/>
      <c r="DA241" s="241"/>
      <c r="DB241" s="241"/>
      <c r="DC241" s="241"/>
      <c r="DD241" s="241"/>
      <c r="DE241" s="241"/>
      <c r="DF241" s="241"/>
      <c r="DG241" s="241"/>
      <c r="DH241" s="241"/>
      <c r="DI241" s="241"/>
      <c r="DJ241" s="241"/>
      <c r="DK241" s="241"/>
      <c r="DL241" s="241"/>
      <c r="DM241" s="241"/>
      <c r="DN241" s="241"/>
      <c r="DO241" s="241"/>
      <c r="DP241" s="241"/>
      <c r="DQ241" s="241"/>
      <c r="DR241" s="241"/>
      <c r="DS241" s="241"/>
      <c r="DT241" s="241"/>
      <c r="DU241" s="241"/>
      <c r="DV241" s="241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345"/>
      <c r="EM241" s="245"/>
      <c r="EN241" s="245"/>
      <c r="EO241" s="245"/>
      <c r="EP241" s="245"/>
      <c r="EQ241" s="351"/>
    </row>
    <row r="242" spans="1:150" s="243" customFormat="1" ht="11.25" customHeight="1">
      <c r="B242" s="343"/>
      <c r="C242" s="240"/>
      <c r="D242" s="240"/>
      <c r="E242" s="240"/>
      <c r="F242" s="240"/>
      <c r="G242" s="240"/>
      <c r="H242" s="240"/>
      <c r="I242" s="240" t="s">
        <v>617</v>
      </c>
      <c r="J242" s="240"/>
      <c r="K242" s="240"/>
      <c r="L242" s="240"/>
      <c r="M242" s="240"/>
      <c r="N242" s="240"/>
      <c r="O242" s="240"/>
      <c r="P242" s="240" t="s">
        <v>132</v>
      </c>
      <c r="Q242" s="240"/>
      <c r="R242" s="240" t="e">
        <f>TEXT(EO218,"#,###.##")</f>
        <v>#REF!</v>
      </c>
      <c r="S242" s="240"/>
      <c r="T242" s="240"/>
      <c r="U242" s="240"/>
      <c r="V242" s="240"/>
      <c r="W242" s="240"/>
      <c r="X242" s="240" t="s">
        <v>130</v>
      </c>
      <c r="Y242" s="240"/>
      <c r="Z242" s="240" t="e">
        <f>TEXT(EO237,"#,###.##")</f>
        <v>#REF!</v>
      </c>
      <c r="AA242" s="240"/>
      <c r="AB242" s="240"/>
      <c r="AC242" s="240"/>
      <c r="AD242" s="240"/>
      <c r="AE242" s="240" t="s">
        <v>134</v>
      </c>
      <c r="AF242" s="240"/>
      <c r="AG242" s="240"/>
      <c r="AH242" s="240" t="e">
        <f>TEXT(TRUNC(EO218+EO237,0),"#,##0")</f>
        <v>#REF!</v>
      </c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1"/>
      <c r="DA242" s="241"/>
      <c r="DB242" s="241"/>
      <c r="DC242" s="241"/>
      <c r="DD242" s="241"/>
      <c r="DE242" s="241"/>
      <c r="DF242" s="241"/>
      <c r="DG242" s="241"/>
      <c r="DH242" s="241"/>
      <c r="DI242" s="241"/>
      <c r="DJ242" s="241"/>
      <c r="DK242" s="241"/>
      <c r="DL242" s="241"/>
      <c r="DM242" s="241"/>
      <c r="DN242" s="241"/>
      <c r="DO242" s="241"/>
      <c r="DP242" s="241"/>
      <c r="DQ242" s="241"/>
      <c r="DR242" s="241"/>
      <c r="DS242" s="241"/>
      <c r="DT242" s="241"/>
      <c r="DU242" s="241"/>
      <c r="DV242" s="241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345"/>
      <c r="EM242" s="245"/>
      <c r="EN242" s="245"/>
      <c r="EO242" s="245"/>
      <c r="EP242" s="245"/>
      <c r="EQ242" s="351"/>
    </row>
    <row r="243" spans="1:150" s="243" customFormat="1" ht="11.25" customHeight="1">
      <c r="B243" s="343"/>
      <c r="C243" s="240"/>
      <c r="D243" s="240"/>
      <c r="E243" s="240"/>
      <c r="F243" s="240"/>
      <c r="G243" s="240"/>
      <c r="H243" s="240"/>
      <c r="I243" s="240" t="s">
        <v>679</v>
      </c>
      <c r="J243" s="240"/>
      <c r="K243" s="240" t="s">
        <v>680</v>
      </c>
      <c r="L243" s="240"/>
      <c r="M243" s="240"/>
      <c r="N243" s="240"/>
      <c r="O243" s="240"/>
      <c r="P243" s="240" t="s">
        <v>132</v>
      </c>
      <c r="Q243" s="240"/>
      <c r="R243" s="240" t="e">
        <f>TEXT(EP218,"#,###.##")</f>
        <v>#REF!</v>
      </c>
      <c r="S243" s="240"/>
      <c r="T243" s="240"/>
      <c r="U243" s="240"/>
      <c r="V243" s="240"/>
      <c r="W243" s="240"/>
      <c r="X243" s="240" t="s">
        <v>130</v>
      </c>
      <c r="Y243" s="240"/>
      <c r="Z243" s="240" t="e">
        <f>TEXT(EP237,"#,###.##")</f>
        <v>#REF!</v>
      </c>
      <c r="AA243" s="240"/>
      <c r="AB243" s="240"/>
      <c r="AE243" s="240" t="s">
        <v>134</v>
      </c>
      <c r="AF243" s="240"/>
      <c r="AG243" s="240"/>
      <c r="AH243" s="240" t="e">
        <f>TEXT(TRUNC(EP218+EP237,0),"#,##0")</f>
        <v>#REF!</v>
      </c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1"/>
      <c r="DA243" s="241"/>
      <c r="DB243" s="241"/>
      <c r="DC243" s="241"/>
      <c r="DD243" s="241"/>
      <c r="DE243" s="241"/>
      <c r="DF243" s="241"/>
      <c r="DG243" s="241"/>
      <c r="DH243" s="241"/>
      <c r="DI243" s="241"/>
      <c r="DJ243" s="241"/>
      <c r="DK243" s="241"/>
      <c r="DL243" s="241"/>
      <c r="DM243" s="241"/>
      <c r="DN243" s="241"/>
      <c r="DO243" s="241"/>
      <c r="DP243" s="241"/>
      <c r="DQ243" s="241"/>
      <c r="DR243" s="241"/>
      <c r="DS243" s="241"/>
      <c r="DT243" s="241"/>
      <c r="DU243" s="241"/>
      <c r="DV243" s="241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345"/>
      <c r="EM243" s="245"/>
      <c r="EN243" s="245"/>
      <c r="EO243" s="245"/>
      <c r="EP243" s="245"/>
      <c r="EQ243" s="351"/>
    </row>
    <row r="244" spans="1:150" s="243" customFormat="1" ht="11.25" customHeight="1">
      <c r="B244" s="343"/>
      <c r="C244" s="240"/>
      <c r="D244" s="240"/>
      <c r="E244" s="240"/>
      <c r="F244" s="240"/>
      <c r="G244" s="240"/>
      <c r="H244" s="240"/>
      <c r="I244" s="240"/>
      <c r="J244" s="240"/>
      <c r="K244" s="240" t="s">
        <v>96</v>
      </c>
      <c r="L244" s="240"/>
      <c r="M244" s="240"/>
      <c r="N244" s="240"/>
      <c r="O244" s="240"/>
      <c r="P244" s="240" t="s">
        <v>132</v>
      </c>
      <c r="Q244" s="240"/>
      <c r="R244" s="240" t="e">
        <f>TEXT(AO241+AH242+AH243,"#,##0")</f>
        <v>#REF!</v>
      </c>
      <c r="T244" s="240"/>
      <c r="U244" s="240"/>
      <c r="V244" s="240"/>
      <c r="W244" s="240"/>
      <c r="X244" s="240"/>
      <c r="Y244" s="240"/>
      <c r="Z244" s="240"/>
      <c r="AA244" s="240"/>
      <c r="AB244" s="240"/>
      <c r="AC244" s="240"/>
      <c r="AD244" s="240"/>
      <c r="AE244" s="240"/>
      <c r="AF244" s="240"/>
      <c r="AG244" s="240"/>
      <c r="AH244" s="240"/>
      <c r="AI244" s="240"/>
      <c r="AJ244" s="240"/>
      <c r="AK244" s="240"/>
      <c r="AL244" s="240"/>
      <c r="AM244" s="240"/>
      <c r="AN244" s="240"/>
      <c r="AO244" s="240"/>
      <c r="AP244" s="240"/>
      <c r="AQ244" s="240"/>
      <c r="AR244" s="240"/>
      <c r="AS244" s="240"/>
      <c r="AT244" s="240"/>
      <c r="AU244" s="240"/>
      <c r="AV244" s="240"/>
      <c r="AW244" s="240"/>
      <c r="AX244" s="240"/>
      <c r="AY244" s="240"/>
      <c r="AZ244" s="240"/>
      <c r="BA244" s="240"/>
      <c r="BB244" s="240"/>
      <c r="BC244" s="240"/>
      <c r="BD244" s="240"/>
      <c r="BE244" s="240"/>
      <c r="BF244" s="240"/>
      <c r="BG244" s="240"/>
      <c r="BH244" s="240"/>
      <c r="BI244" s="240"/>
      <c r="BJ244" s="240"/>
      <c r="BK244" s="240"/>
      <c r="BL244" s="240"/>
      <c r="BM244" s="240"/>
      <c r="BN244" s="240"/>
      <c r="BO244" s="240"/>
      <c r="BP244" s="240"/>
      <c r="BQ244" s="240"/>
      <c r="BR244" s="240"/>
      <c r="BS244" s="240"/>
      <c r="BT244" s="240"/>
      <c r="BU244" s="240"/>
      <c r="BV244" s="240"/>
      <c r="BW244" s="240"/>
      <c r="BX244" s="240"/>
      <c r="BY244" s="240"/>
      <c r="BZ244" s="240"/>
      <c r="CA244" s="240"/>
      <c r="CB244" s="240"/>
      <c r="CC244" s="240"/>
      <c r="CD244" s="240"/>
      <c r="CE244" s="240"/>
      <c r="CF244" s="240"/>
      <c r="CG244" s="240"/>
      <c r="CH244" s="240"/>
      <c r="CI244" s="240"/>
      <c r="CJ244" s="240"/>
      <c r="CK244" s="240"/>
      <c r="CL244" s="240"/>
      <c r="CM244" s="240"/>
      <c r="CN244" s="240"/>
      <c r="CO244" s="240"/>
      <c r="CP244" s="240"/>
      <c r="CQ244" s="240"/>
      <c r="CR244" s="240"/>
      <c r="CS244" s="240"/>
      <c r="CT244" s="240"/>
      <c r="CU244" s="240"/>
      <c r="CV244" s="240"/>
      <c r="CW244" s="240"/>
      <c r="CX244" s="240"/>
      <c r="CY244" s="240"/>
      <c r="CZ244" s="241"/>
      <c r="DA244" s="241"/>
      <c r="DB244" s="241"/>
      <c r="DC244" s="241"/>
      <c r="DD244" s="241"/>
      <c r="DE244" s="241"/>
      <c r="DF244" s="241"/>
      <c r="DG244" s="241"/>
      <c r="DH244" s="241"/>
      <c r="DI244" s="241"/>
      <c r="DJ244" s="241"/>
      <c r="DK244" s="241"/>
      <c r="DL244" s="241"/>
      <c r="DM244" s="241"/>
      <c r="DN244" s="241"/>
      <c r="DO244" s="241"/>
      <c r="DP244" s="241"/>
      <c r="DQ244" s="241"/>
      <c r="DR244" s="241"/>
      <c r="DS244" s="241"/>
      <c r="DT244" s="241"/>
      <c r="DU244" s="241"/>
      <c r="DV244" s="241"/>
      <c r="DW244" s="241"/>
      <c r="DX244" s="241"/>
      <c r="DY244" s="241"/>
      <c r="DZ244" s="241"/>
      <c r="EA244" s="241"/>
      <c r="EB244" s="241"/>
      <c r="EC244" s="241"/>
      <c r="ED244" s="241"/>
      <c r="EE244" s="241"/>
      <c r="EF244" s="241"/>
      <c r="EG244" s="241"/>
      <c r="EH244" s="241"/>
      <c r="EI244" s="241"/>
      <c r="EJ244" s="241"/>
      <c r="EK244" s="241"/>
      <c r="EL244" s="345"/>
      <c r="EM244" s="250" t="e">
        <f>EN244+EO244+EP244</f>
        <v>#REF!</v>
      </c>
      <c r="EN244" s="245" t="e">
        <f>TEXT(AO241,"#,##0")</f>
        <v>#REF!</v>
      </c>
      <c r="EO244" s="245" t="e">
        <f>TEXT(AH242,"#,##0")</f>
        <v>#REF!</v>
      </c>
      <c r="EP244" s="245" t="e">
        <f>TEXT(AH243,"#,##0")</f>
        <v>#REF!</v>
      </c>
      <c r="EQ244" s="351"/>
    </row>
    <row r="245" spans="1:150" s="243" customFormat="1" ht="11.25" customHeight="1">
      <c r="B245" s="343"/>
      <c r="C245" s="240"/>
      <c r="D245" s="240"/>
      <c r="E245" s="240"/>
      <c r="F245" s="240"/>
      <c r="G245" s="240"/>
      <c r="H245" s="240"/>
      <c r="I245" s="240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1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345"/>
      <c r="EM245" s="245"/>
      <c r="EN245" s="245"/>
      <c r="EO245" s="245"/>
      <c r="EP245" s="245"/>
      <c r="EQ245" s="351"/>
    </row>
    <row r="246" spans="1:150" s="243" customFormat="1" ht="11.25" customHeight="1">
      <c r="B246" s="343"/>
      <c r="C246" s="240"/>
      <c r="D246" s="240"/>
      <c r="E246" s="240"/>
      <c r="F246" s="240"/>
      <c r="G246" s="240"/>
      <c r="H246" s="240"/>
      <c r="I246" s="240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1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345"/>
      <c r="EM246" s="245"/>
      <c r="EN246" s="245"/>
      <c r="EO246" s="245"/>
      <c r="EP246" s="245"/>
      <c r="EQ246" s="351"/>
    </row>
    <row r="247" spans="1:150" s="243" customFormat="1" ht="11.25" customHeight="1">
      <c r="B247" s="343"/>
      <c r="C247" s="240"/>
      <c r="D247" s="240"/>
      <c r="E247" s="240"/>
      <c r="F247" s="240"/>
      <c r="G247" s="240"/>
      <c r="H247" s="240"/>
      <c r="I247" s="240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  <c r="BT247" s="240"/>
      <c r="BU247" s="240"/>
      <c r="BV247" s="240"/>
      <c r="BW247" s="240"/>
      <c r="BX247" s="240"/>
      <c r="BY247" s="240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1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345"/>
      <c r="EM247" s="245"/>
      <c r="EN247" s="245"/>
      <c r="EO247" s="245"/>
      <c r="EP247" s="245"/>
      <c r="EQ247" s="351"/>
    </row>
    <row r="248" spans="1:150" s="243" customFormat="1" ht="11.25" customHeight="1">
      <c r="B248" s="350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  <c r="AC248" s="247"/>
      <c r="AD248" s="247"/>
      <c r="AE248" s="247"/>
      <c r="AF248" s="247"/>
      <c r="AG248" s="247"/>
      <c r="AH248" s="247"/>
      <c r="AI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  <c r="BB248" s="247"/>
      <c r="BC248" s="247"/>
      <c r="BD248" s="247"/>
      <c r="BE248" s="247"/>
      <c r="BF248" s="247"/>
      <c r="BG248" s="247"/>
      <c r="BH248" s="247"/>
      <c r="BI248" s="247"/>
      <c r="BJ248" s="247"/>
      <c r="BK248" s="247"/>
      <c r="BL248" s="247"/>
      <c r="BM248" s="247"/>
      <c r="BN248" s="247"/>
      <c r="BO248" s="247"/>
      <c r="BP248" s="247"/>
      <c r="BQ248" s="247"/>
      <c r="BR248" s="247"/>
      <c r="BS248" s="247"/>
      <c r="BT248" s="247"/>
      <c r="BU248" s="247"/>
      <c r="BV248" s="247"/>
      <c r="BW248" s="247"/>
      <c r="BX248" s="247"/>
      <c r="BY248" s="247"/>
      <c r="BZ248" s="247"/>
      <c r="CA248" s="247"/>
      <c r="CB248" s="247"/>
      <c r="CC248" s="247"/>
      <c r="CD248" s="247"/>
      <c r="CE248" s="247"/>
      <c r="CF248" s="247"/>
      <c r="CG248" s="247"/>
      <c r="CH248" s="247"/>
      <c r="CI248" s="247"/>
      <c r="CJ248" s="247"/>
      <c r="CK248" s="247"/>
      <c r="CL248" s="247"/>
      <c r="CM248" s="247"/>
      <c r="CN248" s="247"/>
      <c r="CO248" s="247"/>
      <c r="CP248" s="247"/>
      <c r="CQ248" s="247"/>
      <c r="CR248" s="247"/>
      <c r="CS248" s="247"/>
      <c r="CT248" s="247"/>
      <c r="CU248" s="247"/>
      <c r="CV248" s="247"/>
      <c r="CW248" s="247"/>
      <c r="CX248" s="247"/>
      <c r="CY248" s="247"/>
      <c r="CZ248" s="248"/>
      <c r="DA248" s="248"/>
      <c r="DB248" s="248"/>
      <c r="DC248" s="248"/>
      <c r="DD248" s="248"/>
      <c r="DE248" s="248"/>
      <c r="DF248" s="248"/>
      <c r="DG248" s="248"/>
      <c r="DH248" s="248"/>
      <c r="DI248" s="248"/>
      <c r="DJ248" s="248"/>
      <c r="DK248" s="248"/>
      <c r="DL248" s="248"/>
      <c r="DM248" s="248"/>
      <c r="DN248" s="248"/>
      <c r="DO248" s="248"/>
      <c r="DP248" s="248"/>
      <c r="DQ248" s="248"/>
      <c r="DR248" s="248"/>
      <c r="DS248" s="248"/>
      <c r="DT248" s="248"/>
      <c r="DU248" s="248"/>
      <c r="DV248" s="248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357"/>
      <c r="EM248" s="249"/>
      <c r="EN248" s="249"/>
      <c r="EO248" s="249"/>
      <c r="EP248" s="249"/>
      <c r="EQ248" s="352"/>
    </row>
    <row r="249" spans="1:150" ht="11.45" customHeight="1">
      <c r="B249" s="334"/>
      <c r="C249" s="335"/>
      <c r="D249" s="335"/>
      <c r="E249" s="335"/>
      <c r="F249" s="335"/>
      <c r="G249" s="335"/>
      <c r="H249" s="335"/>
      <c r="I249" s="335"/>
      <c r="J249" s="335"/>
      <c r="K249" s="335"/>
      <c r="L249" s="298"/>
      <c r="M249" s="298"/>
      <c r="N249" s="298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5"/>
      <c r="AU249" s="335"/>
      <c r="AV249" s="335"/>
      <c r="AW249" s="335"/>
      <c r="AX249" s="335"/>
      <c r="AY249" s="335"/>
      <c r="AZ249" s="335"/>
      <c r="BA249" s="335"/>
      <c r="BB249" s="335"/>
      <c r="BC249" s="335"/>
      <c r="BD249" s="335"/>
      <c r="BE249" s="335"/>
      <c r="BF249" s="335"/>
      <c r="BG249" s="335"/>
      <c r="BH249" s="335"/>
      <c r="BI249" s="335"/>
      <c r="BJ249" s="335"/>
      <c r="BK249" s="335"/>
      <c r="BL249" s="335"/>
      <c r="BM249" s="335"/>
      <c r="BN249" s="335"/>
      <c r="BO249" s="335"/>
      <c r="BP249" s="335"/>
      <c r="BQ249" s="335"/>
      <c r="BR249" s="335"/>
      <c r="BS249" s="298"/>
      <c r="BT249" s="335"/>
      <c r="BU249" s="335"/>
      <c r="BV249" s="335"/>
      <c r="BW249" s="335"/>
      <c r="BX249" s="335"/>
      <c r="BY249" s="335"/>
      <c r="BZ249" s="335"/>
      <c r="CA249" s="335"/>
      <c r="CB249" s="335"/>
      <c r="CC249" s="335"/>
      <c r="CD249" s="335"/>
      <c r="CE249" s="335"/>
      <c r="CF249" s="335"/>
      <c r="CG249" s="335"/>
      <c r="CH249" s="335"/>
      <c r="CI249" s="335"/>
      <c r="CJ249" s="335"/>
      <c r="CK249" s="335"/>
      <c r="CL249" s="335"/>
      <c r="CM249" s="335"/>
      <c r="CN249" s="335"/>
      <c r="CO249" s="335"/>
      <c r="CP249" s="335"/>
      <c r="CQ249" s="335"/>
      <c r="CR249" s="335"/>
      <c r="CS249" s="335"/>
      <c r="CT249" s="335"/>
      <c r="CU249" s="335"/>
      <c r="CV249" s="335"/>
      <c r="CW249" s="335"/>
      <c r="CX249" s="335"/>
      <c r="CY249" s="335"/>
      <c r="CZ249" s="335"/>
      <c r="DA249" s="335"/>
      <c r="DB249" s="335"/>
      <c r="DC249" s="335"/>
      <c r="DD249" s="335"/>
      <c r="DE249" s="335"/>
      <c r="DF249" s="335"/>
      <c r="DG249" s="335"/>
      <c r="DH249" s="335"/>
      <c r="DI249" s="335"/>
      <c r="DJ249" s="335"/>
      <c r="DK249" s="335"/>
      <c r="DL249" s="335"/>
      <c r="DM249" s="335"/>
      <c r="DN249" s="335"/>
      <c r="DO249" s="335"/>
      <c r="DP249" s="335"/>
      <c r="DQ249" s="335"/>
      <c r="DR249" s="335"/>
      <c r="DS249" s="335"/>
      <c r="DT249" s="335"/>
      <c r="DU249" s="335"/>
      <c r="DV249" s="335"/>
      <c r="DW249" s="335"/>
      <c r="DX249" s="335"/>
      <c r="DY249" s="335"/>
      <c r="DZ249" s="335"/>
      <c r="EA249" s="335"/>
      <c r="EB249" s="335"/>
      <c r="EC249" s="335"/>
      <c r="ED249" s="335"/>
      <c r="EE249" s="335"/>
      <c r="EF249" s="335"/>
      <c r="EG249" s="335"/>
      <c r="EH249" s="335"/>
      <c r="EI249" s="335"/>
      <c r="EJ249" s="335"/>
      <c r="EK249" s="335"/>
      <c r="EL249" s="304"/>
      <c r="EM249" s="251"/>
      <c r="EN249" s="251"/>
      <c r="EO249" s="251"/>
      <c r="EP249" s="251"/>
      <c r="EQ249" s="252"/>
    </row>
    <row r="250" spans="1:150" s="243" customFormat="1" ht="11.25" customHeight="1">
      <c r="A250" s="243">
        <v>9</v>
      </c>
      <c r="B250" s="1782">
        <f>A250</f>
        <v>9</v>
      </c>
      <c r="C250" s="1781"/>
      <c r="D250" s="1781"/>
      <c r="E250" s="344" t="s">
        <v>885</v>
      </c>
      <c r="F250" s="240"/>
      <c r="G250" s="240"/>
      <c r="H250" s="240"/>
      <c r="I250" s="240"/>
      <c r="J250" s="240"/>
      <c r="K250" s="240"/>
      <c r="L250" s="240"/>
      <c r="M250" s="240"/>
      <c r="N250" s="240"/>
      <c r="O250" s="240"/>
      <c r="P250" s="240"/>
      <c r="Q250" s="240"/>
      <c r="R250" s="240"/>
      <c r="S250" s="240"/>
      <c r="T250" s="240"/>
      <c r="U250" s="240"/>
      <c r="V250" s="240"/>
      <c r="W250" s="240"/>
      <c r="X250" s="240"/>
      <c r="Y250" s="240"/>
      <c r="Z250" s="240"/>
      <c r="AA250" s="240"/>
      <c r="AB250" s="240"/>
      <c r="AC250" s="240"/>
      <c r="AD250" s="240"/>
      <c r="AE250" s="240"/>
      <c r="AF250" s="240"/>
      <c r="AG250" s="240"/>
      <c r="AH250" s="240"/>
      <c r="AI250" s="240"/>
      <c r="AJ250" s="240"/>
      <c r="AK250" s="240"/>
      <c r="AL250" s="240"/>
      <c r="AM250" s="240"/>
      <c r="AN250" s="240"/>
      <c r="AO250" s="240"/>
      <c r="AP250" s="240"/>
      <c r="AQ250" s="240"/>
      <c r="AR250" s="240"/>
      <c r="AS250" s="240"/>
      <c r="AT250" s="240"/>
      <c r="AU250" s="240"/>
      <c r="AV250" s="240"/>
      <c r="AW250" s="240"/>
      <c r="AX250" s="240"/>
      <c r="AY250" s="240"/>
      <c r="AZ250" s="240"/>
      <c r="BA250" s="240"/>
      <c r="BB250" s="240"/>
      <c r="BC250" s="240"/>
      <c r="BD250" s="240"/>
      <c r="BE250" s="240"/>
      <c r="BF250" s="240"/>
      <c r="BG250" s="240"/>
      <c r="BH250" s="240"/>
      <c r="BI250" s="240"/>
      <c r="BJ250" s="240"/>
      <c r="BK250" s="240"/>
      <c r="BL250" s="240"/>
      <c r="BM250" s="240"/>
      <c r="BN250" s="240"/>
      <c r="BO250" s="240"/>
      <c r="BP250" s="240"/>
      <c r="BQ250" s="240"/>
      <c r="BR250" s="240"/>
      <c r="BS250" s="240"/>
      <c r="BT250" s="240"/>
      <c r="BU250" s="240"/>
      <c r="BV250" s="240"/>
      <c r="BW250" s="240"/>
      <c r="BX250" s="240"/>
      <c r="BY250" s="240"/>
      <c r="BZ250" s="240"/>
      <c r="CA250" s="240"/>
      <c r="CB250" s="240"/>
      <c r="CC250" s="240"/>
      <c r="CD250" s="240"/>
      <c r="CE250" s="240"/>
      <c r="CF250" s="240"/>
      <c r="CG250" s="240"/>
      <c r="CH250" s="240"/>
      <c r="CI250" s="240"/>
      <c r="CJ250" s="240"/>
      <c r="CK250" s="240"/>
      <c r="CL250" s="240"/>
      <c r="CM250" s="240"/>
      <c r="CN250" s="240"/>
      <c r="CO250" s="240"/>
      <c r="CP250" s="240"/>
      <c r="CQ250" s="240"/>
      <c r="CR250" s="240"/>
      <c r="CS250" s="240"/>
      <c r="CT250" s="240"/>
      <c r="CU250" s="240"/>
      <c r="CV250" s="240"/>
      <c r="CW250" s="240"/>
      <c r="CX250" s="240"/>
      <c r="CY250" s="240"/>
      <c r="CZ250" s="241"/>
      <c r="DA250" s="241"/>
      <c r="DB250" s="241"/>
      <c r="DC250" s="241"/>
      <c r="DD250" s="241"/>
      <c r="DE250" s="241"/>
      <c r="DF250" s="241"/>
      <c r="DG250" s="241"/>
      <c r="DH250" s="241"/>
      <c r="DI250" s="241"/>
      <c r="DJ250" s="241"/>
      <c r="DK250" s="241"/>
      <c r="DL250" s="241"/>
      <c r="DM250" s="241"/>
      <c r="DN250" s="241"/>
      <c r="DO250" s="241"/>
      <c r="DP250" s="241"/>
      <c r="DQ250" s="241"/>
      <c r="DR250" s="241"/>
      <c r="DS250" s="241"/>
      <c r="DT250" s="241"/>
      <c r="DU250" s="241"/>
      <c r="DV250" s="241"/>
      <c r="DW250" s="241"/>
      <c r="DX250" s="241"/>
      <c r="DY250" s="241"/>
      <c r="DZ250" s="241"/>
      <c r="EA250" s="241"/>
      <c r="EB250" s="241"/>
      <c r="EC250" s="241"/>
      <c r="ED250" s="241"/>
      <c r="EE250" s="241"/>
      <c r="EF250" s="241"/>
      <c r="EG250" s="241"/>
      <c r="EH250" s="241"/>
      <c r="EI250" s="241"/>
      <c r="EJ250" s="241"/>
      <c r="EK250" s="241"/>
      <c r="EL250" s="345"/>
      <c r="EM250" s="242" t="e">
        <f>EM287</f>
        <v>#REF!</v>
      </c>
      <c r="EN250" s="242" t="e">
        <f>EN287</f>
        <v>#REF!</v>
      </c>
      <c r="EO250" s="242" t="e">
        <f>EO287</f>
        <v>#REF!</v>
      </c>
      <c r="EP250" s="242" t="e">
        <f>EP287</f>
        <v>#REF!</v>
      </c>
      <c r="EQ250" s="312" t="s">
        <v>903</v>
      </c>
      <c r="ES250" s="800">
        <f>A250</f>
        <v>9</v>
      </c>
      <c r="ET250" s="226"/>
    </row>
    <row r="251" spans="1:150" s="243" customFormat="1" ht="11.25" customHeight="1">
      <c r="B251" s="343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  <c r="BV251" s="240"/>
      <c r="BW251" s="240"/>
      <c r="BX251" s="240"/>
      <c r="BY251" s="240"/>
      <c r="BZ251" s="240"/>
      <c r="CA251" s="240"/>
      <c r="CB251" s="240"/>
      <c r="CC251" s="240"/>
      <c r="CD251" s="240"/>
      <c r="CE251" s="240"/>
      <c r="CF251" s="240"/>
      <c r="CG251" s="240"/>
      <c r="CH251" s="240"/>
      <c r="CI251" s="240"/>
      <c r="CJ251" s="240"/>
      <c r="CK251" s="240"/>
      <c r="CL251" s="240"/>
      <c r="CM251" s="240"/>
      <c r="CN251" s="240"/>
      <c r="CO251" s="240"/>
      <c r="CP251" s="240"/>
      <c r="CQ251" s="240"/>
      <c r="CR251" s="240"/>
      <c r="CS251" s="240"/>
      <c r="CT251" s="240"/>
      <c r="CU251" s="240"/>
      <c r="CV251" s="240"/>
      <c r="CW251" s="240"/>
      <c r="CX251" s="240"/>
      <c r="CY251" s="240"/>
      <c r="CZ251" s="241"/>
      <c r="DA251" s="241"/>
      <c r="DB251" s="241"/>
      <c r="DC251" s="241"/>
      <c r="DD251" s="241"/>
      <c r="DE251" s="241"/>
      <c r="DF251" s="241"/>
      <c r="DG251" s="241"/>
      <c r="DH251" s="241"/>
      <c r="DI251" s="241"/>
      <c r="DJ251" s="241"/>
      <c r="DK251" s="241"/>
      <c r="DL251" s="241"/>
      <c r="DM251" s="241"/>
      <c r="DN251" s="241"/>
      <c r="DO251" s="241"/>
      <c r="DP251" s="241"/>
      <c r="DQ251" s="241"/>
      <c r="DR251" s="241"/>
      <c r="DS251" s="241"/>
      <c r="DT251" s="241"/>
      <c r="DU251" s="241"/>
      <c r="DV251" s="241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345"/>
      <c r="EM251" s="245"/>
      <c r="EN251" s="245"/>
      <c r="EO251" s="245"/>
      <c r="EP251" s="245"/>
      <c r="EQ251" s="351"/>
    </row>
    <row r="252" spans="1:150" s="243" customFormat="1" ht="11.25" customHeight="1">
      <c r="B252" s="343"/>
      <c r="C252" s="240"/>
      <c r="D252" s="240"/>
      <c r="E252" s="240" t="s">
        <v>674</v>
      </c>
      <c r="F252" s="240"/>
      <c r="G252" s="240"/>
      <c r="H252" s="240" t="s">
        <v>691</v>
      </c>
      <c r="I252" s="240"/>
      <c r="J252" s="240"/>
      <c r="K252" s="240"/>
      <c r="L252" s="240"/>
      <c r="M252" s="240"/>
      <c r="N252" s="240"/>
      <c r="O252" s="240"/>
      <c r="P252" s="240"/>
      <c r="Q252" s="240"/>
      <c r="R252" s="240" t="s">
        <v>827</v>
      </c>
      <c r="S252" s="240"/>
      <c r="T252" s="240"/>
      <c r="U252" s="240"/>
      <c r="V252" s="240"/>
      <c r="W252" s="240"/>
      <c r="X252" s="240"/>
      <c r="Y252" s="240"/>
      <c r="Z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  <c r="BV252" s="240"/>
      <c r="BW252" s="240"/>
      <c r="BX252" s="240"/>
      <c r="BY252" s="240"/>
      <c r="BZ252" s="240"/>
      <c r="CA252" s="240"/>
      <c r="CB252" s="240"/>
      <c r="CC252" s="240"/>
      <c r="CD252" s="240"/>
      <c r="CE252" s="240"/>
      <c r="CF252" s="240"/>
      <c r="CG252" s="240"/>
      <c r="CH252" s="240"/>
      <c r="CI252" s="240"/>
      <c r="CJ252" s="240"/>
      <c r="CK252" s="240"/>
      <c r="CL252" s="240"/>
      <c r="CM252" s="240"/>
      <c r="CN252" s="240"/>
      <c r="CO252" s="240"/>
      <c r="CP252" s="240"/>
      <c r="CQ252" s="240"/>
      <c r="CR252" s="240"/>
      <c r="CS252" s="240"/>
      <c r="CT252" s="240"/>
      <c r="CU252" s="240"/>
      <c r="CV252" s="240"/>
      <c r="CW252" s="240"/>
      <c r="CX252" s="240"/>
      <c r="CY252" s="240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1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345"/>
      <c r="EM252" s="245"/>
      <c r="EN252" s="245"/>
      <c r="EO252" s="245"/>
      <c r="EP252" s="245"/>
      <c r="EQ252" s="351"/>
    </row>
    <row r="253" spans="1:150" s="243" customFormat="1" ht="11.25" customHeight="1">
      <c r="B253" s="343"/>
      <c r="C253" s="240"/>
      <c r="D253" s="240"/>
      <c r="E253" s="240"/>
      <c r="F253" s="240"/>
      <c r="G253" s="240"/>
      <c r="H253" s="240"/>
      <c r="I253" s="240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  <c r="BV253" s="240"/>
      <c r="BW253" s="240"/>
      <c r="BX253" s="240"/>
      <c r="BY253" s="240"/>
      <c r="BZ253" s="240"/>
      <c r="CA253" s="240"/>
      <c r="CB253" s="240"/>
      <c r="CC253" s="240"/>
      <c r="CD253" s="240"/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1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345"/>
      <c r="EM253" s="245"/>
      <c r="EN253" s="245"/>
      <c r="EO253" s="245"/>
      <c r="EP253" s="245"/>
      <c r="EQ253" s="351"/>
    </row>
    <row r="254" spans="1:150" s="243" customFormat="1" ht="11.25" customHeight="1">
      <c r="B254" s="343"/>
      <c r="C254" s="240"/>
      <c r="D254" s="240"/>
      <c r="E254" s="240"/>
      <c r="F254" s="240"/>
      <c r="G254" s="240"/>
      <c r="H254" s="240" t="s">
        <v>773</v>
      </c>
      <c r="I254" s="240"/>
      <c r="J254" s="240" t="s">
        <v>134</v>
      </c>
      <c r="K254" s="240"/>
      <c r="L254" s="240" t="str">
        <f>TEXT(0.2,"#,##0.#######")</f>
        <v>0.2</v>
      </c>
      <c r="M254" s="240"/>
      <c r="N254" s="240"/>
      <c r="O254" s="240" t="s">
        <v>91</v>
      </c>
      <c r="P254" s="240"/>
      <c r="Q254" s="240"/>
      <c r="R254" s="240"/>
      <c r="S254" s="240"/>
      <c r="T254" s="240"/>
      <c r="U254" s="240"/>
      <c r="V254" s="240"/>
      <c r="W254" s="240" t="s">
        <v>774</v>
      </c>
      <c r="X254" s="240"/>
      <c r="Y254" s="240" t="s">
        <v>134</v>
      </c>
      <c r="Z254" s="240"/>
      <c r="AA254" s="240" t="str">
        <f>TEXT(0.98,"#,##0.#######")</f>
        <v>0.98</v>
      </c>
      <c r="AB254" s="240"/>
      <c r="AC254" s="240"/>
      <c r="AD254" s="240"/>
      <c r="AE254" s="240"/>
      <c r="AF254" s="240" t="s">
        <v>139</v>
      </c>
      <c r="AG254" s="240"/>
      <c r="AH254" s="240" t="str">
        <f>TEXT(1.24,"#,##0.#######")</f>
        <v>1.24</v>
      </c>
      <c r="AI254" s="240"/>
      <c r="AJ254" s="240"/>
      <c r="AK254" s="240"/>
      <c r="AL254" s="240"/>
      <c r="AM254" s="240" t="s">
        <v>134</v>
      </c>
      <c r="AN254" s="240"/>
      <c r="AO254" s="240" t="str">
        <f>TEXT(ROUND(AA254/AH254,2),"#,##0.#######")</f>
        <v>0.79</v>
      </c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 t="s">
        <v>775</v>
      </c>
      <c r="BA254" s="240"/>
      <c r="BB254" s="240" t="s">
        <v>134</v>
      </c>
      <c r="BC254" s="240"/>
      <c r="BD254" s="240" t="str">
        <f>TEXT(1.1,"#,##0.#######")</f>
        <v>1.1</v>
      </c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  <c r="BV254" s="240"/>
      <c r="BW254" s="240"/>
      <c r="BX254" s="240"/>
      <c r="BY254" s="240"/>
      <c r="BZ254" s="240"/>
      <c r="CA254" s="240"/>
      <c r="CB254" s="240"/>
      <c r="CC254" s="240"/>
      <c r="CD254" s="240"/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1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345"/>
      <c r="EM254" s="245"/>
      <c r="EN254" s="245"/>
      <c r="EO254" s="245"/>
      <c r="EP254" s="245"/>
      <c r="EQ254" s="351"/>
    </row>
    <row r="255" spans="1:150" s="243" customFormat="1" ht="11.25" customHeight="1">
      <c r="B255" s="343"/>
      <c r="C255" s="240"/>
      <c r="D255" s="240"/>
      <c r="E255" s="240"/>
      <c r="F255" s="240"/>
      <c r="G255" s="240"/>
      <c r="H255" s="240"/>
      <c r="I255" s="240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  <c r="BT255" s="240"/>
      <c r="BU255" s="240"/>
      <c r="BV255" s="240"/>
      <c r="BW255" s="240"/>
      <c r="BX255" s="240"/>
      <c r="BY255" s="240"/>
      <c r="BZ255" s="240"/>
      <c r="CA255" s="240"/>
      <c r="CB255" s="240"/>
      <c r="CC255" s="240"/>
      <c r="CD255" s="240"/>
      <c r="CE255" s="240"/>
      <c r="CF255" s="240"/>
      <c r="CG255" s="240"/>
      <c r="CH255" s="240"/>
      <c r="CI255" s="240"/>
      <c r="CJ255" s="240"/>
      <c r="CK255" s="240"/>
      <c r="CL255" s="240"/>
      <c r="CM255" s="240"/>
      <c r="CN255" s="240"/>
      <c r="CO255" s="240"/>
      <c r="CP255" s="240"/>
      <c r="CQ255" s="240"/>
      <c r="CR255" s="240"/>
      <c r="CS255" s="240"/>
      <c r="CT255" s="240"/>
      <c r="CU255" s="240"/>
      <c r="CV255" s="240"/>
      <c r="CW255" s="240"/>
      <c r="CX255" s="240"/>
      <c r="CY255" s="240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1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345"/>
      <c r="EM255" s="245"/>
      <c r="EN255" s="245"/>
      <c r="EO255" s="245"/>
      <c r="EP255" s="245"/>
      <c r="EQ255" s="351"/>
    </row>
    <row r="256" spans="1:150" s="243" customFormat="1" ht="11.25" customHeight="1">
      <c r="B256" s="343"/>
      <c r="C256" s="240"/>
      <c r="D256" s="240"/>
      <c r="E256" s="240"/>
      <c r="F256" s="240"/>
      <c r="G256" s="240"/>
      <c r="H256" s="240" t="s">
        <v>692</v>
      </c>
      <c r="I256" s="240"/>
      <c r="J256" s="240" t="s">
        <v>134</v>
      </c>
      <c r="K256" s="240"/>
      <c r="L256" s="240" t="s">
        <v>147</v>
      </c>
      <c r="M256" s="240" t="str">
        <f>TEXT(0.75,"#,##0.#######")</f>
        <v>0.75</v>
      </c>
      <c r="N256" s="240"/>
      <c r="O256" s="240"/>
      <c r="P256" s="240"/>
      <c r="Q256" s="240" t="s">
        <v>130</v>
      </c>
      <c r="R256" s="240" t="str">
        <f>TEXT(0.65,"#,##0.#######")</f>
        <v>0.65</v>
      </c>
      <c r="S256" s="240"/>
      <c r="T256" s="240"/>
      <c r="U256" s="240"/>
      <c r="V256" s="240" t="s">
        <v>148</v>
      </c>
      <c r="W256" s="240" t="s">
        <v>139</v>
      </c>
      <c r="X256" s="240" t="str">
        <f>TEXT(2,"#,##0.#######")</f>
        <v>2.</v>
      </c>
      <c r="Y256" s="240"/>
      <c r="Z256" s="240" t="s">
        <v>134</v>
      </c>
      <c r="AA256" s="240"/>
      <c r="AB256" s="240" t="str">
        <f>TEXT(ROUND((M256+R256)/X256,2),"#,##0.#######")</f>
        <v>0.7</v>
      </c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 t="s">
        <v>693</v>
      </c>
      <c r="AM256" s="240"/>
      <c r="AN256" s="240"/>
      <c r="AO256" s="240" t="s">
        <v>134</v>
      </c>
      <c r="AP256" s="240"/>
      <c r="AQ256" s="240" t="str">
        <f>TEXT(18,"#,##0.#######")</f>
        <v>18.</v>
      </c>
      <c r="AR256" s="240"/>
      <c r="AS256" s="240" t="s">
        <v>776</v>
      </c>
      <c r="AT256" s="240"/>
      <c r="AU256" s="240"/>
      <c r="AV256" s="240"/>
      <c r="AW256" s="240" t="s">
        <v>147</v>
      </c>
      <c r="AX256" s="240" t="s">
        <v>553</v>
      </c>
      <c r="AY256" s="240"/>
      <c r="AZ256" s="240"/>
      <c r="BA256" s="240" t="s">
        <v>777</v>
      </c>
      <c r="BB256" s="240"/>
      <c r="BC256" s="240" t="s">
        <v>148</v>
      </c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  <c r="BT256" s="240"/>
      <c r="BU256" s="240"/>
      <c r="BV256" s="240"/>
      <c r="BW256" s="240"/>
      <c r="BX256" s="240"/>
      <c r="BY256" s="240"/>
      <c r="BZ256" s="240"/>
      <c r="CA256" s="240"/>
      <c r="CB256" s="240"/>
      <c r="CC256" s="240"/>
      <c r="CD256" s="240"/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1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345"/>
      <c r="EM256" s="245"/>
      <c r="EN256" s="245"/>
      <c r="EO256" s="245"/>
      <c r="EP256" s="245"/>
      <c r="EQ256" s="351"/>
    </row>
    <row r="257" spans="2:147" s="243" customFormat="1" ht="11.25" customHeight="1">
      <c r="B257" s="343"/>
      <c r="C257" s="240"/>
      <c r="D257" s="240"/>
      <c r="E257" s="240"/>
      <c r="F257" s="240"/>
      <c r="G257" s="240"/>
      <c r="H257" s="240"/>
      <c r="I257" s="240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  <c r="BT257" s="240"/>
      <c r="BU257" s="240"/>
      <c r="BV257" s="240"/>
      <c r="BW257" s="240"/>
      <c r="BX257" s="240"/>
      <c r="BY257" s="240"/>
      <c r="BZ257" s="240"/>
      <c r="CA257" s="240"/>
      <c r="CB257" s="240"/>
      <c r="CC257" s="240"/>
      <c r="CD257" s="240"/>
      <c r="CE257" s="240"/>
      <c r="CF257" s="240"/>
      <c r="CG257" s="240"/>
      <c r="CH257" s="240"/>
      <c r="CI257" s="240"/>
      <c r="CJ257" s="240"/>
      <c r="CK257" s="240"/>
      <c r="CL257" s="240"/>
      <c r="CM257" s="240"/>
      <c r="CN257" s="240"/>
      <c r="CO257" s="240"/>
      <c r="CP257" s="240"/>
      <c r="CQ257" s="240"/>
      <c r="CR257" s="240"/>
      <c r="CS257" s="240"/>
      <c r="CT257" s="240"/>
      <c r="CU257" s="240"/>
      <c r="CV257" s="240"/>
      <c r="CW257" s="240"/>
      <c r="CX257" s="240"/>
      <c r="CY257" s="240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1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345"/>
      <c r="EM257" s="245"/>
      <c r="EN257" s="245"/>
      <c r="EO257" s="245"/>
      <c r="EP257" s="245"/>
      <c r="EQ257" s="351"/>
    </row>
    <row r="258" spans="2:147" s="243" customFormat="1" ht="11.25" customHeight="1">
      <c r="B258" s="343"/>
      <c r="C258" s="240"/>
      <c r="D258" s="240"/>
      <c r="E258" s="240"/>
      <c r="F258" s="240"/>
      <c r="G258" s="240"/>
      <c r="H258" s="240"/>
      <c r="I258" s="240"/>
      <c r="J258" s="240"/>
      <c r="K258" s="240"/>
      <c r="L258" s="240"/>
      <c r="M258" s="240" t="str">
        <f>TEXT(3600,"#,##0.#######")</f>
        <v>3,600.</v>
      </c>
      <c r="N258" s="240"/>
      <c r="O258" s="240"/>
      <c r="P258" s="240"/>
      <c r="Q258" s="240"/>
      <c r="R258" s="240" t="s">
        <v>652</v>
      </c>
      <c r="S258" s="240"/>
      <c r="T258" s="240" t="s">
        <v>773</v>
      </c>
      <c r="U258" s="240" t="s">
        <v>652</v>
      </c>
      <c r="V258" s="240"/>
      <c r="W258" s="240" t="s">
        <v>775</v>
      </c>
      <c r="X258" s="240" t="s">
        <v>652</v>
      </c>
      <c r="Y258" s="240"/>
      <c r="Z258" s="240" t="s">
        <v>774</v>
      </c>
      <c r="AA258" s="240" t="s">
        <v>652</v>
      </c>
      <c r="AB258" s="240"/>
      <c r="AC258" s="240" t="s">
        <v>692</v>
      </c>
      <c r="AD258" s="240"/>
      <c r="AE258" s="240"/>
      <c r="AF258" s="240"/>
      <c r="AG258" s="240"/>
      <c r="AH258" s="240"/>
      <c r="AI258" s="240"/>
      <c r="AJ258" s="240" t="str">
        <f>TEXT(M258,"#,##0.#######")</f>
        <v>3,600.</v>
      </c>
      <c r="AK258" s="240"/>
      <c r="AL258" s="240"/>
      <c r="AM258" s="240"/>
      <c r="AN258" s="240"/>
      <c r="AO258" s="240" t="s">
        <v>652</v>
      </c>
      <c r="AP258" s="240"/>
      <c r="AQ258" s="240" t="str">
        <f>TEXT(L254,"#,##0.#######")</f>
        <v>0.2</v>
      </c>
      <c r="AR258" s="240"/>
      <c r="AS258" s="240"/>
      <c r="AT258" s="240" t="s">
        <v>652</v>
      </c>
      <c r="AU258" s="240"/>
      <c r="AV258" s="240" t="str">
        <f>TEXT(BD254,"#,##0.#######")</f>
        <v>1.1</v>
      </c>
      <c r="AW258" s="240"/>
      <c r="AX258" s="240"/>
      <c r="AY258" s="240" t="s">
        <v>652</v>
      </c>
      <c r="AZ258" s="240"/>
      <c r="BA258" s="240" t="str">
        <f>TEXT(AO254,"#,##0.#######")</f>
        <v>0.79</v>
      </c>
      <c r="BB258" s="240"/>
      <c r="BC258" s="240"/>
      <c r="BD258" s="240"/>
      <c r="BE258" s="240" t="s">
        <v>652</v>
      </c>
      <c r="BF258" s="240"/>
      <c r="BG258" s="240" t="str">
        <f>TEXT(AB256,"#,##0.#######")</f>
        <v>0.7</v>
      </c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  <c r="BT258" s="240"/>
      <c r="BU258" s="240"/>
      <c r="BV258" s="240"/>
      <c r="BW258" s="240"/>
      <c r="BX258" s="240"/>
      <c r="BY258" s="240"/>
      <c r="BZ258" s="240"/>
      <c r="CA258" s="240"/>
      <c r="CB258" s="240"/>
      <c r="CC258" s="240"/>
      <c r="CD258" s="240"/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1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345"/>
      <c r="EM258" s="245"/>
      <c r="EN258" s="245"/>
      <c r="EO258" s="245"/>
      <c r="EP258" s="245"/>
      <c r="EQ258" s="351"/>
    </row>
    <row r="259" spans="2:147" s="243" customFormat="1" ht="11.25" customHeight="1">
      <c r="B259" s="343"/>
      <c r="C259" s="240"/>
      <c r="D259" s="240"/>
      <c r="E259" s="240"/>
      <c r="F259" s="240"/>
      <c r="G259" s="240"/>
      <c r="H259" s="240" t="s">
        <v>687</v>
      </c>
      <c r="I259" s="240"/>
      <c r="J259" s="240" t="s">
        <v>134</v>
      </c>
      <c r="K259" s="240"/>
      <c r="L259" s="240" t="s">
        <v>694</v>
      </c>
      <c r="M259" s="240"/>
      <c r="N259" s="240" t="s">
        <v>694</v>
      </c>
      <c r="O259" s="240"/>
      <c r="P259" s="240" t="s">
        <v>694</v>
      </c>
      <c r="Q259" s="240"/>
      <c r="R259" s="240" t="s">
        <v>694</v>
      </c>
      <c r="S259" s="240"/>
      <c r="T259" s="240" t="s">
        <v>694</v>
      </c>
      <c r="U259" s="240"/>
      <c r="V259" s="240" t="s">
        <v>694</v>
      </c>
      <c r="W259" s="240"/>
      <c r="X259" s="240" t="s">
        <v>694</v>
      </c>
      <c r="Y259" s="240"/>
      <c r="Z259" s="240" t="s">
        <v>694</v>
      </c>
      <c r="AA259" s="240"/>
      <c r="AB259" s="240" t="s">
        <v>694</v>
      </c>
      <c r="AC259" s="240"/>
      <c r="AD259" s="240" t="s">
        <v>694</v>
      </c>
      <c r="AE259" s="240"/>
      <c r="AF259" s="240"/>
      <c r="AG259" s="240" t="s">
        <v>134</v>
      </c>
      <c r="AH259" s="240"/>
      <c r="AI259" s="240" t="s">
        <v>694</v>
      </c>
      <c r="AJ259" s="240"/>
      <c r="AK259" s="240" t="s">
        <v>694</v>
      </c>
      <c r="AL259" s="240"/>
      <c r="AM259" s="240" t="s">
        <v>694</v>
      </c>
      <c r="AN259" s="240"/>
      <c r="AO259" s="240" t="s">
        <v>694</v>
      </c>
      <c r="AP259" s="240"/>
      <c r="AQ259" s="240" t="s">
        <v>694</v>
      </c>
      <c r="AR259" s="240"/>
      <c r="AS259" s="240" t="s">
        <v>694</v>
      </c>
      <c r="AT259" s="240"/>
      <c r="AU259" s="240" t="s">
        <v>694</v>
      </c>
      <c r="AV259" s="240"/>
      <c r="AW259" s="240" t="s">
        <v>694</v>
      </c>
      <c r="AX259" s="240"/>
      <c r="AY259" s="240" t="s">
        <v>694</v>
      </c>
      <c r="AZ259" s="240"/>
      <c r="BA259" s="240" t="s">
        <v>694</v>
      </c>
      <c r="BB259" s="240"/>
      <c r="BC259" s="240" t="s">
        <v>694</v>
      </c>
      <c r="BD259" s="240"/>
      <c r="BE259" s="240" t="s">
        <v>694</v>
      </c>
      <c r="BF259" s="240"/>
      <c r="BG259" s="240" t="s">
        <v>694</v>
      </c>
      <c r="BH259" s="240"/>
      <c r="BI259" s="240" t="s">
        <v>694</v>
      </c>
      <c r="BJ259" s="240"/>
      <c r="BK259" s="240" t="s">
        <v>134</v>
      </c>
      <c r="BL259" s="240" t="str">
        <f>TEXT(ROUND((3600*L254*BD254*AO254*AB256)/(AQ256),2),"#,##0.#######")</f>
        <v>24.33</v>
      </c>
      <c r="BN259" s="240"/>
      <c r="BO259" s="240" t="s">
        <v>91</v>
      </c>
      <c r="BP259" s="240"/>
      <c r="BQ259" s="240" t="s">
        <v>139</v>
      </c>
      <c r="BR259" s="240" t="s">
        <v>618</v>
      </c>
      <c r="BS259" s="240"/>
      <c r="BT259" s="240"/>
      <c r="BU259" s="240"/>
      <c r="BV259" s="240"/>
      <c r="BW259" s="240"/>
      <c r="BX259" s="240"/>
      <c r="BY259" s="240"/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  <c r="CK259" s="240"/>
      <c r="CL259" s="240"/>
      <c r="CM259" s="240"/>
      <c r="CN259" s="240"/>
      <c r="CO259" s="240"/>
      <c r="CP259" s="240"/>
      <c r="CQ259" s="240"/>
      <c r="CR259" s="240"/>
      <c r="CS259" s="240"/>
      <c r="CT259" s="240"/>
      <c r="CU259" s="240"/>
      <c r="CV259" s="240"/>
      <c r="CW259" s="240"/>
      <c r="CX259" s="240"/>
      <c r="CY259" s="240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1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345"/>
      <c r="EM259" s="245"/>
      <c r="EN259" s="245"/>
      <c r="EO259" s="245"/>
      <c r="EP259" s="245"/>
      <c r="EQ259" s="351"/>
    </row>
    <row r="260" spans="2:147" s="243" customFormat="1" ht="11.25" customHeight="1">
      <c r="B260" s="343"/>
      <c r="C260" s="240"/>
      <c r="D260" s="240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 t="s">
        <v>693</v>
      </c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 t="str">
        <f>TEXT(AQ256,"#,##0.#######")</f>
        <v>18.</v>
      </c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  <c r="BT260" s="240"/>
      <c r="BU260" s="240"/>
      <c r="BV260" s="240"/>
      <c r="BW260" s="240"/>
      <c r="BX260" s="240"/>
      <c r="BY260" s="240"/>
      <c r="BZ260" s="240"/>
      <c r="CA260" s="240"/>
      <c r="CB260" s="240"/>
      <c r="CC260" s="240"/>
      <c r="CD260" s="240"/>
      <c r="CE260" s="240"/>
      <c r="CF260" s="240"/>
      <c r="CG260" s="240"/>
      <c r="CH260" s="240"/>
      <c r="CI260" s="240"/>
      <c r="CJ260" s="240"/>
      <c r="CK260" s="240"/>
      <c r="CL260" s="240"/>
      <c r="CM260" s="240"/>
      <c r="CN260" s="240"/>
      <c r="CO260" s="240"/>
      <c r="CP260" s="240"/>
      <c r="CQ260" s="240"/>
      <c r="CR260" s="240"/>
      <c r="CS260" s="240"/>
      <c r="CT260" s="240"/>
      <c r="CU260" s="240"/>
      <c r="CV260" s="240"/>
      <c r="CW260" s="240"/>
      <c r="CX260" s="240"/>
      <c r="CY260" s="240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1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345"/>
      <c r="EM260" s="245"/>
      <c r="EN260" s="245"/>
      <c r="EO260" s="245"/>
      <c r="EP260" s="245"/>
      <c r="EQ260" s="351"/>
    </row>
    <row r="261" spans="2:147" s="243" customFormat="1" ht="11.25" customHeight="1">
      <c r="B261" s="343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1"/>
      <c r="DA261" s="241"/>
      <c r="DB261" s="241"/>
      <c r="DC261" s="241"/>
      <c r="DD261" s="241"/>
      <c r="DE261" s="241"/>
      <c r="DF261" s="241"/>
      <c r="DG261" s="241"/>
      <c r="DH261" s="241"/>
      <c r="DI261" s="241"/>
      <c r="DJ261" s="241"/>
      <c r="DK261" s="241"/>
      <c r="DL261" s="241"/>
      <c r="DM261" s="241"/>
      <c r="DN261" s="241"/>
      <c r="DO261" s="241"/>
      <c r="DP261" s="241"/>
      <c r="DQ261" s="241"/>
      <c r="DR261" s="241"/>
      <c r="DS261" s="241"/>
      <c r="DT261" s="241"/>
      <c r="DU261" s="241"/>
      <c r="DV261" s="241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345"/>
      <c r="EM261" s="245"/>
      <c r="EN261" s="245"/>
      <c r="EO261" s="245"/>
      <c r="EP261" s="245"/>
      <c r="EQ261" s="351"/>
    </row>
    <row r="262" spans="2:147" s="243" customFormat="1" ht="11.25" customHeight="1">
      <c r="B262" s="343"/>
      <c r="C262" s="240"/>
      <c r="D262" s="240"/>
      <c r="E262" s="240"/>
      <c r="F262" s="240"/>
      <c r="G262" s="240"/>
      <c r="H262" s="240" t="s">
        <v>616</v>
      </c>
      <c r="I262" s="240"/>
      <c r="J262" s="240"/>
      <c r="K262" s="240"/>
      <c r="L262" s="240"/>
      <c r="M262" s="240"/>
      <c r="N262" s="240"/>
      <c r="O262" s="240" t="s">
        <v>132</v>
      </c>
      <c r="P262" s="240"/>
      <c r="Q262" s="1780" t="e">
        <f>#REF!</f>
        <v>#REF!</v>
      </c>
      <c r="R262" s="1780"/>
      <c r="S262" s="1780"/>
      <c r="T262" s="1780"/>
      <c r="U262" s="1780"/>
      <c r="V262" s="240"/>
      <c r="W262" s="240" t="s">
        <v>683</v>
      </c>
      <c r="X262" s="240"/>
      <c r="Y262" s="240"/>
      <c r="Z262" s="240" t="str">
        <f>TEXT(BL259,"#,##0.#######")</f>
        <v>24.33</v>
      </c>
      <c r="AA262" s="240"/>
      <c r="AB262" s="240"/>
      <c r="AC262" s="240"/>
      <c r="AD262" s="240" t="s">
        <v>134</v>
      </c>
      <c r="AE262" s="240"/>
      <c r="AF262" s="240"/>
      <c r="AG262" s="240"/>
      <c r="AH262" s="240" t="e">
        <f>TEXT(TRUNC(Q262/BL259,1),"#,##0.#")</f>
        <v>#REF!</v>
      </c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240"/>
      <c r="BW262" s="240"/>
      <c r="BX262" s="240"/>
      <c r="BY262" s="240"/>
      <c r="BZ262" s="240"/>
      <c r="CA262" s="240"/>
      <c r="CB262" s="240"/>
      <c r="CC262" s="240"/>
      <c r="CD262" s="240"/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1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345"/>
      <c r="EM262" s="245"/>
      <c r="EN262" s="245"/>
      <c r="EO262" s="245"/>
      <c r="EP262" s="245"/>
      <c r="EQ262" s="351"/>
    </row>
    <row r="263" spans="2:147" s="243" customFormat="1" ht="11.25" customHeight="1">
      <c r="B263" s="343"/>
      <c r="C263" s="240"/>
      <c r="D263" s="240"/>
      <c r="E263" s="240"/>
      <c r="F263" s="240"/>
      <c r="G263" s="240"/>
      <c r="H263" s="240" t="s">
        <v>617</v>
      </c>
      <c r="I263" s="240"/>
      <c r="J263" s="240"/>
      <c r="K263" s="240"/>
      <c r="L263" s="240"/>
      <c r="M263" s="240"/>
      <c r="N263" s="240"/>
      <c r="O263" s="240" t="s">
        <v>132</v>
      </c>
      <c r="P263" s="240"/>
      <c r="Q263" s="1780" t="e">
        <f>#REF!</f>
        <v>#REF!</v>
      </c>
      <c r="R263" s="1780"/>
      <c r="S263" s="1780"/>
      <c r="T263" s="1780"/>
      <c r="U263" s="1780"/>
      <c r="V263" s="240"/>
      <c r="W263" s="240" t="s">
        <v>683</v>
      </c>
      <c r="X263" s="240"/>
      <c r="Y263" s="240"/>
      <c r="Z263" s="240" t="str">
        <f>TEXT(BL259,"#,##0.#######")</f>
        <v>24.33</v>
      </c>
      <c r="AA263" s="240"/>
      <c r="AB263" s="240"/>
      <c r="AC263" s="240"/>
      <c r="AD263" s="240" t="s">
        <v>134</v>
      </c>
      <c r="AE263" s="240"/>
      <c r="AF263" s="240"/>
      <c r="AG263" s="240"/>
      <c r="AH263" s="240" t="e">
        <f>TEXT(TRUNC(Q263/BL259,1),"#,##0.#")</f>
        <v>#REF!</v>
      </c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240"/>
      <c r="BW263" s="240"/>
      <c r="BX263" s="240"/>
      <c r="BY263" s="240"/>
      <c r="BZ263" s="24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1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345"/>
      <c r="EM263" s="245"/>
      <c r="EN263" s="245"/>
      <c r="EO263" s="245"/>
      <c r="EP263" s="245"/>
      <c r="EQ263" s="351"/>
    </row>
    <row r="264" spans="2:147" s="243" customFormat="1" ht="11.25" customHeight="1">
      <c r="B264" s="343"/>
      <c r="C264" s="240"/>
      <c r="D264" s="240"/>
      <c r="E264" s="240"/>
      <c r="F264" s="240"/>
      <c r="G264" s="240"/>
      <c r="H264" s="240" t="s">
        <v>679</v>
      </c>
      <c r="I264" s="240"/>
      <c r="J264" s="240"/>
      <c r="K264" s="240"/>
      <c r="L264" s="240" t="s">
        <v>680</v>
      </c>
      <c r="M264" s="240"/>
      <c r="N264" s="240"/>
      <c r="O264" s="240" t="s">
        <v>132</v>
      </c>
      <c r="P264" s="240"/>
      <c r="Q264" s="1780" t="e">
        <f>#REF!</f>
        <v>#REF!</v>
      </c>
      <c r="R264" s="1780"/>
      <c r="S264" s="1780"/>
      <c r="T264" s="1780"/>
      <c r="U264" s="1780"/>
      <c r="V264" s="240"/>
      <c r="W264" s="240" t="s">
        <v>683</v>
      </c>
      <c r="X264" s="240"/>
      <c r="Y264" s="240"/>
      <c r="Z264" s="240" t="str">
        <f>TEXT(BL259,"#,##0.#######")</f>
        <v>24.33</v>
      </c>
      <c r="AA264" s="240"/>
      <c r="AB264" s="240"/>
      <c r="AC264" s="240"/>
      <c r="AD264" s="240" t="s">
        <v>134</v>
      </c>
      <c r="AE264" s="240"/>
      <c r="AF264" s="240"/>
      <c r="AG264" s="240"/>
      <c r="AH264" s="240" t="e">
        <f>TEXT(TRUNC(Q264/BL259,1),"#,##0.#")</f>
        <v>#REF!</v>
      </c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240"/>
      <c r="BW264" s="240"/>
      <c r="BX264" s="240"/>
      <c r="BY264" s="240"/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1"/>
      <c r="DA264" s="241"/>
      <c r="DB264" s="241"/>
      <c r="DC264" s="241"/>
      <c r="DD264" s="241"/>
      <c r="DE264" s="241"/>
      <c r="DF264" s="241"/>
      <c r="DG264" s="241"/>
      <c r="DH264" s="241"/>
      <c r="DI264" s="241"/>
      <c r="DJ264" s="241"/>
      <c r="DK264" s="241"/>
      <c r="DL264" s="241"/>
      <c r="DM264" s="241"/>
      <c r="DN264" s="241"/>
      <c r="DO264" s="241"/>
      <c r="DP264" s="241"/>
      <c r="DQ264" s="241"/>
      <c r="DR264" s="241"/>
      <c r="DS264" s="241"/>
      <c r="DT264" s="241"/>
      <c r="DU264" s="241"/>
      <c r="DV264" s="241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345"/>
      <c r="EM264" s="245"/>
      <c r="EN264" s="245"/>
      <c r="EO264" s="245"/>
      <c r="EP264" s="245"/>
      <c r="EQ264" s="351"/>
    </row>
    <row r="265" spans="2:147" s="243" customFormat="1" ht="11.25" customHeight="1">
      <c r="B265" s="343"/>
      <c r="C265" s="240"/>
      <c r="D265" s="240"/>
      <c r="E265" s="240"/>
      <c r="F265" s="240"/>
      <c r="G265" s="240"/>
      <c r="H265" s="240" t="s">
        <v>688</v>
      </c>
      <c r="I265" s="240"/>
      <c r="J265" s="240"/>
      <c r="K265" s="240"/>
      <c r="L265" s="240" t="s">
        <v>96</v>
      </c>
      <c r="M265" s="240"/>
      <c r="N265" s="240"/>
      <c r="O265" s="240" t="s">
        <v>132</v>
      </c>
      <c r="P265" s="240"/>
      <c r="Q265" s="240" t="e">
        <f>TEXT(AH262+AH263+AH264,"#,##0.#######")</f>
        <v>#REF!</v>
      </c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240"/>
      <c r="BW265" s="240"/>
      <c r="BX265" s="240"/>
      <c r="BY265" s="240"/>
      <c r="BZ265" s="240"/>
      <c r="CA265" s="240"/>
      <c r="CB265" s="240"/>
      <c r="CC265" s="240"/>
      <c r="CD265" s="240"/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1"/>
      <c r="DA265" s="241"/>
      <c r="DB265" s="241"/>
      <c r="DC265" s="241"/>
      <c r="DD265" s="241"/>
      <c r="DE265" s="241"/>
      <c r="DF265" s="241"/>
      <c r="DG265" s="241"/>
      <c r="DH265" s="241"/>
      <c r="DI265" s="241"/>
      <c r="DJ265" s="241"/>
      <c r="DK265" s="241"/>
      <c r="DL265" s="241"/>
      <c r="DM265" s="241"/>
      <c r="DN265" s="241"/>
      <c r="DO265" s="241"/>
      <c r="DP265" s="241"/>
      <c r="DQ265" s="241"/>
      <c r="DR265" s="241"/>
      <c r="DS265" s="241"/>
      <c r="DT265" s="241"/>
      <c r="DU265" s="241"/>
      <c r="DV265" s="241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345"/>
      <c r="EM265" s="245" t="e">
        <f>EN265+EO265+EP265</f>
        <v>#REF!</v>
      </c>
      <c r="EN265" s="245" t="e">
        <f>TEXT(AH262,"#,###.0")</f>
        <v>#REF!</v>
      </c>
      <c r="EO265" s="245" t="e">
        <f>TEXT(AH263,"#,###.0")</f>
        <v>#REF!</v>
      </c>
      <c r="EP265" s="245" t="e">
        <f>TEXT(AH264,"#,###.0")</f>
        <v>#REF!</v>
      </c>
      <c r="EQ265" s="351"/>
    </row>
    <row r="266" spans="2:147" s="243" customFormat="1" ht="11.25" customHeight="1">
      <c r="B266" s="343"/>
      <c r="C266" s="240"/>
      <c r="D266" s="240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240"/>
      <c r="BW266" s="240"/>
      <c r="BX266" s="240"/>
      <c r="BY266" s="240"/>
      <c r="BZ266" s="240"/>
      <c r="CA266" s="240"/>
      <c r="CB266" s="240"/>
      <c r="CC266" s="240"/>
      <c r="CD266" s="240"/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1"/>
      <c r="DA266" s="241"/>
      <c r="DB266" s="241"/>
      <c r="DC266" s="241"/>
      <c r="DD266" s="241"/>
      <c r="DE266" s="241"/>
      <c r="DF266" s="241"/>
      <c r="DG266" s="241"/>
      <c r="DH266" s="241"/>
      <c r="DI266" s="241"/>
      <c r="DJ266" s="241"/>
      <c r="DK266" s="241"/>
      <c r="DL266" s="241"/>
      <c r="DM266" s="241"/>
      <c r="DN266" s="241"/>
      <c r="DO266" s="241"/>
      <c r="DP266" s="241"/>
      <c r="DQ266" s="241"/>
      <c r="DR266" s="241"/>
      <c r="DS266" s="241"/>
      <c r="DT266" s="241"/>
      <c r="DU266" s="241"/>
      <c r="DV266" s="241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345"/>
      <c r="EM266" s="245"/>
      <c r="EN266" s="245"/>
      <c r="EO266" s="245"/>
      <c r="EP266" s="245"/>
      <c r="EQ266" s="351"/>
    </row>
    <row r="267" spans="2:147" s="243" customFormat="1" ht="11.25" customHeight="1">
      <c r="B267" s="343"/>
      <c r="C267" s="240"/>
      <c r="D267" s="240"/>
      <c r="E267" s="240" t="s">
        <v>675</v>
      </c>
      <c r="F267" s="240"/>
      <c r="G267" s="240"/>
      <c r="H267" s="240" t="s">
        <v>690</v>
      </c>
      <c r="I267" s="240"/>
      <c r="J267" s="240"/>
      <c r="K267" s="240" t="s">
        <v>731</v>
      </c>
      <c r="L267" s="240"/>
      <c r="M267" s="240"/>
      <c r="N267" s="240" t="s">
        <v>132</v>
      </c>
      <c r="O267" s="240"/>
      <c r="P267" s="240" t="s">
        <v>735</v>
      </c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 t="s">
        <v>736</v>
      </c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240"/>
      <c r="BW267" s="240"/>
      <c r="BX267" s="240"/>
      <c r="BY267" s="240"/>
      <c r="BZ267" s="240"/>
      <c r="CA267" s="240"/>
      <c r="CB267" s="240"/>
      <c r="CC267" s="240"/>
      <c r="CD267" s="240"/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1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345"/>
      <c r="EM267" s="245"/>
      <c r="EN267" s="245"/>
      <c r="EO267" s="245"/>
      <c r="EP267" s="245"/>
      <c r="EQ267" s="351"/>
    </row>
    <row r="268" spans="2:147" s="243" customFormat="1" ht="11.25" customHeight="1">
      <c r="B268" s="343"/>
      <c r="C268" s="240"/>
      <c r="D268" s="240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240"/>
      <c r="BW268" s="240"/>
      <c r="BX268" s="240"/>
      <c r="BY268" s="240"/>
      <c r="BZ268" s="240"/>
      <c r="CA268" s="240"/>
      <c r="CB268" s="240"/>
      <c r="CC268" s="240"/>
      <c r="CD268" s="240"/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1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345"/>
      <c r="EM268" s="245"/>
      <c r="EN268" s="245"/>
      <c r="EO268" s="245"/>
      <c r="EP268" s="245"/>
      <c r="EQ268" s="351"/>
    </row>
    <row r="269" spans="2:147" s="243" customFormat="1" ht="11.25" customHeight="1">
      <c r="B269" s="343"/>
      <c r="C269" s="240"/>
      <c r="D269" s="240"/>
      <c r="E269" s="240"/>
      <c r="F269" s="240"/>
      <c r="G269" s="240"/>
      <c r="H269" s="240" t="s">
        <v>711</v>
      </c>
      <c r="I269" s="240"/>
      <c r="J269" s="240" t="s">
        <v>134</v>
      </c>
      <c r="K269" s="240"/>
      <c r="L269" s="240" t="str">
        <f>TEXT(1,"#,##0.#######")</f>
        <v>1.</v>
      </c>
      <c r="M269" s="240"/>
      <c r="N269" s="240"/>
      <c r="O269" s="240" t="s">
        <v>621</v>
      </c>
      <c r="P269" s="240"/>
      <c r="Q269" s="240" t="s">
        <v>139</v>
      </c>
      <c r="R269" s="240" t="s">
        <v>618</v>
      </c>
      <c r="S269" s="240"/>
      <c r="T269" s="240"/>
      <c r="U269" s="240"/>
      <c r="V269" s="240"/>
      <c r="W269" s="240"/>
      <c r="X269" s="240"/>
      <c r="Y269" s="240" t="s">
        <v>135</v>
      </c>
      <c r="Z269" s="240"/>
      <c r="AA269" s="240" t="s">
        <v>134</v>
      </c>
      <c r="AB269" s="240"/>
      <c r="AC269" s="240" t="str">
        <f>TEXT(0.45,"#,##0.#######")</f>
        <v>0.45</v>
      </c>
      <c r="AD269" s="240"/>
      <c r="AE269" s="240"/>
      <c r="AF269" s="240"/>
      <c r="AG269" s="240" t="s">
        <v>90</v>
      </c>
      <c r="AH269" s="240"/>
      <c r="AI269" s="240"/>
      <c r="AJ269" s="240"/>
      <c r="AK269" s="240"/>
      <c r="AL269" s="240"/>
      <c r="AM269" s="240"/>
      <c r="AN269" s="240" t="s">
        <v>692</v>
      </c>
      <c r="AO269" s="240"/>
      <c r="AP269" s="240" t="s">
        <v>134</v>
      </c>
      <c r="AQ269" s="240"/>
      <c r="AR269" s="240" t="str">
        <f>TEXT(0.6,"#,##0.#######")</f>
        <v>0.6</v>
      </c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240"/>
      <c r="BW269" s="240"/>
      <c r="BX269" s="240"/>
      <c r="BY269" s="240"/>
      <c r="BZ269" s="240"/>
      <c r="CA269" s="240"/>
      <c r="CB269" s="240"/>
      <c r="CC269" s="240"/>
      <c r="CD269" s="240"/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1"/>
      <c r="DA269" s="241"/>
      <c r="DB269" s="241"/>
      <c r="DC269" s="241"/>
      <c r="DD269" s="241"/>
      <c r="DE269" s="241"/>
      <c r="DF269" s="241"/>
      <c r="DG269" s="241"/>
      <c r="DH269" s="241"/>
      <c r="DI269" s="241"/>
      <c r="DJ269" s="241"/>
      <c r="DK269" s="241"/>
      <c r="DL269" s="241"/>
      <c r="DM269" s="241"/>
      <c r="DN269" s="241"/>
      <c r="DO269" s="241"/>
      <c r="DP269" s="241"/>
      <c r="DQ269" s="241"/>
      <c r="DR269" s="241"/>
      <c r="DS269" s="241"/>
      <c r="DT269" s="241"/>
      <c r="DU269" s="241"/>
      <c r="DV269" s="241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345"/>
      <c r="EM269" s="245"/>
      <c r="EN269" s="245"/>
      <c r="EO269" s="245"/>
      <c r="EP269" s="245"/>
      <c r="EQ269" s="351"/>
    </row>
    <row r="270" spans="2:147" s="243" customFormat="1" ht="11.25" customHeight="1">
      <c r="B270" s="343"/>
      <c r="C270" s="240"/>
      <c r="D270" s="240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240"/>
      <c r="BW270" s="240"/>
      <c r="BX270" s="240"/>
      <c r="BY270" s="240"/>
      <c r="BZ270" s="240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1"/>
      <c r="DA270" s="241"/>
      <c r="DB270" s="241"/>
      <c r="DC270" s="241"/>
      <c r="DD270" s="241"/>
      <c r="DE270" s="241"/>
      <c r="DF270" s="241"/>
      <c r="DG270" s="241"/>
      <c r="DH270" s="241"/>
      <c r="DI270" s="241"/>
      <c r="DJ270" s="241"/>
      <c r="DK270" s="241"/>
      <c r="DL270" s="241"/>
      <c r="DM270" s="241"/>
      <c r="DN270" s="241"/>
      <c r="DO270" s="241"/>
      <c r="DP270" s="241"/>
      <c r="DQ270" s="241"/>
      <c r="DR270" s="241"/>
      <c r="DS270" s="241"/>
      <c r="DT270" s="241"/>
      <c r="DU270" s="241"/>
      <c r="DV270" s="241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345"/>
      <c r="EM270" s="245"/>
      <c r="EN270" s="245"/>
      <c r="EO270" s="245"/>
      <c r="EP270" s="245"/>
      <c r="EQ270" s="351"/>
    </row>
    <row r="271" spans="2:147" s="243" customFormat="1" ht="11.25" customHeight="1">
      <c r="B271" s="343"/>
      <c r="C271" s="240"/>
      <c r="D271" s="240"/>
      <c r="E271" s="240"/>
      <c r="F271" s="240"/>
      <c r="G271" s="240"/>
      <c r="H271" s="240" t="s">
        <v>833</v>
      </c>
      <c r="I271" s="240"/>
      <c r="J271" s="240" t="s">
        <v>134</v>
      </c>
      <c r="K271" s="240"/>
      <c r="L271" s="240" t="str">
        <f>TEXT(3,"#,##0.#######")</f>
        <v>3.</v>
      </c>
      <c r="M271" s="240"/>
      <c r="N271" s="240"/>
      <c r="O271" s="240" t="s">
        <v>558</v>
      </c>
      <c r="P271" s="240"/>
      <c r="Q271" s="240"/>
      <c r="R271" s="240"/>
      <c r="S271" s="240"/>
      <c r="T271" s="240"/>
      <c r="U271" s="240"/>
      <c r="V271" s="240"/>
      <c r="W271" s="240"/>
      <c r="X271" s="240"/>
      <c r="Y271" s="240" t="s">
        <v>835</v>
      </c>
      <c r="Z271" s="240"/>
      <c r="AA271" s="240" t="s">
        <v>134</v>
      </c>
      <c r="AB271" s="240"/>
      <c r="AC271" s="240" t="str">
        <f>TEXT(0.1,"#,##0.#######")</f>
        <v>0.1</v>
      </c>
      <c r="AD271" s="240"/>
      <c r="AE271" s="240"/>
      <c r="AF271" s="240"/>
      <c r="AG271" s="240" t="s">
        <v>90</v>
      </c>
      <c r="AH271" s="240"/>
      <c r="AI271" s="240"/>
      <c r="AJ271" s="240"/>
      <c r="AK271" s="240"/>
      <c r="AL271" s="240"/>
      <c r="AM271" s="240"/>
      <c r="AN271" s="240" t="s">
        <v>774</v>
      </c>
      <c r="AO271" s="240"/>
      <c r="AP271" s="240" t="s">
        <v>134</v>
      </c>
      <c r="AQ271" s="240"/>
      <c r="AR271" s="240" t="str">
        <f>TEXT(1,"#,##0.#######")</f>
        <v>1.</v>
      </c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240"/>
      <c r="BW271" s="240"/>
      <c r="BX271" s="240"/>
      <c r="BY271" s="240"/>
      <c r="BZ271" s="240"/>
      <c r="CA271" s="240"/>
      <c r="CB271" s="240"/>
      <c r="CC271" s="240"/>
      <c r="CD271" s="240"/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1"/>
      <c r="DA271" s="241"/>
      <c r="DB271" s="241"/>
      <c r="DC271" s="241"/>
      <c r="DD271" s="241"/>
      <c r="DE271" s="241"/>
      <c r="DF271" s="241"/>
      <c r="DG271" s="241"/>
      <c r="DH271" s="241"/>
      <c r="DI271" s="241"/>
      <c r="DJ271" s="241"/>
      <c r="DK271" s="241"/>
      <c r="DL271" s="241"/>
      <c r="DM271" s="241"/>
      <c r="DN271" s="241"/>
      <c r="DO271" s="241"/>
      <c r="DP271" s="241"/>
      <c r="DQ271" s="241"/>
      <c r="DR271" s="241"/>
      <c r="DS271" s="241"/>
      <c r="DT271" s="241"/>
      <c r="DU271" s="241"/>
      <c r="DV271" s="241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345"/>
      <c r="EM271" s="245"/>
      <c r="EN271" s="245"/>
      <c r="EO271" s="245"/>
      <c r="EP271" s="245"/>
      <c r="EQ271" s="351"/>
    </row>
    <row r="272" spans="2:147" s="243" customFormat="1" ht="11.25" customHeight="1">
      <c r="B272" s="343"/>
      <c r="C272" s="240"/>
      <c r="D272" s="240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240"/>
      <c r="BW272" s="240"/>
      <c r="BX272" s="240"/>
      <c r="BY272" s="240"/>
      <c r="BZ272" s="240"/>
      <c r="CA272" s="240"/>
      <c r="CB272" s="240"/>
      <c r="CC272" s="240"/>
      <c r="CD272" s="240"/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1"/>
      <c r="DA272" s="241"/>
      <c r="DB272" s="241"/>
      <c r="DC272" s="241"/>
      <c r="DD272" s="241"/>
      <c r="DE272" s="241"/>
      <c r="DF272" s="241"/>
      <c r="DG272" s="241"/>
      <c r="DH272" s="241"/>
      <c r="DI272" s="241"/>
      <c r="DJ272" s="241"/>
      <c r="DK272" s="241"/>
      <c r="DL272" s="241"/>
      <c r="DM272" s="241"/>
      <c r="DN272" s="241"/>
      <c r="DO272" s="241"/>
      <c r="DP272" s="241"/>
      <c r="DQ272" s="241"/>
      <c r="DR272" s="241"/>
      <c r="DS272" s="241"/>
      <c r="DT272" s="241"/>
      <c r="DU272" s="241"/>
      <c r="DV272" s="241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345"/>
      <c r="EM272" s="245"/>
      <c r="EN272" s="245"/>
      <c r="EO272" s="245"/>
      <c r="EP272" s="245"/>
      <c r="EQ272" s="351"/>
    </row>
    <row r="273" spans="2:147" s="243" customFormat="1" ht="11.25" customHeight="1">
      <c r="B273" s="343"/>
      <c r="C273" s="240"/>
      <c r="D273" s="240"/>
      <c r="E273" s="240"/>
      <c r="F273" s="240"/>
      <c r="G273" s="240"/>
      <c r="H273" s="240"/>
      <c r="I273" s="240"/>
      <c r="J273" s="240"/>
      <c r="K273" s="240"/>
      <c r="L273" s="240"/>
      <c r="M273" s="240" t="str">
        <f>TEXT(1000,"#,##0.#######")</f>
        <v>1,000.</v>
      </c>
      <c r="N273" s="240"/>
      <c r="O273" s="240"/>
      <c r="P273" s="240"/>
      <c r="Q273" s="240"/>
      <c r="R273" s="240" t="s">
        <v>652</v>
      </c>
      <c r="S273" s="240"/>
      <c r="T273" s="240" t="s">
        <v>711</v>
      </c>
      <c r="U273" s="240" t="s">
        <v>652</v>
      </c>
      <c r="V273" s="240"/>
      <c r="W273" s="240" t="s">
        <v>135</v>
      </c>
      <c r="X273" s="240" t="s">
        <v>652</v>
      </c>
      <c r="Y273" s="240"/>
      <c r="Z273" s="240" t="s">
        <v>835</v>
      </c>
      <c r="AA273" s="240" t="s">
        <v>652</v>
      </c>
      <c r="AB273" s="240"/>
      <c r="AC273" s="240" t="s">
        <v>692</v>
      </c>
      <c r="AD273" s="240" t="s">
        <v>652</v>
      </c>
      <c r="AE273" s="240"/>
      <c r="AF273" s="240" t="s">
        <v>774</v>
      </c>
      <c r="AG273" s="240"/>
      <c r="AH273" s="240"/>
      <c r="AI273" s="240"/>
      <c r="AJ273" s="240" t="str">
        <f>TEXT(M273,"#,##0.#######")</f>
        <v>1,000.</v>
      </c>
      <c r="AK273" s="240"/>
      <c r="AL273" s="240"/>
      <c r="AM273" s="240"/>
      <c r="AN273" s="240"/>
      <c r="AO273" s="240" t="s">
        <v>652</v>
      </c>
      <c r="AP273" s="240"/>
      <c r="AQ273" s="240" t="str">
        <f>TEXT(L269,"#,##0.#######")</f>
        <v>1.</v>
      </c>
      <c r="AR273" s="240" t="s">
        <v>652</v>
      </c>
      <c r="AS273" s="240"/>
      <c r="AT273" s="240" t="str">
        <f>TEXT(AC269,"#,##0.#######")</f>
        <v>0.45</v>
      </c>
      <c r="AU273" s="240"/>
      <c r="AV273" s="240"/>
      <c r="AW273" s="240"/>
      <c r="AX273" s="240" t="s">
        <v>652</v>
      </c>
      <c r="AY273" s="240"/>
      <c r="AZ273" s="240" t="str">
        <f>TEXT(AC271,"#,##0.#######")</f>
        <v>0.1</v>
      </c>
      <c r="BA273" s="240"/>
      <c r="BB273" s="240"/>
      <c r="BC273" s="240" t="s">
        <v>652</v>
      </c>
      <c r="BD273" s="240"/>
      <c r="BE273" s="240" t="str">
        <f>TEXT(AR269,"#,##0.#######")</f>
        <v>0.6</v>
      </c>
      <c r="BF273" s="240"/>
      <c r="BG273" s="240"/>
      <c r="BH273" s="240" t="s">
        <v>652</v>
      </c>
      <c r="BI273" s="240"/>
      <c r="BJ273" s="240" t="str">
        <f>TEXT(AR271,"#,##0.#######")</f>
        <v>1.</v>
      </c>
      <c r="BK273" s="240"/>
      <c r="BL273" s="240"/>
      <c r="BM273" s="240"/>
      <c r="BQ273" s="240"/>
      <c r="BR273" s="240"/>
      <c r="BS273" s="240"/>
      <c r="BT273" s="240"/>
      <c r="BU273" s="240"/>
      <c r="BV273" s="240"/>
      <c r="BW273" s="240"/>
      <c r="BX273" s="240"/>
      <c r="BY273" s="240"/>
      <c r="BZ273" s="240"/>
      <c r="CA273" s="240"/>
      <c r="CB273" s="240"/>
      <c r="CC273" s="240"/>
      <c r="CD273" s="240"/>
      <c r="CE273" s="240"/>
      <c r="CF273" s="240"/>
      <c r="CG273" s="240"/>
      <c r="CH273" s="240"/>
      <c r="CI273" s="240"/>
      <c r="CJ273" s="240"/>
      <c r="CK273" s="240"/>
      <c r="CL273" s="240"/>
      <c r="CM273" s="240"/>
      <c r="CN273" s="240"/>
      <c r="CO273" s="240"/>
      <c r="CP273" s="240"/>
      <c r="CQ273" s="240"/>
      <c r="CR273" s="240"/>
      <c r="CS273" s="240"/>
      <c r="CT273" s="240"/>
      <c r="CU273" s="240"/>
      <c r="CV273" s="240"/>
      <c r="CW273" s="240"/>
      <c r="CX273" s="240"/>
      <c r="CY273" s="240"/>
      <c r="CZ273" s="241"/>
      <c r="DA273" s="241"/>
      <c r="DB273" s="241"/>
      <c r="DC273" s="241"/>
      <c r="DD273" s="241"/>
      <c r="DE273" s="241"/>
      <c r="DF273" s="241"/>
      <c r="DG273" s="241"/>
      <c r="DH273" s="241"/>
      <c r="DI273" s="241"/>
      <c r="DJ273" s="241"/>
      <c r="DK273" s="241"/>
      <c r="DL273" s="241"/>
      <c r="DM273" s="241"/>
      <c r="DN273" s="241"/>
      <c r="DO273" s="241"/>
      <c r="DP273" s="241"/>
      <c r="DQ273" s="241"/>
      <c r="DR273" s="241"/>
      <c r="DS273" s="241"/>
      <c r="DT273" s="241"/>
      <c r="DU273" s="241"/>
      <c r="DV273" s="241"/>
      <c r="DW273" s="241"/>
      <c r="DX273" s="241"/>
      <c r="DY273" s="241"/>
      <c r="DZ273" s="241"/>
      <c r="EA273" s="241"/>
      <c r="EB273" s="241"/>
      <c r="EC273" s="241"/>
      <c r="ED273" s="241"/>
      <c r="EE273" s="241"/>
      <c r="EF273" s="241"/>
      <c r="EG273" s="241"/>
      <c r="EH273" s="241"/>
      <c r="EI273" s="241"/>
      <c r="EJ273" s="241"/>
      <c r="EK273" s="241"/>
      <c r="EL273" s="345"/>
      <c r="EM273" s="245"/>
      <c r="EN273" s="245"/>
      <c r="EO273" s="245"/>
      <c r="EP273" s="245"/>
      <c r="EQ273" s="351"/>
    </row>
    <row r="274" spans="2:147" s="243" customFormat="1" ht="11.25" customHeight="1">
      <c r="B274" s="343"/>
      <c r="C274" s="240"/>
      <c r="D274" s="240"/>
      <c r="E274" s="240"/>
      <c r="F274" s="240"/>
      <c r="G274" s="240"/>
      <c r="H274" s="240" t="s">
        <v>687</v>
      </c>
      <c r="I274" s="240"/>
      <c r="J274" s="240" t="s">
        <v>134</v>
      </c>
      <c r="K274" s="240"/>
      <c r="L274" s="240" t="s">
        <v>694</v>
      </c>
      <c r="M274" s="240"/>
      <c r="N274" s="240" t="s">
        <v>694</v>
      </c>
      <c r="O274" s="240"/>
      <c r="P274" s="240" t="s">
        <v>694</v>
      </c>
      <c r="Q274" s="240"/>
      <c r="R274" s="240" t="s">
        <v>694</v>
      </c>
      <c r="S274" s="240"/>
      <c r="T274" s="240" t="s">
        <v>694</v>
      </c>
      <c r="U274" s="240"/>
      <c r="V274" s="240" t="s">
        <v>694</v>
      </c>
      <c r="W274" s="240"/>
      <c r="X274" s="240" t="s">
        <v>694</v>
      </c>
      <c r="Y274" s="240"/>
      <c r="Z274" s="240" t="s">
        <v>694</v>
      </c>
      <c r="AA274" s="240"/>
      <c r="AB274" s="240" t="s">
        <v>694</v>
      </c>
      <c r="AC274" s="240"/>
      <c r="AD274" s="240" t="s">
        <v>694</v>
      </c>
      <c r="AE274" s="240"/>
      <c r="AF274" s="240" t="s">
        <v>694</v>
      </c>
      <c r="AG274" s="240"/>
      <c r="AH274" s="240" t="s">
        <v>134</v>
      </c>
      <c r="AI274" s="240"/>
      <c r="AJ274" s="240" t="s">
        <v>694</v>
      </c>
      <c r="AK274" s="240"/>
      <c r="AL274" s="240" t="s">
        <v>694</v>
      </c>
      <c r="AM274" s="240"/>
      <c r="AN274" s="240" t="s">
        <v>694</v>
      </c>
      <c r="AO274" s="240"/>
      <c r="AP274" s="240" t="s">
        <v>694</v>
      </c>
      <c r="AQ274" s="240"/>
      <c r="AR274" s="240" t="s">
        <v>694</v>
      </c>
      <c r="AS274" s="240"/>
      <c r="AT274" s="240" t="s">
        <v>694</v>
      </c>
      <c r="AU274" s="240"/>
      <c r="AV274" s="240" t="s">
        <v>694</v>
      </c>
      <c r="AW274" s="240"/>
      <c r="AX274" s="240" t="s">
        <v>694</v>
      </c>
      <c r="AY274" s="240"/>
      <c r="AZ274" s="240" t="s">
        <v>694</v>
      </c>
      <c r="BA274" s="240"/>
      <c r="BB274" s="240" t="s">
        <v>694</v>
      </c>
      <c r="BC274" s="240"/>
      <c r="BD274" s="240" t="s">
        <v>694</v>
      </c>
      <c r="BE274" s="240"/>
      <c r="BF274" s="240" t="s">
        <v>694</v>
      </c>
      <c r="BG274" s="240"/>
      <c r="BH274" s="240" t="s">
        <v>694</v>
      </c>
      <c r="BI274" s="240"/>
      <c r="BJ274" s="240" t="s">
        <v>694</v>
      </c>
      <c r="BK274" s="240"/>
      <c r="BL274" s="240"/>
      <c r="BM274" s="240" t="s">
        <v>134</v>
      </c>
      <c r="BN274" s="240" t="str">
        <f>TEXT(ROUND((1000*L269*AC269*AC271*AR269*AR271)/(L271),2),"#,##0.#######")</f>
        <v>9.</v>
      </c>
      <c r="BO274" s="240" t="s">
        <v>91</v>
      </c>
      <c r="BP274" s="240"/>
      <c r="BQ274" s="240" t="s">
        <v>139</v>
      </c>
      <c r="BR274" s="240" t="s">
        <v>618</v>
      </c>
      <c r="BS274" s="240"/>
      <c r="BT274" s="240"/>
      <c r="BU274" s="240"/>
      <c r="BV274" s="240"/>
      <c r="BW274" s="240"/>
      <c r="BX274" s="240"/>
      <c r="BY274" s="240"/>
      <c r="BZ274" s="240"/>
      <c r="CA274" s="240"/>
      <c r="CB274" s="240"/>
      <c r="CC274" s="240"/>
      <c r="CD274" s="240"/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1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345"/>
      <c r="EM274" s="245"/>
      <c r="EN274" s="245"/>
      <c r="EO274" s="245"/>
      <c r="EP274" s="245"/>
      <c r="EQ274" s="351"/>
    </row>
    <row r="275" spans="2:147" s="243" customFormat="1" ht="11.25" customHeight="1">
      <c r="B275" s="343"/>
      <c r="C275" s="240"/>
      <c r="D275" s="240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 t="s">
        <v>833</v>
      </c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 t="str">
        <f>TEXT(L271,"#,##0.#######")</f>
        <v>3.</v>
      </c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Q275" s="240"/>
      <c r="BR275" s="240"/>
      <c r="BS275" s="240"/>
      <c r="BT275" s="240"/>
      <c r="BU275" s="240"/>
      <c r="BV275" s="240"/>
      <c r="BW275" s="240"/>
      <c r="BX275" s="240"/>
      <c r="BY275" s="240"/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  <c r="CK275" s="240"/>
      <c r="CL275" s="240"/>
      <c r="CM275" s="240"/>
      <c r="CN275" s="240"/>
      <c r="CO275" s="240"/>
      <c r="CP275" s="240"/>
      <c r="CQ275" s="240"/>
      <c r="CR275" s="240"/>
      <c r="CS275" s="240"/>
      <c r="CT275" s="240"/>
      <c r="CU275" s="240"/>
      <c r="CV275" s="240"/>
      <c r="CW275" s="240"/>
      <c r="CX275" s="240"/>
      <c r="CY275" s="240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1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345"/>
      <c r="EM275" s="245"/>
      <c r="EN275" s="245"/>
      <c r="EO275" s="245"/>
      <c r="EP275" s="245"/>
      <c r="EQ275" s="351"/>
    </row>
    <row r="276" spans="2:147" s="243" customFormat="1" ht="11.25" customHeight="1">
      <c r="B276" s="343"/>
      <c r="C276" s="240"/>
      <c r="D276" s="240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240"/>
      <c r="BU276" s="240"/>
      <c r="BV276" s="240"/>
      <c r="BW276" s="240"/>
      <c r="BX276" s="240"/>
      <c r="BY276" s="240"/>
      <c r="BZ276" s="240"/>
      <c r="CA276" s="240"/>
      <c r="CB276" s="240"/>
      <c r="CC276" s="240"/>
      <c r="CD276" s="240"/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1"/>
      <c r="DA276" s="241"/>
      <c r="DB276" s="241"/>
      <c r="DC276" s="241"/>
      <c r="DD276" s="241"/>
      <c r="DE276" s="241"/>
      <c r="DF276" s="241"/>
      <c r="DG276" s="241"/>
      <c r="DH276" s="241"/>
      <c r="DI276" s="241"/>
      <c r="DJ276" s="241"/>
      <c r="DK276" s="241"/>
      <c r="DL276" s="241"/>
      <c r="DM276" s="241"/>
      <c r="DN276" s="241"/>
      <c r="DO276" s="241"/>
      <c r="DP276" s="241"/>
      <c r="DQ276" s="241"/>
      <c r="DR276" s="241"/>
      <c r="DS276" s="241"/>
      <c r="DT276" s="241"/>
      <c r="DU276" s="241"/>
      <c r="DV276" s="241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345"/>
      <c r="EM276" s="245"/>
      <c r="EN276" s="245"/>
      <c r="EO276" s="245"/>
      <c r="EP276" s="245"/>
      <c r="EQ276" s="351"/>
    </row>
    <row r="277" spans="2:147" s="243" customFormat="1" ht="11.25" customHeight="1">
      <c r="B277" s="343"/>
      <c r="C277" s="240"/>
      <c r="D277" s="240"/>
      <c r="E277" s="240"/>
      <c r="F277" s="240"/>
      <c r="G277" s="240"/>
      <c r="H277" s="240" t="s">
        <v>616</v>
      </c>
      <c r="I277" s="240"/>
      <c r="J277" s="240"/>
      <c r="K277" s="240"/>
      <c r="L277" s="240"/>
      <c r="M277" s="240"/>
      <c r="N277" s="240"/>
      <c r="O277" s="240" t="s">
        <v>132</v>
      </c>
      <c r="P277" s="240"/>
      <c r="Q277" s="1780" t="e">
        <f>#REF!</f>
        <v>#REF!</v>
      </c>
      <c r="R277" s="1780"/>
      <c r="S277" s="1780"/>
      <c r="T277" s="1780"/>
      <c r="U277" s="1780"/>
      <c r="X277" s="240" t="s">
        <v>683</v>
      </c>
      <c r="Y277" s="240"/>
      <c r="Z277" s="240"/>
      <c r="AA277" s="240" t="str">
        <f>TEXT(BN274,"#,##0.#######")</f>
        <v>9.</v>
      </c>
      <c r="AB277" s="240"/>
      <c r="AC277" s="240"/>
      <c r="AD277" s="240"/>
      <c r="AE277" s="240" t="s">
        <v>134</v>
      </c>
      <c r="AF277" s="240"/>
      <c r="AG277" s="240" t="e">
        <f>TEXT(TRUNC(Q277/BN274,1),"#,##0.#")</f>
        <v>#REF!</v>
      </c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240"/>
      <c r="BW277" s="240"/>
      <c r="BX277" s="240"/>
      <c r="BY277" s="240"/>
      <c r="BZ277" s="240"/>
      <c r="CA277" s="240"/>
      <c r="CB277" s="240"/>
      <c r="CC277" s="240"/>
      <c r="CD277" s="240"/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1"/>
      <c r="DA277" s="241"/>
      <c r="DB277" s="241"/>
      <c r="DC277" s="241"/>
      <c r="DD277" s="241"/>
      <c r="DE277" s="241"/>
      <c r="DF277" s="241"/>
      <c r="DG277" s="241"/>
      <c r="DH277" s="241"/>
      <c r="DI277" s="241"/>
      <c r="DJ277" s="241"/>
      <c r="DK277" s="241"/>
      <c r="DL277" s="241"/>
      <c r="DM277" s="241"/>
      <c r="DN277" s="241"/>
      <c r="DO277" s="241"/>
      <c r="DP277" s="241"/>
      <c r="DQ277" s="241"/>
      <c r="DR277" s="241"/>
      <c r="DS277" s="241"/>
      <c r="DT277" s="241"/>
      <c r="DU277" s="241"/>
      <c r="DV277" s="241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345"/>
      <c r="EM277" s="245"/>
      <c r="EN277" s="245"/>
      <c r="EO277" s="245"/>
      <c r="EP277" s="245"/>
      <c r="EQ277" s="351"/>
    </row>
    <row r="278" spans="2:147" s="243" customFormat="1" ht="11.25" customHeight="1">
      <c r="B278" s="343"/>
      <c r="C278" s="240"/>
      <c r="D278" s="240"/>
      <c r="E278" s="240"/>
      <c r="F278" s="240"/>
      <c r="G278" s="240"/>
      <c r="H278" s="240" t="s">
        <v>617</v>
      </c>
      <c r="I278" s="240"/>
      <c r="J278" s="240"/>
      <c r="K278" s="240"/>
      <c r="L278" s="240"/>
      <c r="M278" s="240"/>
      <c r="N278" s="240"/>
      <c r="O278" s="240" t="s">
        <v>132</v>
      </c>
      <c r="P278" s="240"/>
      <c r="Q278" s="1780" t="e">
        <f>#REF!</f>
        <v>#REF!</v>
      </c>
      <c r="R278" s="1780"/>
      <c r="S278" s="1780"/>
      <c r="T278" s="1780"/>
      <c r="U278" s="1780"/>
      <c r="X278" s="240" t="s">
        <v>683</v>
      </c>
      <c r="Y278" s="240"/>
      <c r="Z278" s="240"/>
      <c r="AA278" s="240" t="str">
        <f>TEXT(BN274,"#,##0.#######")</f>
        <v>9.</v>
      </c>
      <c r="AB278" s="240"/>
      <c r="AC278" s="240"/>
      <c r="AD278" s="240"/>
      <c r="AE278" s="240" t="s">
        <v>134</v>
      </c>
      <c r="AF278" s="240"/>
      <c r="AG278" s="240" t="e">
        <f>TEXT(TRUNC(Q278/BN274,1),"#,##0.#")</f>
        <v>#REF!</v>
      </c>
      <c r="AP278" s="240"/>
      <c r="AQ278" s="240"/>
      <c r="AR278" s="240"/>
      <c r="AS278" s="240"/>
      <c r="AT278" s="240"/>
      <c r="AU278" s="240"/>
      <c r="AV278" s="240"/>
      <c r="AW278" s="240"/>
      <c r="AX278" s="240"/>
      <c r="AY278" s="240"/>
      <c r="AZ278" s="240"/>
      <c r="BA278" s="240"/>
      <c r="BB278" s="240"/>
      <c r="BC278" s="240"/>
      <c r="BD278" s="240"/>
      <c r="BE278" s="240"/>
      <c r="BF278" s="240"/>
      <c r="BG278" s="240"/>
      <c r="BH278" s="240"/>
      <c r="BI278" s="240"/>
      <c r="BJ278" s="240"/>
      <c r="BK278" s="240"/>
      <c r="BL278" s="240"/>
      <c r="BM278" s="240"/>
      <c r="BN278" s="240"/>
      <c r="BO278" s="240"/>
      <c r="BP278" s="240"/>
      <c r="BQ278" s="240"/>
      <c r="BR278" s="240"/>
      <c r="BS278" s="240"/>
      <c r="BT278" s="240"/>
      <c r="BU278" s="240"/>
      <c r="BV278" s="240"/>
      <c r="BW278" s="240"/>
      <c r="BX278" s="240"/>
      <c r="BY278" s="240"/>
      <c r="BZ278" s="240"/>
      <c r="CA278" s="240"/>
      <c r="CB278" s="240"/>
      <c r="CC278" s="240"/>
      <c r="CD278" s="240"/>
      <c r="CE278" s="240"/>
      <c r="CF278" s="240"/>
      <c r="CG278" s="240"/>
      <c r="CH278" s="240"/>
      <c r="CI278" s="240"/>
      <c r="CJ278" s="240"/>
      <c r="CK278" s="240"/>
      <c r="CL278" s="240"/>
      <c r="CM278" s="240"/>
      <c r="CN278" s="240"/>
      <c r="CO278" s="240"/>
      <c r="CP278" s="240"/>
      <c r="CQ278" s="240"/>
      <c r="CR278" s="240"/>
      <c r="CS278" s="240"/>
      <c r="CT278" s="240"/>
      <c r="CU278" s="240"/>
      <c r="CV278" s="240"/>
      <c r="CW278" s="240"/>
      <c r="CX278" s="240"/>
      <c r="CY278" s="240"/>
      <c r="CZ278" s="241"/>
      <c r="DA278" s="241"/>
      <c r="DB278" s="241"/>
      <c r="DC278" s="241"/>
      <c r="DD278" s="241"/>
      <c r="DE278" s="241"/>
      <c r="DF278" s="241"/>
      <c r="DG278" s="241"/>
      <c r="DH278" s="241"/>
      <c r="DI278" s="241"/>
      <c r="DJ278" s="241"/>
      <c r="DK278" s="241"/>
      <c r="DL278" s="241"/>
      <c r="DM278" s="241"/>
      <c r="DN278" s="241"/>
      <c r="DO278" s="241"/>
      <c r="DP278" s="241"/>
      <c r="DQ278" s="241"/>
      <c r="DR278" s="241"/>
      <c r="DS278" s="241"/>
      <c r="DT278" s="241"/>
      <c r="DU278" s="241"/>
      <c r="DV278" s="241"/>
      <c r="DW278" s="241"/>
      <c r="DX278" s="241"/>
      <c r="DY278" s="241"/>
      <c r="DZ278" s="241"/>
      <c r="EA278" s="241"/>
      <c r="EB278" s="241"/>
      <c r="EC278" s="241"/>
      <c r="ED278" s="241"/>
      <c r="EE278" s="241"/>
      <c r="EF278" s="241"/>
      <c r="EG278" s="241"/>
      <c r="EH278" s="241"/>
      <c r="EI278" s="241"/>
      <c r="EJ278" s="241"/>
      <c r="EK278" s="241"/>
      <c r="EL278" s="345"/>
      <c r="EM278" s="245"/>
      <c r="EN278" s="245"/>
      <c r="EO278" s="245"/>
      <c r="EP278" s="245"/>
      <c r="EQ278" s="351"/>
    </row>
    <row r="279" spans="2:147" s="243" customFormat="1" ht="11.25" customHeight="1">
      <c r="B279" s="343"/>
      <c r="C279" s="240"/>
      <c r="D279" s="240"/>
      <c r="E279" s="240"/>
      <c r="F279" s="240"/>
      <c r="G279" s="240"/>
      <c r="H279" s="240" t="s">
        <v>679</v>
      </c>
      <c r="I279" s="240"/>
      <c r="J279" s="240"/>
      <c r="K279" s="240" t="s">
        <v>680</v>
      </c>
      <c r="L279" s="240"/>
      <c r="M279" s="240"/>
      <c r="N279" s="240"/>
      <c r="O279" s="240" t="s">
        <v>132</v>
      </c>
      <c r="P279" s="240"/>
      <c r="Q279" s="1780" t="e">
        <f>#REF!</f>
        <v>#REF!</v>
      </c>
      <c r="R279" s="1780"/>
      <c r="S279" s="1780"/>
      <c r="T279" s="1780"/>
      <c r="U279" s="1780"/>
      <c r="X279" s="240" t="s">
        <v>683</v>
      </c>
      <c r="Y279" s="240"/>
      <c r="Z279" s="240"/>
      <c r="AA279" s="240" t="str">
        <f>TEXT(BN274,"#,##0.#######")</f>
        <v>9.</v>
      </c>
      <c r="AB279" s="240"/>
      <c r="AC279" s="240"/>
      <c r="AD279" s="240"/>
      <c r="AE279" s="240" t="s">
        <v>134</v>
      </c>
      <c r="AF279" s="240"/>
      <c r="AG279" s="240" t="e">
        <f>TEXT(TRUNC(Q279/BN274,1),"#,##0.#")</f>
        <v>#REF!</v>
      </c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240"/>
      <c r="CC279" s="240"/>
      <c r="CD279" s="240"/>
      <c r="CE279" s="240"/>
      <c r="CF279" s="240"/>
      <c r="CG279" s="240"/>
      <c r="CH279" s="240"/>
      <c r="CI279" s="240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1"/>
      <c r="DA279" s="241"/>
      <c r="DB279" s="241"/>
      <c r="DC279" s="241"/>
      <c r="DD279" s="241"/>
      <c r="DE279" s="241"/>
      <c r="DF279" s="241"/>
      <c r="DG279" s="241"/>
      <c r="DH279" s="241"/>
      <c r="DI279" s="241"/>
      <c r="DJ279" s="241"/>
      <c r="DK279" s="241"/>
      <c r="DL279" s="241"/>
      <c r="DM279" s="241"/>
      <c r="DN279" s="241"/>
      <c r="DO279" s="241"/>
      <c r="DP279" s="241"/>
      <c r="DQ279" s="241"/>
      <c r="DR279" s="241"/>
      <c r="DS279" s="241"/>
      <c r="DT279" s="241"/>
      <c r="DU279" s="241"/>
      <c r="DV279" s="241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345"/>
      <c r="EM279" s="245"/>
      <c r="EN279" s="245"/>
      <c r="EO279" s="245"/>
      <c r="EP279" s="245"/>
      <c r="EQ279" s="351"/>
    </row>
    <row r="280" spans="2:147" s="243" customFormat="1" ht="11.25" customHeight="1">
      <c r="B280" s="343"/>
      <c r="C280" s="240"/>
      <c r="D280" s="240"/>
      <c r="E280" s="240"/>
      <c r="F280" s="240"/>
      <c r="G280" s="240"/>
      <c r="H280" s="240" t="s">
        <v>688</v>
      </c>
      <c r="I280" s="240"/>
      <c r="J280" s="240"/>
      <c r="K280" s="240" t="s">
        <v>96</v>
      </c>
      <c r="L280" s="240"/>
      <c r="M280" s="240"/>
      <c r="N280" s="240"/>
      <c r="O280" s="240" t="s">
        <v>132</v>
      </c>
      <c r="P280" s="240"/>
      <c r="Q280" s="240" t="e">
        <f>TEXT(AG277+AG278+AG279,"#,##0.#######")</f>
        <v>#REF!</v>
      </c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240"/>
      <c r="CC280" s="240"/>
      <c r="CD280" s="240"/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1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345"/>
      <c r="EM280" s="245" t="e">
        <f>EN280+EO280+EP280</f>
        <v>#REF!</v>
      </c>
      <c r="EN280" s="245" t="e">
        <f>TEXT(AG277,"#,###.0")</f>
        <v>#REF!</v>
      </c>
      <c r="EO280" s="245" t="e">
        <f>TEXT(AG278,"#,###.0")</f>
        <v>#REF!</v>
      </c>
      <c r="EP280" s="245" t="e">
        <f>TEXT(AG279,"#,###.0")</f>
        <v>#REF!</v>
      </c>
      <c r="EQ280" s="351"/>
    </row>
    <row r="281" spans="2:147" s="243" customFormat="1" ht="11.25" customHeight="1">
      <c r="B281" s="343"/>
      <c r="C281" s="240"/>
      <c r="D281" s="240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240"/>
      <c r="CC281" s="240"/>
      <c r="CD281" s="240"/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1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345"/>
      <c r="EM281" s="245"/>
      <c r="EN281" s="245"/>
      <c r="EO281" s="245"/>
      <c r="EP281" s="245"/>
      <c r="EQ281" s="351"/>
    </row>
    <row r="282" spans="2:147" s="243" customFormat="1" ht="11.25" customHeight="1">
      <c r="B282" s="343"/>
      <c r="C282" s="240"/>
      <c r="D282" s="240"/>
      <c r="E282" s="240" t="s">
        <v>677</v>
      </c>
      <c r="F282" s="240"/>
      <c r="G282" s="240"/>
      <c r="H282" s="240" t="s">
        <v>678</v>
      </c>
      <c r="I282" s="240"/>
      <c r="J282" s="240"/>
      <c r="K282" s="240"/>
      <c r="L282" s="240" t="s">
        <v>96</v>
      </c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240"/>
      <c r="CC282" s="240"/>
      <c r="CD282" s="240"/>
      <c r="CE282" s="240"/>
      <c r="CF282" s="240"/>
      <c r="CG282" s="240"/>
      <c r="CH282" s="240"/>
      <c r="CI282" s="240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1"/>
      <c r="DA282" s="241"/>
      <c r="DB282" s="241"/>
      <c r="DC282" s="241"/>
      <c r="DD282" s="241"/>
      <c r="DE282" s="241"/>
      <c r="DF282" s="241"/>
      <c r="DG282" s="241"/>
      <c r="DH282" s="241"/>
      <c r="DI282" s="241"/>
      <c r="DJ282" s="241"/>
      <c r="DK282" s="241"/>
      <c r="DL282" s="241"/>
      <c r="DM282" s="241"/>
      <c r="DN282" s="241"/>
      <c r="DO282" s="241"/>
      <c r="DP282" s="241"/>
      <c r="DQ282" s="241"/>
      <c r="DR282" s="241"/>
      <c r="DS282" s="241"/>
      <c r="DT282" s="241"/>
      <c r="DU282" s="241"/>
      <c r="DV282" s="241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345"/>
      <c r="EM282" s="245"/>
      <c r="EN282" s="245"/>
      <c r="EO282" s="245"/>
      <c r="EP282" s="245"/>
      <c r="EQ282" s="351"/>
    </row>
    <row r="283" spans="2:147" s="243" customFormat="1" ht="11.25" customHeight="1">
      <c r="B283" s="343"/>
      <c r="C283" s="240"/>
      <c r="D283" s="240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240"/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1"/>
      <c r="DA283" s="241"/>
      <c r="DB283" s="241"/>
      <c r="DC283" s="241"/>
      <c r="DD283" s="241"/>
      <c r="DE283" s="241"/>
      <c r="DF283" s="241"/>
      <c r="DG283" s="241"/>
      <c r="DH283" s="241"/>
      <c r="DI283" s="241"/>
      <c r="DJ283" s="241"/>
      <c r="DK283" s="241"/>
      <c r="DL283" s="241"/>
      <c r="DM283" s="241"/>
      <c r="DN283" s="241"/>
      <c r="DO283" s="241"/>
      <c r="DP283" s="241"/>
      <c r="DQ283" s="241"/>
      <c r="DR283" s="241"/>
      <c r="DS283" s="241"/>
      <c r="DT283" s="241"/>
      <c r="DU283" s="241"/>
      <c r="DV283" s="241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345"/>
      <c r="EM283" s="245"/>
      <c r="EN283" s="245"/>
      <c r="EO283" s="245"/>
      <c r="EP283" s="245"/>
      <c r="EQ283" s="351"/>
    </row>
    <row r="284" spans="2:147" s="243" customFormat="1" ht="11.25" customHeight="1">
      <c r="B284" s="343"/>
      <c r="C284" s="240"/>
      <c r="D284" s="240"/>
      <c r="E284" s="240"/>
      <c r="F284" s="240"/>
      <c r="G284" s="240"/>
      <c r="H284" s="240"/>
      <c r="I284" s="240" t="s">
        <v>616</v>
      </c>
      <c r="J284" s="240"/>
      <c r="K284" s="240"/>
      <c r="L284" s="240"/>
      <c r="M284" s="240"/>
      <c r="N284" s="240"/>
      <c r="O284" s="240"/>
      <c r="P284" s="240" t="s">
        <v>132</v>
      </c>
      <c r="Q284" s="240"/>
      <c r="R284" s="240" t="e">
        <f>TEXT(EN265,"#,###.##")</f>
        <v>#REF!</v>
      </c>
      <c r="S284" s="240"/>
      <c r="T284" s="240"/>
      <c r="U284" s="240"/>
      <c r="V284" s="240"/>
      <c r="W284" s="240"/>
      <c r="X284" s="240" t="s">
        <v>130</v>
      </c>
      <c r="Y284" s="240"/>
      <c r="Z284" s="240" t="e">
        <f>TEXT(EN280,"#,###.##")</f>
        <v>#REF!</v>
      </c>
      <c r="AA284" s="240"/>
      <c r="AB284" s="240"/>
      <c r="AC284" s="240"/>
      <c r="AD284" s="240"/>
      <c r="AE284" s="240" t="s">
        <v>134</v>
      </c>
      <c r="AF284" s="240"/>
      <c r="AG284" s="240"/>
      <c r="AH284" s="240" t="e">
        <f>TEXT(TRUNC(EN265+EN280,0),"#,##0")</f>
        <v>#REF!</v>
      </c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1"/>
      <c r="DA284" s="241"/>
      <c r="DB284" s="241"/>
      <c r="DC284" s="241"/>
      <c r="DD284" s="241"/>
      <c r="DE284" s="241"/>
      <c r="DF284" s="241"/>
      <c r="DG284" s="241"/>
      <c r="DH284" s="241"/>
      <c r="DI284" s="241"/>
      <c r="DJ284" s="241"/>
      <c r="DK284" s="241"/>
      <c r="DL284" s="241"/>
      <c r="DM284" s="241"/>
      <c r="DN284" s="241"/>
      <c r="DO284" s="241"/>
      <c r="DP284" s="241"/>
      <c r="DQ284" s="241"/>
      <c r="DR284" s="241"/>
      <c r="DS284" s="241"/>
      <c r="DT284" s="241"/>
      <c r="DU284" s="241"/>
      <c r="DV284" s="241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345"/>
      <c r="EM284" s="245"/>
      <c r="EN284" s="245"/>
      <c r="EO284" s="245"/>
      <c r="EP284" s="245"/>
      <c r="EQ284" s="351"/>
    </row>
    <row r="285" spans="2:147" s="243" customFormat="1" ht="11.25" customHeight="1">
      <c r="B285" s="343"/>
      <c r="C285" s="240"/>
      <c r="D285" s="240"/>
      <c r="E285" s="240"/>
      <c r="F285" s="240"/>
      <c r="G285" s="240"/>
      <c r="H285" s="240"/>
      <c r="I285" s="240" t="s">
        <v>617</v>
      </c>
      <c r="J285" s="240"/>
      <c r="K285" s="240"/>
      <c r="L285" s="240"/>
      <c r="M285" s="240"/>
      <c r="N285" s="240"/>
      <c r="O285" s="240"/>
      <c r="P285" s="240" t="s">
        <v>132</v>
      </c>
      <c r="Q285" s="240"/>
      <c r="R285" s="240" t="e">
        <f>TEXT(EO265,"#,###.##")</f>
        <v>#REF!</v>
      </c>
      <c r="S285" s="240"/>
      <c r="T285" s="240"/>
      <c r="U285" s="240"/>
      <c r="V285" s="240"/>
      <c r="W285" s="240"/>
      <c r="X285" s="240" t="s">
        <v>130</v>
      </c>
      <c r="Y285" s="240"/>
      <c r="Z285" s="240" t="e">
        <f>TEXT(EO280,"#,###.##")</f>
        <v>#REF!</v>
      </c>
      <c r="AA285" s="240"/>
      <c r="AB285" s="240"/>
      <c r="AC285" s="240"/>
      <c r="AD285" s="240"/>
      <c r="AE285" s="240" t="s">
        <v>134</v>
      </c>
      <c r="AF285" s="240"/>
      <c r="AG285" s="240"/>
      <c r="AH285" s="240" t="e">
        <f>TEXT(TRUNC(EO265+EO280,0),"#,##0")</f>
        <v>#REF!</v>
      </c>
      <c r="AI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240"/>
      <c r="CE285" s="240"/>
      <c r="CF285" s="240"/>
      <c r="CG285" s="240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1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345"/>
      <c r="EM285" s="245"/>
      <c r="EN285" s="245"/>
      <c r="EO285" s="245"/>
      <c r="EP285" s="245"/>
      <c r="EQ285" s="351"/>
    </row>
    <row r="286" spans="2:147" s="243" customFormat="1" ht="11.25" customHeight="1">
      <c r="B286" s="343"/>
      <c r="C286" s="240"/>
      <c r="D286" s="240"/>
      <c r="E286" s="240"/>
      <c r="F286" s="240"/>
      <c r="G286" s="240"/>
      <c r="H286" s="240"/>
      <c r="I286" s="240" t="s">
        <v>679</v>
      </c>
      <c r="J286" s="240"/>
      <c r="K286" s="240" t="s">
        <v>680</v>
      </c>
      <c r="L286" s="240"/>
      <c r="M286" s="240"/>
      <c r="N286" s="240"/>
      <c r="O286" s="240"/>
      <c r="P286" s="240" t="s">
        <v>132</v>
      </c>
      <c r="Q286" s="240"/>
      <c r="R286" s="240" t="e">
        <f>TEXT(EP265,"#,###.##")</f>
        <v>#REF!</v>
      </c>
      <c r="S286" s="240"/>
      <c r="T286" s="240"/>
      <c r="U286" s="240"/>
      <c r="V286" s="240"/>
      <c r="W286" s="240"/>
      <c r="X286" s="240" t="s">
        <v>130</v>
      </c>
      <c r="Y286" s="240"/>
      <c r="Z286" s="240" t="e">
        <f>TEXT(EP280,"#,###.##")</f>
        <v>#REF!</v>
      </c>
      <c r="AA286" s="240"/>
      <c r="AB286" s="240"/>
      <c r="AC286" s="240"/>
      <c r="AD286" s="240"/>
      <c r="AE286" s="240" t="s">
        <v>134</v>
      </c>
      <c r="AF286" s="240"/>
      <c r="AG286" s="240"/>
      <c r="AH286" s="240" t="e">
        <f>TEXT(TRUNC(EP265+EP280,0),"#,##0")</f>
        <v>#REF!</v>
      </c>
      <c r="AI286" s="240"/>
      <c r="AJ286" s="240"/>
      <c r="AK286" s="240"/>
      <c r="AL286" s="240"/>
      <c r="AM286" s="240"/>
      <c r="AN286" s="240"/>
      <c r="AO286" s="240"/>
      <c r="AP286" s="240"/>
      <c r="AQ286" s="240"/>
      <c r="AR286" s="240"/>
      <c r="AS286" s="240"/>
      <c r="AT286" s="240"/>
      <c r="AU286" s="240"/>
      <c r="AV286" s="240"/>
      <c r="AW286" s="240"/>
      <c r="AX286" s="240"/>
      <c r="AY286" s="240"/>
      <c r="AZ286" s="240"/>
      <c r="BA286" s="240"/>
      <c r="BB286" s="240"/>
      <c r="BC286" s="240"/>
      <c r="BD286" s="240"/>
      <c r="BE286" s="240"/>
      <c r="BF286" s="240"/>
      <c r="BG286" s="240"/>
      <c r="BH286" s="240"/>
      <c r="BI286" s="240"/>
      <c r="BJ286" s="240"/>
      <c r="BK286" s="240"/>
      <c r="BL286" s="240"/>
      <c r="BM286" s="240"/>
      <c r="BN286" s="240"/>
      <c r="BO286" s="240"/>
      <c r="BP286" s="240"/>
      <c r="BQ286" s="240"/>
      <c r="BR286" s="240"/>
      <c r="BS286" s="240"/>
      <c r="BT286" s="240"/>
      <c r="BU286" s="240"/>
      <c r="BV286" s="240"/>
      <c r="BW286" s="240"/>
      <c r="BX286" s="240"/>
      <c r="BY286" s="240"/>
      <c r="BZ286" s="240"/>
      <c r="CA286" s="240"/>
      <c r="CB286" s="240"/>
      <c r="CC286" s="240"/>
      <c r="CD286" s="240"/>
      <c r="CE286" s="240"/>
      <c r="CF286" s="240"/>
      <c r="CG286" s="240"/>
      <c r="CH286" s="240"/>
      <c r="CI286" s="240"/>
      <c r="CJ286" s="240"/>
      <c r="CK286" s="240"/>
      <c r="CL286" s="240"/>
      <c r="CM286" s="240"/>
      <c r="CN286" s="240"/>
      <c r="CO286" s="240"/>
      <c r="CP286" s="240"/>
      <c r="CQ286" s="240"/>
      <c r="CR286" s="240"/>
      <c r="CS286" s="240"/>
      <c r="CT286" s="240"/>
      <c r="CU286" s="240"/>
      <c r="CV286" s="240"/>
      <c r="CW286" s="240"/>
      <c r="CX286" s="240"/>
      <c r="CY286" s="240"/>
      <c r="CZ286" s="241"/>
      <c r="DA286" s="241"/>
      <c r="DB286" s="241"/>
      <c r="DC286" s="241"/>
      <c r="DD286" s="241"/>
      <c r="DE286" s="241"/>
      <c r="DF286" s="241"/>
      <c r="DG286" s="241"/>
      <c r="DH286" s="241"/>
      <c r="DI286" s="241"/>
      <c r="DJ286" s="241"/>
      <c r="DK286" s="241"/>
      <c r="DL286" s="241"/>
      <c r="DM286" s="241"/>
      <c r="DN286" s="241"/>
      <c r="DO286" s="241"/>
      <c r="DP286" s="241"/>
      <c r="DQ286" s="241"/>
      <c r="DR286" s="241"/>
      <c r="DS286" s="241"/>
      <c r="DT286" s="241"/>
      <c r="DU286" s="241"/>
      <c r="DV286" s="241"/>
      <c r="DW286" s="241"/>
      <c r="DX286" s="241"/>
      <c r="DY286" s="241"/>
      <c r="DZ286" s="241"/>
      <c r="EA286" s="241"/>
      <c r="EB286" s="241"/>
      <c r="EC286" s="241"/>
      <c r="ED286" s="241"/>
      <c r="EE286" s="241"/>
      <c r="EF286" s="241"/>
      <c r="EG286" s="241"/>
      <c r="EH286" s="241"/>
      <c r="EI286" s="241"/>
      <c r="EJ286" s="241"/>
      <c r="EK286" s="241"/>
      <c r="EL286" s="345"/>
      <c r="EM286" s="245"/>
      <c r="EN286" s="245"/>
      <c r="EO286" s="245"/>
      <c r="EP286" s="245"/>
      <c r="EQ286" s="351"/>
    </row>
    <row r="287" spans="2:147" s="243" customFormat="1" ht="11.25" customHeight="1">
      <c r="B287" s="343"/>
      <c r="C287" s="240"/>
      <c r="D287" s="240"/>
      <c r="E287" s="240"/>
      <c r="F287" s="240"/>
      <c r="G287" s="240"/>
      <c r="H287" s="240"/>
      <c r="I287" s="240"/>
      <c r="J287" s="240"/>
      <c r="K287" s="240" t="s">
        <v>96</v>
      </c>
      <c r="L287" s="240"/>
      <c r="M287" s="240"/>
      <c r="N287" s="240"/>
      <c r="O287" s="240"/>
      <c r="P287" s="240" t="s">
        <v>132</v>
      </c>
      <c r="Q287" s="240"/>
      <c r="R287" s="240" t="e">
        <f>TEXT(AH284+AH285+AH286,"#,##0")</f>
        <v>#REF!</v>
      </c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240"/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1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345"/>
      <c r="EM287" s="250" t="e">
        <f>EN287+EO287+EP287</f>
        <v>#REF!</v>
      </c>
      <c r="EN287" s="245" t="e">
        <f>TEXT(AH284,"#,##0")</f>
        <v>#REF!</v>
      </c>
      <c r="EO287" s="245" t="e">
        <f>TEXT(AH285,"#,##0")</f>
        <v>#REF!</v>
      </c>
      <c r="EP287" s="245" t="e">
        <f>TEXT(AH286,"#,##0")</f>
        <v>#REF!</v>
      </c>
      <c r="EQ287" s="351"/>
    </row>
    <row r="288" spans="2:147" ht="11.45" customHeight="1">
      <c r="B288" s="337"/>
      <c r="C288" s="338"/>
      <c r="D288" s="338"/>
      <c r="E288" s="338"/>
      <c r="F288" s="338"/>
      <c r="G288" s="338"/>
      <c r="H288" s="338"/>
      <c r="I288" s="338"/>
      <c r="J288" s="338"/>
      <c r="K288" s="338"/>
      <c r="L288" s="339"/>
      <c r="M288" s="339"/>
      <c r="N288" s="339"/>
      <c r="O288" s="338"/>
      <c r="P288" s="338"/>
      <c r="Q288" s="338"/>
      <c r="R288" s="338"/>
      <c r="S288" s="338"/>
      <c r="T288" s="338"/>
      <c r="U288" s="338"/>
      <c r="V288" s="338"/>
      <c r="W288" s="338"/>
      <c r="X288" s="338"/>
      <c r="Y288" s="338"/>
      <c r="Z288" s="338"/>
      <c r="AA288" s="338"/>
      <c r="AB288" s="338"/>
      <c r="AC288" s="338"/>
      <c r="AD288" s="338"/>
      <c r="AE288" s="338"/>
      <c r="AF288" s="338"/>
      <c r="AG288" s="338"/>
      <c r="AH288" s="338"/>
      <c r="AI288" s="338"/>
      <c r="AJ288" s="338"/>
      <c r="AK288" s="338"/>
      <c r="AL288" s="338"/>
      <c r="AM288" s="338"/>
      <c r="AN288" s="338"/>
      <c r="AO288" s="338"/>
      <c r="AP288" s="338"/>
      <c r="AQ288" s="338"/>
      <c r="AR288" s="338"/>
      <c r="AS288" s="338"/>
      <c r="AT288" s="338"/>
      <c r="AU288" s="338"/>
      <c r="AV288" s="338"/>
      <c r="AW288" s="338"/>
      <c r="AX288" s="338"/>
      <c r="AY288" s="338"/>
      <c r="AZ288" s="338"/>
      <c r="BA288" s="338"/>
      <c r="BB288" s="338"/>
      <c r="BC288" s="338"/>
      <c r="BD288" s="338"/>
      <c r="BE288" s="338"/>
      <c r="BF288" s="338"/>
      <c r="BG288" s="338"/>
      <c r="BH288" s="338"/>
      <c r="BI288" s="338"/>
      <c r="BJ288" s="338"/>
      <c r="BK288" s="338"/>
      <c r="BL288" s="338"/>
      <c r="BM288" s="338"/>
      <c r="BN288" s="338"/>
      <c r="BO288" s="338"/>
      <c r="BP288" s="338"/>
      <c r="BQ288" s="338"/>
      <c r="BR288" s="338"/>
      <c r="BS288" s="339"/>
      <c r="BT288" s="338"/>
      <c r="BU288" s="338"/>
      <c r="BV288" s="338"/>
      <c r="BW288" s="338"/>
      <c r="BX288" s="338"/>
      <c r="BY288" s="338"/>
      <c r="BZ288" s="338"/>
      <c r="CA288" s="338"/>
      <c r="CB288" s="338"/>
      <c r="CC288" s="338"/>
      <c r="CD288" s="338"/>
      <c r="CE288" s="338"/>
      <c r="CF288" s="338"/>
      <c r="CG288" s="338"/>
      <c r="CH288" s="338"/>
      <c r="CI288" s="338"/>
      <c r="CJ288" s="338"/>
      <c r="CK288" s="338"/>
      <c r="CL288" s="338"/>
      <c r="CM288" s="338"/>
      <c r="CN288" s="338"/>
      <c r="CO288" s="338"/>
      <c r="CP288" s="338"/>
      <c r="CQ288" s="338"/>
      <c r="CR288" s="338"/>
      <c r="CS288" s="338"/>
      <c r="CT288" s="338"/>
      <c r="CU288" s="338"/>
      <c r="CV288" s="338"/>
      <c r="CW288" s="338"/>
      <c r="CX288" s="338"/>
      <c r="CY288" s="338"/>
      <c r="CZ288" s="338"/>
      <c r="DA288" s="338"/>
      <c r="DB288" s="338"/>
      <c r="DC288" s="338"/>
      <c r="DD288" s="338"/>
      <c r="DE288" s="338"/>
      <c r="DF288" s="338"/>
      <c r="DG288" s="338"/>
      <c r="DH288" s="338"/>
      <c r="DI288" s="338"/>
      <c r="DJ288" s="338"/>
      <c r="DK288" s="338"/>
      <c r="DL288" s="338"/>
      <c r="DM288" s="338"/>
      <c r="DN288" s="338"/>
      <c r="DO288" s="338"/>
      <c r="DP288" s="338"/>
      <c r="DQ288" s="338"/>
      <c r="DR288" s="338"/>
      <c r="DS288" s="338"/>
      <c r="DT288" s="338"/>
      <c r="DU288" s="338"/>
      <c r="DV288" s="338"/>
      <c r="DW288" s="338"/>
      <c r="DX288" s="338"/>
      <c r="DY288" s="338"/>
      <c r="DZ288" s="338"/>
      <c r="EA288" s="338"/>
      <c r="EB288" s="338"/>
      <c r="EC288" s="338"/>
      <c r="ED288" s="338"/>
      <c r="EE288" s="338"/>
      <c r="EF288" s="338"/>
      <c r="EG288" s="338"/>
      <c r="EH288" s="338"/>
      <c r="EI288" s="338"/>
      <c r="EJ288" s="338"/>
      <c r="EK288" s="338"/>
      <c r="EL288" s="340"/>
      <c r="EM288" s="341"/>
      <c r="EN288" s="341"/>
      <c r="EO288" s="341"/>
      <c r="EP288" s="341"/>
      <c r="EQ288" s="342"/>
    </row>
    <row r="289" spans="1:150" ht="11.45" customHeight="1">
      <c r="B289" s="337"/>
      <c r="C289" s="338"/>
      <c r="D289" s="338"/>
      <c r="E289" s="338"/>
      <c r="F289" s="338"/>
      <c r="G289" s="338"/>
      <c r="H289" s="338"/>
      <c r="I289" s="338"/>
      <c r="J289" s="338"/>
      <c r="K289" s="338"/>
      <c r="L289" s="339"/>
      <c r="M289" s="339"/>
      <c r="N289" s="339"/>
      <c r="O289" s="338"/>
      <c r="P289" s="338"/>
      <c r="Q289" s="338"/>
      <c r="R289" s="338"/>
      <c r="S289" s="338"/>
      <c r="T289" s="338"/>
      <c r="U289" s="338"/>
      <c r="V289" s="338"/>
      <c r="W289" s="338"/>
      <c r="X289" s="338"/>
      <c r="Y289" s="338"/>
      <c r="Z289" s="338"/>
      <c r="AA289" s="338"/>
      <c r="AB289" s="338"/>
      <c r="AC289" s="338"/>
      <c r="AD289" s="338"/>
      <c r="AE289" s="338"/>
      <c r="AF289" s="338"/>
      <c r="AG289" s="338"/>
      <c r="AH289" s="338"/>
      <c r="AI289" s="338"/>
      <c r="AJ289" s="338"/>
      <c r="AK289" s="338"/>
      <c r="AL289" s="338"/>
      <c r="AM289" s="338"/>
      <c r="AN289" s="338"/>
      <c r="AO289" s="338"/>
      <c r="AP289" s="338"/>
      <c r="AQ289" s="338"/>
      <c r="AR289" s="338"/>
      <c r="AS289" s="338"/>
      <c r="AT289" s="338"/>
      <c r="AU289" s="338"/>
      <c r="AV289" s="338"/>
      <c r="AW289" s="338"/>
      <c r="AX289" s="338"/>
      <c r="AY289" s="338"/>
      <c r="AZ289" s="338"/>
      <c r="BA289" s="338"/>
      <c r="BB289" s="338"/>
      <c r="BC289" s="338"/>
      <c r="BD289" s="338"/>
      <c r="BE289" s="338"/>
      <c r="BF289" s="338"/>
      <c r="BG289" s="338"/>
      <c r="BH289" s="338"/>
      <c r="BI289" s="338"/>
      <c r="BJ289" s="338"/>
      <c r="BK289" s="338"/>
      <c r="BL289" s="338"/>
      <c r="BM289" s="338"/>
      <c r="BN289" s="338"/>
      <c r="BO289" s="338"/>
      <c r="BP289" s="338"/>
      <c r="BQ289" s="338"/>
      <c r="BR289" s="338"/>
      <c r="BS289" s="339"/>
      <c r="BT289" s="338"/>
      <c r="BU289" s="338"/>
      <c r="BV289" s="338"/>
      <c r="BW289" s="338"/>
      <c r="BX289" s="338"/>
      <c r="BY289" s="338"/>
      <c r="BZ289" s="338"/>
      <c r="CA289" s="338"/>
      <c r="CB289" s="338"/>
      <c r="CC289" s="338"/>
      <c r="CD289" s="338"/>
      <c r="CE289" s="338"/>
      <c r="CF289" s="338"/>
      <c r="CG289" s="338"/>
      <c r="CH289" s="338"/>
      <c r="CI289" s="338"/>
      <c r="CJ289" s="338"/>
      <c r="CK289" s="338"/>
      <c r="CL289" s="338"/>
      <c r="CM289" s="338"/>
      <c r="CN289" s="338"/>
      <c r="CO289" s="338"/>
      <c r="CP289" s="338"/>
      <c r="CQ289" s="338"/>
      <c r="CR289" s="338"/>
      <c r="CS289" s="338"/>
      <c r="CT289" s="338"/>
      <c r="CU289" s="338"/>
      <c r="CV289" s="338"/>
      <c r="CW289" s="338"/>
      <c r="CX289" s="338"/>
      <c r="CY289" s="338"/>
      <c r="CZ289" s="338"/>
      <c r="DA289" s="338"/>
      <c r="DB289" s="338"/>
      <c r="DC289" s="338"/>
      <c r="DD289" s="338"/>
      <c r="DE289" s="338"/>
      <c r="DF289" s="338"/>
      <c r="DG289" s="338"/>
      <c r="DH289" s="338"/>
      <c r="DI289" s="338"/>
      <c r="DJ289" s="338"/>
      <c r="DK289" s="338"/>
      <c r="DL289" s="338"/>
      <c r="DM289" s="338"/>
      <c r="DN289" s="338"/>
      <c r="DO289" s="338"/>
      <c r="DP289" s="338"/>
      <c r="DQ289" s="338"/>
      <c r="DR289" s="338"/>
      <c r="DS289" s="338"/>
      <c r="DT289" s="338"/>
      <c r="DU289" s="338"/>
      <c r="DV289" s="338"/>
      <c r="DW289" s="338"/>
      <c r="DX289" s="338"/>
      <c r="DY289" s="338"/>
      <c r="DZ289" s="338"/>
      <c r="EA289" s="338"/>
      <c r="EB289" s="338"/>
      <c r="EC289" s="338"/>
      <c r="ED289" s="338"/>
      <c r="EE289" s="338"/>
      <c r="EF289" s="338"/>
      <c r="EG289" s="338"/>
      <c r="EH289" s="338"/>
      <c r="EI289" s="338"/>
      <c r="EJ289" s="338"/>
      <c r="EK289" s="338"/>
      <c r="EL289" s="340"/>
      <c r="EM289" s="341"/>
      <c r="EN289" s="341"/>
      <c r="EO289" s="341"/>
      <c r="EP289" s="341"/>
      <c r="EQ289" s="342"/>
    </row>
    <row r="290" spans="1:150" ht="11.45" customHeight="1">
      <c r="B290" s="337"/>
      <c r="C290" s="338"/>
      <c r="D290" s="338"/>
      <c r="E290" s="338"/>
      <c r="F290" s="338"/>
      <c r="G290" s="338"/>
      <c r="H290" s="338"/>
      <c r="I290" s="338"/>
      <c r="J290" s="338"/>
      <c r="K290" s="338"/>
      <c r="L290" s="339"/>
      <c r="M290" s="339"/>
      <c r="N290" s="339"/>
      <c r="O290" s="338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8"/>
      <c r="AU290" s="338"/>
      <c r="AV290" s="338"/>
      <c r="AW290" s="338"/>
      <c r="AX290" s="338"/>
      <c r="AY290" s="338"/>
      <c r="AZ290" s="338"/>
      <c r="BA290" s="338"/>
      <c r="BB290" s="338"/>
      <c r="BC290" s="338"/>
      <c r="BD290" s="338"/>
      <c r="BE290" s="338"/>
      <c r="BF290" s="338"/>
      <c r="BG290" s="338"/>
      <c r="BH290" s="338"/>
      <c r="BI290" s="338"/>
      <c r="BJ290" s="338"/>
      <c r="BK290" s="338"/>
      <c r="BL290" s="338"/>
      <c r="BM290" s="338"/>
      <c r="BN290" s="338"/>
      <c r="BO290" s="338"/>
      <c r="BP290" s="338"/>
      <c r="BQ290" s="338"/>
      <c r="BR290" s="338"/>
      <c r="BS290" s="339"/>
      <c r="BT290" s="338"/>
      <c r="BU290" s="338"/>
      <c r="BV290" s="338"/>
      <c r="BW290" s="338"/>
      <c r="BX290" s="338"/>
      <c r="BY290" s="338"/>
      <c r="BZ290" s="338"/>
      <c r="CA290" s="338"/>
      <c r="CB290" s="338"/>
      <c r="CC290" s="338"/>
      <c r="CD290" s="338"/>
      <c r="CE290" s="338"/>
      <c r="CF290" s="338"/>
      <c r="CG290" s="338"/>
      <c r="CH290" s="338"/>
      <c r="CI290" s="338"/>
      <c r="CJ290" s="338"/>
      <c r="CK290" s="338"/>
      <c r="CL290" s="338"/>
      <c r="CM290" s="338"/>
      <c r="CN290" s="338"/>
      <c r="CO290" s="338"/>
      <c r="CP290" s="338"/>
      <c r="CQ290" s="338"/>
      <c r="CR290" s="338"/>
      <c r="CS290" s="338"/>
      <c r="CT290" s="338"/>
      <c r="CU290" s="338"/>
      <c r="CV290" s="338"/>
      <c r="CW290" s="338"/>
      <c r="CX290" s="338"/>
      <c r="CY290" s="338"/>
      <c r="CZ290" s="338"/>
      <c r="DA290" s="338"/>
      <c r="DB290" s="338"/>
      <c r="DC290" s="338"/>
      <c r="DD290" s="338"/>
      <c r="DE290" s="338"/>
      <c r="DF290" s="338"/>
      <c r="DG290" s="338"/>
      <c r="DH290" s="338"/>
      <c r="DI290" s="338"/>
      <c r="DJ290" s="338"/>
      <c r="DK290" s="338"/>
      <c r="DL290" s="338"/>
      <c r="DM290" s="338"/>
      <c r="DN290" s="338"/>
      <c r="DO290" s="338"/>
      <c r="DP290" s="338"/>
      <c r="DQ290" s="338"/>
      <c r="DR290" s="338"/>
      <c r="DS290" s="338"/>
      <c r="DT290" s="338"/>
      <c r="DU290" s="338"/>
      <c r="DV290" s="338"/>
      <c r="DW290" s="338"/>
      <c r="DX290" s="338"/>
      <c r="DY290" s="338"/>
      <c r="DZ290" s="338"/>
      <c r="EA290" s="338"/>
      <c r="EB290" s="338"/>
      <c r="EC290" s="338"/>
      <c r="ED290" s="338"/>
      <c r="EE290" s="338"/>
      <c r="EF290" s="338"/>
      <c r="EG290" s="338"/>
      <c r="EH290" s="338"/>
      <c r="EI290" s="338"/>
      <c r="EJ290" s="338"/>
      <c r="EK290" s="338"/>
      <c r="EL290" s="340"/>
      <c r="EM290" s="341"/>
      <c r="EN290" s="341"/>
      <c r="EO290" s="341"/>
      <c r="EP290" s="341"/>
      <c r="EQ290" s="342"/>
    </row>
    <row r="291" spans="1:150" ht="11.45" customHeight="1">
      <c r="B291" s="337"/>
      <c r="C291" s="338"/>
      <c r="D291" s="338"/>
      <c r="E291" s="338"/>
      <c r="F291" s="338"/>
      <c r="G291" s="338"/>
      <c r="H291" s="338"/>
      <c r="I291" s="338"/>
      <c r="J291" s="338"/>
      <c r="K291" s="338"/>
      <c r="L291" s="339"/>
      <c r="M291" s="339"/>
      <c r="N291" s="339"/>
      <c r="O291" s="338"/>
      <c r="P291" s="338"/>
      <c r="Q291" s="338"/>
      <c r="R291" s="338"/>
      <c r="S291" s="338"/>
      <c r="T291" s="338"/>
      <c r="U291" s="338"/>
      <c r="V291" s="338"/>
      <c r="W291" s="338"/>
      <c r="X291" s="338"/>
      <c r="Y291" s="338"/>
      <c r="Z291" s="338"/>
      <c r="AA291" s="338"/>
      <c r="AB291" s="338"/>
      <c r="AC291" s="338"/>
      <c r="AD291" s="338"/>
      <c r="AE291" s="338"/>
      <c r="AF291" s="338"/>
      <c r="AG291" s="338"/>
      <c r="AH291" s="338"/>
      <c r="AI291" s="338"/>
      <c r="AJ291" s="338"/>
      <c r="AK291" s="338"/>
      <c r="AL291" s="338"/>
      <c r="AM291" s="338"/>
      <c r="AN291" s="338"/>
      <c r="AO291" s="338"/>
      <c r="AP291" s="338"/>
      <c r="AQ291" s="338"/>
      <c r="AR291" s="338"/>
      <c r="AS291" s="338"/>
      <c r="AT291" s="338"/>
      <c r="AU291" s="338"/>
      <c r="AV291" s="338"/>
      <c r="AW291" s="338"/>
      <c r="AX291" s="338"/>
      <c r="AY291" s="338"/>
      <c r="AZ291" s="338"/>
      <c r="BA291" s="338"/>
      <c r="BB291" s="338"/>
      <c r="BC291" s="338"/>
      <c r="BD291" s="338"/>
      <c r="BE291" s="338"/>
      <c r="BF291" s="338"/>
      <c r="BG291" s="338"/>
      <c r="BH291" s="338"/>
      <c r="BI291" s="338"/>
      <c r="BJ291" s="338"/>
      <c r="BK291" s="338"/>
      <c r="BL291" s="338"/>
      <c r="BM291" s="338"/>
      <c r="BN291" s="338"/>
      <c r="BO291" s="338"/>
      <c r="BP291" s="338"/>
      <c r="BQ291" s="338"/>
      <c r="BR291" s="338"/>
      <c r="BS291" s="339"/>
      <c r="BT291" s="338"/>
      <c r="BU291" s="338"/>
      <c r="BV291" s="338"/>
      <c r="BW291" s="338"/>
      <c r="BX291" s="338"/>
      <c r="BY291" s="338"/>
      <c r="BZ291" s="338"/>
      <c r="CA291" s="338"/>
      <c r="CB291" s="338"/>
      <c r="CC291" s="338"/>
      <c r="CD291" s="338"/>
      <c r="CE291" s="338"/>
      <c r="CF291" s="338"/>
      <c r="CG291" s="338"/>
      <c r="CH291" s="338"/>
      <c r="CI291" s="338"/>
      <c r="CJ291" s="338"/>
      <c r="CK291" s="338"/>
      <c r="CL291" s="338"/>
      <c r="CM291" s="338"/>
      <c r="CN291" s="338"/>
      <c r="CO291" s="338"/>
      <c r="CP291" s="338"/>
      <c r="CQ291" s="338"/>
      <c r="CR291" s="338"/>
      <c r="CS291" s="338"/>
      <c r="CT291" s="338"/>
      <c r="CU291" s="338"/>
      <c r="CV291" s="338"/>
      <c r="CW291" s="338"/>
      <c r="CX291" s="338"/>
      <c r="CY291" s="338"/>
      <c r="CZ291" s="338"/>
      <c r="DA291" s="338"/>
      <c r="DB291" s="338"/>
      <c r="DC291" s="338"/>
      <c r="DD291" s="338"/>
      <c r="DE291" s="338"/>
      <c r="DF291" s="338"/>
      <c r="DG291" s="338"/>
      <c r="DH291" s="338"/>
      <c r="DI291" s="338"/>
      <c r="DJ291" s="338"/>
      <c r="DK291" s="338"/>
      <c r="DL291" s="338"/>
      <c r="DM291" s="338"/>
      <c r="DN291" s="338"/>
      <c r="DO291" s="338"/>
      <c r="DP291" s="338"/>
      <c r="DQ291" s="338"/>
      <c r="DR291" s="338"/>
      <c r="DS291" s="338"/>
      <c r="DT291" s="338"/>
      <c r="DU291" s="338"/>
      <c r="DV291" s="338"/>
      <c r="DW291" s="338"/>
      <c r="DX291" s="338"/>
      <c r="DY291" s="338"/>
      <c r="DZ291" s="338"/>
      <c r="EA291" s="338"/>
      <c r="EB291" s="338"/>
      <c r="EC291" s="338"/>
      <c r="ED291" s="338"/>
      <c r="EE291" s="338"/>
      <c r="EF291" s="338"/>
      <c r="EG291" s="338"/>
      <c r="EH291" s="338"/>
      <c r="EI291" s="338"/>
      <c r="EJ291" s="338"/>
      <c r="EK291" s="338"/>
      <c r="EL291" s="340"/>
      <c r="EM291" s="341"/>
      <c r="EN291" s="341"/>
      <c r="EO291" s="341"/>
      <c r="EP291" s="341"/>
      <c r="EQ291" s="342"/>
    </row>
    <row r="292" spans="1:150" ht="11.45" customHeight="1">
      <c r="B292" s="337"/>
      <c r="C292" s="338"/>
      <c r="D292" s="338"/>
      <c r="E292" s="338"/>
      <c r="F292" s="338"/>
      <c r="G292" s="338"/>
      <c r="H292" s="338"/>
      <c r="I292" s="338"/>
      <c r="J292" s="338"/>
      <c r="K292" s="338"/>
      <c r="L292" s="339"/>
      <c r="M292" s="339"/>
      <c r="N292" s="339"/>
      <c r="O292" s="338"/>
      <c r="P292" s="338"/>
      <c r="Q292" s="338"/>
      <c r="R292" s="338"/>
      <c r="S292" s="338"/>
      <c r="T292" s="338"/>
      <c r="U292" s="338"/>
      <c r="V292" s="338"/>
      <c r="W292" s="338"/>
      <c r="X292" s="338"/>
      <c r="Y292" s="338"/>
      <c r="Z292" s="338"/>
      <c r="AA292" s="338"/>
      <c r="AB292" s="338"/>
      <c r="AC292" s="338"/>
      <c r="AD292" s="338"/>
      <c r="AE292" s="338"/>
      <c r="AF292" s="338"/>
      <c r="AG292" s="338"/>
      <c r="AH292" s="338"/>
      <c r="AI292" s="338"/>
      <c r="AJ292" s="338"/>
      <c r="AK292" s="338"/>
      <c r="AL292" s="338"/>
      <c r="AM292" s="338"/>
      <c r="AN292" s="338"/>
      <c r="AO292" s="338"/>
      <c r="AP292" s="338"/>
      <c r="AQ292" s="338"/>
      <c r="AR292" s="338"/>
      <c r="AS292" s="338"/>
      <c r="AT292" s="338"/>
      <c r="AU292" s="338"/>
      <c r="AV292" s="338"/>
      <c r="AW292" s="338"/>
      <c r="AX292" s="338"/>
      <c r="AY292" s="338"/>
      <c r="AZ292" s="338"/>
      <c r="BA292" s="338"/>
      <c r="BB292" s="338"/>
      <c r="BC292" s="338"/>
      <c r="BD292" s="338"/>
      <c r="BE292" s="338"/>
      <c r="BF292" s="338"/>
      <c r="BG292" s="338"/>
      <c r="BH292" s="338"/>
      <c r="BI292" s="338"/>
      <c r="BJ292" s="338"/>
      <c r="BK292" s="338"/>
      <c r="BL292" s="338"/>
      <c r="BM292" s="338"/>
      <c r="BN292" s="338"/>
      <c r="BO292" s="338"/>
      <c r="BP292" s="338"/>
      <c r="BQ292" s="338"/>
      <c r="BR292" s="338"/>
      <c r="BS292" s="339"/>
      <c r="BT292" s="338"/>
      <c r="BU292" s="338"/>
      <c r="BV292" s="338"/>
      <c r="BW292" s="338"/>
      <c r="BX292" s="338"/>
      <c r="BY292" s="338"/>
      <c r="BZ292" s="338"/>
      <c r="CA292" s="338"/>
      <c r="CB292" s="338"/>
      <c r="CC292" s="338"/>
      <c r="CD292" s="338"/>
      <c r="CE292" s="338"/>
      <c r="CF292" s="338"/>
      <c r="CG292" s="338"/>
      <c r="CH292" s="338"/>
      <c r="CI292" s="338"/>
      <c r="CJ292" s="338"/>
      <c r="CK292" s="338"/>
      <c r="CL292" s="338"/>
      <c r="CM292" s="338"/>
      <c r="CN292" s="338"/>
      <c r="CO292" s="338"/>
      <c r="CP292" s="338"/>
      <c r="CQ292" s="338"/>
      <c r="CR292" s="338"/>
      <c r="CS292" s="338"/>
      <c r="CT292" s="338"/>
      <c r="CU292" s="338"/>
      <c r="CV292" s="338"/>
      <c r="CW292" s="338"/>
      <c r="CX292" s="338"/>
      <c r="CY292" s="338"/>
      <c r="CZ292" s="338"/>
      <c r="DA292" s="338"/>
      <c r="DB292" s="338"/>
      <c r="DC292" s="338"/>
      <c r="DD292" s="338"/>
      <c r="DE292" s="338"/>
      <c r="DF292" s="338"/>
      <c r="DG292" s="338"/>
      <c r="DH292" s="338"/>
      <c r="DI292" s="338"/>
      <c r="DJ292" s="338"/>
      <c r="DK292" s="338"/>
      <c r="DL292" s="338"/>
      <c r="DM292" s="338"/>
      <c r="DN292" s="338"/>
      <c r="DO292" s="338"/>
      <c r="DP292" s="338"/>
      <c r="DQ292" s="338"/>
      <c r="DR292" s="338"/>
      <c r="DS292" s="338"/>
      <c r="DT292" s="338"/>
      <c r="DU292" s="338"/>
      <c r="DV292" s="338"/>
      <c r="DW292" s="338"/>
      <c r="DX292" s="338"/>
      <c r="DY292" s="338"/>
      <c r="DZ292" s="338"/>
      <c r="EA292" s="338"/>
      <c r="EB292" s="338"/>
      <c r="EC292" s="338"/>
      <c r="ED292" s="338"/>
      <c r="EE292" s="338"/>
      <c r="EF292" s="338"/>
      <c r="EG292" s="338"/>
      <c r="EH292" s="338"/>
      <c r="EI292" s="338"/>
      <c r="EJ292" s="338"/>
      <c r="EK292" s="338"/>
      <c r="EL292" s="340"/>
      <c r="EM292" s="341"/>
      <c r="EN292" s="341"/>
      <c r="EO292" s="341"/>
      <c r="EP292" s="341"/>
      <c r="EQ292" s="342"/>
    </row>
    <row r="293" spans="1:150" ht="11.45" customHeight="1">
      <c r="B293" s="337"/>
      <c r="C293" s="338"/>
      <c r="D293" s="338"/>
      <c r="E293" s="338"/>
      <c r="F293" s="338"/>
      <c r="G293" s="338"/>
      <c r="H293" s="338"/>
      <c r="I293" s="338"/>
      <c r="J293" s="338"/>
      <c r="K293" s="338"/>
      <c r="L293" s="339"/>
      <c r="M293" s="339"/>
      <c r="N293" s="339"/>
      <c r="O293" s="338"/>
      <c r="P293" s="338"/>
      <c r="Q293" s="338"/>
      <c r="R293" s="338"/>
      <c r="S293" s="338"/>
      <c r="T293" s="338"/>
      <c r="U293" s="338"/>
      <c r="V293" s="338"/>
      <c r="W293" s="338"/>
      <c r="X293" s="338"/>
      <c r="Y293" s="338"/>
      <c r="Z293" s="338"/>
      <c r="AA293" s="338"/>
      <c r="AB293" s="338"/>
      <c r="AC293" s="338"/>
      <c r="AD293" s="338"/>
      <c r="AE293" s="338"/>
      <c r="AF293" s="338"/>
      <c r="AG293" s="338"/>
      <c r="AH293" s="338"/>
      <c r="AI293" s="338"/>
      <c r="AJ293" s="338"/>
      <c r="AK293" s="338"/>
      <c r="AL293" s="338"/>
      <c r="AM293" s="338"/>
      <c r="AN293" s="338"/>
      <c r="AO293" s="338"/>
      <c r="AP293" s="338"/>
      <c r="AQ293" s="338"/>
      <c r="AR293" s="338"/>
      <c r="AS293" s="338"/>
      <c r="AT293" s="338"/>
      <c r="AU293" s="338"/>
      <c r="AV293" s="338"/>
      <c r="AW293" s="338"/>
      <c r="AX293" s="338"/>
      <c r="AY293" s="338"/>
      <c r="AZ293" s="338"/>
      <c r="BA293" s="338"/>
      <c r="BB293" s="338"/>
      <c r="BC293" s="338"/>
      <c r="BD293" s="338"/>
      <c r="BE293" s="338"/>
      <c r="BF293" s="338"/>
      <c r="BG293" s="338"/>
      <c r="BH293" s="338"/>
      <c r="BI293" s="338"/>
      <c r="BJ293" s="338"/>
      <c r="BK293" s="338"/>
      <c r="BL293" s="338"/>
      <c r="BM293" s="338"/>
      <c r="BN293" s="338"/>
      <c r="BO293" s="338"/>
      <c r="BP293" s="338"/>
      <c r="BQ293" s="338"/>
      <c r="BR293" s="338"/>
      <c r="BS293" s="339"/>
      <c r="BT293" s="338"/>
      <c r="BU293" s="338"/>
      <c r="BV293" s="338"/>
      <c r="BW293" s="338"/>
      <c r="BX293" s="338"/>
      <c r="BY293" s="338"/>
      <c r="BZ293" s="338"/>
      <c r="CA293" s="338"/>
      <c r="CB293" s="338"/>
      <c r="CC293" s="338"/>
      <c r="CD293" s="338"/>
      <c r="CE293" s="338"/>
      <c r="CF293" s="338"/>
      <c r="CG293" s="338"/>
      <c r="CH293" s="338"/>
      <c r="CI293" s="338"/>
      <c r="CJ293" s="338"/>
      <c r="CK293" s="338"/>
      <c r="CL293" s="338"/>
      <c r="CM293" s="338"/>
      <c r="CN293" s="338"/>
      <c r="CO293" s="338"/>
      <c r="CP293" s="338"/>
      <c r="CQ293" s="338"/>
      <c r="CR293" s="338"/>
      <c r="CS293" s="338"/>
      <c r="CT293" s="338"/>
      <c r="CU293" s="338"/>
      <c r="CV293" s="338"/>
      <c r="CW293" s="338"/>
      <c r="CX293" s="338"/>
      <c r="CY293" s="338"/>
      <c r="CZ293" s="338"/>
      <c r="DA293" s="338"/>
      <c r="DB293" s="338"/>
      <c r="DC293" s="338"/>
      <c r="DD293" s="338"/>
      <c r="DE293" s="338"/>
      <c r="DF293" s="338"/>
      <c r="DG293" s="338"/>
      <c r="DH293" s="338"/>
      <c r="DI293" s="338"/>
      <c r="DJ293" s="338"/>
      <c r="DK293" s="338"/>
      <c r="DL293" s="338"/>
      <c r="DM293" s="338"/>
      <c r="DN293" s="338"/>
      <c r="DO293" s="338"/>
      <c r="DP293" s="338"/>
      <c r="DQ293" s="338"/>
      <c r="DR293" s="338"/>
      <c r="DS293" s="338"/>
      <c r="DT293" s="338"/>
      <c r="DU293" s="338"/>
      <c r="DV293" s="338"/>
      <c r="DW293" s="338"/>
      <c r="DX293" s="338"/>
      <c r="DY293" s="338"/>
      <c r="DZ293" s="338"/>
      <c r="EA293" s="338"/>
      <c r="EB293" s="338"/>
      <c r="EC293" s="338"/>
      <c r="ED293" s="338"/>
      <c r="EE293" s="338"/>
      <c r="EF293" s="338"/>
      <c r="EG293" s="338"/>
      <c r="EH293" s="338"/>
      <c r="EI293" s="338"/>
      <c r="EJ293" s="338"/>
      <c r="EK293" s="338"/>
      <c r="EL293" s="340"/>
      <c r="EM293" s="341"/>
      <c r="EN293" s="341"/>
      <c r="EO293" s="341"/>
      <c r="EP293" s="341"/>
      <c r="EQ293" s="342"/>
    </row>
    <row r="294" spans="1:150" ht="11.45" customHeight="1">
      <c r="B294" s="337"/>
      <c r="C294" s="338"/>
      <c r="D294" s="338"/>
      <c r="E294" s="338"/>
      <c r="F294" s="338"/>
      <c r="G294" s="338"/>
      <c r="H294" s="338"/>
      <c r="I294" s="338"/>
      <c r="J294" s="338"/>
      <c r="K294" s="338"/>
      <c r="L294" s="339"/>
      <c r="M294" s="339"/>
      <c r="N294" s="339"/>
      <c r="O294" s="338"/>
      <c r="P294" s="338"/>
      <c r="Q294" s="338"/>
      <c r="R294" s="338"/>
      <c r="S294" s="338"/>
      <c r="T294" s="338"/>
      <c r="U294" s="338"/>
      <c r="V294" s="338"/>
      <c r="W294" s="338"/>
      <c r="X294" s="338"/>
      <c r="Y294" s="338"/>
      <c r="Z294" s="338"/>
      <c r="AA294" s="338"/>
      <c r="AB294" s="338"/>
      <c r="AC294" s="338"/>
      <c r="AD294" s="338"/>
      <c r="AE294" s="338"/>
      <c r="AF294" s="338"/>
      <c r="AG294" s="338"/>
      <c r="AH294" s="338"/>
      <c r="AI294" s="338"/>
      <c r="AJ294" s="338"/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/>
      <c r="AW294" s="338"/>
      <c r="AX294" s="338"/>
      <c r="AY294" s="338"/>
      <c r="AZ294" s="338"/>
      <c r="BA294" s="338"/>
      <c r="BB294" s="338"/>
      <c r="BC294" s="338"/>
      <c r="BD294" s="338"/>
      <c r="BE294" s="338"/>
      <c r="BF294" s="338"/>
      <c r="BG294" s="338"/>
      <c r="BH294" s="338"/>
      <c r="BI294" s="338"/>
      <c r="BJ294" s="338"/>
      <c r="BK294" s="338"/>
      <c r="BL294" s="338"/>
      <c r="BM294" s="338"/>
      <c r="BN294" s="338"/>
      <c r="BO294" s="338"/>
      <c r="BP294" s="338"/>
      <c r="BQ294" s="338"/>
      <c r="BR294" s="338"/>
      <c r="BS294" s="339"/>
      <c r="BT294" s="338"/>
      <c r="BU294" s="338"/>
      <c r="BV294" s="338"/>
      <c r="BW294" s="338"/>
      <c r="BX294" s="338"/>
      <c r="BY294" s="338"/>
      <c r="BZ294" s="338"/>
      <c r="CA294" s="338"/>
      <c r="CB294" s="338"/>
      <c r="CC294" s="338"/>
      <c r="CD294" s="338"/>
      <c r="CE294" s="338"/>
      <c r="CF294" s="338"/>
      <c r="CG294" s="338"/>
      <c r="CH294" s="338"/>
      <c r="CI294" s="338"/>
      <c r="CJ294" s="338"/>
      <c r="CK294" s="338"/>
      <c r="CL294" s="338"/>
      <c r="CM294" s="338"/>
      <c r="CN294" s="338"/>
      <c r="CO294" s="338"/>
      <c r="CP294" s="338"/>
      <c r="CQ294" s="338"/>
      <c r="CR294" s="338"/>
      <c r="CS294" s="338"/>
      <c r="CT294" s="338"/>
      <c r="CU294" s="338"/>
      <c r="CV294" s="338"/>
      <c r="CW294" s="338"/>
      <c r="CX294" s="338"/>
      <c r="CY294" s="338"/>
      <c r="CZ294" s="338"/>
      <c r="DA294" s="338"/>
      <c r="DB294" s="338"/>
      <c r="DC294" s="338"/>
      <c r="DD294" s="338"/>
      <c r="DE294" s="338"/>
      <c r="DF294" s="338"/>
      <c r="DG294" s="338"/>
      <c r="DH294" s="338"/>
      <c r="DI294" s="338"/>
      <c r="DJ294" s="338"/>
      <c r="DK294" s="338"/>
      <c r="DL294" s="338"/>
      <c r="DM294" s="338"/>
      <c r="DN294" s="338"/>
      <c r="DO294" s="338"/>
      <c r="DP294" s="338"/>
      <c r="DQ294" s="338"/>
      <c r="DR294" s="338"/>
      <c r="DS294" s="338"/>
      <c r="DT294" s="338"/>
      <c r="DU294" s="338"/>
      <c r="DV294" s="338"/>
      <c r="DW294" s="338"/>
      <c r="DX294" s="338"/>
      <c r="DY294" s="338"/>
      <c r="DZ294" s="338"/>
      <c r="EA294" s="338"/>
      <c r="EB294" s="338"/>
      <c r="EC294" s="338"/>
      <c r="ED294" s="338"/>
      <c r="EE294" s="338"/>
      <c r="EF294" s="338"/>
      <c r="EG294" s="338"/>
      <c r="EH294" s="338"/>
      <c r="EI294" s="338"/>
      <c r="EJ294" s="338"/>
      <c r="EK294" s="338"/>
      <c r="EL294" s="340"/>
      <c r="EM294" s="341"/>
      <c r="EN294" s="341"/>
      <c r="EO294" s="341"/>
      <c r="EP294" s="341"/>
      <c r="EQ294" s="342"/>
    </row>
    <row r="295" spans="1:150" ht="11.45" customHeight="1">
      <c r="B295" s="337"/>
      <c r="C295" s="338"/>
      <c r="D295" s="338"/>
      <c r="E295" s="338"/>
      <c r="F295" s="338"/>
      <c r="G295" s="338"/>
      <c r="H295" s="338"/>
      <c r="I295" s="338"/>
      <c r="J295" s="338"/>
      <c r="K295" s="338"/>
      <c r="L295" s="339"/>
      <c r="M295" s="339"/>
      <c r="N295" s="339"/>
      <c r="O295" s="338"/>
      <c r="P295" s="338"/>
      <c r="Q295" s="338"/>
      <c r="R295" s="338"/>
      <c r="S295" s="338"/>
      <c r="T295" s="338"/>
      <c r="U295" s="338"/>
      <c r="V295" s="338"/>
      <c r="W295" s="338"/>
      <c r="X295" s="338"/>
      <c r="Y295" s="338"/>
      <c r="Z295" s="338"/>
      <c r="AA295" s="338"/>
      <c r="AB295" s="338"/>
      <c r="AC295" s="338"/>
      <c r="AD295" s="338"/>
      <c r="AE295" s="338"/>
      <c r="AF295" s="338"/>
      <c r="AG295" s="338"/>
      <c r="AH295" s="338"/>
      <c r="AI295" s="338"/>
      <c r="AJ295" s="338"/>
      <c r="AK295" s="338"/>
      <c r="AL295" s="338"/>
      <c r="AM295" s="338"/>
      <c r="AN295" s="338"/>
      <c r="AO295" s="338"/>
      <c r="AP295" s="338"/>
      <c r="AQ295" s="338"/>
      <c r="AR295" s="338"/>
      <c r="AS295" s="338"/>
      <c r="AT295" s="338"/>
      <c r="AU295" s="338"/>
      <c r="AV295" s="338"/>
      <c r="AW295" s="338"/>
      <c r="AX295" s="338"/>
      <c r="AY295" s="338"/>
      <c r="AZ295" s="338"/>
      <c r="BA295" s="338"/>
      <c r="BB295" s="338"/>
      <c r="BC295" s="338"/>
      <c r="BD295" s="338"/>
      <c r="BE295" s="338"/>
      <c r="BF295" s="338"/>
      <c r="BG295" s="338"/>
      <c r="BH295" s="338"/>
      <c r="BI295" s="338"/>
      <c r="BJ295" s="338"/>
      <c r="BK295" s="338"/>
      <c r="BL295" s="338"/>
      <c r="BM295" s="338"/>
      <c r="BN295" s="338"/>
      <c r="BO295" s="338"/>
      <c r="BP295" s="338"/>
      <c r="BQ295" s="338"/>
      <c r="BR295" s="338"/>
      <c r="BS295" s="339"/>
      <c r="BT295" s="338"/>
      <c r="BU295" s="338"/>
      <c r="BV295" s="338"/>
      <c r="BW295" s="338"/>
      <c r="BX295" s="338"/>
      <c r="BY295" s="338"/>
      <c r="BZ295" s="338"/>
      <c r="CA295" s="338"/>
      <c r="CB295" s="338"/>
      <c r="CC295" s="338"/>
      <c r="CD295" s="338"/>
      <c r="CE295" s="338"/>
      <c r="CF295" s="338"/>
      <c r="CG295" s="338"/>
      <c r="CH295" s="338"/>
      <c r="CI295" s="338"/>
      <c r="CJ295" s="338"/>
      <c r="CK295" s="338"/>
      <c r="CL295" s="338"/>
      <c r="CM295" s="338"/>
      <c r="CN295" s="338"/>
      <c r="CO295" s="338"/>
      <c r="CP295" s="338"/>
      <c r="CQ295" s="338"/>
      <c r="CR295" s="338"/>
      <c r="CS295" s="338"/>
      <c r="CT295" s="338"/>
      <c r="CU295" s="338"/>
      <c r="CV295" s="338"/>
      <c r="CW295" s="338"/>
      <c r="CX295" s="338"/>
      <c r="CY295" s="338"/>
      <c r="CZ295" s="338"/>
      <c r="DA295" s="338"/>
      <c r="DB295" s="338"/>
      <c r="DC295" s="338"/>
      <c r="DD295" s="338"/>
      <c r="DE295" s="338"/>
      <c r="DF295" s="338"/>
      <c r="DG295" s="338"/>
      <c r="DH295" s="338"/>
      <c r="DI295" s="338"/>
      <c r="DJ295" s="338"/>
      <c r="DK295" s="338"/>
      <c r="DL295" s="338"/>
      <c r="DM295" s="338"/>
      <c r="DN295" s="338"/>
      <c r="DO295" s="338"/>
      <c r="DP295" s="338"/>
      <c r="DQ295" s="338"/>
      <c r="DR295" s="338"/>
      <c r="DS295" s="338"/>
      <c r="DT295" s="338"/>
      <c r="DU295" s="338"/>
      <c r="DV295" s="338"/>
      <c r="DW295" s="338"/>
      <c r="DX295" s="338"/>
      <c r="DY295" s="338"/>
      <c r="DZ295" s="338"/>
      <c r="EA295" s="338"/>
      <c r="EB295" s="338"/>
      <c r="EC295" s="338"/>
      <c r="ED295" s="338"/>
      <c r="EE295" s="338"/>
      <c r="EF295" s="338"/>
      <c r="EG295" s="338"/>
      <c r="EH295" s="338"/>
      <c r="EI295" s="338"/>
      <c r="EJ295" s="338"/>
      <c r="EK295" s="338"/>
      <c r="EL295" s="340"/>
      <c r="EM295" s="341"/>
      <c r="EN295" s="341"/>
      <c r="EO295" s="341"/>
      <c r="EP295" s="341"/>
      <c r="EQ295" s="342"/>
    </row>
    <row r="296" spans="1:150" ht="11.45" customHeight="1">
      <c r="B296" s="337"/>
      <c r="C296" s="338"/>
      <c r="D296" s="338"/>
      <c r="E296" s="338"/>
      <c r="F296" s="338"/>
      <c r="G296" s="338"/>
      <c r="H296" s="338"/>
      <c r="I296" s="338"/>
      <c r="J296" s="338"/>
      <c r="K296" s="338"/>
      <c r="L296" s="339"/>
      <c r="M296" s="339"/>
      <c r="N296" s="339"/>
      <c r="O296" s="338"/>
      <c r="P296" s="338"/>
      <c r="Q296" s="338"/>
      <c r="R296" s="338"/>
      <c r="S296" s="338"/>
      <c r="T296" s="338"/>
      <c r="U296" s="338"/>
      <c r="V296" s="338"/>
      <c r="W296" s="338"/>
      <c r="X296" s="338"/>
      <c r="Y296" s="338"/>
      <c r="Z296" s="338"/>
      <c r="AA296" s="338"/>
      <c r="AB296" s="338"/>
      <c r="AC296" s="338"/>
      <c r="AD296" s="338"/>
      <c r="AE296" s="338"/>
      <c r="AF296" s="338"/>
      <c r="AG296" s="338"/>
      <c r="AH296" s="338"/>
      <c r="AI296" s="338"/>
      <c r="AJ296" s="338"/>
      <c r="AK296" s="338"/>
      <c r="AL296" s="338"/>
      <c r="AM296" s="338"/>
      <c r="AN296" s="338"/>
      <c r="AO296" s="338"/>
      <c r="AP296" s="338"/>
      <c r="AQ296" s="338"/>
      <c r="AR296" s="338"/>
      <c r="AS296" s="338"/>
      <c r="AT296" s="338"/>
      <c r="AU296" s="338"/>
      <c r="AV296" s="338"/>
      <c r="AW296" s="338"/>
      <c r="AX296" s="338"/>
      <c r="AY296" s="338"/>
      <c r="AZ296" s="338"/>
      <c r="BA296" s="338"/>
      <c r="BB296" s="338"/>
      <c r="BC296" s="338"/>
      <c r="BD296" s="338"/>
      <c r="BE296" s="338"/>
      <c r="BF296" s="338"/>
      <c r="BG296" s="338"/>
      <c r="BH296" s="338"/>
      <c r="BI296" s="338"/>
      <c r="BJ296" s="338"/>
      <c r="BK296" s="338"/>
      <c r="BL296" s="338"/>
      <c r="BM296" s="338"/>
      <c r="BN296" s="338"/>
      <c r="BO296" s="338"/>
      <c r="BP296" s="338"/>
      <c r="BQ296" s="338"/>
      <c r="BR296" s="338"/>
      <c r="BS296" s="339"/>
      <c r="BT296" s="338"/>
      <c r="BU296" s="338"/>
      <c r="BV296" s="338"/>
      <c r="BW296" s="338"/>
      <c r="BX296" s="338"/>
      <c r="BY296" s="338"/>
      <c r="BZ296" s="338"/>
      <c r="CA296" s="338"/>
      <c r="CB296" s="338"/>
      <c r="CC296" s="338"/>
      <c r="CD296" s="338"/>
      <c r="CE296" s="338"/>
      <c r="CF296" s="338"/>
      <c r="CG296" s="338"/>
      <c r="CH296" s="338"/>
      <c r="CI296" s="338"/>
      <c r="CJ296" s="338"/>
      <c r="CK296" s="338"/>
      <c r="CL296" s="338"/>
      <c r="CM296" s="338"/>
      <c r="CN296" s="338"/>
      <c r="CO296" s="338"/>
      <c r="CP296" s="338"/>
      <c r="CQ296" s="338"/>
      <c r="CR296" s="338"/>
      <c r="CS296" s="338"/>
      <c r="CT296" s="338"/>
      <c r="CU296" s="338"/>
      <c r="CV296" s="338"/>
      <c r="CW296" s="338"/>
      <c r="CX296" s="338"/>
      <c r="CY296" s="338"/>
      <c r="CZ296" s="338"/>
      <c r="DA296" s="338"/>
      <c r="DB296" s="338"/>
      <c r="DC296" s="338"/>
      <c r="DD296" s="338"/>
      <c r="DE296" s="338"/>
      <c r="DF296" s="338"/>
      <c r="DG296" s="338"/>
      <c r="DH296" s="338"/>
      <c r="DI296" s="338"/>
      <c r="DJ296" s="338"/>
      <c r="DK296" s="338"/>
      <c r="DL296" s="338"/>
      <c r="DM296" s="338"/>
      <c r="DN296" s="338"/>
      <c r="DO296" s="338"/>
      <c r="DP296" s="338"/>
      <c r="DQ296" s="338"/>
      <c r="DR296" s="338"/>
      <c r="DS296" s="338"/>
      <c r="DT296" s="338"/>
      <c r="DU296" s="338"/>
      <c r="DV296" s="338"/>
      <c r="DW296" s="338"/>
      <c r="DX296" s="338"/>
      <c r="DY296" s="338"/>
      <c r="DZ296" s="338"/>
      <c r="EA296" s="338"/>
      <c r="EB296" s="338"/>
      <c r="EC296" s="338"/>
      <c r="ED296" s="338"/>
      <c r="EE296" s="338"/>
      <c r="EF296" s="338"/>
      <c r="EG296" s="338"/>
      <c r="EH296" s="338"/>
      <c r="EI296" s="338"/>
      <c r="EJ296" s="338"/>
      <c r="EK296" s="338"/>
      <c r="EL296" s="340"/>
      <c r="EM296" s="341"/>
      <c r="EN296" s="341"/>
      <c r="EO296" s="341"/>
      <c r="EP296" s="341"/>
      <c r="EQ296" s="342"/>
    </row>
    <row r="297" spans="1:150" ht="11.45" customHeight="1">
      <c r="B297" s="346"/>
      <c r="C297" s="347"/>
      <c r="D297" s="347"/>
      <c r="E297" s="347"/>
      <c r="F297" s="347"/>
      <c r="G297" s="347"/>
      <c r="H297" s="347"/>
      <c r="I297" s="347"/>
      <c r="J297" s="347"/>
      <c r="K297" s="347"/>
      <c r="L297" s="348"/>
      <c r="M297" s="348"/>
      <c r="N297" s="348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  <c r="AL297" s="347"/>
      <c r="AM297" s="347"/>
      <c r="AN297" s="347"/>
      <c r="AO297" s="347"/>
      <c r="AP297" s="347"/>
      <c r="AQ297" s="347"/>
      <c r="AR297" s="347"/>
      <c r="AS297" s="347"/>
      <c r="AT297" s="347"/>
      <c r="AU297" s="347"/>
      <c r="AV297" s="347"/>
      <c r="AW297" s="347"/>
      <c r="AX297" s="347"/>
      <c r="AY297" s="347"/>
      <c r="AZ297" s="347"/>
      <c r="BA297" s="347"/>
      <c r="BB297" s="347"/>
      <c r="BC297" s="347"/>
      <c r="BD297" s="347"/>
      <c r="BE297" s="347"/>
      <c r="BF297" s="347"/>
      <c r="BG297" s="347"/>
      <c r="BH297" s="347"/>
      <c r="BI297" s="347"/>
      <c r="BJ297" s="347"/>
      <c r="BK297" s="347"/>
      <c r="BL297" s="347"/>
      <c r="BM297" s="347"/>
      <c r="BN297" s="347"/>
      <c r="BO297" s="347"/>
      <c r="BP297" s="347"/>
      <c r="BQ297" s="347"/>
      <c r="BR297" s="347"/>
      <c r="BS297" s="348"/>
      <c r="BT297" s="347"/>
      <c r="BU297" s="347"/>
      <c r="BV297" s="347"/>
      <c r="BW297" s="347"/>
      <c r="BX297" s="347"/>
      <c r="BY297" s="347"/>
      <c r="BZ297" s="347"/>
      <c r="CA297" s="347"/>
      <c r="CB297" s="347"/>
      <c r="CC297" s="347"/>
      <c r="CD297" s="347"/>
      <c r="CE297" s="347"/>
      <c r="CF297" s="347"/>
      <c r="CG297" s="347"/>
      <c r="CH297" s="347"/>
      <c r="CI297" s="347"/>
      <c r="CJ297" s="347"/>
      <c r="CK297" s="347"/>
      <c r="CL297" s="347"/>
      <c r="CM297" s="347"/>
      <c r="CN297" s="347"/>
      <c r="CO297" s="347"/>
      <c r="CP297" s="347"/>
      <c r="CQ297" s="347"/>
      <c r="CR297" s="347"/>
      <c r="CS297" s="347"/>
      <c r="CT297" s="347"/>
      <c r="CU297" s="347"/>
      <c r="CV297" s="347"/>
      <c r="CW297" s="347"/>
      <c r="CX297" s="347"/>
      <c r="CY297" s="347"/>
      <c r="CZ297" s="347"/>
      <c r="DA297" s="347"/>
      <c r="DB297" s="347"/>
      <c r="DC297" s="347"/>
      <c r="DD297" s="347"/>
      <c r="DE297" s="347"/>
      <c r="DF297" s="347"/>
      <c r="DG297" s="347"/>
      <c r="DH297" s="347"/>
      <c r="DI297" s="347"/>
      <c r="DJ297" s="347"/>
      <c r="DK297" s="347"/>
      <c r="DL297" s="347"/>
      <c r="DM297" s="347"/>
      <c r="DN297" s="347"/>
      <c r="DO297" s="347"/>
      <c r="DP297" s="347"/>
      <c r="DQ297" s="347"/>
      <c r="DR297" s="347"/>
      <c r="DS297" s="347"/>
      <c r="DT297" s="347"/>
      <c r="DU297" s="347"/>
      <c r="DV297" s="347"/>
      <c r="DW297" s="347"/>
      <c r="DX297" s="347"/>
      <c r="DY297" s="347"/>
      <c r="DZ297" s="347"/>
      <c r="EA297" s="347"/>
      <c r="EB297" s="347"/>
      <c r="EC297" s="347"/>
      <c r="ED297" s="347"/>
      <c r="EE297" s="347"/>
      <c r="EF297" s="347"/>
      <c r="EG297" s="347"/>
      <c r="EH297" s="347"/>
      <c r="EI297" s="347"/>
      <c r="EJ297" s="347"/>
      <c r="EK297" s="347"/>
      <c r="EL297" s="349"/>
      <c r="EM297" s="353"/>
      <c r="EN297" s="353"/>
      <c r="EO297" s="353"/>
      <c r="EP297" s="353"/>
      <c r="EQ297" s="354"/>
    </row>
    <row r="298" spans="1:150" s="243" customFormat="1" ht="11.25" customHeight="1">
      <c r="B298" s="355"/>
      <c r="C298" s="265"/>
      <c r="D298" s="265"/>
      <c r="E298" s="265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  <c r="Z298" s="265"/>
      <c r="AA298" s="265"/>
      <c r="AB298" s="265"/>
      <c r="AC298" s="265"/>
      <c r="AD298" s="265"/>
      <c r="AE298" s="265"/>
      <c r="AF298" s="265"/>
      <c r="AG298" s="265"/>
      <c r="AH298" s="265"/>
      <c r="AI298" s="265"/>
      <c r="AJ298" s="265"/>
      <c r="AK298" s="265"/>
      <c r="AL298" s="265"/>
      <c r="AM298" s="265"/>
      <c r="AN298" s="265"/>
      <c r="AO298" s="265"/>
      <c r="AP298" s="265"/>
      <c r="AQ298" s="265"/>
      <c r="AR298" s="265"/>
      <c r="AS298" s="265"/>
      <c r="AT298" s="265"/>
      <c r="AU298" s="265"/>
      <c r="AV298" s="265"/>
      <c r="AW298" s="265"/>
      <c r="AX298" s="265"/>
      <c r="AY298" s="265"/>
      <c r="AZ298" s="265"/>
      <c r="BA298" s="265"/>
      <c r="BB298" s="265"/>
      <c r="BC298" s="265"/>
      <c r="BD298" s="265"/>
      <c r="BE298" s="265"/>
      <c r="BF298" s="265"/>
      <c r="BG298" s="265"/>
      <c r="BH298" s="265"/>
      <c r="BI298" s="265"/>
      <c r="BJ298" s="265"/>
      <c r="BK298" s="265"/>
      <c r="BL298" s="265"/>
      <c r="BM298" s="265"/>
      <c r="BN298" s="265"/>
      <c r="BO298" s="265"/>
      <c r="BP298" s="265"/>
      <c r="BQ298" s="265"/>
      <c r="BR298" s="265"/>
      <c r="BS298" s="265"/>
      <c r="BT298" s="265"/>
      <c r="BU298" s="265"/>
      <c r="BV298" s="265"/>
      <c r="BW298" s="265"/>
      <c r="BX298" s="265"/>
      <c r="BY298" s="265"/>
      <c r="BZ298" s="265"/>
      <c r="CA298" s="265"/>
      <c r="CB298" s="265"/>
      <c r="CC298" s="265"/>
      <c r="CD298" s="265"/>
      <c r="CE298" s="265"/>
      <c r="CF298" s="265"/>
      <c r="CG298" s="265"/>
      <c r="CH298" s="265"/>
      <c r="CI298" s="265"/>
      <c r="CJ298" s="265"/>
      <c r="CK298" s="265"/>
      <c r="CL298" s="265"/>
      <c r="CM298" s="265"/>
      <c r="CN298" s="265"/>
      <c r="CO298" s="265"/>
      <c r="CP298" s="265"/>
      <c r="CQ298" s="265"/>
      <c r="CR298" s="265"/>
      <c r="CS298" s="265"/>
      <c r="CT298" s="265"/>
      <c r="CU298" s="265"/>
      <c r="CV298" s="265"/>
      <c r="CW298" s="265"/>
      <c r="CX298" s="265"/>
      <c r="CY298" s="265"/>
      <c r="CZ298" s="314"/>
      <c r="DA298" s="314"/>
      <c r="DB298" s="314"/>
      <c r="DC298" s="314"/>
      <c r="DD298" s="314"/>
      <c r="DE298" s="314"/>
      <c r="DF298" s="314"/>
      <c r="DG298" s="314"/>
      <c r="DH298" s="314"/>
      <c r="DI298" s="314"/>
      <c r="DJ298" s="314"/>
      <c r="DK298" s="314"/>
      <c r="DL298" s="314"/>
      <c r="DM298" s="314"/>
      <c r="DN298" s="314"/>
      <c r="DO298" s="314"/>
      <c r="DP298" s="314"/>
      <c r="DQ298" s="314"/>
      <c r="DR298" s="314"/>
      <c r="DS298" s="314"/>
      <c r="DT298" s="314"/>
      <c r="DU298" s="314"/>
      <c r="DV298" s="314"/>
      <c r="DW298" s="314"/>
      <c r="DX298" s="314"/>
      <c r="DY298" s="314"/>
      <c r="DZ298" s="314"/>
      <c r="EA298" s="314"/>
      <c r="EB298" s="314"/>
      <c r="EC298" s="314"/>
      <c r="ED298" s="314"/>
      <c r="EE298" s="314"/>
      <c r="EF298" s="314"/>
      <c r="EG298" s="314"/>
      <c r="EH298" s="314"/>
      <c r="EI298" s="314"/>
      <c r="EJ298" s="314"/>
      <c r="EK298" s="314"/>
      <c r="EL298" s="356"/>
      <c r="EM298" s="269"/>
      <c r="EN298" s="269"/>
      <c r="EO298" s="269"/>
      <c r="EP298" s="269"/>
      <c r="EQ298" s="358"/>
    </row>
    <row r="299" spans="1:150" s="243" customFormat="1" ht="11.25" customHeight="1">
      <c r="A299" s="243">
        <v>10</v>
      </c>
      <c r="B299" s="1782">
        <f>A299</f>
        <v>10</v>
      </c>
      <c r="C299" s="1781"/>
      <c r="D299" s="1781"/>
      <c r="E299" s="344" t="s">
        <v>886</v>
      </c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240"/>
      <c r="CC299" s="240"/>
      <c r="CD299" s="240"/>
      <c r="CE299" s="240"/>
      <c r="CF299" s="240"/>
      <c r="CG299" s="240"/>
      <c r="CH299" s="240"/>
      <c r="CI299" s="240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1"/>
      <c r="DA299" s="241"/>
      <c r="DB299" s="241"/>
      <c r="DC299" s="241"/>
      <c r="DD299" s="241"/>
      <c r="DE299" s="241"/>
      <c r="DF299" s="241"/>
      <c r="DG299" s="241"/>
      <c r="DH299" s="241"/>
      <c r="DI299" s="241"/>
      <c r="DJ299" s="241"/>
      <c r="DK299" s="241"/>
      <c r="DL299" s="241"/>
      <c r="DM299" s="241"/>
      <c r="DN299" s="241"/>
      <c r="DO299" s="241"/>
      <c r="DP299" s="241"/>
      <c r="DQ299" s="241"/>
      <c r="DR299" s="241"/>
      <c r="DS299" s="241"/>
      <c r="DT299" s="241"/>
      <c r="DU299" s="241"/>
      <c r="DV299" s="241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345"/>
      <c r="EM299" s="242" t="e">
        <f>EM342</f>
        <v>#REF!</v>
      </c>
      <c r="EN299" s="242" t="e">
        <f>EN342</f>
        <v>#REF!</v>
      </c>
      <c r="EO299" s="242" t="e">
        <f>EO342</f>
        <v>#REF!</v>
      </c>
      <c r="EP299" s="242" t="e">
        <f>EP342</f>
        <v>#REF!</v>
      </c>
      <c r="EQ299" s="312" t="s">
        <v>903</v>
      </c>
      <c r="ES299" s="800">
        <f>A299</f>
        <v>10</v>
      </c>
      <c r="ET299" s="226"/>
    </row>
    <row r="300" spans="1:150" s="243" customFormat="1" ht="11.25" customHeight="1">
      <c r="B300" s="343"/>
      <c r="C300" s="240"/>
      <c r="D300" s="240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240"/>
      <c r="CC300" s="240"/>
      <c r="CD300" s="240"/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1"/>
      <c r="DA300" s="241"/>
      <c r="DB300" s="241"/>
      <c r="DC300" s="241"/>
      <c r="DD300" s="241"/>
      <c r="DE300" s="241"/>
      <c r="DF300" s="241"/>
      <c r="DG300" s="241"/>
      <c r="DH300" s="241"/>
      <c r="DI300" s="241"/>
      <c r="DJ300" s="241"/>
      <c r="DK300" s="241"/>
      <c r="DL300" s="241"/>
      <c r="DM300" s="241"/>
      <c r="DN300" s="241"/>
      <c r="DO300" s="241"/>
      <c r="DP300" s="241"/>
      <c r="DQ300" s="241"/>
      <c r="DR300" s="241"/>
      <c r="DS300" s="241"/>
      <c r="DT300" s="241"/>
      <c r="DU300" s="241"/>
      <c r="DV300" s="241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345"/>
      <c r="EM300" s="245"/>
      <c r="EN300" s="245"/>
      <c r="EO300" s="245"/>
      <c r="EP300" s="245"/>
      <c r="EQ300" s="351"/>
    </row>
    <row r="301" spans="1:150" s="243" customFormat="1" ht="11.25" customHeight="1">
      <c r="B301" s="343"/>
      <c r="C301" s="240"/>
      <c r="D301" s="240"/>
      <c r="E301" s="240" t="s">
        <v>674</v>
      </c>
      <c r="F301" s="240"/>
      <c r="G301" s="240"/>
      <c r="H301" s="240" t="s">
        <v>557</v>
      </c>
      <c r="I301" s="240"/>
      <c r="J301" s="240"/>
      <c r="K301" s="240" t="s">
        <v>96</v>
      </c>
      <c r="L301" s="240"/>
      <c r="M301" s="240"/>
      <c r="N301" s="240" t="s">
        <v>147</v>
      </c>
      <c r="O301" s="240" t="s">
        <v>552</v>
      </c>
      <c r="P301" s="240"/>
      <c r="Q301" s="240" t="s">
        <v>657</v>
      </c>
      <c r="R301" s="240" t="s">
        <v>148</v>
      </c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240"/>
      <c r="CC301" s="240"/>
      <c r="CD301" s="240"/>
      <c r="CE301" s="240"/>
      <c r="CF301" s="240"/>
      <c r="CG301" s="240"/>
      <c r="CH301" s="240"/>
      <c r="CI301" s="240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1"/>
      <c r="DA301" s="241"/>
      <c r="DB301" s="241"/>
      <c r="DC301" s="241"/>
      <c r="DD301" s="241"/>
      <c r="DE301" s="241"/>
      <c r="DF301" s="241"/>
      <c r="DG301" s="241"/>
      <c r="DH301" s="241"/>
      <c r="DI301" s="241"/>
      <c r="DJ301" s="241"/>
      <c r="DK301" s="241"/>
      <c r="DL301" s="241"/>
      <c r="DM301" s="241"/>
      <c r="DN301" s="241"/>
      <c r="DO301" s="241"/>
      <c r="DP301" s="241"/>
      <c r="DQ301" s="241"/>
      <c r="DR301" s="241"/>
      <c r="DS301" s="241"/>
      <c r="DT301" s="241"/>
      <c r="DU301" s="241"/>
      <c r="DV301" s="241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345"/>
      <c r="EM301" s="245"/>
      <c r="EN301" s="245"/>
      <c r="EO301" s="245"/>
      <c r="EP301" s="245"/>
      <c r="EQ301" s="351"/>
    </row>
    <row r="302" spans="1:150" s="243" customFormat="1" ht="11.25" customHeight="1">
      <c r="B302" s="343"/>
      <c r="C302" s="240"/>
      <c r="D302" s="240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240"/>
      <c r="CC302" s="240"/>
      <c r="CD302" s="240"/>
      <c r="CE302" s="240"/>
      <c r="CF302" s="240"/>
      <c r="CG302" s="240"/>
      <c r="CH302" s="240"/>
      <c r="CI302" s="240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1"/>
      <c r="DA302" s="241"/>
      <c r="DB302" s="241"/>
      <c r="DC302" s="241"/>
      <c r="DD302" s="241"/>
      <c r="DE302" s="241"/>
      <c r="DF302" s="241"/>
      <c r="DG302" s="241"/>
      <c r="DH302" s="241"/>
      <c r="DI302" s="241"/>
      <c r="DJ302" s="241"/>
      <c r="DK302" s="241"/>
      <c r="DL302" s="241"/>
      <c r="DM302" s="241"/>
      <c r="DN302" s="241"/>
      <c r="DO302" s="241"/>
      <c r="DP302" s="241"/>
      <c r="DQ302" s="241"/>
      <c r="DR302" s="241"/>
      <c r="DS302" s="241"/>
      <c r="DT302" s="241"/>
      <c r="DU302" s="241"/>
      <c r="DV302" s="241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345"/>
      <c r="EM302" s="245"/>
      <c r="EN302" s="245"/>
      <c r="EO302" s="245"/>
      <c r="EP302" s="245"/>
      <c r="EQ302" s="351"/>
    </row>
    <row r="303" spans="1:150" s="243" customFormat="1" ht="11.25" customHeight="1">
      <c r="B303" s="343"/>
      <c r="C303" s="240"/>
      <c r="D303" s="240"/>
      <c r="E303" s="240"/>
      <c r="F303" s="240"/>
      <c r="G303" s="240"/>
      <c r="H303" s="240" t="s">
        <v>691</v>
      </c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 t="s">
        <v>827</v>
      </c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240"/>
      <c r="CC303" s="240"/>
      <c r="CD303" s="240"/>
      <c r="CE303" s="240"/>
      <c r="CF303" s="240"/>
      <c r="CG303" s="240"/>
      <c r="CH303" s="240"/>
      <c r="CI303" s="240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1"/>
      <c r="DA303" s="241"/>
      <c r="DB303" s="241"/>
      <c r="DC303" s="241"/>
      <c r="DD303" s="241"/>
      <c r="DE303" s="241"/>
      <c r="DF303" s="241"/>
      <c r="DG303" s="241"/>
      <c r="DH303" s="241"/>
      <c r="DI303" s="241"/>
      <c r="DJ303" s="241"/>
      <c r="DK303" s="241"/>
      <c r="DL303" s="241"/>
      <c r="DM303" s="241"/>
      <c r="DN303" s="241"/>
      <c r="DO303" s="241"/>
      <c r="DP303" s="241"/>
      <c r="DQ303" s="241"/>
      <c r="DR303" s="241"/>
      <c r="DS303" s="241"/>
      <c r="DT303" s="241"/>
      <c r="DU303" s="241"/>
      <c r="DV303" s="241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345"/>
      <c r="EM303" s="245"/>
      <c r="EN303" s="245"/>
      <c r="EO303" s="245"/>
      <c r="EP303" s="245"/>
      <c r="EQ303" s="351"/>
    </row>
    <row r="304" spans="1:150" s="243" customFormat="1" ht="11.25" customHeight="1">
      <c r="B304" s="343"/>
      <c r="C304" s="240"/>
      <c r="D304" s="240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240"/>
      <c r="CC304" s="240"/>
      <c r="CD304" s="240"/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1"/>
      <c r="DA304" s="241"/>
      <c r="DB304" s="241"/>
      <c r="DC304" s="241"/>
      <c r="DD304" s="241"/>
      <c r="DE304" s="241"/>
      <c r="DF304" s="241"/>
      <c r="DG304" s="241"/>
      <c r="DH304" s="241"/>
      <c r="DI304" s="241"/>
      <c r="DJ304" s="241"/>
      <c r="DK304" s="241"/>
      <c r="DL304" s="241"/>
      <c r="DM304" s="241"/>
      <c r="DN304" s="241"/>
      <c r="DO304" s="241"/>
      <c r="DP304" s="241"/>
      <c r="DQ304" s="241"/>
      <c r="DR304" s="241"/>
      <c r="DS304" s="241"/>
      <c r="DT304" s="241"/>
      <c r="DU304" s="241"/>
      <c r="DV304" s="241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345"/>
      <c r="EM304" s="245"/>
      <c r="EN304" s="245"/>
      <c r="EO304" s="245"/>
      <c r="EP304" s="245"/>
      <c r="EQ304" s="351"/>
    </row>
    <row r="305" spans="2:147" s="243" customFormat="1" ht="11.25" customHeight="1">
      <c r="B305" s="343"/>
      <c r="C305" s="240"/>
      <c r="D305" s="240"/>
      <c r="E305" s="240"/>
      <c r="F305" s="240"/>
      <c r="G305" s="240"/>
      <c r="H305" s="240" t="s">
        <v>773</v>
      </c>
      <c r="I305" s="240"/>
      <c r="J305" s="240" t="s">
        <v>134</v>
      </c>
      <c r="K305" s="240"/>
      <c r="L305" s="240" t="str">
        <f>TEXT(0.2,"#,##0.#######")</f>
        <v>0.2</v>
      </c>
      <c r="M305" s="240"/>
      <c r="N305" s="240"/>
      <c r="O305" s="240" t="s">
        <v>91</v>
      </c>
      <c r="P305" s="240"/>
      <c r="Q305" s="240"/>
      <c r="R305" s="240"/>
      <c r="S305" s="240"/>
      <c r="T305" s="240"/>
      <c r="U305" s="240"/>
      <c r="V305" s="240"/>
      <c r="W305" s="240" t="s">
        <v>774</v>
      </c>
      <c r="X305" s="240"/>
      <c r="Y305" s="240" t="s">
        <v>134</v>
      </c>
      <c r="Z305" s="240"/>
      <c r="AA305" s="240" t="str">
        <f>TEXT(0.98,"#,##0.#######")</f>
        <v>0.98</v>
      </c>
      <c r="AB305" s="240"/>
      <c r="AC305" s="240"/>
      <c r="AD305" s="240"/>
      <c r="AE305" s="240"/>
      <c r="AF305" s="240" t="s">
        <v>139</v>
      </c>
      <c r="AG305" s="240"/>
      <c r="AH305" s="240" t="str">
        <f>TEXT(1.24,"#,##0.#######")</f>
        <v>1.24</v>
      </c>
      <c r="AI305" s="240"/>
      <c r="AJ305" s="240"/>
      <c r="AK305" s="240"/>
      <c r="AL305" s="240"/>
      <c r="AM305" s="240" t="s">
        <v>134</v>
      </c>
      <c r="AN305" s="240"/>
      <c r="AO305" s="240" t="str">
        <f>TEXT(ROUND(AA305/AH305,2),"#,##0.#######")</f>
        <v>0.79</v>
      </c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 t="s">
        <v>775</v>
      </c>
      <c r="BA305" s="240"/>
      <c r="BB305" s="240" t="s">
        <v>134</v>
      </c>
      <c r="BC305" s="240"/>
      <c r="BD305" s="240" t="str">
        <f>TEXT(1.1,"#,##0.#######")</f>
        <v>1.1</v>
      </c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240"/>
      <c r="CC305" s="240"/>
      <c r="CD305" s="240"/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1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345"/>
      <c r="EM305" s="245"/>
      <c r="EN305" s="245"/>
      <c r="EO305" s="245"/>
      <c r="EP305" s="245"/>
      <c r="EQ305" s="351"/>
    </row>
    <row r="306" spans="2:147" s="243" customFormat="1" ht="11.25" customHeight="1">
      <c r="B306" s="343"/>
      <c r="C306" s="240"/>
      <c r="D306" s="240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240"/>
      <c r="CB306" s="240"/>
      <c r="CC306" s="240"/>
      <c r="CD306" s="240"/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1"/>
      <c r="DA306" s="241"/>
      <c r="DB306" s="241"/>
      <c r="DC306" s="241"/>
      <c r="DD306" s="241"/>
      <c r="DE306" s="241"/>
      <c r="DF306" s="241"/>
      <c r="DG306" s="241"/>
      <c r="DH306" s="241"/>
      <c r="DI306" s="241"/>
      <c r="DJ306" s="241"/>
      <c r="DK306" s="241"/>
      <c r="DL306" s="241"/>
      <c r="DM306" s="241"/>
      <c r="DN306" s="241"/>
      <c r="DO306" s="241"/>
      <c r="DP306" s="241"/>
      <c r="DQ306" s="241"/>
      <c r="DR306" s="241"/>
      <c r="DS306" s="241"/>
      <c r="DT306" s="241"/>
      <c r="DU306" s="241"/>
      <c r="DV306" s="241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345"/>
      <c r="EM306" s="245"/>
      <c r="EN306" s="245"/>
      <c r="EO306" s="245"/>
      <c r="EP306" s="245"/>
      <c r="EQ306" s="351"/>
    </row>
    <row r="307" spans="2:147" s="243" customFormat="1" ht="11.25" customHeight="1">
      <c r="B307" s="343"/>
      <c r="C307" s="240"/>
      <c r="D307" s="240"/>
      <c r="E307" s="240"/>
      <c r="F307" s="240"/>
      <c r="G307" s="240"/>
      <c r="H307" s="240" t="s">
        <v>692</v>
      </c>
      <c r="I307" s="240"/>
      <c r="J307" s="240" t="s">
        <v>134</v>
      </c>
      <c r="K307" s="240"/>
      <c r="L307" s="240" t="s">
        <v>147</v>
      </c>
      <c r="M307" s="240" t="str">
        <f>TEXT(0.75,"#,##0.#######")</f>
        <v>0.75</v>
      </c>
      <c r="N307" s="240"/>
      <c r="O307" s="240"/>
      <c r="P307" s="240"/>
      <c r="Q307" s="240" t="s">
        <v>130</v>
      </c>
      <c r="R307" s="240" t="str">
        <f>TEXT(0.65,"#,##0.#######")</f>
        <v>0.65</v>
      </c>
      <c r="S307" s="240"/>
      <c r="T307" s="240"/>
      <c r="U307" s="240"/>
      <c r="V307" s="240" t="s">
        <v>148</v>
      </c>
      <c r="W307" s="240" t="s">
        <v>139</v>
      </c>
      <c r="X307" s="240" t="str">
        <f>TEXT(2,"#,##0.#######")</f>
        <v>2.</v>
      </c>
      <c r="Y307" s="240"/>
      <c r="Z307" s="240" t="s">
        <v>134</v>
      </c>
      <c r="AA307" s="240"/>
      <c r="AB307" s="240" t="str">
        <f>TEXT(ROUND((M307+R307)/X307,2),"#,##0.#######")</f>
        <v>0.7</v>
      </c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 t="s">
        <v>693</v>
      </c>
      <c r="AM307" s="240"/>
      <c r="AN307" s="240"/>
      <c r="AO307" s="240" t="s">
        <v>134</v>
      </c>
      <c r="AP307" s="240"/>
      <c r="AQ307" s="240" t="str">
        <f>TEXT(18,"#,##0.#######")</f>
        <v>18.</v>
      </c>
      <c r="AR307" s="240"/>
      <c r="AS307" s="240" t="s">
        <v>776</v>
      </c>
      <c r="AT307" s="240"/>
      <c r="AU307" s="240"/>
      <c r="AV307" s="240"/>
      <c r="AW307" s="240" t="s">
        <v>147</v>
      </c>
      <c r="AX307" s="240" t="s">
        <v>553</v>
      </c>
      <c r="AY307" s="240"/>
      <c r="AZ307" s="240"/>
      <c r="BA307" s="240" t="s">
        <v>777</v>
      </c>
      <c r="BB307" s="240"/>
      <c r="BC307" s="240" t="s">
        <v>148</v>
      </c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240"/>
      <c r="CB307" s="240"/>
      <c r="CC307" s="240"/>
      <c r="CD307" s="240"/>
      <c r="CE307" s="240"/>
      <c r="CF307" s="240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1"/>
      <c r="DA307" s="241"/>
      <c r="DB307" s="241"/>
      <c r="DC307" s="241"/>
      <c r="DD307" s="241"/>
      <c r="DE307" s="241"/>
      <c r="DF307" s="241"/>
      <c r="DG307" s="241"/>
      <c r="DH307" s="241"/>
      <c r="DI307" s="241"/>
      <c r="DJ307" s="241"/>
      <c r="DK307" s="241"/>
      <c r="DL307" s="241"/>
      <c r="DM307" s="241"/>
      <c r="DN307" s="241"/>
      <c r="DO307" s="241"/>
      <c r="DP307" s="241"/>
      <c r="DQ307" s="241"/>
      <c r="DR307" s="241"/>
      <c r="DS307" s="241"/>
      <c r="DT307" s="241"/>
      <c r="DU307" s="241"/>
      <c r="DV307" s="241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345"/>
      <c r="EM307" s="245"/>
      <c r="EN307" s="245"/>
      <c r="EO307" s="245"/>
      <c r="EP307" s="245"/>
      <c r="EQ307" s="351"/>
    </row>
    <row r="308" spans="2:147" s="243" customFormat="1" ht="11.25" customHeight="1">
      <c r="B308" s="343"/>
      <c r="C308" s="240"/>
      <c r="D308" s="240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240"/>
      <c r="CB308" s="240"/>
      <c r="CC308" s="240"/>
      <c r="CD308" s="240"/>
      <c r="CE308" s="240"/>
      <c r="CF308" s="240"/>
      <c r="CG308" s="240"/>
      <c r="CH308" s="240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1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345"/>
      <c r="EM308" s="245"/>
      <c r="EN308" s="245"/>
      <c r="EO308" s="245"/>
      <c r="EP308" s="245"/>
      <c r="EQ308" s="351"/>
    </row>
    <row r="309" spans="2:147" s="243" customFormat="1" ht="11.25" customHeight="1">
      <c r="B309" s="343"/>
      <c r="C309" s="240"/>
      <c r="D309" s="240"/>
      <c r="E309" s="240"/>
      <c r="F309" s="240"/>
      <c r="G309" s="240"/>
      <c r="H309" s="240"/>
      <c r="I309" s="240"/>
      <c r="J309" s="240"/>
      <c r="K309" s="240"/>
      <c r="L309" s="240"/>
      <c r="M309" s="240" t="str">
        <f>TEXT(3600,"#,##0.#######")</f>
        <v>3,600.</v>
      </c>
      <c r="N309" s="240"/>
      <c r="O309" s="240"/>
      <c r="P309" s="240"/>
      <c r="Q309" s="240"/>
      <c r="R309" s="240" t="s">
        <v>652</v>
      </c>
      <c r="S309" s="240"/>
      <c r="T309" s="240" t="s">
        <v>773</v>
      </c>
      <c r="U309" s="240" t="s">
        <v>652</v>
      </c>
      <c r="V309" s="240"/>
      <c r="W309" s="240" t="s">
        <v>775</v>
      </c>
      <c r="X309" s="240" t="s">
        <v>652</v>
      </c>
      <c r="Y309" s="240"/>
      <c r="Z309" s="240" t="s">
        <v>774</v>
      </c>
      <c r="AA309" s="240" t="s">
        <v>652</v>
      </c>
      <c r="AB309" s="240"/>
      <c r="AC309" s="240" t="s">
        <v>692</v>
      </c>
      <c r="AD309" s="240"/>
      <c r="AE309" s="240"/>
      <c r="AF309" s="240"/>
      <c r="AG309" s="240"/>
      <c r="AH309" s="240"/>
      <c r="AI309" s="240"/>
      <c r="AJ309" s="240" t="str">
        <f>TEXT(M309,"#,##0.#######")</f>
        <v>3,600.</v>
      </c>
      <c r="AK309" s="240"/>
      <c r="AL309" s="240"/>
      <c r="AM309" s="240"/>
      <c r="AN309" s="240"/>
      <c r="AO309" s="240" t="s">
        <v>652</v>
      </c>
      <c r="AP309" s="240"/>
      <c r="AQ309" s="240" t="str">
        <f>TEXT(L305,"#,##0.#######")</f>
        <v>0.2</v>
      </c>
      <c r="AR309" s="240"/>
      <c r="AS309" s="240"/>
      <c r="AT309" s="240" t="s">
        <v>652</v>
      </c>
      <c r="AU309" s="240"/>
      <c r="AV309" s="240" t="str">
        <f>TEXT(BD305,"#,##0.#######")</f>
        <v>1.1</v>
      </c>
      <c r="AW309" s="240"/>
      <c r="AX309" s="240"/>
      <c r="AY309" s="240" t="s">
        <v>652</v>
      </c>
      <c r="AZ309" s="240"/>
      <c r="BA309" s="240" t="str">
        <f>TEXT(AO305,"#,##0.#######")</f>
        <v>0.79</v>
      </c>
      <c r="BB309" s="240"/>
      <c r="BC309" s="240"/>
      <c r="BD309" s="240"/>
      <c r="BE309" s="240" t="s">
        <v>652</v>
      </c>
      <c r="BF309" s="240"/>
      <c r="BG309" s="240" t="str">
        <f>TEXT(AB307,"#,##0.#######")</f>
        <v>0.7</v>
      </c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240"/>
      <c r="CB309" s="240"/>
      <c r="CC309" s="240"/>
      <c r="CD309" s="240"/>
      <c r="CE309" s="240"/>
      <c r="CF309" s="240"/>
      <c r="CG309" s="240"/>
      <c r="CH309" s="240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1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345"/>
      <c r="EM309" s="245"/>
      <c r="EN309" s="245"/>
      <c r="EO309" s="245"/>
      <c r="EP309" s="245"/>
      <c r="EQ309" s="351"/>
    </row>
    <row r="310" spans="2:147" s="243" customFormat="1" ht="11.25" customHeight="1">
      <c r="B310" s="343"/>
      <c r="C310" s="240"/>
      <c r="D310" s="240"/>
      <c r="E310" s="240"/>
      <c r="F310" s="240"/>
      <c r="G310" s="240"/>
      <c r="H310" s="240" t="s">
        <v>687</v>
      </c>
      <c r="I310" s="240"/>
      <c r="J310" s="240" t="s">
        <v>134</v>
      </c>
      <c r="K310" s="240"/>
      <c r="L310" s="240" t="s">
        <v>694</v>
      </c>
      <c r="M310" s="240"/>
      <c r="N310" s="240" t="s">
        <v>694</v>
      </c>
      <c r="O310" s="240"/>
      <c r="P310" s="240" t="s">
        <v>694</v>
      </c>
      <c r="Q310" s="240"/>
      <c r="R310" s="240" t="s">
        <v>694</v>
      </c>
      <c r="S310" s="240"/>
      <c r="T310" s="240" t="s">
        <v>694</v>
      </c>
      <c r="U310" s="240"/>
      <c r="V310" s="240" t="s">
        <v>694</v>
      </c>
      <c r="W310" s="240"/>
      <c r="X310" s="240" t="s">
        <v>694</v>
      </c>
      <c r="Y310" s="240"/>
      <c r="Z310" s="240" t="s">
        <v>694</v>
      </c>
      <c r="AA310" s="240"/>
      <c r="AB310" s="240" t="s">
        <v>694</v>
      </c>
      <c r="AC310" s="240"/>
      <c r="AD310" s="240" t="s">
        <v>694</v>
      </c>
      <c r="AE310" s="240"/>
      <c r="AF310" s="240"/>
      <c r="AG310" s="240" t="s">
        <v>134</v>
      </c>
      <c r="AH310" s="240"/>
      <c r="AI310" s="240" t="s">
        <v>694</v>
      </c>
      <c r="AJ310" s="240"/>
      <c r="AK310" s="240" t="s">
        <v>694</v>
      </c>
      <c r="AL310" s="240"/>
      <c r="AM310" s="240" t="s">
        <v>694</v>
      </c>
      <c r="AN310" s="240"/>
      <c r="AO310" s="240" t="s">
        <v>694</v>
      </c>
      <c r="AP310" s="240"/>
      <c r="AQ310" s="240" t="s">
        <v>694</v>
      </c>
      <c r="AR310" s="240"/>
      <c r="AS310" s="240" t="s">
        <v>694</v>
      </c>
      <c r="AT310" s="240"/>
      <c r="AU310" s="240" t="s">
        <v>694</v>
      </c>
      <c r="AV310" s="240"/>
      <c r="AW310" s="240" t="s">
        <v>694</v>
      </c>
      <c r="AX310" s="240"/>
      <c r="AY310" s="240" t="s">
        <v>694</v>
      </c>
      <c r="AZ310" s="240"/>
      <c r="BA310" s="240" t="s">
        <v>694</v>
      </c>
      <c r="BB310" s="240"/>
      <c r="BC310" s="240" t="s">
        <v>694</v>
      </c>
      <c r="BD310" s="240"/>
      <c r="BE310" s="240" t="s">
        <v>694</v>
      </c>
      <c r="BF310" s="240"/>
      <c r="BG310" s="240" t="s">
        <v>694</v>
      </c>
      <c r="BH310" s="240"/>
      <c r="BI310" s="240" t="s">
        <v>694</v>
      </c>
      <c r="BJ310" s="240"/>
      <c r="BK310" s="240" t="s">
        <v>134</v>
      </c>
      <c r="BL310" s="240" t="str">
        <f>TEXT(ROUND((3600*L305*BD305*AO305*AB307)/(AQ307),2),"#,##0.#######")</f>
        <v>24.33</v>
      </c>
      <c r="BN310" s="240"/>
      <c r="BO310" s="240" t="s">
        <v>91</v>
      </c>
      <c r="BP310" s="240"/>
      <c r="BQ310" s="240" t="s">
        <v>139</v>
      </c>
      <c r="BR310" s="240" t="s">
        <v>618</v>
      </c>
      <c r="BS310" s="240"/>
      <c r="BT310" s="240"/>
      <c r="BU310" s="240"/>
      <c r="BV310" s="240"/>
      <c r="BW310" s="240"/>
      <c r="BX310" s="240"/>
      <c r="BY310" s="240"/>
      <c r="BZ310" s="240"/>
      <c r="CA310" s="240"/>
      <c r="CB310" s="240"/>
      <c r="CC310" s="240"/>
      <c r="CD310" s="240"/>
      <c r="CE310" s="240"/>
      <c r="CF310" s="240"/>
      <c r="CG310" s="240"/>
      <c r="CH310" s="240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1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345"/>
      <c r="EM310" s="245"/>
      <c r="EN310" s="245"/>
      <c r="EO310" s="245"/>
      <c r="EP310" s="245"/>
      <c r="EQ310" s="351"/>
    </row>
    <row r="311" spans="2:147" s="243" customFormat="1" ht="11.25" customHeight="1">
      <c r="B311" s="343"/>
      <c r="C311" s="240"/>
      <c r="D311" s="240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 t="s">
        <v>693</v>
      </c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 t="str">
        <f>TEXT(AQ307,"#,##0.#######")</f>
        <v>18.</v>
      </c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240"/>
      <c r="CB311" s="240"/>
      <c r="CC311" s="240"/>
      <c r="CD311" s="240"/>
      <c r="CE311" s="240"/>
      <c r="CF311" s="240"/>
      <c r="CG311" s="240"/>
      <c r="CH311" s="240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1"/>
      <c r="DA311" s="241"/>
      <c r="DB311" s="241"/>
      <c r="DC311" s="241"/>
      <c r="DD311" s="241"/>
      <c r="DE311" s="241"/>
      <c r="DF311" s="241"/>
      <c r="DG311" s="241"/>
      <c r="DH311" s="241"/>
      <c r="DI311" s="241"/>
      <c r="DJ311" s="241"/>
      <c r="DK311" s="241"/>
      <c r="DL311" s="241"/>
      <c r="DM311" s="241"/>
      <c r="DN311" s="241"/>
      <c r="DO311" s="241"/>
      <c r="DP311" s="241"/>
      <c r="DQ311" s="241"/>
      <c r="DR311" s="241"/>
      <c r="DS311" s="241"/>
      <c r="DT311" s="241"/>
      <c r="DU311" s="241"/>
      <c r="DV311" s="241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345"/>
      <c r="EM311" s="245"/>
      <c r="EN311" s="245"/>
      <c r="EO311" s="245"/>
      <c r="EP311" s="245"/>
      <c r="EQ311" s="351"/>
    </row>
    <row r="312" spans="2:147" s="243" customFormat="1" ht="11.25" customHeight="1">
      <c r="B312" s="343"/>
      <c r="C312" s="240"/>
      <c r="D312" s="240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240"/>
      <c r="CB312" s="240"/>
      <c r="CC312" s="240"/>
      <c r="CD312" s="240"/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1"/>
      <c r="DA312" s="241"/>
      <c r="DB312" s="241"/>
      <c r="DC312" s="241"/>
      <c r="DD312" s="241"/>
      <c r="DE312" s="241"/>
      <c r="DF312" s="241"/>
      <c r="DG312" s="241"/>
      <c r="DH312" s="241"/>
      <c r="DI312" s="241"/>
      <c r="DJ312" s="241"/>
      <c r="DK312" s="241"/>
      <c r="DL312" s="241"/>
      <c r="DM312" s="241"/>
      <c r="DN312" s="241"/>
      <c r="DO312" s="241"/>
      <c r="DP312" s="241"/>
      <c r="DQ312" s="241"/>
      <c r="DR312" s="241"/>
      <c r="DS312" s="241"/>
      <c r="DT312" s="241"/>
      <c r="DU312" s="241"/>
      <c r="DV312" s="241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345"/>
      <c r="EM312" s="245"/>
      <c r="EN312" s="245"/>
      <c r="EO312" s="245"/>
      <c r="EP312" s="245"/>
      <c r="EQ312" s="351"/>
    </row>
    <row r="313" spans="2:147" s="243" customFormat="1" ht="11.25" customHeight="1">
      <c r="B313" s="343"/>
      <c r="C313" s="240"/>
      <c r="D313" s="240"/>
      <c r="E313" s="240"/>
      <c r="F313" s="240"/>
      <c r="G313" s="240"/>
      <c r="H313" s="240" t="s">
        <v>616</v>
      </c>
      <c r="I313" s="240"/>
      <c r="J313" s="240"/>
      <c r="K313" s="240"/>
      <c r="L313" s="240"/>
      <c r="M313" s="240"/>
      <c r="N313" s="240"/>
      <c r="O313" s="240" t="s">
        <v>132</v>
      </c>
      <c r="P313" s="240"/>
      <c r="Q313" s="1780" t="e">
        <f>#REF!</f>
        <v>#REF!</v>
      </c>
      <c r="R313" s="1780"/>
      <c r="S313" s="1780"/>
      <c r="T313" s="1780"/>
      <c r="U313" s="1780"/>
      <c r="V313" s="240"/>
      <c r="W313" s="240" t="s">
        <v>683</v>
      </c>
      <c r="X313" s="240"/>
      <c r="Y313" s="240"/>
      <c r="Z313" s="240" t="str">
        <f>TEXT(BL310,"#,##0.#######")</f>
        <v>24.33</v>
      </c>
      <c r="AA313" s="240"/>
      <c r="AB313" s="240"/>
      <c r="AC313" s="240"/>
      <c r="AD313" s="240"/>
      <c r="AE313" s="240" t="s">
        <v>652</v>
      </c>
      <c r="AF313" s="240"/>
      <c r="AG313" s="240" t="str">
        <f>TEXT(0.9,"#,##0.#######")</f>
        <v>0.9</v>
      </c>
      <c r="AH313" s="240"/>
      <c r="AI313" s="240"/>
      <c r="AJ313" s="240"/>
      <c r="AK313" s="240" t="s">
        <v>134</v>
      </c>
      <c r="AL313" s="240"/>
      <c r="AM313" s="240"/>
      <c r="AN313" s="240" t="e">
        <f>TEXT(TRUNC(Q313/BL310*AG313,1),"#,##0.#")</f>
        <v>#REF!</v>
      </c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240"/>
      <c r="CB313" s="240"/>
      <c r="CC313" s="240"/>
      <c r="CD313" s="240"/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345"/>
      <c r="EM313" s="245"/>
      <c r="EN313" s="245"/>
      <c r="EO313" s="245"/>
      <c r="EP313" s="245"/>
      <c r="EQ313" s="351"/>
    </row>
    <row r="314" spans="2:147" s="243" customFormat="1" ht="11.25" customHeight="1">
      <c r="B314" s="343"/>
      <c r="C314" s="240"/>
      <c r="D314" s="240"/>
      <c r="E314" s="240"/>
      <c r="F314" s="240"/>
      <c r="G314" s="240"/>
      <c r="H314" s="240" t="s">
        <v>617</v>
      </c>
      <c r="I314" s="240"/>
      <c r="J314" s="240"/>
      <c r="K314" s="240"/>
      <c r="L314" s="240"/>
      <c r="M314" s="240"/>
      <c r="N314" s="240"/>
      <c r="O314" s="240" t="s">
        <v>132</v>
      </c>
      <c r="P314" s="240"/>
      <c r="Q314" s="1780" t="e">
        <f>#REF!</f>
        <v>#REF!</v>
      </c>
      <c r="R314" s="1780"/>
      <c r="S314" s="1780"/>
      <c r="T314" s="1780"/>
      <c r="U314" s="1780"/>
      <c r="V314" s="240"/>
      <c r="W314" s="240" t="s">
        <v>683</v>
      </c>
      <c r="X314" s="240"/>
      <c r="Y314" s="240"/>
      <c r="Z314" s="240" t="str">
        <f>TEXT(BL310,"#,##0.#######")</f>
        <v>24.33</v>
      </c>
      <c r="AA314" s="240"/>
      <c r="AB314" s="240"/>
      <c r="AC314" s="240"/>
      <c r="AD314" s="240"/>
      <c r="AE314" s="240" t="s">
        <v>652</v>
      </c>
      <c r="AF314" s="240"/>
      <c r="AG314" s="240" t="str">
        <f>TEXT(0.9,"#,##0.#######")</f>
        <v>0.9</v>
      </c>
      <c r="AH314" s="240"/>
      <c r="AI314" s="240"/>
      <c r="AJ314" s="240"/>
      <c r="AK314" s="240" t="s">
        <v>134</v>
      </c>
      <c r="AL314" s="240"/>
      <c r="AM314" s="240"/>
      <c r="AN314" s="240" t="e">
        <f>TEXT(TRUNC(Q314/BL310*AG314,1),"#,##0.#")</f>
        <v>#REF!</v>
      </c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1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345"/>
      <c r="EM314" s="245"/>
      <c r="EN314" s="245"/>
      <c r="EO314" s="245"/>
      <c r="EP314" s="245"/>
      <c r="EQ314" s="351"/>
    </row>
    <row r="315" spans="2:147" s="243" customFormat="1" ht="11.25" customHeight="1">
      <c r="B315" s="343"/>
      <c r="C315" s="240"/>
      <c r="D315" s="240"/>
      <c r="E315" s="240"/>
      <c r="F315" s="240"/>
      <c r="G315" s="240"/>
      <c r="H315" s="240" t="s">
        <v>679</v>
      </c>
      <c r="I315" s="240"/>
      <c r="J315" s="240"/>
      <c r="K315" s="240" t="s">
        <v>680</v>
      </c>
      <c r="M315" s="240"/>
      <c r="N315" s="240"/>
      <c r="O315" s="240" t="s">
        <v>132</v>
      </c>
      <c r="P315" s="240"/>
      <c r="Q315" s="1780" t="e">
        <f>#REF!</f>
        <v>#REF!</v>
      </c>
      <c r="R315" s="1780"/>
      <c r="S315" s="1780"/>
      <c r="T315" s="1780"/>
      <c r="U315" s="1780"/>
      <c r="V315" s="240"/>
      <c r="W315" s="240" t="s">
        <v>683</v>
      </c>
      <c r="X315" s="240"/>
      <c r="Y315" s="240"/>
      <c r="Z315" s="240" t="str">
        <f>TEXT(BL310,"#,##0.#######")</f>
        <v>24.33</v>
      </c>
      <c r="AA315" s="240"/>
      <c r="AB315" s="240"/>
      <c r="AC315" s="240"/>
      <c r="AD315" s="240"/>
      <c r="AE315" s="240" t="s">
        <v>652</v>
      </c>
      <c r="AF315" s="240"/>
      <c r="AG315" s="240" t="str">
        <f>TEXT(0.9,"#,##0.#######")</f>
        <v>0.9</v>
      </c>
      <c r="AH315" s="240"/>
      <c r="AI315" s="240"/>
      <c r="AJ315" s="240"/>
      <c r="AK315" s="240" t="s">
        <v>134</v>
      </c>
      <c r="AL315" s="240"/>
      <c r="AM315" s="240"/>
      <c r="AN315" s="240" t="e">
        <f>TEXT(TRUNC(Q315/BL310*AG315,1),"#,##0.#")</f>
        <v>#REF!</v>
      </c>
      <c r="AU315" s="240"/>
      <c r="AV315" s="240"/>
      <c r="AW315" s="240"/>
      <c r="AX315" s="240"/>
      <c r="AY315" s="240"/>
      <c r="AZ315" s="240"/>
      <c r="BA315" s="240"/>
      <c r="BB315" s="240"/>
      <c r="BC315" s="240"/>
      <c r="BD315" s="240"/>
      <c r="BE315" s="240"/>
      <c r="BF315" s="240"/>
      <c r="BG315" s="240"/>
      <c r="BH315" s="240"/>
      <c r="BI315" s="240"/>
      <c r="BJ315" s="240"/>
      <c r="BK315" s="240"/>
      <c r="BL315" s="240"/>
      <c r="BM315" s="240"/>
      <c r="BN315" s="240"/>
      <c r="BO315" s="240"/>
      <c r="BP315" s="240"/>
      <c r="BQ315" s="240"/>
      <c r="BR315" s="240"/>
      <c r="BS315" s="240"/>
      <c r="BT315" s="240"/>
      <c r="BU315" s="240"/>
      <c r="BV315" s="240"/>
      <c r="BW315" s="240"/>
      <c r="BX315" s="240"/>
      <c r="BY315" s="240"/>
      <c r="BZ315" s="240"/>
      <c r="CA315" s="240"/>
      <c r="CB315" s="240"/>
      <c r="CC315" s="240"/>
      <c r="CD315" s="240"/>
      <c r="CE315" s="240"/>
      <c r="CF315" s="240"/>
      <c r="CG315" s="240"/>
      <c r="CH315" s="240"/>
      <c r="CI315" s="240"/>
      <c r="CJ315" s="240"/>
      <c r="CK315" s="240"/>
      <c r="CL315" s="240"/>
      <c r="CM315" s="240"/>
      <c r="CN315" s="240"/>
      <c r="CO315" s="240"/>
      <c r="CP315" s="240"/>
      <c r="CQ315" s="240"/>
      <c r="CR315" s="240"/>
      <c r="CS315" s="240"/>
      <c r="CT315" s="240"/>
      <c r="CU315" s="240"/>
      <c r="CV315" s="240"/>
      <c r="CW315" s="240"/>
      <c r="CX315" s="240"/>
      <c r="CY315" s="240"/>
      <c r="CZ315" s="241"/>
      <c r="DA315" s="241"/>
      <c r="DB315" s="241"/>
      <c r="DC315" s="241"/>
      <c r="DD315" s="241"/>
      <c r="DE315" s="241"/>
      <c r="DF315" s="241"/>
      <c r="DG315" s="241"/>
      <c r="DH315" s="241"/>
      <c r="DI315" s="241"/>
      <c r="DJ315" s="241"/>
      <c r="DK315" s="241"/>
      <c r="DL315" s="241"/>
      <c r="DM315" s="241"/>
      <c r="DN315" s="241"/>
      <c r="DO315" s="241"/>
      <c r="DP315" s="241"/>
      <c r="DQ315" s="241"/>
      <c r="DR315" s="241"/>
      <c r="DS315" s="241"/>
      <c r="DT315" s="241"/>
      <c r="DU315" s="241"/>
      <c r="DV315" s="241"/>
      <c r="DW315" s="241"/>
      <c r="DX315" s="241"/>
      <c r="DY315" s="241"/>
      <c r="DZ315" s="241"/>
      <c r="EA315" s="241"/>
      <c r="EB315" s="241"/>
      <c r="EC315" s="241"/>
      <c r="ED315" s="241"/>
      <c r="EE315" s="241"/>
      <c r="EF315" s="241"/>
      <c r="EG315" s="241"/>
      <c r="EH315" s="241"/>
      <c r="EI315" s="241"/>
      <c r="EJ315" s="241"/>
      <c r="EK315" s="241"/>
      <c r="EL315" s="345"/>
      <c r="EM315" s="245"/>
      <c r="EN315" s="245"/>
      <c r="EO315" s="245"/>
      <c r="EP315" s="245"/>
      <c r="EQ315" s="351"/>
    </row>
    <row r="316" spans="2:147" s="243" customFormat="1" ht="11.25" customHeight="1">
      <c r="B316" s="343"/>
      <c r="C316" s="240"/>
      <c r="D316" s="240"/>
      <c r="E316" s="240"/>
      <c r="F316" s="240"/>
      <c r="G316" s="240"/>
      <c r="H316" s="240" t="s">
        <v>688</v>
      </c>
      <c r="I316" s="240"/>
      <c r="J316" s="240"/>
      <c r="K316" s="240" t="s">
        <v>96</v>
      </c>
      <c r="M316" s="240"/>
      <c r="N316" s="240"/>
      <c r="O316" s="240" t="s">
        <v>132</v>
      </c>
      <c r="P316" s="240"/>
      <c r="Q316" s="240" t="e">
        <f>TEXT(AN313+AN314+AN315,"#,##0.#######")</f>
        <v>#REF!</v>
      </c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240"/>
      <c r="CB316" s="240"/>
      <c r="CC316" s="240"/>
      <c r="CD316" s="240"/>
      <c r="CE316" s="240"/>
      <c r="CF316" s="240"/>
      <c r="CG316" s="240"/>
      <c r="CH316" s="240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1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345"/>
      <c r="EM316" s="245" t="e">
        <f>EN316+EO316+EP316</f>
        <v>#REF!</v>
      </c>
      <c r="EN316" s="245" t="e">
        <f>TEXT(AN313,"#,###.0")</f>
        <v>#REF!</v>
      </c>
      <c r="EO316" s="245" t="e">
        <f>TEXT(AN314,"#,###.0")</f>
        <v>#REF!</v>
      </c>
      <c r="EP316" s="245" t="e">
        <f>TEXT(AN315,"#,###.0")</f>
        <v>#REF!</v>
      </c>
      <c r="EQ316" s="351"/>
    </row>
    <row r="317" spans="2:147" s="243" customFormat="1" ht="11.25" customHeight="1">
      <c r="B317" s="343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240"/>
      <c r="CB317" s="240"/>
      <c r="CC317" s="240"/>
      <c r="CD317" s="240"/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1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345"/>
      <c r="EM317" s="245"/>
      <c r="EN317" s="245"/>
      <c r="EO317" s="245"/>
      <c r="EP317" s="245"/>
      <c r="EQ317" s="351"/>
    </row>
    <row r="318" spans="2:147" s="243" customFormat="1" ht="11.25" customHeight="1">
      <c r="B318" s="343"/>
      <c r="C318" s="240"/>
      <c r="D318" s="240"/>
      <c r="E318" s="240" t="s">
        <v>675</v>
      </c>
      <c r="F318" s="240"/>
      <c r="G318" s="240"/>
      <c r="H318" s="240" t="s">
        <v>102</v>
      </c>
      <c r="I318" s="240"/>
      <c r="J318" s="240"/>
      <c r="K318" s="240" t="s">
        <v>820</v>
      </c>
      <c r="L318" s="240"/>
      <c r="M318" s="240"/>
      <c r="N318" s="240" t="s">
        <v>147</v>
      </c>
      <c r="O318" s="240" t="s">
        <v>547</v>
      </c>
      <c r="P318" s="240"/>
      <c r="Q318" s="240" t="s">
        <v>657</v>
      </c>
      <c r="R318" s="240" t="s">
        <v>148</v>
      </c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240"/>
      <c r="CB318" s="240"/>
      <c r="CC318" s="240"/>
      <c r="CD318" s="240"/>
      <c r="CE318" s="240"/>
      <c r="CF318" s="240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1"/>
      <c r="DA318" s="241"/>
      <c r="DB318" s="241"/>
      <c r="DC318" s="241"/>
      <c r="DD318" s="241"/>
      <c r="DE318" s="241"/>
      <c r="DF318" s="241"/>
      <c r="DG318" s="241"/>
      <c r="DH318" s="241"/>
      <c r="DI318" s="241"/>
      <c r="DJ318" s="241"/>
      <c r="DK318" s="241"/>
      <c r="DL318" s="241"/>
      <c r="DM318" s="241"/>
      <c r="DN318" s="241"/>
      <c r="DO318" s="241"/>
      <c r="DP318" s="241"/>
      <c r="DQ318" s="241"/>
      <c r="DR318" s="241"/>
      <c r="DS318" s="241"/>
      <c r="DT318" s="241"/>
      <c r="DU318" s="241"/>
      <c r="DV318" s="241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345"/>
      <c r="EM318" s="245"/>
      <c r="EN318" s="245"/>
      <c r="EO318" s="245"/>
      <c r="EP318" s="245"/>
      <c r="EQ318" s="351"/>
    </row>
    <row r="319" spans="2:147" s="243" customFormat="1" ht="11.25" customHeight="1">
      <c r="B319" s="343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240"/>
      <c r="CA319" s="240"/>
      <c r="CB319" s="240"/>
      <c r="CC319" s="240"/>
      <c r="CD319" s="240"/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345"/>
      <c r="EM319" s="245"/>
      <c r="EN319" s="245"/>
      <c r="EO319" s="245"/>
      <c r="EP319" s="245"/>
      <c r="EQ319" s="351"/>
    </row>
    <row r="320" spans="2:147" s="243" customFormat="1" ht="11.25" customHeight="1">
      <c r="B320" s="343"/>
      <c r="C320" s="240"/>
      <c r="D320" s="240"/>
      <c r="E320" s="240"/>
      <c r="F320" s="240"/>
      <c r="G320" s="240"/>
      <c r="H320" s="240" t="s">
        <v>103</v>
      </c>
      <c r="I320" s="240"/>
      <c r="J320" s="240"/>
      <c r="K320" s="240"/>
      <c r="L320" s="240"/>
      <c r="M320" s="240"/>
      <c r="N320" s="240" t="s">
        <v>132</v>
      </c>
      <c r="O320" s="240"/>
      <c r="P320" s="1774">
        <f>VLOOKUP($H320,노임단가!$A:$B,2,FALSE)</f>
        <v>157068</v>
      </c>
      <c r="Q320" s="1774"/>
      <c r="R320" s="1774"/>
      <c r="S320" s="1774"/>
      <c r="T320" s="1774"/>
      <c r="U320" s="1774"/>
      <c r="V320" s="240"/>
      <c r="W320" s="240" t="s">
        <v>652</v>
      </c>
      <c r="X320" s="240"/>
      <c r="Y320" s="240"/>
      <c r="Z320" s="240" t="str">
        <f>TEXT(0.1,"#,##0.#######")</f>
        <v>0.1</v>
      </c>
      <c r="AA320" s="240"/>
      <c r="AB320" s="240"/>
      <c r="AC320" s="240" t="s">
        <v>102</v>
      </c>
      <c r="AD320" s="240"/>
      <c r="AE320" s="240"/>
      <c r="AF320" s="240" t="s">
        <v>652</v>
      </c>
      <c r="AG320" s="240"/>
      <c r="AH320" s="240"/>
      <c r="AI320" s="240" t="str">
        <f>TEXT(0.1,"#,##0.#######")</f>
        <v>0.1</v>
      </c>
      <c r="AJ320" s="240"/>
      <c r="AK320" s="240"/>
      <c r="AL320" s="240"/>
      <c r="AM320" s="240" t="s">
        <v>134</v>
      </c>
      <c r="AN320" s="240"/>
      <c r="AO320" s="240" t="str">
        <f>TEXT(TRUNC(P320*Z320*AI320,1),"#,##0.#")</f>
        <v>1,570.6</v>
      </c>
      <c r="AP320" s="240"/>
      <c r="AX320" s="240"/>
      <c r="AY320" s="240"/>
      <c r="AZ320" s="240"/>
      <c r="BA320" s="240"/>
      <c r="BB320" s="240"/>
      <c r="BC320" s="240"/>
      <c r="BD320" s="240"/>
      <c r="BE320" s="240"/>
      <c r="BF320" s="240"/>
      <c r="BG320" s="240"/>
      <c r="BH320" s="240"/>
      <c r="BI320" s="240"/>
      <c r="BJ320" s="240"/>
      <c r="BK320" s="240"/>
      <c r="BL320" s="240"/>
      <c r="BM320" s="240"/>
      <c r="BN320" s="240"/>
      <c r="BO320" s="240"/>
      <c r="BP320" s="240"/>
      <c r="BQ320" s="240"/>
      <c r="BR320" s="240"/>
      <c r="BS320" s="240"/>
      <c r="BT320" s="240"/>
      <c r="BU320" s="240"/>
      <c r="BV320" s="240"/>
      <c r="BW320" s="240"/>
      <c r="BX320" s="240"/>
      <c r="BY320" s="240"/>
      <c r="BZ320" s="240"/>
      <c r="CA320" s="240"/>
      <c r="CB320" s="240"/>
      <c r="CC320" s="240"/>
      <c r="CD320" s="240"/>
      <c r="CE320" s="240"/>
      <c r="CF320" s="240"/>
      <c r="CG320" s="240"/>
      <c r="CH320" s="240"/>
      <c r="CI320" s="240"/>
      <c r="CJ320" s="240"/>
      <c r="CK320" s="240"/>
      <c r="CL320" s="240"/>
      <c r="CM320" s="240"/>
      <c r="CN320" s="240"/>
      <c r="CO320" s="240"/>
      <c r="CP320" s="240"/>
      <c r="CQ320" s="240"/>
      <c r="CR320" s="240"/>
      <c r="CS320" s="240"/>
      <c r="CT320" s="240"/>
      <c r="CU320" s="240"/>
      <c r="CV320" s="240"/>
      <c r="CW320" s="240"/>
      <c r="CX320" s="240"/>
      <c r="CY320" s="240"/>
      <c r="CZ320" s="241"/>
      <c r="DA320" s="241"/>
      <c r="DB320" s="241"/>
      <c r="DC320" s="241"/>
      <c r="DD320" s="241"/>
      <c r="DE320" s="241"/>
      <c r="DF320" s="241"/>
      <c r="DG320" s="241"/>
      <c r="DH320" s="241"/>
      <c r="DI320" s="241"/>
      <c r="DJ320" s="241"/>
      <c r="DK320" s="241"/>
      <c r="DL320" s="241"/>
      <c r="DM320" s="241"/>
      <c r="DN320" s="241"/>
      <c r="DO320" s="241"/>
      <c r="DP320" s="241"/>
      <c r="DQ320" s="241"/>
      <c r="DR320" s="241"/>
      <c r="DS320" s="241"/>
      <c r="DT320" s="241"/>
      <c r="DU320" s="241"/>
      <c r="DV320" s="241"/>
      <c r="DW320" s="241"/>
      <c r="DX320" s="241"/>
      <c r="DY320" s="241"/>
      <c r="DZ320" s="241"/>
      <c r="EA320" s="241"/>
      <c r="EB320" s="241"/>
      <c r="EC320" s="241"/>
      <c r="ED320" s="241"/>
      <c r="EE320" s="241"/>
      <c r="EF320" s="241"/>
      <c r="EG320" s="241"/>
      <c r="EH320" s="241"/>
      <c r="EI320" s="241"/>
      <c r="EJ320" s="241"/>
      <c r="EK320" s="241"/>
      <c r="EL320" s="345"/>
      <c r="EM320" s="245">
        <f>EN320+EO320+EP320</f>
        <v>1570.6</v>
      </c>
      <c r="EN320" s="245" t="str">
        <f>AO320</f>
        <v>1,570.6</v>
      </c>
      <c r="EO320" s="245"/>
      <c r="EP320" s="245"/>
      <c r="EQ320" s="351"/>
    </row>
    <row r="321" spans="2:147" s="243" customFormat="1" ht="11.25" customHeight="1">
      <c r="B321" s="343"/>
      <c r="C321" s="240"/>
      <c r="D321" s="240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240"/>
      <c r="CA321" s="240"/>
      <c r="CB321" s="240"/>
      <c r="CC321" s="240"/>
      <c r="CD321" s="240"/>
      <c r="CE321" s="240"/>
      <c r="CF321" s="240"/>
      <c r="CG321" s="240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1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345"/>
      <c r="EM321" s="245"/>
      <c r="EN321" s="245"/>
      <c r="EO321" s="245"/>
      <c r="EP321" s="245"/>
      <c r="EQ321" s="351"/>
    </row>
    <row r="322" spans="2:147" s="243" customFormat="1" ht="11.25" customHeight="1">
      <c r="B322" s="343"/>
      <c r="C322" s="240"/>
      <c r="D322" s="240"/>
      <c r="E322" s="240" t="s">
        <v>677</v>
      </c>
      <c r="F322" s="240"/>
      <c r="G322" s="240"/>
      <c r="H322" s="240" t="s">
        <v>690</v>
      </c>
      <c r="I322" s="240"/>
      <c r="J322" s="240"/>
      <c r="K322" s="240" t="s">
        <v>731</v>
      </c>
      <c r="L322" s="240"/>
      <c r="M322" s="240"/>
      <c r="N322" s="240" t="s">
        <v>132</v>
      </c>
      <c r="O322" s="240"/>
      <c r="P322" s="240" t="s">
        <v>735</v>
      </c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 t="s">
        <v>736</v>
      </c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240"/>
      <c r="CA322" s="240"/>
      <c r="CB322" s="240"/>
      <c r="CC322" s="240"/>
      <c r="CD322" s="240"/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1"/>
      <c r="DA322" s="241"/>
      <c r="DB322" s="241"/>
      <c r="DC322" s="241"/>
      <c r="DD322" s="241"/>
      <c r="DE322" s="241"/>
      <c r="DF322" s="241"/>
      <c r="DG322" s="241"/>
      <c r="DH322" s="241"/>
      <c r="DI322" s="241"/>
      <c r="DJ322" s="241"/>
      <c r="DK322" s="241"/>
      <c r="DL322" s="241"/>
      <c r="DM322" s="241"/>
      <c r="DN322" s="241"/>
      <c r="DO322" s="241"/>
      <c r="DP322" s="241"/>
      <c r="DQ322" s="241"/>
      <c r="DR322" s="241"/>
      <c r="DS322" s="241"/>
      <c r="DT322" s="241"/>
      <c r="DU322" s="241"/>
      <c r="DV322" s="241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345"/>
      <c r="EM322" s="245"/>
      <c r="EN322" s="245"/>
      <c r="EO322" s="245"/>
      <c r="EP322" s="245"/>
      <c r="EQ322" s="351"/>
    </row>
    <row r="323" spans="2:147" s="243" customFormat="1" ht="11.25" customHeight="1">
      <c r="B323" s="343"/>
      <c r="C323" s="240"/>
      <c r="D323" s="240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  <c r="AA323" s="240"/>
      <c r="AB323" s="240"/>
      <c r="AC323" s="240"/>
      <c r="AD323" s="240"/>
      <c r="AE323" s="240"/>
      <c r="AF323" s="240"/>
      <c r="AG323" s="240"/>
      <c r="AH323" s="240"/>
      <c r="AI323" s="240"/>
      <c r="AJ323" s="240"/>
      <c r="AK323" s="240"/>
      <c r="AL323" s="240"/>
      <c r="AM323" s="240"/>
      <c r="AN323" s="240"/>
      <c r="AO323" s="240"/>
      <c r="AP323" s="240"/>
      <c r="AQ323" s="240"/>
      <c r="AR323" s="240"/>
      <c r="AS323" s="240"/>
      <c r="AT323" s="240"/>
      <c r="AU323" s="240"/>
      <c r="AV323" s="240"/>
      <c r="AW323" s="240"/>
      <c r="AX323" s="240"/>
      <c r="AY323" s="240"/>
      <c r="AZ323" s="240"/>
      <c r="BA323" s="240"/>
      <c r="BB323" s="240"/>
      <c r="BC323" s="240"/>
      <c r="BD323" s="240"/>
      <c r="BE323" s="240"/>
      <c r="BF323" s="240"/>
      <c r="BG323" s="240"/>
      <c r="BH323" s="240"/>
      <c r="BI323" s="240"/>
      <c r="BJ323" s="240"/>
      <c r="BK323" s="240"/>
      <c r="BL323" s="240"/>
      <c r="BM323" s="240"/>
      <c r="BN323" s="240"/>
      <c r="BO323" s="240"/>
      <c r="BP323" s="240"/>
      <c r="BQ323" s="240"/>
      <c r="BR323" s="240"/>
      <c r="BS323" s="240"/>
      <c r="BT323" s="240"/>
      <c r="BU323" s="240"/>
      <c r="BV323" s="240"/>
      <c r="BW323" s="240"/>
      <c r="BX323" s="240"/>
      <c r="BY323" s="240"/>
      <c r="BZ323" s="240"/>
      <c r="CA323" s="240"/>
      <c r="CB323" s="240"/>
      <c r="CC323" s="240"/>
      <c r="CD323" s="240"/>
      <c r="CE323" s="240"/>
      <c r="CF323" s="240"/>
      <c r="CG323" s="240"/>
      <c r="CH323" s="240"/>
      <c r="CI323" s="240"/>
      <c r="CJ323" s="240"/>
      <c r="CK323" s="240"/>
      <c r="CL323" s="240"/>
      <c r="CM323" s="240"/>
      <c r="CN323" s="240"/>
      <c r="CO323" s="240"/>
      <c r="CP323" s="240"/>
      <c r="CQ323" s="240"/>
      <c r="CR323" s="240"/>
      <c r="CS323" s="240"/>
      <c r="CT323" s="240"/>
      <c r="CU323" s="240"/>
      <c r="CV323" s="240"/>
      <c r="CW323" s="240"/>
      <c r="CX323" s="240"/>
      <c r="CY323" s="240"/>
      <c r="CZ323" s="241"/>
      <c r="DA323" s="241"/>
      <c r="DB323" s="241"/>
      <c r="DC323" s="241"/>
      <c r="DD323" s="241"/>
      <c r="DE323" s="241"/>
      <c r="DF323" s="241"/>
      <c r="DG323" s="241"/>
      <c r="DH323" s="241"/>
      <c r="DI323" s="241"/>
      <c r="DJ323" s="241"/>
      <c r="DK323" s="241"/>
      <c r="DL323" s="241"/>
      <c r="DM323" s="241"/>
      <c r="DN323" s="241"/>
      <c r="DO323" s="241"/>
      <c r="DP323" s="241"/>
      <c r="DQ323" s="241"/>
      <c r="DR323" s="241"/>
      <c r="DS323" s="241"/>
      <c r="DT323" s="241"/>
      <c r="DU323" s="241"/>
      <c r="DV323" s="241"/>
      <c r="DW323" s="241"/>
      <c r="DX323" s="241"/>
      <c r="DY323" s="241"/>
      <c r="DZ323" s="241"/>
      <c r="EA323" s="241"/>
      <c r="EB323" s="241"/>
      <c r="EC323" s="241"/>
      <c r="ED323" s="241"/>
      <c r="EE323" s="241"/>
      <c r="EF323" s="241"/>
      <c r="EG323" s="241"/>
      <c r="EH323" s="241"/>
      <c r="EI323" s="241"/>
      <c r="EJ323" s="241"/>
      <c r="EK323" s="241"/>
      <c r="EL323" s="345"/>
      <c r="EM323" s="245"/>
      <c r="EN323" s="245"/>
      <c r="EO323" s="245"/>
      <c r="EP323" s="245"/>
      <c r="EQ323" s="351"/>
    </row>
    <row r="324" spans="2:147" s="243" customFormat="1" ht="11.25" customHeight="1">
      <c r="B324" s="343"/>
      <c r="C324" s="240"/>
      <c r="D324" s="240"/>
      <c r="E324" s="240"/>
      <c r="F324" s="240"/>
      <c r="G324" s="240"/>
      <c r="H324" s="240" t="s">
        <v>711</v>
      </c>
      <c r="I324" s="240"/>
      <c r="J324" s="240" t="s">
        <v>134</v>
      </c>
      <c r="K324" s="240"/>
      <c r="L324" s="240" t="str">
        <f>TEXT(1,"#,##0.#######")</f>
        <v>1.</v>
      </c>
      <c r="M324" s="240"/>
      <c r="N324" s="240"/>
      <c r="O324" s="240" t="s">
        <v>621</v>
      </c>
      <c r="P324" s="240"/>
      <c r="Q324" s="240" t="s">
        <v>139</v>
      </c>
      <c r="R324" s="240" t="s">
        <v>618</v>
      </c>
      <c r="S324" s="240"/>
      <c r="T324" s="240"/>
      <c r="U324" s="240"/>
      <c r="V324" s="240"/>
      <c r="W324" s="240"/>
      <c r="X324" s="240"/>
      <c r="Y324" s="240" t="s">
        <v>135</v>
      </c>
      <c r="Z324" s="240"/>
      <c r="AA324" s="240" t="s">
        <v>134</v>
      </c>
      <c r="AB324" s="240"/>
      <c r="AC324" s="240" t="str">
        <f>TEXT(0.45,"#,##0.#######")</f>
        <v>0.45</v>
      </c>
      <c r="AD324" s="240"/>
      <c r="AE324" s="240"/>
      <c r="AF324" s="240"/>
      <c r="AG324" s="240" t="s">
        <v>90</v>
      </c>
      <c r="AH324" s="240"/>
      <c r="AI324" s="240"/>
      <c r="AJ324" s="240"/>
      <c r="AK324" s="240"/>
      <c r="AL324" s="240"/>
      <c r="AM324" s="240"/>
      <c r="AN324" s="240" t="s">
        <v>692</v>
      </c>
      <c r="AO324" s="240"/>
      <c r="AP324" s="240" t="s">
        <v>134</v>
      </c>
      <c r="AQ324" s="240"/>
      <c r="AR324" s="240" t="str">
        <f>TEXT(0.6,"#,##0.#######")</f>
        <v>0.6</v>
      </c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240"/>
      <c r="CA324" s="240"/>
      <c r="CB324" s="240"/>
      <c r="CC324" s="240"/>
      <c r="CD324" s="240"/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1"/>
      <c r="DA324" s="241"/>
      <c r="DB324" s="241"/>
      <c r="DC324" s="241"/>
      <c r="DD324" s="241"/>
      <c r="DE324" s="241"/>
      <c r="DF324" s="241"/>
      <c r="DG324" s="241"/>
      <c r="DH324" s="241"/>
      <c r="DI324" s="241"/>
      <c r="DJ324" s="241"/>
      <c r="DK324" s="241"/>
      <c r="DL324" s="241"/>
      <c r="DM324" s="241"/>
      <c r="DN324" s="241"/>
      <c r="DO324" s="241"/>
      <c r="DP324" s="241"/>
      <c r="DQ324" s="241"/>
      <c r="DR324" s="241"/>
      <c r="DS324" s="241"/>
      <c r="DT324" s="241"/>
      <c r="DU324" s="241"/>
      <c r="DV324" s="241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345"/>
      <c r="EM324" s="245"/>
      <c r="EN324" s="245"/>
      <c r="EO324" s="245"/>
      <c r="EP324" s="245"/>
      <c r="EQ324" s="351"/>
    </row>
    <row r="325" spans="2:147" s="243" customFormat="1" ht="11.25" customHeight="1">
      <c r="B325" s="343"/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240"/>
      <c r="CA325" s="240"/>
      <c r="CB325" s="240"/>
      <c r="CC325" s="240"/>
      <c r="CD325" s="240"/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1"/>
      <c r="DA325" s="241"/>
      <c r="DB325" s="241"/>
      <c r="DC325" s="241"/>
      <c r="DD325" s="241"/>
      <c r="DE325" s="241"/>
      <c r="DF325" s="241"/>
      <c r="DG325" s="241"/>
      <c r="DH325" s="241"/>
      <c r="DI325" s="241"/>
      <c r="DJ325" s="241"/>
      <c r="DK325" s="241"/>
      <c r="DL325" s="241"/>
      <c r="DM325" s="241"/>
      <c r="DN325" s="241"/>
      <c r="DO325" s="241"/>
      <c r="DP325" s="241"/>
      <c r="DQ325" s="241"/>
      <c r="DR325" s="241"/>
      <c r="DS325" s="241"/>
      <c r="DT325" s="241"/>
      <c r="DU325" s="241"/>
      <c r="DV325" s="241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345"/>
      <c r="EM325" s="245"/>
      <c r="EN325" s="245"/>
      <c r="EO325" s="245"/>
      <c r="EP325" s="245"/>
      <c r="EQ325" s="351"/>
    </row>
    <row r="326" spans="2:147" s="243" customFormat="1" ht="11.25" customHeight="1">
      <c r="B326" s="343"/>
      <c r="C326" s="240"/>
      <c r="D326" s="240"/>
      <c r="E326" s="240"/>
      <c r="F326" s="240"/>
      <c r="G326" s="240"/>
      <c r="H326" s="240" t="s">
        <v>833</v>
      </c>
      <c r="I326" s="240"/>
      <c r="J326" s="240" t="s">
        <v>134</v>
      </c>
      <c r="K326" s="240"/>
      <c r="L326" s="240" t="str">
        <f>TEXT(3,"#,##0.#######")</f>
        <v>3.</v>
      </c>
      <c r="M326" s="240"/>
      <c r="N326" s="240"/>
      <c r="O326" s="240" t="s">
        <v>558</v>
      </c>
      <c r="P326" s="240"/>
      <c r="Q326" s="240"/>
      <c r="R326" s="240"/>
      <c r="S326" s="240"/>
      <c r="T326" s="240"/>
      <c r="U326" s="240"/>
      <c r="V326" s="240"/>
      <c r="W326" s="240"/>
      <c r="X326" s="240"/>
      <c r="Y326" s="240" t="s">
        <v>835</v>
      </c>
      <c r="Z326" s="240"/>
      <c r="AA326" s="240" t="s">
        <v>134</v>
      </c>
      <c r="AB326" s="240"/>
      <c r="AC326" s="240" t="str">
        <f>TEXT(0.1,"#,##0.#######")</f>
        <v>0.1</v>
      </c>
      <c r="AD326" s="240"/>
      <c r="AE326" s="240"/>
      <c r="AF326" s="240"/>
      <c r="AG326" s="240" t="s">
        <v>90</v>
      </c>
      <c r="AH326" s="240"/>
      <c r="AI326" s="240"/>
      <c r="AJ326" s="240"/>
      <c r="AK326" s="240"/>
      <c r="AL326" s="240"/>
      <c r="AM326" s="240"/>
      <c r="AN326" s="240" t="s">
        <v>774</v>
      </c>
      <c r="AO326" s="240"/>
      <c r="AP326" s="240" t="s">
        <v>134</v>
      </c>
      <c r="AQ326" s="240"/>
      <c r="AR326" s="240" t="str">
        <f>TEXT(1,"#,##0.#######")</f>
        <v>1.</v>
      </c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240"/>
      <c r="CC326" s="240"/>
      <c r="CD326" s="240"/>
      <c r="CE326" s="240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1"/>
      <c r="DA326" s="241"/>
      <c r="DB326" s="241"/>
      <c r="DC326" s="241"/>
      <c r="DD326" s="241"/>
      <c r="DE326" s="241"/>
      <c r="DF326" s="241"/>
      <c r="DG326" s="241"/>
      <c r="DH326" s="241"/>
      <c r="DI326" s="241"/>
      <c r="DJ326" s="241"/>
      <c r="DK326" s="241"/>
      <c r="DL326" s="241"/>
      <c r="DM326" s="241"/>
      <c r="DN326" s="241"/>
      <c r="DO326" s="241"/>
      <c r="DP326" s="241"/>
      <c r="DQ326" s="241"/>
      <c r="DR326" s="241"/>
      <c r="DS326" s="241"/>
      <c r="DT326" s="241"/>
      <c r="DU326" s="241"/>
      <c r="DV326" s="241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345"/>
      <c r="EM326" s="245"/>
      <c r="EN326" s="245"/>
      <c r="EO326" s="245"/>
      <c r="EP326" s="245"/>
      <c r="EQ326" s="351"/>
    </row>
    <row r="327" spans="2:147" s="243" customFormat="1" ht="11.25" customHeight="1">
      <c r="B327" s="343"/>
      <c r="C327" s="24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240"/>
      <c r="CA327" s="240"/>
      <c r="CB327" s="240"/>
      <c r="CC327" s="240"/>
      <c r="CD327" s="240"/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1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345"/>
      <c r="EM327" s="245"/>
      <c r="EN327" s="245"/>
      <c r="EO327" s="245"/>
      <c r="EP327" s="245"/>
      <c r="EQ327" s="351"/>
    </row>
    <row r="328" spans="2:147" s="243" customFormat="1" ht="11.25" customHeight="1">
      <c r="B328" s="343"/>
      <c r="C328" s="240"/>
      <c r="D328" s="240"/>
      <c r="E328" s="240"/>
      <c r="F328" s="240"/>
      <c r="G328" s="240"/>
      <c r="H328" s="240"/>
      <c r="I328" s="240"/>
      <c r="J328" s="240"/>
      <c r="K328" s="240"/>
      <c r="L328" s="240"/>
      <c r="M328" s="240" t="str">
        <f>TEXT(1000,"#,##0.#######")</f>
        <v>1,000.</v>
      </c>
      <c r="N328" s="240"/>
      <c r="O328" s="240"/>
      <c r="P328" s="240"/>
      <c r="Q328" s="240"/>
      <c r="R328" s="240" t="s">
        <v>652</v>
      </c>
      <c r="S328" s="240"/>
      <c r="T328" s="240" t="s">
        <v>711</v>
      </c>
      <c r="U328" s="240" t="s">
        <v>652</v>
      </c>
      <c r="V328" s="240"/>
      <c r="W328" s="240" t="s">
        <v>135</v>
      </c>
      <c r="X328" s="240" t="s">
        <v>652</v>
      </c>
      <c r="Y328" s="240"/>
      <c r="Z328" s="240" t="s">
        <v>835</v>
      </c>
      <c r="AA328" s="240" t="s">
        <v>652</v>
      </c>
      <c r="AB328" s="240"/>
      <c r="AC328" s="240" t="s">
        <v>692</v>
      </c>
      <c r="AD328" s="240" t="s">
        <v>652</v>
      </c>
      <c r="AE328" s="240"/>
      <c r="AF328" s="240" t="s">
        <v>774</v>
      </c>
      <c r="AG328" s="240"/>
      <c r="AH328" s="240"/>
      <c r="AI328" s="240"/>
      <c r="AJ328" s="240" t="str">
        <f>TEXT(M328,"#,##0.#######")</f>
        <v>1,000.</v>
      </c>
      <c r="AK328" s="240"/>
      <c r="AL328" s="240"/>
      <c r="AM328" s="240"/>
      <c r="AN328" s="240"/>
      <c r="AO328" s="240" t="s">
        <v>652</v>
      </c>
      <c r="AP328" s="240"/>
      <c r="AQ328" s="240" t="str">
        <f>TEXT(L324,"#,##0.#######")</f>
        <v>1.</v>
      </c>
      <c r="AR328" s="240" t="s">
        <v>652</v>
      </c>
      <c r="AS328" s="240"/>
      <c r="AT328" s="240" t="str">
        <f>TEXT(AC324,"#,##0.#######")</f>
        <v>0.45</v>
      </c>
      <c r="AU328" s="240"/>
      <c r="AV328" s="240"/>
      <c r="AW328" s="240"/>
      <c r="AX328" s="240" t="s">
        <v>652</v>
      </c>
      <c r="AY328" s="240"/>
      <c r="AZ328" s="240" t="str">
        <f>TEXT(AC326,"#,##0.#######")</f>
        <v>0.1</v>
      </c>
      <c r="BA328" s="240"/>
      <c r="BB328" s="240"/>
      <c r="BC328" s="240" t="s">
        <v>652</v>
      </c>
      <c r="BD328" s="240"/>
      <c r="BE328" s="240" t="str">
        <f>TEXT(AR324,"#,##0.#######")</f>
        <v>0.6</v>
      </c>
      <c r="BF328" s="240"/>
      <c r="BG328" s="240"/>
      <c r="BH328" s="240" t="s">
        <v>652</v>
      </c>
      <c r="BI328" s="240"/>
      <c r="BJ328" s="240" t="str">
        <f>TEXT(AR326,"#,##0.#######")</f>
        <v>1.</v>
      </c>
      <c r="BK328" s="240"/>
      <c r="BL328" s="240"/>
      <c r="BM328" s="240"/>
      <c r="BN328" s="240"/>
      <c r="BO328" s="240"/>
      <c r="BP328" s="240"/>
      <c r="BT328" s="240"/>
      <c r="BU328" s="240"/>
      <c r="BV328" s="240"/>
      <c r="BW328" s="240"/>
      <c r="BX328" s="240"/>
      <c r="BY328" s="240"/>
      <c r="BZ328" s="240"/>
      <c r="CA328" s="240"/>
      <c r="CB328" s="240"/>
      <c r="CC328" s="240"/>
      <c r="CD328" s="240"/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1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345"/>
      <c r="EM328" s="245"/>
      <c r="EN328" s="245"/>
      <c r="EO328" s="245"/>
      <c r="EP328" s="245"/>
      <c r="EQ328" s="351"/>
    </row>
    <row r="329" spans="2:147" s="243" customFormat="1" ht="11.25" customHeight="1">
      <c r="B329" s="343"/>
      <c r="C329" s="240"/>
      <c r="D329" s="240"/>
      <c r="E329" s="240"/>
      <c r="F329" s="240"/>
      <c r="G329" s="240"/>
      <c r="H329" s="240" t="s">
        <v>687</v>
      </c>
      <c r="I329" s="240"/>
      <c r="J329" s="240" t="s">
        <v>134</v>
      </c>
      <c r="K329" s="240"/>
      <c r="L329" s="240" t="s">
        <v>694</v>
      </c>
      <c r="M329" s="240"/>
      <c r="N329" s="240" t="s">
        <v>694</v>
      </c>
      <c r="O329" s="240"/>
      <c r="P329" s="240" t="s">
        <v>694</v>
      </c>
      <c r="Q329" s="240"/>
      <c r="R329" s="240" t="s">
        <v>694</v>
      </c>
      <c r="S329" s="240"/>
      <c r="T329" s="240" t="s">
        <v>694</v>
      </c>
      <c r="U329" s="240"/>
      <c r="V329" s="240" t="s">
        <v>694</v>
      </c>
      <c r="W329" s="240"/>
      <c r="X329" s="240" t="s">
        <v>694</v>
      </c>
      <c r="Y329" s="240"/>
      <c r="Z329" s="240" t="s">
        <v>694</v>
      </c>
      <c r="AA329" s="240"/>
      <c r="AB329" s="240" t="s">
        <v>694</v>
      </c>
      <c r="AC329" s="240"/>
      <c r="AD329" s="240" t="s">
        <v>694</v>
      </c>
      <c r="AE329" s="240"/>
      <c r="AF329" s="240" t="s">
        <v>694</v>
      </c>
      <c r="AG329" s="240"/>
      <c r="AH329" s="240" t="s">
        <v>134</v>
      </c>
      <c r="AI329" s="240"/>
      <c r="AJ329" s="240" t="s">
        <v>694</v>
      </c>
      <c r="AK329" s="240"/>
      <c r="AL329" s="240" t="s">
        <v>694</v>
      </c>
      <c r="AM329" s="240"/>
      <c r="AN329" s="240" t="s">
        <v>694</v>
      </c>
      <c r="AO329" s="240"/>
      <c r="AP329" s="240" t="s">
        <v>694</v>
      </c>
      <c r="AQ329" s="240"/>
      <c r="AR329" s="240" t="s">
        <v>694</v>
      </c>
      <c r="AS329" s="240"/>
      <c r="AT329" s="240" t="s">
        <v>694</v>
      </c>
      <c r="AU329" s="240"/>
      <c r="AV329" s="240" t="s">
        <v>694</v>
      </c>
      <c r="AW329" s="240"/>
      <c r="AX329" s="240" t="s">
        <v>694</v>
      </c>
      <c r="AY329" s="240"/>
      <c r="AZ329" s="240" t="s">
        <v>694</v>
      </c>
      <c r="BA329" s="240"/>
      <c r="BB329" s="240" t="s">
        <v>694</v>
      </c>
      <c r="BC329" s="240"/>
      <c r="BD329" s="240" t="s">
        <v>694</v>
      </c>
      <c r="BE329" s="240"/>
      <c r="BF329" s="240" t="s">
        <v>694</v>
      </c>
      <c r="BG329" s="240"/>
      <c r="BH329" s="240" t="s">
        <v>694</v>
      </c>
      <c r="BI329" s="240"/>
      <c r="BJ329" s="240" t="s">
        <v>694</v>
      </c>
      <c r="BK329" s="240"/>
      <c r="BL329" s="240"/>
      <c r="BM329" s="240" t="s">
        <v>134</v>
      </c>
      <c r="BN329" s="240"/>
      <c r="BO329" s="240" t="str">
        <f>TEXT(ROUND((1000*L324*AC324*AC326*AR324*AR326)/(L326),2),"#,##0.#######")</f>
        <v>9.</v>
      </c>
      <c r="BP329" s="240" t="s">
        <v>91</v>
      </c>
      <c r="BQ329" s="240"/>
      <c r="BR329" s="240" t="s">
        <v>139</v>
      </c>
      <c r="BS329" s="240" t="s">
        <v>618</v>
      </c>
      <c r="BT329" s="240"/>
      <c r="BU329" s="240"/>
      <c r="BV329" s="240"/>
      <c r="BW329" s="240"/>
      <c r="BX329" s="240"/>
      <c r="BY329" s="240"/>
      <c r="BZ329" s="240"/>
      <c r="CA329" s="240"/>
      <c r="CB329" s="240"/>
      <c r="CC329" s="240"/>
      <c r="CD329" s="240"/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1"/>
      <c r="DA329" s="241"/>
      <c r="DB329" s="241"/>
      <c r="DC329" s="241"/>
      <c r="DD329" s="241"/>
      <c r="DE329" s="241"/>
      <c r="DF329" s="241"/>
      <c r="DG329" s="241"/>
      <c r="DH329" s="241"/>
      <c r="DI329" s="241"/>
      <c r="DJ329" s="241"/>
      <c r="DK329" s="241"/>
      <c r="DL329" s="241"/>
      <c r="DM329" s="241"/>
      <c r="DN329" s="241"/>
      <c r="DO329" s="241"/>
      <c r="DP329" s="241"/>
      <c r="DQ329" s="241"/>
      <c r="DR329" s="241"/>
      <c r="DS329" s="241"/>
      <c r="DT329" s="241"/>
      <c r="DU329" s="241"/>
      <c r="DV329" s="241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345"/>
      <c r="EM329" s="245"/>
      <c r="EN329" s="245"/>
      <c r="EO329" s="245"/>
      <c r="EP329" s="245"/>
      <c r="EQ329" s="351"/>
    </row>
    <row r="330" spans="2:147" s="243" customFormat="1" ht="11.25" customHeight="1">
      <c r="B330" s="343"/>
      <c r="C330" s="240"/>
      <c r="D330" s="240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 t="s">
        <v>833</v>
      </c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 t="str">
        <f>TEXT(L326,"#,##0.#######")</f>
        <v>3.</v>
      </c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T330" s="240"/>
      <c r="BU330" s="240"/>
      <c r="BV330" s="240"/>
      <c r="BW330" s="240"/>
      <c r="BX330" s="240"/>
      <c r="BY330" s="240"/>
      <c r="BZ330" s="240"/>
      <c r="CA330" s="240"/>
      <c r="CB330" s="240"/>
      <c r="CC330" s="240"/>
      <c r="CD330" s="240"/>
      <c r="CE330" s="240"/>
      <c r="CF330" s="240"/>
      <c r="CG330" s="240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1"/>
      <c r="DA330" s="241"/>
      <c r="DB330" s="241"/>
      <c r="DC330" s="241"/>
      <c r="DD330" s="241"/>
      <c r="DE330" s="241"/>
      <c r="DF330" s="241"/>
      <c r="DG330" s="241"/>
      <c r="DH330" s="241"/>
      <c r="DI330" s="241"/>
      <c r="DJ330" s="241"/>
      <c r="DK330" s="241"/>
      <c r="DL330" s="241"/>
      <c r="DM330" s="241"/>
      <c r="DN330" s="241"/>
      <c r="DO330" s="241"/>
      <c r="DP330" s="241"/>
      <c r="DQ330" s="241"/>
      <c r="DR330" s="241"/>
      <c r="DS330" s="241"/>
      <c r="DT330" s="241"/>
      <c r="DU330" s="241"/>
      <c r="DV330" s="241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345"/>
      <c r="EM330" s="245"/>
      <c r="EN330" s="245"/>
      <c r="EO330" s="245"/>
      <c r="EP330" s="245"/>
      <c r="EQ330" s="351"/>
    </row>
    <row r="331" spans="2:147" s="243" customFormat="1" ht="11.25" customHeight="1">
      <c r="B331" s="343"/>
      <c r="C331" s="240"/>
      <c r="D331" s="240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240"/>
      <c r="CA331" s="240"/>
      <c r="CB331" s="240"/>
      <c r="CC331" s="240"/>
      <c r="CD331" s="240"/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1"/>
      <c r="DA331" s="241"/>
      <c r="DB331" s="241"/>
      <c r="DC331" s="241"/>
      <c r="DD331" s="241"/>
      <c r="DE331" s="241"/>
      <c r="DF331" s="241"/>
      <c r="DG331" s="241"/>
      <c r="DH331" s="241"/>
      <c r="DI331" s="241"/>
      <c r="DJ331" s="241"/>
      <c r="DK331" s="241"/>
      <c r="DL331" s="241"/>
      <c r="DM331" s="241"/>
      <c r="DN331" s="241"/>
      <c r="DO331" s="241"/>
      <c r="DP331" s="241"/>
      <c r="DQ331" s="241"/>
      <c r="DR331" s="241"/>
      <c r="DS331" s="241"/>
      <c r="DT331" s="241"/>
      <c r="DU331" s="241"/>
      <c r="DV331" s="241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345"/>
      <c r="EM331" s="245"/>
      <c r="EN331" s="245"/>
      <c r="EO331" s="245"/>
      <c r="EP331" s="245"/>
      <c r="EQ331" s="351"/>
    </row>
    <row r="332" spans="2:147" s="243" customFormat="1" ht="11.25" customHeight="1">
      <c r="B332" s="343"/>
      <c r="C332" s="240"/>
      <c r="D332" s="240"/>
      <c r="E332" s="240"/>
      <c r="F332" s="240"/>
      <c r="G332" s="240"/>
      <c r="H332" s="240" t="s">
        <v>616</v>
      </c>
      <c r="I332" s="240"/>
      <c r="J332" s="240"/>
      <c r="K332" s="240"/>
      <c r="L332" s="240"/>
      <c r="M332" s="240"/>
      <c r="N332" s="240"/>
      <c r="O332" s="240" t="s">
        <v>132</v>
      </c>
      <c r="P332" s="240"/>
      <c r="Q332" s="1780" t="e">
        <f>#REF!</f>
        <v>#REF!</v>
      </c>
      <c r="R332" s="1780"/>
      <c r="S332" s="1780"/>
      <c r="T332" s="1780"/>
      <c r="U332" s="1780"/>
      <c r="V332" s="240"/>
      <c r="W332" s="240"/>
      <c r="X332" s="240"/>
      <c r="Y332" s="240"/>
      <c r="Z332" s="240" t="s">
        <v>683</v>
      </c>
      <c r="AA332" s="240"/>
      <c r="AB332" s="240"/>
      <c r="AC332" s="240" t="str">
        <f>TEXT(BO329,"#,##0.#######")</f>
        <v>9.</v>
      </c>
      <c r="AD332" s="240"/>
      <c r="AE332" s="240"/>
      <c r="AF332" s="240"/>
      <c r="AG332" s="240" t="s">
        <v>134</v>
      </c>
      <c r="AH332" s="240"/>
      <c r="AI332" s="240" t="e">
        <f>TEXT(TRUNC(Q332/BO329,1),"#,##0.#")</f>
        <v>#REF!</v>
      </c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240"/>
      <c r="CA332" s="240"/>
      <c r="CB332" s="240"/>
      <c r="CC332" s="240"/>
      <c r="CD332" s="240"/>
      <c r="CE332" s="240"/>
      <c r="CF332" s="240"/>
      <c r="CG332" s="240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1"/>
      <c r="DA332" s="241"/>
      <c r="DB332" s="241"/>
      <c r="DC332" s="241"/>
      <c r="DD332" s="241"/>
      <c r="DE332" s="241"/>
      <c r="DF332" s="241"/>
      <c r="DG332" s="241"/>
      <c r="DH332" s="241"/>
      <c r="DI332" s="241"/>
      <c r="DJ332" s="241"/>
      <c r="DK332" s="241"/>
      <c r="DL332" s="241"/>
      <c r="DM332" s="241"/>
      <c r="DN332" s="241"/>
      <c r="DO332" s="241"/>
      <c r="DP332" s="241"/>
      <c r="DQ332" s="241"/>
      <c r="DR332" s="241"/>
      <c r="DS332" s="241"/>
      <c r="DT332" s="241"/>
      <c r="DU332" s="241"/>
      <c r="DV332" s="241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345"/>
      <c r="EM332" s="245"/>
      <c r="EN332" s="245"/>
      <c r="EO332" s="245"/>
      <c r="EP332" s="245"/>
      <c r="EQ332" s="351"/>
    </row>
    <row r="333" spans="2:147" s="243" customFormat="1" ht="11.25" customHeight="1">
      <c r="B333" s="343"/>
      <c r="C333" s="240"/>
      <c r="D333" s="240"/>
      <c r="E333" s="240"/>
      <c r="F333" s="240"/>
      <c r="G333" s="240"/>
      <c r="H333" s="240" t="s">
        <v>617</v>
      </c>
      <c r="I333" s="240"/>
      <c r="J333" s="240"/>
      <c r="K333" s="240"/>
      <c r="L333" s="240"/>
      <c r="M333" s="240"/>
      <c r="N333" s="240"/>
      <c r="O333" s="240" t="s">
        <v>132</v>
      </c>
      <c r="P333" s="240"/>
      <c r="Q333" s="1780" t="e">
        <f>#REF!</f>
        <v>#REF!</v>
      </c>
      <c r="R333" s="1780"/>
      <c r="S333" s="1780"/>
      <c r="T333" s="1780"/>
      <c r="U333" s="1780"/>
      <c r="V333" s="240"/>
      <c r="W333" s="240"/>
      <c r="X333" s="240"/>
      <c r="Y333" s="240"/>
      <c r="Z333" s="240" t="s">
        <v>683</v>
      </c>
      <c r="AA333" s="240"/>
      <c r="AB333" s="240"/>
      <c r="AC333" s="240" t="str">
        <f>TEXT(BO329,"#,##0.#######")</f>
        <v>9.</v>
      </c>
      <c r="AD333" s="240"/>
      <c r="AE333" s="240"/>
      <c r="AF333" s="240"/>
      <c r="AG333" s="240" t="s">
        <v>134</v>
      </c>
      <c r="AH333" s="240"/>
      <c r="AI333" s="240" t="e">
        <f>TEXT(TRUNC(Q333/BO329,1),"#,##0.#")</f>
        <v>#REF!</v>
      </c>
      <c r="AJ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240"/>
      <c r="CA333" s="240"/>
      <c r="CB333" s="240"/>
      <c r="CC333" s="240"/>
      <c r="CD333" s="240"/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1"/>
      <c r="DA333" s="241"/>
      <c r="DB333" s="241"/>
      <c r="DC333" s="241"/>
      <c r="DD333" s="241"/>
      <c r="DE333" s="241"/>
      <c r="DF333" s="241"/>
      <c r="DG333" s="241"/>
      <c r="DH333" s="241"/>
      <c r="DI333" s="241"/>
      <c r="DJ333" s="241"/>
      <c r="DK333" s="241"/>
      <c r="DL333" s="241"/>
      <c r="DM333" s="241"/>
      <c r="DN333" s="241"/>
      <c r="DO333" s="241"/>
      <c r="DP333" s="241"/>
      <c r="DQ333" s="241"/>
      <c r="DR333" s="241"/>
      <c r="DS333" s="241"/>
      <c r="DT333" s="241"/>
      <c r="DU333" s="241"/>
      <c r="DV333" s="241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345"/>
      <c r="EM333" s="245"/>
      <c r="EN333" s="245"/>
      <c r="EO333" s="245"/>
      <c r="EP333" s="245"/>
      <c r="EQ333" s="351"/>
    </row>
    <row r="334" spans="2:147" s="243" customFormat="1" ht="11.25" customHeight="1">
      <c r="B334" s="343"/>
      <c r="C334" s="240"/>
      <c r="D334" s="240"/>
      <c r="E334" s="240"/>
      <c r="F334" s="240"/>
      <c r="G334" s="240"/>
      <c r="H334" s="240" t="s">
        <v>679</v>
      </c>
      <c r="I334" s="240"/>
      <c r="J334" s="240" t="s">
        <v>680</v>
      </c>
      <c r="K334" s="240"/>
      <c r="M334" s="240"/>
      <c r="N334" s="240"/>
      <c r="O334" s="240" t="s">
        <v>132</v>
      </c>
      <c r="P334" s="240"/>
      <c r="Q334" s="1780" t="e">
        <f>#REF!</f>
        <v>#REF!</v>
      </c>
      <c r="R334" s="1780"/>
      <c r="S334" s="1780"/>
      <c r="T334" s="1780"/>
      <c r="U334" s="1780"/>
      <c r="V334" s="240"/>
      <c r="W334" s="240"/>
      <c r="X334" s="240"/>
      <c r="Y334" s="240"/>
      <c r="Z334" s="240" t="s">
        <v>683</v>
      </c>
      <c r="AA334" s="240"/>
      <c r="AB334" s="240"/>
      <c r="AC334" s="240" t="str">
        <f>TEXT(BO329,"#,##0.#######")</f>
        <v>9.</v>
      </c>
      <c r="AD334" s="240"/>
      <c r="AE334" s="240"/>
      <c r="AF334" s="240"/>
      <c r="AG334" s="240" t="s">
        <v>134</v>
      </c>
      <c r="AH334" s="240"/>
      <c r="AI334" s="240" t="e">
        <f>TEXT(TRUNC(Q334/BO329,1),"#,##0.#")</f>
        <v>#REF!</v>
      </c>
      <c r="AJ334" s="240"/>
      <c r="AK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240"/>
      <c r="CA334" s="240"/>
      <c r="CB334" s="240"/>
      <c r="CC334" s="240"/>
      <c r="CD334" s="240"/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1"/>
      <c r="DA334" s="241"/>
      <c r="DB334" s="241"/>
      <c r="DC334" s="241"/>
      <c r="DD334" s="241"/>
      <c r="DE334" s="241"/>
      <c r="DF334" s="241"/>
      <c r="DG334" s="241"/>
      <c r="DH334" s="241"/>
      <c r="DI334" s="241"/>
      <c r="DJ334" s="241"/>
      <c r="DK334" s="241"/>
      <c r="DL334" s="241"/>
      <c r="DM334" s="241"/>
      <c r="DN334" s="241"/>
      <c r="DO334" s="241"/>
      <c r="DP334" s="241"/>
      <c r="DQ334" s="241"/>
      <c r="DR334" s="241"/>
      <c r="DS334" s="241"/>
      <c r="DT334" s="241"/>
      <c r="DU334" s="241"/>
      <c r="DV334" s="241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345"/>
      <c r="EM334" s="245"/>
      <c r="EN334" s="245"/>
      <c r="EO334" s="245"/>
      <c r="EP334" s="245"/>
      <c r="EQ334" s="351"/>
    </row>
    <row r="335" spans="2:147" s="243" customFormat="1" ht="11.25" customHeight="1">
      <c r="B335" s="343"/>
      <c r="C335" s="240"/>
      <c r="D335" s="240"/>
      <c r="E335" s="240"/>
      <c r="F335" s="240"/>
      <c r="G335" s="240"/>
      <c r="H335" s="240" t="s">
        <v>688</v>
      </c>
      <c r="I335" s="240"/>
      <c r="J335" s="240" t="s">
        <v>96</v>
      </c>
      <c r="K335" s="240"/>
      <c r="M335" s="240"/>
      <c r="N335" s="240"/>
      <c r="O335" s="240" t="s">
        <v>132</v>
      </c>
      <c r="P335" s="240"/>
      <c r="Q335" s="240" t="e">
        <f>TEXT(AI332+AI333+AI334,"#,##0.#######")</f>
        <v>#REF!</v>
      </c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240"/>
      <c r="CA335" s="240"/>
      <c r="CB335" s="240"/>
      <c r="CC335" s="240"/>
      <c r="CD335" s="240"/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1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345"/>
      <c r="EM335" s="245" t="e">
        <f>EN335+EO335+EP335</f>
        <v>#REF!</v>
      </c>
      <c r="EN335" s="245" t="e">
        <f>TEXT(AI332,"#,###.0")</f>
        <v>#REF!</v>
      </c>
      <c r="EO335" s="245" t="e">
        <f>TEXT(AI333,"#,###.0")</f>
        <v>#REF!</v>
      </c>
      <c r="EP335" s="245" t="e">
        <f>TEXT(AI334,"#,###.0")</f>
        <v>#REF!</v>
      </c>
      <c r="EQ335" s="351"/>
    </row>
    <row r="336" spans="2:147" s="243" customFormat="1" ht="11.25" customHeight="1">
      <c r="B336" s="343"/>
      <c r="C336" s="240"/>
      <c r="D336" s="240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240"/>
      <c r="CA336" s="240"/>
      <c r="CB336" s="240"/>
      <c r="CC336" s="240"/>
      <c r="CD336" s="240"/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1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345"/>
      <c r="EM336" s="245"/>
      <c r="EN336" s="245"/>
      <c r="EO336" s="245"/>
      <c r="EP336" s="245"/>
      <c r="EQ336" s="351"/>
    </row>
    <row r="337" spans="1:150" s="243" customFormat="1" ht="11.25" customHeight="1">
      <c r="B337" s="343"/>
      <c r="C337" s="240"/>
      <c r="D337" s="240"/>
      <c r="E337" s="240" t="s">
        <v>695</v>
      </c>
      <c r="F337" s="240"/>
      <c r="G337" s="240"/>
      <c r="H337" s="240" t="s">
        <v>678</v>
      </c>
      <c r="I337" s="240"/>
      <c r="J337" s="240"/>
      <c r="K337" s="240"/>
      <c r="L337" s="240" t="s">
        <v>96</v>
      </c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240"/>
      <c r="CA337" s="240"/>
      <c r="CB337" s="240"/>
      <c r="CC337" s="240"/>
      <c r="CD337" s="240"/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1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345"/>
      <c r="EM337" s="245"/>
      <c r="EN337" s="245"/>
      <c r="EO337" s="245"/>
      <c r="EP337" s="245"/>
      <c r="EQ337" s="351"/>
    </row>
    <row r="338" spans="1:150" s="243" customFormat="1" ht="11.25" customHeight="1">
      <c r="B338" s="343"/>
      <c r="C338" s="240"/>
      <c r="D338" s="240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240"/>
      <c r="CA338" s="240"/>
      <c r="CB338" s="240"/>
      <c r="CC338" s="240"/>
      <c r="CD338" s="240"/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1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345"/>
      <c r="EM338" s="245"/>
      <c r="EN338" s="245"/>
      <c r="EO338" s="245"/>
      <c r="EP338" s="245"/>
      <c r="EQ338" s="351"/>
    </row>
    <row r="339" spans="1:150" s="243" customFormat="1" ht="11.25" customHeight="1">
      <c r="B339" s="343"/>
      <c r="C339" s="240"/>
      <c r="D339" s="240"/>
      <c r="E339" s="240"/>
      <c r="F339" s="240"/>
      <c r="G339" s="240"/>
      <c r="H339" s="240"/>
      <c r="I339" s="240" t="s">
        <v>616</v>
      </c>
      <c r="J339" s="240"/>
      <c r="K339" s="240"/>
      <c r="L339" s="240"/>
      <c r="M339" s="240"/>
      <c r="N339" s="240"/>
      <c r="O339" s="240"/>
      <c r="P339" s="240" t="s">
        <v>132</v>
      </c>
      <c r="Q339" s="240"/>
      <c r="R339" s="240" t="e">
        <f>TEXT(EN316,"#,###.##")</f>
        <v>#REF!</v>
      </c>
      <c r="S339" s="240"/>
      <c r="T339" s="240"/>
      <c r="U339" s="240"/>
      <c r="V339" s="240"/>
      <c r="W339" s="240"/>
      <c r="X339" s="240" t="s">
        <v>130</v>
      </c>
      <c r="Y339" s="240"/>
      <c r="Z339" s="240" t="str">
        <f>TEXT(EN320,"#,###.##")</f>
        <v>1,570.6</v>
      </c>
      <c r="AA339" s="240"/>
      <c r="AB339" s="240"/>
      <c r="AC339" s="240"/>
      <c r="AD339" s="240"/>
      <c r="AE339" s="240"/>
      <c r="AF339" s="240" t="s">
        <v>130</v>
      </c>
      <c r="AG339" s="240"/>
      <c r="AH339" s="240" t="e">
        <f>TEXT(EN335,"#,###.##")</f>
        <v>#REF!</v>
      </c>
      <c r="AI339" s="240"/>
      <c r="AJ339" s="240"/>
      <c r="AK339" s="240"/>
      <c r="AL339" s="240"/>
      <c r="AM339" s="240"/>
      <c r="AN339" s="240" t="s">
        <v>134</v>
      </c>
      <c r="AO339" s="240"/>
      <c r="AP339" s="240"/>
      <c r="AQ339" s="240" t="e">
        <f>TEXT(TRUNC(EN316+EN320+EN335,0),"#,##0")</f>
        <v>#REF!</v>
      </c>
      <c r="AR339" s="240"/>
      <c r="AS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240"/>
      <c r="CA339" s="240"/>
      <c r="CB339" s="240"/>
      <c r="CC339" s="240"/>
      <c r="CD339" s="240"/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1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345"/>
      <c r="EM339" s="245"/>
      <c r="EN339" s="245"/>
      <c r="EO339" s="245"/>
      <c r="EP339" s="245"/>
      <c r="EQ339" s="351"/>
    </row>
    <row r="340" spans="1:150" s="243" customFormat="1" ht="11.25" customHeight="1">
      <c r="B340" s="343"/>
      <c r="C340" s="240"/>
      <c r="D340" s="240"/>
      <c r="E340" s="240"/>
      <c r="F340" s="240"/>
      <c r="G340" s="240"/>
      <c r="H340" s="240"/>
      <c r="I340" s="240" t="s">
        <v>617</v>
      </c>
      <c r="J340" s="240"/>
      <c r="K340" s="240"/>
      <c r="L340" s="240"/>
      <c r="M340" s="240"/>
      <c r="N340" s="240"/>
      <c r="O340" s="240"/>
      <c r="P340" s="240" t="s">
        <v>132</v>
      </c>
      <c r="Q340" s="240"/>
      <c r="R340" s="240" t="e">
        <f>TEXT(EO316,"#,###.##")</f>
        <v>#REF!</v>
      </c>
      <c r="S340" s="240"/>
      <c r="T340" s="240"/>
      <c r="U340" s="240"/>
      <c r="V340" s="240"/>
      <c r="W340" s="240"/>
      <c r="X340" s="240" t="s">
        <v>130</v>
      </c>
      <c r="Y340" s="240"/>
      <c r="Z340" s="240" t="e">
        <f>TEXT(EO335,"#,###.##")</f>
        <v>#REF!</v>
      </c>
      <c r="AA340" s="240"/>
      <c r="AB340" s="240"/>
      <c r="AC340" s="240"/>
      <c r="AD340" s="240"/>
      <c r="AE340" s="240"/>
      <c r="AF340" s="240" t="s">
        <v>134</v>
      </c>
      <c r="AG340" s="240"/>
      <c r="AH340" s="240"/>
      <c r="AI340" s="240" t="e">
        <f>TEXT(TRUNC(EO316+EO335,0),"#,##0")</f>
        <v>#REF!</v>
      </c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240"/>
      <c r="CA340" s="240"/>
      <c r="CB340" s="240"/>
      <c r="CC340" s="240"/>
      <c r="CD340" s="240"/>
      <c r="CE340" s="240"/>
      <c r="CF340" s="240"/>
      <c r="CG340" s="240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1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345"/>
      <c r="EM340" s="245"/>
      <c r="EN340" s="245"/>
      <c r="EO340" s="245"/>
      <c r="EP340" s="245"/>
      <c r="EQ340" s="351"/>
    </row>
    <row r="341" spans="1:150" s="243" customFormat="1" ht="11.25" customHeight="1">
      <c r="B341" s="343"/>
      <c r="C341" s="240"/>
      <c r="D341" s="240"/>
      <c r="E341" s="240"/>
      <c r="F341" s="240"/>
      <c r="G341" s="240"/>
      <c r="H341" s="240"/>
      <c r="I341" s="240" t="s">
        <v>679</v>
      </c>
      <c r="J341" s="240"/>
      <c r="K341" s="240" t="s">
        <v>680</v>
      </c>
      <c r="L341" s="240"/>
      <c r="M341" s="240"/>
      <c r="N341" s="240"/>
      <c r="O341" s="240"/>
      <c r="P341" s="240" t="s">
        <v>132</v>
      </c>
      <c r="Q341" s="240"/>
      <c r="R341" s="240" t="e">
        <f>TEXT(EP316,"#,###.##")</f>
        <v>#REF!</v>
      </c>
      <c r="S341" s="240"/>
      <c r="T341" s="240"/>
      <c r="U341" s="240"/>
      <c r="V341" s="240"/>
      <c r="W341" s="240"/>
      <c r="X341" s="240" t="s">
        <v>130</v>
      </c>
      <c r="Y341" s="240"/>
      <c r="Z341" s="240" t="e">
        <f>TEXT(EP335,"#,###.##")</f>
        <v>#REF!</v>
      </c>
      <c r="AA341" s="240"/>
      <c r="AB341" s="240"/>
      <c r="AC341" s="240"/>
      <c r="AD341" s="240"/>
      <c r="AF341" s="240" t="s">
        <v>134</v>
      </c>
      <c r="AG341" s="240"/>
      <c r="AH341" s="240"/>
      <c r="AI341" s="240" t="e">
        <f>TEXT(TRUNC(EP316+EP335,0),"#,##0")</f>
        <v>#REF!</v>
      </c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240"/>
      <c r="CA341" s="240"/>
      <c r="CB341" s="240"/>
      <c r="CC341" s="240"/>
      <c r="CD341" s="240"/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1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345"/>
      <c r="EM341" s="245"/>
      <c r="EN341" s="245"/>
      <c r="EO341" s="245"/>
      <c r="EP341" s="245"/>
      <c r="EQ341" s="351"/>
    </row>
    <row r="342" spans="1:150" s="243" customFormat="1" ht="11.25" customHeight="1">
      <c r="B342" s="343"/>
      <c r="C342" s="240"/>
      <c r="D342" s="240"/>
      <c r="E342" s="240"/>
      <c r="F342" s="240"/>
      <c r="G342" s="240"/>
      <c r="H342" s="240"/>
      <c r="I342" s="240"/>
      <c r="J342" s="240"/>
      <c r="K342" s="240" t="s">
        <v>96</v>
      </c>
      <c r="L342" s="240"/>
      <c r="M342" s="240"/>
      <c r="N342" s="240"/>
      <c r="O342" s="240"/>
      <c r="P342" s="240" t="s">
        <v>132</v>
      </c>
      <c r="Q342" s="240"/>
      <c r="R342" s="240" t="e">
        <f>TEXT(AQ339+AI340+AI341,"#,##0")</f>
        <v>#REF!</v>
      </c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240"/>
      <c r="CA342" s="240"/>
      <c r="CB342" s="240"/>
      <c r="CC342" s="240"/>
      <c r="CD342" s="240"/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1"/>
      <c r="DA342" s="241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1"/>
      <c r="DL342" s="241"/>
      <c r="DM342" s="241"/>
      <c r="DN342" s="241"/>
      <c r="DO342" s="241"/>
      <c r="DP342" s="241"/>
      <c r="DQ342" s="241"/>
      <c r="DR342" s="241"/>
      <c r="DS342" s="241"/>
      <c r="DT342" s="241"/>
      <c r="DU342" s="241"/>
      <c r="DV342" s="241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345"/>
      <c r="EM342" s="250" t="e">
        <f>EN342+EO342+EP342</f>
        <v>#REF!</v>
      </c>
      <c r="EN342" s="245" t="e">
        <f>TEXT(AQ339,"#,##0")</f>
        <v>#REF!</v>
      </c>
      <c r="EO342" s="245" t="e">
        <f>TEXT(AI340,"#,##0")</f>
        <v>#REF!</v>
      </c>
      <c r="EP342" s="245" t="e">
        <f>TEXT(AI341,"#,##0")</f>
        <v>#REF!</v>
      </c>
      <c r="EQ342" s="351"/>
    </row>
    <row r="343" spans="1:150" s="243" customFormat="1" ht="11.25" customHeight="1">
      <c r="B343" s="343"/>
      <c r="C343" s="240"/>
      <c r="D343" s="240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240"/>
      <c r="CA343" s="240"/>
      <c r="CB343" s="240"/>
      <c r="CC343" s="240"/>
      <c r="CD343" s="240"/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1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345"/>
      <c r="EM343" s="245"/>
      <c r="EN343" s="245"/>
      <c r="EO343" s="245"/>
      <c r="EP343" s="245"/>
      <c r="EQ343" s="351"/>
    </row>
    <row r="344" spans="1:150" ht="11.45" customHeight="1">
      <c r="B344" s="337"/>
      <c r="C344" s="338"/>
      <c r="D344" s="338"/>
      <c r="E344" s="338"/>
      <c r="F344" s="338"/>
      <c r="G344" s="338"/>
      <c r="H344" s="338"/>
      <c r="I344" s="338"/>
      <c r="J344" s="338"/>
      <c r="K344" s="338"/>
      <c r="L344" s="339"/>
      <c r="M344" s="339"/>
      <c r="N344" s="339"/>
      <c r="O344" s="338"/>
      <c r="P344" s="338"/>
      <c r="Q344" s="338"/>
      <c r="R344" s="338"/>
      <c r="S344" s="338"/>
      <c r="T344" s="338"/>
      <c r="U344" s="338"/>
      <c r="V344" s="338"/>
      <c r="W344" s="338"/>
      <c r="X344" s="338"/>
      <c r="Y344" s="338"/>
      <c r="Z344" s="338"/>
      <c r="AA344" s="338"/>
      <c r="AB344" s="338"/>
      <c r="AC344" s="338"/>
      <c r="AD344" s="338"/>
      <c r="AE344" s="338"/>
      <c r="AF344" s="338"/>
      <c r="AG344" s="338"/>
      <c r="AH344" s="338"/>
      <c r="AI344" s="338"/>
      <c r="AJ344" s="338"/>
      <c r="AK344" s="338"/>
      <c r="AL344" s="338"/>
      <c r="AM344" s="338"/>
      <c r="AN344" s="338"/>
      <c r="AO344" s="338"/>
      <c r="AP344" s="338"/>
      <c r="AQ344" s="338"/>
      <c r="AR344" s="338"/>
      <c r="AS344" s="338"/>
      <c r="AT344" s="338"/>
      <c r="AU344" s="338"/>
      <c r="AV344" s="338"/>
      <c r="AW344" s="338"/>
      <c r="AX344" s="338"/>
      <c r="AY344" s="338"/>
      <c r="AZ344" s="338"/>
      <c r="BA344" s="338"/>
      <c r="BB344" s="338"/>
      <c r="BC344" s="338"/>
      <c r="BD344" s="338"/>
      <c r="BE344" s="338"/>
      <c r="BF344" s="338"/>
      <c r="BG344" s="338"/>
      <c r="BH344" s="338"/>
      <c r="BI344" s="338"/>
      <c r="BJ344" s="338"/>
      <c r="BK344" s="338"/>
      <c r="BL344" s="338"/>
      <c r="BM344" s="338"/>
      <c r="BN344" s="338"/>
      <c r="BO344" s="338"/>
      <c r="BP344" s="338"/>
      <c r="BQ344" s="338"/>
      <c r="BR344" s="338"/>
      <c r="BS344" s="339"/>
      <c r="BT344" s="338"/>
      <c r="BU344" s="338"/>
      <c r="BV344" s="338"/>
      <c r="BW344" s="338"/>
      <c r="BX344" s="338"/>
      <c r="BY344" s="338"/>
      <c r="BZ344" s="338"/>
      <c r="CA344" s="338"/>
      <c r="CB344" s="338"/>
      <c r="CC344" s="338"/>
      <c r="CD344" s="338"/>
      <c r="CE344" s="338"/>
      <c r="CF344" s="338"/>
      <c r="CG344" s="338"/>
      <c r="CH344" s="338"/>
      <c r="CI344" s="338"/>
      <c r="CJ344" s="338"/>
      <c r="CK344" s="338"/>
      <c r="CL344" s="338"/>
      <c r="CM344" s="338"/>
      <c r="CN344" s="338"/>
      <c r="CO344" s="338"/>
      <c r="CP344" s="338"/>
      <c r="CQ344" s="338"/>
      <c r="CR344" s="338"/>
      <c r="CS344" s="338"/>
      <c r="CT344" s="338"/>
      <c r="CU344" s="338"/>
      <c r="CV344" s="338"/>
      <c r="CW344" s="338"/>
      <c r="CX344" s="338"/>
      <c r="CY344" s="338"/>
      <c r="CZ344" s="338"/>
      <c r="DA344" s="338"/>
      <c r="DB344" s="338"/>
      <c r="DC344" s="338"/>
      <c r="DD344" s="338"/>
      <c r="DE344" s="338"/>
      <c r="DF344" s="338"/>
      <c r="DG344" s="338"/>
      <c r="DH344" s="338"/>
      <c r="DI344" s="338"/>
      <c r="DJ344" s="338"/>
      <c r="DK344" s="338"/>
      <c r="DL344" s="338"/>
      <c r="DM344" s="338"/>
      <c r="DN344" s="338"/>
      <c r="DO344" s="338"/>
      <c r="DP344" s="338"/>
      <c r="DQ344" s="338"/>
      <c r="DR344" s="338"/>
      <c r="DS344" s="338"/>
      <c r="DT344" s="338"/>
      <c r="DU344" s="338"/>
      <c r="DV344" s="338"/>
      <c r="DW344" s="338"/>
      <c r="DX344" s="338"/>
      <c r="DY344" s="338"/>
      <c r="DZ344" s="338"/>
      <c r="EA344" s="338"/>
      <c r="EB344" s="338"/>
      <c r="EC344" s="338"/>
      <c r="ED344" s="338"/>
      <c r="EE344" s="338"/>
      <c r="EF344" s="338"/>
      <c r="EG344" s="338"/>
      <c r="EH344" s="338"/>
      <c r="EI344" s="338"/>
      <c r="EJ344" s="338"/>
      <c r="EK344" s="338"/>
      <c r="EL344" s="340"/>
      <c r="EM344" s="341"/>
      <c r="EN344" s="341"/>
      <c r="EO344" s="341"/>
      <c r="EP344" s="341"/>
      <c r="EQ344" s="342"/>
    </row>
    <row r="345" spans="1:150" ht="11.45" customHeight="1">
      <c r="B345" s="337"/>
      <c r="C345" s="338"/>
      <c r="D345" s="338"/>
      <c r="E345" s="338"/>
      <c r="F345" s="338"/>
      <c r="G345" s="338"/>
      <c r="H345" s="338"/>
      <c r="I345" s="338"/>
      <c r="J345" s="338"/>
      <c r="K345" s="338"/>
      <c r="L345" s="339"/>
      <c r="M345" s="339"/>
      <c r="N345" s="339"/>
      <c r="O345" s="338"/>
      <c r="P345" s="338"/>
      <c r="Q345" s="338"/>
      <c r="R345" s="338"/>
      <c r="S345" s="338"/>
      <c r="T345" s="338"/>
      <c r="U345" s="338"/>
      <c r="V345" s="338"/>
      <c r="W345" s="338"/>
      <c r="X345" s="338"/>
      <c r="Y345" s="338"/>
      <c r="Z345" s="338"/>
      <c r="AA345" s="338"/>
      <c r="AB345" s="338"/>
      <c r="AC345" s="338"/>
      <c r="AD345" s="338"/>
      <c r="AE345" s="338"/>
      <c r="AF345" s="338"/>
      <c r="AG345" s="338"/>
      <c r="AH345" s="338"/>
      <c r="AI345" s="338"/>
      <c r="AJ345" s="338"/>
      <c r="AK345" s="338"/>
      <c r="AL345" s="338"/>
      <c r="AM345" s="338"/>
      <c r="AN345" s="338"/>
      <c r="AO345" s="338"/>
      <c r="AP345" s="338"/>
      <c r="AQ345" s="338"/>
      <c r="AR345" s="338"/>
      <c r="AS345" s="338"/>
      <c r="AT345" s="338"/>
      <c r="AU345" s="338"/>
      <c r="AV345" s="338"/>
      <c r="AW345" s="338"/>
      <c r="AX345" s="338"/>
      <c r="AY345" s="338"/>
      <c r="AZ345" s="338"/>
      <c r="BA345" s="338"/>
      <c r="BB345" s="338"/>
      <c r="BC345" s="338"/>
      <c r="BD345" s="338"/>
      <c r="BE345" s="338"/>
      <c r="BF345" s="338"/>
      <c r="BG345" s="338"/>
      <c r="BH345" s="338"/>
      <c r="BI345" s="338"/>
      <c r="BJ345" s="338"/>
      <c r="BK345" s="338"/>
      <c r="BL345" s="338"/>
      <c r="BM345" s="338"/>
      <c r="BN345" s="338"/>
      <c r="BO345" s="338"/>
      <c r="BP345" s="338"/>
      <c r="BQ345" s="338"/>
      <c r="BR345" s="338"/>
      <c r="BS345" s="339"/>
      <c r="BT345" s="338"/>
      <c r="BU345" s="338"/>
      <c r="BV345" s="338"/>
      <c r="BW345" s="338"/>
      <c r="BX345" s="338"/>
      <c r="BY345" s="338"/>
      <c r="BZ345" s="338"/>
      <c r="CA345" s="338"/>
      <c r="CB345" s="338"/>
      <c r="CC345" s="338"/>
      <c r="CD345" s="338"/>
      <c r="CE345" s="338"/>
      <c r="CF345" s="338"/>
      <c r="CG345" s="338"/>
      <c r="CH345" s="338"/>
      <c r="CI345" s="338"/>
      <c r="CJ345" s="338"/>
      <c r="CK345" s="338"/>
      <c r="CL345" s="338"/>
      <c r="CM345" s="338"/>
      <c r="CN345" s="338"/>
      <c r="CO345" s="338"/>
      <c r="CP345" s="338"/>
      <c r="CQ345" s="338"/>
      <c r="CR345" s="338"/>
      <c r="CS345" s="338"/>
      <c r="CT345" s="338"/>
      <c r="CU345" s="338"/>
      <c r="CV345" s="338"/>
      <c r="CW345" s="338"/>
      <c r="CX345" s="338"/>
      <c r="CY345" s="338"/>
      <c r="CZ345" s="338"/>
      <c r="DA345" s="338"/>
      <c r="DB345" s="338"/>
      <c r="DC345" s="338"/>
      <c r="DD345" s="338"/>
      <c r="DE345" s="338"/>
      <c r="DF345" s="338"/>
      <c r="DG345" s="338"/>
      <c r="DH345" s="338"/>
      <c r="DI345" s="338"/>
      <c r="DJ345" s="338"/>
      <c r="DK345" s="338"/>
      <c r="DL345" s="338"/>
      <c r="DM345" s="338"/>
      <c r="DN345" s="338"/>
      <c r="DO345" s="338"/>
      <c r="DP345" s="338"/>
      <c r="DQ345" s="338"/>
      <c r="DR345" s="338"/>
      <c r="DS345" s="338"/>
      <c r="DT345" s="338"/>
      <c r="DU345" s="338"/>
      <c r="DV345" s="338"/>
      <c r="DW345" s="338"/>
      <c r="DX345" s="338"/>
      <c r="DY345" s="338"/>
      <c r="DZ345" s="338"/>
      <c r="EA345" s="338"/>
      <c r="EB345" s="338"/>
      <c r="EC345" s="338"/>
      <c r="ED345" s="338"/>
      <c r="EE345" s="338"/>
      <c r="EF345" s="338"/>
      <c r="EG345" s="338"/>
      <c r="EH345" s="338"/>
      <c r="EI345" s="338"/>
      <c r="EJ345" s="338"/>
      <c r="EK345" s="338"/>
      <c r="EL345" s="340"/>
      <c r="EM345" s="341"/>
      <c r="EN345" s="341"/>
      <c r="EO345" s="341"/>
      <c r="EP345" s="341"/>
      <c r="EQ345" s="342"/>
    </row>
    <row r="346" spans="1:150" ht="11.45" customHeight="1">
      <c r="B346" s="346"/>
      <c r="C346" s="347"/>
      <c r="D346" s="347"/>
      <c r="E346" s="347"/>
      <c r="F346" s="347"/>
      <c r="G346" s="347"/>
      <c r="H346" s="347"/>
      <c r="I346" s="347"/>
      <c r="J346" s="347"/>
      <c r="K346" s="347"/>
      <c r="L346" s="348"/>
      <c r="M346" s="348"/>
      <c r="N346" s="348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  <c r="AL346" s="347"/>
      <c r="AM346" s="347"/>
      <c r="AN346" s="347"/>
      <c r="AO346" s="347"/>
      <c r="AP346" s="347"/>
      <c r="AQ346" s="347"/>
      <c r="AR346" s="347"/>
      <c r="AS346" s="347"/>
      <c r="AT346" s="347"/>
      <c r="AU346" s="347"/>
      <c r="AV346" s="347"/>
      <c r="AW346" s="347"/>
      <c r="AX346" s="347"/>
      <c r="AY346" s="347"/>
      <c r="AZ346" s="347"/>
      <c r="BA346" s="347"/>
      <c r="BB346" s="347"/>
      <c r="BC346" s="347"/>
      <c r="BD346" s="347"/>
      <c r="BE346" s="347"/>
      <c r="BF346" s="347"/>
      <c r="BG346" s="347"/>
      <c r="BH346" s="347"/>
      <c r="BI346" s="347"/>
      <c r="BJ346" s="347"/>
      <c r="BK346" s="347"/>
      <c r="BL346" s="347"/>
      <c r="BM346" s="347"/>
      <c r="BN346" s="347"/>
      <c r="BO346" s="347"/>
      <c r="BP346" s="347"/>
      <c r="BQ346" s="347"/>
      <c r="BR346" s="347"/>
      <c r="BS346" s="348"/>
      <c r="BT346" s="347"/>
      <c r="BU346" s="347"/>
      <c r="BV346" s="347"/>
      <c r="BW346" s="347"/>
      <c r="BX346" s="347"/>
      <c r="BY346" s="347"/>
      <c r="BZ346" s="347"/>
      <c r="CA346" s="347"/>
      <c r="CB346" s="347"/>
      <c r="CC346" s="347"/>
      <c r="CD346" s="347"/>
      <c r="CE346" s="347"/>
      <c r="CF346" s="347"/>
      <c r="CG346" s="347"/>
      <c r="CH346" s="347"/>
      <c r="CI346" s="347"/>
      <c r="CJ346" s="347"/>
      <c r="CK346" s="347"/>
      <c r="CL346" s="347"/>
      <c r="CM346" s="347"/>
      <c r="CN346" s="347"/>
      <c r="CO346" s="347"/>
      <c r="CP346" s="347"/>
      <c r="CQ346" s="347"/>
      <c r="CR346" s="347"/>
      <c r="CS346" s="347"/>
      <c r="CT346" s="347"/>
      <c r="CU346" s="347"/>
      <c r="CV346" s="347"/>
      <c r="CW346" s="347"/>
      <c r="CX346" s="347"/>
      <c r="CY346" s="347"/>
      <c r="CZ346" s="347"/>
      <c r="DA346" s="347"/>
      <c r="DB346" s="347"/>
      <c r="DC346" s="347"/>
      <c r="DD346" s="347"/>
      <c r="DE346" s="347"/>
      <c r="DF346" s="347"/>
      <c r="DG346" s="347"/>
      <c r="DH346" s="347"/>
      <c r="DI346" s="347"/>
      <c r="DJ346" s="347"/>
      <c r="DK346" s="347"/>
      <c r="DL346" s="347"/>
      <c r="DM346" s="347"/>
      <c r="DN346" s="347"/>
      <c r="DO346" s="347"/>
      <c r="DP346" s="347"/>
      <c r="DQ346" s="347"/>
      <c r="DR346" s="347"/>
      <c r="DS346" s="347"/>
      <c r="DT346" s="347"/>
      <c r="DU346" s="347"/>
      <c r="DV346" s="347"/>
      <c r="DW346" s="347"/>
      <c r="DX346" s="347"/>
      <c r="DY346" s="347"/>
      <c r="DZ346" s="347"/>
      <c r="EA346" s="347"/>
      <c r="EB346" s="347"/>
      <c r="EC346" s="347"/>
      <c r="ED346" s="347"/>
      <c r="EE346" s="347"/>
      <c r="EF346" s="347"/>
      <c r="EG346" s="347"/>
      <c r="EH346" s="347"/>
      <c r="EI346" s="347"/>
      <c r="EJ346" s="347"/>
      <c r="EK346" s="347"/>
      <c r="EL346" s="349"/>
      <c r="EM346" s="353"/>
      <c r="EN346" s="353"/>
      <c r="EO346" s="353"/>
      <c r="EP346" s="353"/>
      <c r="EQ346" s="354"/>
    </row>
    <row r="347" spans="1:150" s="243" customFormat="1" ht="11.25" customHeight="1">
      <c r="B347" s="355"/>
      <c r="C347" s="265"/>
      <c r="D347" s="265"/>
      <c r="E347" s="265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  <c r="Z347" s="265"/>
      <c r="AA347" s="265"/>
      <c r="AB347" s="265"/>
      <c r="AC347" s="265"/>
      <c r="AD347" s="265"/>
      <c r="AE347" s="265"/>
      <c r="AF347" s="265"/>
      <c r="AG347" s="265"/>
      <c r="AH347" s="265"/>
      <c r="AI347" s="265"/>
      <c r="AJ347" s="265"/>
      <c r="AK347" s="265"/>
      <c r="AL347" s="265"/>
      <c r="AM347" s="265"/>
      <c r="AN347" s="265"/>
      <c r="AO347" s="265"/>
      <c r="AP347" s="265"/>
      <c r="AQ347" s="265"/>
      <c r="AR347" s="265"/>
      <c r="AS347" s="265"/>
      <c r="AT347" s="265"/>
      <c r="AU347" s="265"/>
      <c r="AV347" s="265"/>
      <c r="AW347" s="265"/>
      <c r="AX347" s="265"/>
      <c r="AY347" s="265"/>
      <c r="AZ347" s="265"/>
      <c r="BA347" s="265"/>
      <c r="BB347" s="265"/>
      <c r="BC347" s="265"/>
      <c r="BD347" s="265"/>
      <c r="BE347" s="265"/>
      <c r="BF347" s="265"/>
      <c r="BG347" s="265"/>
      <c r="BH347" s="265"/>
      <c r="BI347" s="265"/>
      <c r="BJ347" s="265"/>
      <c r="BK347" s="265"/>
      <c r="BL347" s="265"/>
      <c r="BM347" s="265"/>
      <c r="BN347" s="265"/>
      <c r="BO347" s="265"/>
      <c r="BP347" s="265"/>
      <c r="BQ347" s="265"/>
      <c r="BR347" s="265"/>
      <c r="BS347" s="265"/>
      <c r="BT347" s="265"/>
      <c r="BU347" s="265"/>
      <c r="BV347" s="265"/>
      <c r="BW347" s="265"/>
      <c r="BX347" s="265"/>
      <c r="BY347" s="265"/>
      <c r="BZ347" s="265"/>
      <c r="CA347" s="265"/>
      <c r="CB347" s="265"/>
      <c r="CC347" s="265"/>
      <c r="CD347" s="265"/>
      <c r="CE347" s="265"/>
      <c r="CF347" s="265"/>
      <c r="CG347" s="265"/>
      <c r="CH347" s="265"/>
      <c r="CI347" s="265"/>
      <c r="CJ347" s="265"/>
      <c r="CK347" s="265"/>
      <c r="CL347" s="265"/>
      <c r="CM347" s="265"/>
      <c r="CN347" s="265"/>
      <c r="CO347" s="265"/>
      <c r="CP347" s="265"/>
      <c r="CQ347" s="265"/>
      <c r="CR347" s="265"/>
      <c r="CS347" s="265"/>
      <c r="CT347" s="265"/>
      <c r="CU347" s="265"/>
      <c r="CV347" s="265"/>
      <c r="CW347" s="265"/>
      <c r="CX347" s="265"/>
      <c r="CY347" s="265"/>
      <c r="CZ347" s="314"/>
      <c r="DA347" s="314"/>
      <c r="DB347" s="314"/>
      <c r="DC347" s="314"/>
      <c r="DD347" s="314"/>
      <c r="DE347" s="314"/>
      <c r="DF347" s="314"/>
      <c r="DG347" s="314"/>
      <c r="DH347" s="314"/>
      <c r="DI347" s="314"/>
      <c r="DJ347" s="314"/>
      <c r="DK347" s="314"/>
      <c r="DL347" s="314"/>
      <c r="DM347" s="314"/>
      <c r="DN347" s="314"/>
      <c r="DO347" s="314"/>
      <c r="DP347" s="314"/>
      <c r="DQ347" s="314"/>
      <c r="DR347" s="314"/>
      <c r="DS347" s="314"/>
      <c r="DT347" s="314"/>
      <c r="DU347" s="314"/>
      <c r="DV347" s="314"/>
      <c r="DW347" s="314"/>
      <c r="DX347" s="314"/>
      <c r="DY347" s="314"/>
      <c r="DZ347" s="314"/>
      <c r="EA347" s="314"/>
      <c r="EB347" s="314"/>
      <c r="EC347" s="314"/>
      <c r="ED347" s="314"/>
      <c r="EE347" s="314"/>
      <c r="EF347" s="314"/>
      <c r="EG347" s="314"/>
      <c r="EH347" s="314"/>
      <c r="EI347" s="314"/>
      <c r="EJ347" s="314"/>
      <c r="EK347" s="314"/>
      <c r="EL347" s="356"/>
      <c r="EM347" s="269"/>
      <c r="EN347" s="269"/>
      <c r="EO347" s="269"/>
      <c r="EP347" s="269"/>
      <c r="EQ347" s="358"/>
    </row>
    <row r="348" spans="1:150" s="243" customFormat="1" ht="11.25" customHeight="1">
      <c r="A348" s="243">
        <v>11</v>
      </c>
      <c r="B348" s="1782">
        <f>A348</f>
        <v>11</v>
      </c>
      <c r="C348" s="1781"/>
      <c r="D348" s="1781"/>
      <c r="E348" s="344" t="s">
        <v>1297</v>
      </c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240"/>
      <c r="CA348" s="240"/>
      <c r="CB348" s="240"/>
      <c r="CC348" s="240"/>
      <c r="CD348" s="240"/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1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345"/>
      <c r="EM348" s="242" t="e">
        <f>EM391</f>
        <v>#REF!</v>
      </c>
      <c r="EN348" s="242" t="e">
        <f>EN391</f>
        <v>#REF!</v>
      </c>
      <c r="EO348" s="242" t="e">
        <f>EO391</f>
        <v>#REF!</v>
      </c>
      <c r="EP348" s="242" t="e">
        <f>EP391</f>
        <v>#REF!</v>
      </c>
      <c r="EQ348" s="312" t="s">
        <v>903</v>
      </c>
      <c r="ES348" s="800">
        <f>A348</f>
        <v>11</v>
      </c>
      <c r="ET348" s="226"/>
    </row>
    <row r="349" spans="1:150" s="243" customFormat="1" ht="11.25" customHeight="1">
      <c r="B349" s="343"/>
      <c r="C349" s="240"/>
      <c r="D349" s="240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240"/>
      <c r="CA349" s="240"/>
      <c r="CB349" s="240"/>
      <c r="CC349" s="240"/>
      <c r="CD349" s="240"/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1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345"/>
      <c r="EM349" s="245"/>
      <c r="EN349" s="245"/>
      <c r="EO349" s="245"/>
      <c r="EP349" s="245"/>
      <c r="EQ349" s="351"/>
    </row>
    <row r="350" spans="1:150" s="243" customFormat="1" ht="11.25" customHeight="1">
      <c r="B350" s="343"/>
      <c r="C350" s="240"/>
      <c r="D350" s="240"/>
      <c r="E350" s="240" t="s">
        <v>674</v>
      </c>
      <c r="F350" s="240"/>
      <c r="G350" s="240"/>
      <c r="H350" s="240" t="s">
        <v>557</v>
      </c>
      <c r="I350" s="240"/>
      <c r="J350" s="240"/>
      <c r="K350" s="240" t="s">
        <v>96</v>
      </c>
      <c r="L350" s="240"/>
      <c r="M350" s="240"/>
      <c r="N350" s="240" t="s">
        <v>147</v>
      </c>
      <c r="O350" s="799" t="s">
        <v>1295</v>
      </c>
      <c r="P350" s="240"/>
      <c r="Q350" s="240" t="s">
        <v>657</v>
      </c>
      <c r="R350" s="240" t="s">
        <v>148</v>
      </c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240"/>
      <c r="CA350" s="240"/>
      <c r="CB350" s="240"/>
      <c r="CC350" s="240"/>
      <c r="CD350" s="240"/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1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345"/>
      <c r="EM350" s="245"/>
      <c r="EN350" s="245"/>
      <c r="EO350" s="245"/>
      <c r="EP350" s="245"/>
      <c r="EQ350" s="351"/>
    </row>
    <row r="351" spans="1:150" s="243" customFormat="1" ht="11.25" customHeight="1">
      <c r="B351" s="343"/>
      <c r="C351" s="240"/>
      <c r="D351" s="240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  <c r="AA351" s="240"/>
      <c r="AB351" s="240"/>
      <c r="AC351" s="240"/>
      <c r="AD351" s="240"/>
      <c r="AE351" s="240"/>
      <c r="AF351" s="240"/>
      <c r="AG351" s="240"/>
      <c r="AH351" s="240"/>
      <c r="AI351" s="240"/>
      <c r="AJ351" s="240"/>
      <c r="AK351" s="240"/>
      <c r="AL351" s="240"/>
      <c r="AM351" s="240"/>
      <c r="AN351" s="240"/>
      <c r="AO351" s="240"/>
      <c r="AP351" s="240"/>
      <c r="AQ351" s="240"/>
      <c r="AR351" s="240"/>
      <c r="AS351" s="240"/>
      <c r="AT351" s="240"/>
      <c r="AU351" s="240"/>
      <c r="AV351" s="240"/>
      <c r="AW351" s="240"/>
      <c r="AX351" s="240"/>
      <c r="AY351" s="240"/>
      <c r="AZ351" s="240"/>
      <c r="BA351" s="240"/>
      <c r="BB351" s="240"/>
      <c r="BC351" s="240"/>
      <c r="BD351" s="240"/>
      <c r="BE351" s="240"/>
      <c r="BF351" s="240"/>
      <c r="BG351" s="240"/>
      <c r="BH351" s="240"/>
      <c r="BI351" s="240"/>
      <c r="BJ351" s="240"/>
      <c r="BK351" s="240"/>
      <c r="BL351" s="240"/>
      <c r="BM351" s="240"/>
      <c r="BN351" s="240"/>
      <c r="BO351" s="240"/>
      <c r="BP351" s="240"/>
      <c r="BQ351" s="240"/>
      <c r="BR351" s="240"/>
      <c r="BS351" s="240"/>
      <c r="BT351" s="240"/>
      <c r="BU351" s="240"/>
      <c r="BV351" s="240"/>
      <c r="BW351" s="240"/>
      <c r="BX351" s="240"/>
      <c r="BY351" s="240"/>
      <c r="BZ351" s="240"/>
      <c r="CA351" s="240"/>
      <c r="CB351" s="240"/>
      <c r="CC351" s="240"/>
      <c r="CD351" s="240"/>
      <c r="CE351" s="240"/>
      <c r="CF351" s="240"/>
      <c r="CG351" s="240"/>
      <c r="CH351" s="240"/>
      <c r="CI351" s="240"/>
      <c r="CJ351" s="240"/>
      <c r="CK351" s="240"/>
      <c r="CL351" s="240"/>
      <c r="CM351" s="240"/>
      <c r="CN351" s="240"/>
      <c r="CO351" s="240"/>
      <c r="CP351" s="240"/>
      <c r="CQ351" s="240"/>
      <c r="CR351" s="240"/>
      <c r="CS351" s="240"/>
      <c r="CT351" s="240"/>
      <c r="CU351" s="240"/>
      <c r="CV351" s="240"/>
      <c r="CW351" s="240"/>
      <c r="CX351" s="240"/>
      <c r="CY351" s="240"/>
      <c r="CZ351" s="241"/>
      <c r="DA351" s="241"/>
      <c r="DB351" s="241"/>
      <c r="DC351" s="241"/>
      <c r="DD351" s="241"/>
      <c r="DE351" s="241"/>
      <c r="DF351" s="241"/>
      <c r="DG351" s="241"/>
      <c r="DH351" s="241"/>
      <c r="DI351" s="241"/>
      <c r="DJ351" s="241"/>
      <c r="DK351" s="241"/>
      <c r="DL351" s="241"/>
      <c r="DM351" s="241"/>
      <c r="DN351" s="241"/>
      <c r="DO351" s="241"/>
      <c r="DP351" s="241"/>
      <c r="DQ351" s="241"/>
      <c r="DR351" s="241"/>
      <c r="DS351" s="241"/>
      <c r="DT351" s="241"/>
      <c r="DU351" s="241"/>
      <c r="DV351" s="241"/>
      <c r="DW351" s="241"/>
      <c r="DX351" s="241"/>
      <c r="DY351" s="241"/>
      <c r="DZ351" s="241"/>
      <c r="EA351" s="241"/>
      <c r="EB351" s="241"/>
      <c r="EC351" s="241"/>
      <c r="ED351" s="241"/>
      <c r="EE351" s="241"/>
      <c r="EF351" s="241"/>
      <c r="EG351" s="241"/>
      <c r="EH351" s="241"/>
      <c r="EI351" s="241"/>
      <c r="EJ351" s="241"/>
      <c r="EK351" s="241"/>
      <c r="EL351" s="345"/>
      <c r="EM351" s="245"/>
      <c r="EN351" s="245"/>
      <c r="EO351" s="245"/>
      <c r="EP351" s="245"/>
      <c r="EQ351" s="351"/>
    </row>
    <row r="352" spans="1:150" s="243" customFormat="1" ht="11.25" customHeight="1">
      <c r="B352" s="343"/>
      <c r="C352" s="240"/>
      <c r="D352" s="240"/>
      <c r="E352" s="240"/>
      <c r="F352" s="240"/>
      <c r="G352" s="240"/>
      <c r="H352" s="240" t="s">
        <v>691</v>
      </c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 t="s">
        <v>827</v>
      </c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240"/>
      <c r="CA352" s="240"/>
      <c r="CB352" s="240"/>
      <c r="CC352" s="240"/>
      <c r="CD352" s="240"/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1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345"/>
      <c r="EM352" s="245"/>
      <c r="EN352" s="245"/>
      <c r="EO352" s="245"/>
      <c r="EP352" s="245"/>
      <c r="EQ352" s="351"/>
    </row>
    <row r="353" spans="2:147" s="243" customFormat="1" ht="11.25" customHeight="1">
      <c r="B353" s="343"/>
      <c r="C353" s="240"/>
      <c r="D353" s="240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240"/>
      <c r="CA353" s="240"/>
      <c r="CB353" s="240"/>
      <c r="CC353" s="240"/>
      <c r="CD353" s="240"/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1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345"/>
      <c r="EM353" s="245"/>
      <c r="EN353" s="245"/>
      <c r="EO353" s="245"/>
      <c r="EP353" s="245"/>
      <c r="EQ353" s="351"/>
    </row>
    <row r="354" spans="2:147" s="243" customFormat="1" ht="11.25" customHeight="1">
      <c r="B354" s="343"/>
      <c r="C354" s="240"/>
      <c r="D354" s="240"/>
      <c r="E354" s="240"/>
      <c r="F354" s="240"/>
      <c r="G354" s="240"/>
      <c r="H354" s="240" t="s">
        <v>773</v>
      </c>
      <c r="I354" s="240"/>
      <c r="J354" s="240" t="s">
        <v>134</v>
      </c>
      <c r="K354" s="240"/>
      <c r="L354" s="240" t="str">
        <f>TEXT(0.2,"#,##0.#######")</f>
        <v>0.2</v>
      </c>
      <c r="M354" s="240"/>
      <c r="N354" s="240"/>
      <c r="O354" s="240" t="s">
        <v>91</v>
      </c>
      <c r="P354" s="240"/>
      <c r="Q354" s="240"/>
      <c r="R354" s="240"/>
      <c r="S354" s="240"/>
      <c r="T354" s="240"/>
      <c r="U354" s="240"/>
      <c r="V354" s="240"/>
      <c r="W354" s="240" t="s">
        <v>774</v>
      </c>
      <c r="X354" s="240"/>
      <c r="Y354" s="240" t="s">
        <v>134</v>
      </c>
      <c r="Z354" s="240"/>
      <c r="AA354" s="240" t="str">
        <f>TEXT(0.98,"#,##0.#######")</f>
        <v>0.98</v>
      </c>
      <c r="AB354" s="240"/>
      <c r="AC354" s="240"/>
      <c r="AD354" s="240"/>
      <c r="AE354" s="240"/>
      <c r="AF354" s="240" t="s">
        <v>139</v>
      </c>
      <c r="AG354" s="240"/>
      <c r="AH354" s="240" t="str">
        <f>TEXT(1.24,"#,##0.#######")</f>
        <v>1.24</v>
      </c>
      <c r="AI354" s="240"/>
      <c r="AJ354" s="240"/>
      <c r="AK354" s="240"/>
      <c r="AL354" s="240"/>
      <c r="AM354" s="240" t="s">
        <v>134</v>
      </c>
      <c r="AN354" s="240"/>
      <c r="AO354" s="240" t="str">
        <f>TEXT(ROUND(AA354/AH354,2),"#,##0.#######")</f>
        <v>0.79</v>
      </c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 t="s">
        <v>775</v>
      </c>
      <c r="BA354" s="240"/>
      <c r="BB354" s="240" t="s">
        <v>134</v>
      </c>
      <c r="BC354" s="240"/>
      <c r="BD354" s="240" t="str">
        <f>TEXT(1.1,"#,##0.#######")</f>
        <v>1.1</v>
      </c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240"/>
      <c r="CA354" s="240"/>
      <c r="CB354" s="240"/>
      <c r="CC354" s="240"/>
      <c r="CD354" s="240"/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1"/>
      <c r="DA354" s="241"/>
      <c r="DB354" s="241"/>
      <c r="DC354" s="241"/>
      <c r="DD354" s="241"/>
      <c r="DE354" s="241"/>
      <c r="DF354" s="241"/>
      <c r="DG354" s="241"/>
      <c r="DH354" s="241"/>
      <c r="DI354" s="241"/>
      <c r="DJ354" s="241"/>
      <c r="DK354" s="241"/>
      <c r="DL354" s="241"/>
      <c r="DM354" s="241"/>
      <c r="DN354" s="241"/>
      <c r="DO354" s="241"/>
      <c r="DP354" s="241"/>
      <c r="DQ354" s="241"/>
      <c r="DR354" s="241"/>
      <c r="DS354" s="241"/>
      <c r="DT354" s="241"/>
      <c r="DU354" s="241"/>
      <c r="DV354" s="241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345"/>
      <c r="EM354" s="245"/>
      <c r="EN354" s="245"/>
      <c r="EO354" s="245"/>
      <c r="EP354" s="245"/>
      <c r="EQ354" s="351"/>
    </row>
    <row r="355" spans="2:147" s="243" customFormat="1" ht="11.25" customHeight="1">
      <c r="B355" s="343"/>
      <c r="C355" s="240"/>
      <c r="D355" s="240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240"/>
      <c r="CA355" s="240"/>
      <c r="CB355" s="240"/>
      <c r="CC355" s="240"/>
      <c r="CD355" s="240"/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1"/>
      <c r="DA355" s="241"/>
      <c r="DB355" s="241"/>
      <c r="DC355" s="241"/>
      <c r="DD355" s="241"/>
      <c r="DE355" s="241"/>
      <c r="DF355" s="241"/>
      <c r="DG355" s="241"/>
      <c r="DH355" s="241"/>
      <c r="DI355" s="241"/>
      <c r="DJ355" s="241"/>
      <c r="DK355" s="241"/>
      <c r="DL355" s="241"/>
      <c r="DM355" s="241"/>
      <c r="DN355" s="241"/>
      <c r="DO355" s="241"/>
      <c r="DP355" s="241"/>
      <c r="DQ355" s="241"/>
      <c r="DR355" s="241"/>
      <c r="DS355" s="241"/>
      <c r="DT355" s="241"/>
      <c r="DU355" s="241"/>
      <c r="DV355" s="241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345"/>
      <c r="EM355" s="245"/>
      <c r="EN355" s="245"/>
      <c r="EO355" s="245"/>
      <c r="EP355" s="245"/>
      <c r="EQ355" s="351"/>
    </row>
    <row r="356" spans="2:147" s="243" customFormat="1" ht="11.25" customHeight="1">
      <c r="B356" s="343"/>
      <c r="C356" s="240"/>
      <c r="D356" s="240"/>
      <c r="E356" s="240"/>
      <c r="F356" s="240"/>
      <c r="G356" s="240"/>
      <c r="H356" s="240" t="s">
        <v>692</v>
      </c>
      <c r="I356" s="240"/>
      <c r="J356" s="240" t="s">
        <v>134</v>
      </c>
      <c r="K356" s="240"/>
      <c r="L356" s="240" t="s">
        <v>147</v>
      </c>
      <c r="M356" s="240" t="str">
        <f>TEXT(0.75,"#,##0.#######")</f>
        <v>0.75</v>
      </c>
      <c r="N356" s="240"/>
      <c r="O356" s="240"/>
      <c r="P356" s="240"/>
      <c r="Q356" s="240" t="s">
        <v>130</v>
      </c>
      <c r="R356" s="240" t="str">
        <f>TEXT(0.65,"#,##0.#######")</f>
        <v>0.65</v>
      </c>
      <c r="S356" s="240"/>
      <c r="T356" s="240"/>
      <c r="U356" s="240"/>
      <c r="V356" s="240" t="s">
        <v>148</v>
      </c>
      <c r="W356" s="240" t="s">
        <v>139</v>
      </c>
      <c r="X356" s="240" t="str">
        <f>TEXT(2,"#,##0.#######")</f>
        <v>2.</v>
      </c>
      <c r="Y356" s="240"/>
      <c r="Z356" s="240" t="s">
        <v>134</v>
      </c>
      <c r="AA356" s="240"/>
      <c r="AB356" s="240" t="str">
        <f>TEXT(ROUND((M356+R356)/X356,2),"#,##0.#######")</f>
        <v>0.7</v>
      </c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 t="s">
        <v>693</v>
      </c>
      <c r="AM356" s="240"/>
      <c r="AN356" s="240"/>
      <c r="AO356" s="240" t="s">
        <v>134</v>
      </c>
      <c r="AP356" s="240"/>
      <c r="AQ356" s="240" t="str">
        <f>TEXT(18,"#,##0.#######")</f>
        <v>18.</v>
      </c>
      <c r="AR356" s="240"/>
      <c r="AS356" s="240" t="s">
        <v>776</v>
      </c>
      <c r="AT356" s="240"/>
      <c r="AU356" s="240"/>
      <c r="AV356" s="240"/>
      <c r="AW356" s="240" t="s">
        <v>147</v>
      </c>
      <c r="AX356" s="240" t="s">
        <v>553</v>
      </c>
      <c r="AY356" s="240"/>
      <c r="AZ356" s="240"/>
      <c r="BA356" s="240" t="s">
        <v>777</v>
      </c>
      <c r="BB356" s="240"/>
      <c r="BC356" s="240" t="s">
        <v>148</v>
      </c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240"/>
      <c r="CA356" s="240"/>
      <c r="CB356" s="240"/>
      <c r="CC356" s="240"/>
      <c r="CD356" s="240"/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1"/>
      <c r="DA356" s="241"/>
      <c r="DB356" s="241"/>
      <c r="DC356" s="241"/>
      <c r="DD356" s="241"/>
      <c r="DE356" s="241"/>
      <c r="DF356" s="241"/>
      <c r="DG356" s="241"/>
      <c r="DH356" s="241"/>
      <c r="DI356" s="241"/>
      <c r="DJ356" s="241"/>
      <c r="DK356" s="241"/>
      <c r="DL356" s="241"/>
      <c r="DM356" s="241"/>
      <c r="DN356" s="241"/>
      <c r="DO356" s="241"/>
      <c r="DP356" s="241"/>
      <c r="DQ356" s="241"/>
      <c r="DR356" s="241"/>
      <c r="DS356" s="241"/>
      <c r="DT356" s="241"/>
      <c r="DU356" s="241"/>
      <c r="DV356" s="241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345"/>
      <c r="EM356" s="245"/>
      <c r="EN356" s="245"/>
      <c r="EO356" s="245"/>
      <c r="EP356" s="245"/>
      <c r="EQ356" s="351"/>
    </row>
    <row r="357" spans="2:147" s="243" customFormat="1" ht="11.25" customHeight="1">
      <c r="B357" s="343"/>
      <c r="C357" s="240"/>
      <c r="D357" s="240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240"/>
      <c r="CA357" s="240"/>
      <c r="CB357" s="240"/>
      <c r="CC357" s="240"/>
      <c r="CD357" s="240"/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1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345"/>
      <c r="EM357" s="245"/>
      <c r="EN357" s="245"/>
      <c r="EO357" s="245"/>
      <c r="EP357" s="245"/>
      <c r="EQ357" s="351"/>
    </row>
    <row r="358" spans="2:147" s="243" customFormat="1" ht="11.25" customHeight="1">
      <c r="B358" s="343"/>
      <c r="C358" s="240"/>
      <c r="D358" s="240"/>
      <c r="E358" s="240"/>
      <c r="F358" s="240"/>
      <c r="G358" s="240"/>
      <c r="H358" s="240"/>
      <c r="I358" s="240"/>
      <c r="J358" s="240"/>
      <c r="K358" s="240"/>
      <c r="L358" s="240"/>
      <c r="M358" s="240" t="str">
        <f>TEXT(3600,"#,##0.#######")</f>
        <v>3,600.</v>
      </c>
      <c r="N358" s="240"/>
      <c r="O358" s="240"/>
      <c r="P358" s="240"/>
      <c r="Q358" s="240"/>
      <c r="R358" s="240" t="s">
        <v>652</v>
      </c>
      <c r="S358" s="240"/>
      <c r="T358" s="240" t="s">
        <v>773</v>
      </c>
      <c r="U358" s="240" t="s">
        <v>652</v>
      </c>
      <c r="V358" s="240"/>
      <c r="W358" s="240" t="s">
        <v>775</v>
      </c>
      <c r="X358" s="240" t="s">
        <v>652</v>
      </c>
      <c r="Y358" s="240"/>
      <c r="Z358" s="240" t="s">
        <v>774</v>
      </c>
      <c r="AA358" s="240" t="s">
        <v>652</v>
      </c>
      <c r="AB358" s="240"/>
      <c r="AC358" s="240" t="s">
        <v>692</v>
      </c>
      <c r="AD358" s="240"/>
      <c r="AE358" s="240"/>
      <c r="AF358" s="240"/>
      <c r="AG358" s="240"/>
      <c r="AH358" s="240"/>
      <c r="AI358" s="240"/>
      <c r="AJ358" s="240" t="str">
        <f>TEXT(M358,"#,##0.#######")</f>
        <v>3,600.</v>
      </c>
      <c r="AK358" s="240"/>
      <c r="AL358" s="240"/>
      <c r="AM358" s="240"/>
      <c r="AN358" s="240"/>
      <c r="AO358" s="240" t="s">
        <v>652</v>
      </c>
      <c r="AP358" s="240"/>
      <c r="AQ358" s="240" t="str">
        <f>TEXT(L354,"#,##0.#######")</f>
        <v>0.2</v>
      </c>
      <c r="AR358" s="240"/>
      <c r="AS358" s="240"/>
      <c r="AT358" s="240" t="s">
        <v>652</v>
      </c>
      <c r="AU358" s="240"/>
      <c r="AV358" s="240" t="str">
        <f>TEXT(BD354,"#,##0.#######")</f>
        <v>1.1</v>
      </c>
      <c r="AW358" s="240"/>
      <c r="AX358" s="240"/>
      <c r="AY358" s="240" t="s">
        <v>652</v>
      </c>
      <c r="AZ358" s="240"/>
      <c r="BA358" s="240" t="str">
        <f>TEXT(AO354,"#,##0.#######")</f>
        <v>0.79</v>
      </c>
      <c r="BB358" s="240"/>
      <c r="BC358" s="240"/>
      <c r="BD358" s="240"/>
      <c r="BE358" s="240" t="s">
        <v>652</v>
      </c>
      <c r="BF358" s="240"/>
      <c r="BG358" s="240" t="str">
        <f>TEXT(AB356,"#,##0.#######")</f>
        <v>0.7</v>
      </c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240"/>
      <c r="CA358" s="240"/>
      <c r="CB358" s="240"/>
      <c r="CC358" s="240"/>
      <c r="CD358" s="240"/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1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345"/>
      <c r="EM358" s="245"/>
      <c r="EN358" s="245"/>
      <c r="EO358" s="245"/>
      <c r="EP358" s="245"/>
      <c r="EQ358" s="351"/>
    </row>
    <row r="359" spans="2:147" s="243" customFormat="1" ht="11.25" customHeight="1">
      <c r="B359" s="343"/>
      <c r="C359" s="240"/>
      <c r="D359" s="240"/>
      <c r="E359" s="240"/>
      <c r="F359" s="240"/>
      <c r="G359" s="240"/>
      <c r="H359" s="240" t="s">
        <v>687</v>
      </c>
      <c r="I359" s="240"/>
      <c r="J359" s="240" t="s">
        <v>134</v>
      </c>
      <c r="K359" s="240"/>
      <c r="L359" s="240" t="s">
        <v>694</v>
      </c>
      <c r="M359" s="240"/>
      <c r="N359" s="240" t="s">
        <v>694</v>
      </c>
      <c r="O359" s="240"/>
      <c r="P359" s="240" t="s">
        <v>694</v>
      </c>
      <c r="Q359" s="240"/>
      <c r="R359" s="240" t="s">
        <v>694</v>
      </c>
      <c r="S359" s="240"/>
      <c r="T359" s="240" t="s">
        <v>694</v>
      </c>
      <c r="U359" s="240"/>
      <c r="V359" s="240" t="s">
        <v>694</v>
      </c>
      <c r="W359" s="240"/>
      <c r="X359" s="240" t="s">
        <v>694</v>
      </c>
      <c r="Y359" s="240"/>
      <c r="Z359" s="240" t="s">
        <v>694</v>
      </c>
      <c r="AA359" s="240"/>
      <c r="AB359" s="240" t="s">
        <v>694</v>
      </c>
      <c r="AC359" s="240"/>
      <c r="AD359" s="240" t="s">
        <v>694</v>
      </c>
      <c r="AE359" s="240"/>
      <c r="AF359" s="240"/>
      <c r="AG359" s="240" t="s">
        <v>134</v>
      </c>
      <c r="AH359" s="240"/>
      <c r="AI359" s="240" t="s">
        <v>694</v>
      </c>
      <c r="AJ359" s="240"/>
      <c r="AK359" s="240" t="s">
        <v>694</v>
      </c>
      <c r="AL359" s="240"/>
      <c r="AM359" s="240" t="s">
        <v>694</v>
      </c>
      <c r="AN359" s="240"/>
      <c r="AO359" s="240" t="s">
        <v>694</v>
      </c>
      <c r="AP359" s="240"/>
      <c r="AQ359" s="240" t="s">
        <v>694</v>
      </c>
      <c r="AR359" s="240"/>
      <c r="AS359" s="240" t="s">
        <v>694</v>
      </c>
      <c r="AT359" s="240"/>
      <c r="AU359" s="240" t="s">
        <v>694</v>
      </c>
      <c r="AV359" s="240"/>
      <c r="AW359" s="240" t="s">
        <v>694</v>
      </c>
      <c r="AX359" s="240"/>
      <c r="AY359" s="240" t="s">
        <v>694</v>
      </c>
      <c r="AZ359" s="240"/>
      <c r="BA359" s="240" t="s">
        <v>694</v>
      </c>
      <c r="BB359" s="240"/>
      <c r="BC359" s="240" t="s">
        <v>694</v>
      </c>
      <c r="BD359" s="240"/>
      <c r="BE359" s="240" t="s">
        <v>694</v>
      </c>
      <c r="BF359" s="240"/>
      <c r="BG359" s="240" t="s">
        <v>694</v>
      </c>
      <c r="BH359" s="240"/>
      <c r="BI359" s="240" t="s">
        <v>694</v>
      </c>
      <c r="BJ359" s="240"/>
      <c r="BK359" s="240" t="s">
        <v>134</v>
      </c>
      <c r="BL359" s="240" t="str">
        <f>TEXT(ROUND((3600*L354*BD354*AO354*AB356)/(AQ356),2),"#,##0.#######")</f>
        <v>24.33</v>
      </c>
      <c r="BN359" s="240"/>
      <c r="BO359" s="240" t="s">
        <v>91</v>
      </c>
      <c r="BP359" s="240"/>
      <c r="BQ359" s="240" t="s">
        <v>139</v>
      </c>
      <c r="BR359" s="240" t="s">
        <v>618</v>
      </c>
      <c r="BS359" s="240"/>
      <c r="BT359" s="240"/>
      <c r="BU359" s="240"/>
      <c r="BV359" s="240"/>
      <c r="BW359" s="240"/>
      <c r="BX359" s="240"/>
      <c r="BY359" s="240"/>
      <c r="BZ359" s="240"/>
      <c r="CA359" s="240"/>
      <c r="CB359" s="240"/>
      <c r="CC359" s="240"/>
      <c r="CD359" s="240"/>
      <c r="CE359" s="240"/>
      <c r="CF359" s="240"/>
      <c r="CG359" s="240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1"/>
      <c r="DA359" s="241"/>
      <c r="DB359" s="241"/>
      <c r="DC359" s="241"/>
      <c r="DD359" s="241"/>
      <c r="DE359" s="241"/>
      <c r="DF359" s="241"/>
      <c r="DG359" s="241"/>
      <c r="DH359" s="241"/>
      <c r="DI359" s="241"/>
      <c r="DJ359" s="241"/>
      <c r="DK359" s="241"/>
      <c r="DL359" s="241"/>
      <c r="DM359" s="241"/>
      <c r="DN359" s="241"/>
      <c r="DO359" s="241"/>
      <c r="DP359" s="241"/>
      <c r="DQ359" s="241"/>
      <c r="DR359" s="241"/>
      <c r="DS359" s="241"/>
      <c r="DT359" s="241"/>
      <c r="DU359" s="241"/>
      <c r="DV359" s="241"/>
      <c r="DW359" s="241"/>
      <c r="DX359" s="241"/>
      <c r="DY359" s="241"/>
      <c r="DZ359" s="241"/>
      <c r="EA359" s="241"/>
      <c r="EB359" s="241"/>
      <c r="EC359" s="241"/>
      <c r="ED359" s="241"/>
      <c r="EE359" s="241"/>
      <c r="EF359" s="241"/>
      <c r="EG359" s="241"/>
      <c r="EH359" s="241"/>
      <c r="EI359" s="241"/>
      <c r="EJ359" s="241"/>
      <c r="EK359" s="241"/>
      <c r="EL359" s="345"/>
      <c r="EM359" s="245"/>
      <c r="EN359" s="245"/>
      <c r="EO359" s="245"/>
      <c r="EP359" s="245"/>
      <c r="EQ359" s="351"/>
    </row>
    <row r="360" spans="2:147" s="243" customFormat="1" ht="11.25" customHeight="1">
      <c r="B360" s="343"/>
      <c r="C360" s="240"/>
      <c r="D360" s="240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 t="s">
        <v>693</v>
      </c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 t="str">
        <f>TEXT(AQ356,"#,##0.#######")</f>
        <v>18.</v>
      </c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240"/>
      <c r="CA360" s="240"/>
      <c r="CB360" s="240"/>
      <c r="CC360" s="240"/>
      <c r="CD360" s="240"/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1"/>
      <c r="DA360" s="241"/>
      <c r="DB360" s="241"/>
      <c r="DC360" s="241"/>
      <c r="DD360" s="241"/>
      <c r="DE360" s="241"/>
      <c r="DF360" s="241"/>
      <c r="DG360" s="241"/>
      <c r="DH360" s="241"/>
      <c r="DI360" s="241"/>
      <c r="DJ360" s="241"/>
      <c r="DK360" s="241"/>
      <c r="DL360" s="241"/>
      <c r="DM360" s="241"/>
      <c r="DN360" s="241"/>
      <c r="DO360" s="241"/>
      <c r="DP360" s="241"/>
      <c r="DQ360" s="241"/>
      <c r="DR360" s="241"/>
      <c r="DS360" s="241"/>
      <c r="DT360" s="241"/>
      <c r="DU360" s="241"/>
      <c r="DV360" s="241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345"/>
      <c r="EM360" s="245"/>
      <c r="EN360" s="245"/>
      <c r="EO360" s="245"/>
      <c r="EP360" s="245"/>
      <c r="EQ360" s="351"/>
    </row>
    <row r="361" spans="2:147" s="243" customFormat="1" ht="11.25" customHeight="1">
      <c r="B361" s="343"/>
      <c r="C361" s="240"/>
      <c r="D361" s="240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0"/>
      <c r="CB361" s="240"/>
      <c r="CC361" s="240"/>
      <c r="CD361" s="240"/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1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345"/>
      <c r="EM361" s="245"/>
      <c r="EN361" s="245"/>
      <c r="EO361" s="245"/>
      <c r="EP361" s="245"/>
      <c r="EQ361" s="351"/>
    </row>
    <row r="362" spans="2:147" s="243" customFormat="1" ht="11.25" customHeight="1">
      <c r="B362" s="343"/>
      <c r="C362" s="240"/>
      <c r="D362" s="240"/>
      <c r="E362" s="240"/>
      <c r="F362" s="240"/>
      <c r="G362" s="240"/>
      <c r="H362" s="240" t="s">
        <v>616</v>
      </c>
      <c r="I362" s="240"/>
      <c r="J362" s="240"/>
      <c r="K362" s="240"/>
      <c r="L362" s="240"/>
      <c r="M362" s="240"/>
      <c r="N362" s="240"/>
      <c r="O362" s="240" t="s">
        <v>132</v>
      </c>
      <c r="P362" s="240"/>
      <c r="Q362" s="1780" t="e">
        <f>#REF!</f>
        <v>#REF!</v>
      </c>
      <c r="R362" s="1780"/>
      <c r="S362" s="1780"/>
      <c r="T362" s="1780"/>
      <c r="U362" s="1780"/>
      <c r="V362" s="240"/>
      <c r="W362" s="240" t="s">
        <v>683</v>
      </c>
      <c r="X362" s="240"/>
      <c r="Y362" s="240"/>
      <c r="Z362" s="240" t="str">
        <f>TEXT(BL359,"#,##0.#######")</f>
        <v>24.33</v>
      </c>
      <c r="AA362" s="240"/>
      <c r="AB362" s="240"/>
      <c r="AC362" s="240"/>
      <c r="AD362" s="240"/>
      <c r="AE362" s="240" t="s">
        <v>652</v>
      </c>
      <c r="AF362" s="240"/>
      <c r="AG362" s="240" t="str">
        <f>TEXT(0.8,"#,##0.#######")</f>
        <v>0.8</v>
      </c>
      <c r="AH362" s="240"/>
      <c r="AI362" s="240"/>
      <c r="AJ362" s="240"/>
      <c r="AK362" s="240" t="s">
        <v>134</v>
      </c>
      <c r="AL362" s="240"/>
      <c r="AM362" s="240"/>
      <c r="AN362" s="240" t="e">
        <f>TEXT(TRUNC(Q362/BL359*AG362,1),"#,##0.#")</f>
        <v>#REF!</v>
      </c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0"/>
      <c r="CB362" s="240"/>
      <c r="CC362" s="240"/>
      <c r="CD362" s="240"/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1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345"/>
      <c r="EM362" s="245"/>
      <c r="EN362" s="245"/>
      <c r="EO362" s="245"/>
      <c r="EP362" s="245"/>
      <c r="EQ362" s="351"/>
    </row>
    <row r="363" spans="2:147" s="243" customFormat="1" ht="11.25" customHeight="1">
      <c r="B363" s="343"/>
      <c r="C363" s="240"/>
      <c r="D363" s="240"/>
      <c r="E363" s="240"/>
      <c r="F363" s="240"/>
      <c r="G363" s="240"/>
      <c r="H363" s="240" t="s">
        <v>617</v>
      </c>
      <c r="I363" s="240"/>
      <c r="J363" s="240"/>
      <c r="K363" s="240"/>
      <c r="L363" s="240"/>
      <c r="M363" s="240"/>
      <c r="N363" s="240"/>
      <c r="O363" s="240" t="s">
        <v>132</v>
      </c>
      <c r="P363" s="240"/>
      <c r="Q363" s="1780" t="e">
        <f>#REF!</f>
        <v>#REF!</v>
      </c>
      <c r="R363" s="1780"/>
      <c r="S363" s="1780"/>
      <c r="T363" s="1780"/>
      <c r="U363" s="1780"/>
      <c r="V363" s="240"/>
      <c r="W363" s="240" t="s">
        <v>683</v>
      </c>
      <c r="X363" s="240"/>
      <c r="Y363" s="240"/>
      <c r="Z363" s="240" t="str">
        <f>TEXT(BL359,"#,##0.#######")</f>
        <v>24.33</v>
      </c>
      <c r="AA363" s="240"/>
      <c r="AB363" s="240"/>
      <c r="AC363" s="240"/>
      <c r="AD363" s="240"/>
      <c r="AE363" s="240" t="s">
        <v>652</v>
      </c>
      <c r="AF363" s="240"/>
      <c r="AG363" s="240" t="str">
        <f t="shared" ref="AG363:AG364" si="0">TEXT(0.8,"#,##0.#######")</f>
        <v>0.8</v>
      </c>
      <c r="AH363" s="240"/>
      <c r="AI363" s="240"/>
      <c r="AJ363" s="240"/>
      <c r="AK363" s="240" t="s">
        <v>134</v>
      </c>
      <c r="AL363" s="240"/>
      <c r="AM363" s="240"/>
      <c r="AN363" s="240" t="e">
        <f>TEXT(TRUNC(Q363/BL359*AG363,1),"#,##0.#")</f>
        <v>#REF!</v>
      </c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0"/>
      <c r="CB363" s="240"/>
      <c r="CC363" s="240"/>
      <c r="CD363" s="240"/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1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345"/>
      <c r="EM363" s="245"/>
      <c r="EN363" s="245"/>
      <c r="EO363" s="245"/>
      <c r="EP363" s="245"/>
      <c r="EQ363" s="351"/>
    </row>
    <row r="364" spans="2:147" s="243" customFormat="1" ht="11.25" customHeight="1">
      <c r="B364" s="343"/>
      <c r="C364" s="240"/>
      <c r="D364" s="240"/>
      <c r="E364" s="240"/>
      <c r="F364" s="240"/>
      <c r="G364" s="240"/>
      <c r="H364" s="240" t="s">
        <v>679</v>
      </c>
      <c r="I364" s="240"/>
      <c r="J364" s="240"/>
      <c r="K364" s="240" t="s">
        <v>680</v>
      </c>
      <c r="M364" s="240"/>
      <c r="N364" s="240"/>
      <c r="O364" s="240" t="s">
        <v>132</v>
      </c>
      <c r="P364" s="240"/>
      <c r="Q364" s="1780" t="e">
        <f>#REF!</f>
        <v>#REF!</v>
      </c>
      <c r="R364" s="1780"/>
      <c r="S364" s="1780"/>
      <c r="T364" s="1780"/>
      <c r="U364" s="1780"/>
      <c r="V364" s="240"/>
      <c r="W364" s="240" t="s">
        <v>683</v>
      </c>
      <c r="X364" s="240"/>
      <c r="Y364" s="240"/>
      <c r="Z364" s="240" t="str">
        <f>TEXT(BL359,"#,##0.#######")</f>
        <v>24.33</v>
      </c>
      <c r="AA364" s="240"/>
      <c r="AB364" s="240"/>
      <c r="AC364" s="240"/>
      <c r="AD364" s="240"/>
      <c r="AE364" s="240" t="s">
        <v>652</v>
      </c>
      <c r="AF364" s="240"/>
      <c r="AG364" s="240" t="str">
        <f t="shared" si="0"/>
        <v>0.8</v>
      </c>
      <c r="AH364" s="240"/>
      <c r="AI364" s="240"/>
      <c r="AJ364" s="240"/>
      <c r="AK364" s="240" t="s">
        <v>134</v>
      </c>
      <c r="AL364" s="240"/>
      <c r="AM364" s="240"/>
      <c r="AN364" s="240" t="e">
        <f>TEXT(TRUNC(Q364/BL359*AG364,1),"#,##0.#")</f>
        <v>#REF!</v>
      </c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0"/>
      <c r="CB364" s="240"/>
      <c r="CC364" s="240"/>
      <c r="CD364" s="240"/>
      <c r="CE364" s="240"/>
      <c r="CF364" s="240"/>
      <c r="CG364" s="240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1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345"/>
      <c r="EM364" s="245"/>
      <c r="EN364" s="245"/>
      <c r="EO364" s="245"/>
      <c r="EP364" s="245"/>
      <c r="EQ364" s="351"/>
    </row>
    <row r="365" spans="2:147" s="243" customFormat="1" ht="11.25" customHeight="1">
      <c r="B365" s="343"/>
      <c r="C365" s="240"/>
      <c r="D365" s="240"/>
      <c r="E365" s="240"/>
      <c r="F365" s="240"/>
      <c r="G365" s="240"/>
      <c r="H365" s="240" t="s">
        <v>688</v>
      </c>
      <c r="I365" s="240"/>
      <c r="J365" s="240"/>
      <c r="K365" s="240" t="s">
        <v>96</v>
      </c>
      <c r="M365" s="240"/>
      <c r="N365" s="240"/>
      <c r="O365" s="240" t="s">
        <v>132</v>
      </c>
      <c r="P365" s="240"/>
      <c r="Q365" s="240" t="e">
        <f>TEXT(AN362+AN363+AN364,"#,##0.#######")</f>
        <v>#REF!</v>
      </c>
      <c r="R365" s="240"/>
      <c r="S365" s="240"/>
      <c r="T365" s="240"/>
      <c r="U365" s="240"/>
      <c r="V365" s="240"/>
      <c r="W365" s="240"/>
      <c r="X365" s="240"/>
      <c r="Y365" s="240"/>
      <c r="Z365" s="240"/>
      <c r="AA365" s="240"/>
      <c r="AB365" s="240"/>
      <c r="AC365" s="240"/>
      <c r="AD365" s="240"/>
      <c r="AE365" s="240"/>
      <c r="AF365" s="240"/>
      <c r="AG365" s="240"/>
      <c r="AH365" s="240"/>
      <c r="AI365" s="240"/>
      <c r="AJ365" s="240"/>
      <c r="AK365" s="240"/>
      <c r="AL365" s="240"/>
      <c r="AM365" s="240"/>
      <c r="AO365" s="240"/>
      <c r="AP365" s="240"/>
      <c r="AQ365" s="240"/>
      <c r="AR365" s="240"/>
      <c r="AS365" s="240"/>
      <c r="AT365" s="240"/>
      <c r="AU365" s="240"/>
      <c r="AV365" s="240"/>
      <c r="AW365" s="240"/>
      <c r="AX365" s="240"/>
      <c r="AY365" s="240"/>
      <c r="AZ365" s="240"/>
      <c r="BA365" s="240"/>
      <c r="BB365" s="240"/>
      <c r="BC365" s="240"/>
      <c r="BD365" s="240"/>
      <c r="BE365" s="240"/>
      <c r="BF365" s="240"/>
      <c r="BG365" s="240"/>
      <c r="BH365" s="240"/>
      <c r="BI365" s="240"/>
      <c r="BJ365" s="240"/>
      <c r="BK365" s="240"/>
      <c r="BL365" s="240"/>
      <c r="BM365" s="240"/>
      <c r="BN365" s="240"/>
      <c r="BO365" s="240"/>
      <c r="BP365" s="240"/>
      <c r="BQ365" s="240"/>
      <c r="BR365" s="240"/>
      <c r="BS365" s="240"/>
      <c r="BT365" s="240"/>
      <c r="BU365" s="240"/>
      <c r="BV365" s="240"/>
      <c r="BW365" s="240"/>
      <c r="BX365" s="240"/>
      <c r="BY365" s="240"/>
      <c r="BZ365" s="240"/>
      <c r="CA365" s="240"/>
      <c r="CB365" s="240"/>
      <c r="CC365" s="240"/>
      <c r="CD365" s="240"/>
      <c r="CE365" s="240"/>
      <c r="CF365" s="240"/>
      <c r="CG365" s="240"/>
      <c r="CH365" s="240"/>
      <c r="CI365" s="240"/>
      <c r="CJ365" s="240"/>
      <c r="CK365" s="240"/>
      <c r="CL365" s="240"/>
      <c r="CM365" s="240"/>
      <c r="CN365" s="240"/>
      <c r="CO365" s="240"/>
      <c r="CP365" s="240"/>
      <c r="CQ365" s="240"/>
      <c r="CR365" s="240"/>
      <c r="CS365" s="240"/>
      <c r="CT365" s="240"/>
      <c r="CU365" s="240"/>
      <c r="CV365" s="240"/>
      <c r="CW365" s="240"/>
      <c r="CX365" s="240"/>
      <c r="CY365" s="240"/>
      <c r="CZ365" s="241"/>
      <c r="DA365" s="241"/>
      <c r="DB365" s="241"/>
      <c r="DC365" s="241"/>
      <c r="DD365" s="241"/>
      <c r="DE365" s="241"/>
      <c r="DF365" s="241"/>
      <c r="DG365" s="241"/>
      <c r="DH365" s="241"/>
      <c r="DI365" s="241"/>
      <c r="DJ365" s="241"/>
      <c r="DK365" s="241"/>
      <c r="DL365" s="241"/>
      <c r="DM365" s="241"/>
      <c r="DN365" s="241"/>
      <c r="DO365" s="241"/>
      <c r="DP365" s="241"/>
      <c r="DQ365" s="241"/>
      <c r="DR365" s="241"/>
      <c r="DS365" s="241"/>
      <c r="DT365" s="241"/>
      <c r="DU365" s="241"/>
      <c r="DV365" s="241"/>
      <c r="DW365" s="241"/>
      <c r="DX365" s="241"/>
      <c r="DY365" s="241"/>
      <c r="DZ365" s="241"/>
      <c r="EA365" s="241"/>
      <c r="EB365" s="241"/>
      <c r="EC365" s="241"/>
      <c r="ED365" s="241"/>
      <c r="EE365" s="241"/>
      <c r="EF365" s="241"/>
      <c r="EG365" s="241"/>
      <c r="EH365" s="241"/>
      <c r="EI365" s="241"/>
      <c r="EJ365" s="241"/>
      <c r="EK365" s="241"/>
      <c r="EL365" s="345"/>
      <c r="EM365" s="245" t="e">
        <f>EN365+EO365+EP365</f>
        <v>#REF!</v>
      </c>
      <c r="EN365" s="245" t="e">
        <f>TEXT(AN362,"#,###.0")</f>
        <v>#REF!</v>
      </c>
      <c r="EO365" s="245" t="e">
        <f>TEXT(AN363,"#,###.0")</f>
        <v>#REF!</v>
      </c>
      <c r="EP365" s="245" t="e">
        <f>TEXT(AN364,"#,###.0")</f>
        <v>#REF!</v>
      </c>
      <c r="EQ365" s="351"/>
    </row>
    <row r="366" spans="2:147" s="243" customFormat="1" ht="11.25" customHeight="1">
      <c r="B366" s="343"/>
      <c r="C366" s="240"/>
      <c r="D366" s="240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240"/>
      <c r="CA366" s="240"/>
      <c r="CB366" s="240"/>
      <c r="CC366" s="240"/>
      <c r="CD366" s="240"/>
      <c r="CE366" s="240"/>
      <c r="CF366" s="240"/>
      <c r="CG366" s="240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1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345"/>
      <c r="EM366" s="245"/>
      <c r="EN366" s="245"/>
      <c r="EO366" s="245"/>
      <c r="EP366" s="245"/>
      <c r="EQ366" s="351"/>
    </row>
    <row r="367" spans="2:147" s="243" customFormat="1" ht="11.25" customHeight="1">
      <c r="B367" s="343"/>
      <c r="C367" s="240"/>
      <c r="D367" s="240"/>
      <c r="E367" s="240" t="s">
        <v>675</v>
      </c>
      <c r="F367" s="240"/>
      <c r="G367" s="240"/>
      <c r="H367" s="240" t="s">
        <v>102</v>
      </c>
      <c r="I367" s="240"/>
      <c r="J367" s="240"/>
      <c r="K367" s="240" t="s">
        <v>820</v>
      </c>
      <c r="L367" s="240"/>
      <c r="M367" s="240"/>
      <c r="N367" s="240" t="s">
        <v>147</v>
      </c>
      <c r="O367" s="799" t="s">
        <v>1296</v>
      </c>
      <c r="P367" s="240"/>
      <c r="Q367" s="240" t="s">
        <v>657</v>
      </c>
      <c r="R367" s="240" t="s">
        <v>148</v>
      </c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240"/>
      <c r="CA367" s="240"/>
      <c r="CB367" s="240"/>
      <c r="CC367" s="240"/>
      <c r="CD367" s="240"/>
      <c r="CE367" s="240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1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345"/>
      <c r="EM367" s="245"/>
      <c r="EN367" s="245"/>
      <c r="EO367" s="245"/>
      <c r="EP367" s="245"/>
      <c r="EQ367" s="351"/>
    </row>
    <row r="368" spans="2:147" s="243" customFormat="1" ht="11.25" customHeight="1">
      <c r="B368" s="343"/>
      <c r="C368" s="240"/>
      <c r="D368" s="240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240"/>
      <c r="CA368" s="240"/>
      <c r="CB368" s="240"/>
      <c r="CC368" s="240"/>
      <c r="CD368" s="240"/>
      <c r="CE368" s="240"/>
      <c r="CF368" s="240"/>
      <c r="CG368" s="240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1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345"/>
      <c r="EM368" s="245"/>
      <c r="EN368" s="245"/>
      <c r="EO368" s="245"/>
      <c r="EP368" s="245"/>
      <c r="EQ368" s="351"/>
    </row>
    <row r="369" spans="2:147" s="243" customFormat="1" ht="11.25" customHeight="1">
      <c r="B369" s="343"/>
      <c r="C369" s="240"/>
      <c r="D369" s="240"/>
      <c r="E369" s="240"/>
      <c r="F369" s="240"/>
      <c r="G369" s="240"/>
      <c r="H369" s="240" t="s">
        <v>103</v>
      </c>
      <c r="I369" s="240"/>
      <c r="J369" s="240"/>
      <c r="K369" s="240"/>
      <c r="L369" s="240"/>
      <c r="M369" s="240"/>
      <c r="N369" s="240" t="s">
        <v>132</v>
      </c>
      <c r="O369" s="240"/>
      <c r="P369" s="1774">
        <f>VLOOKUP($H369,노임단가!$A:$B,2,FALSE)</f>
        <v>157068</v>
      </c>
      <c r="Q369" s="1774"/>
      <c r="R369" s="1774"/>
      <c r="S369" s="1774"/>
      <c r="T369" s="1774"/>
      <c r="U369" s="1774"/>
      <c r="V369" s="240"/>
      <c r="W369" s="240" t="s">
        <v>652</v>
      </c>
      <c r="X369" s="240"/>
      <c r="Y369" s="240"/>
      <c r="Z369" s="240" t="str">
        <f>TEXT(0.1,"#,##0.#######")</f>
        <v>0.1</v>
      </c>
      <c r="AA369" s="240"/>
      <c r="AB369" s="240"/>
      <c r="AC369" s="240" t="s">
        <v>102</v>
      </c>
      <c r="AD369" s="240"/>
      <c r="AE369" s="240"/>
      <c r="AF369" s="240" t="s">
        <v>652</v>
      </c>
      <c r="AG369" s="240"/>
      <c r="AH369" s="240"/>
      <c r="AI369" s="240" t="str">
        <f>TEXT(0.2,"#,##0.#######")</f>
        <v>0.2</v>
      </c>
      <c r="AJ369" s="240"/>
      <c r="AK369" s="240"/>
      <c r="AL369" s="240"/>
      <c r="AM369" s="240" t="s">
        <v>134</v>
      </c>
      <c r="AN369" s="240"/>
      <c r="AO369" s="240" t="str">
        <f>TEXT(TRUNC(P369*Z369*AI369,1),"#,##0.#")</f>
        <v>3,141.3</v>
      </c>
      <c r="AP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240"/>
      <c r="CA369" s="240"/>
      <c r="CB369" s="240"/>
      <c r="CC369" s="240"/>
      <c r="CD369" s="240"/>
      <c r="CE369" s="240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1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345"/>
      <c r="EM369" s="245">
        <f>EN369+EO369+EP369</f>
        <v>3141.3</v>
      </c>
      <c r="EN369" s="245" t="str">
        <f>AO369</f>
        <v>3,141.3</v>
      </c>
      <c r="EO369" s="245"/>
      <c r="EP369" s="245"/>
      <c r="EQ369" s="351"/>
    </row>
    <row r="370" spans="2:147" s="243" customFormat="1" ht="11.25" customHeight="1">
      <c r="B370" s="343"/>
      <c r="C370" s="240"/>
      <c r="D370" s="240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240"/>
      <c r="CA370" s="240"/>
      <c r="CB370" s="240"/>
      <c r="CC370" s="240"/>
      <c r="CD370" s="240"/>
      <c r="CE370" s="240"/>
      <c r="CF370" s="240"/>
      <c r="CG370" s="240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1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345"/>
      <c r="EM370" s="245"/>
      <c r="EN370" s="245"/>
      <c r="EO370" s="245"/>
      <c r="EP370" s="245"/>
      <c r="EQ370" s="351"/>
    </row>
    <row r="371" spans="2:147" s="243" customFormat="1" ht="11.25" customHeight="1">
      <c r="B371" s="343"/>
      <c r="C371" s="240"/>
      <c r="D371" s="240"/>
      <c r="E371" s="240" t="s">
        <v>677</v>
      </c>
      <c r="F371" s="240"/>
      <c r="G371" s="240"/>
      <c r="H371" s="240" t="s">
        <v>690</v>
      </c>
      <c r="I371" s="240"/>
      <c r="J371" s="240"/>
      <c r="K371" s="240" t="s">
        <v>731</v>
      </c>
      <c r="L371" s="240"/>
      <c r="M371" s="240"/>
      <c r="N371" s="240" t="s">
        <v>132</v>
      </c>
      <c r="O371" s="240"/>
      <c r="P371" s="240" t="s">
        <v>735</v>
      </c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 t="s">
        <v>736</v>
      </c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240"/>
      <c r="CA371" s="240"/>
      <c r="CB371" s="240"/>
      <c r="CC371" s="240"/>
      <c r="CD371" s="240"/>
      <c r="CE371" s="240"/>
      <c r="CF371" s="240"/>
      <c r="CG371" s="240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1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345"/>
      <c r="EM371" s="245"/>
      <c r="EN371" s="245"/>
      <c r="EO371" s="245"/>
      <c r="EP371" s="245"/>
      <c r="EQ371" s="351"/>
    </row>
    <row r="372" spans="2:147" s="243" customFormat="1" ht="11.25" customHeight="1">
      <c r="B372" s="343"/>
      <c r="C372" s="240"/>
      <c r="D372" s="240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240"/>
      <c r="CA372" s="240"/>
      <c r="CB372" s="240"/>
      <c r="CC372" s="240"/>
      <c r="CD372" s="240"/>
      <c r="CE372" s="240"/>
      <c r="CF372" s="240"/>
      <c r="CG372" s="240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1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345"/>
      <c r="EM372" s="245"/>
      <c r="EN372" s="245"/>
      <c r="EO372" s="245"/>
      <c r="EP372" s="245"/>
      <c r="EQ372" s="351"/>
    </row>
    <row r="373" spans="2:147" s="243" customFormat="1" ht="11.25" customHeight="1">
      <c r="B373" s="343"/>
      <c r="C373" s="240"/>
      <c r="D373" s="240"/>
      <c r="E373" s="240"/>
      <c r="F373" s="240"/>
      <c r="G373" s="240"/>
      <c r="H373" s="240" t="s">
        <v>711</v>
      </c>
      <c r="I373" s="240"/>
      <c r="J373" s="240" t="s">
        <v>134</v>
      </c>
      <c r="K373" s="240"/>
      <c r="L373" s="240" t="str">
        <f>TEXT(1,"#,##0.#######")</f>
        <v>1.</v>
      </c>
      <c r="M373" s="240"/>
      <c r="N373" s="240"/>
      <c r="O373" s="240" t="s">
        <v>621</v>
      </c>
      <c r="P373" s="240"/>
      <c r="Q373" s="240" t="s">
        <v>139</v>
      </c>
      <c r="R373" s="240" t="s">
        <v>618</v>
      </c>
      <c r="S373" s="240"/>
      <c r="T373" s="240"/>
      <c r="U373" s="240"/>
      <c r="V373" s="240"/>
      <c r="W373" s="240"/>
      <c r="X373" s="240"/>
      <c r="Y373" s="240" t="s">
        <v>135</v>
      </c>
      <c r="Z373" s="240"/>
      <c r="AA373" s="240" t="s">
        <v>134</v>
      </c>
      <c r="AB373" s="240"/>
      <c r="AC373" s="240" t="str">
        <f>TEXT(0.45,"#,##0.#######")</f>
        <v>0.45</v>
      </c>
      <c r="AD373" s="240"/>
      <c r="AE373" s="240"/>
      <c r="AF373" s="240"/>
      <c r="AG373" s="240" t="s">
        <v>90</v>
      </c>
      <c r="AH373" s="240"/>
      <c r="AI373" s="240"/>
      <c r="AJ373" s="240"/>
      <c r="AK373" s="240"/>
      <c r="AL373" s="240"/>
      <c r="AM373" s="240"/>
      <c r="AN373" s="240" t="s">
        <v>692</v>
      </c>
      <c r="AO373" s="240"/>
      <c r="AP373" s="240" t="s">
        <v>134</v>
      </c>
      <c r="AQ373" s="240"/>
      <c r="AR373" s="240" t="str">
        <f>TEXT(0.6,"#,##0.#######")</f>
        <v>0.6</v>
      </c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240"/>
      <c r="CA373" s="240"/>
      <c r="CB373" s="240"/>
      <c r="CC373" s="240"/>
      <c r="CD373" s="240"/>
      <c r="CE373" s="240"/>
      <c r="CF373" s="240"/>
      <c r="CG373" s="240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1"/>
      <c r="DA373" s="241"/>
      <c r="DB373" s="241"/>
      <c r="DC373" s="241"/>
      <c r="DD373" s="241"/>
      <c r="DE373" s="241"/>
      <c r="DF373" s="241"/>
      <c r="DG373" s="241"/>
      <c r="DH373" s="241"/>
      <c r="DI373" s="241"/>
      <c r="DJ373" s="241"/>
      <c r="DK373" s="241"/>
      <c r="DL373" s="241"/>
      <c r="DM373" s="241"/>
      <c r="DN373" s="241"/>
      <c r="DO373" s="241"/>
      <c r="DP373" s="241"/>
      <c r="DQ373" s="241"/>
      <c r="DR373" s="241"/>
      <c r="DS373" s="241"/>
      <c r="DT373" s="241"/>
      <c r="DU373" s="241"/>
      <c r="DV373" s="241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345"/>
      <c r="EM373" s="245"/>
      <c r="EN373" s="245"/>
      <c r="EO373" s="245"/>
      <c r="EP373" s="245"/>
      <c r="EQ373" s="351"/>
    </row>
    <row r="374" spans="2:147" s="243" customFormat="1" ht="11.25" customHeight="1">
      <c r="B374" s="343"/>
      <c r="C374" s="240"/>
      <c r="D374" s="240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240"/>
      <c r="CA374" s="240"/>
      <c r="CB374" s="240"/>
      <c r="CC374" s="240"/>
      <c r="CD374" s="240"/>
      <c r="CE374" s="240"/>
      <c r="CF374" s="240"/>
      <c r="CG374" s="240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1"/>
      <c r="DA374" s="241"/>
      <c r="DB374" s="241"/>
      <c r="DC374" s="241"/>
      <c r="DD374" s="241"/>
      <c r="DE374" s="241"/>
      <c r="DF374" s="241"/>
      <c r="DG374" s="241"/>
      <c r="DH374" s="241"/>
      <c r="DI374" s="241"/>
      <c r="DJ374" s="241"/>
      <c r="DK374" s="241"/>
      <c r="DL374" s="241"/>
      <c r="DM374" s="241"/>
      <c r="DN374" s="241"/>
      <c r="DO374" s="241"/>
      <c r="DP374" s="241"/>
      <c r="DQ374" s="241"/>
      <c r="DR374" s="241"/>
      <c r="DS374" s="241"/>
      <c r="DT374" s="241"/>
      <c r="DU374" s="241"/>
      <c r="DV374" s="241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345"/>
      <c r="EM374" s="245"/>
      <c r="EN374" s="245"/>
      <c r="EO374" s="245"/>
      <c r="EP374" s="245"/>
      <c r="EQ374" s="351"/>
    </row>
    <row r="375" spans="2:147" s="243" customFormat="1" ht="11.25" customHeight="1">
      <c r="B375" s="343"/>
      <c r="C375" s="240"/>
      <c r="D375" s="240"/>
      <c r="E375" s="240"/>
      <c r="F375" s="240"/>
      <c r="G375" s="240"/>
      <c r="H375" s="240" t="s">
        <v>833</v>
      </c>
      <c r="I375" s="240"/>
      <c r="J375" s="240" t="s">
        <v>134</v>
      </c>
      <c r="K375" s="240"/>
      <c r="L375" s="240" t="str">
        <f>TEXT(3,"#,##0.#######")</f>
        <v>3.</v>
      </c>
      <c r="M375" s="240"/>
      <c r="N375" s="240"/>
      <c r="O375" s="240" t="s">
        <v>558</v>
      </c>
      <c r="P375" s="240"/>
      <c r="Q375" s="240"/>
      <c r="R375" s="240"/>
      <c r="S375" s="240"/>
      <c r="T375" s="240"/>
      <c r="U375" s="240"/>
      <c r="V375" s="240"/>
      <c r="W375" s="240"/>
      <c r="X375" s="240"/>
      <c r="Y375" s="240" t="s">
        <v>835</v>
      </c>
      <c r="Z375" s="240"/>
      <c r="AA375" s="240" t="s">
        <v>134</v>
      </c>
      <c r="AB375" s="240"/>
      <c r="AC375" s="240" t="str">
        <f>TEXT(0.1,"#,##0.#######")</f>
        <v>0.1</v>
      </c>
      <c r="AD375" s="240"/>
      <c r="AE375" s="240"/>
      <c r="AF375" s="240"/>
      <c r="AG375" s="240" t="s">
        <v>90</v>
      </c>
      <c r="AH375" s="240"/>
      <c r="AI375" s="240"/>
      <c r="AJ375" s="240"/>
      <c r="AK375" s="240"/>
      <c r="AL375" s="240"/>
      <c r="AM375" s="240"/>
      <c r="AN375" s="240" t="s">
        <v>774</v>
      </c>
      <c r="AO375" s="240"/>
      <c r="AP375" s="240" t="s">
        <v>134</v>
      </c>
      <c r="AQ375" s="240"/>
      <c r="AR375" s="240" t="str">
        <f>TEXT(1,"#,##0.#######")</f>
        <v>1.</v>
      </c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240"/>
      <c r="CA375" s="240"/>
      <c r="CB375" s="240"/>
      <c r="CC375" s="240"/>
      <c r="CD375" s="240"/>
      <c r="CE375" s="240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1"/>
      <c r="DA375" s="241"/>
      <c r="DB375" s="241"/>
      <c r="DC375" s="241"/>
      <c r="DD375" s="241"/>
      <c r="DE375" s="241"/>
      <c r="DF375" s="241"/>
      <c r="DG375" s="241"/>
      <c r="DH375" s="241"/>
      <c r="DI375" s="241"/>
      <c r="DJ375" s="241"/>
      <c r="DK375" s="241"/>
      <c r="DL375" s="241"/>
      <c r="DM375" s="241"/>
      <c r="DN375" s="241"/>
      <c r="DO375" s="241"/>
      <c r="DP375" s="241"/>
      <c r="DQ375" s="241"/>
      <c r="DR375" s="241"/>
      <c r="DS375" s="241"/>
      <c r="DT375" s="241"/>
      <c r="DU375" s="241"/>
      <c r="DV375" s="241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345"/>
      <c r="EM375" s="245"/>
      <c r="EN375" s="245"/>
      <c r="EO375" s="245"/>
      <c r="EP375" s="245"/>
      <c r="EQ375" s="351"/>
    </row>
    <row r="376" spans="2:147" s="243" customFormat="1" ht="11.25" customHeight="1">
      <c r="B376" s="343"/>
      <c r="C376" s="240"/>
      <c r="D376" s="240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240"/>
      <c r="CA376" s="240"/>
      <c r="CB376" s="240"/>
      <c r="CC376" s="240"/>
      <c r="CD376" s="240"/>
      <c r="CE376" s="240"/>
      <c r="CF376" s="240"/>
      <c r="CG376" s="240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1"/>
      <c r="DA376" s="241"/>
      <c r="DB376" s="241"/>
      <c r="DC376" s="241"/>
      <c r="DD376" s="241"/>
      <c r="DE376" s="241"/>
      <c r="DF376" s="241"/>
      <c r="DG376" s="241"/>
      <c r="DH376" s="241"/>
      <c r="DI376" s="241"/>
      <c r="DJ376" s="241"/>
      <c r="DK376" s="241"/>
      <c r="DL376" s="241"/>
      <c r="DM376" s="241"/>
      <c r="DN376" s="241"/>
      <c r="DO376" s="241"/>
      <c r="DP376" s="241"/>
      <c r="DQ376" s="241"/>
      <c r="DR376" s="241"/>
      <c r="DS376" s="241"/>
      <c r="DT376" s="241"/>
      <c r="DU376" s="241"/>
      <c r="DV376" s="241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345"/>
      <c r="EM376" s="245"/>
      <c r="EN376" s="245"/>
      <c r="EO376" s="245"/>
      <c r="EP376" s="245"/>
      <c r="EQ376" s="351"/>
    </row>
    <row r="377" spans="2:147" s="243" customFormat="1" ht="11.25" customHeight="1">
      <c r="B377" s="343"/>
      <c r="C377" s="240"/>
      <c r="D377" s="240"/>
      <c r="E377" s="240"/>
      <c r="F377" s="240"/>
      <c r="G377" s="240"/>
      <c r="H377" s="240"/>
      <c r="I377" s="240"/>
      <c r="J377" s="240"/>
      <c r="K377" s="240"/>
      <c r="L377" s="240"/>
      <c r="M377" s="240" t="str">
        <f>TEXT(1000,"#,##0.#######")</f>
        <v>1,000.</v>
      </c>
      <c r="N377" s="240"/>
      <c r="O377" s="240"/>
      <c r="P377" s="240"/>
      <c r="Q377" s="240"/>
      <c r="R377" s="240" t="s">
        <v>652</v>
      </c>
      <c r="S377" s="240"/>
      <c r="T377" s="240" t="s">
        <v>711</v>
      </c>
      <c r="U377" s="240" t="s">
        <v>652</v>
      </c>
      <c r="V377" s="240"/>
      <c r="W377" s="240" t="s">
        <v>135</v>
      </c>
      <c r="X377" s="240" t="s">
        <v>652</v>
      </c>
      <c r="Y377" s="240"/>
      <c r="Z377" s="240" t="s">
        <v>835</v>
      </c>
      <c r="AA377" s="240" t="s">
        <v>652</v>
      </c>
      <c r="AB377" s="240"/>
      <c r="AC377" s="240" t="s">
        <v>692</v>
      </c>
      <c r="AD377" s="240" t="s">
        <v>652</v>
      </c>
      <c r="AE377" s="240"/>
      <c r="AF377" s="240" t="s">
        <v>774</v>
      </c>
      <c r="AG377" s="240"/>
      <c r="AH377" s="240"/>
      <c r="AI377" s="240"/>
      <c r="AJ377" s="240" t="str">
        <f>TEXT(M377,"#,##0.#######")</f>
        <v>1,000.</v>
      </c>
      <c r="AK377" s="240"/>
      <c r="AL377" s="240"/>
      <c r="AM377" s="240"/>
      <c r="AN377" s="240"/>
      <c r="AO377" s="240" t="s">
        <v>652</v>
      </c>
      <c r="AP377" s="240"/>
      <c r="AQ377" s="240" t="str">
        <f>TEXT(L373,"#,##0.#######")</f>
        <v>1.</v>
      </c>
      <c r="AR377" s="240" t="s">
        <v>652</v>
      </c>
      <c r="AS377" s="240"/>
      <c r="AT377" s="240" t="str">
        <f>TEXT(AC373,"#,##0.#######")</f>
        <v>0.45</v>
      </c>
      <c r="AU377" s="240"/>
      <c r="AV377" s="240"/>
      <c r="AW377" s="240"/>
      <c r="AX377" s="240" t="s">
        <v>652</v>
      </c>
      <c r="AY377" s="240"/>
      <c r="AZ377" s="240" t="str">
        <f>TEXT(AC375,"#,##0.#######")</f>
        <v>0.1</v>
      </c>
      <c r="BA377" s="240"/>
      <c r="BB377" s="240"/>
      <c r="BC377" s="240" t="s">
        <v>652</v>
      </c>
      <c r="BD377" s="240"/>
      <c r="BE377" s="240" t="str">
        <f>TEXT(AR373,"#,##0.#######")</f>
        <v>0.6</v>
      </c>
      <c r="BF377" s="240"/>
      <c r="BG377" s="240"/>
      <c r="BH377" s="240" t="s">
        <v>652</v>
      </c>
      <c r="BI377" s="240"/>
      <c r="BJ377" s="240" t="str">
        <f>TEXT(AR375,"#,##0.#######")</f>
        <v>1.</v>
      </c>
      <c r="BK377" s="240"/>
      <c r="BL377" s="240"/>
      <c r="BM377" s="240"/>
      <c r="BN377" s="240"/>
      <c r="BO377" s="240"/>
      <c r="BP377" s="240"/>
      <c r="BT377" s="240"/>
      <c r="BU377" s="240"/>
      <c r="BV377" s="240"/>
      <c r="BW377" s="240"/>
      <c r="BX377" s="240"/>
      <c r="BY377" s="240"/>
      <c r="BZ377" s="240"/>
      <c r="CA377" s="240"/>
      <c r="CB377" s="240"/>
      <c r="CC377" s="240"/>
      <c r="CD377" s="240"/>
      <c r="CE377" s="240"/>
      <c r="CF377" s="240"/>
      <c r="CG377" s="240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1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345"/>
      <c r="EM377" s="245"/>
      <c r="EN377" s="245"/>
      <c r="EO377" s="245"/>
      <c r="EP377" s="245"/>
      <c r="EQ377" s="351"/>
    </row>
    <row r="378" spans="2:147" s="243" customFormat="1" ht="11.25" customHeight="1">
      <c r="B378" s="343"/>
      <c r="C378" s="240"/>
      <c r="D378" s="240"/>
      <c r="E378" s="240"/>
      <c r="F378" s="240"/>
      <c r="G378" s="240"/>
      <c r="H378" s="240" t="s">
        <v>687</v>
      </c>
      <c r="I378" s="240"/>
      <c r="J378" s="240" t="s">
        <v>134</v>
      </c>
      <c r="K378" s="240"/>
      <c r="L378" s="240" t="s">
        <v>694</v>
      </c>
      <c r="M378" s="240"/>
      <c r="N378" s="240" t="s">
        <v>694</v>
      </c>
      <c r="O378" s="240"/>
      <c r="P378" s="240" t="s">
        <v>694</v>
      </c>
      <c r="Q378" s="240"/>
      <c r="R378" s="240" t="s">
        <v>694</v>
      </c>
      <c r="S378" s="240"/>
      <c r="T378" s="240" t="s">
        <v>694</v>
      </c>
      <c r="U378" s="240"/>
      <c r="V378" s="240" t="s">
        <v>694</v>
      </c>
      <c r="W378" s="240"/>
      <c r="X378" s="240" t="s">
        <v>694</v>
      </c>
      <c r="Y378" s="240"/>
      <c r="Z378" s="240" t="s">
        <v>694</v>
      </c>
      <c r="AA378" s="240"/>
      <c r="AB378" s="240" t="s">
        <v>694</v>
      </c>
      <c r="AC378" s="240"/>
      <c r="AD378" s="240" t="s">
        <v>694</v>
      </c>
      <c r="AE378" s="240"/>
      <c r="AF378" s="240" t="s">
        <v>694</v>
      </c>
      <c r="AG378" s="240"/>
      <c r="AH378" s="240" t="s">
        <v>134</v>
      </c>
      <c r="AI378" s="240"/>
      <c r="AJ378" s="240" t="s">
        <v>694</v>
      </c>
      <c r="AK378" s="240"/>
      <c r="AL378" s="240" t="s">
        <v>694</v>
      </c>
      <c r="AM378" s="240"/>
      <c r="AN378" s="240" t="s">
        <v>694</v>
      </c>
      <c r="AO378" s="240"/>
      <c r="AP378" s="240" t="s">
        <v>694</v>
      </c>
      <c r="AQ378" s="240"/>
      <c r="AR378" s="240" t="s">
        <v>694</v>
      </c>
      <c r="AS378" s="240"/>
      <c r="AT378" s="240" t="s">
        <v>694</v>
      </c>
      <c r="AU378" s="240"/>
      <c r="AV378" s="240" t="s">
        <v>694</v>
      </c>
      <c r="AW378" s="240"/>
      <c r="AX378" s="240" t="s">
        <v>694</v>
      </c>
      <c r="AY378" s="240"/>
      <c r="AZ378" s="240" t="s">
        <v>694</v>
      </c>
      <c r="BA378" s="240"/>
      <c r="BB378" s="240" t="s">
        <v>694</v>
      </c>
      <c r="BC378" s="240"/>
      <c r="BD378" s="240" t="s">
        <v>694</v>
      </c>
      <c r="BE378" s="240"/>
      <c r="BF378" s="240" t="s">
        <v>694</v>
      </c>
      <c r="BG378" s="240"/>
      <c r="BH378" s="240" t="s">
        <v>694</v>
      </c>
      <c r="BI378" s="240"/>
      <c r="BJ378" s="240" t="s">
        <v>694</v>
      </c>
      <c r="BK378" s="240"/>
      <c r="BL378" s="240"/>
      <c r="BM378" s="240" t="s">
        <v>134</v>
      </c>
      <c r="BN378" s="240"/>
      <c r="BO378" s="240" t="str">
        <f>TEXT(ROUND((1000*L373*AC373*AC375*AR373*AR375)/(L375),2),"#,##0.#######")</f>
        <v>9.</v>
      </c>
      <c r="BP378" s="240" t="s">
        <v>91</v>
      </c>
      <c r="BQ378" s="240"/>
      <c r="BR378" s="240" t="s">
        <v>139</v>
      </c>
      <c r="BS378" s="240" t="s">
        <v>618</v>
      </c>
      <c r="BT378" s="240"/>
      <c r="BU378" s="240"/>
      <c r="BV378" s="240"/>
      <c r="BW378" s="240"/>
      <c r="BX378" s="240"/>
      <c r="BY378" s="240"/>
      <c r="BZ378" s="240"/>
      <c r="CA378" s="240"/>
      <c r="CB378" s="240"/>
      <c r="CC378" s="240"/>
      <c r="CD378" s="240"/>
      <c r="CE378" s="240"/>
      <c r="CF378" s="240"/>
      <c r="CG378" s="240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1"/>
      <c r="DA378" s="241"/>
      <c r="DB378" s="241"/>
      <c r="DC378" s="241"/>
      <c r="DD378" s="241"/>
      <c r="DE378" s="241"/>
      <c r="DF378" s="241"/>
      <c r="DG378" s="241"/>
      <c r="DH378" s="241"/>
      <c r="DI378" s="241"/>
      <c r="DJ378" s="241"/>
      <c r="DK378" s="241"/>
      <c r="DL378" s="241"/>
      <c r="DM378" s="241"/>
      <c r="DN378" s="241"/>
      <c r="DO378" s="241"/>
      <c r="DP378" s="241"/>
      <c r="DQ378" s="241"/>
      <c r="DR378" s="241"/>
      <c r="DS378" s="241"/>
      <c r="DT378" s="241"/>
      <c r="DU378" s="241"/>
      <c r="DV378" s="241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345"/>
      <c r="EM378" s="245"/>
      <c r="EN378" s="245"/>
      <c r="EO378" s="245"/>
      <c r="EP378" s="245"/>
      <c r="EQ378" s="351"/>
    </row>
    <row r="379" spans="2:147" s="243" customFormat="1" ht="11.25" customHeight="1">
      <c r="B379" s="343"/>
      <c r="C379" s="240"/>
      <c r="D379" s="240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 t="s">
        <v>833</v>
      </c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 t="str">
        <f>TEXT(L375,"#,##0.#######")</f>
        <v>3.</v>
      </c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T379" s="240"/>
      <c r="BU379" s="240"/>
      <c r="BV379" s="240"/>
      <c r="BW379" s="240"/>
      <c r="BX379" s="240"/>
      <c r="BY379" s="240"/>
      <c r="BZ379" s="240"/>
      <c r="CA379" s="240"/>
      <c r="CB379" s="240"/>
      <c r="CC379" s="240"/>
      <c r="CD379" s="240"/>
      <c r="CE379" s="240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1"/>
      <c r="DA379" s="241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1"/>
      <c r="DL379" s="241"/>
      <c r="DM379" s="241"/>
      <c r="DN379" s="241"/>
      <c r="DO379" s="241"/>
      <c r="DP379" s="241"/>
      <c r="DQ379" s="241"/>
      <c r="DR379" s="241"/>
      <c r="DS379" s="241"/>
      <c r="DT379" s="241"/>
      <c r="DU379" s="241"/>
      <c r="DV379" s="241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345"/>
      <c r="EM379" s="245"/>
      <c r="EN379" s="245"/>
      <c r="EO379" s="245"/>
      <c r="EP379" s="245"/>
      <c r="EQ379" s="351"/>
    </row>
    <row r="380" spans="2:147" s="243" customFormat="1" ht="11.25" customHeight="1">
      <c r="B380" s="343"/>
      <c r="C380" s="240"/>
      <c r="D380" s="240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240"/>
      <c r="CA380" s="240"/>
      <c r="CB380" s="240"/>
      <c r="CC380" s="240"/>
      <c r="CD380" s="240"/>
      <c r="CE380" s="240"/>
      <c r="CF380" s="240"/>
      <c r="CG380" s="240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1"/>
      <c r="DA380" s="241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1"/>
      <c r="DL380" s="241"/>
      <c r="DM380" s="241"/>
      <c r="DN380" s="241"/>
      <c r="DO380" s="241"/>
      <c r="DP380" s="241"/>
      <c r="DQ380" s="241"/>
      <c r="DR380" s="241"/>
      <c r="DS380" s="241"/>
      <c r="DT380" s="241"/>
      <c r="DU380" s="241"/>
      <c r="DV380" s="241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345"/>
      <c r="EM380" s="245"/>
      <c r="EN380" s="245"/>
      <c r="EO380" s="245"/>
      <c r="EP380" s="245"/>
      <c r="EQ380" s="351"/>
    </row>
    <row r="381" spans="2:147" s="243" customFormat="1" ht="11.25" customHeight="1">
      <c r="B381" s="343"/>
      <c r="C381" s="240"/>
      <c r="D381" s="240"/>
      <c r="E381" s="240"/>
      <c r="F381" s="240"/>
      <c r="G381" s="240"/>
      <c r="H381" s="240" t="s">
        <v>616</v>
      </c>
      <c r="I381" s="240"/>
      <c r="J381" s="240"/>
      <c r="K381" s="240"/>
      <c r="L381" s="240"/>
      <c r="M381" s="240"/>
      <c r="N381" s="240"/>
      <c r="O381" s="240" t="s">
        <v>132</v>
      </c>
      <c r="P381" s="240"/>
      <c r="Q381" s="1780" t="e">
        <f>#REF!</f>
        <v>#REF!</v>
      </c>
      <c r="R381" s="1780"/>
      <c r="S381" s="1780"/>
      <c r="T381" s="1780"/>
      <c r="U381" s="1780"/>
      <c r="V381" s="240"/>
      <c r="W381" s="240"/>
      <c r="X381" s="240"/>
      <c r="Y381" s="240"/>
      <c r="Z381" s="240" t="s">
        <v>683</v>
      </c>
      <c r="AA381" s="240"/>
      <c r="AB381" s="240"/>
      <c r="AC381" s="240" t="str">
        <f>TEXT(BO378,"#,##0.#######")</f>
        <v>9.</v>
      </c>
      <c r="AD381" s="240"/>
      <c r="AE381" s="240"/>
      <c r="AF381" s="240"/>
      <c r="AG381" s="240" t="s">
        <v>134</v>
      </c>
      <c r="AH381" s="240"/>
      <c r="AI381" s="240" t="e">
        <f>TEXT(TRUNC(Q381/BO378,1),"#,##0.#")</f>
        <v>#REF!</v>
      </c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240"/>
      <c r="CA381" s="240"/>
      <c r="CB381" s="240"/>
      <c r="CC381" s="240"/>
      <c r="CD381" s="240"/>
      <c r="CE381" s="240"/>
      <c r="CF381" s="240"/>
      <c r="CG381" s="240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1"/>
      <c r="DA381" s="241"/>
      <c r="DB381" s="241"/>
      <c r="DC381" s="241"/>
      <c r="DD381" s="241"/>
      <c r="DE381" s="241"/>
      <c r="DF381" s="241"/>
      <c r="DG381" s="241"/>
      <c r="DH381" s="241"/>
      <c r="DI381" s="241"/>
      <c r="DJ381" s="241"/>
      <c r="DK381" s="241"/>
      <c r="DL381" s="241"/>
      <c r="DM381" s="241"/>
      <c r="DN381" s="241"/>
      <c r="DO381" s="241"/>
      <c r="DP381" s="241"/>
      <c r="DQ381" s="241"/>
      <c r="DR381" s="241"/>
      <c r="DS381" s="241"/>
      <c r="DT381" s="241"/>
      <c r="DU381" s="241"/>
      <c r="DV381" s="241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345"/>
      <c r="EM381" s="245"/>
      <c r="EN381" s="245"/>
      <c r="EO381" s="245"/>
      <c r="EP381" s="245"/>
      <c r="EQ381" s="351"/>
    </row>
    <row r="382" spans="2:147" s="243" customFormat="1" ht="11.25" customHeight="1">
      <c r="B382" s="343"/>
      <c r="C382" s="240"/>
      <c r="D382" s="240"/>
      <c r="E382" s="240"/>
      <c r="F382" s="240"/>
      <c r="G382" s="240"/>
      <c r="H382" s="240" t="s">
        <v>617</v>
      </c>
      <c r="I382" s="240"/>
      <c r="J382" s="240"/>
      <c r="K382" s="240"/>
      <c r="L382" s="240"/>
      <c r="M382" s="240"/>
      <c r="N382" s="240"/>
      <c r="O382" s="240" t="s">
        <v>132</v>
      </c>
      <c r="P382" s="240"/>
      <c r="Q382" s="1780" t="e">
        <f>#REF!</f>
        <v>#REF!</v>
      </c>
      <c r="R382" s="1780"/>
      <c r="S382" s="1780"/>
      <c r="T382" s="1780"/>
      <c r="U382" s="1780"/>
      <c r="V382" s="240"/>
      <c r="W382" s="240"/>
      <c r="X382" s="240"/>
      <c r="Y382" s="240"/>
      <c r="Z382" s="240" t="s">
        <v>683</v>
      </c>
      <c r="AA382" s="240"/>
      <c r="AB382" s="240"/>
      <c r="AC382" s="240" t="str">
        <f>TEXT(BO378,"#,##0.#######")</f>
        <v>9.</v>
      </c>
      <c r="AD382" s="240"/>
      <c r="AE382" s="240"/>
      <c r="AF382" s="240"/>
      <c r="AG382" s="240" t="s">
        <v>134</v>
      </c>
      <c r="AH382" s="240"/>
      <c r="AI382" s="240" t="e">
        <f>TEXT(TRUNC(Q382/BO378,1),"#,##0.#")</f>
        <v>#REF!</v>
      </c>
      <c r="AJ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240"/>
      <c r="CA382" s="240"/>
      <c r="CB382" s="240"/>
      <c r="CC382" s="240"/>
      <c r="CD382" s="240"/>
      <c r="CE382" s="240"/>
      <c r="CF382" s="240"/>
      <c r="CG382" s="240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41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345"/>
      <c r="EM382" s="245"/>
      <c r="EN382" s="245"/>
      <c r="EO382" s="245"/>
      <c r="EP382" s="245"/>
      <c r="EQ382" s="351"/>
    </row>
    <row r="383" spans="2:147" s="243" customFormat="1" ht="11.25" customHeight="1">
      <c r="B383" s="343"/>
      <c r="C383" s="240"/>
      <c r="D383" s="240"/>
      <c r="E383" s="240"/>
      <c r="F383" s="240"/>
      <c r="G383" s="240"/>
      <c r="H383" s="240" t="s">
        <v>679</v>
      </c>
      <c r="I383" s="240"/>
      <c r="J383" s="240" t="s">
        <v>680</v>
      </c>
      <c r="K383" s="240"/>
      <c r="M383" s="240"/>
      <c r="N383" s="240"/>
      <c r="O383" s="240" t="s">
        <v>132</v>
      </c>
      <c r="P383" s="240"/>
      <c r="Q383" s="1780" t="e">
        <f>#REF!</f>
        <v>#REF!</v>
      </c>
      <c r="R383" s="1780"/>
      <c r="S383" s="1780"/>
      <c r="T383" s="1780"/>
      <c r="U383" s="1780"/>
      <c r="V383" s="240"/>
      <c r="W383" s="240"/>
      <c r="X383" s="240"/>
      <c r="Y383" s="240"/>
      <c r="Z383" s="240" t="s">
        <v>683</v>
      </c>
      <c r="AA383" s="240"/>
      <c r="AB383" s="240"/>
      <c r="AC383" s="240" t="str">
        <f>TEXT(BO378,"#,##0.#######")</f>
        <v>9.</v>
      </c>
      <c r="AD383" s="240"/>
      <c r="AE383" s="240"/>
      <c r="AF383" s="240"/>
      <c r="AG383" s="240" t="s">
        <v>134</v>
      </c>
      <c r="AH383" s="240"/>
      <c r="AI383" s="240" t="e">
        <f>TEXT(TRUNC(Q383/BO378,1),"#,##0.#")</f>
        <v>#REF!</v>
      </c>
      <c r="AJ383" s="240"/>
      <c r="AK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240"/>
      <c r="CA383" s="240"/>
      <c r="CB383" s="240"/>
      <c r="CC383" s="240"/>
      <c r="CD383" s="240"/>
      <c r="CE383" s="240"/>
      <c r="CF383" s="240"/>
      <c r="CG383" s="240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1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345"/>
      <c r="EM383" s="245"/>
      <c r="EN383" s="245"/>
      <c r="EO383" s="245"/>
      <c r="EP383" s="245"/>
      <c r="EQ383" s="351"/>
    </row>
    <row r="384" spans="2:147" s="243" customFormat="1" ht="11.25" customHeight="1">
      <c r="B384" s="343"/>
      <c r="C384" s="240"/>
      <c r="D384" s="240"/>
      <c r="E384" s="240"/>
      <c r="F384" s="240"/>
      <c r="G384" s="240"/>
      <c r="H384" s="240" t="s">
        <v>688</v>
      </c>
      <c r="I384" s="240"/>
      <c r="J384" s="240" t="s">
        <v>96</v>
      </c>
      <c r="K384" s="240"/>
      <c r="M384" s="240"/>
      <c r="N384" s="240"/>
      <c r="O384" s="240" t="s">
        <v>132</v>
      </c>
      <c r="P384" s="240"/>
      <c r="Q384" s="240" t="e">
        <f>TEXT(AI381+AI382+AI383,"#,##0.#######")</f>
        <v>#REF!</v>
      </c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240"/>
      <c r="CA384" s="240"/>
      <c r="CB384" s="240"/>
      <c r="CC384" s="240"/>
      <c r="CD384" s="240"/>
      <c r="CE384" s="240"/>
      <c r="CF384" s="240"/>
      <c r="CG384" s="240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1"/>
      <c r="DA384" s="241"/>
      <c r="DB384" s="241"/>
      <c r="DC384" s="241"/>
      <c r="DD384" s="241"/>
      <c r="DE384" s="241"/>
      <c r="DF384" s="241"/>
      <c r="DG384" s="241"/>
      <c r="DH384" s="241"/>
      <c r="DI384" s="241"/>
      <c r="DJ384" s="241"/>
      <c r="DK384" s="241"/>
      <c r="DL384" s="241"/>
      <c r="DM384" s="241"/>
      <c r="DN384" s="241"/>
      <c r="DO384" s="241"/>
      <c r="DP384" s="241"/>
      <c r="DQ384" s="241"/>
      <c r="DR384" s="241"/>
      <c r="DS384" s="241"/>
      <c r="DT384" s="241"/>
      <c r="DU384" s="241"/>
      <c r="DV384" s="241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345"/>
      <c r="EM384" s="245" t="e">
        <f>EN384+EO384+EP384</f>
        <v>#REF!</v>
      </c>
      <c r="EN384" s="245" t="e">
        <f>TEXT(AI381,"#,###.0")</f>
        <v>#REF!</v>
      </c>
      <c r="EO384" s="245" t="e">
        <f>TEXT(AI382,"#,###.0")</f>
        <v>#REF!</v>
      </c>
      <c r="EP384" s="245" t="e">
        <f>TEXT(AI383,"#,###.0")</f>
        <v>#REF!</v>
      </c>
      <c r="EQ384" s="351"/>
    </row>
    <row r="385" spans="1:150" s="243" customFormat="1" ht="11.25" customHeight="1">
      <c r="B385" s="343"/>
      <c r="C385" s="240"/>
      <c r="D385" s="240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240"/>
      <c r="CA385" s="240"/>
      <c r="CB385" s="240"/>
      <c r="CC385" s="240"/>
      <c r="CD385" s="240"/>
      <c r="CE385" s="240"/>
      <c r="CF385" s="240"/>
      <c r="CG385" s="240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1"/>
      <c r="DA385" s="241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1"/>
      <c r="DL385" s="241"/>
      <c r="DM385" s="241"/>
      <c r="DN385" s="241"/>
      <c r="DO385" s="241"/>
      <c r="DP385" s="241"/>
      <c r="DQ385" s="241"/>
      <c r="DR385" s="241"/>
      <c r="DS385" s="241"/>
      <c r="DT385" s="241"/>
      <c r="DU385" s="241"/>
      <c r="DV385" s="241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345"/>
      <c r="EM385" s="245"/>
      <c r="EN385" s="245"/>
      <c r="EO385" s="245"/>
      <c r="EP385" s="245"/>
      <c r="EQ385" s="351"/>
    </row>
    <row r="386" spans="1:150" s="243" customFormat="1" ht="11.25" customHeight="1">
      <c r="B386" s="343"/>
      <c r="C386" s="240"/>
      <c r="D386" s="240"/>
      <c r="E386" s="240" t="s">
        <v>695</v>
      </c>
      <c r="F386" s="240"/>
      <c r="G386" s="240"/>
      <c r="H386" s="240" t="s">
        <v>678</v>
      </c>
      <c r="I386" s="240"/>
      <c r="J386" s="240"/>
      <c r="K386" s="240"/>
      <c r="L386" s="240" t="s">
        <v>96</v>
      </c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240"/>
      <c r="CA386" s="240"/>
      <c r="CB386" s="240"/>
      <c r="CC386" s="240"/>
      <c r="CD386" s="240"/>
      <c r="CE386" s="240"/>
      <c r="CF386" s="240"/>
      <c r="CG386" s="240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1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345"/>
      <c r="EM386" s="245"/>
      <c r="EN386" s="245"/>
      <c r="EO386" s="245"/>
      <c r="EP386" s="245"/>
      <c r="EQ386" s="351"/>
    </row>
    <row r="387" spans="1:150" s="243" customFormat="1" ht="11.25" customHeight="1">
      <c r="B387" s="343"/>
      <c r="C387" s="240"/>
      <c r="D387" s="240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240"/>
      <c r="CA387" s="240"/>
      <c r="CB387" s="240"/>
      <c r="CC387" s="240"/>
      <c r="CD387" s="240"/>
      <c r="CE387" s="240"/>
      <c r="CF387" s="240"/>
      <c r="CG387" s="240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1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345"/>
      <c r="EM387" s="245"/>
      <c r="EN387" s="245"/>
      <c r="EO387" s="245"/>
      <c r="EP387" s="245"/>
      <c r="EQ387" s="351"/>
    </row>
    <row r="388" spans="1:150" s="243" customFormat="1" ht="11.25" customHeight="1">
      <c r="B388" s="343"/>
      <c r="C388" s="240"/>
      <c r="D388" s="240"/>
      <c r="E388" s="240"/>
      <c r="F388" s="240"/>
      <c r="G388" s="240"/>
      <c r="H388" s="240"/>
      <c r="I388" s="240" t="s">
        <v>616</v>
      </c>
      <c r="J388" s="240"/>
      <c r="K388" s="240"/>
      <c r="L388" s="240"/>
      <c r="M388" s="240"/>
      <c r="N388" s="240"/>
      <c r="O388" s="240"/>
      <c r="P388" s="240" t="s">
        <v>132</v>
      </c>
      <c r="Q388" s="240"/>
      <c r="R388" s="240" t="e">
        <f>TEXT(EN365,"#,###.##")</f>
        <v>#REF!</v>
      </c>
      <c r="S388" s="240"/>
      <c r="T388" s="240"/>
      <c r="U388" s="240"/>
      <c r="V388" s="240"/>
      <c r="W388" s="240"/>
      <c r="X388" s="240" t="s">
        <v>130</v>
      </c>
      <c r="Y388" s="240"/>
      <c r="Z388" s="240" t="str">
        <f>TEXT(EN369,"#,###.##")</f>
        <v>3,141.3</v>
      </c>
      <c r="AA388" s="240"/>
      <c r="AB388" s="240"/>
      <c r="AC388" s="240"/>
      <c r="AD388" s="240"/>
      <c r="AE388" s="240"/>
      <c r="AF388" s="240" t="s">
        <v>130</v>
      </c>
      <c r="AG388" s="240"/>
      <c r="AH388" s="240" t="e">
        <f>TEXT(EN384,"#,###.##")</f>
        <v>#REF!</v>
      </c>
      <c r="AI388" s="240"/>
      <c r="AJ388" s="240"/>
      <c r="AK388" s="240"/>
      <c r="AL388" s="240"/>
      <c r="AM388" s="240"/>
      <c r="AN388" s="240" t="s">
        <v>134</v>
      </c>
      <c r="AO388" s="240"/>
      <c r="AP388" s="240"/>
      <c r="AQ388" s="240" t="e">
        <f>TEXT(TRUNC(EN365+EN369+EN384,0),"#,##0")</f>
        <v>#REF!</v>
      </c>
      <c r="AR388" s="240"/>
      <c r="AS388" s="240"/>
      <c r="AV388" s="240"/>
      <c r="AW388" s="240"/>
      <c r="AX388" s="240"/>
      <c r="AY388" s="240"/>
      <c r="AZ388" s="240"/>
      <c r="BA388" s="240"/>
      <c r="BB388" s="240"/>
      <c r="BC388" s="240"/>
      <c r="BD388" s="240"/>
      <c r="BE388" s="240"/>
      <c r="BF388" s="240"/>
      <c r="BG388" s="240"/>
      <c r="BH388" s="240"/>
      <c r="BI388" s="240"/>
      <c r="BJ388" s="240"/>
      <c r="BK388" s="240"/>
      <c r="BL388" s="240"/>
      <c r="BM388" s="240"/>
      <c r="BN388" s="240"/>
      <c r="BO388" s="240"/>
      <c r="BP388" s="240"/>
      <c r="BQ388" s="240"/>
      <c r="BR388" s="240"/>
      <c r="BS388" s="240"/>
      <c r="BT388" s="240"/>
      <c r="BU388" s="240"/>
      <c r="BV388" s="240"/>
      <c r="BW388" s="240"/>
      <c r="BX388" s="240"/>
      <c r="BY388" s="240"/>
      <c r="BZ388" s="240"/>
      <c r="CA388" s="240"/>
      <c r="CB388" s="240"/>
      <c r="CC388" s="240"/>
      <c r="CD388" s="240"/>
      <c r="CE388" s="240"/>
      <c r="CF388" s="240"/>
      <c r="CG388" s="240"/>
      <c r="CH388" s="240"/>
      <c r="CI388" s="240"/>
      <c r="CJ388" s="240"/>
      <c r="CK388" s="240"/>
      <c r="CL388" s="240"/>
      <c r="CM388" s="240"/>
      <c r="CN388" s="240"/>
      <c r="CO388" s="240"/>
      <c r="CP388" s="240"/>
      <c r="CQ388" s="240"/>
      <c r="CR388" s="240"/>
      <c r="CS388" s="240"/>
      <c r="CT388" s="240"/>
      <c r="CU388" s="240"/>
      <c r="CV388" s="240"/>
      <c r="CW388" s="240"/>
      <c r="CX388" s="240"/>
      <c r="CY388" s="240"/>
      <c r="CZ388" s="241"/>
      <c r="DA388" s="241"/>
      <c r="DB388" s="241"/>
      <c r="DC388" s="241"/>
      <c r="DD388" s="241"/>
      <c r="DE388" s="241"/>
      <c r="DF388" s="241"/>
      <c r="DG388" s="241"/>
      <c r="DH388" s="241"/>
      <c r="DI388" s="241"/>
      <c r="DJ388" s="241"/>
      <c r="DK388" s="241"/>
      <c r="DL388" s="241"/>
      <c r="DM388" s="241"/>
      <c r="DN388" s="241"/>
      <c r="DO388" s="241"/>
      <c r="DP388" s="241"/>
      <c r="DQ388" s="241"/>
      <c r="DR388" s="241"/>
      <c r="DS388" s="241"/>
      <c r="DT388" s="241"/>
      <c r="DU388" s="241"/>
      <c r="DV388" s="241"/>
      <c r="DW388" s="241"/>
      <c r="DX388" s="241"/>
      <c r="DY388" s="241"/>
      <c r="DZ388" s="241"/>
      <c r="EA388" s="241"/>
      <c r="EB388" s="241"/>
      <c r="EC388" s="241"/>
      <c r="ED388" s="241"/>
      <c r="EE388" s="241"/>
      <c r="EF388" s="241"/>
      <c r="EG388" s="241"/>
      <c r="EH388" s="241"/>
      <c r="EI388" s="241"/>
      <c r="EJ388" s="241"/>
      <c r="EK388" s="241"/>
      <c r="EL388" s="345"/>
      <c r="EM388" s="245"/>
      <c r="EN388" s="245"/>
      <c r="EO388" s="245"/>
      <c r="EP388" s="245"/>
      <c r="EQ388" s="351"/>
    </row>
    <row r="389" spans="1:150" s="243" customFormat="1" ht="11.25" customHeight="1">
      <c r="B389" s="343"/>
      <c r="C389" s="240"/>
      <c r="D389" s="240"/>
      <c r="E389" s="240"/>
      <c r="F389" s="240"/>
      <c r="G389" s="240"/>
      <c r="H389" s="240"/>
      <c r="I389" s="240" t="s">
        <v>617</v>
      </c>
      <c r="J389" s="240"/>
      <c r="K389" s="240"/>
      <c r="L389" s="240"/>
      <c r="M389" s="240"/>
      <c r="N389" s="240"/>
      <c r="O389" s="240"/>
      <c r="P389" s="240" t="s">
        <v>132</v>
      </c>
      <c r="Q389" s="240"/>
      <c r="R389" s="240" t="e">
        <f>TEXT(EO365,"#,###.##")</f>
        <v>#REF!</v>
      </c>
      <c r="S389" s="240"/>
      <c r="T389" s="240"/>
      <c r="U389" s="240"/>
      <c r="V389" s="240"/>
      <c r="W389" s="240"/>
      <c r="X389" s="240" t="s">
        <v>130</v>
      </c>
      <c r="Y389" s="240"/>
      <c r="Z389" s="240" t="e">
        <f>TEXT(EO384,"#,###.##")</f>
        <v>#REF!</v>
      </c>
      <c r="AA389" s="240"/>
      <c r="AB389" s="240"/>
      <c r="AC389" s="240"/>
      <c r="AD389" s="240"/>
      <c r="AE389" s="240"/>
      <c r="AF389" s="240" t="s">
        <v>134</v>
      </c>
      <c r="AG389" s="240"/>
      <c r="AH389" s="240"/>
      <c r="AI389" s="240" t="e">
        <f>TEXT(TRUNC(EO365+EO384,0),"#,##0")</f>
        <v>#REF!</v>
      </c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240"/>
      <c r="CA389" s="240"/>
      <c r="CB389" s="240"/>
      <c r="CC389" s="240"/>
      <c r="CD389" s="240"/>
      <c r="CE389" s="240"/>
      <c r="CF389" s="240"/>
      <c r="CG389" s="240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1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345"/>
      <c r="EM389" s="245"/>
      <c r="EN389" s="245"/>
      <c r="EO389" s="245"/>
      <c r="EP389" s="245"/>
      <c r="EQ389" s="351"/>
    </row>
    <row r="390" spans="1:150" s="243" customFormat="1" ht="11.25" customHeight="1">
      <c r="B390" s="343"/>
      <c r="C390" s="240"/>
      <c r="D390" s="240"/>
      <c r="E390" s="240"/>
      <c r="F390" s="240"/>
      <c r="G390" s="240"/>
      <c r="H390" s="240"/>
      <c r="I390" s="240" t="s">
        <v>679</v>
      </c>
      <c r="J390" s="240"/>
      <c r="K390" s="240" t="s">
        <v>680</v>
      </c>
      <c r="L390" s="240"/>
      <c r="M390" s="240"/>
      <c r="N390" s="240"/>
      <c r="O390" s="240"/>
      <c r="P390" s="240" t="s">
        <v>132</v>
      </c>
      <c r="Q390" s="240"/>
      <c r="R390" s="240" t="e">
        <f>TEXT(EP365,"#,###.##")</f>
        <v>#REF!</v>
      </c>
      <c r="S390" s="240"/>
      <c r="T390" s="240"/>
      <c r="U390" s="240"/>
      <c r="V390" s="240"/>
      <c r="W390" s="240"/>
      <c r="X390" s="240" t="s">
        <v>130</v>
      </c>
      <c r="Y390" s="240"/>
      <c r="Z390" s="240" t="e">
        <f>TEXT(EP384,"#,###.##")</f>
        <v>#REF!</v>
      </c>
      <c r="AA390" s="240"/>
      <c r="AB390" s="240"/>
      <c r="AC390" s="240"/>
      <c r="AD390" s="240"/>
      <c r="AF390" s="240" t="s">
        <v>134</v>
      </c>
      <c r="AG390" s="240"/>
      <c r="AH390" s="240"/>
      <c r="AI390" s="240" t="e">
        <f>TEXT(TRUNC(EP365+EP384,0),"#,##0")</f>
        <v>#REF!</v>
      </c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240"/>
      <c r="CC390" s="240"/>
      <c r="CD390" s="240"/>
      <c r="CE390" s="240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1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345"/>
      <c r="EM390" s="245"/>
      <c r="EN390" s="245"/>
      <c r="EO390" s="245"/>
      <c r="EP390" s="245"/>
      <c r="EQ390" s="351"/>
    </row>
    <row r="391" spans="1:150" s="243" customFormat="1" ht="11.25" customHeight="1">
      <c r="B391" s="343"/>
      <c r="C391" s="240"/>
      <c r="D391" s="240"/>
      <c r="E391" s="240"/>
      <c r="F391" s="240"/>
      <c r="G391" s="240"/>
      <c r="H391" s="240"/>
      <c r="I391" s="240"/>
      <c r="J391" s="240"/>
      <c r="K391" s="240" t="s">
        <v>96</v>
      </c>
      <c r="L391" s="240"/>
      <c r="M391" s="240"/>
      <c r="N391" s="240"/>
      <c r="O391" s="240"/>
      <c r="P391" s="240" t="s">
        <v>132</v>
      </c>
      <c r="Q391" s="240"/>
      <c r="R391" s="240" t="e">
        <f>TEXT(AQ388+AI389+AI390,"#,##0")</f>
        <v>#REF!</v>
      </c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240"/>
      <c r="CC391" s="240"/>
      <c r="CD391" s="240"/>
      <c r="CE391" s="240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1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345"/>
      <c r="EM391" s="250" t="e">
        <f>EN391+EO391+EP391</f>
        <v>#REF!</v>
      </c>
      <c r="EN391" s="245" t="e">
        <f>TEXT(AQ388,"#,##0")</f>
        <v>#REF!</v>
      </c>
      <c r="EO391" s="245" t="e">
        <f>TEXT(AI389,"#,##0")</f>
        <v>#REF!</v>
      </c>
      <c r="EP391" s="245" t="e">
        <f>TEXT(AI390,"#,##0")</f>
        <v>#REF!</v>
      </c>
      <c r="EQ391" s="351"/>
    </row>
    <row r="392" spans="1:150" s="243" customFormat="1" ht="11.25" customHeight="1">
      <c r="B392" s="343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240"/>
      <c r="CC392" s="240"/>
      <c r="CD392" s="240"/>
      <c r="CE392" s="240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1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345"/>
      <c r="EM392" s="245"/>
      <c r="EN392" s="245"/>
      <c r="EO392" s="245"/>
      <c r="EP392" s="245"/>
      <c r="EQ392" s="351"/>
    </row>
    <row r="393" spans="1:150" ht="11.45" customHeight="1">
      <c r="B393" s="337"/>
      <c r="C393" s="338"/>
      <c r="D393" s="338"/>
      <c r="E393" s="338"/>
      <c r="F393" s="338"/>
      <c r="G393" s="338"/>
      <c r="H393" s="338"/>
      <c r="I393" s="338"/>
      <c r="J393" s="338"/>
      <c r="K393" s="338"/>
      <c r="L393" s="339"/>
      <c r="M393" s="339"/>
      <c r="N393" s="339"/>
      <c r="O393" s="338"/>
      <c r="P393" s="338"/>
      <c r="Q393" s="338"/>
      <c r="R393" s="338"/>
      <c r="S393" s="338"/>
      <c r="T393" s="338"/>
      <c r="U393" s="338"/>
      <c r="V393" s="338"/>
      <c r="W393" s="338"/>
      <c r="X393" s="338"/>
      <c r="Y393" s="338"/>
      <c r="Z393" s="338"/>
      <c r="AA393" s="338"/>
      <c r="AB393" s="338"/>
      <c r="AC393" s="338"/>
      <c r="AD393" s="338"/>
      <c r="AE393" s="338"/>
      <c r="AF393" s="338"/>
      <c r="AG393" s="338"/>
      <c r="AH393" s="338"/>
      <c r="AI393" s="338"/>
      <c r="AJ393" s="338"/>
      <c r="AK393" s="338"/>
      <c r="AL393" s="338"/>
      <c r="AM393" s="338"/>
      <c r="AN393" s="338"/>
      <c r="AO393" s="338"/>
      <c r="AP393" s="338"/>
      <c r="AQ393" s="338"/>
      <c r="AR393" s="338"/>
      <c r="AS393" s="338"/>
      <c r="AT393" s="338"/>
      <c r="AU393" s="338"/>
      <c r="AV393" s="338"/>
      <c r="AW393" s="338"/>
      <c r="AX393" s="338"/>
      <c r="AY393" s="338"/>
      <c r="AZ393" s="338"/>
      <c r="BA393" s="338"/>
      <c r="BB393" s="338"/>
      <c r="BC393" s="338"/>
      <c r="BD393" s="338"/>
      <c r="BE393" s="338"/>
      <c r="BF393" s="338"/>
      <c r="BG393" s="338"/>
      <c r="BH393" s="338"/>
      <c r="BI393" s="338"/>
      <c r="BJ393" s="338"/>
      <c r="BK393" s="338"/>
      <c r="BL393" s="338"/>
      <c r="BM393" s="338"/>
      <c r="BN393" s="338"/>
      <c r="BO393" s="338"/>
      <c r="BP393" s="338"/>
      <c r="BQ393" s="338"/>
      <c r="BR393" s="338"/>
      <c r="BS393" s="339"/>
      <c r="BT393" s="338"/>
      <c r="BU393" s="338"/>
      <c r="BV393" s="338"/>
      <c r="BW393" s="338"/>
      <c r="BX393" s="338"/>
      <c r="BY393" s="338"/>
      <c r="BZ393" s="338"/>
      <c r="CA393" s="338"/>
      <c r="CB393" s="338"/>
      <c r="CC393" s="338"/>
      <c r="CD393" s="338"/>
      <c r="CE393" s="338"/>
      <c r="CF393" s="338"/>
      <c r="CG393" s="338"/>
      <c r="CH393" s="338"/>
      <c r="CI393" s="338"/>
      <c r="CJ393" s="338"/>
      <c r="CK393" s="338"/>
      <c r="CL393" s="338"/>
      <c r="CM393" s="338"/>
      <c r="CN393" s="338"/>
      <c r="CO393" s="338"/>
      <c r="CP393" s="338"/>
      <c r="CQ393" s="338"/>
      <c r="CR393" s="338"/>
      <c r="CS393" s="338"/>
      <c r="CT393" s="338"/>
      <c r="CU393" s="338"/>
      <c r="CV393" s="338"/>
      <c r="CW393" s="338"/>
      <c r="CX393" s="338"/>
      <c r="CY393" s="338"/>
      <c r="CZ393" s="338"/>
      <c r="DA393" s="338"/>
      <c r="DB393" s="338"/>
      <c r="DC393" s="338"/>
      <c r="DD393" s="338"/>
      <c r="DE393" s="338"/>
      <c r="DF393" s="338"/>
      <c r="DG393" s="338"/>
      <c r="DH393" s="338"/>
      <c r="DI393" s="338"/>
      <c r="DJ393" s="338"/>
      <c r="DK393" s="338"/>
      <c r="DL393" s="338"/>
      <c r="DM393" s="338"/>
      <c r="DN393" s="338"/>
      <c r="DO393" s="338"/>
      <c r="DP393" s="338"/>
      <c r="DQ393" s="338"/>
      <c r="DR393" s="338"/>
      <c r="DS393" s="338"/>
      <c r="DT393" s="338"/>
      <c r="DU393" s="338"/>
      <c r="DV393" s="338"/>
      <c r="DW393" s="338"/>
      <c r="DX393" s="338"/>
      <c r="DY393" s="338"/>
      <c r="DZ393" s="338"/>
      <c r="EA393" s="338"/>
      <c r="EB393" s="338"/>
      <c r="EC393" s="338"/>
      <c r="ED393" s="338"/>
      <c r="EE393" s="338"/>
      <c r="EF393" s="338"/>
      <c r="EG393" s="338"/>
      <c r="EH393" s="338"/>
      <c r="EI393" s="338"/>
      <c r="EJ393" s="338"/>
      <c r="EK393" s="338"/>
      <c r="EL393" s="340"/>
      <c r="EM393" s="341"/>
      <c r="EN393" s="341"/>
      <c r="EO393" s="341"/>
      <c r="EP393" s="341"/>
      <c r="EQ393" s="342"/>
    </row>
    <row r="394" spans="1:150" ht="11.45" customHeight="1">
      <c r="B394" s="337"/>
      <c r="C394" s="338"/>
      <c r="D394" s="338"/>
      <c r="E394" s="338"/>
      <c r="F394" s="338"/>
      <c r="G394" s="338"/>
      <c r="H394" s="338"/>
      <c r="I394" s="338"/>
      <c r="J394" s="338"/>
      <c r="K394" s="338"/>
      <c r="L394" s="339"/>
      <c r="M394" s="339"/>
      <c r="N394" s="339"/>
      <c r="O394" s="338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8"/>
      <c r="AU394" s="338"/>
      <c r="AV394" s="338"/>
      <c r="AW394" s="338"/>
      <c r="AX394" s="338"/>
      <c r="AY394" s="338"/>
      <c r="AZ394" s="338"/>
      <c r="BA394" s="338"/>
      <c r="BB394" s="338"/>
      <c r="BC394" s="338"/>
      <c r="BD394" s="338"/>
      <c r="BE394" s="338"/>
      <c r="BF394" s="338"/>
      <c r="BG394" s="338"/>
      <c r="BH394" s="338"/>
      <c r="BI394" s="338"/>
      <c r="BJ394" s="338"/>
      <c r="BK394" s="338"/>
      <c r="BL394" s="338"/>
      <c r="BM394" s="338"/>
      <c r="BN394" s="338"/>
      <c r="BO394" s="338"/>
      <c r="BP394" s="338"/>
      <c r="BQ394" s="338"/>
      <c r="BR394" s="338"/>
      <c r="BS394" s="339"/>
      <c r="BT394" s="338"/>
      <c r="BU394" s="338"/>
      <c r="BV394" s="338"/>
      <c r="BW394" s="338"/>
      <c r="BX394" s="338"/>
      <c r="BY394" s="338"/>
      <c r="BZ394" s="338"/>
      <c r="CA394" s="338"/>
      <c r="CB394" s="338"/>
      <c r="CC394" s="338"/>
      <c r="CD394" s="338"/>
      <c r="CE394" s="338"/>
      <c r="CF394" s="338"/>
      <c r="CG394" s="338"/>
      <c r="CH394" s="338"/>
      <c r="CI394" s="338"/>
      <c r="CJ394" s="338"/>
      <c r="CK394" s="338"/>
      <c r="CL394" s="338"/>
      <c r="CM394" s="338"/>
      <c r="CN394" s="338"/>
      <c r="CO394" s="338"/>
      <c r="CP394" s="338"/>
      <c r="CQ394" s="338"/>
      <c r="CR394" s="338"/>
      <c r="CS394" s="338"/>
      <c r="CT394" s="338"/>
      <c r="CU394" s="338"/>
      <c r="CV394" s="338"/>
      <c r="CW394" s="338"/>
      <c r="CX394" s="338"/>
      <c r="CY394" s="338"/>
      <c r="CZ394" s="338"/>
      <c r="DA394" s="338"/>
      <c r="DB394" s="338"/>
      <c r="DC394" s="338"/>
      <c r="DD394" s="338"/>
      <c r="DE394" s="338"/>
      <c r="DF394" s="338"/>
      <c r="DG394" s="338"/>
      <c r="DH394" s="338"/>
      <c r="DI394" s="338"/>
      <c r="DJ394" s="338"/>
      <c r="DK394" s="338"/>
      <c r="DL394" s="338"/>
      <c r="DM394" s="338"/>
      <c r="DN394" s="338"/>
      <c r="DO394" s="338"/>
      <c r="DP394" s="338"/>
      <c r="DQ394" s="338"/>
      <c r="DR394" s="338"/>
      <c r="DS394" s="338"/>
      <c r="DT394" s="338"/>
      <c r="DU394" s="338"/>
      <c r="DV394" s="338"/>
      <c r="DW394" s="338"/>
      <c r="DX394" s="338"/>
      <c r="DY394" s="338"/>
      <c r="DZ394" s="338"/>
      <c r="EA394" s="338"/>
      <c r="EB394" s="338"/>
      <c r="EC394" s="338"/>
      <c r="ED394" s="338"/>
      <c r="EE394" s="338"/>
      <c r="EF394" s="338"/>
      <c r="EG394" s="338"/>
      <c r="EH394" s="338"/>
      <c r="EI394" s="338"/>
      <c r="EJ394" s="338"/>
      <c r="EK394" s="338"/>
      <c r="EL394" s="340"/>
      <c r="EM394" s="341"/>
      <c r="EN394" s="341"/>
      <c r="EO394" s="341"/>
      <c r="EP394" s="341"/>
      <c r="EQ394" s="342"/>
    </row>
    <row r="395" spans="1:150" ht="11.45" customHeight="1">
      <c r="B395" s="346"/>
      <c r="C395" s="347"/>
      <c r="D395" s="347"/>
      <c r="E395" s="347"/>
      <c r="F395" s="347"/>
      <c r="G395" s="347"/>
      <c r="H395" s="347"/>
      <c r="I395" s="347"/>
      <c r="J395" s="347"/>
      <c r="K395" s="347"/>
      <c r="L395" s="348"/>
      <c r="M395" s="348"/>
      <c r="N395" s="348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  <c r="AL395" s="347"/>
      <c r="AM395" s="347"/>
      <c r="AN395" s="347"/>
      <c r="AO395" s="347"/>
      <c r="AP395" s="347"/>
      <c r="AQ395" s="347"/>
      <c r="AR395" s="347"/>
      <c r="AS395" s="347"/>
      <c r="AT395" s="347"/>
      <c r="AU395" s="347"/>
      <c r="AV395" s="347"/>
      <c r="AW395" s="347"/>
      <c r="AX395" s="347"/>
      <c r="AY395" s="347"/>
      <c r="AZ395" s="347"/>
      <c r="BA395" s="347"/>
      <c r="BB395" s="347"/>
      <c r="BC395" s="347"/>
      <c r="BD395" s="347"/>
      <c r="BE395" s="347"/>
      <c r="BF395" s="347"/>
      <c r="BG395" s="347"/>
      <c r="BH395" s="347"/>
      <c r="BI395" s="347"/>
      <c r="BJ395" s="347"/>
      <c r="BK395" s="347"/>
      <c r="BL395" s="347"/>
      <c r="BM395" s="347"/>
      <c r="BN395" s="347"/>
      <c r="BO395" s="347"/>
      <c r="BP395" s="347"/>
      <c r="BQ395" s="347"/>
      <c r="BR395" s="347"/>
      <c r="BS395" s="348"/>
      <c r="BT395" s="347"/>
      <c r="BU395" s="347"/>
      <c r="BV395" s="347"/>
      <c r="BW395" s="347"/>
      <c r="BX395" s="347"/>
      <c r="BY395" s="347"/>
      <c r="BZ395" s="347"/>
      <c r="CA395" s="347"/>
      <c r="CB395" s="347"/>
      <c r="CC395" s="347"/>
      <c r="CD395" s="347"/>
      <c r="CE395" s="347"/>
      <c r="CF395" s="347"/>
      <c r="CG395" s="347"/>
      <c r="CH395" s="347"/>
      <c r="CI395" s="347"/>
      <c r="CJ395" s="347"/>
      <c r="CK395" s="347"/>
      <c r="CL395" s="347"/>
      <c r="CM395" s="347"/>
      <c r="CN395" s="347"/>
      <c r="CO395" s="347"/>
      <c r="CP395" s="347"/>
      <c r="CQ395" s="347"/>
      <c r="CR395" s="347"/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  <c r="DD395" s="347"/>
      <c r="DE395" s="347"/>
      <c r="DF395" s="347"/>
      <c r="DG395" s="347"/>
      <c r="DH395" s="347"/>
      <c r="DI395" s="347"/>
      <c r="DJ395" s="347"/>
      <c r="DK395" s="347"/>
      <c r="DL395" s="347"/>
      <c r="DM395" s="347"/>
      <c r="DN395" s="347"/>
      <c r="DO395" s="347"/>
      <c r="DP395" s="347"/>
      <c r="DQ395" s="347"/>
      <c r="DR395" s="347"/>
      <c r="DS395" s="347"/>
      <c r="DT395" s="347"/>
      <c r="DU395" s="347"/>
      <c r="DV395" s="347"/>
      <c r="DW395" s="347"/>
      <c r="DX395" s="347"/>
      <c r="DY395" s="347"/>
      <c r="DZ395" s="347"/>
      <c r="EA395" s="347"/>
      <c r="EB395" s="347"/>
      <c r="EC395" s="347"/>
      <c r="ED395" s="347"/>
      <c r="EE395" s="347"/>
      <c r="EF395" s="347"/>
      <c r="EG395" s="347"/>
      <c r="EH395" s="347"/>
      <c r="EI395" s="347"/>
      <c r="EJ395" s="347"/>
      <c r="EK395" s="347"/>
      <c r="EL395" s="349"/>
      <c r="EM395" s="353"/>
      <c r="EN395" s="353"/>
      <c r="EO395" s="353"/>
      <c r="EP395" s="353"/>
      <c r="EQ395" s="354"/>
    </row>
    <row r="396" spans="1:150" ht="11.45" customHeight="1">
      <c r="B396" s="334"/>
      <c r="C396" s="335"/>
      <c r="D396" s="335"/>
      <c r="E396" s="335"/>
      <c r="F396" s="335"/>
      <c r="G396" s="335"/>
      <c r="H396" s="335"/>
      <c r="I396" s="335"/>
      <c r="J396" s="335"/>
      <c r="K396" s="335"/>
      <c r="L396" s="298"/>
      <c r="M396" s="298"/>
      <c r="N396" s="298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  <c r="AA396" s="335"/>
      <c r="AB396" s="335"/>
      <c r="AC396" s="335"/>
      <c r="AD396" s="335"/>
      <c r="AE396" s="335"/>
      <c r="AF396" s="335"/>
      <c r="AG396" s="335"/>
      <c r="AH396" s="335"/>
      <c r="AI396" s="335"/>
      <c r="AJ396" s="335"/>
      <c r="AK396" s="335"/>
      <c r="AL396" s="335"/>
      <c r="AM396" s="335"/>
      <c r="AN396" s="335"/>
      <c r="AO396" s="335"/>
      <c r="AP396" s="335"/>
      <c r="AQ396" s="335"/>
      <c r="AR396" s="335"/>
      <c r="AS396" s="335"/>
      <c r="AT396" s="335"/>
      <c r="AU396" s="335"/>
      <c r="AV396" s="335"/>
      <c r="AW396" s="335"/>
      <c r="AX396" s="335"/>
      <c r="AY396" s="335"/>
      <c r="AZ396" s="335"/>
      <c r="BA396" s="335"/>
      <c r="BB396" s="335"/>
      <c r="BC396" s="335"/>
      <c r="BD396" s="335"/>
      <c r="BE396" s="335"/>
      <c r="BF396" s="335"/>
      <c r="BG396" s="335"/>
      <c r="BH396" s="335"/>
      <c r="BI396" s="335"/>
      <c r="BJ396" s="335"/>
      <c r="BK396" s="335"/>
      <c r="BL396" s="335"/>
      <c r="BM396" s="335"/>
      <c r="BN396" s="335"/>
      <c r="BO396" s="335"/>
      <c r="BP396" s="335"/>
      <c r="BQ396" s="335"/>
      <c r="BR396" s="335"/>
      <c r="BS396" s="298"/>
      <c r="BT396" s="335"/>
      <c r="BU396" s="335"/>
      <c r="BV396" s="335"/>
      <c r="BW396" s="335"/>
      <c r="BX396" s="335"/>
      <c r="BY396" s="335"/>
      <c r="BZ396" s="335"/>
      <c r="CA396" s="335"/>
      <c r="CB396" s="335"/>
      <c r="CC396" s="335"/>
      <c r="CD396" s="335"/>
      <c r="CE396" s="335"/>
      <c r="CF396" s="335"/>
      <c r="CG396" s="335"/>
      <c r="CH396" s="335"/>
      <c r="CI396" s="335"/>
      <c r="CJ396" s="335"/>
      <c r="CK396" s="335"/>
      <c r="CL396" s="335"/>
      <c r="CM396" s="335"/>
      <c r="CN396" s="335"/>
      <c r="CO396" s="335"/>
      <c r="CP396" s="335"/>
      <c r="CQ396" s="335"/>
      <c r="CR396" s="335"/>
      <c r="CS396" s="335"/>
      <c r="CT396" s="335"/>
      <c r="CU396" s="335"/>
      <c r="CV396" s="335"/>
      <c r="CW396" s="335"/>
      <c r="CX396" s="335"/>
      <c r="CY396" s="335"/>
      <c r="CZ396" s="335"/>
      <c r="DA396" s="335"/>
      <c r="DB396" s="335"/>
      <c r="DC396" s="335"/>
      <c r="DD396" s="335"/>
      <c r="DE396" s="335"/>
      <c r="DF396" s="335"/>
      <c r="DG396" s="335"/>
      <c r="DH396" s="335"/>
      <c r="DI396" s="335"/>
      <c r="DJ396" s="335"/>
      <c r="DK396" s="335"/>
      <c r="DL396" s="335"/>
      <c r="DM396" s="335"/>
      <c r="DN396" s="335"/>
      <c r="DO396" s="335"/>
      <c r="DP396" s="335"/>
      <c r="DQ396" s="335"/>
      <c r="DR396" s="335"/>
      <c r="DS396" s="335"/>
      <c r="DT396" s="335"/>
      <c r="DU396" s="335"/>
      <c r="DV396" s="335"/>
      <c r="DW396" s="335"/>
      <c r="DX396" s="335"/>
      <c r="DY396" s="335"/>
      <c r="DZ396" s="335"/>
      <c r="EA396" s="335"/>
      <c r="EB396" s="335"/>
      <c r="EC396" s="335"/>
      <c r="ED396" s="335"/>
      <c r="EE396" s="335"/>
      <c r="EF396" s="335"/>
      <c r="EG396" s="335"/>
      <c r="EH396" s="335"/>
      <c r="EI396" s="335"/>
      <c r="EJ396" s="335"/>
      <c r="EK396" s="335"/>
      <c r="EL396" s="304"/>
      <c r="EM396" s="251"/>
      <c r="EN396" s="251"/>
      <c r="EO396" s="251"/>
      <c r="EP396" s="251"/>
      <c r="EQ396" s="252"/>
    </row>
    <row r="397" spans="1:150" s="243" customFormat="1" ht="11.25" customHeight="1">
      <c r="B397" s="343"/>
      <c r="C397" s="240"/>
      <c r="D397" s="240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240"/>
      <c r="CA397" s="240"/>
      <c r="CB397" s="240"/>
      <c r="CC397" s="240"/>
      <c r="CD397" s="240"/>
      <c r="CE397" s="240"/>
      <c r="CF397" s="240"/>
      <c r="CG397" s="240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1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345"/>
      <c r="EM397" s="245"/>
      <c r="EN397" s="245"/>
      <c r="EO397" s="245"/>
      <c r="EP397" s="245"/>
      <c r="EQ397" s="351"/>
    </row>
    <row r="398" spans="1:150" s="243" customFormat="1" ht="11.25" customHeight="1">
      <c r="A398" s="243">
        <v>12</v>
      </c>
      <c r="B398" s="1782">
        <f>A398</f>
        <v>12</v>
      </c>
      <c r="C398" s="1781"/>
      <c r="D398" s="1781"/>
      <c r="E398" s="344" t="s">
        <v>887</v>
      </c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240"/>
      <c r="CA398" s="240"/>
      <c r="CB398" s="240"/>
      <c r="CC398" s="240"/>
      <c r="CD398" s="240"/>
      <c r="CE398" s="240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1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345"/>
      <c r="EM398" s="242" t="e">
        <f>EM437</f>
        <v>#REF!</v>
      </c>
      <c r="EN398" s="242" t="e">
        <f>EN437</f>
        <v>#REF!</v>
      </c>
      <c r="EO398" s="242" t="e">
        <f>EO437</f>
        <v>#REF!</v>
      </c>
      <c r="EP398" s="242" t="e">
        <f>EP437</f>
        <v>#REF!</v>
      </c>
      <c r="EQ398" s="312" t="s">
        <v>904</v>
      </c>
      <c r="ES398" s="800">
        <f>A398</f>
        <v>12</v>
      </c>
      <c r="ET398" s="226"/>
    </row>
    <row r="399" spans="1:150" s="243" customFormat="1" ht="11.25" customHeight="1">
      <c r="B399" s="343"/>
      <c r="C399" s="240"/>
      <c r="D399" s="240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240"/>
      <c r="CA399" s="240"/>
      <c r="CB399" s="240"/>
      <c r="CC399" s="240"/>
      <c r="CD399" s="240"/>
      <c r="CE399" s="240"/>
      <c r="CF399" s="240"/>
      <c r="CG399" s="240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1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345"/>
      <c r="EM399" s="245"/>
      <c r="EN399" s="245"/>
      <c r="EO399" s="245"/>
      <c r="EP399" s="245"/>
      <c r="EQ399" s="351"/>
    </row>
    <row r="400" spans="1:150" s="243" customFormat="1" ht="11.25" customHeight="1">
      <c r="B400" s="343"/>
      <c r="C400" s="240"/>
      <c r="D400" s="240"/>
      <c r="E400" s="240" t="s">
        <v>674</v>
      </c>
      <c r="F400" s="240"/>
      <c r="G400" s="240"/>
      <c r="H400" s="240" t="s">
        <v>766</v>
      </c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 t="s">
        <v>836</v>
      </c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240"/>
      <c r="CA400" s="240"/>
      <c r="CB400" s="240"/>
      <c r="CC400" s="240"/>
      <c r="CD400" s="240"/>
      <c r="CE400" s="240"/>
      <c r="CF400" s="240"/>
      <c r="CG400" s="240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1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345"/>
      <c r="EM400" s="245"/>
      <c r="EN400" s="245"/>
      <c r="EO400" s="245"/>
      <c r="EP400" s="245"/>
      <c r="EQ400" s="351"/>
    </row>
    <row r="401" spans="2:147" s="243" customFormat="1" ht="11.25" customHeight="1">
      <c r="B401" s="343"/>
      <c r="C401" s="240"/>
      <c r="D401" s="240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  <c r="AA401" s="240"/>
      <c r="AB401" s="240"/>
      <c r="AC401" s="240"/>
      <c r="AD401" s="240"/>
      <c r="AE401" s="240"/>
      <c r="AF401" s="240"/>
      <c r="AG401" s="240"/>
      <c r="AH401" s="240"/>
      <c r="AI401" s="240"/>
      <c r="AJ401" s="240"/>
      <c r="AK401" s="240"/>
      <c r="AL401" s="240"/>
      <c r="AM401" s="240"/>
      <c r="AN401" s="240"/>
      <c r="AO401" s="240"/>
      <c r="AP401" s="240"/>
      <c r="AQ401" s="240"/>
      <c r="AR401" s="240"/>
      <c r="AS401" s="240"/>
      <c r="AT401" s="240"/>
      <c r="AU401" s="240"/>
      <c r="AV401" s="240"/>
      <c r="AW401" s="240"/>
      <c r="AX401" s="240"/>
      <c r="AY401" s="240"/>
      <c r="AZ401" s="240"/>
      <c r="BA401" s="240"/>
      <c r="BB401" s="240"/>
      <c r="BC401" s="240"/>
      <c r="BD401" s="240"/>
      <c r="BE401" s="240"/>
      <c r="BF401" s="240"/>
      <c r="BG401" s="240"/>
      <c r="BH401" s="240"/>
      <c r="BI401" s="240"/>
      <c r="BJ401" s="240"/>
      <c r="BK401" s="240"/>
      <c r="BL401" s="240"/>
      <c r="BM401" s="240"/>
      <c r="BN401" s="240"/>
      <c r="BO401" s="240"/>
      <c r="BP401" s="240"/>
      <c r="BQ401" s="240"/>
      <c r="BR401" s="240"/>
      <c r="BS401" s="240"/>
      <c r="BT401" s="240"/>
      <c r="BU401" s="240"/>
      <c r="BV401" s="240"/>
      <c r="BW401" s="240"/>
      <c r="BX401" s="240"/>
      <c r="BY401" s="240"/>
      <c r="BZ401" s="240"/>
      <c r="CA401" s="240"/>
      <c r="CB401" s="240"/>
      <c r="CC401" s="240"/>
      <c r="CD401" s="240"/>
      <c r="CE401" s="240"/>
      <c r="CF401" s="240"/>
      <c r="CG401" s="240"/>
      <c r="CH401" s="240"/>
      <c r="CI401" s="240"/>
      <c r="CJ401" s="240"/>
      <c r="CK401" s="240"/>
      <c r="CL401" s="240"/>
      <c r="CM401" s="240"/>
      <c r="CN401" s="240"/>
      <c r="CO401" s="240"/>
      <c r="CP401" s="240"/>
      <c r="CQ401" s="240"/>
      <c r="CR401" s="240"/>
      <c r="CS401" s="240"/>
      <c r="CT401" s="240"/>
      <c r="CU401" s="240"/>
      <c r="CV401" s="240"/>
      <c r="CW401" s="240"/>
      <c r="CX401" s="240"/>
      <c r="CY401" s="240"/>
      <c r="CZ401" s="241"/>
      <c r="DA401" s="241"/>
      <c r="DB401" s="241"/>
      <c r="DC401" s="241"/>
      <c r="DD401" s="241"/>
      <c r="DE401" s="241"/>
      <c r="DF401" s="241"/>
      <c r="DG401" s="241"/>
      <c r="DH401" s="241"/>
      <c r="DI401" s="241"/>
      <c r="DJ401" s="241"/>
      <c r="DK401" s="241"/>
      <c r="DL401" s="241"/>
      <c r="DM401" s="241"/>
      <c r="DN401" s="241"/>
      <c r="DO401" s="241"/>
      <c r="DP401" s="241"/>
      <c r="DQ401" s="241"/>
      <c r="DR401" s="241"/>
      <c r="DS401" s="241"/>
      <c r="DT401" s="241"/>
      <c r="DU401" s="241"/>
      <c r="DV401" s="241"/>
      <c r="DW401" s="241"/>
      <c r="DX401" s="241"/>
      <c r="DY401" s="241"/>
      <c r="DZ401" s="241"/>
      <c r="EA401" s="241"/>
      <c r="EB401" s="241"/>
      <c r="EC401" s="241"/>
      <c r="ED401" s="241"/>
      <c r="EE401" s="241"/>
      <c r="EF401" s="241"/>
      <c r="EG401" s="241"/>
      <c r="EH401" s="241"/>
      <c r="EI401" s="241"/>
      <c r="EJ401" s="241"/>
      <c r="EK401" s="241"/>
      <c r="EL401" s="345"/>
      <c r="EM401" s="245"/>
      <c r="EN401" s="245"/>
      <c r="EO401" s="245"/>
      <c r="EP401" s="245"/>
      <c r="EQ401" s="351"/>
    </row>
    <row r="402" spans="2:147" s="243" customFormat="1" ht="11.25" customHeight="1">
      <c r="B402" s="343"/>
      <c r="C402" s="240"/>
      <c r="D402" s="240"/>
      <c r="E402" s="240"/>
      <c r="F402" s="240"/>
      <c r="G402" s="240"/>
      <c r="H402" s="240" t="s">
        <v>687</v>
      </c>
      <c r="I402" s="240"/>
      <c r="J402" s="240" t="s">
        <v>134</v>
      </c>
      <c r="K402" s="240"/>
      <c r="L402" s="240" t="str">
        <f>TEXT(2.6,"#,##0.#######")</f>
        <v>2.6</v>
      </c>
      <c r="M402" s="240"/>
      <c r="N402" s="240"/>
      <c r="O402" s="240"/>
      <c r="P402" s="240" t="s">
        <v>91</v>
      </c>
      <c r="Q402" s="240"/>
      <c r="R402" s="240" t="s">
        <v>139</v>
      </c>
      <c r="S402" s="240" t="s">
        <v>618</v>
      </c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240"/>
      <c r="CA402" s="240"/>
      <c r="CB402" s="240"/>
      <c r="CC402" s="240"/>
      <c r="CD402" s="240"/>
      <c r="CE402" s="240"/>
      <c r="CF402" s="240"/>
      <c r="CG402" s="240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1"/>
      <c r="DA402" s="241"/>
      <c r="DB402" s="241"/>
      <c r="DC402" s="241"/>
      <c r="DD402" s="241"/>
      <c r="DE402" s="241"/>
      <c r="DF402" s="241"/>
      <c r="DG402" s="241"/>
      <c r="DH402" s="241"/>
      <c r="DI402" s="241"/>
      <c r="DJ402" s="241"/>
      <c r="DK402" s="241"/>
      <c r="DL402" s="241"/>
      <c r="DM402" s="241"/>
      <c r="DN402" s="241"/>
      <c r="DO402" s="241"/>
      <c r="DP402" s="241"/>
      <c r="DQ402" s="241"/>
      <c r="DR402" s="241"/>
      <c r="DS402" s="241"/>
      <c r="DT402" s="241"/>
      <c r="DU402" s="241"/>
      <c r="DV402" s="241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345"/>
      <c r="EM402" s="245"/>
      <c r="EN402" s="245"/>
      <c r="EO402" s="245"/>
      <c r="EP402" s="245"/>
      <c r="EQ402" s="351"/>
    </row>
    <row r="403" spans="2:147" s="243" customFormat="1" ht="11.25" customHeight="1">
      <c r="B403" s="343"/>
      <c r="C403" s="240"/>
      <c r="D403" s="240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240"/>
      <c r="CA403" s="240"/>
      <c r="CB403" s="240"/>
      <c r="CC403" s="240"/>
      <c r="CD403" s="240"/>
      <c r="CE403" s="240"/>
      <c r="CF403" s="240"/>
      <c r="CG403" s="240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1"/>
      <c r="DA403" s="241"/>
      <c r="DB403" s="241"/>
      <c r="DC403" s="241"/>
      <c r="DD403" s="241"/>
      <c r="DE403" s="241"/>
      <c r="DF403" s="241"/>
      <c r="DG403" s="241"/>
      <c r="DH403" s="241"/>
      <c r="DI403" s="241"/>
      <c r="DJ403" s="241"/>
      <c r="DK403" s="241"/>
      <c r="DL403" s="241"/>
      <c r="DM403" s="241"/>
      <c r="DN403" s="241"/>
      <c r="DO403" s="241"/>
      <c r="DP403" s="241"/>
      <c r="DQ403" s="241"/>
      <c r="DR403" s="241"/>
      <c r="DS403" s="241"/>
      <c r="DT403" s="241"/>
      <c r="DU403" s="241"/>
      <c r="DV403" s="241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345"/>
      <c r="EM403" s="245"/>
      <c r="EN403" s="245"/>
      <c r="EO403" s="245"/>
      <c r="EP403" s="245"/>
      <c r="EQ403" s="351"/>
    </row>
    <row r="404" spans="2:147" s="243" customFormat="1" ht="11.25" customHeight="1">
      <c r="B404" s="343"/>
      <c r="C404" s="240"/>
      <c r="D404" s="240"/>
      <c r="E404" s="240"/>
      <c r="F404" s="240"/>
      <c r="G404" s="240"/>
      <c r="H404" s="240" t="s">
        <v>616</v>
      </c>
      <c r="I404" s="240"/>
      <c r="J404" s="240"/>
      <c r="K404" s="240"/>
      <c r="L404" s="240"/>
      <c r="M404" s="240"/>
      <c r="N404" s="240"/>
      <c r="O404" s="240" t="s">
        <v>132</v>
      </c>
      <c r="P404" s="240"/>
      <c r="Q404" s="1780" t="e">
        <f>#REF!</f>
        <v>#REF!</v>
      </c>
      <c r="R404" s="1780"/>
      <c r="S404" s="1780"/>
      <c r="T404" s="1780"/>
      <c r="U404" s="1780"/>
      <c r="V404" s="240"/>
      <c r="W404" s="240" t="s">
        <v>683</v>
      </c>
      <c r="X404" s="240"/>
      <c r="Y404" s="240"/>
      <c r="Z404" s="240" t="str">
        <f>TEXT(L402,"#,##0.#######")</f>
        <v>2.6</v>
      </c>
      <c r="AA404" s="240"/>
      <c r="AB404" s="240"/>
      <c r="AC404" s="240" t="s">
        <v>134</v>
      </c>
      <c r="AD404" s="240"/>
      <c r="AE404" s="240" t="e">
        <f>TEXT(TRUNC(Q404/L402,1),"#,##0.#")</f>
        <v>#REF!</v>
      </c>
      <c r="AI404" s="240"/>
      <c r="AJ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240"/>
      <c r="CA404" s="240"/>
      <c r="CB404" s="240"/>
      <c r="CC404" s="240"/>
      <c r="CD404" s="240"/>
      <c r="CE404" s="240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1"/>
      <c r="DA404" s="241"/>
      <c r="DB404" s="241"/>
      <c r="DC404" s="241"/>
      <c r="DD404" s="241"/>
      <c r="DE404" s="241"/>
      <c r="DF404" s="241"/>
      <c r="DG404" s="241"/>
      <c r="DH404" s="241"/>
      <c r="DI404" s="241"/>
      <c r="DJ404" s="241"/>
      <c r="DK404" s="241"/>
      <c r="DL404" s="241"/>
      <c r="DM404" s="241"/>
      <c r="DN404" s="241"/>
      <c r="DO404" s="241"/>
      <c r="DP404" s="241"/>
      <c r="DQ404" s="241"/>
      <c r="DR404" s="241"/>
      <c r="DS404" s="241"/>
      <c r="DT404" s="241"/>
      <c r="DU404" s="241"/>
      <c r="DV404" s="241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345"/>
      <c r="EM404" s="245"/>
      <c r="EN404" s="245"/>
      <c r="EO404" s="245"/>
      <c r="EP404" s="245"/>
      <c r="EQ404" s="351"/>
    </row>
    <row r="405" spans="2:147" s="243" customFormat="1" ht="11.25" customHeight="1">
      <c r="B405" s="343"/>
      <c r="C405" s="240"/>
      <c r="D405" s="240"/>
      <c r="E405" s="240"/>
      <c r="F405" s="240"/>
      <c r="G405" s="240"/>
      <c r="H405" s="240" t="s">
        <v>617</v>
      </c>
      <c r="I405" s="240"/>
      <c r="J405" s="240"/>
      <c r="K405" s="240"/>
      <c r="L405" s="240"/>
      <c r="M405" s="240"/>
      <c r="N405" s="240"/>
      <c r="O405" s="240" t="s">
        <v>132</v>
      </c>
      <c r="P405" s="240"/>
      <c r="Q405" s="1780" t="e">
        <f>#REF!</f>
        <v>#REF!</v>
      </c>
      <c r="R405" s="1780"/>
      <c r="S405" s="1780"/>
      <c r="T405" s="1780"/>
      <c r="U405" s="1780"/>
      <c r="V405" s="240"/>
      <c r="W405" s="240" t="s">
        <v>683</v>
      </c>
      <c r="X405" s="240"/>
      <c r="Y405" s="240"/>
      <c r="Z405" s="240" t="str">
        <f>TEXT(L402,"#,##0.#######")</f>
        <v>2.6</v>
      </c>
      <c r="AA405" s="240"/>
      <c r="AB405" s="240"/>
      <c r="AC405" s="240" t="s">
        <v>134</v>
      </c>
      <c r="AD405" s="240"/>
      <c r="AE405" s="240" t="e">
        <f>TEXT(TRUNC(Q405/L402,1),"#,##0.#")</f>
        <v>#REF!</v>
      </c>
      <c r="AJ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240"/>
      <c r="CA405" s="240"/>
      <c r="CB405" s="240"/>
      <c r="CC405" s="240"/>
      <c r="CD405" s="240"/>
      <c r="CE405" s="240"/>
      <c r="CF405" s="240"/>
      <c r="CG405" s="240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1"/>
      <c r="DA405" s="241"/>
      <c r="DB405" s="241"/>
      <c r="DC405" s="241"/>
      <c r="DD405" s="241"/>
      <c r="DE405" s="241"/>
      <c r="DF405" s="241"/>
      <c r="DG405" s="241"/>
      <c r="DH405" s="241"/>
      <c r="DI405" s="241"/>
      <c r="DJ405" s="241"/>
      <c r="DK405" s="241"/>
      <c r="DL405" s="241"/>
      <c r="DM405" s="241"/>
      <c r="DN405" s="241"/>
      <c r="DO405" s="241"/>
      <c r="DP405" s="241"/>
      <c r="DQ405" s="241"/>
      <c r="DR405" s="241"/>
      <c r="DS405" s="241"/>
      <c r="DT405" s="241"/>
      <c r="DU405" s="241"/>
      <c r="DV405" s="241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345"/>
      <c r="EM405" s="245"/>
      <c r="EN405" s="245"/>
      <c r="EO405" s="245"/>
      <c r="EP405" s="245"/>
      <c r="EQ405" s="351"/>
    </row>
    <row r="406" spans="2:147" s="243" customFormat="1" ht="11.25" customHeight="1">
      <c r="B406" s="343"/>
      <c r="C406" s="240"/>
      <c r="D406" s="240"/>
      <c r="E406" s="240"/>
      <c r="F406" s="240"/>
      <c r="G406" s="240"/>
      <c r="H406" s="240" t="s">
        <v>679</v>
      </c>
      <c r="I406" s="240"/>
      <c r="J406" s="240"/>
      <c r="K406" s="240"/>
      <c r="L406" s="240" t="s">
        <v>680</v>
      </c>
      <c r="M406" s="240"/>
      <c r="N406" s="240"/>
      <c r="O406" s="240" t="s">
        <v>132</v>
      </c>
      <c r="P406" s="240"/>
      <c r="Q406" s="1780" t="e">
        <f>#REF!</f>
        <v>#REF!</v>
      </c>
      <c r="R406" s="1780"/>
      <c r="S406" s="1780"/>
      <c r="T406" s="1780"/>
      <c r="U406" s="1780"/>
      <c r="V406" s="240"/>
      <c r="W406" s="240" t="s">
        <v>683</v>
      </c>
      <c r="X406" s="240"/>
      <c r="Y406" s="240"/>
      <c r="Z406" s="240" t="str">
        <f>TEXT(L402,"#,##0.#######")</f>
        <v>2.6</v>
      </c>
      <c r="AA406" s="240"/>
      <c r="AB406" s="240"/>
      <c r="AC406" s="240" t="s">
        <v>134</v>
      </c>
      <c r="AD406" s="240"/>
      <c r="AE406" s="240" t="e">
        <f>TEXT(TRUNC(Q406/L402,1),"#,##0.#")</f>
        <v>#REF!</v>
      </c>
      <c r="AJ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240"/>
      <c r="CA406" s="240"/>
      <c r="CB406" s="240"/>
      <c r="CC406" s="240"/>
      <c r="CD406" s="240"/>
      <c r="CE406" s="240"/>
      <c r="CF406" s="240"/>
      <c r="CG406" s="240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1"/>
      <c r="DA406" s="241"/>
      <c r="DB406" s="241"/>
      <c r="DC406" s="241"/>
      <c r="DD406" s="241"/>
      <c r="DE406" s="241"/>
      <c r="DF406" s="241"/>
      <c r="DG406" s="241"/>
      <c r="DH406" s="241"/>
      <c r="DI406" s="241"/>
      <c r="DJ406" s="241"/>
      <c r="DK406" s="241"/>
      <c r="DL406" s="241"/>
      <c r="DM406" s="241"/>
      <c r="DN406" s="241"/>
      <c r="DO406" s="241"/>
      <c r="DP406" s="241"/>
      <c r="DQ406" s="241"/>
      <c r="DR406" s="241"/>
      <c r="DS406" s="241"/>
      <c r="DT406" s="241"/>
      <c r="DU406" s="241"/>
      <c r="DV406" s="241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345"/>
      <c r="EM406" s="245"/>
      <c r="EN406" s="245"/>
      <c r="EO406" s="245"/>
      <c r="EP406" s="245"/>
      <c r="EQ406" s="351"/>
    </row>
    <row r="407" spans="2:147" s="243" customFormat="1" ht="11.25" customHeight="1">
      <c r="B407" s="343"/>
      <c r="C407" s="240"/>
      <c r="D407" s="240"/>
      <c r="E407" s="240"/>
      <c r="F407" s="240"/>
      <c r="G407" s="240"/>
      <c r="H407" s="240" t="s">
        <v>688</v>
      </c>
      <c r="I407" s="240"/>
      <c r="J407" s="240"/>
      <c r="K407" s="240"/>
      <c r="L407" s="240" t="s">
        <v>96</v>
      </c>
      <c r="M407" s="240"/>
      <c r="N407" s="240"/>
      <c r="O407" s="240" t="s">
        <v>132</v>
      </c>
      <c r="P407" s="240"/>
      <c r="Q407" s="240" t="e">
        <f>TEXT(AE404+AE405+AE406,"#,##0.#######")</f>
        <v>#REF!</v>
      </c>
      <c r="R407" s="240"/>
      <c r="S407" s="240"/>
      <c r="T407" s="240"/>
      <c r="U407" s="240"/>
      <c r="V407" s="240"/>
      <c r="W407" s="240"/>
      <c r="X407" s="240"/>
      <c r="Y407" s="240"/>
      <c r="Z407" s="240"/>
      <c r="AA407" s="240"/>
      <c r="AB407" s="240"/>
      <c r="AC407" s="240"/>
      <c r="AD407" s="240"/>
      <c r="AE407" s="240"/>
      <c r="AF407" s="240"/>
      <c r="AH407" s="240"/>
      <c r="AI407" s="240"/>
      <c r="AJ407" s="240"/>
      <c r="AK407" s="240"/>
      <c r="AL407" s="240"/>
      <c r="AM407" s="240"/>
      <c r="AN407" s="240"/>
      <c r="AO407" s="240"/>
      <c r="AP407" s="240"/>
      <c r="AQ407" s="240"/>
      <c r="AR407" s="240"/>
      <c r="AS407" s="240"/>
      <c r="AT407" s="240"/>
      <c r="AU407" s="240"/>
      <c r="AV407" s="240"/>
      <c r="AW407" s="240"/>
      <c r="AX407" s="240"/>
      <c r="AY407" s="240"/>
      <c r="AZ407" s="240"/>
      <c r="BA407" s="240"/>
      <c r="BB407" s="240"/>
      <c r="BC407" s="240"/>
      <c r="BD407" s="240"/>
      <c r="BE407" s="240"/>
      <c r="BF407" s="240"/>
      <c r="BG407" s="240"/>
      <c r="BH407" s="240"/>
      <c r="BI407" s="240"/>
      <c r="BJ407" s="240"/>
      <c r="BK407" s="240"/>
      <c r="BL407" s="240"/>
      <c r="BM407" s="240"/>
      <c r="BN407" s="240"/>
      <c r="BO407" s="240"/>
      <c r="BP407" s="240"/>
      <c r="BQ407" s="240"/>
      <c r="BR407" s="240"/>
      <c r="BS407" s="240"/>
      <c r="BT407" s="240"/>
      <c r="BU407" s="240"/>
      <c r="BV407" s="240"/>
      <c r="BW407" s="240"/>
      <c r="BX407" s="240"/>
      <c r="BY407" s="240"/>
      <c r="BZ407" s="240"/>
      <c r="CA407" s="240"/>
      <c r="CB407" s="240"/>
      <c r="CC407" s="240"/>
      <c r="CD407" s="240"/>
      <c r="CE407" s="240"/>
      <c r="CF407" s="240"/>
      <c r="CG407" s="240"/>
      <c r="CH407" s="240"/>
      <c r="CI407" s="240"/>
      <c r="CJ407" s="240"/>
      <c r="CK407" s="240"/>
      <c r="CL407" s="240"/>
      <c r="CM407" s="240"/>
      <c r="CN407" s="240"/>
      <c r="CO407" s="240"/>
      <c r="CP407" s="240"/>
      <c r="CQ407" s="240"/>
      <c r="CR407" s="240"/>
      <c r="CS407" s="240"/>
      <c r="CT407" s="240"/>
      <c r="CU407" s="240"/>
      <c r="CV407" s="240"/>
      <c r="CW407" s="240"/>
      <c r="CX407" s="240"/>
      <c r="CY407" s="240"/>
      <c r="CZ407" s="241"/>
      <c r="DA407" s="241"/>
      <c r="DB407" s="241"/>
      <c r="DC407" s="241"/>
      <c r="DD407" s="241"/>
      <c r="DE407" s="241"/>
      <c r="DF407" s="241"/>
      <c r="DG407" s="241"/>
      <c r="DH407" s="241"/>
      <c r="DI407" s="241"/>
      <c r="DJ407" s="241"/>
      <c r="DK407" s="241"/>
      <c r="DL407" s="241"/>
      <c r="DM407" s="241"/>
      <c r="DN407" s="241"/>
      <c r="DO407" s="241"/>
      <c r="DP407" s="241"/>
      <c r="DQ407" s="241"/>
      <c r="DR407" s="241"/>
      <c r="DS407" s="241"/>
      <c r="DT407" s="241"/>
      <c r="DU407" s="241"/>
      <c r="DV407" s="241"/>
      <c r="DW407" s="241"/>
      <c r="DX407" s="241"/>
      <c r="DY407" s="241"/>
      <c r="DZ407" s="241"/>
      <c r="EA407" s="241"/>
      <c r="EB407" s="241"/>
      <c r="EC407" s="241"/>
      <c r="ED407" s="241"/>
      <c r="EE407" s="241"/>
      <c r="EF407" s="241"/>
      <c r="EG407" s="241"/>
      <c r="EH407" s="241"/>
      <c r="EI407" s="241"/>
      <c r="EJ407" s="241"/>
      <c r="EK407" s="241"/>
      <c r="EL407" s="345"/>
      <c r="EM407" s="245" t="e">
        <f>EN407+EO407+EP407</f>
        <v>#REF!</v>
      </c>
      <c r="EN407" s="245" t="e">
        <f>TEXT(AE404,"#,###.0")</f>
        <v>#REF!</v>
      </c>
      <c r="EO407" s="245" t="e">
        <f>TEXT(AE405,"#,###.0")</f>
        <v>#REF!</v>
      </c>
      <c r="EP407" s="245" t="e">
        <f>TEXT(AE406,"#,###.0")</f>
        <v>#REF!</v>
      </c>
      <c r="EQ407" s="351"/>
    </row>
    <row r="408" spans="2:147" s="243" customFormat="1" ht="11.25" customHeight="1">
      <c r="B408" s="343"/>
      <c r="C408" s="240"/>
      <c r="D408" s="240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240"/>
      <c r="CA408" s="240"/>
      <c r="CB408" s="240"/>
      <c r="CC408" s="240"/>
      <c r="CD408" s="240"/>
      <c r="CE408" s="240"/>
      <c r="CF408" s="240"/>
      <c r="CG408" s="240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1"/>
      <c r="DA408" s="241"/>
      <c r="DB408" s="241"/>
      <c r="DC408" s="241"/>
      <c r="DD408" s="241"/>
      <c r="DE408" s="241"/>
      <c r="DF408" s="241"/>
      <c r="DG408" s="241"/>
      <c r="DH408" s="241"/>
      <c r="DI408" s="241"/>
      <c r="DJ408" s="241"/>
      <c r="DK408" s="241"/>
      <c r="DL408" s="241"/>
      <c r="DM408" s="241"/>
      <c r="DN408" s="241"/>
      <c r="DO408" s="241"/>
      <c r="DP408" s="241"/>
      <c r="DQ408" s="241"/>
      <c r="DR408" s="241"/>
      <c r="DS408" s="241"/>
      <c r="DT408" s="241"/>
      <c r="DU408" s="241"/>
      <c r="DV408" s="241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345"/>
      <c r="EM408" s="245"/>
      <c r="EN408" s="245"/>
      <c r="EO408" s="245"/>
      <c r="EP408" s="245"/>
      <c r="EQ408" s="351"/>
    </row>
    <row r="409" spans="2:147" s="243" customFormat="1" ht="11.25" customHeight="1">
      <c r="B409" s="343"/>
      <c r="C409" s="240"/>
      <c r="D409" s="240"/>
      <c r="E409" s="240" t="s">
        <v>675</v>
      </c>
      <c r="F409" s="240"/>
      <c r="G409" s="240"/>
      <c r="H409" s="240" t="s">
        <v>769</v>
      </c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240"/>
      <c r="CA409" s="240"/>
      <c r="CB409" s="240"/>
      <c r="CC409" s="240"/>
      <c r="CD409" s="240"/>
      <c r="CE409" s="240"/>
      <c r="CF409" s="240"/>
      <c r="CG409" s="240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1"/>
      <c r="DA409" s="241"/>
      <c r="DB409" s="241"/>
      <c r="DC409" s="241"/>
      <c r="DD409" s="241"/>
      <c r="DE409" s="241"/>
      <c r="DF409" s="241"/>
      <c r="DG409" s="241"/>
      <c r="DH409" s="241"/>
      <c r="DI409" s="241"/>
      <c r="DJ409" s="241"/>
      <c r="DK409" s="241"/>
      <c r="DL409" s="241"/>
      <c r="DM409" s="241"/>
      <c r="DN409" s="241"/>
      <c r="DO409" s="241"/>
      <c r="DP409" s="241"/>
      <c r="DQ409" s="241"/>
      <c r="DR409" s="241"/>
      <c r="DS409" s="241"/>
      <c r="DT409" s="241"/>
      <c r="DU409" s="241"/>
      <c r="DV409" s="241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345"/>
      <c r="EM409" s="245"/>
      <c r="EN409" s="245"/>
      <c r="EO409" s="245"/>
      <c r="EP409" s="245"/>
      <c r="EQ409" s="351"/>
    </row>
    <row r="410" spans="2:147" s="243" customFormat="1" ht="11.25" customHeight="1">
      <c r="B410" s="343"/>
      <c r="C410" s="240"/>
      <c r="D410" s="240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240"/>
      <c r="CA410" s="240"/>
      <c r="CB410" s="240"/>
      <c r="CC410" s="240"/>
      <c r="CD410" s="240"/>
      <c r="CE410" s="240"/>
      <c r="CF410" s="240"/>
      <c r="CG410" s="240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1"/>
      <c r="DA410" s="241"/>
      <c r="DB410" s="241"/>
      <c r="DC410" s="241"/>
      <c r="DD410" s="241"/>
      <c r="DE410" s="241"/>
      <c r="DF410" s="241"/>
      <c r="DG410" s="241"/>
      <c r="DH410" s="241"/>
      <c r="DI410" s="241"/>
      <c r="DJ410" s="241"/>
      <c r="DK410" s="241"/>
      <c r="DL410" s="241"/>
      <c r="DM410" s="241"/>
      <c r="DN410" s="241"/>
      <c r="DO410" s="241"/>
      <c r="DP410" s="241"/>
      <c r="DQ410" s="241"/>
      <c r="DR410" s="241"/>
      <c r="DS410" s="241"/>
      <c r="DT410" s="241"/>
      <c r="DU410" s="241"/>
      <c r="DV410" s="241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345"/>
      <c r="EM410" s="245"/>
      <c r="EN410" s="245"/>
      <c r="EO410" s="245"/>
      <c r="EP410" s="245"/>
      <c r="EQ410" s="351"/>
    </row>
    <row r="411" spans="2:147" s="243" customFormat="1" ht="11.25" customHeight="1">
      <c r="B411" s="343"/>
      <c r="C411" s="240"/>
      <c r="D411" s="240"/>
      <c r="E411" s="240"/>
      <c r="F411" s="240"/>
      <c r="G411" s="240"/>
      <c r="H411" s="240" t="s">
        <v>103</v>
      </c>
      <c r="I411" s="240"/>
      <c r="J411" s="240"/>
      <c r="K411" s="240"/>
      <c r="L411" s="240"/>
      <c r="M411" s="240"/>
      <c r="N411" s="240"/>
      <c r="O411" s="240" t="s">
        <v>132</v>
      </c>
      <c r="P411" s="240"/>
      <c r="Q411" s="1774">
        <f>VLOOKUP($H411,노임단가!$A:$B,2,FALSE)</f>
        <v>157068</v>
      </c>
      <c r="R411" s="1774"/>
      <c r="S411" s="1774"/>
      <c r="T411" s="1774"/>
      <c r="U411" s="1774"/>
      <c r="V411" s="1774"/>
      <c r="W411" s="240"/>
      <c r="X411" s="240" t="s">
        <v>652</v>
      </c>
      <c r="Y411" s="240"/>
      <c r="Z411" s="240"/>
      <c r="AA411" s="240" t="str">
        <f>TEXT(1,"#,##0.#######")</f>
        <v>1.</v>
      </c>
      <c r="AB411" s="240" t="s">
        <v>102</v>
      </c>
      <c r="AC411" s="240"/>
      <c r="AD411" s="240"/>
      <c r="AE411" s="240" t="s">
        <v>683</v>
      </c>
      <c r="AF411" s="240"/>
      <c r="AG411" s="240"/>
      <c r="AH411" s="240" t="s">
        <v>147</v>
      </c>
      <c r="AI411" s="240" t="str">
        <f>TEXT(8,"#,##0.#######")</f>
        <v>8.</v>
      </c>
      <c r="AJ411" s="240" t="s">
        <v>618</v>
      </c>
      <c r="AK411" s="240"/>
      <c r="AL411" s="240"/>
      <c r="AM411" s="240" t="s">
        <v>652</v>
      </c>
      <c r="AN411" s="240"/>
      <c r="AO411" s="240"/>
      <c r="AP411" s="240" t="str">
        <f>TEXT(L402,"#,##0.#######")</f>
        <v>2.6</v>
      </c>
      <c r="AQ411" s="240"/>
      <c r="AR411" s="240"/>
      <c r="AS411" s="240"/>
      <c r="AT411" s="240"/>
      <c r="AU411" s="240" t="s">
        <v>148</v>
      </c>
      <c r="AV411" s="240"/>
      <c r="AW411" s="240" t="s">
        <v>134</v>
      </c>
      <c r="AX411" s="240"/>
      <c r="AY411" s="240" t="str">
        <f>TEXT(TRUNC(Q411*AA411/(AI411*L402),1),"#,##0.#")</f>
        <v>7,551.3</v>
      </c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240"/>
      <c r="CA411" s="240"/>
      <c r="CB411" s="240"/>
      <c r="CC411" s="240"/>
      <c r="CD411" s="240"/>
      <c r="CE411" s="240"/>
      <c r="CF411" s="240"/>
      <c r="CG411" s="240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1"/>
      <c r="DA411" s="241"/>
      <c r="DB411" s="241"/>
      <c r="DC411" s="241"/>
      <c r="DD411" s="241"/>
      <c r="DE411" s="241"/>
      <c r="DF411" s="241"/>
      <c r="DG411" s="241"/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1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345"/>
      <c r="EM411" s="245">
        <f>EN411+EO411+EP411</f>
        <v>7551.3</v>
      </c>
      <c r="EN411" s="245" t="str">
        <f>AY411</f>
        <v>7,551.3</v>
      </c>
      <c r="EO411" s="245"/>
      <c r="EP411" s="245"/>
      <c r="EQ411" s="351"/>
    </row>
    <row r="412" spans="2:147" s="243" customFormat="1" ht="11.25" customHeight="1">
      <c r="B412" s="343"/>
      <c r="C412" s="240"/>
      <c r="D412" s="240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240"/>
      <c r="CA412" s="240"/>
      <c r="CB412" s="240"/>
      <c r="CC412" s="240"/>
      <c r="CD412" s="240"/>
      <c r="CE412" s="240"/>
      <c r="CF412" s="240"/>
      <c r="CG412" s="240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1"/>
      <c r="DA412" s="241"/>
      <c r="DB412" s="241"/>
      <c r="DC412" s="241"/>
      <c r="DD412" s="241"/>
      <c r="DE412" s="241"/>
      <c r="DF412" s="241"/>
      <c r="DG412" s="241"/>
      <c r="DH412" s="241"/>
      <c r="DI412" s="241"/>
      <c r="DJ412" s="241"/>
      <c r="DK412" s="241"/>
      <c r="DL412" s="241"/>
      <c r="DM412" s="241"/>
      <c r="DN412" s="241"/>
      <c r="DO412" s="241"/>
      <c r="DP412" s="241"/>
      <c r="DQ412" s="241"/>
      <c r="DR412" s="241"/>
      <c r="DS412" s="241"/>
      <c r="DT412" s="241"/>
      <c r="DU412" s="241"/>
      <c r="DV412" s="241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345"/>
      <c r="EM412" s="245"/>
      <c r="EN412" s="245"/>
      <c r="EO412" s="245"/>
      <c r="EP412" s="245"/>
      <c r="EQ412" s="351"/>
    </row>
    <row r="413" spans="2:147" s="243" customFormat="1" ht="11.25" customHeight="1">
      <c r="B413" s="343"/>
      <c r="C413" s="240"/>
      <c r="D413" s="240"/>
      <c r="E413" s="240" t="s">
        <v>677</v>
      </c>
      <c r="F413" s="240"/>
      <c r="G413" s="240"/>
      <c r="H413" s="240" t="s">
        <v>770</v>
      </c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240"/>
      <c r="CA413" s="240"/>
      <c r="CB413" s="240"/>
      <c r="CC413" s="240"/>
      <c r="CD413" s="240"/>
      <c r="CE413" s="240"/>
      <c r="CF413" s="240"/>
      <c r="CG413" s="240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1"/>
      <c r="DA413" s="241"/>
      <c r="DB413" s="241"/>
      <c r="DC413" s="241"/>
      <c r="DD413" s="241"/>
      <c r="DE413" s="241"/>
      <c r="DF413" s="241"/>
      <c r="DG413" s="241"/>
      <c r="DH413" s="241"/>
      <c r="DI413" s="241"/>
      <c r="DJ413" s="241"/>
      <c r="DK413" s="241"/>
      <c r="DL413" s="241"/>
      <c r="DM413" s="241"/>
      <c r="DN413" s="241"/>
      <c r="DO413" s="241"/>
      <c r="DP413" s="241"/>
      <c r="DQ413" s="241"/>
      <c r="DR413" s="241"/>
      <c r="DS413" s="241"/>
      <c r="DT413" s="241"/>
      <c r="DU413" s="241"/>
      <c r="DV413" s="241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345"/>
      <c r="EM413" s="245"/>
      <c r="EN413" s="245"/>
      <c r="EO413" s="245"/>
      <c r="EP413" s="245"/>
      <c r="EQ413" s="351"/>
    </row>
    <row r="414" spans="2:147" s="243" customFormat="1" ht="11.25" customHeight="1">
      <c r="B414" s="343"/>
      <c r="C414" s="240"/>
      <c r="D414" s="240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240"/>
      <c r="CA414" s="240"/>
      <c r="CB414" s="240"/>
      <c r="CC414" s="240"/>
      <c r="CD414" s="240"/>
      <c r="CE414" s="240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1"/>
      <c r="DA414" s="241"/>
      <c r="DB414" s="241"/>
      <c r="DC414" s="241"/>
      <c r="DD414" s="241"/>
      <c r="DE414" s="241"/>
      <c r="DF414" s="241"/>
      <c r="DG414" s="241"/>
      <c r="DH414" s="241"/>
      <c r="DI414" s="241"/>
      <c r="DJ414" s="241"/>
      <c r="DK414" s="241"/>
      <c r="DL414" s="241"/>
      <c r="DM414" s="241"/>
      <c r="DN414" s="241"/>
      <c r="DO414" s="241"/>
      <c r="DP414" s="241"/>
      <c r="DQ414" s="241"/>
      <c r="DR414" s="241"/>
      <c r="DS414" s="241"/>
      <c r="DT414" s="241"/>
      <c r="DU414" s="241"/>
      <c r="DV414" s="241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345"/>
      <c r="EM414" s="245"/>
      <c r="EN414" s="245"/>
      <c r="EO414" s="245"/>
      <c r="EP414" s="245"/>
      <c r="EQ414" s="351"/>
    </row>
    <row r="415" spans="2:147" s="243" customFormat="1" ht="11.25" customHeight="1">
      <c r="B415" s="343"/>
      <c r="C415" s="240"/>
      <c r="D415" s="240"/>
      <c r="E415" s="240"/>
      <c r="F415" s="240"/>
      <c r="G415" s="240"/>
      <c r="H415" s="240" t="s">
        <v>837</v>
      </c>
      <c r="I415" s="240"/>
      <c r="J415" s="240"/>
      <c r="K415" s="240"/>
      <c r="L415" s="240"/>
      <c r="M415" s="240"/>
      <c r="N415" s="240"/>
      <c r="O415" s="240"/>
      <c r="P415" s="240" t="str">
        <f>TEXT(56000,"#,##0.#######")</f>
        <v>56,000.</v>
      </c>
      <c r="Q415" s="240"/>
      <c r="R415" s="240"/>
      <c r="S415" s="240"/>
      <c r="T415" s="240"/>
      <c r="U415" s="240" t="s">
        <v>652</v>
      </c>
      <c r="V415" s="240"/>
      <c r="W415" s="240"/>
      <c r="X415" s="240" t="str">
        <f>TEXT(0.008,"#,##0.#######")</f>
        <v>0.008</v>
      </c>
      <c r="Y415" s="240"/>
      <c r="Z415" s="240"/>
      <c r="AA415" s="240"/>
      <c r="AB415" s="240"/>
      <c r="AC415" s="240" t="s">
        <v>370</v>
      </c>
      <c r="AD415" s="240"/>
      <c r="AE415" s="240"/>
      <c r="AF415" s="240" t="s">
        <v>683</v>
      </c>
      <c r="AG415" s="240"/>
      <c r="AH415" s="240"/>
      <c r="AI415" s="240" t="str">
        <f>TEXT(L402,"#,##0.#######")</f>
        <v>2.6</v>
      </c>
      <c r="AJ415" s="240"/>
      <c r="AK415" s="240"/>
      <c r="AL415" s="240"/>
      <c r="AM415" s="240"/>
      <c r="AN415" s="240"/>
      <c r="AO415" s="240" t="s">
        <v>134</v>
      </c>
      <c r="AP415" s="240"/>
      <c r="AQ415" s="240" t="str">
        <f>TEXT(TRUNC(P415*X415/L402,1),"#,##0.#")</f>
        <v>172.3</v>
      </c>
      <c r="AR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240"/>
      <c r="CA415" s="240"/>
      <c r="CB415" s="240"/>
      <c r="CC415" s="240"/>
      <c r="CD415" s="240"/>
      <c r="CE415" s="240"/>
      <c r="CF415" s="240"/>
      <c r="CG415" s="240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1"/>
      <c r="DA415" s="241"/>
      <c r="DB415" s="241"/>
      <c r="DC415" s="241"/>
      <c r="DD415" s="241"/>
      <c r="DE415" s="241"/>
      <c r="DF415" s="241"/>
      <c r="DG415" s="241"/>
      <c r="DH415" s="241"/>
      <c r="DI415" s="241"/>
      <c r="DJ415" s="241"/>
      <c r="DK415" s="241"/>
      <c r="DL415" s="241"/>
      <c r="DM415" s="241"/>
      <c r="DN415" s="241"/>
      <c r="DO415" s="241"/>
      <c r="DP415" s="241"/>
      <c r="DQ415" s="241"/>
      <c r="DR415" s="241"/>
      <c r="DS415" s="241"/>
      <c r="DT415" s="241"/>
      <c r="DU415" s="241"/>
      <c r="DV415" s="241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345"/>
      <c r="EM415" s="245">
        <f>EN415+EO415+EP415</f>
        <v>172.3</v>
      </c>
      <c r="EN415" s="245"/>
      <c r="EO415" s="245" t="str">
        <f>AQ415</f>
        <v>172.3</v>
      </c>
      <c r="EP415" s="245"/>
      <c r="EQ415" s="351"/>
    </row>
    <row r="416" spans="2:147" s="243" customFormat="1" ht="11.25" customHeight="1">
      <c r="B416" s="343"/>
      <c r="C416" s="240"/>
      <c r="D416" s="240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240"/>
      <c r="CA416" s="240"/>
      <c r="CB416" s="240"/>
      <c r="CC416" s="240"/>
      <c r="CD416" s="240"/>
      <c r="CE416" s="240"/>
      <c r="CF416" s="240"/>
      <c r="CG416" s="240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1"/>
      <c r="DA416" s="241"/>
      <c r="DB416" s="241"/>
      <c r="DC416" s="241"/>
      <c r="DD416" s="241"/>
      <c r="DE416" s="241"/>
      <c r="DF416" s="241"/>
      <c r="DG416" s="241"/>
      <c r="DH416" s="241"/>
      <c r="DI416" s="241"/>
      <c r="DJ416" s="241"/>
      <c r="DK416" s="241"/>
      <c r="DL416" s="241"/>
      <c r="DM416" s="241"/>
      <c r="DN416" s="241"/>
      <c r="DO416" s="241"/>
      <c r="DP416" s="241"/>
      <c r="DQ416" s="241"/>
      <c r="DR416" s="241"/>
      <c r="DS416" s="241"/>
      <c r="DT416" s="241"/>
      <c r="DU416" s="241"/>
      <c r="DV416" s="241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345"/>
      <c r="EM416" s="245"/>
      <c r="EN416" s="245"/>
      <c r="EO416" s="245"/>
      <c r="EP416" s="245"/>
      <c r="EQ416" s="351"/>
    </row>
    <row r="417" spans="2:147" s="243" customFormat="1" ht="11.25" customHeight="1">
      <c r="B417" s="343"/>
      <c r="C417" s="240"/>
      <c r="D417" s="240"/>
      <c r="E417" s="240" t="s">
        <v>695</v>
      </c>
      <c r="F417" s="240"/>
      <c r="G417" s="240"/>
      <c r="H417" s="240" t="s">
        <v>771</v>
      </c>
      <c r="I417" s="240"/>
      <c r="J417" s="240"/>
      <c r="K417" s="240"/>
      <c r="L417" s="240"/>
      <c r="M417" s="240"/>
      <c r="N417" s="240"/>
      <c r="O417" s="240"/>
      <c r="P417" s="240"/>
      <c r="Q417" s="240" t="s">
        <v>132</v>
      </c>
      <c r="R417" s="240"/>
      <c r="S417" s="240" t="s">
        <v>691</v>
      </c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 t="s">
        <v>838</v>
      </c>
      <c r="AE417" s="240"/>
      <c r="AF417" s="240"/>
      <c r="AG417" s="240"/>
      <c r="AH417" s="240"/>
      <c r="AI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240"/>
      <c r="CA417" s="240"/>
      <c r="CB417" s="240"/>
      <c r="CC417" s="240"/>
      <c r="CD417" s="240"/>
      <c r="CE417" s="240"/>
      <c r="CF417" s="240"/>
      <c r="CG417" s="240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1"/>
      <c r="DA417" s="241"/>
      <c r="DB417" s="241"/>
      <c r="DC417" s="241"/>
      <c r="DD417" s="241"/>
      <c r="DE417" s="241"/>
      <c r="DF417" s="241"/>
      <c r="DG417" s="241"/>
      <c r="DH417" s="241"/>
      <c r="DI417" s="241"/>
      <c r="DJ417" s="241"/>
      <c r="DK417" s="241"/>
      <c r="DL417" s="241"/>
      <c r="DM417" s="241"/>
      <c r="DN417" s="241"/>
      <c r="DO417" s="241"/>
      <c r="DP417" s="241"/>
      <c r="DQ417" s="241"/>
      <c r="DR417" s="241"/>
      <c r="DS417" s="241"/>
      <c r="DT417" s="241"/>
      <c r="DU417" s="241"/>
      <c r="DV417" s="241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345"/>
      <c r="EM417" s="245"/>
      <c r="EN417" s="245"/>
      <c r="EO417" s="245"/>
      <c r="EP417" s="245"/>
      <c r="EQ417" s="351"/>
    </row>
    <row r="418" spans="2:147" s="243" customFormat="1" ht="11.25" customHeight="1">
      <c r="B418" s="343"/>
      <c r="C418" s="240"/>
      <c r="D418" s="240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240"/>
      <c r="CA418" s="240"/>
      <c r="CB418" s="240"/>
      <c r="CC418" s="240"/>
      <c r="CD418" s="240"/>
      <c r="CE418" s="240"/>
      <c r="CF418" s="240"/>
      <c r="CG418" s="240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1"/>
      <c r="DA418" s="241"/>
      <c r="DB418" s="241"/>
      <c r="DC418" s="241"/>
      <c r="DD418" s="241"/>
      <c r="DE418" s="241"/>
      <c r="DF418" s="241"/>
      <c r="DG418" s="241"/>
      <c r="DH418" s="241"/>
      <c r="DI418" s="241"/>
      <c r="DJ418" s="241"/>
      <c r="DK418" s="241"/>
      <c r="DL418" s="241"/>
      <c r="DM418" s="241"/>
      <c r="DN418" s="241"/>
      <c r="DO418" s="241"/>
      <c r="DP418" s="241"/>
      <c r="DQ418" s="241"/>
      <c r="DR418" s="241"/>
      <c r="DS418" s="241"/>
      <c r="DT418" s="241"/>
      <c r="DU418" s="241"/>
      <c r="DV418" s="241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345"/>
      <c r="EM418" s="245"/>
      <c r="EN418" s="245"/>
      <c r="EO418" s="245"/>
      <c r="EP418" s="245"/>
      <c r="EQ418" s="351"/>
    </row>
    <row r="419" spans="2:147" s="243" customFormat="1" ht="11.25" customHeight="1">
      <c r="B419" s="343"/>
      <c r="C419" s="240"/>
      <c r="D419" s="240"/>
      <c r="E419" s="240"/>
      <c r="F419" s="240"/>
      <c r="G419" s="240"/>
      <c r="H419" s="240" t="s">
        <v>773</v>
      </c>
      <c r="I419" s="240"/>
      <c r="J419" s="240" t="s">
        <v>134</v>
      </c>
      <c r="K419" s="240"/>
      <c r="L419" s="240" t="str">
        <f>TEXT(0.4,"#,##0.#######")</f>
        <v>0.4</v>
      </c>
      <c r="M419" s="240"/>
      <c r="N419" s="240"/>
      <c r="O419" s="240"/>
      <c r="P419" s="240"/>
      <c r="Q419" s="240"/>
      <c r="R419" s="240"/>
      <c r="S419" s="240"/>
      <c r="T419" s="240"/>
      <c r="U419" s="240" t="s">
        <v>774</v>
      </c>
      <c r="V419" s="240"/>
      <c r="W419" s="240" t="s">
        <v>134</v>
      </c>
      <c r="X419" s="240"/>
      <c r="Y419" s="240"/>
      <c r="Z419" s="240" t="str">
        <f>TEXT(1,"#,##0.#######")</f>
        <v>1.</v>
      </c>
      <c r="AA419" s="240"/>
      <c r="AB419" s="240" t="s">
        <v>139</v>
      </c>
      <c r="AC419" s="240" t="str">
        <f>TEXT(1.5,"#,##0.#######")</f>
        <v>1.5</v>
      </c>
      <c r="AD419" s="240"/>
      <c r="AE419" s="240"/>
      <c r="AF419" s="240"/>
      <c r="AG419" s="240" t="s">
        <v>134</v>
      </c>
      <c r="AH419" s="240"/>
      <c r="AI419" s="240" t="str">
        <f>TEXT(ROUND(Z419/AC419,2),"#,##0.#######")</f>
        <v>0.67</v>
      </c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 t="s">
        <v>775</v>
      </c>
      <c r="AV419" s="240"/>
      <c r="AW419" s="240" t="s">
        <v>134</v>
      </c>
      <c r="AX419" s="240"/>
      <c r="AY419" s="240" t="str">
        <f>TEXT(0.55,"#,##0.#######")</f>
        <v>0.55</v>
      </c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240"/>
      <c r="CA419" s="240"/>
      <c r="CB419" s="240"/>
      <c r="CC419" s="240"/>
      <c r="CD419" s="240"/>
      <c r="CE419" s="240"/>
      <c r="CF419" s="240"/>
      <c r="CG419" s="240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1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345"/>
      <c r="EM419" s="245"/>
      <c r="EN419" s="245"/>
      <c r="EO419" s="245"/>
      <c r="EP419" s="245"/>
      <c r="EQ419" s="351"/>
    </row>
    <row r="420" spans="2:147" s="243" customFormat="1" ht="11.25" customHeight="1">
      <c r="B420" s="343"/>
      <c r="C420" s="240"/>
      <c r="D420" s="240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240"/>
      <c r="CA420" s="240"/>
      <c r="CB420" s="240"/>
      <c r="CC420" s="240"/>
      <c r="CD420" s="240"/>
      <c r="CE420" s="240"/>
      <c r="CF420" s="240"/>
      <c r="CG420" s="240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1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345"/>
      <c r="EM420" s="245"/>
      <c r="EN420" s="245"/>
      <c r="EO420" s="245"/>
      <c r="EP420" s="245"/>
      <c r="EQ420" s="351"/>
    </row>
    <row r="421" spans="2:147" s="243" customFormat="1" ht="11.25" customHeight="1">
      <c r="B421" s="343"/>
      <c r="C421" s="240"/>
      <c r="D421" s="240"/>
      <c r="E421" s="240"/>
      <c r="F421" s="240"/>
      <c r="G421" s="240"/>
      <c r="H421" s="240" t="s">
        <v>692</v>
      </c>
      <c r="I421" s="240"/>
      <c r="J421" s="240" t="s">
        <v>134</v>
      </c>
      <c r="K421" s="240"/>
      <c r="L421" s="240" t="str">
        <f>TEXT(0.45,"#,##0.#######")</f>
        <v>0.45</v>
      </c>
      <c r="M421" s="240"/>
      <c r="N421" s="240"/>
      <c r="O421" s="240"/>
      <c r="P421" s="240"/>
      <c r="Q421" s="240"/>
      <c r="R421" s="240"/>
      <c r="S421" s="240"/>
      <c r="T421" s="240"/>
      <c r="U421" s="240" t="s">
        <v>693</v>
      </c>
      <c r="V421" s="240"/>
      <c r="W421" s="240"/>
      <c r="X421" s="240" t="s">
        <v>134</v>
      </c>
      <c r="Y421" s="240"/>
      <c r="Z421" s="240" t="str">
        <f>TEXT(18,"#,##0.#######")</f>
        <v>18.</v>
      </c>
      <c r="AA421" s="240"/>
      <c r="AB421" s="240" t="s">
        <v>776</v>
      </c>
      <c r="AC421" s="240"/>
      <c r="AD421" s="240"/>
      <c r="AE421" s="240"/>
      <c r="AF421" s="240" t="s">
        <v>147</v>
      </c>
      <c r="AG421" s="240" t="s">
        <v>553</v>
      </c>
      <c r="AH421" s="240"/>
      <c r="AI421" s="240"/>
      <c r="AJ421" s="240" t="s">
        <v>777</v>
      </c>
      <c r="AK421" s="240"/>
      <c r="AL421" s="240" t="s">
        <v>148</v>
      </c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240"/>
      <c r="CA421" s="240"/>
      <c r="CB421" s="240"/>
      <c r="CC421" s="240"/>
      <c r="CD421" s="240"/>
      <c r="CE421" s="240"/>
      <c r="CF421" s="240"/>
      <c r="CG421" s="240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1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345"/>
      <c r="EM421" s="245"/>
      <c r="EN421" s="245"/>
      <c r="EO421" s="245"/>
      <c r="EP421" s="245"/>
      <c r="EQ421" s="351"/>
    </row>
    <row r="422" spans="2:147" s="243" customFormat="1" ht="11.25" customHeight="1">
      <c r="B422" s="343"/>
      <c r="C422" s="240"/>
      <c r="D422" s="240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240"/>
      <c r="CA422" s="240"/>
      <c r="CB422" s="240"/>
      <c r="CC422" s="240"/>
      <c r="CD422" s="240"/>
      <c r="CE422" s="240"/>
      <c r="CF422" s="240"/>
      <c r="CG422" s="240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1"/>
      <c r="DA422" s="241"/>
      <c r="DB422" s="241"/>
      <c r="DC422" s="241"/>
      <c r="DD422" s="241"/>
      <c r="DE422" s="241"/>
      <c r="DF422" s="241"/>
      <c r="DG422" s="241"/>
      <c r="DH422" s="241"/>
      <c r="DI422" s="241"/>
      <c r="DJ422" s="241"/>
      <c r="DK422" s="241"/>
      <c r="DL422" s="241"/>
      <c r="DM422" s="241"/>
      <c r="DN422" s="241"/>
      <c r="DO422" s="241"/>
      <c r="DP422" s="241"/>
      <c r="DQ422" s="241"/>
      <c r="DR422" s="241"/>
      <c r="DS422" s="241"/>
      <c r="DT422" s="241"/>
      <c r="DU422" s="241"/>
      <c r="DV422" s="241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345"/>
      <c r="EM422" s="245"/>
      <c r="EN422" s="245"/>
      <c r="EO422" s="245"/>
      <c r="EP422" s="245"/>
      <c r="EQ422" s="351"/>
    </row>
    <row r="423" spans="2:147" s="243" customFormat="1" ht="11.25" customHeight="1">
      <c r="B423" s="343"/>
      <c r="C423" s="240"/>
      <c r="D423" s="240"/>
      <c r="E423" s="240"/>
      <c r="F423" s="240"/>
      <c r="G423" s="240"/>
      <c r="H423" s="240"/>
      <c r="I423" s="240"/>
      <c r="J423" s="240"/>
      <c r="K423" s="240"/>
      <c r="L423" s="240"/>
      <c r="M423" s="240" t="str">
        <f>TEXT(3600,"#,##0.#######")</f>
        <v>3,600.</v>
      </c>
      <c r="N423" s="240"/>
      <c r="O423" s="240"/>
      <c r="P423" s="240"/>
      <c r="Q423" s="240"/>
      <c r="R423" s="240" t="s">
        <v>652</v>
      </c>
      <c r="S423" s="240"/>
      <c r="T423" s="240" t="s">
        <v>773</v>
      </c>
      <c r="U423" s="240" t="s">
        <v>652</v>
      </c>
      <c r="V423" s="240"/>
      <c r="W423" s="240" t="s">
        <v>775</v>
      </c>
      <c r="X423" s="240" t="s">
        <v>652</v>
      </c>
      <c r="Y423" s="240"/>
      <c r="Z423" s="240" t="s">
        <v>774</v>
      </c>
      <c r="AA423" s="240" t="s">
        <v>652</v>
      </c>
      <c r="AB423" s="240"/>
      <c r="AC423" s="240" t="s">
        <v>692</v>
      </c>
      <c r="AD423" s="240"/>
      <c r="AE423" s="240"/>
      <c r="AF423" s="240" t="str">
        <f>TEXT(M423,"#,##0.#######")</f>
        <v>3,600.</v>
      </c>
      <c r="AG423" s="240"/>
      <c r="AH423" s="240"/>
      <c r="AI423" s="240"/>
      <c r="AJ423" s="240"/>
      <c r="AK423" s="240" t="s">
        <v>652</v>
      </c>
      <c r="AL423" s="240"/>
      <c r="AM423" s="240" t="str">
        <f>TEXT(L419,"#,##0.#######")</f>
        <v>0.4</v>
      </c>
      <c r="AN423" s="240"/>
      <c r="AO423" s="240"/>
      <c r="AP423" s="240" t="s">
        <v>652</v>
      </c>
      <c r="AQ423" s="240"/>
      <c r="AR423" s="240" t="str">
        <f>TEXT(AY419,"#,##0.#######")</f>
        <v>0.55</v>
      </c>
      <c r="AS423" s="240"/>
      <c r="AT423" s="240"/>
      <c r="AU423" s="240"/>
      <c r="AV423" s="240" t="s">
        <v>652</v>
      </c>
      <c r="AW423" s="240"/>
      <c r="AX423" s="240" t="str">
        <f>TEXT(AI419,"#,##0.#######")</f>
        <v>0.67</v>
      </c>
      <c r="AY423" s="240"/>
      <c r="AZ423" s="240"/>
      <c r="BA423" s="240"/>
      <c r="BB423" s="240" t="s">
        <v>652</v>
      </c>
      <c r="BC423" s="240"/>
      <c r="BD423" s="240" t="str">
        <f>TEXT(L421,"#,##0.#######")</f>
        <v>0.45</v>
      </c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T423" s="240"/>
      <c r="BU423" s="240"/>
      <c r="BV423" s="240"/>
      <c r="BW423" s="240"/>
      <c r="BX423" s="240"/>
      <c r="BY423" s="240"/>
      <c r="BZ423" s="240"/>
      <c r="CA423" s="240"/>
      <c r="CB423" s="240"/>
      <c r="CC423" s="240"/>
      <c r="CD423" s="240"/>
      <c r="CE423" s="240"/>
      <c r="CF423" s="240"/>
      <c r="CG423" s="240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1"/>
      <c r="DA423" s="241"/>
      <c r="DB423" s="241"/>
      <c r="DC423" s="241"/>
      <c r="DD423" s="241"/>
      <c r="DE423" s="241"/>
      <c r="DF423" s="241"/>
      <c r="DG423" s="241"/>
      <c r="DH423" s="241"/>
      <c r="DI423" s="241"/>
      <c r="DJ423" s="241"/>
      <c r="DK423" s="241"/>
      <c r="DL423" s="241"/>
      <c r="DM423" s="241"/>
      <c r="DN423" s="241"/>
      <c r="DO423" s="241"/>
      <c r="DP423" s="241"/>
      <c r="DQ423" s="241"/>
      <c r="DR423" s="241"/>
      <c r="DS423" s="241"/>
      <c r="DT423" s="241"/>
      <c r="DU423" s="241"/>
      <c r="DV423" s="241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345"/>
      <c r="EM423" s="245"/>
      <c r="EN423" s="245"/>
      <c r="EO423" s="245"/>
      <c r="EP423" s="245"/>
      <c r="EQ423" s="351"/>
    </row>
    <row r="424" spans="2:147" s="243" customFormat="1" ht="11.25" customHeight="1">
      <c r="B424" s="343"/>
      <c r="C424" s="240"/>
      <c r="D424" s="240"/>
      <c r="E424" s="240"/>
      <c r="F424" s="240"/>
      <c r="G424" s="240"/>
      <c r="H424" s="240" t="s">
        <v>687</v>
      </c>
      <c r="I424" s="240"/>
      <c r="J424" s="240" t="s">
        <v>134</v>
      </c>
      <c r="K424" s="240"/>
      <c r="L424" s="240" t="s">
        <v>694</v>
      </c>
      <c r="M424" s="240"/>
      <c r="N424" s="240" t="s">
        <v>694</v>
      </c>
      <c r="O424" s="240"/>
      <c r="P424" s="240" t="s">
        <v>694</v>
      </c>
      <c r="Q424" s="240"/>
      <c r="R424" s="240" t="s">
        <v>694</v>
      </c>
      <c r="S424" s="240"/>
      <c r="T424" s="240" t="s">
        <v>694</v>
      </c>
      <c r="U424" s="240"/>
      <c r="V424" s="240" t="s">
        <v>694</v>
      </c>
      <c r="W424" s="240"/>
      <c r="X424" s="240" t="s">
        <v>694</v>
      </c>
      <c r="Y424" s="240"/>
      <c r="Z424" s="240" t="s">
        <v>694</v>
      </c>
      <c r="AA424" s="240"/>
      <c r="AB424" s="240" t="s">
        <v>694</v>
      </c>
      <c r="AC424" s="240"/>
      <c r="AD424" s="240"/>
      <c r="AE424" s="240" t="s">
        <v>134</v>
      </c>
      <c r="AF424" s="240"/>
      <c r="AG424" s="240" t="s">
        <v>694</v>
      </c>
      <c r="AH424" s="240"/>
      <c r="AI424" s="240" t="s">
        <v>694</v>
      </c>
      <c r="AJ424" s="240"/>
      <c r="AK424" s="240" t="s">
        <v>694</v>
      </c>
      <c r="AL424" s="240"/>
      <c r="AM424" s="240" t="s">
        <v>694</v>
      </c>
      <c r="AN424" s="240"/>
      <c r="AO424" s="240" t="s">
        <v>694</v>
      </c>
      <c r="AP424" s="240"/>
      <c r="AQ424" s="240" t="s">
        <v>694</v>
      </c>
      <c r="AR424" s="240"/>
      <c r="AS424" s="240" t="s">
        <v>694</v>
      </c>
      <c r="AT424" s="240"/>
      <c r="AU424" s="240" t="s">
        <v>694</v>
      </c>
      <c r="AV424" s="240"/>
      <c r="AW424" s="240" t="s">
        <v>694</v>
      </c>
      <c r="AX424" s="240"/>
      <c r="AY424" s="240" t="s">
        <v>694</v>
      </c>
      <c r="AZ424" s="240"/>
      <c r="BA424" s="240" t="s">
        <v>694</v>
      </c>
      <c r="BB424" s="240"/>
      <c r="BC424" s="240" t="s">
        <v>694</v>
      </c>
      <c r="BD424" s="240"/>
      <c r="BE424" s="240" t="s">
        <v>694</v>
      </c>
      <c r="BF424" s="240"/>
      <c r="BG424" s="240" t="s">
        <v>694</v>
      </c>
      <c r="BH424" s="240"/>
      <c r="BI424" s="240"/>
      <c r="BJ424" s="240" t="s">
        <v>134</v>
      </c>
      <c r="BK424" s="240"/>
      <c r="BL424" s="240" t="str">
        <f>TEXT(ROUND((3600*L419*AY419*AI419*L421)/(Z421),2),"#,##0.#######")</f>
        <v>13.27</v>
      </c>
      <c r="BM424" s="240"/>
      <c r="BN424" s="240"/>
      <c r="BO424" s="240" t="s">
        <v>91</v>
      </c>
      <c r="BP424" s="240"/>
      <c r="BQ424" s="240" t="s">
        <v>139</v>
      </c>
      <c r="BR424" s="240" t="s">
        <v>618</v>
      </c>
      <c r="BT424" s="240"/>
      <c r="BU424" s="240"/>
      <c r="BV424" s="240"/>
      <c r="BW424" s="240"/>
      <c r="BX424" s="240"/>
      <c r="BY424" s="240"/>
      <c r="BZ424" s="240"/>
      <c r="CA424" s="240"/>
      <c r="CB424" s="240"/>
      <c r="CC424" s="240"/>
      <c r="CD424" s="240"/>
      <c r="CE424" s="240"/>
      <c r="CF424" s="240"/>
      <c r="CG424" s="240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1"/>
      <c r="DA424" s="241"/>
      <c r="DB424" s="241"/>
      <c r="DC424" s="241"/>
      <c r="DD424" s="241"/>
      <c r="DE424" s="241"/>
      <c r="DF424" s="241"/>
      <c r="DG424" s="241"/>
      <c r="DH424" s="241"/>
      <c r="DI424" s="241"/>
      <c r="DJ424" s="241"/>
      <c r="DK424" s="241"/>
      <c r="DL424" s="241"/>
      <c r="DM424" s="241"/>
      <c r="DN424" s="241"/>
      <c r="DO424" s="241"/>
      <c r="DP424" s="241"/>
      <c r="DQ424" s="241"/>
      <c r="DR424" s="241"/>
      <c r="DS424" s="241"/>
      <c r="DT424" s="241"/>
      <c r="DU424" s="241"/>
      <c r="DV424" s="241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345"/>
      <c r="EM424" s="245"/>
      <c r="EN424" s="245"/>
      <c r="EO424" s="245"/>
      <c r="EP424" s="245"/>
      <c r="EQ424" s="351"/>
    </row>
    <row r="425" spans="2:147" s="243" customFormat="1" ht="11.25" customHeight="1">
      <c r="B425" s="343"/>
      <c r="C425" s="240"/>
      <c r="D425" s="240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 t="s">
        <v>693</v>
      </c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 t="str">
        <f>TEXT(Z421,"#,##0.#######")</f>
        <v>18.</v>
      </c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T425" s="240"/>
      <c r="BU425" s="240"/>
      <c r="BV425" s="240"/>
      <c r="BW425" s="240"/>
      <c r="BX425" s="240"/>
      <c r="BY425" s="240"/>
      <c r="BZ425" s="240"/>
      <c r="CA425" s="240"/>
      <c r="CB425" s="240"/>
      <c r="CC425" s="240"/>
      <c r="CD425" s="240"/>
      <c r="CE425" s="240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1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345"/>
      <c r="EM425" s="245"/>
      <c r="EN425" s="245"/>
      <c r="EO425" s="245"/>
      <c r="EP425" s="245"/>
      <c r="EQ425" s="351"/>
    </row>
    <row r="426" spans="2:147" s="243" customFormat="1" ht="11.25" customHeight="1">
      <c r="B426" s="343"/>
      <c r="C426" s="240"/>
      <c r="D426" s="240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240"/>
      <c r="CA426" s="240"/>
      <c r="CB426" s="240"/>
      <c r="CC426" s="240"/>
      <c r="CD426" s="240"/>
      <c r="CE426" s="240"/>
      <c r="CF426" s="240"/>
      <c r="CG426" s="240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1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345"/>
      <c r="EM426" s="245"/>
      <c r="EN426" s="245"/>
      <c r="EO426" s="245"/>
      <c r="EP426" s="245"/>
      <c r="EQ426" s="351"/>
    </row>
    <row r="427" spans="2:147" s="243" customFormat="1" ht="11.25" customHeight="1">
      <c r="B427" s="343"/>
      <c r="C427" s="240"/>
      <c r="D427" s="240"/>
      <c r="E427" s="240"/>
      <c r="F427" s="240"/>
      <c r="G427" s="240"/>
      <c r="H427" s="240" t="s">
        <v>616</v>
      </c>
      <c r="I427" s="240"/>
      <c r="J427" s="240"/>
      <c r="K427" s="240"/>
      <c r="L427" s="240"/>
      <c r="M427" s="240"/>
      <c r="N427" s="240"/>
      <c r="O427" s="240" t="s">
        <v>132</v>
      </c>
      <c r="P427" s="240"/>
      <c r="Q427" s="1780" t="e">
        <f>#REF!</f>
        <v>#REF!</v>
      </c>
      <c r="R427" s="1780"/>
      <c r="S427" s="1780"/>
      <c r="T427" s="1780"/>
      <c r="U427" s="1780"/>
      <c r="V427" s="240"/>
      <c r="W427" s="240"/>
      <c r="X427" s="240" t="s">
        <v>683</v>
      </c>
      <c r="Y427" s="240"/>
      <c r="Z427" s="240"/>
      <c r="AA427" s="240" t="str">
        <f>TEXT(BL424,"#,##0.#######")</f>
        <v>13.27</v>
      </c>
      <c r="AB427" s="240"/>
      <c r="AC427" s="240"/>
      <c r="AD427" s="240"/>
      <c r="AE427" s="240"/>
      <c r="AF427" s="240" t="s">
        <v>134</v>
      </c>
      <c r="AG427" s="240"/>
      <c r="AI427" s="240"/>
      <c r="AJ427" s="240" t="e">
        <f>TEXT(TRUNC(Q427/BL424,1),"#,##0.#")</f>
        <v>#REF!</v>
      </c>
      <c r="AK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240"/>
      <c r="CA427" s="240"/>
      <c r="CB427" s="240"/>
      <c r="CC427" s="240"/>
      <c r="CD427" s="240"/>
      <c r="CE427" s="240"/>
      <c r="CF427" s="240"/>
      <c r="CG427" s="240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1"/>
      <c r="DA427" s="241"/>
      <c r="DB427" s="241"/>
      <c r="DC427" s="241"/>
      <c r="DD427" s="241"/>
      <c r="DE427" s="241"/>
      <c r="DF427" s="241"/>
      <c r="DG427" s="241"/>
      <c r="DH427" s="241"/>
      <c r="DI427" s="241"/>
      <c r="DJ427" s="241"/>
      <c r="DK427" s="241"/>
      <c r="DL427" s="241"/>
      <c r="DM427" s="241"/>
      <c r="DN427" s="241"/>
      <c r="DO427" s="241"/>
      <c r="DP427" s="241"/>
      <c r="DQ427" s="241"/>
      <c r="DR427" s="241"/>
      <c r="DS427" s="241"/>
      <c r="DT427" s="241"/>
      <c r="DU427" s="241"/>
      <c r="DV427" s="241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345"/>
      <c r="EM427" s="245"/>
      <c r="EN427" s="245"/>
      <c r="EO427" s="245"/>
      <c r="EP427" s="245"/>
      <c r="EQ427" s="351"/>
    </row>
    <row r="428" spans="2:147" s="243" customFormat="1" ht="11.25" customHeight="1">
      <c r="B428" s="343"/>
      <c r="C428" s="240"/>
      <c r="D428" s="240"/>
      <c r="E428" s="240"/>
      <c r="F428" s="240"/>
      <c r="G428" s="240"/>
      <c r="H428" s="240" t="s">
        <v>617</v>
      </c>
      <c r="I428" s="240"/>
      <c r="J428" s="240"/>
      <c r="K428" s="240"/>
      <c r="L428" s="240"/>
      <c r="M428" s="240"/>
      <c r="N428" s="240"/>
      <c r="O428" s="240" t="s">
        <v>132</v>
      </c>
      <c r="P428" s="240"/>
      <c r="Q428" s="1780" t="e">
        <f>#REF!</f>
        <v>#REF!</v>
      </c>
      <c r="R428" s="1780"/>
      <c r="S428" s="1780"/>
      <c r="T428" s="1780"/>
      <c r="U428" s="1780"/>
      <c r="V428" s="240"/>
      <c r="W428" s="240"/>
      <c r="X428" s="240" t="s">
        <v>683</v>
      </c>
      <c r="Y428" s="240"/>
      <c r="Z428" s="240"/>
      <c r="AA428" s="240" t="str">
        <f>TEXT(BL424,"#,##0.#######")</f>
        <v>13.27</v>
      </c>
      <c r="AB428" s="240"/>
      <c r="AC428" s="240"/>
      <c r="AD428" s="240"/>
      <c r="AE428" s="240"/>
      <c r="AF428" s="240" t="s">
        <v>134</v>
      </c>
      <c r="AG428" s="240"/>
      <c r="AH428" s="240"/>
      <c r="AI428" s="240"/>
      <c r="AJ428" s="240" t="e">
        <f>TEXT(TRUNC(Q428/BL424,1),"#,##0.#")</f>
        <v>#REF!</v>
      </c>
      <c r="AK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240"/>
      <c r="CA428" s="240"/>
      <c r="CB428" s="240"/>
      <c r="CC428" s="240"/>
      <c r="CD428" s="240"/>
      <c r="CE428" s="240"/>
      <c r="CF428" s="240"/>
      <c r="CG428" s="240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1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345"/>
      <c r="EM428" s="245"/>
      <c r="EN428" s="245"/>
      <c r="EO428" s="245"/>
      <c r="EP428" s="245"/>
      <c r="EQ428" s="351"/>
    </row>
    <row r="429" spans="2:147" s="243" customFormat="1" ht="11.25" customHeight="1">
      <c r="B429" s="343"/>
      <c r="C429" s="240"/>
      <c r="D429" s="240"/>
      <c r="E429" s="240"/>
      <c r="F429" s="240"/>
      <c r="G429" s="240"/>
      <c r="H429" s="240" t="s">
        <v>679</v>
      </c>
      <c r="I429" s="240"/>
      <c r="J429" s="240"/>
      <c r="K429" s="240"/>
      <c r="L429" s="240" t="s">
        <v>680</v>
      </c>
      <c r="M429" s="240"/>
      <c r="N429" s="240"/>
      <c r="O429" s="240" t="s">
        <v>132</v>
      </c>
      <c r="P429" s="240"/>
      <c r="Q429" s="1780" t="e">
        <f>#REF!</f>
        <v>#REF!</v>
      </c>
      <c r="R429" s="1780"/>
      <c r="S429" s="1780"/>
      <c r="T429" s="1780"/>
      <c r="U429" s="1780"/>
      <c r="V429" s="240"/>
      <c r="W429" s="240"/>
      <c r="X429" s="240" t="s">
        <v>683</v>
      </c>
      <c r="Y429" s="240"/>
      <c r="Z429" s="240"/>
      <c r="AA429" s="240" t="str">
        <f>TEXT(BL424,"#,##0.#######")</f>
        <v>13.27</v>
      </c>
      <c r="AB429" s="240"/>
      <c r="AC429" s="240"/>
      <c r="AD429" s="240"/>
      <c r="AE429" s="240"/>
      <c r="AF429" s="240" t="s">
        <v>134</v>
      </c>
      <c r="AG429" s="240"/>
      <c r="AH429" s="240"/>
      <c r="AI429" s="240"/>
      <c r="AJ429" s="240" t="e">
        <f>TEXT(TRUNC(Q429/BL424,1),"#,##0.#")</f>
        <v>#REF!</v>
      </c>
      <c r="AK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240"/>
      <c r="CA429" s="240"/>
      <c r="CB429" s="240"/>
      <c r="CC429" s="240"/>
      <c r="CD429" s="240"/>
      <c r="CE429" s="240"/>
      <c r="CF429" s="240"/>
      <c r="CG429" s="240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1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345"/>
      <c r="EM429" s="245"/>
      <c r="EN429" s="245"/>
      <c r="EO429" s="245"/>
      <c r="EP429" s="245"/>
      <c r="EQ429" s="351"/>
    </row>
    <row r="430" spans="2:147" s="243" customFormat="1" ht="11.25" customHeight="1">
      <c r="B430" s="343"/>
      <c r="C430" s="240"/>
      <c r="D430" s="240"/>
      <c r="E430" s="240"/>
      <c r="F430" s="240"/>
      <c r="G430" s="240"/>
      <c r="H430" s="240" t="s">
        <v>688</v>
      </c>
      <c r="I430" s="240"/>
      <c r="J430" s="240"/>
      <c r="K430" s="240"/>
      <c r="L430" s="240" t="s">
        <v>96</v>
      </c>
      <c r="M430" s="240"/>
      <c r="N430" s="240"/>
      <c r="O430" s="240" t="s">
        <v>132</v>
      </c>
      <c r="P430" s="240"/>
      <c r="Q430" s="240" t="e">
        <f>TEXT(AJ427+AJ428+AJ429,"#,##0.#######")</f>
        <v>#REF!</v>
      </c>
      <c r="R430" s="240"/>
      <c r="S430" s="240"/>
      <c r="T430" s="240"/>
      <c r="U430" s="240"/>
      <c r="V430" s="240"/>
      <c r="W430" s="240"/>
      <c r="X430" s="240"/>
      <c r="Y430" s="240"/>
      <c r="Z430" s="240"/>
      <c r="AA430" s="240"/>
      <c r="AB430" s="240"/>
      <c r="AC430" s="240"/>
      <c r="AD430" s="240"/>
      <c r="AE430" s="240"/>
      <c r="AF430" s="240"/>
      <c r="AG430" s="240"/>
      <c r="AH430" s="240"/>
      <c r="AJ430" s="240"/>
      <c r="AK430" s="240"/>
      <c r="AL430" s="240"/>
      <c r="AM430" s="240"/>
      <c r="AN430" s="240"/>
      <c r="AO430" s="240"/>
      <c r="AP430" s="240"/>
      <c r="AQ430" s="240"/>
      <c r="AR430" s="240"/>
      <c r="AS430" s="240"/>
      <c r="AT430" s="240"/>
      <c r="AU430" s="240"/>
      <c r="AV430" s="240"/>
      <c r="AW430" s="240"/>
      <c r="AX430" s="240"/>
      <c r="AY430" s="240"/>
      <c r="AZ430" s="240"/>
      <c r="BA430" s="240"/>
      <c r="BB430" s="240"/>
      <c r="BC430" s="240"/>
      <c r="BD430" s="240"/>
      <c r="BE430" s="240"/>
      <c r="BF430" s="240"/>
      <c r="BG430" s="240"/>
      <c r="BH430" s="240"/>
      <c r="BI430" s="240"/>
      <c r="BJ430" s="240"/>
      <c r="BK430" s="240"/>
      <c r="BL430" s="240"/>
      <c r="BM430" s="240"/>
      <c r="BN430" s="240"/>
      <c r="BO430" s="240"/>
      <c r="BP430" s="240"/>
      <c r="BQ430" s="240"/>
      <c r="BR430" s="240"/>
      <c r="BS430" s="240"/>
      <c r="BT430" s="240"/>
      <c r="BU430" s="240"/>
      <c r="BV430" s="240"/>
      <c r="BW430" s="240"/>
      <c r="BX430" s="240"/>
      <c r="BY430" s="240"/>
      <c r="BZ430" s="240"/>
      <c r="CA430" s="240"/>
      <c r="CB430" s="240"/>
      <c r="CC430" s="240"/>
      <c r="CD430" s="240"/>
      <c r="CE430" s="240"/>
      <c r="CF430" s="240"/>
      <c r="CG430" s="240"/>
      <c r="CH430" s="240"/>
      <c r="CI430" s="240"/>
      <c r="CJ430" s="240"/>
      <c r="CK430" s="240"/>
      <c r="CL430" s="240"/>
      <c r="CM430" s="240"/>
      <c r="CN430" s="240"/>
      <c r="CO430" s="240"/>
      <c r="CP430" s="240"/>
      <c r="CQ430" s="240"/>
      <c r="CR430" s="240"/>
      <c r="CS430" s="240"/>
      <c r="CT430" s="240"/>
      <c r="CU430" s="240"/>
      <c r="CV430" s="240"/>
      <c r="CW430" s="240"/>
      <c r="CX430" s="240"/>
      <c r="CY430" s="240"/>
      <c r="CZ430" s="241"/>
      <c r="DA430" s="241"/>
      <c r="DB430" s="241"/>
      <c r="DC430" s="241"/>
      <c r="DD430" s="241"/>
      <c r="DE430" s="241"/>
      <c r="DF430" s="241"/>
      <c r="DG430" s="241"/>
      <c r="DH430" s="241"/>
      <c r="DI430" s="241"/>
      <c r="DJ430" s="241"/>
      <c r="DK430" s="241"/>
      <c r="DL430" s="241"/>
      <c r="DM430" s="241"/>
      <c r="DN430" s="241"/>
      <c r="DO430" s="241"/>
      <c r="DP430" s="241"/>
      <c r="DQ430" s="241"/>
      <c r="DR430" s="241"/>
      <c r="DS430" s="241"/>
      <c r="DT430" s="241"/>
      <c r="DU430" s="241"/>
      <c r="DV430" s="241"/>
      <c r="DW430" s="241"/>
      <c r="DX430" s="241"/>
      <c r="DY430" s="241"/>
      <c r="DZ430" s="241"/>
      <c r="EA430" s="241"/>
      <c r="EB430" s="241"/>
      <c r="EC430" s="241"/>
      <c r="ED430" s="241"/>
      <c r="EE430" s="241"/>
      <c r="EF430" s="241"/>
      <c r="EG430" s="241"/>
      <c r="EH430" s="241"/>
      <c r="EI430" s="241"/>
      <c r="EJ430" s="241"/>
      <c r="EK430" s="241"/>
      <c r="EL430" s="345"/>
      <c r="EM430" s="245" t="e">
        <f>EN430+EO430+EP430</f>
        <v>#REF!</v>
      </c>
      <c r="EN430" s="245" t="e">
        <f>TEXT(AJ427,"#,###.0")</f>
        <v>#REF!</v>
      </c>
      <c r="EO430" s="245" t="e">
        <f>TEXT(AJ428,"#,###.0")</f>
        <v>#REF!</v>
      </c>
      <c r="EP430" s="245" t="e">
        <f>TEXT(AJ429,"#,###.0")</f>
        <v>#REF!</v>
      </c>
      <c r="EQ430" s="351"/>
    </row>
    <row r="431" spans="2:147" s="243" customFormat="1" ht="11.25" customHeight="1">
      <c r="B431" s="343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240"/>
      <c r="CA431" s="240"/>
      <c r="CB431" s="240"/>
      <c r="CC431" s="240"/>
      <c r="CD431" s="240"/>
      <c r="CE431" s="240"/>
      <c r="CF431" s="240"/>
      <c r="CG431" s="240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1"/>
      <c r="DA431" s="241"/>
      <c r="DB431" s="241"/>
      <c r="DC431" s="241"/>
      <c r="DD431" s="241"/>
      <c r="DE431" s="241"/>
      <c r="DF431" s="241"/>
      <c r="DG431" s="241"/>
      <c r="DH431" s="241"/>
      <c r="DI431" s="241"/>
      <c r="DJ431" s="241"/>
      <c r="DK431" s="241"/>
      <c r="DL431" s="241"/>
      <c r="DM431" s="241"/>
      <c r="DN431" s="241"/>
      <c r="DO431" s="241"/>
      <c r="DP431" s="241"/>
      <c r="DQ431" s="241"/>
      <c r="DR431" s="241"/>
      <c r="DS431" s="241"/>
      <c r="DT431" s="241"/>
      <c r="DU431" s="241"/>
      <c r="DV431" s="241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345"/>
      <c r="EM431" s="245"/>
      <c r="EN431" s="245"/>
      <c r="EO431" s="245"/>
      <c r="EP431" s="245"/>
      <c r="EQ431" s="351"/>
    </row>
    <row r="432" spans="2:147" s="243" customFormat="1" ht="11.25" customHeight="1">
      <c r="B432" s="343"/>
      <c r="C432" s="240"/>
      <c r="D432" s="240"/>
      <c r="E432" s="240" t="s">
        <v>696</v>
      </c>
      <c r="F432" s="240"/>
      <c r="G432" s="240"/>
      <c r="H432" s="240" t="s">
        <v>678</v>
      </c>
      <c r="I432" s="240"/>
      <c r="J432" s="240"/>
      <c r="K432" s="240"/>
      <c r="L432" s="240"/>
      <c r="M432" s="240" t="s">
        <v>96</v>
      </c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240"/>
      <c r="CA432" s="240"/>
      <c r="CB432" s="240"/>
      <c r="CC432" s="240"/>
      <c r="CD432" s="240"/>
      <c r="CE432" s="240"/>
      <c r="CF432" s="240"/>
      <c r="CG432" s="240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1"/>
      <c r="DA432" s="241"/>
      <c r="DB432" s="241"/>
      <c r="DC432" s="241"/>
      <c r="DD432" s="241"/>
      <c r="DE432" s="241"/>
      <c r="DF432" s="241"/>
      <c r="DG432" s="241"/>
      <c r="DH432" s="241"/>
      <c r="DI432" s="241"/>
      <c r="DJ432" s="241"/>
      <c r="DK432" s="241"/>
      <c r="DL432" s="241"/>
      <c r="DM432" s="241"/>
      <c r="DN432" s="241"/>
      <c r="DO432" s="241"/>
      <c r="DP432" s="241"/>
      <c r="DQ432" s="241"/>
      <c r="DR432" s="241"/>
      <c r="DS432" s="241"/>
      <c r="DT432" s="241"/>
      <c r="DU432" s="241"/>
      <c r="DV432" s="241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345"/>
      <c r="EM432" s="245"/>
      <c r="EN432" s="245"/>
      <c r="EO432" s="245"/>
      <c r="EP432" s="245"/>
      <c r="EQ432" s="351"/>
    </row>
    <row r="433" spans="1:150" s="243" customFormat="1" ht="11.25" customHeight="1">
      <c r="B433" s="343"/>
      <c r="C433" s="240"/>
      <c r="D433" s="240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240"/>
      <c r="CA433" s="240"/>
      <c r="CB433" s="240"/>
      <c r="CC433" s="240"/>
      <c r="CD433" s="240"/>
      <c r="CE433" s="240"/>
      <c r="CF433" s="240"/>
      <c r="CG433" s="240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1"/>
      <c r="DA433" s="241"/>
      <c r="DB433" s="241"/>
      <c r="DC433" s="241"/>
      <c r="DD433" s="241"/>
      <c r="DE433" s="241"/>
      <c r="DF433" s="241"/>
      <c r="DG433" s="241"/>
      <c r="DH433" s="241"/>
      <c r="DI433" s="241"/>
      <c r="DJ433" s="241"/>
      <c r="DK433" s="241"/>
      <c r="DL433" s="241"/>
      <c r="DM433" s="241"/>
      <c r="DN433" s="241"/>
      <c r="DO433" s="241"/>
      <c r="DP433" s="241"/>
      <c r="DQ433" s="241"/>
      <c r="DR433" s="241"/>
      <c r="DS433" s="241"/>
      <c r="DT433" s="241"/>
      <c r="DU433" s="241"/>
      <c r="DV433" s="241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345"/>
      <c r="EM433" s="245"/>
      <c r="EN433" s="245"/>
      <c r="EO433" s="245"/>
      <c r="EP433" s="245"/>
      <c r="EQ433" s="351"/>
    </row>
    <row r="434" spans="1:150" s="243" customFormat="1" ht="11.25" customHeight="1">
      <c r="B434" s="343"/>
      <c r="C434" s="240"/>
      <c r="D434" s="240"/>
      <c r="E434" s="240"/>
      <c r="F434" s="240"/>
      <c r="G434" s="240"/>
      <c r="H434" s="240"/>
      <c r="I434" s="240" t="s">
        <v>616</v>
      </c>
      <c r="J434" s="240"/>
      <c r="K434" s="240"/>
      <c r="L434" s="240"/>
      <c r="M434" s="240"/>
      <c r="N434" s="240"/>
      <c r="O434" s="240"/>
      <c r="P434" s="240" t="s">
        <v>132</v>
      </c>
      <c r="Q434" s="240"/>
      <c r="R434" s="240" t="e">
        <f>TEXT(EN407,"#,###.##")</f>
        <v>#REF!</v>
      </c>
      <c r="S434" s="240"/>
      <c r="T434" s="240"/>
      <c r="U434" s="240"/>
      <c r="V434" s="240"/>
      <c r="W434" s="240"/>
      <c r="X434" s="240" t="s">
        <v>130</v>
      </c>
      <c r="Y434" s="240"/>
      <c r="Z434" s="240" t="str">
        <f>TEXT(EN411,"#,###.##")</f>
        <v>7,551.3</v>
      </c>
      <c r="AA434" s="240"/>
      <c r="AB434" s="240"/>
      <c r="AC434" s="240"/>
      <c r="AD434" s="240"/>
      <c r="AE434" s="240"/>
      <c r="AF434" s="240" t="s">
        <v>130</v>
      </c>
      <c r="AG434" s="240"/>
      <c r="AH434" s="240" t="e">
        <f>TEXT(EN430,"#,###.##")</f>
        <v>#REF!</v>
      </c>
      <c r="AI434" s="240"/>
      <c r="AJ434" s="240"/>
      <c r="AK434" s="240"/>
      <c r="AL434" s="240"/>
      <c r="AM434" s="240"/>
      <c r="AN434" s="240"/>
      <c r="AO434" s="240" t="s">
        <v>134</v>
      </c>
      <c r="AP434" s="240"/>
      <c r="AQ434" s="240"/>
      <c r="AR434" s="240" t="e">
        <f>TEXT(TRUNC(EN407+EN411+EN430,0),"#,##0")</f>
        <v>#REF!</v>
      </c>
      <c r="AS434" s="240"/>
      <c r="AW434" s="240"/>
      <c r="AX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240"/>
      <c r="CA434" s="240"/>
      <c r="CB434" s="240"/>
      <c r="CC434" s="240"/>
      <c r="CD434" s="240"/>
      <c r="CE434" s="240"/>
      <c r="CF434" s="240"/>
      <c r="CG434" s="240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1"/>
      <c r="DA434" s="241"/>
      <c r="DB434" s="241"/>
      <c r="DC434" s="241"/>
      <c r="DD434" s="241"/>
      <c r="DE434" s="241"/>
      <c r="DF434" s="241"/>
      <c r="DG434" s="241"/>
      <c r="DH434" s="241"/>
      <c r="DI434" s="241"/>
      <c r="DJ434" s="241"/>
      <c r="DK434" s="241"/>
      <c r="DL434" s="241"/>
      <c r="DM434" s="241"/>
      <c r="DN434" s="241"/>
      <c r="DO434" s="241"/>
      <c r="DP434" s="241"/>
      <c r="DQ434" s="241"/>
      <c r="DR434" s="241"/>
      <c r="DS434" s="241"/>
      <c r="DT434" s="241"/>
      <c r="DU434" s="241"/>
      <c r="DV434" s="241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345"/>
      <c r="EM434" s="245"/>
      <c r="EN434" s="245"/>
      <c r="EO434" s="245"/>
      <c r="EP434" s="245"/>
      <c r="EQ434" s="351"/>
    </row>
    <row r="435" spans="1:150" s="243" customFormat="1" ht="11.25" customHeight="1">
      <c r="B435" s="343"/>
      <c r="C435" s="240"/>
      <c r="D435" s="240"/>
      <c r="E435" s="240"/>
      <c r="F435" s="240"/>
      <c r="G435" s="240"/>
      <c r="H435" s="240"/>
      <c r="I435" s="240" t="s">
        <v>617</v>
      </c>
      <c r="J435" s="240"/>
      <c r="K435" s="240"/>
      <c r="L435" s="240"/>
      <c r="M435" s="240"/>
      <c r="N435" s="240"/>
      <c r="O435" s="240"/>
      <c r="P435" s="240" t="s">
        <v>132</v>
      </c>
      <c r="Q435" s="240"/>
      <c r="R435" s="240" t="e">
        <f>TEXT(EO407,"#,###.##")</f>
        <v>#REF!</v>
      </c>
      <c r="S435" s="240"/>
      <c r="T435" s="240"/>
      <c r="U435" s="240"/>
      <c r="V435" s="240"/>
      <c r="W435" s="240"/>
      <c r="X435" s="240" t="s">
        <v>130</v>
      </c>
      <c r="Y435" s="240"/>
      <c r="Z435" s="240" t="str">
        <f>TEXT(EO415,"#,###.##")</f>
        <v>172.3</v>
      </c>
      <c r="AA435" s="240"/>
      <c r="AB435" s="240"/>
      <c r="AC435" s="240"/>
      <c r="AD435" s="240"/>
      <c r="AE435" s="240"/>
      <c r="AF435" s="240" t="s">
        <v>130</v>
      </c>
      <c r="AG435" s="240"/>
      <c r="AH435" s="240" t="e">
        <f>TEXT(EO430,"#,###.##")</f>
        <v>#REF!</v>
      </c>
      <c r="AI435" s="240"/>
      <c r="AJ435" s="240"/>
      <c r="AK435" s="240"/>
      <c r="AL435" s="240"/>
      <c r="AM435" s="240"/>
      <c r="AN435" s="240"/>
      <c r="AO435" s="240" t="s">
        <v>134</v>
      </c>
      <c r="AP435" s="240"/>
      <c r="AQ435" s="240"/>
      <c r="AR435" s="240" t="e">
        <f>TEXT(TRUNC(EO407+EO415+EO430,0),"#,##0")</f>
        <v>#REF!</v>
      </c>
      <c r="AS435" s="240"/>
      <c r="AT435" s="240"/>
      <c r="AV435" s="240"/>
      <c r="AY435" s="240"/>
      <c r="AZ435" s="240"/>
      <c r="BA435" s="240"/>
      <c r="BB435" s="240"/>
      <c r="BC435" s="240"/>
      <c r="BD435" s="240"/>
      <c r="BE435" s="240"/>
      <c r="BF435" s="240"/>
      <c r="BG435" s="240"/>
      <c r="BH435" s="240"/>
      <c r="BI435" s="240"/>
      <c r="BJ435" s="240"/>
      <c r="BK435" s="240"/>
      <c r="BL435" s="240"/>
      <c r="BM435" s="240"/>
      <c r="BN435" s="240"/>
      <c r="BO435" s="240"/>
      <c r="BP435" s="240"/>
      <c r="BQ435" s="240"/>
      <c r="BR435" s="240"/>
      <c r="BS435" s="240"/>
      <c r="BT435" s="240"/>
      <c r="BU435" s="240"/>
      <c r="BV435" s="240"/>
      <c r="BW435" s="240"/>
      <c r="BX435" s="240"/>
      <c r="BY435" s="240"/>
      <c r="BZ435" s="240"/>
      <c r="CA435" s="240"/>
      <c r="CB435" s="240"/>
      <c r="CC435" s="240"/>
      <c r="CD435" s="240"/>
      <c r="CE435" s="240"/>
      <c r="CF435" s="240"/>
      <c r="CG435" s="240"/>
      <c r="CH435" s="240"/>
      <c r="CI435" s="240"/>
      <c r="CJ435" s="240"/>
      <c r="CK435" s="240"/>
      <c r="CL435" s="240"/>
      <c r="CM435" s="240"/>
      <c r="CN435" s="240"/>
      <c r="CO435" s="240"/>
      <c r="CP435" s="240"/>
      <c r="CQ435" s="240"/>
      <c r="CR435" s="240"/>
      <c r="CS435" s="240"/>
      <c r="CT435" s="240"/>
      <c r="CU435" s="240"/>
      <c r="CV435" s="240"/>
      <c r="CW435" s="240"/>
      <c r="CX435" s="240"/>
      <c r="CY435" s="240"/>
      <c r="CZ435" s="241"/>
      <c r="DA435" s="241"/>
      <c r="DB435" s="241"/>
      <c r="DC435" s="241"/>
      <c r="DD435" s="241"/>
      <c r="DE435" s="241"/>
      <c r="DF435" s="241"/>
      <c r="DG435" s="241"/>
      <c r="DH435" s="241"/>
      <c r="DI435" s="241"/>
      <c r="DJ435" s="241"/>
      <c r="DK435" s="241"/>
      <c r="DL435" s="241"/>
      <c r="DM435" s="241"/>
      <c r="DN435" s="241"/>
      <c r="DO435" s="241"/>
      <c r="DP435" s="241"/>
      <c r="DQ435" s="241"/>
      <c r="DR435" s="241"/>
      <c r="DS435" s="241"/>
      <c r="DT435" s="241"/>
      <c r="DU435" s="241"/>
      <c r="DV435" s="241"/>
      <c r="DW435" s="241"/>
      <c r="DX435" s="241"/>
      <c r="DY435" s="241"/>
      <c r="DZ435" s="241"/>
      <c r="EA435" s="241"/>
      <c r="EB435" s="241"/>
      <c r="EC435" s="241"/>
      <c r="ED435" s="241"/>
      <c r="EE435" s="241"/>
      <c r="EF435" s="241"/>
      <c r="EG435" s="241"/>
      <c r="EH435" s="241"/>
      <c r="EI435" s="241"/>
      <c r="EJ435" s="241"/>
      <c r="EK435" s="241"/>
      <c r="EL435" s="345"/>
      <c r="EM435" s="245"/>
      <c r="EN435" s="245"/>
      <c r="EO435" s="245"/>
      <c r="EP435" s="245"/>
      <c r="EQ435" s="351"/>
    </row>
    <row r="436" spans="1:150" s="243" customFormat="1" ht="11.25" customHeight="1">
      <c r="B436" s="343"/>
      <c r="C436" s="240"/>
      <c r="D436" s="240"/>
      <c r="E436" s="240"/>
      <c r="F436" s="240"/>
      <c r="G436" s="240"/>
      <c r="H436" s="240"/>
      <c r="I436" s="240" t="s">
        <v>679</v>
      </c>
      <c r="J436" s="240"/>
      <c r="K436" s="240" t="s">
        <v>680</v>
      </c>
      <c r="L436" s="240"/>
      <c r="M436" s="240"/>
      <c r="N436" s="240"/>
      <c r="O436" s="240"/>
      <c r="P436" s="240" t="s">
        <v>132</v>
      </c>
      <c r="Q436" s="240"/>
      <c r="R436" s="240" t="e">
        <f>TEXT(EP407,"#,###.##")</f>
        <v>#REF!</v>
      </c>
      <c r="S436" s="240"/>
      <c r="T436" s="240"/>
      <c r="U436" s="240"/>
      <c r="V436" s="240"/>
      <c r="W436" s="240"/>
      <c r="X436" s="240" t="s">
        <v>130</v>
      </c>
      <c r="Y436" s="240"/>
      <c r="Z436" s="240" t="e">
        <f>TEXT(EP430,"#,###.##")</f>
        <v>#REF!</v>
      </c>
      <c r="AA436" s="240"/>
      <c r="AB436" s="240"/>
      <c r="AC436" s="240"/>
      <c r="AD436" s="240"/>
      <c r="AE436" s="240"/>
      <c r="AF436" s="240" t="s">
        <v>134</v>
      </c>
      <c r="AG436" s="240"/>
      <c r="AH436" s="240"/>
      <c r="AI436" s="240" t="e">
        <f>TEXT(TRUNC(EP407+EP430,0),"#,##0")</f>
        <v>#REF!</v>
      </c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240"/>
      <c r="CA436" s="240"/>
      <c r="CB436" s="240"/>
      <c r="CC436" s="240"/>
      <c r="CD436" s="240"/>
      <c r="CE436" s="240"/>
      <c r="CF436" s="240"/>
      <c r="CG436" s="240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1"/>
      <c r="DA436" s="241"/>
      <c r="DB436" s="241"/>
      <c r="DC436" s="241"/>
      <c r="DD436" s="241"/>
      <c r="DE436" s="241"/>
      <c r="DF436" s="241"/>
      <c r="DG436" s="241"/>
      <c r="DH436" s="241"/>
      <c r="DI436" s="241"/>
      <c r="DJ436" s="241"/>
      <c r="DK436" s="241"/>
      <c r="DL436" s="241"/>
      <c r="DM436" s="241"/>
      <c r="DN436" s="241"/>
      <c r="DO436" s="241"/>
      <c r="DP436" s="241"/>
      <c r="DQ436" s="241"/>
      <c r="DR436" s="241"/>
      <c r="DS436" s="241"/>
      <c r="DT436" s="241"/>
      <c r="DU436" s="241"/>
      <c r="DV436" s="241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345"/>
      <c r="EM436" s="245"/>
      <c r="EN436" s="245"/>
      <c r="EO436" s="245"/>
      <c r="EP436" s="245"/>
      <c r="EQ436" s="351"/>
    </row>
    <row r="437" spans="1:150" s="243" customFormat="1" ht="11.25" customHeight="1">
      <c r="B437" s="343"/>
      <c r="C437" s="240"/>
      <c r="D437" s="240"/>
      <c r="E437" s="240"/>
      <c r="F437" s="240"/>
      <c r="G437" s="240"/>
      <c r="H437" s="240"/>
      <c r="I437" s="240"/>
      <c r="J437" s="240"/>
      <c r="K437" s="240" t="s">
        <v>96</v>
      </c>
      <c r="L437" s="240"/>
      <c r="M437" s="240"/>
      <c r="N437" s="240"/>
      <c r="O437" s="240"/>
      <c r="P437" s="240" t="s">
        <v>132</v>
      </c>
      <c r="Q437" s="240"/>
      <c r="R437" s="240" t="e">
        <f>TEXT(AR434+AR435+AI436,"#,##0")</f>
        <v>#REF!</v>
      </c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240"/>
      <c r="CA437" s="240"/>
      <c r="CB437" s="240"/>
      <c r="CC437" s="240"/>
      <c r="CD437" s="240"/>
      <c r="CE437" s="240"/>
      <c r="CF437" s="240"/>
      <c r="CG437" s="240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1"/>
      <c r="DA437" s="241"/>
      <c r="DB437" s="241"/>
      <c r="DC437" s="241"/>
      <c r="DD437" s="241"/>
      <c r="DE437" s="241"/>
      <c r="DF437" s="241"/>
      <c r="DG437" s="241"/>
      <c r="DH437" s="241"/>
      <c r="DI437" s="241"/>
      <c r="DJ437" s="241"/>
      <c r="DK437" s="241"/>
      <c r="DL437" s="241"/>
      <c r="DM437" s="241"/>
      <c r="DN437" s="241"/>
      <c r="DO437" s="241"/>
      <c r="DP437" s="241"/>
      <c r="DQ437" s="241"/>
      <c r="DR437" s="241"/>
      <c r="DS437" s="241"/>
      <c r="DT437" s="241"/>
      <c r="DU437" s="241"/>
      <c r="DV437" s="241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345"/>
      <c r="EM437" s="250" t="e">
        <f>EN437+EO437+EP437</f>
        <v>#REF!</v>
      </c>
      <c r="EN437" s="245" t="e">
        <f>TEXT(AR434,"#,##0")</f>
        <v>#REF!</v>
      </c>
      <c r="EO437" s="245" t="e">
        <f>TEXT(AR435,"#,##0")</f>
        <v>#REF!</v>
      </c>
      <c r="EP437" s="245" t="e">
        <f>TEXT(AI436,"#,##0")</f>
        <v>#REF!</v>
      </c>
      <c r="EQ437" s="351"/>
    </row>
    <row r="438" spans="1:150" ht="11.45" customHeight="1">
      <c r="B438" s="337"/>
      <c r="C438" s="338"/>
      <c r="D438" s="338"/>
      <c r="E438" s="338"/>
      <c r="F438" s="338"/>
      <c r="G438" s="338"/>
      <c r="H438" s="338"/>
      <c r="I438" s="338"/>
      <c r="J438" s="338"/>
      <c r="K438" s="338"/>
      <c r="L438" s="339"/>
      <c r="M438" s="339"/>
      <c r="N438" s="339"/>
      <c r="O438" s="338"/>
      <c r="P438" s="338"/>
      <c r="Q438" s="338"/>
      <c r="R438" s="338"/>
      <c r="S438" s="338"/>
      <c r="T438" s="338"/>
      <c r="U438" s="338"/>
      <c r="V438" s="338"/>
      <c r="W438" s="338"/>
      <c r="X438" s="338"/>
      <c r="Y438" s="338"/>
      <c r="Z438" s="338"/>
      <c r="AA438" s="338"/>
      <c r="AB438" s="338"/>
      <c r="AC438" s="338"/>
      <c r="AD438" s="338"/>
      <c r="AE438" s="338"/>
      <c r="AF438" s="338"/>
      <c r="AG438" s="338"/>
      <c r="AH438" s="338"/>
      <c r="AI438" s="338"/>
      <c r="AJ438" s="338"/>
      <c r="AK438" s="338"/>
      <c r="AL438" s="338"/>
      <c r="AM438" s="338"/>
      <c r="AN438" s="338"/>
      <c r="AO438" s="338"/>
      <c r="AP438" s="338"/>
      <c r="AQ438" s="338"/>
      <c r="AR438" s="338"/>
      <c r="AS438" s="338"/>
      <c r="AT438" s="338"/>
      <c r="AU438" s="338"/>
      <c r="AV438" s="338"/>
      <c r="AW438" s="338"/>
      <c r="AX438" s="338"/>
      <c r="AY438" s="338"/>
      <c r="AZ438" s="338"/>
      <c r="BA438" s="338"/>
      <c r="BB438" s="338"/>
      <c r="BC438" s="338"/>
      <c r="BD438" s="338"/>
      <c r="BE438" s="338"/>
      <c r="BF438" s="338"/>
      <c r="BG438" s="338"/>
      <c r="BH438" s="338"/>
      <c r="BI438" s="338"/>
      <c r="BJ438" s="338"/>
      <c r="BK438" s="338"/>
      <c r="BL438" s="338"/>
      <c r="BM438" s="338"/>
      <c r="BN438" s="338"/>
      <c r="BO438" s="338"/>
      <c r="BP438" s="338"/>
      <c r="BQ438" s="338"/>
      <c r="BR438" s="338"/>
      <c r="BS438" s="339"/>
      <c r="BT438" s="338"/>
      <c r="BU438" s="338"/>
      <c r="BV438" s="338"/>
      <c r="BW438" s="338"/>
      <c r="BX438" s="338"/>
      <c r="BY438" s="338"/>
      <c r="BZ438" s="338"/>
      <c r="CA438" s="338"/>
      <c r="CB438" s="338"/>
      <c r="CC438" s="338"/>
      <c r="CD438" s="338"/>
      <c r="CE438" s="338"/>
      <c r="CF438" s="338"/>
      <c r="CG438" s="338"/>
      <c r="CH438" s="338"/>
      <c r="CI438" s="338"/>
      <c r="CJ438" s="338"/>
      <c r="CK438" s="338"/>
      <c r="CL438" s="338"/>
      <c r="CM438" s="338"/>
      <c r="CN438" s="338"/>
      <c r="CO438" s="338"/>
      <c r="CP438" s="338"/>
      <c r="CQ438" s="338"/>
      <c r="CR438" s="338"/>
      <c r="CS438" s="338"/>
      <c r="CT438" s="338"/>
      <c r="CU438" s="338"/>
      <c r="CV438" s="338"/>
      <c r="CW438" s="338"/>
      <c r="CX438" s="338"/>
      <c r="CY438" s="338"/>
      <c r="CZ438" s="338"/>
      <c r="DA438" s="338"/>
      <c r="DB438" s="338"/>
      <c r="DC438" s="338"/>
      <c r="DD438" s="338"/>
      <c r="DE438" s="338"/>
      <c r="DF438" s="338"/>
      <c r="DG438" s="338"/>
      <c r="DH438" s="338"/>
      <c r="DI438" s="338"/>
      <c r="DJ438" s="338"/>
      <c r="DK438" s="338"/>
      <c r="DL438" s="338"/>
      <c r="DM438" s="338"/>
      <c r="DN438" s="338"/>
      <c r="DO438" s="338"/>
      <c r="DP438" s="338"/>
      <c r="DQ438" s="338"/>
      <c r="DR438" s="338"/>
      <c r="DS438" s="338"/>
      <c r="DT438" s="338"/>
      <c r="DU438" s="338"/>
      <c r="DV438" s="338"/>
      <c r="DW438" s="338"/>
      <c r="DX438" s="338"/>
      <c r="DY438" s="338"/>
      <c r="DZ438" s="338"/>
      <c r="EA438" s="338"/>
      <c r="EB438" s="338"/>
      <c r="EC438" s="338"/>
      <c r="ED438" s="338"/>
      <c r="EE438" s="338"/>
      <c r="EF438" s="338"/>
      <c r="EG438" s="338"/>
      <c r="EH438" s="338"/>
      <c r="EI438" s="338"/>
      <c r="EJ438" s="338"/>
      <c r="EK438" s="338"/>
      <c r="EL438" s="340"/>
      <c r="EM438" s="341"/>
      <c r="EN438" s="341"/>
      <c r="EO438" s="341"/>
      <c r="EP438" s="341"/>
      <c r="EQ438" s="342"/>
    </row>
    <row r="439" spans="1:150" ht="11.45" customHeight="1">
      <c r="B439" s="337"/>
      <c r="C439" s="338"/>
      <c r="D439" s="338"/>
      <c r="E439" s="338"/>
      <c r="F439" s="338"/>
      <c r="G439" s="338"/>
      <c r="H439" s="338"/>
      <c r="I439" s="338"/>
      <c r="J439" s="338"/>
      <c r="K439" s="338"/>
      <c r="L439" s="339"/>
      <c r="M439" s="339"/>
      <c r="N439" s="339"/>
      <c r="O439" s="338"/>
      <c r="P439" s="338"/>
      <c r="Q439" s="338"/>
      <c r="R439" s="338"/>
      <c r="S439" s="338"/>
      <c r="T439" s="338"/>
      <c r="U439" s="338"/>
      <c r="V439" s="338"/>
      <c r="W439" s="338"/>
      <c r="X439" s="338"/>
      <c r="Y439" s="338"/>
      <c r="Z439" s="338"/>
      <c r="AA439" s="338"/>
      <c r="AB439" s="338"/>
      <c r="AC439" s="338"/>
      <c r="AD439" s="338"/>
      <c r="AE439" s="338"/>
      <c r="AF439" s="338"/>
      <c r="AG439" s="338"/>
      <c r="AH439" s="338"/>
      <c r="AI439" s="338"/>
      <c r="AJ439" s="338"/>
      <c r="AK439" s="338"/>
      <c r="AL439" s="338"/>
      <c r="AM439" s="338"/>
      <c r="AN439" s="338"/>
      <c r="AO439" s="338"/>
      <c r="AP439" s="338"/>
      <c r="AQ439" s="338"/>
      <c r="AR439" s="338"/>
      <c r="AS439" s="338"/>
      <c r="AT439" s="338"/>
      <c r="AU439" s="338"/>
      <c r="AV439" s="338"/>
      <c r="AW439" s="338"/>
      <c r="AX439" s="338"/>
      <c r="AY439" s="338"/>
      <c r="AZ439" s="338"/>
      <c r="BA439" s="338"/>
      <c r="BB439" s="338"/>
      <c r="BC439" s="338"/>
      <c r="BD439" s="338"/>
      <c r="BE439" s="338"/>
      <c r="BF439" s="338"/>
      <c r="BG439" s="338"/>
      <c r="BH439" s="338"/>
      <c r="BI439" s="338"/>
      <c r="BJ439" s="338"/>
      <c r="BK439" s="338"/>
      <c r="BL439" s="338"/>
      <c r="BM439" s="338"/>
      <c r="BN439" s="338"/>
      <c r="BO439" s="338"/>
      <c r="BP439" s="338"/>
      <c r="BQ439" s="338"/>
      <c r="BR439" s="338"/>
      <c r="BS439" s="339"/>
      <c r="BT439" s="338"/>
      <c r="BU439" s="338"/>
      <c r="BV439" s="338"/>
      <c r="BW439" s="338"/>
      <c r="BX439" s="338"/>
      <c r="BY439" s="338"/>
      <c r="BZ439" s="338"/>
      <c r="CA439" s="338"/>
      <c r="CB439" s="338"/>
      <c r="CC439" s="338"/>
      <c r="CD439" s="338"/>
      <c r="CE439" s="338"/>
      <c r="CF439" s="338"/>
      <c r="CG439" s="338"/>
      <c r="CH439" s="338"/>
      <c r="CI439" s="338"/>
      <c r="CJ439" s="338"/>
      <c r="CK439" s="338"/>
      <c r="CL439" s="338"/>
      <c r="CM439" s="338"/>
      <c r="CN439" s="338"/>
      <c r="CO439" s="338"/>
      <c r="CP439" s="338"/>
      <c r="CQ439" s="338"/>
      <c r="CR439" s="338"/>
      <c r="CS439" s="338"/>
      <c r="CT439" s="338"/>
      <c r="CU439" s="338"/>
      <c r="CV439" s="338"/>
      <c r="CW439" s="338"/>
      <c r="CX439" s="338"/>
      <c r="CY439" s="338"/>
      <c r="CZ439" s="338"/>
      <c r="DA439" s="338"/>
      <c r="DB439" s="338"/>
      <c r="DC439" s="338"/>
      <c r="DD439" s="338"/>
      <c r="DE439" s="338"/>
      <c r="DF439" s="338"/>
      <c r="DG439" s="338"/>
      <c r="DH439" s="338"/>
      <c r="DI439" s="338"/>
      <c r="DJ439" s="338"/>
      <c r="DK439" s="338"/>
      <c r="DL439" s="338"/>
      <c r="DM439" s="338"/>
      <c r="DN439" s="338"/>
      <c r="DO439" s="338"/>
      <c r="DP439" s="338"/>
      <c r="DQ439" s="338"/>
      <c r="DR439" s="338"/>
      <c r="DS439" s="338"/>
      <c r="DT439" s="338"/>
      <c r="DU439" s="338"/>
      <c r="DV439" s="338"/>
      <c r="DW439" s="338"/>
      <c r="DX439" s="338"/>
      <c r="DY439" s="338"/>
      <c r="DZ439" s="338"/>
      <c r="EA439" s="338"/>
      <c r="EB439" s="338"/>
      <c r="EC439" s="338"/>
      <c r="ED439" s="338"/>
      <c r="EE439" s="338"/>
      <c r="EF439" s="338"/>
      <c r="EG439" s="338"/>
      <c r="EH439" s="338"/>
      <c r="EI439" s="338"/>
      <c r="EJ439" s="338"/>
      <c r="EK439" s="338"/>
      <c r="EL439" s="340"/>
      <c r="EM439" s="341"/>
      <c r="EN439" s="341"/>
      <c r="EO439" s="341"/>
      <c r="EP439" s="341"/>
      <c r="EQ439" s="342"/>
    </row>
    <row r="440" spans="1:150" ht="11.45" customHeight="1">
      <c r="B440" s="337"/>
      <c r="C440" s="338"/>
      <c r="D440" s="338"/>
      <c r="E440" s="338"/>
      <c r="F440" s="338"/>
      <c r="G440" s="338"/>
      <c r="H440" s="338"/>
      <c r="I440" s="338"/>
      <c r="J440" s="338"/>
      <c r="K440" s="338"/>
      <c r="L440" s="339"/>
      <c r="M440" s="339"/>
      <c r="N440" s="339"/>
      <c r="O440" s="338"/>
      <c r="P440" s="338"/>
      <c r="Q440" s="338"/>
      <c r="R440" s="338"/>
      <c r="S440" s="338"/>
      <c r="T440" s="338"/>
      <c r="U440" s="338"/>
      <c r="V440" s="338"/>
      <c r="W440" s="338"/>
      <c r="X440" s="338"/>
      <c r="Y440" s="338"/>
      <c r="Z440" s="338"/>
      <c r="AA440" s="338"/>
      <c r="AB440" s="338"/>
      <c r="AC440" s="338"/>
      <c r="AD440" s="338"/>
      <c r="AE440" s="338"/>
      <c r="AF440" s="338"/>
      <c r="AG440" s="338"/>
      <c r="AH440" s="338"/>
      <c r="AI440" s="338"/>
      <c r="AJ440" s="338"/>
      <c r="AK440" s="338"/>
      <c r="AL440" s="338"/>
      <c r="AM440" s="338"/>
      <c r="AN440" s="338"/>
      <c r="AO440" s="338"/>
      <c r="AP440" s="338"/>
      <c r="AQ440" s="338"/>
      <c r="AR440" s="338"/>
      <c r="AS440" s="338"/>
      <c r="AT440" s="338"/>
      <c r="AU440" s="338"/>
      <c r="AV440" s="338"/>
      <c r="AW440" s="338"/>
      <c r="AX440" s="338"/>
      <c r="AY440" s="338"/>
      <c r="AZ440" s="338"/>
      <c r="BA440" s="338"/>
      <c r="BB440" s="338"/>
      <c r="BC440" s="338"/>
      <c r="BD440" s="338"/>
      <c r="BE440" s="338"/>
      <c r="BF440" s="338"/>
      <c r="BG440" s="338"/>
      <c r="BH440" s="338"/>
      <c r="BI440" s="338"/>
      <c r="BJ440" s="338"/>
      <c r="BK440" s="338"/>
      <c r="BL440" s="338"/>
      <c r="BM440" s="338"/>
      <c r="BN440" s="338"/>
      <c r="BO440" s="338"/>
      <c r="BP440" s="338"/>
      <c r="BQ440" s="338"/>
      <c r="BR440" s="338"/>
      <c r="BS440" s="339"/>
      <c r="BT440" s="338"/>
      <c r="BU440" s="338"/>
      <c r="BV440" s="338"/>
      <c r="BW440" s="338"/>
      <c r="BX440" s="338"/>
      <c r="BY440" s="338"/>
      <c r="BZ440" s="338"/>
      <c r="CA440" s="338"/>
      <c r="CB440" s="338"/>
      <c r="CC440" s="338"/>
      <c r="CD440" s="338"/>
      <c r="CE440" s="338"/>
      <c r="CF440" s="338"/>
      <c r="CG440" s="338"/>
      <c r="CH440" s="338"/>
      <c r="CI440" s="338"/>
      <c r="CJ440" s="338"/>
      <c r="CK440" s="338"/>
      <c r="CL440" s="338"/>
      <c r="CM440" s="338"/>
      <c r="CN440" s="338"/>
      <c r="CO440" s="338"/>
      <c r="CP440" s="338"/>
      <c r="CQ440" s="338"/>
      <c r="CR440" s="338"/>
      <c r="CS440" s="338"/>
      <c r="CT440" s="338"/>
      <c r="CU440" s="338"/>
      <c r="CV440" s="338"/>
      <c r="CW440" s="338"/>
      <c r="CX440" s="338"/>
      <c r="CY440" s="338"/>
      <c r="CZ440" s="338"/>
      <c r="DA440" s="338"/>
      <c r="DB440" s="338"/>
      <c r="DC440" s="338"/>
      <c r="DD440" s="338"/>
      <c r="DE440" s="338"/>
      <c r="DF440" s="338"/>
      <c r="DG440" s="338"/>
      <c r="DH440" s="338"/>
      <c r="DI440" s="338"/>
      <c r="DJ440" s="338"/>
      <c r="DK440" s="338"/>
      <c r="DL440" s="338"/>
      <c r="DM440" s="338"/>
      <c r="DN440" s="338"/>
      <c r="DO440" s="338"/>
      <c r="DP440" s="338"/>
      <c r="DQ440" s="338"/>
      <c r="DR440" s="338"/>
      <c r="DS440" s="338"/>
      <c r="DT440" s="338"/>
      <c r="DU440" s="338"/>
      <c r="DV440" s="338"/>
      <c r="DW440" s="338"/>
      <c r="DX440" s="338"/>
      <c r="DY440" s="338"/>
      <c r="DZ440" s="338"/>
      <c r="EA440" s="338"/>
      <c r="EB440" s="338"/>
      <c r="EC440" s="338"/>
      <c r="ED440" s="338"/>
      <c r="EE440" s="338"/>
      <c r="EF440" s="338"/>
      <c r="EG440" s="338"/>
      <c r="EH440" s="338"/>
      <c r="EI440" s="338"/>
      <c r="EJ440" s="338"/>
      <c r="EK440" s="338"/>
      <c r="EL440" s="340"/>
      <c r="EM440" s="341"/>
      <c r="EN440" s="341"/>
      <c r="EO440" s="341"/>
      <c r="EP440" s="341"/>
      <c r="EQ440" s="342"/>
    </row>
    <row r="441" spans="1:150" ht="11.45" customHeight="1">
      <c r="B441" s="337"/>
      <c r="C441" s="338"/>
      <c r="D441" s="338"/>
      <c r="E441" s="338"/>
      <c r="F441" s="338"/>
      <c r="G441" s="338"/>
      <c r="H441" s="338"/>
      <c r="I441" s="338"/>
      <c r="J441" s="338"/>
      <c r="K441" s="338"/>
      <c r="L441" s="339"/>
      <c r="M441" s="339"/>
      <c r="N441" s="339"/>
      <c r="O441" s="338"/>
      <c r="P441" s="338"/>
      <c r="Q441" s="338"/>
      <c r="R441" s="338"/>
      <c r="S441" s="338"/>
      <c r="T441" s="338"/>
      <c r="U441" s="338"/>
      <c r="V441" s="338"/>
      <c r="W441" s="338"/>
      <c r="X441" s="338"/>
      <c r="Y441" s="338"/>
      <c r="Z441" s="338"/>
      <c r="AA441" s="338"/>
      <c r="AB441" s="338"/>
      <c r="AC441" s="338"/>
      <c r="AD441" s="338"/>
      <c r="AE441" s="338"/>
      <c r="AF441" s="338"/>
      <c r="AG441" s="338"/>
      <c r="AH441" s="338"/>
      <c r="AI441" s="338"/>
      <c r="AJ441" s="338"/>
      <c r="AK441" s="338"/>
      <c r="AL441" s="338"/>
      <c r="AM441" s="338"/>
      <c r="AN441" s="338"/>
      <c r="AO441" s="338"/>
      <c r="AP441" s="338"/>
      <c r="AQ441" s="338"/>
      <c r="AR441" s="338"/>
      <c r="AS441" s="338"/>
      <c r="AT441" s="338"/>
      <c r="AU441" s="338"/>
      <c r="AV441" s="338"/>
      <c r="AW441" s="338"/>
      <c r="AX441" s="338"/>
      <c r="AY441" s="338"/>
      <c r="AZ441" s="338"/>
      <c r="BA441" s="338"/>
      <c r="BB441" s="338"/>
      <c r="BC441" s="338"/>
      <c r="BD441" s="338"/>
      <c r="BE441" s="338"/>
      <c r="BF441" s="338"/>
      <c r="BG441" s="338"/>
      <c r="BH441" s="338"/>
      <c r="BI441" s="338"/>
      <c r="BJ441" s="338"/>
      <c r="BK441" s="338"/>
      <c r="BL441" s="338"/>
      <c r="BM441" s="338"/>
      <c r="BN441" s="338"/>
      <c r="BO441" s="338"/>
      <c r="BP441" s="338"/>
      <c r="BQ441" s="338"/>
      <c r="BR441" s="338"/>
      <c r="BS441" s="339"/>
      <c r="BT441" s="338"/>
      <c r="BU441" s="338"/>
      <c r="BV441" s="338"/>
      <c r="BW441" s="338"/>
      <c r="BX441" s="338"/>
      <c r="BY441" s="338"/>
      <c r="BZ441" s="338"/>
      <c r="CA441" s="338"/>
      <c r="CB441" s="338"/>
      <c r="CC441" s="338"/>
      <c r="CD441" s="338"/>
      <c r="CE441" s="338"/>
      <c r="CF441" s="338"/>
      <c r="CG441" s="338"/>
      <c r="CH441" s="338"/>
      <c r="CI441" s="338"/>
      <c r="CJ441" s="338"/>
      <c r="CK441" s="338"/>
      <c r="CL441" s="338"/>
      <c r="CM441" s="338"/>
      <c r="CN441" s="338"/>
      <c r="CO441" s="338"/>
      <c r="CP441" s="338"/>
      <c r="CQ441" s="338"/>
      <c r="CR441" s="338"/>
      <c r="CS441" s="338"/>
      <c r="CT441" s="338"/>
      <c r="CU441" s="338"/>
      <c r="CV441" s="338"/>
      <c r="CW441" s="338"/>
      <c r="CX441" s="338"/>
      <c r="CY441" s="338"/>
      <c r="CZ441" s="338"/>
      <c r="DA441" s="338"/>
      <c r="DB441" s="338"/>
      <c r="DC441" s="338"/>
      <c r="DD441" s="338"/>
      <c r="DE441" s="338"/>
      <c r="DF441" s="338"/>
      <c r="DG441" s="338"/>
      <c r="DH441" s="338"/>
      <c r="DI441" s="338"/>
      <c r="DJ441" s="338"/>
      <c r="DK441" s="338"/>
      <c r="DL441" s="338"/>
      <c r="DM441" s="338"/>
      <c r="DN441" s="338"/>
      <c r="DO441" s="338"/>
      <c r="DP441" s="338"/>
      <c r="DQ441" s="338"/>
      <c r="DR441" s="338"/>
      <c r="DS441" s="338"/>
      <c r="DT441" s="338"/>
      <c r="DU441" s="338"/>
      <c r="DV441" s="338"/>
      <c r="DW441" s="338"/>
      <c r="DX441" s="338"/>
      <c r="DY441" s="338"/>
      <c r="DZ441" s="338"/>
      <c r="EA441" s="338"/>
      <c r="EB441" s="338"/>
      <c r="EC441" s="338"/>
      <c r="ED441" s="338"/>
      <c r="EE441" s="338"/>
      <c r="EF441" s="338"/>
      <c r="EG441" s="338"/>
      <c r="EH441" s="338"/>
      <c r="EI441" s="338"/>
      <c r="EJ441" s="338"/>
      <c r="EK441" s="338"/>
      <c r="EL441" s="340"/>
      <c r="EM441" s="341"/>
      <c r="EN441" s="341"/>
      <c r="EO441" s="341"/>
      <c r="EP441" s="341"/>
      <c r="EQ441" s="342"/>
    </row>
    <row r="442" spans="1:150" ht="11.45" customHeight="1">
      <c r="B442" s="337"/>
      <c r="C442" s="338"/>
      <c r="D442" s="338"/>
      <c r="E442" s="338"/>
      <c r="F442" s="338"/>
      <c r="G442" s="338"/>
      <c r="H442" s="338"/>
      <c r="I442" s="338"/>
      <c r="J442" s="338"/>
      <c r="K442" s="338"/>
      <c r="L442" s="339"/>
      <c r="M442" s="339"/>
      <c r="N442" s="339"/>
      <c r="O442" s="338"/>
      <c r="P442" s="338"/>
      <c r="Q442" s="338"/>
      <c r="R442" s="338"/>
      <c r="S442" s="338"/>
      <c r="T442" s="338"/>
      <c r="U442" s="338"/>
      <c r="V442" s="338"/>
      <c r="W442" s="338"/>
      <c r="X442" s="338"/>
      <c r="Y442" s="338"/>
      <c r="Z442" s="338"/>
      <c r="AA442" s="338"/>
      <c r="AB442" s="338"/>
      <c r="AC442" s="338"/>
      <c r="AD442" s="338"/>
      <c r="AE442" s="338"/>
      <c r="AF442" s="338"/>
      <c r="AG442" s="338"/>
      <c r="AH442" s="338"/>
      <c r="AI442" s="338"/>
      <c r="AJ442" s="338"/>
      <c r="AK442" s="338"/>
      <c r="AL442" s="338"/>
      <c r="AM442" s="338"/>
      <c r="AN442" s="338"/>
      <c r="AO442" s="338"/>
      <c r="AP442" s="338"/>
      <c r="AQ442" s="338"/>
      <c r="AR442" s="338"/>
      <c r="AS442" s="338"/>
      <c r="AT442" s="338"/>
      <c r="AU442" s="338"/>
      <c r="AV442" s="338"/>
      <c r="AW442" s="338"/>
      <c r="AX442" s="338"/>
      <c r="AY442" s="338"/>
      <c r="AZ442" s="338"/>
      <c r="BA442" s="338"/>
      <c r="BB442" s="338"/>
      <c r="BC442" s="338"/>
      <c r="BD442" s="338"/>
      <c r="BE442" s="338"/>
      <c r="BF442" s="338"/>
      <c r="BG442" s="338"/>
      <c r="BH442" s="338"/>
      <c r="BI442" s="338"/>
      <c r="BJ442" s="338"/>
      <c r="BK442" s="338"/>
      <c r="BL442" s="338"/>
      <c r="BM442" s="338"/>
      <c r="BN442" s="338"/>
      <c r="BO442" s="338"/>
      <c r="BP442" s="338"/>
      <c r="BQ442" s="338"/>
      <c r="BR442" s="338"/>
      <c r="BS442" s="339"/>
      <c r="BT442" s="338"/>
      <c r="BU442" s="338"/>
      <c r="BV442" s="338"/>
      <c r="BW442" s="338"/>
      <c r="BX442" s="338"/>
      <c r="BY442" s="338"/>
      <c r="BZ442" s="338"/>
      <c r="CA442" s="338"/>
      <c r="CB442" s="338"/>
      <c r="CC442" s="338"/>
      <c r="CD442" s="338"/>
      <c r="CE442" s="338"/>
      <c r="CF442" s="338"/>
      <c r="CG442" s="338"/>
      <c r="CH442" s="338"/>
      <c r="CI442" s="338"/>
      <c r="CJ442" s="338"/>
      <c r="CK442" s="338"/>
      <c r="CL442" s="338"/>
      <c r="CM442" s="338"/>
      <c r="CN442" s="338"/>
      <c r="CO442" s="338"/>
      <c r="CP442" s="338"/>
      <c r="CQ442" s="338"/>
      <c r="CR442" s="338"/>
      <c r="CS442" s="338"/>
      <c r="CT442" s="338"/>
      <c r="CU442" s="338"/>
      <c r="CV442" s="338"/>
      <c r="CW442" s="338"/>
      <c r="CX442" s="338"/>
      <c r="CY442" s="338"/>
      <c r="CZ442" s="338"/>
      <c r="DA442" s="338"/>
      <c r="DB442" s="338"/>
      <c r="DC442" s="338"/>
      <c r="DD442" s="338"/>
      <c r="DE442" s="338"/>
      <c r="DF442" s="338"/>
      <c r="DG442" s="338"/>
      <c r="DH442" s="338"/>
      <c r="DI442" s="338"/>
      <c r="DJ442" s="338"/>
      <c r="DK442" s="338"/>
      <c r="DL442" s="338"/>
      <c r="DM442" s="338"/>
      <c r="DN442" s="338"/>
      <c r="DO442" s="338"/>
      <c r="DP442" s="338"/>
      <c r="DQ442" s="338"/>
      <c r="DR442" s="338"/>
      <c r="DS442" s="338"/>
      <c r="DT442" s="338"/>
      <c r="DU442" s="338"/>
      <c r="DV442" s="338"/>
      <c r="DW442" s="338"/>
      <c r="DX442" s="338"/>
      <c r="DY442" s="338"/>
      <c r="DZ442" s="338"/>
      <c r="EA442" s="338"/>
      <c r="EB442" s="338"/>
      <c r="EC442" s="338"/>
      <c r="ED442" s="338"/>
      <c r="EE442" s="338"/>
      <c r="EF442" s="338"/>
      <c r="EG442" s="338"/>
      <c r="EH442" s="338"/>
      <c r="EI442" s="338"/>
      <c r="EJ442" s="338"/>
      <c r="EK442" s="338"/>
      <c r="EL442" s="340"/>
      <c r="EM442" s="341"/>
      <c r="EN442" s="341"/>
      <c r="EO442" s="341"/>
      <c r="EP442" s="341"/>
      <c r="EQ442" s="342"/>
    </row>
    <row r="443" spans="1:150" ht="11.45" customHeight="1">
      <c r="B443" s="337"/>
      <c r="C443" s="338"/>
      <c r="D443" s="338"/>
      <c r="E443" s="338"/>
      <c r="F443" s="338"/>
      <c r="G443" s="338"/>
      <c r="H443" s="338"/>
      <c r="I443" s="338"/>
      <c r="J443" s="338"/>
      <c r="K443" s="338"/>
      <c r="L443" s="339"/>
      <c r="M443" s="339"/>
      <c r="N443" s="339"/>
      <c r="O443" s="338"/>
      <c r="P443" s="338"/>
      <c r="Q443" s="338"/>
      <c r="R443" s="338"/>
      <c r="S443" s="338"/>
      <c r="T443" s="338"/>
      <c r="U443" s="338"/>
      <c r="V443" s="338"/>
      <c r="W443" s="338"/>
      <c r="X443" s="338"/>
      <c r="Y443" s="338"/>
      <c r="Z443" s="338"/>
      <c r="AA443" s="338"/>
      <c r="AB443" s="338"/>
      <c r="AC443" s="338"/>
      <c r="AD443" s="338"/>
      <c r="AE443" s="338"/>
      <c r="AF443" s="338"/>
      <c r="AG443" s="338"/>
      <c r="AH443" s="338"/>
      <c r="AI443" s="338"/>
      <c r="AJ443" s="338"/>
      <c r="AK443" s="338"/>
      <c r="AL443" s="338"/>
      <c r="AM443" s="338"/>
      <c r="AN443" s="338"/>
      <c r="AO443" s="338"/>
      <c r="AP443" s="338"/>
      <c r="AQ443" s="338"/>
      <c r="AR443" s="338"/>
      <c r="AS443" s="338"/>
      <c r="AT443" s="338"/>
      <c r="AU443" s="338"/>
      <c r="AV443" s="338"/>
      <c r="AW443" s="338"/>
      <c r="AX443" s="338"/>
      <c r="AY443" s="338"/>
      <c r="AZ443" s="338"/>
      <c r="BA443" s="338"/>
      <c r="BB443" s="338"/>
      <c r="BC443" s="338"/>
      <c r="BD443" s="338"/>
      <c r="BE443" s="338"/>
      <c r="BF443" s="338"/>
      <c r="BG443" s="338"/>
      <c r="BH443" s="338"/>
      <c r="BI443" s="338"/>
      <c r="BJ443" s="338"/>
      <c r="BK443" s="338"/>
      <c r="BL443" s="338"/>
      <c r="BM443" s="338"/>
      <c r="BN443" s="338"/>
      <c r="BO443" s="338"/>
      <c r="BP443" s="338"/>
      <c r="BQ443" s="338"/>
      <c r="BR443" s="338"/>
      <c r="BS443" s="339"/>
      <c r="BT443" s="338"/>
      <c r="BU443" s="338"/>
      <c r="BV443" s="338"/>
      <c r="BW443" s="338"/>
      <c r="BX443" s="338"/>
      <c r="BY443" s="338"/>
      <c r="BZ443" s="338"/>
      <c r="CA443" s="338"/>
      <c r="CB443" s="338"/>
      <c r="CC443" s="338"/>
      <c r="CD443" s="338"/>
      <c r="CE443" s="338"/>
      <c r="CF443" s="338"/>
      <c r="CG443" s="338"/>
      <c r="CH443" s="338"/>
      <c r="CI443" s="338"/>
      <c r="CJ443" s="338"/>
      <c r="CK443" s="338"/>
      <c r="CL443" s="338"/>
      <c r="CM443" s="338"/>
      <c r="CN443" s="338"/>
      <c r="CO443" s="338"/>
      <c r="CP443" s="338"/>
      <c r="CQ443" s="338"/>
      <c r="CR443" s="338"/>
      <c r="CS443" s="338"/>
      <c r="CT443" s="338"/>
      <c r="CU443" s="338"/>
      <c r="CV443" s="338"/>
      <c r="CW443" s="338"/>
      <c r="CX443" s="338"/>
      <c r="CY443" s="338"/>
      <c r="CZ443" s="338"/>
      <c r="DA443" s="338"/>
      <c r="DB443" s="338"/>
      <c r="DC443" s="338"/>
      <c r="DD443" s="338"/>
      <c r="DE443" s="338"/>
      <c r="DF443" s="338"/>
      <c r="DG443" s="338"/>
      <c r="DH443" s="338"/>
      <c r="DI443" s="338"/>
      <c r="DJ443" s="338"/>
      <c r="DK443" s="338"/>
      <c r="DL443" s="338"/>
      <c r="DM443" s="338"/>
      <c r="DN443" s="338"/>
      <c r="DO443" s="338"/>
      <c r="DP443" s="338"/>
      <c r="DQ443" s="338"/>
      <c r="DR443" s="338"/>
      <c r="DS443" s="338"/>
      <c r="DT443" s="338"/>
      <c r="DU443" s="338"/>
      <c r="DV443" s="338"/>
      <c r="DW443" s="338"/>
      <c r="DX443" s="338"/>
      <c r="DY443" s="338"/>
      <c r="DZ443" s="338"/>
      <c r="EA443" s="338"/>
      <c r="EB443" s="338"/>
      <c r="EC443" s="338"/>
      <c r="ED443" s="338"/>
      <c r="EE443" s="338"/>
      <c r="EF443" s="338"/>
      <c r="EG443" s="338"/>
      <c r="EH443" s="338"/>
      <c r="EI443" s="338"/>
      <c r="EJ443" s="338"/>
      <c r="EK443" s="338"/>
      <c r="EL443" s="340"/>
      <c r="EM443" s="341"/>
      <c r="EN443" s="341"/>
      <c r="EO443" s="341"/>
      <c r="EP443" s="341"/>
      <c r="EQ443" s="342"/>
    </row>
    <row r="444" spans="1:150" ht="11.45" customHeight="1">
      <c r="B444" s="346"/>
      <c r="C444" s="347"/>
      <c r="D444" s="347"/>
      <c r="E444" s="347"/>
      <c r="F444" s="347"/>
      <c r="G444" s="347"/>
      <c r="H444" s="347"/>
      <c r="I444" s="347"/>
      <c r="J444" s="347"/>
      <c r="K444" s="347"/>
      <c r="L444" s="348"/>
      <c r="M444" s="348"/>
      <c r="N444" s="348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  <c r="BB444" s="347"/>
      <c r="BC444" s="347"/>
      <c r="BD444" s="347"/>
      <c r="BE444" s="347"/>
      <c r="BF444" s="347"/>
      <c r="BG444" s="347"/>
      <c r="BH444" s="347"/>
      <c r="BI444" s="347"/>
      <c r="BJ444" s="347"/>
      <c r="BK444" s="347"/>
      <c r="BL444" s="347"/>
      <c r="BM444" s="347"/>
      <c r="BN444" s="347"/>
      <c r="BO444" s="347"/>
      <c r="BP444" s="347"/>
      <c r="BQ444" s="347"/>
      <c r="BR444" s="347"/>
      <c r="BS444" s="348"/>
      <c r="BT444" s="347"/>
      <c r="BU444" s="347"/>
      <c r="BV444" s="347"/>
      <c r="BW444" s="347"/>
      <c r="BX444" s="347"/>
      <c r="BY444" s="347"/>
      <c r="BZ444" s="347"/>
      <c r="CA444" s="347"/>
      <c r="CB444" s="347"/>
      <c r="CC444" s="347"/>
      <c r="CD444" s="347"/>
      <c r="CE444" s="347"/>
      <c r="CF444" s="347"/>
      <c r="CG444" s="347"/>
      <c r="CH444" s="347"/>
      <c r="CI444" s="347"/>
      <c r="CJ444" s="347"/>
      <c r="CK444" s="347"/>
      <c r="CL444" s="347"/>
      <c r="CM444" s="347"/>
      <c r="CN444" s="347"/>
      <c r="CO444" s="347"/>
      <c r="CP444" s="347"/>
      <c r="CQ444" s="347"/>
      <c r="CR444" s="347"/>
      <c r="CS444" s="347"/>
      <c r="CT444" s="347"/>
      <c r="CU444" s="347"/>
      <c r="CV444" s="347"/>
      <c r="CW444" s="347"/>
      <c r="CX444" s="347"/>
      <c r="CY444" s="347"/>
      <c r="CZ444" s="347"/>
      <c r="DA444" s="347"/>
      <c r="DB444" s="347"/>
      <c r="DC444" s="347"/>
      <c r="DD444" s="347"/>
      <c r="DE444" s="347"/>
      <c r="DF444" s="347"/>
      <c r="DG444" s="347"/>
      <c r="DH444" s="347"/>
      <c r="DI444" s="347"/>
      <c r="DJ444" s="347"/>
      <c r="DK444" s="347"/>
      <c r="DL444" s="347"/>
      <c r="DM444" s="347"/>
      <c r="DN444" s="347"/>
      <c r="DO444" s="347"/>
      <c r="DP444" s="347"/>
      <c r="DQ444" s="347"/>
      <c r="DR444" s="347"/>
      <c r="DS444" s="347"/>
      <c r="DT444" s="347"/>
      <c r="DU444" s="347"/>
      <c r="DV444" s="347"/>
      <c r="DW444" s="347"/>
      <c r="DX444" s="347"/>
      <c r="DY444" s="347"/>
      <c r="DZ444" s="347"/>
      <c r="EA444" s="347"/>
      <c r="EB444" s="347"/>
      <c r="EC444" s="347"/>
      <c r="ED444" s="347"/>
      <c r="EE444" s="347"/>
      <c r="EF444" s="347"/>
      <c r="EG444" s="347"/>
      <c r="EH444" s="347"/>
      <c r="EI444" s="347"/>
      <c r="EJ444" s="347"/>
      <c r="EK444" s="347"/>
      <c r="EL444" s="349"/>
      <c r="EM444" s="353"/>
      <c r="EN444" s="353"/>
      <c r="EO444" s="353"/>
      <c r="EP444" s="353"/>
      <c r="EQ444" s="354"/>
    </row>
    <row r="445" spans="1:150" ht="11.45" customHeight="1">
      <c r="B445" s="334"/>
      <c r="C445" s="335"/>
      <c r="D445" s="335"/>
      <c r="E445" s="335"/>
      <c r="F445" s="335"/>
      <c r="G445" s="335"/>
      <c r="H445" s="335"/>
      <c r="I445" s="335"/>
      <c r="J445" s="335"/>
      <c r="K445" s="335"/>
      <c r="L445" s="298"/>
      <c r="M445" s="298"/>
      <c r="N445" s="298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5"/>
      <c r="AU445" s="335"/>
      <c r="AV445" s="335"/>
      <c r="AW445" s="335"/>
      <c r="AX445" s="335"/>
      <c r="AY445" s="335"/>
      <c r="AZ445" s="335"/>
      <c r="BA445" s="335"/>
      <c r="BB445" s="335"/>
      <c r="BC445" s="335"/>
      <c r="BD445" s="335"/>
      <c r="BE445" s="335"/>
      <c r="BF445" s="335"/>
      <c r="BG445" s="335"/>
      <c r="BH445" s="335"/>
      <c r="BI445" s="335"/>
      <c r="BJ445" s="335"/>
      <c r="BK445" s="335"/>
      <c r="BL445" s="335"/>
      <c r="BM445" s="335"/>
      <c r="BN445" s="335"/>
      <c r="BO445" s="335"/>
      <c r="BP445" s="335"/>
      <c r="BQ445" s="335"/>
      <c r="BR445" s="335"/>
      <c r="BS445" s="298"/>
      <c r="BT445" s="335"/>
      <c r="BU445" s="335"/>
      <c r="BV445" s="335"/>
      <c r="BW445" s="335"/>
      <c r="BX445" s="335"/>
      <c r="BY445" s="335"/>
      <c r="BZ445" s="335"/>
      <c r="CA445" s="335"/>
      <c r="CB445" s="335"/>
      <c r="CC445" s="335"/>
      <c r="CD445" s="335"/>
      <c r="CE445" s="335"/>
      <c r="CF445" s="335"/>
      <c r="CG445" s="335"/>
      <c r="CH445" s="335"/>
      <c r="CI445" s="335"/>
      <c r="CJ445" s="335"/>
      <c r="CK445" s="335"/>
      <c r="CL445" s="335"/>
      <c r="CM445" s="335"/>
      <c r="CN445" s="335"/>
      <c r="CO445" s="335"/>
      <c r="CP445" s="335"/>
      <c r="CQ445" s="335"/>
      <c r="CR445" s="335"/>
      <c r="CS445" s="335"/>
      <c r="CT445" s="335"/>
      <c r="CU445" s="335"/>
      <c r="CV445" s="335"/>
      <c r="CW445" s="335"/>
      <c r="CX445" s="335"/>
      <c r="CY445" s="335"/>
      <c r="CZ445" s="335"/>
      <c r="DA445" s="335"/>
      <c r="DB445" s="335"/>
      <c r="DC445" s="335"/>
      <c r="DD445" s="335"/>
      <c r="DE445" s="335"/>
      <c r="DF445" s="335"/>
      <c r="DG445" s="335"/>
      <c r="DH445" s="335"/>
      <c r="DI445" s="335"/>
      <c r="DJ445" s="335"/>
      <c r="DK445" s="335"/>
      <c r="DL445" s="335"/>
      <c r="DM445" s="335"/>
      <c r="DN445" s="335"/>
      <c r="DO445" s="335"/>
      <c r="DP445" s="335"/>
      <c r="DQ445" s="335"/>
      <c r="DR445" s="335"/>
      <c r="DS445" s="335"/>
      <c r="DT445" s="335"/>
      <c r="DU445" s="335"/>
      <c r="DV445" s="335"/>
      <c r="DW445" s="335"/>
      <c r="DX445" s="335"/>
      <c r="DY445" s="335"/>
      <c r="DZ445" s="335"/>
      <c r="EA445" s="335"/>
      <c r="EB445" s="335"/>
      <c r="EC445" s="335"/>
      <c r="ED445" s="335"/>
      <c r="EE445" s="335"/>
      <c r="EF445" s="335"/>
      <c r="EG445" s="335"/>
      <c r="EH445" s="335"/>
      <c r="EI445" s="335"/>
      <c r="EJ445" s="335"/>
      <c r="EK445" s="335"/>
      <c r="EL445" s="304"/>
      <c r="EM445" s="251"/>
      <c r="EN445" s="251"/>
      <c r="EO445" s="251"/>
      <c r="EP445" s="251"/>
      <c r="EQ445" s="252"/>
    </row>
    <row r="446" spans="1:150" s="243" customFormat="1" ht="11.25" customHeight="1">
      <c r="B446" s="343"/>
      <c r="C446" s="240"/>
      <c r="D446" s="240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240"/>
      <c r="CC446" s="240"/>
      <c r="CD446" s="240"/>
      <c r="CE446" s="240"/>
      <c r="CF446" s="240"/>
      <c r="CG446" s="240"/>
      <c r="CH446" s="240"/>
      <c r="CI446" s="240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1"/>
      <c r="DA446" s="241"/>
      <c r="DB446" s="241"/>
      <c r="DC446" s="241"/>
      <c r="DD446" s="241"/>
      <c r="DE446" s="241"/>
      <c r="DF446" s="241"/>
      <c r="DG446" s="241"/>
      <c r="DH446" s="241"/>
      <c r="DI446" s="241"/>
      <c r="DJ446" s="241"/>
      <c r="DK446" s="241"/>
      <c r="DL446" s="241"/>
      <c r="DM446" s="241"/>
      <c r="DN446" s="241"/>
      <c r="DO446" s="241"/>
      <c r="DP446" s="241"/>
      <c r="DQ446" s="241"/>
      <c r="DR446" s="241"/>
      <c r="DS446" s="241"/>
      <c r="DT446" s="241"/>
      <c r="DU446" s="241"/>
      <c r="DV446" s="241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345"/>
      <c r="EM446" s="245"/>
      <c r="EN446" s="245"/>
      <c r="EO446" s="245"/>
      <c r="EP446" s="245"/>
      <c r="EQ446" s="351"/>
    </row>
    <row r="447" spans="1:150" s="243" customFormat="1" ht="11.25" customHeight="1">
      <c r="A447" s="243">
        <v>13</v>
      </c>
      <c r="B447" s="1782">
        <f>A447</f>
        <v>13</v>
      </c>
      <c r="C447" s="1781"/>
      <c r="D447" s="1781"/>
      <c r="E447" s="344" t="s">
        <v>888</v>
      </c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240"/>
      <c r="CC447" s="240"/>
      <c r="CD447" s="240"/>
      <c r="CE447" s="240"/>
      <c r="CF447" s="240"/>
      <c r="CG447" s="240"/>
      <c r="CH447" s="240"/>
      <c r="CI447" s="240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1"/>
      <c r="DA447" s="241"/>
      <c r="DB447" s="241"/>
      <c r="DC447" s="241"/>
      <c r="DD447" s="241"/>
      <c r="DE447" s="241"/>
      <c r="DF447" s="241"/>
      <c r="DG447" s="241"/>
      <c r="DH447" s="241"/>
      <c r="DI447" s="241"/>
      <c r="DJ447" s="241"/>
      <c r="DK447" s="241"/>
      <c r="DL447" s="241"/>
      <c r="DM447" s="241"/>
      <c r="DN447" s="241"/>
      <c r="DO447" s="241"/>
      <c r="DP447" s="241"/>
      <c r="DQ447" s="241"/>
      <c r="DR447" s="241"/>
      <c r="DS447" s="241"/>
      <c r="DT447" s="241"/>
      <c r="DU447" s="241"/>
      <c r="DV447" s="241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345"/>
      <c r="EM447" s="242" t="e">
        <f>EM486</f>
        <v>#REF!</v>
      </c>
      <c r="EN447" s="242" t="e">
        <f>EN486</f>
        <v>#REF!</v>
      </c>
      <c r="EO447" s="242" t="e">
        <f>EO486</f>
        <v>#REF!</v>
      </c>
      <c r="EP447" s="242" t="e">
        <f>EP486</f>
        <v>#REF!</v>
      </c>
      <c r="EQ447" s="312" t="s">
        <v>904</v>
      </c>
      <c r="ES447" s="800">
        <f>A447</f>
        <v>13</v>
      </c>
      <c r="ET447" s="226"/>
    </row>
    <row r="448" spans="1:150" s="243" customFormat="1" ht="11.25" customHeight="1">
      <c r="B448" s="343"/>
      <c r="C448" s="240"/>
      <c r="D448" s="240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240"/>
      <c r="CC448" s="240"/>
      <c r="CD448" s="240"/>
      <c r="CE448" s="240"/>
      <c r="CF448" s="240"/>
      <c r="CG448" s="240"/>
      <c r="CH448" s="240"/>
      <c r="CI448" s="240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1"/>
      <c r="DA448" s="241"/>
      <c r="DB448" s="241"/>
      <c r="DC448" s="241"/>
      <c r="DD448" s="241"/>
      <c r="DE448" s="241"/>
      <c r="DF448" s="241"/>
      <c r="DG448" s="241"/>
      <c r="DH448" s="241"/>
      <c r="DI448" s="241"/>
      <c r="DJ448" s="241"/>
      <c r="DK448" s="241"/>
      <c r="DL448" s="241"/>
      <c r="DM448" s="241"/>
      <c r="DN448" s="241"/>
      <c r="DO448" s="241"/>
      <c r="DP448" s="241"/>
      <c r="DQ448" s="241"/>
      <c r="DR448" s="241"/>
      <c r="DS448" s="241"/>
      <c r="DT448" s="241"/>
      <c r="DU448" s="241"/>
      <c r="DV448" s="241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345"/>
      <c r="EM448" s="245"/>
      <c r="EN448" s="245"/>
      <c r="EO448" s="245"/>
      <c r="EP448" s="245"/>
      <c r="EQ448" s="351"/>
    </row>
    <row r="449" spans="2:147" s="243" customFormat="1" ht="11.25" customHeight="1">
      <c r="B449" s="343"/>
      <c r="C449" s="240"/>
      <c r="D449" s="240"/>
      <c r="E449" s="240" t="s">
        <v>674</v>
      </c>
      <c r="F449" s="240"/>
      <c r="G449" s="240"/>
      <c r="H449" s="240" t="s">
        <v>766</v>
      </c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 t="s">
        <v>836</v>
      </c>
      <c r="W449" s="240"/>
      <c r="X449" s="240"/>
      <c r="Y449" s="240"/>
      <c r="Z449" s="240"/>
      <c r="AA449" s="240"/>
      <c r="AB449" s="240"/>
      <c r="AC449" s="240"/>
      <c r="AD449" s="240"/>
      <c r="AE449" s="240"/>
      <c r="AF449" s="240"/>
      <c r="AG449" s="240"/>
      <c r="AH449" s="240"/>
      <c r="AI449" s="240"/>
      <c r="AJ449" s="240"/>
      <c r="AK449" s="240"/>
      <c r="AL449" s="240"/>
      <c r="AM449" s="240"/>
      <c r="AN449" s="240"/>
      <c r="AO449" s="240"/>
      <c r="AP449" s="240"/>
      <c r="AQ449" s="240"/>
      <c r="AR449" s="240"/>
      <c r="AS449" s="240"/>
      <c r="AT449" s="240"/>
      <c r="AU449" s="240"/>
      <c r="AV449" s="240"/>
      <c r="AW449" s="240"/>
      <c r="AX449" s="240"/>
      <c r="AY449" s="240"/>
      <c r="AZ449" s="240"/>
      <c r="BA449" s="240"/>
      <c r="BB449" s="240"/>
      <c r="BC449" s="240"/>
      <c r="BD449" s="240"/>
      <c r="BE449" s="240"/>
      <c r="BF449" s="240"/>
      <c r="BG449" s="240"/>
      <c r="BH449" s="240"/>
      <c r="BI449" s="240"/>
      <c r="BJ449" s="240"/>
      <c r="BK449" s="240"/>
      <c r="BL449" s="240"/>
      <c r="BM449" s="240"/>
      <c r="BN449" s="240"/>
      <c r="BO449" s="240"/>
      <c r="BP449" s="240"/>
      <c r="BQ449" s="240"/>
      <c r="BR449" s="240"/>
      <c r="BS449" s="240"/>
      <c r="BT449" s="240"/>
      <c r="BU449" s="240"/>
      <c r="BV449" s="240"/>
      <c r="BW449" s="240"/>
      <c r="BX449" s="240"/>
      <c r="BY449" s="240"/>
      <c r="BZ449" s="240"/>
      <c r="CA449" s="240"/>
      <c r="CB449" s="240"/>
      <c r="CC449" s="240"/>
      <c r="CD449" s="240"/>
      <c r="CE449" s="240"/>
      <c r="CF449" s="240"/>
      <c r="CG449" s="240"/>
      <c r="CH449" s="240"/>
      <c r="CI449" s="240"/>
      <c r="CJ449" s="240"/>
      <c r="CK449" s="240"/>
      <c r="CL449" s="240"/>
      <c r="CM449" s="240"/>
      <c r="CN449" s="240"/>
      <c r="CO449" s="240"/>
      <c r="CP449" s="240"/>
      <c r="CQ449" s="240"/>
      <c r="CR449" s="240"/>
      <c r="CS449" s="240"/>
      <c r="CT449" s="240"/>
      <c r="CU449" s="240"/>
      <c r="CV449" s="240"/>
      <c r="CW449" s="240"/>
      <c r="CX449" s="240"/>
      <c r="CY449" s="240"/>
      <c r="CZ449" s="241"/>
      <c r="DA449" s="241"/>
      <c r="DB449" s="241"/>
      <c r="DC449" s="241"/>
      <c r="DD449" s="241"/>
      <c r="DE449" s="241"/>
      <c r="DF449" s="241"/>
      <c r="DG449" s="241"/>
      <c r="DH449" s="241"/>
      <c r="DI449" s="241"/>
      <c r="DJ449" s="241"/>
      <c r="DK449" s="241"/>
      <c r="DL449" s="241"/>
      <c r="DM449" s="241"/>
      <c r="DN449" s="241"/>
      <c r="DO449" s="241"/>
      <c r="DP449" s="241"/>
      <c r="DQ449" s="241"/>
      <c r="DR449" s="241"/>
      <c r="DS449" s="241"/>
      <c r="DT449" s="241"/>
      <c r="DU449" s="241"/>
      <c r="DV449" s="241"/>
      <c r="DW449" s="241"/>
      <c r="DX449" s="241"/>
      <c r="DY449" s="241"/>
      <c r="DZ449" s="241"/>
      <c r="EA449" s="241"/>
      <c r="EB449" s="241"/>
      <c r="EC449" s="241"/>
      <c r="ED449" s="241"/>
      <c r="EE449" s="241"/>
      <c r="EF449" s="241"/>
      <c r="EG449" s="241"/>
      <c r="EH449" s="241"/>
      <c r="EI449" s="241"/>
      <c r="EJ449" s="241"/>
      <c r="EK449" s="241"/>
      <c r="EL449" s="345"/>
      <c r="EM449" s="245"/>
      <c r="EN449" s="245"/>
      <c r="EO449" s="245"/>
      <c r="EP449" s="245"/>
      <c r="EQ449" s="351"/>
    </row>
    <row r="450" spans="2:147" s="243" customFormat="1" ht="11.25" customHeight="1">
      <c r="B450" s="343"/>
      <c r="C450" s="240"/>
      <c r="D450" s="240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240"/>
      <c r="CC450" s="240"/>
      <c r="CD450" s="240"/>
      <c r="CE450" s="240"/>
      <c r="CF450" s="240"/>
      <c r="CG450" s="240"/>
      <c r="CH450" s="240"/>
      <c r="CI450" s="240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1"/>
      <c r="DA450" s="241"/>
      <c r="DB450" s="241"/>
      <c r="DC450" s="241"/>
      <c r="DD450" s="241"/>
      <c r="DE450" s="241"/>
      <c r="DF450" s="241"/>
      <c r="DG450" s="241"/>
      <c r="DH450" s="241"/>
      <c r="DI450" s="241"/>
      <c r="DJ450" s="241"/>
      <c r="DK450" s="241"/>
      <c r="DL450" s="241"/>
      <c r="DM450" s="241"/>
      <c r="DN450" s="241"/>
      <c r="DO450" s="241"/>
      <c r="DP450" s="241"/>
      <c r="DQ450" s="241"/>
      <c r="DR450" s="241"/>
      <c r="DS450" s="241"/>
      <c r="DT450" s="241"/>
      <c r="DU450" s="241"/>
      <c r="DV450" s="241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345"/>
      <c r="EM450" s="245"/>
      <c r="EN450" s="245"/>
      <c r="EO450" s="245"/>
      <c r="EP450" s="245"/>
      <c r="EQ450" s="351"/>
    </row>
    <row r="451" spans="2:147" s="243" customFormat="1" ht="11.25" customHeight="1">
      <c r="B451" s="343"/>
      <c r="C451" s="240"/>
      <c r="D451" s="240"/>
      <c r="E451" s="240"/>
      <c r="F451" s="240"/>
      <c r="G451" s="240"/>
      <c r="H451" s="240" t="s">
        <v>687</v>
      </c>
      <c r="I451" s="240"/>
      <c r="J451" s="240" t="s">
        <v>134</v>
      </c>
      <c r="K451" s="240"/>
      <c r="L451" s="240" t="str">
        <f>TEXT(3.3,"#,##0.#######")</f>
        <v>3.3</v>
      </c>
      <c r="M451" s="240"/>
      <c r="N451" s="240"/>
      <c r="O451" s="240"/>
      <c r="P451" s="240" t="s">
        <v>91</v>
      </c>
      <c r="Q451" s="240"/>
      <c r="R451" s="240" t="s">
        <v>139</v>
      </c>
      <c r="S451" s="240" t="s">
        <v>618</v>
      </c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240"/>
      <c r="CC451" s="240"/>
      <c r="CD451" s="240"/>
      <c r="CE451" s="240"/>
      <c r="CF451" s="240"/>
      <c r="CG451" s="240"/>
      <c r="CH451" s="240"/>
      <c r="CI451" s="240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1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345"/>
      <c r="EM451" s="245"/>
      <c r="EN451" s="245"/>
      <c r="EO451" s="245"/>
      <c r="EP451" s="245"/>
      <c r="EQ451" s="351"/>
    </row>
    <row r="452" spans="2:147" s="243" customFormat="1" ht="11.25" customHeight="1">
      <c r="B452" s="343"/>
      <c r="C452" s="240"/>
      <c r="D452" s="240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240"/>
      <c r="CC452" s="240"/>
      <c r="CD452" s="240"/>
      <c r="CE452" s="240"/>
      <c r="CF452" s="240"/>
      <c r="CG452" s="240"/>
      <c r="CH452" s="240"/>
      <c r="CI452" s="240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1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345"/>
      <c r="EM452" s="245"/>
      <c r="EN452" s="245"/>
      <c r="EO452" s="245"/>
      <c r="EP452" s="245"/>
      <c r="EQ452" s="351"/>
    </row>
    <row r="453" spans="2:147" s="243" customFormat="1" ht="11.25" customHeight="1">
      <c r="B453" s="343"/>
      <c r="C453" s="240"/>
      <c r="D453" s="240"/>
      <c r="E453" s="240"/>
      <c r="F453" s="240"/>
      <c r="G453" s="240"/>
      <c r="H453" s="240" t="s">
        <v>616</v>
      </c>
      <c r="I453" s="240"/>
      <c r="J453" s="240"/>
      <c r="K453" s="240"/>
      <c r="L453" s="240"/>
      <c r="M453" s="240"/>
      <c r="N453" s="240"/>
      <c r="O453" s="240" t="s">
        <v>132</v>
      </c>
      <c r="P453" s="240"/>
      <c r="Q453" s="1780" t="e">
        <f>#REF!</f>
        <v>#REF!</v>
      </c>
      <c r="R453" s="1780"/>
      <c r="S453" s="1780"/>
      <c r="T453" s="1780"/>
      <c r="U453" s="1780"/>
      <c r="V453" s="240"/>
      <c r="W453" s="240" t="s">
        <v>683</v>
      </c>
      <c r="X453" s="240"/>
      <c r="Y453" s="240"/>
      <c r="Z453" s="240" t="str">
        <f>TEXT(L451,"#,##0.#######")</f>
        <v>3.3</v>
      </c>
      <c r="AA453" s="240"/>
      <c r="AB453" s="240"/>
      <c r="AC453" s="240"/>
      <c r="AD453" s="240"/>
      <c r="AE453" s="240"/>
      <c r="AF453" s="240" t="s">
        <v>134</v>
      </c>
      <c r="AG453" s="240"/>
      <c r="AH453" s="240" t="e">
        <f>TEXT(TRUNC(Q453/L451,1),"#,##0.#")</f>
        <v>#REF!</v>
      </c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240"/>
      <c r="CC453" s="240"/>
      <c r="CD453" s="240"/>
      <c r="CE453" s="240"/>
      <c r="CF453" s="240"/>
      <c r="CG453" s="240"/>
      <c r="CH453" s="240"/>
      <c r="CI453" s="240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345"/>
      <c r="EM453" s="245"/>
      <c r="EN453" s="245"/>
      <c r="EO453" s="245"/>
      <c r="EP453" s="245"/>
      <c r="EQ453" s="351"/>
    </row>
    <row r="454" spans="2:147" s="243" customFormat="1" ht="11.25" customHeight="1">
      <c r="B454" s="343"/>
      <c r="C454" s="240"/>
      <c r="D454" s="240"/>
      <c r="E454" s="240"/>
      <c r="F454" s="240"/>
      <c r="G454" s="240"/>
      <c r="H454" s="240" t="s">
        <v>617</v>
      </c>
      <c r="I454" s="240"/>
      <c r="J454" s="240"/>
      <c r="K454" s="240"/>
      <c r="L454" s="240"/>
      <c r="M454" s="240"/>
      <c r="N454" s="240"/>
      <c r="O454" s="240" t="s">
        <v>132</v>
      </c>
      <c r="P454" s="240"/>
      <c r="Q454" s="1780" t="e">
        <f>#REF!</f>
        <v>#REF!</v>
      </c>
      <c r="R454" s="1780"/>
      <c r="S454" s="1780"/>
      <c r="T454" s="1780"/>
      <c r="U454" s="1780"/>
      <c r="V454" s="240"/>
      <c r="W454" s="240" t="s">
        <v>683</v>
      </c>
      <c r="X454" s="240"/>
      <c r="Y454" s="240"/>
      <c r="Z454" s="240" t="str">
        <f>TEXT(L451,"#,##0.#######")</f>
        <v>3.3</v>
      </c>
      <c r="AA454" s="240"/>
      <c r="AB454" s="240"/>
      <c r="AC454" s="240"/>
      <c r="AD454" s="240"/>
      <c r="AE454" s="240"/>
      <c r="AF454" s="240" t="s">
        <v>134</v>
      </c>
      <c r="AG454" s="240"/>
      <c r="AH454" s="240" t="e">
        <f>TEXT(TRUNC(Q454/L451,1),"#,##0.#")</f>
        <v>#REF!</v>
      </c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240"/>
      <c r="CC454" s="240"/>
      <c r="CD454" s="240"/>
      <c r="CE454" s="240"/>
      <c r="CF454" s="240"/>
      <c r="CG454" s="240"/>
      <c r="CH454" s="240"/>
      <c r="CI454" s="240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345"/>
      <c r="EM454" s="245"/>
      <c r="EN454" s="245"/>
      <c r="EO454" s="245"/>
      <c r="EP454" s="245"/>
      <c r="EQ454" s="351"/>
    </row>
    <row r="455" spans="2:147" s="243" customFormat="1" ht="11.25" customHeight="1">
      <c r="B455" s="343"/>
      <c r="C455" s="240"/>
      <c r="D455" s="240"/>
      <c r="E455" s="240"/>
      <c r="F455" s="240"/>
      <c r="G455" s="240"/>
      <c r="H455" s="240" t="s">
        <v>679</v>
      </c>
      <c r="I455" s="240"/>
      <c r="J455" s="240"/>
      <c r="K455" s="240"/>
      <c r="L455" s="240" t="s">
        <v>680</v>
      </c>
      <c r="M455" s="240"/>
      <c r="N455" s="240"/>
      <c r="O455" s="240" t="s">
        <v>132</v>
      </c>
      <c r="P455" s="240"/>
      <c r="Q455" s="1780" t="e">
        <f>#REF!</f>
        <v>#REF!</v>
      </c>
      <c r="R455" s="1780"/>
      <c r="S455" s="1780"/>
      <c r="T455" s="1780"/>
      <c r="U455" s="1780"/>
      <c r="V455" s="240"/>
      <c r="W455" s="240" t="s">
        <v>683</v>
      </c>
      <c r="X455" s="240"/>
      <c r="Y455" s="240"/>
      <c r="Z455" s="240" t="str">
        <f>TEXT(L451,"#,##0.#######")</f>
        <v>3.3</v>
      </c>
      <c r="AA455" s="240"/>
      <c r="AB455" s="240"/>
      <c r="AC455" s="240"/>
      <c r="AD455" s="240"/>
      <c r="AE455" s="240"/>
      <c r="AF455" s="240" t="s">
        <v>134</v>
      </c>
      <c r="AG455" s="240"/>
      <c r="AH455" s="240" t="e">
        <f>TEXT(TRUNC(Q455/L451,1),"#,##0.#")</f>
        <v>#REF!</v>
      </c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240"/>
      <c r="CC455" s="240"/>
      <c r="CD455" s="240"/>
      <c r="CE455" s="240"/>
      <c r="CF455" s="240"/>
      <c r="CG455" s="240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345"/>
      <c r="EM455" s="245"/>
      <c r="EN455" s="245"/>
      <c r="EO455" s="245"/>
      <c r="EP455" s="245"/>
      <c r="EQ455" s="351"/>
    </row>
    <row r="456" spans="2:147" s="243" customFormat="1" ht="11.25" customHeight="1">
      <c r="B456" s="343"/>
      <c r="C456" s="240"/>
      <c r="D456" s="240"/>
      <c r="E456" s="240"/>
      <c r="F456" s="240"/>
      <c r="G456" s="240"/>
      <c r="H456" s="240" t="s">
        <v>688</v>
      </c>
      <c r="I456" s="240"/>
      <c r="J456" s="240"/>
      <c r="K456" s="240"/>
      <c r="L456" s="240" t="s">
        <v>96</v>
      </c>
      <c r="M456" s="240"/>
      <c r="N456" s="240"/>
      <c r="O456" s="240" t="s">
        <v>132</v>
      </c>
      <c r="P456" s="240"/>
      <c r="Q456" s="240" t="e">
        <f>TEXT(AH453+AH454+AH455,"#,##0.#######")</f>
        <v>#REF!</v>
      </c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240"/>
      <c r="CC456" s="240"/>
      <c r="CD456" s="240"/>
      <c r="CE456" s="240"/>
      <c r="CF456" s="240"/>
      <c r="CG456" s="240"/>
      <c r="CH456" s="240"/>
      <c r="CI456" s="240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345"/>
      <c r="EM456" s="245" t="e">
        <f>EN456+EO456+EP456</f>
        <v>#REF!</v>
      </c>
      <c r="EN456" s="245" t="e">
        <f>TEXT(AH453,"#,###.0")</f>
        <v>#REF!</v>
      </c>
      <c r="EO456" s="245" t="e">
        <f>TEXT(AH454,"#,###.0")</f>
        <v>#REF!</v>
      </c>
      <c r="EP456" s="245" t="e">
        <f>TEXT(AH455,"#,###.0")</f>
        <v>#REF!</v>
      </c>
      <c r="EQ456" s="351"/>
    </row>
    <row r="457" spans="2:147" s="243" customFormat="1" ht="11.25" customHeight="1">
      <c r="B457" s="343"/>
      <c r="C457" s="240"/>
      <c r="D457" s="240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240"/>
      <c r="CC457" s="240"/>
      <c r="CD457" s="240"/>
      <c r="CE457" s="240"/>
      <c r="CF457" s="240"/>
      <c r="CG457" s="240"/>
      <c r="CH457" s="240"/>
      <c r="CI457" s="240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345"/>
      <c r="EM457" s="245"/>
      <c r="EN457" s="245"/>
      <c r="EO457" s="245"/>
      <c r="EP457" s="245"/>
      <c r="EQ457" s="351"/>
    </row>
    <row r="458" spans="2:147" s="243" customFormat="1" ht="11.25" customHeight="1">
      <c r="B458" s="343"/>
      <c r="C458" s="240"/>
      <c r="D458" s="240"/>
      <c r="E458" s="240" t="s">
        <v>675</v>
      </c>
      <c r="F458" s="240"/>
      <c r="G458" s="240"/>
      <c r="H458" s="240" t="s">
        <v>769</v>
      </c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240"/>
      <c r="CC458" s="240"/>
      <c r="CD458" s="240"/>
      <c r="CE458" s="240"/>
      <c r="CF458" s="240"/>
      <c r="CG458" s="240"/>
      <c r="CH458" s="240"/>
      <c r="CI458" s="240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345"/>
      <c r="EM458" s="245"/>
      <c r="EN458" s="245"/>
      <c r="EO458" s="245"/>
      <c r="EP458" s="245"/>
      <c r="EQ458" s="351"/>
    </row>
    <row r="459" spans="2:147" s="243" customFormat="1" ht="11.25" customHeight="1">
      <c r="B459" s="343"/>
      <c r="C459" s="240"/>
      <c r="D459" s="240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240"/>
      <c r="CC459" s="240"/>
      <c r="CD459" s="240"/>
      <c r="CE459" s="240"/>
      <c r="CF459" s="240"/>
      <c r="CG459" s="240"/>
      <c r="CH459" s="240"/>
      <c r="CI459" s="240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345"/>
      <c r="EM459" s="245"/>
      <c r="EN459" s="245"/>
      <c r="EO459" s="245"/>
      <c r="EP459" s="245"/>
      <c r="EQ459" s="351"/>
    </row>
    <row r="460" spans="2:147" s="243" customFormat="1" ht="11.25" customHeight="1">
      <c r="B460" s="343"/>
      <c r="C460" s="240"/>
      <c r="D460" s="240"/>
      <c r="E460" s="240"/>
      <c r="F460" s="240"/>
      <c r="G460" s="240"/>
      <c r="H460" s="240" t="s">
        <v>103</v>
      </c>
      <c r="I460" s="240"/>
      <c r="J460" s="240"/>
      <c r="K460" s="240"/>
      <c r="L460" s="240"/>
      <c r="M460" s="240"/>
      <c r="N460" s="240" t="s">
        <v>132</v>
      </c>
      <c r="O460" s="240"/>
      <c r="P460" s="1774">
        <f>VLOOKUP($H460,노임단가!$A:$B,2,FALSE)</f>
        <v>157068</v>
      </c>
      <c r="Q460" s="1774"/>
      <c r="R460" s="1774"/>
      <c r="S460" s="1774"/>
      <c r="T460" s="1774"/>
      <c r="U460" s="1774"/>
      <c r="V460" s="240"/>
      <c r="W460" s="240"/>
      <c r="X460" s="240"/>
      <c r="Y460" s="240" t="str">
        <f>TEXT(1,"#,##0.#######")</f>
        <v>1.</v>
      </c>
      <c r="Z460" s="240" t="s">
        <v>102</v>
      </c>
      <c r="AA460" s="240"/>
      <c r="AB460" s="240"/>
      <c r="AC460" s="240" t="s">
        <v>683</v>
      </c>
      <c r="AD460" s="240"/>
      <c r="AE460" s="240"/>
      <c r="AF460" s="240" t="s">
        <v>147</v>
      </c>
      <c r="AG460" s="240" t="str">
        <f>TEXT(8,"#,##0.#######")</f>
        <v>8.</v>
      </c>
      <c r="AH460" s="240" t="s">
        <v>618</v>
      </c>
      <c r="AI460" s="240"/>
      <c r="AJ460" s="240"/>
      <c r="AK460" s="240" t="s">
        <v>652</v>
      </c>
      <c r="AL460" s="240"/>
      <c r="AM460" s="240"/>
      <c r="AN460" s="240" t="str">
        <f>TEXT(L451,"#,##0.#######")</f>
        <v>3.3</v>
      </c>
      <c r="AO460" s="240"/>
      <c r="AP460" s="240"/>
      <c r="AQ460" s="240"/>
      <c r="AR460" s="240"/>
      <c r="AS460" s="240" t="s">
        <v>148</v>
      </c>
      <c r="AT460" s="240"/>
      <c r="AU460" s="240" t="s">
        <v>134</v>
      </c>
      <c r="AV460" s="240"/>
      <c r="AW460" s="240" t="str">
        <f>TEXT(TRUNC(P460*Y460/(AG460*L451),1),"#,##0.#")</f>
        <v>5,949.5</v>
      </c>
      <c r="AX460" s="240"/>
      <c r="AY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240"/>
      <c r="CC460" s="240"/>
      <c r="CD460" s="240"/>
      <c r="CE460" s="240"/>
      <c r="CF460" s="240"/>
      <c r="CG460" s="240"/>
      <c r="CH460" s="240"/>
      <c r="CI460" s="240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345"/>
      <c r="EM460" s="245">
        <f>EN460+EO460+EP460</f>
        <v>5949.5</v>
      </c>
      <c r="EN460" s="245" t="str">
        <f>AW460</f>
        <v>5,949.5</v>
      </c>
      <c r="EO460" s="245"/>
      <c r="EP460" s="245"/>
      <c r="EQ460" s="351"/>
    </row>
    <row r="461" spans="2:147" s="243" customFormat="1" ht="11.25" customHeight="1">
      <c r="B461" s="343"/>
      <c r="C461" s="240"/>
      <c r="D461" s="240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240"/>
      <c r="CC461" s="240"/>
      <c r="CD461" s="240"/>
      <c r="CE461" s="240"/>
      <c r="CF461" s="240"/>
      <c r="CG461" s="240"/>
      <c r="CH461" s="240"/>
      <c r="CI461" s="240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345"/>
      <c r="EM461" s="245"/>
      <c r="EN461" s="245"/>
      <c r="EO461" s="245"/>
      <c r="EP461" s="245"/>
      <c r="EQ461" s="351"/>
    </row>
    <row r="462" spans="2:147" s="243" customFormat="1" ht="11.25" customHeight="1">
      <c r="B462" s="343"/>
      <c r="C462" s="240"/>
      <c r="D462" s="240"/>
      <c r="E462" s="240" t="s">
        <v>677</v>
      </c>
      <c r="F462" s="240"/>
      <c r="G462" s="240"/>
      <c r="H462" s="240" t="s">
        <v>770</v>
      </c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240"/>
      <c r="CC462" s="240"/>
      <c r="CD462" s="240"/>
      <c r="CE462" s="240"/>
      <c r="CF462" s="240"/>
      <c r="CG462" s="240"/>
      <c r="CH462" s="240"/>
      <c r="CI462" s="240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345"/>
      <c r="EM462" s="245"/>
      <c r="EN462" s="245"/>
      <c r="EO462" s="245"/>
      <c r="EP462" s="245"/>
      <c r="EQ462" s="351"/>
    </row>
    <row r="463" spans="2:147" s="243" customFormat="1" ht="11.25" customHeight="1">
      <c r="B463" s="343"/>
      <c r="C463" s="240"/>
      <c r="D463" s="240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240"/>
      <c r="CC463" s="240"/>
      <c r="CD463" s="240"/>
      <c r="CE463" s="240"/>
      <c r="CF463" s="240"/>
      <c r="CG463" s="240"/>
      <c r="CH463" s="240"/>
      <c r="CI463" s="240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345"/>
      <c r="EM463" s="245"/>
      <c r="EN463" s="245"/>
      <c r="EO463" s="245"/>
      <c r="EP463" s="245"/>
      <c r="EQ463" s="351"/>
    </row>
    <row r="464" spans="2:147" s="243" customFormat="1" ht="11.25" customHeight="1">
      <c r="B464" s="343"/>
      <c r="C464" s="240"/>
      <c r="D464" s="240"/>
      <c r="E464" s="240"/>
      <c r="F464" s="240"/>
      <c r="G464" s="240"/>
      <c r="H464" s="240" t="s">
        <v>837</v>
      </c>
      <c r="I464" s="240"/>
      <c r="J464" s="240"/>
      <c r="K464" s="240"/>
      <c r="L464" s="240"/>
      <c r="M464" s="240"/>
      <c r="N464" s="240"/>
      <c r="O464" s="240"/>
      <c r="P464" s="240"/>
      <c r="Q464" s="240" t="str">
        <f>TEXT(56000,"#,##0.#######")</f>
        <v>56,000.</v>
      </c>
      <c r="R464" s="240"/>
      <c r="S464" s="240"/>
      <c r="T464" s="240"/>
      <c r="U464" s="240"/>
      <c r="V464" s="240" t="s">
        <v>652</v>
      </c>
      <c r="W464" s="240"/>
      <c r="X464" s="240"/>
      <c r="Y464" s="240" t="str">
        <f>TEXT(0.008,"#,##0.#######")</f>
        <v>0.008</v>
      </c>
      <c r="Z464" s="240"/>
      <c r="AA464" s="240"/>
      <c r="AB464" s="240"/>
      <c r="AC464" s="240"/>
      <c r="AD464" s="240" t="s">
        <v>370</v>
      </c>
      <c r="AE464" s="240"/>
      <c r="AF464" s="240"/>
      <c r="AG464" s="240" t="s">
        <v>683</v>
      </c>
      <c r="AH464" s="240"/>
      <c r="AI464" s="240"/>
      <c r="AJ464" s="240" t="str">
        <f>TEXT(L451,"#,##0.#######")</f>
        <v>3.3</v>
      </c>
      <c r="AK464" s="240"/>
      <c r="AL464" s="240"/>
      <c r="AM464" s="240"/>
      <c r="AN464" s="240"/>
      <c r="AO464" s="240"/>
      <c r="AP464" s="240" t="s">
        <v>134</v>
      </c>
      <c r="AQ464" s="240"/>
      <c r="AR464" s="240" t="str">
        <f>TEXT(TRUNC(Q464*Y464/L451,1),"#,##0.#")</f>
        <v>135.7</v>
      </c>
      <c r="AS464" s="240"/>
      <c r="AY464" s="240"/>
      <c r="AZ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240"/>
      <c r="CC464" s="240"/>
      <c r="CD464" s="240"/>
      <c r="CE464" s="240"/>
      <c r="CF464" s="240"/>
      <c r="CG464" s="240"/>
      <c r="CH464" s="240"/>
      <c r="CI464" s="240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345"/>
      <c r="EM464" s="245">
        <f>EN464+EO464+EP464</f>
        <v>135.69999999999999</v>
      </c>
      <c r="EN464" s="245"/>
      <c r="EO464" s="245" t="str">
        <f>AR464</f>
        <v>135.7</v>
      </c>
      <c r="EP464" s="245"/>
      <c r="EQ464" s="351"/>
    </row>
    <row r="465" spans="2:147" s="243" customFormat="1" ht="11.25" customHeight="1">
      <c r="B465" s="343"/>
      <c r="C465" s="240"/>
      <c r="D465" s="240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240"/>
      <c r="CC465" s="240"/>
      <c r="CD465" s="240"/>
      <c r="CE465" s="240"/>
      <c r="CF465" s="240"/>
      <c r="CG465" s="240"/>
      <c r="CH465" s="240"/>
      <c r="CI465" s="240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345"/>
      <c r="EM465" s="245"/>
      <c r="EN465" s="245"/>
      <c r="EO465" s="245"/>
      <c r="EP465" s="245"/>
      <c r="EQ465" s="351"/>
    </row>
    <row r="466" spans="2:147" s="243" customFormat="1" ht="11.25" customHeight="1">
      <c r="B466" s="343"/>
      <c r="C466" s="240"/>
      <c r="D466" s="240"/>
      <c r="E466" s="240" t="s">
        <v>695</v>
      </c>
      <c r="F466" s="240"/>
      <c r="G466" s="240"/>
      <c r="H466" s="240" t="s">
        <v>771</v>
      </c>
      <c r="I466" s="240"/>
      <c r="J466" s="240"/>
      <c r="K466" s="240"/>
      <c r="L466" s="240"/>
      <c r="M466" s="240"/>
      <c r="N466" s="240"/>
      <c r="O466" s="240"/>
      <c r="P466" s="240"/>
      <c r="Q466" s="240" t="s">
        <v>132</v>
      </c>
      <c r="R466" s="240"/>
      <c r="S466" s="240" t="s">
        <v>691</v>
      </c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 t="s">
        <v>838</v>
      </c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240"/>
      <c r="CC466" s="240"/>
      <c r="CD466" s="240"/>
      <c r="CE466" s="240"/>
      <c r="CF466" s="240"/>
      <c r="CG466" s="240"/>
      <c r="CH466" s="240"/>
      <c r="CI466" s="240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345"/>
      <c r="EM466" s="245"/>
      <c r="EN466" s="245"/>
      <c r="EO466" s="245"/>
      <c r="EP466" s="245"/>
      <c r="EQ466" s="351"/>
    </row>
    <row r="467" spans="2:147" s="243" customFormat="1" ht="11.25" customHeight="1">
      <c r="B467" s="343"/>
      <c r="C467" s="240"/>
      <c r="D467" s="240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240"/>
      <c r="CC467" s="240"/>
      <c r="CD467" s="240"/>
      <c r="CE467" s="240"/>
      <c r="CF467" s="240"/>
      <c r="CG467" s="240"/>
      <c r="CH467" s="240"/>
      <c r="CI467" s="240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345"/>
      <c r="EM467" s="245"/>
      <c r="EN467" s="245"/>
      <c r="EO467" s="245"/>
      <c r="EP467" s="245"/>
      <c r="EQ467" s="351"/>
    </row>
    <row r="468" spans="2:147" s="243" customFormat="1" ht="11.25" customHeight="1">
      <c r="B468" s="343"/>
      <c r="C468" s="240"/>
      <c r="D468" s="240"/>
      <c r="E468" s="240"/>
      <c r="F468" s="240"/>
      <c r="G468" s="240"/>
      <c r="H468" s="240" t="s">
        <v>773</v>
      </c>
      <c r="I468" s="240"/>
      <c r="J468" s="240" t="s">
        <v>134</v>
      </c>
      <c r="K468" s="240"/>
      <c r="L468" s="240" t="str">
        <f>TEXT(0.4,"#,##0.#######")</f>
        <v>0.4</v>
      </c>
      <c r="M468" s="240"/>
      <c r="N468" s="240"/>
      <c r="O468" s="240"/>
      <c r="P468" s="240"/>
      <c r="Q468" s="240"/>
      <c r="R468" s="240"/>
      <c r="S468" s="240"/>
      <c r="T468" s="240"/>
      <c r="U468" s="240" t="s">
        <v>774</v>
      </c>
      <c r="V468" s="240"/>
      <c r="W468" s="240" t="s">
        <v>134</v>
      </c>
      <c r="X468" s="240"/>
      <c r="Y468" s="240" t="str">
        <f>TEXT(1,"#,##0.#######")</f>
        <v>1.</v>
      </c>
      <c r="Z468" s="240"/>
      <c r="AA468" s="240" t="s">
        <v>139</v>
      </c>
      <c r="AB468" s="240"/>
      <c r="AC468" s="240" t="str">
        <f>TEXT(1.5,"#,##0.#######")</f>
        <v>1.5</v>
      </c>
      <c r="AD468" s="240"/>
      <c r="AE468" s="240"/>
      <c r="AF468" s="240"/>
      <c r="AG468" s="240" t="s">
        <v>134</v>
      </c>
      <c r="AH468" s="240"/>
      <c r="AI468" s="240" t="str">
        <f>TEXT(ROUND(Y468/AC468,2),"#,##0.#######")</f>
        <v>0.67</v>
      </c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 t="s">
        <v>775</v>
      </c>
      <c r="AU468" s="240"/>
      <c r="AV468" s="240" t="s">
        <v>134</v>
      </c>
      <c r="AW468" s="240"/>
      <c r="AX468" s="240" t="str">
        <f>TEXT(0.55,"#,##0.#######")</f>
        <v>0.55</v>
      </c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240"/>
      <c r="CC468" s="240"/>
      <c r="CD468" s="240"/>
      <c r="CE468" s="240"/>
      <c r="CF468" s="240"/>
      <c r="CG468" s="240"/>
      <c r="CH468" s="240"/>
      <c r="CI468" s="240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345"/>
      <c r="EM468" s="245"/>
      <c r="EN468" s="245"/>
      <c r="EO468" s="245"/>
      <c r="EP468" s="245"/>
      <c r="EQ468" s="351"/>
    </row>
    <row r="469" spans="2:147" s="243" customFormat="1" ht="11.25" customHeight="1">
      <c r="B469" s="343"/>
      <c r="C469" s="240"/>
      <c r="D469" s="240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240"/>
      <c r="CC469" s="240"/>
      <c r="CD469" s="240"/>
      <c r="CE469" s="240"/>
      <c r="CF469" s="240"/>
      <c r="CG469" s="240"/>
      <c r="CH469" s="240"/>
      <c r="CI469" s="240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345"/>
      <c r="EM469" s="245"/>
      <c r="EN469" s="245"/>
      <c r="EO469" s="245"/>
      <c r="EP469" s="245"/>
      <c r="EQ469" s="351"/>
    </row>
    <row r="470" spans="2:147" s="243" customFormat="1" ht="11.25" customHeight="1">
      <c r="B470" s="343"/>
      <c r="C470" s="240"/>
      <c r="D470" s="240"/>
      <c r="E470" s="240"/>
      <c r="F470" s="240"/>
      <c r="G470" s="240"/>
      <c r="H470" s="240" t="s">
        <v>692</v>
      </c>
      <c r="I470" s="240"/>
      <c r="J470" s="240" t="s">
        <v>134</v>
      </c>
      <c r="K470" s="240"/>
      <c r="L470" s="240" t="str">
        <f>TEXT(0.45,"#,##0.#######")</f>
        <v>0.45</v>
      </c>
      <c r="M470" s="240"/>
      <c r="N470" s="240"/>
      <c r="O470" s="240"/>
      <c r="P470" s="240"/>
      <c r="Q470" s="240"/>
      <c r="R470" s="240"/>
      <c r="S470" s="240"/>
      <c r="T470" s="240"/>
      <c r="U470" s="240" t="s">
        <v>693</v>
      </c>
      <c r="V470" s="240"/>
      <c r="W470" s="240"/>
      <c r="X470" s="240" t="s">
        <v>134</v>
      </c>
      <c r="Y470" s="240"/>
      <c r="Z470" s="240" t="str">
        <f>TEXT(18,"#,##0.#######")</f>
        <v>18.</v>
      </c>
      <c r="AA470" s="240"/>
      <c r="AB470" s="240" t="s">
        <v>776</v>
      </c>
      <c r="AC470" s="240"/>
      <c r="AD470" s="240"/>
      <c r="AE470" s="240"/>
      <c r="AF470" s="240" t="s">
        <v>147</v>
      </c>
      <c r="AG470" s="240" t="s">
        <v>553</v>
      </c>
      <c r="AH470" s="240"/>
      <c r="AI470" s="240"/>
      <c r="AJ470" s="240" t="s">
        <v>777</v>
      </c>
      <c r="AK470" s="240"/>
      <c r="AL470" s="240" t="s">
        <v>148</v>
      </c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240"/>
      <c r="CC470" s="240"/>
      <c r="CD470" s="240"/>
      <c r="CE470" s="240"/>
      <c r="CF470" s="240"/>
      <c r="CG470" s="240"/>
      <c r="CH470" s="240"/>
      <c r="CI470" s="240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345"/>
      <c r="EM470" s="245"/>
      <c r="EN470" s="245"/>
      <c r="EO470" s="245"/>
      <c r="EP470" s="245"/>
      <c r="EQ470" s="351"/>
    </row>
    <row r="471" spans="2:147" s="243" customFormat="1" ht="11.25" customHeight="1">
      <c r="B471" s="343"/>
      <c r="C471" s="240"/>
      <c r="D471" s="240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240"/>
      <c r="CC471" s="240"/>
      <c r="CD471" s="240"/>
      <c r="CE471" s="240"/>
      <c r="CF471" s="240"/>
      <c r="CG471" s="240"/>
      <c r="CH471" s="240"/>
      <c r="CI471" s="240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345"/>
      <c r="EM471" s="245"/>
      <c r="EN471" s="245"/>
      <c r="EO471" s="245"/>
      <c r="EP471" s="245"/>
      <c r="EQ471" s="351"/>
    </row>
    <row r="472" spans="2:147" s="243" customFormat="1" ht="11.25" customHeight="1">
      <c r="B472" s="343"/>
      <c r="C472" s="240"/>
      <c r="D472" s="240"/>
      <c r="E472" s="240"/>
      <c r="F472" s="240"/>
      <c r="G472" s="240"/>
      <c r="H472" s="240"/>
      <c r="I472" s="240"/>
      <c r="J472" s="240"/>
      <c r="K472" s="240"/>
      <c r="L472" s="240"/>
      <c r="M472" s="240" t="str">
        <f>TEXT(3600,"#,##0.#######")</f>
        <v>3,600.</v>
      </c>
      <c r="N472" s="240"/>
      <c r="O472" s="240"/>
      <c r="P472" s="240"/>
      <c r="Q472" s="240"/>
      <c r="R472" s="240" t="s">
        <v>652</v>
      </c>
      <c r="S472" s="240"/>
      <c r="T472" s="240" t="s">
        <v>773</v>
      </c>
      <c r="U472" s="240" t="s">
        <v>652</v>
      </c>
      <c r="V472" s="240"/>
      <c r="W472" s="240" t="s">
        <v>775</v>
      </c>
      <c r="X472" s="240" t="s">
        <v>652</v>
      </c>
      <c r="Y472" s="240"/>
      <c r="Z472" s="240" t="s">
        <v>774</v>
      </c>
      <c r="AA472" s="240" t="s">
        <v>652</v>
      </c>
      <c r="AB472" s="240"/>
      <c r="AC472" s="240" t="s">
        <v>692</v>
      </c>
      <c r="AD472" s="240"/>
      <c r="AE472" s="240"/>
      <c r="AF472" s="240"/>
      <c r="AG472" s="240"/>
      <c r="AH472" s="240"/>
      <c r="AI472" s="240"/>
      <c r="AJ472" s="240" t="str">
        <f>TEXT(M472,"#,##0.#######")</f>
        <v>3,600.</v>
      </c>
      <c r="AK472" s="240"/>
      <c r="AL472" s="240"/>
      <c r="AM472" s="240"/>
      <c r="AN472" s="240"/>
      <c r="AO472" s="240" t="s">
        <v>652</v>
      </c>
      <c r="AP472" s="240"/>
      <c r="AQ472" s="240" t="str">
        <f>TEXT(L468,"#,##0.#######")</f>
        <v>0.4</v>
      </c>
      <c r="AR472" s="240"/>
      <c r="AS472" s="240"/>
      <c r="AT472" s="240" t="s">
        <v>652</v>
      </c>
      <c r="AU472" s="240"/>
      <c r="AV472" s="240" t="str">
        <f>TEXT(AX468,"#,##0.#######")</f>
        <v>0.55</v>
      </c>
      <c r="AW472" s="240"/>
      <c r="AX472" s="240"/>
      <c r="AY472" s="240"/>
      <c r="AZ472" s="240" t="s">
        <v>652</v>
      </c>
      <c r="BA472" s="240"/>
      <c r="BB472" s="240" t="str">
        <f>TEXT(AI468,"#,##0.#######")</f>
        <v>0.67</v>
      </c>
      <c r="BC472" s="240"/>
      <c r="BD472" s="240"/>
      <c r="BE472" s="240"/>
      <c r="BF472" s="240" t="s">
        <v>652</v>
      </c>
      <c r="BG472" s="240"/>
      <c r="BH472" s="240" t="str">
        <f>TEXT(L470,"#,##0.#######")</f>
        <v>0.45</v>
      </c>
      <c r="BI472" s="240"/>
      <c r="BJ472" s="240"/>
      <c r="BK472" s="240"/>
      <c r="BL472" s="240"/>
      <c r="BM472" s="240"/>
      <c r="BN472" s="240"/>
      <c r="BO472" s="240"/>
      <c r="BP472" s="240"/>
      <c r="BQ472" s="240"/>
      <c r="BR472" s="240"/>
      <c r="BS472" s="240"/>
      <c r="BT472" s="240"/>
      <c r="BU472" s="240"/>
      <c r="BV472" s="240"/>
      <c r="BW472" s="240"/>
      <c r="BX472" s="240"/>
      <c r="BY472" s="240"/>
      <c r="BZ472" s="240"/>
      <c r="CA472" s="240"/>
      <c r="CB472" s="240"/>
      <c r="CC472" s="240"/>
      <c r="CD472" s="240"/>
      <c r="CE472" s="240"/>
      <c r="CF472" s="240"/>
      <c r="CG472" s="240"/>
      <c r="CH472" s="240"/>
      <c r="CI472" s="240"/>
      <c r="CJ472" s="240"/>
      <c r="CK472" s="240"/>
      <c r="CL472" s="240"/>
      <c r="CM472" s="240"/>
      <c r="CN472" s="240"/>
      <c r="CO472" s="240"/>
      <c r="CP472" s="240"/>
      <c r="CQ472" s="240"/>
      <c r="CR472" s="240"/>
      <c r="CS472" s="240"/>
      <c r="CT472" s="240"/>
      <c r="CU472" s="240"/>
      <c r="CV472" s="240"/>
      <c r="CW472" s="240"/>
      <c r="CX472" s="240"/>
      <c r="CY472" s="240"/>
      <c r="CZ472" s="241"/>
      <c r="DA472" s="241"/>
      <c r="DB472" s="241"/>
      <c r="DC472" s="241"/>
      <c r="DD472" s="241"/>
      <c r="DE472" s="241"/>
      <c r="DF472" s="241"/>
      <c r="DG472" s="241"/>
      <c r="DH472" s="241"/>
      <c r="DI472" s="241"/>
      <c r="DJ472" s="241"/>
      <c r="DK472" s="241"/>
      <c r="DL472" s="241"/>
      <c r="DM472" s="241"/>
      <c r="DN472" s="241"/>
      <c r="DO472" s="241"/>
      <c r="DP472" s="241"/>
      <c r="DQ472" s="241"/>
      <c r="DR472" s="241"/>
      <c r="DS472" s="241"/>
      <c r="DT472" s="241"/>
      <c r="DU472" s="241"/>
      <c r="DV472" s="241"/>
      <c r="DW472" s="241"/>
      <c r="DX472" s="241"/>
      <c r="DY472" s="241"/>
      <c r="DZ472" s="241"/>
      <c r="EA472" s="241"/>
      <c r="EB472" s="241"/>
      <c r="EC472" s="241"/>
      <c r="ED472" s="241"/>
      <c r="EE472" s="241"/>
      <c r="EF472" s="241"/>
      <c r="EG472" s="241"/>
      <c r="EH472" s="241"/>
      <c r="EI472" s="241"/>
      <c r="EJ472" s="241"/>
      <c r="EK472" s="241"/>
      <c r="EL472" s="345"/>
      <c r="EM472" s="245"/>
      <c r="EN472" s="245"/>
      <c r="EO472" s="245"/>
      <c r="EP472" s="245"/>
      <c r="EQ472" s="351"/>
    </row>
    <row r="473" spans="2:147" s="243" customFormat="1" ht="11.25" customHeight="1">
      <c r="B473" s="343"/>
      <c r="C473" s="240"/>
      <c r="D473" s="240"/>
      <c r="E473" s="240"/>
      <c r="F473" s="240"/>
      <c r="G473" s="240"/>
      <c r="H473" s="240" t="s">
        <v>687</v>
      </c>
      <c r="I473" s="240"/>
      <c r="J473" s="240" t="s">
        <v>134</v>
      </c>
      <c r="K473" s="240"/>
      <c r="L473" s="240" t="s">
        <v>694</v>
      </c>
      <c r="M473" s="240"/>
      <c r="N473" s="240" t="s">
        <v>694</v>
      </c>
      <c r="O473" s="240"/>
      <c r="P473" s="240" t="s">
        <v>694</v>
      </c>
      <c r="Q473" s="240"/>
      <c r="R473" s="240" t="s">
        <v>694</v>
      </c>
      <c r="S473" s="240"/>
      <c r="T473" s="240" t="s">
        <v>694</v>
      </c>
      <c r="U473" s="240"/>
      <c r="V473" s="240" t="s">
        <v>694</v>
      </c>
      <c r="W473" s="240"/>
      <c r="X473" s="240" t="s">
        <v>694</v>
      </c>
      <c r="Y473" s="240"/>
      <c r="Z473" s="240" t="s">
        <v>694</v>
      </c>
      <c r="AA473" s="240"/>
      <c r="AB473" s="240" t="s">
        <v>694</v>
      </c>
      <c r="AC473" s="240"/>
      <c r="AD473" s="240" t="s">
        <v>694</v>
      </c>
      <c r="AE473" s="240"/>
      <c r="AF473" s="240"/>
      <c r="AG473" s="240" t="s">
        <v>134</v>
      </c>
      <c r="AH473" s="240"/>
      <c r="AI473" s="240" t="s">
        <v>694</v>
      </c>
      <c r="AJ473" s="240"/>
      <c r="AK473" s="240" t="s">
        <v>694</v>
      </c>
      <c r="AL473" s="240"/>
      <c r="AM473" s="240" t="s">
        <v>694</v>
      </c>
      <c r="AN473" s="240"/>
      <c r="AO473" s="240" t="s">
        <v>694</v>
      </c>
      <c r="AP473" s="240"/>
      <c r="AQ473" s="240" t="s">
        <v>694</v>
      </c>
      <c r="AR473" s="240"/>
      <c r="AS473" s="240" t="s">
        <v>694</v>
      </c>
      <c r="AT473" s="240"/>
      <c r="AU473" s="240" t="s">
        <v>694</v>
      </c>
      <c r="AV473" s="240"/>
      <c r="AW473" s="240" t="s">
        <v>694</v>
      </c>
      <c r="AX473" s="240"/>
      <c r="AY473" s="240" t="s">
        <v>694</v>
      </c>
      <c r="AZ473" s="240"/>
      <c r="BA473" s="240" t="s">
        <v>694</v>
      </c>
      <c r="BB473" s="240"/>
      <c r="BC473" s="240" t="s">
        <v>694</v>
      </c>
      <c r="BD473" s="240"/>
      <c r="BE473" s="240" t="s">
        <v>694</v>
      </c>
      <c r="BF473" s="240"/>
      <c r="BG473" s="240" t="s">
        <v>694</v>
      </c>
      <c r="BH473" s="240"/>
      <c r="BI473" s="240" t="s">
        <v>694</v>
      </c>
      <c r="BJ473" s="240"/>
      <c r="BK473" s="240" t="s">
        <v>694</v>
      </c>
      <c r="BL473" s="240"/>
      <c r="BM473" s="240"/>
      <c r="BN473" s="240" t="s">
        <v>134</v>
      </c>
      <c r="BO473" s="240"/>
      <c r="BP473" s="240" t="str">
        <f>TEXT(ROUND((3600*L468*AX468*AI468*L470)/(Z470),2),"#,##0.#######")</f>
        <v>13.27</v>
      </c>
      <c r="BQ473" s="240"/>
      <c r="BR473" s="240"/>
      <c r="BS473" s="240"/>
      <c r="BT473" s="240"/>
      <c r="BU473" s="240"/>
      <c r="BV473" s="240"/>
      <c r="BW473" s="240"/>
      <c r="BX473" s="240" t="s">
        <v>91</v>
      </c>
      <c r="BY473" s="240"/>
      <c r="BZ473" s="240" t="s">
        <v>139</v>
      </c>
      <c r="CA473" s="240" t="s">
        <v>618</v>
      </c>
      <c r="CB473" s="240"/>
      <c r="CC473" s="240"/>
      <c r="CD473" s="240"/>
      <c r="CE473" s="240"/>
      <c r="CF473" s="240"/>
      <c r="CG473" s="240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345"/>
      <c r="EM473" s="245"/>
      <c r="EN473" s="245"/>
      <c r="EO473" s="245"/>
      <c r="EP473" s="245"/>
      <c r="EQ473" s="351"/>
    </row>
    <row r="474" spans="2:147" s="243" customFormat="1" ht="11.25" customHeight="1">
      <c r="B474" s="343"/>
      <c r="C474" s="240"/>
      <c r="D474" s="240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 t="s">
        <v>693</v>
      </c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 t="str">
        <f>TEXT(Z470,"#,##0.#######")</f>
        <v>18.</v>
      </c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240"/>
      <c r="CC474" s="240"/>
      <c r="CD474" s="240"/>
      <c r="CE474" s="240"/>
      <c r="CF474" s="240"/>
      <c r="CG474" s="240"/>
      <c r="CH474" s="240"/>
      <c r="CI474" s="240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345"/>
      <c r="EM474" s="245"/>
      <c r="EN474" s="245"/>
      <c r="EO474" s="245"/>
      <c r="EP474" s="245"/>
      <c r="EQ474" s="351"/>
    </row>
    <row r="475" spans="2:147" s="243" customFormat="1" ht="11.25" customHeight="1">
      <c r="B475" s="343"/>
      <c r="C475" s="240"/>
      <c r="D475" s="240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240"/>
      <c r="CC475" s="240"/>
      <c r="CD475" s="240"/>
      <c r="CE475" s="240"/>
      <c r="CF475" s="240"/>
      <c r="CG475" s="240"/>
      <c r="CH475" s="240"/>
      <c r="CI475" s="240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345"/>
      <c r="EM475" s="245"/>
      <c r="EN475" s="245"/>
      <c r="EO475" s="245"/>
      <c r="EP475" s="245"/>
      <c r="EQ475" s="351"/>
    </row>
    <row r="476" spans="2:147" s="243" customFormat="1" ht="11.25" customHeight="1">
      <c r="B476" s="343"/>
      <c r="C476" s="240"/>
      <c r="D476" s="240"/>
      <c r="E476" s="240"/>
      <c r="F476" s="240"/>
      <c r="G476" s="240"/>
      <c r="H476" s="240" t="s">
        <v>616</v>
      </c>
      <c r="I476" s="240"/>
      <c r="J476" s="240"/>
      <c r="K476" s="240"/>
      <c r="L476" s="240"/>
      <c r="M476" s="240"/>
      <c r="N476" s="240"/>
      <c r="O476" s="240" t="s">
        <v>132</v>
      </c>
      <c r="P476" s="240"/>
      <c r="Q476" s="1780" t="e">
        <f>#REF!</f>
        <v>#REF!</v>
      </c>
      <c r="R476" s="1780"/>
      <c r="S476" s="1780"/>
      <c r="T476" s="1780"/>
      <c r="U476" s="1780"/>
      <c r="V476" s="240"/>
      <c r="W476" s="240" t="s">
        <v>683</v>
      </c>
      <c r="X476" s="240"/>
      <c r="Y476" s="240"/>
      <c r="Z476" s="240" t="str">
        <f>TEXT(BP473,"#,##0.#######")</f>
        <v>13.27</v>
      </c>
      <c r="AA476" s="240"/>
      <c r="AB476" s="240"/>
      <c r="AC476" s="240"/>
      <c r="AD476" s="240"/>
      <c r="AE476" s="240" t="s">
        <v>134</v>
      </c>
      <c r="AF476" s="240"/>
      <c r="AG476" s="240" t="e">
        <f>TEXT(TRUNC(Q476/BP473,1),"#,##0.#")</f>
        <v>#REF!</v>
      </c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240"/>
      <c r="CC476" s="240"/>
      <c r="CD476" s="240"/>
      <c r="CE476" s="240"/>
      <c r="CF476" s="240"/>
      <c r="CG476" s="240"/>
      <c r="CH476" s="240"/>
      <c r="CI476" s="240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345"/>
      <c r="EM476" s="245"/>
      <c r="EN476" s="245"/>
      <c r="EO476" s="245"/>
      <c r="EP476" s="245"/>
      <c r="EQ476" s="351"/>
    </row>
    <row r="477" spans="2:147" s="243" customFormat="1" ht="11.25" customHeight="1">
      <c r="B477" s="343"/>
      <c r="C477" s="240"/>
      <c r="D477" s="240"/>
      <c r="E477" s="240"/>
      <c r="F477" s="240"/>
      <c r="G477" s="240"/>
      <c r="H477" s="240" t="s">
        <v>617</v>
      </c>
      <c r="I477" s="240"/>
      <c r="J477" s="240"/>
      <c r="K477" s="240"/>
      <c r="L477" s="240"/>
      <c r="M477" s="240"/>
      <c r="N477" s="240"/>
      <c r="O477" s="240" t="s">
        <v>132</v>
      </c>
      <c r="P477" s="240"/>
      <c r="Q477" s="1780" t="e">
        <f>#REF!</f>
        <v>#REF!</v>
      </c>
      <c r="R477" s="1780"/>
      <c r="S477" s="1780"/>
      <c r="T477" s="1780"/>
      <c r="U477" s="1780"/>
      <c r="V477" s="240"/>
      <c r="W477" s="240" t="s">
        <v>683</v>
      </c>
      <c r="X477" s="240"/>
      <c r="Y477" s="240"/>
      <c r="Z477" s="240" t="str">
        <f>TEXT(BP473,"#,##0.#######")</f>
        <v>13.27</v>
      </c>
      <c r="AA477" s="240"/>
      <c r="AB477" s="240"/>
      <c r="AC477" s="240"/>
      <c r="AD477" s="240"/>
      <c r="AE477" s="240" t="s">
        <v>134</v>
      </c>
      <c r="AF477" s="240"/>
      <c r="AG477" s="240" t="e">
        <f>TEXT(TRUNC(Q477/BP473,1),"#,##0.#")</f>
        <v>#REF!</v>
      </c>
      <c r="AN477" s="240"/>
      <c r="AO477" s="240"/>
      <c r="AP477" s="240"/>
      <c r="AQ477" s="240"/>
      <c r="AR477" s="240"/>
      <c r="AS477" s="240"/>
      <c r="AT477" s="240"/>
      <c r="AU477" s="240"/>
      <c r="AV477" s="240"/>
      <c r="AW477" s="240"/>
      <c r="AX477" s="240"/>
      <c r="AY477" s="240"/>
      <c r="AZ477" s="240"/>
      <c r="BA477" s="240"/>
      <c r="BB477" s="240"/>
      <c r="BC477" s="240"/>
      <c r="BD477" s="240"/>
      <c r="BE477" s="240"/>
      <c r="BF477" s="240"/>
      <c r="BG477" s="240"/>
      <c r="BH477" s="240"/>
      <c r="BI477" s="240"/>
      <c r="BJ477" s="240"/>
      <c r="BK477" s="240"/>
      <c r="BL477" s="240"/>
      <c r="BM477" s="240"/>
      <c r="BN477" s="240"/>
      <c r="BO477" s="240"/>
      <c r="BP477" s="240"/>
      <c r="BQ477" s="240"/>
      <c r="BR477" s="240"/>
      <c r="BS477" s="240"/>
      <c r="BT477" s="240"/>
      <c r="BU477" s="240"/>
      <c r="BV477" s="240"/>
      <c r="BW477" s="240"/>
      <c r="BX477" s="240"/>
      <c r="BY477" s="240"/>
      <c r="BZ477" s="240"/>
      <c r="CA477" s="240"/>
      <c r="CB477" s="240"/>
      <c r="CC477" s="240"/>
      <c r="CD477" s="240"/>
      <c r="CE477" s="240"/>
      <c r="CF477" s="240"/>
      <c r="CG477" s="240"/>
      <c r="CH477" s="240"/>
      <c r="CI477" s="240"/>
      <c r="CJ477" s="240"/>
      <c r="CK477" s="240"/>
      <c r="CL477" s="240"/>
      <c r="CM477" s="240"/>
      <c r="CN477" s="240"/>
      <c r="CO477" s="240"/>
      <c r="CP477" s="240"/>
      <c r="CQ477" s="240"/>
      <c r="CR477" s="240"/>
      <c r="CS477" s="240"/>
      <c r="CT477" s="240"/>
      <c r="CU477" s="240"/>
      <c r="CV477" s="240"/>
      <c r="CW477" s="240"/>
      <c r="CX477" s="240"/>
      <c r="CY477" s="240"/>
      <c r="CZ477" s="241"/>
      <c r="DA477" s="241"/>
      <c r="DB477" s="241"/>
      <c r="DC477" s="241"/>
      <c r="DD477" s="241"/>
      <c r="DE477" s="241"/>
      <c r="DF477" s="241"/>
      <c r="DG477" s="241"/>
      <c r="DH477" s="241"/>
      <c r="DI477" s="241"/>
      <c r="DJ477" s="241"/>
      <c r="DK477" s="241"/>
      <c r="DL477" s="241"/>
      <c r="DM477" s="241"/>
      <c r="DN477" s="241"/>
      <c r="DO477" s="241"/>
      <c r="DP477" s="241"/>
      <c r="DQ477" s="241"/>
      <c r="DR477" s="241"/>
      <c r="DS477" s="241"/>
      <c r="DT477" s="241"/>
      <c r="DU477" s="241"/>
      <c r="DV477" s="241"/>
      <c r="DW477" s="241"/>
      <c r="DX477" s="241"/>
      <c r="DY477" s="241"/>
      <c r="DZ477" s="241"/>
      <c r="EA477" s="241"/>
      <c r="EB477" s="241"/>
      <c r="EC477" s="241"/>
      <c r="ED477" s="241"/>
      <c r="EE477" s="241"/>
      <c r="EF477" s="241"/>
      <c r="EG477" s="241"/>
      <c r="EH477" s="241"/>
      <c r="EI477" s="241"/>
      <c r="EJ477" s="241"/>
      <c r="EK477" s="241"/>
      <c r="EL477" s="345"/>
      <c r="EM477" s="245"/>
      <c r="EN477" s="245"/>
      <c r="EO477" s="245"/>
      <c r="EP477" s="245"/>
      <c r="EQ477" s="351"/>
    </row>
    <row r="478" spans="2:147" s="243" customFormat="1" ht="11.25" customHeight="1">
      <c r="B478" s="343"/>
      <c r="C478" s="240"/>
      <c r="D478" s="240"/>
      <c r="E478" s="240"/>
      <c r="F478" s="240"/>
      <c r="G478" s="240"/>
      <c r="H478" s="240" t="s">
        <v>679</v>
      </c>
      <c r="I478" s="240"/>
      <c r="J478" s="240"/>
      <c r="K478" s="240"/>
      <c r="L478" s="240" t="s">
        <v>680</v>
      </c>
      <c r="M478" s="240"/>
      <c r="N478" s="240"/>
      <c r="O478" s="240" t="s">
        <v>132</v>
      </c>
      <c r="P478" s="240"/>
      <c r="Q478" s="1780" t="e">
        <f>#REF!</f>
        <v>#REF!</v>
      </c>
      <c r="R478" s="1780"/>
      <c r="S478" s="1780"/>
      <c r="T478" s="1780"/>
      <c r="U478" s="1780"/>
      <c r="V478" s="240"/>
      <c r="W478" s="240" t="s">
        <v>683</v>
      </c>
      <c r="X478" s="240"/>
      <c r="Y478" s="240"/>
      <c r="Z478" s="240" t="str">
        <f>TEXT(BP473,"#,##0.#######")</f>
        <v>13.27</v>
      </c>
      <c r="AA478" s="240"/>
      <c r="AB478" s="240"/>
      <c r="AC478" s="240"/>
      <c r="AD478" s="240"/>
      <c r="AE478" s="240" t="s">
        <v>134</v>
      </c>
      <c r="AF478" s="240"/>
      <c r="AG478" s="240" t="e">
        <f>TEXT(TRUNC(Q478/BP473,1),"#,##0.#")</f>
        <v>#REF!</v>
      </c>
      <c r="AN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240"/>
      <c r="CC478" s="240"/>
      <c r="CD478" s="240"/>
      <c r="CE478" s="240"/>
      <c r="CF478" s="240"/>
      <c r="CG478" s="240"/>
      <c r="CH478" s="240"/>
      <c r="CI478" s="240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345"/>
      <c r="EM478" s="245"/>
      <c r="EN478" s="245"/>
      <c r="EO478" s="245"/>
      <c r="EP478" s="245"/>
      <c r="EQ478" s="351"/>
    </row>
    <row r="479" spans="2:147" s="243" customFormat="1" ht="11.25" customHeight="1">
      <c r="B479" s="343"/>
      <c r="C479" s="240"/>
      <c r="D479" s="240"/>
      <c r="E479" s="240"/>
      <c r="F479" s="240"/>
      <c r="G479" s="240"/>
      <c r="H479" s="240" t="s">
        <v>688</v>
      </c>
      <c r="I479" s="240"/>
      <c r="J479" s="240"/>
      <c r="K479" s="240"/>
      <c r="L479" s="240" t="s">
        <v>96</v>
      </c>
      <c r="M479" s="240"/>
      <c r="N479" s="240"/>
      <c r="O479" s="240" t="s">
        <v>132</v>
      </c>
      <c r="P479" s="240"/>
      <c r="Q479" s="240" t="e">
        <f>TEXT(AG476+AG477+AG478,"#,##0.#######")</f>
        <v>#REF!</v>
      </c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240"/>
      <c r="CC479" s="240"/>
      <c r="CD479" s="240"/>
      <c r="CE479" s="240"/>
      <c r="CF479" s="240"/>
      <c r="CG479" s="240"/>
      <c r="CH479" s="240"/>
      <c r="CI479" s="240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345"/>
      <c r="EM479" s="245" t="e">
        <f>EN479+EO479+EP479</f>
        <v>#REF!</v>
      </c>
      <c r="EN479" s="245" t="e">
        <f>TEXT(AG476,"#,###.0")</f>
        <v>#REF!</v>
      </c>
      <c r="EO479" s="245" t="e">
        <f>TEXT(AG477,"#,###.0")</f>
        <v>#REF!</v>
      </c>
      <c r="EP479" s="245" t="e">
        <f>TEXT(AG478,"#,###.0")</f>
        <v>#REF!</v>
      </c>
      <c r="EQ479" s="351"/>
    </row>
    <row r="480" spans="2:147" s="243" customFormat="1" ht="11.25" customHeight="1">
      <c r="B480" s="343"/>
      <c r="C480" s="240"/>
      <c r="D480" s="240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0"/>
      <c r="AO480" s="240"/>
      <c r="AP480" s="240"/>
      <c r="AQ480" s="240"/>
      <c r="AR480" s="240"/>
      <c r="AS480" s="240"/>
      <c r="AT480" s="240"/>
      <c r="AU480" s="240"/>
      <c r="AV480" s="240"/>
      <c r="AW480" s="240"/>
      <c r="AX480" s="240"/>
      <c r="AY480" s="240"/>
      <c r="AZ480" s="240"/>
      <c r="BA480" s="240"/>
      <c r="BB480" s="240"/>
      <c r="BC480" s="240"/>
      <c r="BD480" s="240"/>
      <c r="BE480" s="240"/>
      <c r="BF480" s="240"/>
      <c r="BG480" s="240"/>
      <c r="BH480" s="240"/>
      <c r="BI480" s="240"/>
      <c r="BJ480" s="240"/>
      <c r="BK480" s="240"/>
      <c r="BL480" s="240"/>
      <c r="BM480" s="240"/>
      <c r="BN480" s="240"/>
      <c r="BO480" s="240"/>
      <c r="BP480" s="240"/>
      <c r="BQ480" s="240"/>
      <c r="BR480" s="240"/>
      <c r="BS480" s="240"/>
      <c r="BT480" s="240"/>
      <c r="BU480" s="240"/>
      <c r="BV480" s="240"/>
      <c r="BW480" s="240"/>
      <c r="BX480" s="240"/>
      <c r="BY480" s="240"/>
      <c r="BZ480" s="240"/>
      <c r="CA480" s="240"/>
      <c r="CB480" s="240"/>
      <c r="CC480" s="240"/>
      <c r="CD480" s="240"/>
      <c r="CE480" s="240"/>
      <c r="CF480" s="240"/>
      <c r="CG480" s="240"/>
      <c r="CH480" s="240"/>
      <c r="CI480" s="240"/>
      <c r="CJ480" s="240"/>
      <c r="CK480" s="240"/>
      <c r="CL480" s="240"/>
      <c r="CM480" s="240"/>
      <c r="CN480" s="240"/>
      <c r="CO480" s="240"/>
      <c r="CP480" s="240"/>
      <c r="CQ480" s="240"/>
      <c r="CR480" s="240"/>
      <c r="CS480" s="240"/>
      <c r="CT480" s="240"/>
      <c r="CU480" s="240"/>
      <c r="CV480" s="240"/>
      <c r="CW480" s="240"/>
      <c r="CX480" s="240"/>
      <c r="CY480" s="240"/>
      <c r="CZ480" s="241"/>
      <c r="DA480" s="241"/>
      <c r="DB480" s="241"/>
      <c r="DC480" s="241"/>
      <c r="DD480" s="241"/>
      <c r="DE480" s="241"/>
      <c r="DF480" s="241"/>
      <c r="DG480" s="241"/>
      <c r="DH480" s="241"/>
      <c r="DI480" s="241"/>
      <c r="DJ480" s="241"/>
      <c r="DK480" s="241"/>
      <c r="DL480" s="241"/>
      <c r="DM480" s="241"/>
      <c r="DN480" s="241"/>
      <c r="DO480" s="241"/>
      <c r="DP480" s="241"/>
      <c r="DQ480" s="241"/>
      <c r="DR480" s="241"/>
      <c r="DS480" s="241"/>
      <c r="DT480" s="241"/>
      <c r="DU480" s="241"/>
      <c r="DV480" s="241"/>
      <c r="DW480" s="241"/>
      <c r="DX480" s="241"/>
      <c r="DY480" s="241"/>
      <c r="DZ480" s="241"/>
      <c r="EA480" s="241"/>
      <c r="EB480" s="241"/>
      <c r="EC480" s="241"/>
      <c r="ED480" s="241"/>
      <c r="EE480" s="241"/>
      <c r="EF480" s="241"/>
      <c r="EG480" s="241"/>
      <c r="EH480" s="241"/>
      <c r="EI480" s="241"/>
      <c r="EJ480" s="241"/>
      <c r="EK480" s="241"/>
      <c r="EL480" s="345"/>
      <c r="EM480" s="245"/>
      <c r="EN480" s="245"/>
      <c r="EO480" s="245"/>
      <c r="EP480" s="245"/>
      <c r="EQ480" s="351"/>
    </row>
    <row r="481" spans="1:149" s="243" customFormat="1" ht="11.25" customHeight="1">
      <c r="B481" s="343"/>
      <c r="C481" s="240"/>
      <c r="D481" s="240"/>
      <c r="E481" s="240" t="s">
        <v>696</v>
      </c>
      <c r="F481" s="240"/>
      <c r="G481" s="240"/>
      <c r="H481" s="240" t="s">
        <v>678</v>
      </c>
      <c r="I481" s="240"/>
      <c r="J481" s="240"/>
      <c r="K481" s="240"/>
      <c r="L481" s="240"/>
      <c r="M481" s="240" t="s">
        <v>96</v>
      </c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240"/>
      <c r="CC481" s="240"/>
      <c r="CD481" s="240"/>
      <c r="CE481" s="240"/>
      <c r="CF481" s="240"/>
      <c r="CG481" s="240"/>
      <c r="CH481" s="240"/>
      <c r="CI481" s="240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345"/>
      <c r="EM481" s="245"/>
      <c r="EN481" s="245"/>
      <c r="EO481" s="245"/>
      <c r="EP481" s="245"/>
      <c r="EQ481" s="351"/>
    </row>
    <row r="482" spans="1:149" s="243" customFormat="1" ht="11.25" customHeight="1">
      <c r="B482" s="343"/>
      <c r="C482" s="240"/>
      <c r="D482" s="240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240"/>
      <c r="CC482" s="240"/>
      <c r="CD482" s="240"/>
      <c r="CE482" s="240"/>
      <c r="CF482" s="240"/>
      <c r="CG482" s="240"/>
      <c r="CH482" s="240"/>
      <c r="CI482" s="240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345"/>
      <c r="EM482" s="245"/>
      <c r="EN482" s="245"/>
      <c r="EO482" s="245"/>
      <c r="EP482" s="245"/>
      <c r="EQ482" s="351"/>
    </row>
    <row r="483" spans="1:149" s="243" customFormat="1" ht="11.25" customHeight="1">
      <c r="B483" s="343"/>
      <c r="C483" s="240"/>
      <c r="D483" s="240"/>
      <c r="E483" s="240"/>
      <c r="F483" s="240"/>
      <c r="G483" s="240"/>
      <c r="H483" s="240"/>
      <c r="I483" s="240" t="s">
        <v>616</v>
      </c>
      <c r="J483" s="240"/>
      <c r="K483" s="240"/>
      <c r="L483" s="240"/>
      <c r="M483" s="240"/>
      <c r="N483" s="240"/>
      <c r="O483" s="240"/>
      <c r="P483" s="240" t="s">
        <v>132</v>
      </c>
      <c r="Q483" s="240"/>
      <c r="R483" s="240" t="e">
        <f>TEXT(EN456,"#,###.##")</f>
        <v>#REF!</v>
      </c>
      <c r="S483" s="240"/>
      <c r="T483" s="240"/>
      <c r="U483" s="240"/>
      <c r="V483" s="240"/>
      <c r="W483" s="240"/>
      <c r="X483" s="240"/>
      <c r="Y483" s="240"/>
      <c r="Z483" s="240" t="s">
        <v>130</v>
      </c>
      <c r="AA483" s="240"/>
      <c r="AB483" s="240" t="str">
        <f>TEXT(EN460,"#,###.##")</f>
        <v>5,949.5</v>
      </c>
      <c r="AC483" s="240"/>
      <c r="AD483" s="240"/>
      <c r="AE483" s="240"/>
      <c r="AF483" s="240"/>
      <c r="AG483" s="240"/>
      <c r="AH483" s="240" t="s">
        <v>130</v>
      </c>
      <c r="AI483" s="240"/>
      <c r="AJ483" s="240" t="e">
        <f>TEXT(EN479,"#,###.##")</f>
        <v>#REF!</v>
      </c>
      <c r="AK483" s="240"/>
      <c r="AL483" s="240"/>
      <c r="AM483" s="240"/>
      <c r="AN483" s="240"/>
      <c r="AO483" s="240"/>
      <c r="AP483" s="240" t="s">
        <v>134</v>
      </c>
      <c r="AQ483" s="240"/>
      <c r="AR483" s="240"/>
      <c r="AS483" s="240" t="e">
        <f>TEXT(TRUNC(EN456+EN460+EN479,0),"#,##0")</f>
        <v>#REF!</v>
      </c>
      <c r="AV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240"/>
      <c r="CC483" s="240"/>
      <c r="CD483" s="240"/>
      <c r="CE483" s="240"/>
      <c r="CF483" s="240"/>
      <c r="CG483" s="240"/>
      <c r="CH483" s="240"/>
      <c r="CI483" s="240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345"/>
      <c r="EM483" s="245"/>
      <c r="EN483" s="245"/>
      <c r="EO483" s="245"/>
      <c r="EP483" s="245"/>
      <c r="EQ483" s="351"/>
    </row>
    <row r="484" spans="1:149" s="243" customFormat="1" ht="11.25" customHeight="1">
      <c r="B484" s="343"/>
      <c r="C484" s="240"/>
      <c r="D484" s="240"/>
      <c r="E484" s="240"/>
      <c r="F484" s="240"/>
      <c r="G484" s="240"/>
      <c r="H484" s="240"/>
      <c r="I484" s="240" t="s">
        <v>617</v>
      </c>
      <c r="J484" s="240"/>
      <c r="K484" s="240"/>
      <c r="L484" s="240"/>
      <c r="M484" s="240"/>
      <c r="N484" s="240"/>
      <c r="O484" s="240"/>
      <c r="P484" s="240" t="s">
        <v>132</v>
      </c>
      <c r="Q484" s="240"/>
      <c r="R484" s="240" t="e">
        <f>TEXT(EO456,"#,###.##")</f>
        <v>#REF!</v>
      </c>
      <c r="S484" s="240"/>
      <c r="T484" s="240"/>
      <c r="U484" s="240"/>
      <c r="V484" s="240"/>
      <c r="W484" s="240"/>
      <c r="X484" s="240"/>
      <c r="Y484" s="240"/>
      <c r="Z484" s="240" t="s">
        <v>130</v>
      </c>
      <c r="AA484" s="240"/>
      <c r="AB484" s="240" t="str">
        <f>TEXT(EO464,"#,###.##")</f>
        <v>135.7</v>
      </c>
      <c r="AC484" s="240"/>
      <c r="AD484" s="240"/>
      <c r="AE484" s="240"/>
      <c r="AF484" s="240"/>
      <c r="AG484" s="240"/>
      <c r="AH484" s="240" t="s">
        <v>130</v>
      </c>
      <c r="AI484" s="240"/>
      <c r="AJ484" s="240" t="e">
        <f>TEXT(EO479,"#,###.##")</f>
        <v>#REF!</v>
      </c>
      <c r="AK484" s="240"/>
      <c r="AL484" s="240"/>
      <c r="AM484" s="240"/>
      <c r="AN484" s="240"/>
      <c r="AO484" s="240"/>
      <c r="AP484" s="240" t="s">
        <v>134</v>
      </c>
      <c r="AQ484" s="240"/>
      <c r="AR484" s="240"/>
      <c r="AS484" s="240" t="e">
        <f>TEXT(TRUNC(EO456+EO464+EO479,0),"#,##0")</f>
        <v>#REF!</v>
      </c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240"/>
      <c r="CB484" s="240"/>
      <c r="CC484" s="240"/>
      <c r="CD484" s="240"/>
      <c r="CE484" s="240"/>
      <c r="CF484" s="240"/>
      <c r="CG484" s="240"/>
      <c r="CH484" s="240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345"/>
      <c r="EM484" s="245"/>
      <c r="EN484" s="245"/>
      <c r="EO484" s="245"/>
      <c r="EP484" s="245"/>
      <c r="EQ484" s="351"/>
    </row>
    <row r="485" spans="1:149" s="243" customFormat="1" ht="11.25" customHeight="1">
      <c r="B485" s="343"/>
      <c r="C485" s="240"/>
      <c r="D485" s="240"/>
      <c r="E485" s="240"/>
      <c r="F485" s="240"/>
      <c r="G485" s="240"/>
      <c r="H485" s="240"/>
      <c r="I485" s="240" t="s">
        <v>679</v>
      </c>
      <c r="J485" s="240"/>
      <c r="K485" s="240"/>
      <c r="L485" s="240" t="s">
        <v>680</v>
      </c>
      <c r="M485" s="240"/>
      <c r="N485" s="240"/>
      <c r="O485" s="240"/>
      <c r="P485" s="240" t="s">
        <v>132</v>
      </c>
      <c r="Q485" s="240"/>
      <c r="R485" s="240" t="e">
        <f>TEXT(EP456,"#,###.##")</f>
        <v>#REF!</v>
      </c>
      <c r="S485" s="240"/>
      <c r="T485" s="240"/>
      <c r="U485" s="240"/>
      <c r="V485" s="240"/>
      <c r="W485" s="240"/>
      <c r="X485" s="240"/>
      <c r="Y485" s="240"/>
      <c r="Z485" s="240" t="s">
        <v>130</v>
      </c>
      <c r="AA485" s="240"/>
      <c r="AB485" s="240" t="e">
        <f>TEXT(EP479,"#,###.##")</f>
        <v>#REF!</v>
      </c>
      <c r="AC485" s="240"/>
      <c r="AD485" s="240"/>
      <c r="AE485" s="240"/>
      <c r="AF485" s="240"/>
      <c r="AG485" s="240"/>
      <c r="AH485" s="240" t="s">
        <v>134</v>
      </c>
      <c r="AI485" s="240"/>
      <c r="AJ485" s="240"/>
      <c r="AK485" s="240" t="e">
        <f>TEXT(TRUNC(EP456+EP479,0),"#,##0")</f>
        <v>#REF!</v>
      </c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240"/>
      <c r="CB485" s="240"/>
      <c r="CC485" s="240"/>
      <c r="CD485" s="240"/>
      <c r="CE485" s="240"/>
      <c r="CF485" s="240"/>
      <c r="CG485" s="240"/>
      <c r="CH485" s="240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345"/>
      <c r="EM485" s="245"/>
      <c r="EN485" s="245"/>
      <c r="EO485" s="245"/>
      <c r="EP485" s="245"/>
      <c r="EQ485" s="351"/>
    </row>
    <row r="486" spans="1:149" s="243" customFormat="1" ht="11.25" customHeight="1">
      <c r="B486" s="343"/>
      <c r="C486" s="240"/>
      <c r="D486" s="240"/>
      <c r="E486" s="240"/>
      <c r="F486" s="240"/>
      <c r="G486" s="240"/>
      <c r="H486" s="240"/>
      <c r="I486" s="240"/>
      <c r="J486" s="240"/>
      <c r="K486" s="240" t="s">
        <v>96</v>
      </c>
      <c r="L486" s="240"/>
      <c r="M486" s="240"/>
      <c r="N486" s="240"/>
      <c r="O486" s="240"/>
      <c r="P486" s="240" t="s">
        <v>132</v>
      </c>
      <c r="Q486" s="240"/>
      <c r="R486" s="240" t="e">
        <f>TEXT(AS483+AS484+AK485,"#,##0")</f>
        <v>#REF!</v>
      </c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240"/>
      <c r="CB486" s="240"/>
      <c r="CC486" s="240"/>
      <c r="CD486" s="240"/>
      <c r="CE486" s="240"/>
      <c r="CF486" s="240"/>
      <c r="CG486" s="240"/>
      <c r="CH486" s="240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345"/>
      <c r="EM486" s="250" t="e">
        <f>EN486+EO486+EP486</f>
        <v>#REF!</v>
      </c>
      <c r="EN486" s="245" t="e">
        <f>TEXT(AS483,"#,##0")</f>
        <v>#REF!</v>
      </c>
      <c r="EO486" s="245" t="e">
        <f>TEXT(AS484,"#,##0")</f>
        <v>#REF!</v>
      </c>
      <c r="EP486" s="245" t="e">
        <f>TEXT(AK485,"#,##0")</f>
        <v>#REF!</v>
      </c>
      <c r="EQ486" s="351"/>
    </row>
    <row r="487" spans="1:149" s="243" customFormat="1" ht="11.25" customHeight="1">
      <c r="B487" s="343"/>
      <c r="C487" s="240"/>
      <c r="D487" s="240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240"/>
      <c r="CB487" s="240"/>
      <c r="CC487" s="240"/>
      <c r="CD487" s="240"/>
      <c r="CE487" s="240"/>
      <c r="CF487" s="240"/>
      <c r="CG487" s="240"/>
      <c r="CH487" s="240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345"/>
      <c r="EM487" s="245"/>
      <c r="EN487" s="245"/>
      <c r="EO487" s="245"/>
      <c r="EP487" s="245"/>
      <c r="EQ487" s="351"/>
    </row>
    <row r="488" spans="1:149" ht="11.45" customHeight="1">
      <c r="B488" s="337"/>
      <c r="C488" s="338"/>
      <c r="D488" s="338"/>
      <c r="E488" s="338"/>
      <c r="F488" s="338"/>
      <c r="G488" s="338"/>
      <c r="H488" s="338"/>
      <c r="I488" s="338"/>
      <c r="J488" s="338"/>
      <c r="K488" s="338"/>
      <c r="L488" s="339"/>
      <c r="M488" s="339"/>
      <c r="N488" s="339"/>
      <c r="O488" s="338"/>
      <c r="P488" s="338"/>
      <c r="Q488" s="338"/>
      <c r="R488" s="338"/>
      <c r="S488" s="338"/>
      <c r="T488" s="338"/>
      <c r="U488" s="338"/>
      <c r="V488" s="338"/>
      <c r="W488" s="338"/>
      <c r="X488" s="338"/>
      <c r="Y488" s="338"/>
      <c r="Z488" s="338"/>
      <c r="AA488" s="338"/>
      <c r="AB488" s="338"/>
      <c r="AC488" s="338"/>
      <c r="AD488" s="338"/>
      <c r="AE488" s="338"/>
      <c r="AF488" s="338"/>
      <c r="AG488" s="338"/>
      <c r="AH488" s="338"/>
      <c r="AI488" s="338"/>
      <c r="AJ488" s="338"/>
      <c r="AK488" s="338"/>
      <c r="AL488" s="338"/>
      <c r="AM488" s="338"/>
      <c r="AN488" s="338"/>
      <c r="AO488" s="338"/>
      <c r="AP488" s="338"/>
      <c r="AQ488" s="338"/>
      <c r="AR488" s="338"/>
      <c r="AS488" s="338"/>
      <c r="AT488" s="338"/>
      <c r="AU488" s="338"/>
      <c r="AV488" s="338"/>
      <c r="AW488" s="338"/>
      <c r="AX488" s="338"/>
      <c r="AY488" s="338"/>
      <c r="AZ488" s="338"/>
      <c r="BA488" s="338"/>
      <c r="BB488" s="338"/>
      <c r="BC488" s="338"/>
      <c r="BD488" s="338"/>
      <c r="BE488" s="338"/>
      <c r="BF488" s="338"/>
      <c r="BG488" s="338"/>
      <c r="BH488" s="338"/>
      <c r="BI488" s="338"/>
      <c r="BJ488" s="338"/>
      <c r="BK488" s="338"/>
      <c r="BL488" s="338"/>
      <c r="BM488" s="338"/>
      <c r="BN488" s="338"/>
      <c r="BO488" s="338"/>
      <c r="BP488" s="338"/>
      <c r="BQ488" s="338"/>
      <c r="BR488" s="338"/>
      <c r="BS488" s="339"/>
      <c r="BT488" s="338"/>
      <c r="BU488" s="338"/>
      <c r="BV488" s="338"/>
      <c r="BW488" s="338"/>
      <c r="BX488" s="338"/>
      <c r="BY488" s="338"/>
      <c r="BZ488" s="338"/>
      <c r="CA488" s="338"/>
      <c r="CB488" s="338"/>
      <c r="CC488" s="338"/>
      <c r="CD488" s="338"/>
      <c r="CE488" s="338"/>
      <c r="CF488" s="338"/>
      <c r="CG488" s="338"/>
      <c r="CH488" s="338"/>
      <c r="CI488" s="338"/>
      <c r="CJ488" s="338"/>
      <c r="CK488" s="338"/>
      <c r="CL488" s="338"/>
      <c r="CM488" s="338"/>
      <c r="CN488" s="338"/>
      <c r="CO488" s="338"/>
      <c r="CP488" s="338"/>
      <c r="CQ488" s="338"/>
      <c r="CR488" s="338"/>
      <c r="CS488" s="338"/>
      <c r="CT488" s="338"/>
      <c r="CU488" s="338"/>
      <c r="CV488" s="338"/>
      <c r="CW488" s="338"/>
      <c r="CX488" s="338"/>
      <c r="CY488" s="338"/>
      <c r="CZ488" s="338"/>
      <c r="DA488" s="338"/>
      <c r="DB488" s="338"/>
      <c r="DC488" s="338"/>
      <c r="DD488" s="338"/>
      <c r="DE488" s="338"/>
      <c r="DF488" s="338"/>
      <c r="DG488" s="338"/>
      <c r="DH488" s="338"/>
      <c r="DI488" s="338"/>
      <c r="DJ488" s="338"/>
      <c r="DK488" s="338"/>
      <c r="DL488" s="338"/>
      <c r="DM488" s="338"/>
      <c r="DN488" s="338"/>
      <c r="DO488" s="338"/>
      <c r="DP488" s="338"/>
      <c r="DQ488" s="338"/>
      <c r="DR488" s="338"/>
      <c r="DS488" s="338"/>
      <c r="DT488" s="338"/>
      <c r="DU488" s="338"/>
      <c r="DV488" s="338"/>
      <c r="DW488" s="338"/>
      <c r="DX488" s="338"/>
      <c r="DY488" s="338"/>
      <c r="DZ488" s="338"/>
      <c r="EA488" s="338"/>
      <c r="EB488" s="338"/>
      <c r="EC488" s="338"/>
      <c r="ED488" s="338"/>
      <c r="EE488" s="338"/>
      <c r="EF488" s="338"/>
      <c r="EG488" s="338"/>
      <c r="EH488" s="338"/>
      <c r="EI488" s="338"/>
      <c r="EJ488" s="338"/>
      <c r="EK488" s="338"/>
      <c r="EL488" s="340"/>
      <c r="EM488" s="341"/>
      <c r="EN488" s="341"/>
      <c r="EO488" s="341"/>
      <c r="EP488" s="341"/>
      <c r="EQ488" s="342"/>
    </row>
    <row r="489" spans="1:149" ht="11.45" customHeight="1">
      <c r="B489" s="337"/>
      <c r="C489" s="338"/>
      <c r="D489" s="338"/>
      <c r="E489" s="338"/>
      <c r="F489" s="338"/>
      <c r="G489" s="338"/>
      <c r="H489" s="338"/>
      <c r="I489" s="338"/>
      <c r="J489" s="338"/>
      <c r="K489" s="338"/>
      <c r="L489" s="339"/>
      <c r="M489" s="339"/>
      <c r="N489" s="339"/>
      <c r="O489" s="338"/>
      <c r="P489" s="338"/>
      <c r="Q489" s="338"/>
      <c r="R489" s="338"/>
      <c r="S489" s="338"/>
      <c r="T489" s="338"/>
      <c r="U489" s="338"/>
      <c r="V489" s="338"/>
      <c r="W489" s="338"/>
      <c r="X489" s="338"/>
      <c r="Y489" s="338"/>
      <c r="Z489" s="338"/>
      <c r="AA489" s="338"/>
      <c r="AB489" s="338"/>
      <c r="AC489" s="338"/>
      <c r="AD489" s="338"/>
      <c r="AE489" s="338"/>
      <c r="AF489" s="338"/>
      <c r="AG489" s="338"/>
      <c r="AH489" s="338"/>
      <c r="AI489" s="338"/>
      <c r="AJ489" s="338"/>
      <c r="AK489" s="338"/>
      <c r="AL489" s="338"/>
      <c r="AM489" s="338"/>
      <c r="AN489" s="338"/>
      <c r="AO489" s="338"/>
      <c r="AP489" s="338"/>
      <c r="AQ489" s="338"/>
      <c r="AR489" s="338"/>
      <c r="AS489" s="338"/>
      <c r="AT489" s="338"/>
      <c r="AU489" s="338"/>
      <c r="AV489" s="338"/>
      <c r="AW489" s="338"/>
      <c r="AX489" s="338"/>
      <c r="AY489" s="338"/>
      <c r="AZ489" s="338"/>
      <c r="BA489" s="338"/>
      <c r="BB489" s="338"/>
      <c r="BC489" s="338"/>
      <c r="BD489" s="338"/>
      <c r="BE489" s="338"/>
      <c r="BF489" s="338"/>
      <c r="BG489" s="338"/>
      <c r="BH489" s="338"/>
      <c r="BI489" s="338"/>
      <c r="BJ489" s="338"/>
      <c r="BK489" s="338"/>
      <c r="BL489" s="338"/>
      <c r="BM489" s="338"/>
      <c r="BN489" s="338"/>
      <c r="BO489" s="338"/>
      <c r="BP489" s="338"/>
      <c r="BQ489" s="338"/>
      <c r="BR489" s="338"/>
      <c r="BS489" s="339"/>
      <c r="BT489" s="338"/>
      <c r="BU489" s="338"/>
      <c r="BV489" s="338"/>
      <c r="BW489" s="338"/>
      <c r="BX489" s="338"/>
      <c r="BY489" s="338"/>
      <c r="BZ489" s="338"/>
      <c r="CA489" s="338"/>
      <c r="CB489" s="338"/>
      <c r="CC489" s="338"/>
      <c r="CD489" s="338"/>
      <c r="CE489" s="338"/>
      <c r="CF489" s="338"/>
      <c r="CG489" s="338"/>
      <c r="CH489" s="338"/>
      <c r="CI489" s="338"/>
      <c r="CJ489" s="338"/>
      <c r="CK489" s="338"/>
      <c r="CL489" s="338"/>
      <c r="CM489" s="338"/>
      <c r="CN489" s="338"/>
      <c r="CO489" s="338"/>
      <c r="CP489" s="338"/>
      <c r="CQ489" s="338"/>
      <c r="CR489" s="338"/>
      <c r="CS489" s="338"/>
      <c r="CT489" s="338"/>
      <c r="CU489" s="338"/>
      <c r="CV489" s="338"/>
      <c r="CW489" s="338"/>
      <c r="CX489" s="338"/>
      <c r="CY489" s="338"/>
      <c r="CZ489" s="338"/>
      <c r="DA489" s="338"/>
      <c r="DB489" s="338"/>
      <c r="DC489" s="338"/>
      <c r="DD489" s="338"/>
      <c r="DE489" s="338"/>
      <c r="DF489" s="338"/>
      <c r="DG489" s="338"/>
      <c r="DH489" s="338"/>
      <c r="DI489" s="338"/>
      <c r="DJ489" s="338"/>
      <c r="DK489" s="338"/>
      <c r="DL489" s="338"/>
      <c r="DM489" s="338"/>
      <c r="DN489" s="338"/>
      <c r="DO489" s="338"/>
      <c r="DP489" s="338"/>
      <c r="DQ489" s="338"/>
      <c r="DR489" s="338"/>
      <c r="DS489" s="338"/>
      <c r="DT489" s="338"/>
      <c r="DU489" s="338"/>
      <c r="DV489" s="338"/>
      <c r="DW489" s="338"/>
      <c r="DX489" s="338"/>
      <c r="DY489" s="338"/>
      <c r="DZ489" s="338"/>
      <c r="EA489" s="338"/>
      <c r="EB489" s="338"/>
      <c r="EC489" s="338"/>
      <c r="ED489" s="338"/>
      <c r="EE489" s="338"/>
      <c r="EF489" s="338"/>
      <c r="EG489" s="338"/>
      <c r="EH489" s="338"/>
      <c r="EI489" s="338"/>
      <c r="EJ489" s="338"/>
      <c r="EK489" s="338"/>
      <c r="EL489" s="340"/>
      <c r="EM489" s="341"/>
      <c r="EN489" s="341"/>
      <c r="EO489" s="341"/>
      <c r="EP489" s="341"/>
      <c r="EQ489" s="342"/>
    </row>
    <row r="490" spans="1:149" ht="11.45" customHeight="1">
      <c r="B490" s="337"/>
      <c r="C490" s="338"/>
      <c r="D490" s="338"/>
      <c r="E490" s="338"/>
      <c r="F490" s="338"/>
      <c r="G490" s="338"/>
      <c r="H490" s="338"/>
      <c r="I490" s="338"/>
      <c r="J490" s="338"/>
      <c r="K490" s="338"/>
      <c r="L490" s="339"/>
      <c r="M490" s="339"/>
      <c r="N490" s="339"/>
      <c r="O490" s="338"/>
      <c r="P490" s="338"/>
      <c r="Q490" s="338"/>
      <c r="R490" s="338"/>
      <c r="S490" s="338"/>
      <c r="T490" s="338"/>
      <c r="U490" s="338"/>
      <c r="V490" s="338"/>
      <c r="W490" s="338"/>
      <c r="X490" s="338"/>
      <c r="Y490" s="338"/>
      <c r="Z490" s="338"/>
      <c r="AA490" s="338"/>
      <c r="AB490" s="338"/>
      <c r="AC490" s="338"/>
      <c r="AD490" s="338"/>
      <c r="AE490" s="338"/>
      <c r="AF490" s="338"/>
      <c r="AG490" s="338"/>
      <c r="AH490" s="338"/>
      <c r="AI490" s="338"/>
      <c r="AJ490" s="338"/>
      <c r="AK490" s="338"/>
      <c r="AL490" s="338"/>
      <c r="AM490" s="338"/>
      <c r="AN490" s="338"/>
      <c r="AO490" s="338"/>
      <c r="AP490" s="338"/>
      <c r="AQ490" s="338"/>
      <c r="AR490" s="338"/>
      <c r="AS490" s="338"/>
      <c r="AT490" s="338"/>
      <c r="AU490" s="338"/>
      <c r="AV490" s="338"/>
      <c r="AW490" s="338"/>
      <c r="AX490" s="338"/>
      <c r="AY490" s="338"/>
      <c r="AZ490" s="338"/>
      <c r="BA490" s="338"/>
      <c r="BB490" s="338"/>
      <c r="BC490" s="338"/>
      <c r="BD490" s="338"/>
      <c r="BE490" s="338"/>
      <c r="BF490" s="338"/>
      <c r="BG490" s="338"/>
      <c r="BH490" s="338"/>
      <c r="BI490" s="338"/>
      <c r="BJ490" s="338"/>
      <c r="BK490" s="338"/>
      <c r="BL490" s="338"/>
      <c r="BM490" s="338"/>
      <c r="BN490" s="338"/>
      <c r="BO490" s="338"/>
      <c r="BP490" s="338"/>
      <c r="BQ490" s="338"/>
      <c r="BR490" s="338"/>
      <c r="BS490" s="339"/>
      <c r="BT490" s="338"/>
      <c r="BU490" s="338"/>
      <c r="BV490" s="338"/>
      <c r="BW490" s="338"/>
      <c r="BX490" s="338"/>
      <c r="BY490" s="338"/>
      <c r="BZ490" s="338"/>
      <c r="CA490" s="338"/>
      <c r="CB490" s="338"/>
      <c r="CC490" s="338"/>
      <c r="CD490" s="338"/>
      <c r="CE490" s="338"/>
      <c r="CF490" s="338"/>
      <c r="CG490" s="338"/>
      <c r="CH490" s="338"/>
      <c r="CI490" s="338"/>
      <c r="CJ490" s="338"/>
      <c r="CK490" s="338"/>
      <c r="CL490" s="338"/>
      <c r="CM490" s="338"/>
      <c r="CN490" s="338"/>
      <c r="CO490" s="338"/>
      <c r="CP490" s="338"/>
      <c r="CQ490" s="338"/>
      <c r="CR490" s="338"/>
      <c r="CS490" s="338"/>
      <c r="CT490" s="338"/>
      <c r="CU490" s="338"/>
      <c r="CV490" s="338"/>
      <c r="CW490" s="338"/>
      <c r="CX490" s="338"/>
      <c r="CY490" s="338"/>
      <c r="CZ490" s="338"/>
      <c r="DA490" s="338"/>
      <c r="DB490" s="338"/>
      <c r="DC490" s="338"/>
      <c r="DD490" s="338"/>
      <c r="DE490" s="338"/>
      <c r="DF490" s="338"/>
      <c r="DG490" s="338"/>
      <c r="DH490" s="338"/>
      <c r="DI490" s="338"/>
      <c r="DJ490" s="338"/>
      <c r="DK490" s="338"/>
      <c r="DL490" s="338"/>
      <c r="DM490" s="338"/>
      <c r="DN490" s="338"/>
      <c r="DO490" s="338"/>
      <c r="DP490" s="338"/>
      <c r="DQ490" s="338"/>
      <c r="DR490" s="338"/>
      <c r="DS490" s="338"/>
      <c r="DT490" s="338"/>
      <c r="DU490" s="338"/>
      <c r="DV490" s="338"/>
      <c r="DW490" s="338"/>
      <c r="DX490" s="338"/>
      <c r="DY490" s="338"/>
      <c r="DZ490" s="338"/>
      <c r="EA490" s="338"/>
      <c r="EB490" s="338"/>
      <c r="EC490" s="338"/>
      <c r="ED490" s="338"/>
      <c r="EE490" s="338"/>
      <c r="EF490" s="338"/>
      <c r="EG490" s="338"/>
      <c r="EH490" s="338"/>
      <c r="EI490" s="338"/>
      <c r="EJ490" s="338"/>
      <c r="EK490" s="338"/>
      <c r="EL490" s="340"/>
      <c r="EM490" s="341"/>
      <c r="EN490" s="341"/>
      <c r="EO490" s="341"/>
      <c r="EP490" s="341"/>
      <c r="EQ490" s="342"/>
    </row>
    <row r="491" spans="1:149" ht="11.45" customHeight="1">
      <c r="B491" s="337"/>
      <c r="C491" s="338"/>
      <c r="D491" s="338"/>
      <c r="E491" s="338"/>
      <c r="F491" s="338"/>
      <c r="G491" s="338"/>
      <c r="H491" s="338"/>
      <c r="I491" s="338"/>
      <c r="J491" s="338"/>
      <c r="K491" s="338"/>
      <c r="L491" s="339"/>
      <c r="M491" s="339"/>
      <c r="N491" s="339"/>
      <c r="O491" s="338"/>
      <c r="P491" s="338"/>
      <c r="Q491" s="338"/>
      <c r="R491" s="338"/>
      <c r="S491" s="338"/>
      <c r="T491" s="338"/>
      <c r="U491" s="338"/>
      <c r="V491" s="338"/>
      <c r="W491" s="338"/>
      <c r="X491" s="338"/>
      <c r="Y491" s="338"/>
      <c r="Z491" s="338"/>
      <c r="AA491" s="338"/>
      <c r="AB491" s="338"/>
      <c r="AC491" s="338"/>
      <c r="AD491" s="338"/>
      <c r="AE491" s="338"/>
      <c r="AF491" s="338"/>
      <c r="AG491" s="338"/>
      <c r="AH491" s="338"/>
      <c r="AI491" s="338"/>
      <c r="AJ491" s="338"/>
      <c r="AK491" s="338"/>
      <c r="AL491" s="338"/>
      <c r="AM491" s="338"/>
      <c r="AN491" s="338"/>
      <c r="AO491" s="338"/>
      <c r="AP491" s="338"/>
      <c r="AQ491" s="338"/>
      <c r="AR491" s="338"/>
      <c r="AS491" s="338"/>
      <c r="AT491" s="338"/>
      <c r="AU491" s="338"/>
      <c r="AV491" s="338"/>
      <c r="AW491" s="338"/>
      <c r="AX491" s="338"/>
      <c r="AY491" s="338"/>
      <c r="AZ491" s="338"/>
      <c r="BA491" s="338"/>
      <c r="BB491" s="338"/>
      <c r="BC491" s="338"/>
      <c r="BD491" s="338"/>
      <c r="BE491" s="338"/>
      <c r="BF491" s="338"/>
      <c r="BG491" s="338"/>
      <c r="BH491" s="338"/>
      <c r="BI491" s="338"/>
      <c r="BJ491" s="338"/>
      <c r="BK491" s="338"/>
      <c r="BL491" s="338"/>
      <c r="BM491" s="338"/>
      <c r="BN491" s="338"/>
      <c r="BO491" s="338"/>
      <c r="BP491" s="338"/>
      <c r="BQ491" s="338"/>
      <c r="BR491" s="338"/>
      <c r="BS491" s="339"/>
      <c r="BT491" s="338"/>
      <c r="BU491" s="338"/>
      <c r="BV491" s="338"/>
      <c r="BW491" s="338"/>
      <c r="BX491" s="338"/>
      <c r="BY491" s="338"/>
      <c r="BZ491" s="338"/>
      <c r="CA491" s="338"/>
      <c r="CB491" s="338"/>
      <c r="CC491" s="338"/>
      <c r="CD491" s="338"/>
      <c r="CE491" s="338"/>
      <c r="CF491" s="338"/>
      <c r="CG491" s="338"/>
      <c r="CH491" s="338"/>
      <c r="CI491" s="338"/>
      <c r="CJ491" s="338"/>
      <c r="CK491" s="338"/>
      <c r="CL491" s="338"/>
      <c r="CM491" s="338"/>
      <c r="CN491" s="338"/>
      <c r="CO491" s="338"/>
      <c r="CP491" s="338"/>
      <c r="CQ491" s="338"/>
      <c r="CR491" s="338"/>
      <c r="CS491" s="338"/>
      <c r="CT491" s="338"/>
      <c r="CU491" s="338"/>
      <c r="CV491" s="338"/>
      <c r="CW491" s="338"/>
      <c r="CX491" s="338"/>
      <c r="CY491" s="338"/>
      <c r="CZ491" s="338"/>
      <c r="DA491" s="338"/>
      <c r="DB491" s="338"/>
      <c r="DC491" s="338"/>
      <c r="DD491" s="338"/>
      <c r="DE491" s="338"/>
      <c r="DF491" s="338"/>
      <c r="DG491" s="338"/>
      <c r="DH491" s="338"/>
      <c r="DI491" s="338"/>
      <c r="DJ491" s="338"/>
      <c r="DK491" s="338"/>
      <c r="DL491" s="338"/>
      <c r="DM491" s="338"/>
      <c r="DN491" s="338"/>
      <c r="DO491" s="338"/>
      <c r="DP491" s="338"/>
      <c r="DQ491" s="338"/>
      <c r="DR491" s="338"/>
      <c r="DS491" s="338"/>
      <c r="DT491" s="338"/>
      <c r="DU491" s="338"/>
      <c r="DV491" s="338"/>
      <c r="DW491" s="338"/>
      <c r="DX491" s="338"/>
      <c r="DY491" s="338"/>
      <c r="DZ491" s="338"/>
      <c r="EA491" s="338"/>
      <c r="EB491" s="338"/>
      <c r="EC491" s="338"/>
      <c r="ED491" s="338"/>
      <c r="EE491" s="338"/>
      <c r="EF491" s="338"/>
      <c r="EG491" s="338"/>
      <c r="EH491" s="338"/>
      <c r="EI491" s="338"/>
      <c r="EJ491" s="338"/>
      <c r="EK491" s="338"/>
      <c r="EL491" s="340"/>
      <c r="EM491" s="341"/>
      <c r="EN491" s="341"/>
      <c r="EO491" s="341"/>
      <c r="EP491" s="341"/>
      <c r="EQ491" s="342"/>
    </row>
    <row r="492" spans="1:149" ht="11.45" customHeight="1">
      <c r="B492" s="337"/>
      <c r="C492" s="338"/>
      <c r="D492" s="338"/>
      <c r="E492" s="338"/>
      <c r="F492" s="338"/>
      <c r="G492" s="338"/>
      <c r="H492" s="338"/>
      <c r="I492" s="338"/>
      <c r="J492" s="338"/>
      <c r="K492" s="338"/>
      <c r="L492" s="339"/>
      <c r="M492" s="339"/>
      <c r="N492" s="339"/>
      <c r="O492" s="338"/>
      <c r="P492" s="338"/>
      <c r="Q492" s="338"/>
      <c r="R492" s="338"/>
      <c r="S492" s="338"/>
      <c r="T492" s="338"/>
      <c r="U492" s="338"/>
      <c r="V492" s="338"/>
      <c r="W492" s="338"/>
      <c r="X492" s="338"/>
      <c r="Y492" s="338"/>
      <c r="Z492" s="338"/>
      <c r="AA492" s="338"/>
      <c r="AB492" s="338"/>
      <c r="AC492" s="338"/>
      <c r="AD492" s="338"/>
      <c r="AE492" s="338"/>
      <c r="AF492" s="338"/>
      <c r="AG492" s="338"/>
      <c r="AH492" s="338"/>
      <c r="AI492" s="338"/>
      <c r="AJ492" s="338"/>
      <c r="AK492" s="338"/>
      <c r="AL492" s="338"/>
      <c r="AM492" s="338"/>
      <c r="AN492" s="338"/>
      <c r="AO492" s="338"/>
      <c r="AP492" s="338"/>
      <c r="AQ492" s="338"/>
      <c r="AR492" s="338"/>
      <c r="AS492" s="338"/>
      <c r="AT492" s="338"/>
      <c r="AU492" s="338"/>
      <c r="AV492" s="338"/>
      <c r="AW492" s="338"/>
      <c r="AX492" s="338"/>
      <c r="AY492" s="338"/>
      <c r="AZ492" s="338"/>
      <c r="BA492" s="338"/>
      <c r="BB492" s="338"/>
      <c r="BC492" s="338"/>
      <c r="BD492" s="338"/>
      <c r="BE492" s="338"/>
      <c r="BF492" s="338"/>
      <c r="BG492" s="338"/>
      <c r="BH492" s="338"/>
      <c r="BI492" s="338"/>
      <c r="BJ492" s="338"/>
      <c r="BK492" s="338"/>
      <c r="BL492" s="338"/>
      <c r="BM492" s="338"/>
      <c r="BN492" s="338"/>
      <c r="BO492" s="338"/>
      <c r="BP492" s="338"/>
      <c r="BQ492" s="338"/>
      <c r="BR492" s="338"/>
      <c r="BS492" s="339"/>
      <c r="BT492" s="338"/>
      <c r="BU492" s="338"/>
      <c r="BV492" s="338"/>
      <c r="BW492" s="338"/>
      <c r="BX492" s="338"/>
      <c r="BY492" s="338"/>
      <c r="BZ492" s="338"/>
      <c r="CA492" s="338"/>
      <c r="CB492" s="338"/>
      <c r="CC492" s="338"/>
      <c r="CD492" s="338"/>
      <c r="CE492" s="338"/>
      <c r="CF492" s="338"/>
      <c r="CG492" s="338"/>
      <c r="CH492" s="338"/>
      <c r="CI492" s="338"/>
      <c r="CJ492" s="338"/>
      <c r="CK492" s="338"/>
      <c r="CL492" s="338"/>
      <c r="CM492" s="338"/>
      <c r="CN492" s="338"/>
      <c r="CO492" s="338"/>
      <c r="CP492" s="338"/>
      <c r="CQ492" s="338"/>
      <c r="CR492" s="338"/>
      <c r="CS492" s="338"/>
      <c r="CT492" s="338"/>
      <c r="CU492" s="338"/>
      <c r="CV492" s="338"/>
      <c r="CW492" s="338"/>
      <c r="CX492" s="338"/>
      <c r="CY492" s="338"/>
      <c r="CZ492" s="338"/>
      <c r="DA492" s="338"/>
      <c r="DB492" s="338"/>
      <c r="DC492" s="338"/>
      <c r="DD492" s="338"/>
      <c r="DE492" s="338"/>
      <c r="DF492" s="338"/>
      <c r="DG492" s="338"/>
      <c r="DH492" s="338"/>
      <c r="DI492" s="338"/>
      <c r="DJ492" s="338"/>
      <c r="DK492" s="338"/>
      <c r="DL492" s="338"/>
      <c r="DM492" s="338"/>
      <c r="DN492" s="338"/>
      <c r="DO492" s="338"/>
      <c r="DP492" s="338"/>
      <c r="DQ492" s="338"/>
      <c r="DR492" s="338"/>
      <c r="DS492" s="338"/>
      <c r="DT492" s="338"/>
      <c r="DU492" s="338"/>
      <c r="DV492" s="338"/>
      <c r="DW492" s="338"/>
      <c r="DX492" s="338"/>
      <c r="DY492" s="338"/>
      <c r="DZ492" s="338"/>
      <c r="EA492" s="338"/>
      <c r="EB492" s="338"/>
      <c r="EC492" s="338"/>
      <c r="ED492" s="338"/>
      <c r="EE492" s="338"/>
      <c r="EF492" s="338"/>
      <c r="EG492" s="338"/>
      <c r="EH492" s="338"/>
      <c r="EI492" s="338"/>
      <c r="EJ492" s="338"/>
      <c r="EK492" s="338"/>
      <c r="EL492" s="340"/>
      <c r="EM492" s="341"/>
      <c r="EN492" s="341"/>
      <c r="EO492" s="341"/>
      <c r="EP492" s="341"/>
      <c r="EQ492" s="342"/>
    </row>
    <row r="493" spans="1:149" ht="11.45" customHeight="1">
      <c r="B493" s="346"/>
      <c r="C493" s="347"/>
      <c r="D493" s="347"/>
      <c r="E493" s="347"/>
      <c r="F493" s="347"/>
      <c r="G493" s="347"/>
      <c r="H493" s="347"/>
      <c r="I493" s="347"/>
      <c r="J493" s="347"/>
      <c r="K493" s="347"/>
      <c r="L493" s="348"/>
      <c r="M493" s="348"/>
      <c r="N493" s="348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  <c r="BB493" s="347"/>
      <c r="BC493" s="347"/>
      <c r="BD493" s="347"/>
      <c r="BE493" s="347"/>
      <c r="BF493" s="347"/>
      <c r="BG493" s="347"/>
      <c r="BH493" s="347"/>
      <c r="BI493" s="347"/>
      <c r="BJ493" s="347"/>
      <c r="BK493" s="347"/>
      <c r="BL493" s="347"/>
      <c r="BM493" s="347"/>
      <c r="BN493" s="347"/>
      <c r="BO493" s="347"/>
      <c r="BP493" s="347"/>
      <c r="BQ493" s="347"/>
      <c r="BR493" s="347"/>
      <c r="BS493" s="348"/>
      <c r="BT493" s="347"/>
      <c r="BU493" s="347"/>
      <c r="BV493" s="347"/>
      <c r="BW493" s="347"/>
      <c r="BX493" s="347"/>
      <c r="BY493" s="347"/>
      <c r="BZ493" s="347"/>
      <c r="CA493" s="347"/>
      <c r="CB493" s="347"/>
      <c r="CC493" s="347"/>
      <c r="CD493" s="347"/>
      <c r="CE493" s="347"/>
      <c r="CF493" s="347"/>
      <c r="CG493" s="347"/>
      <c r="CH493" s="347"/>
      <c r="CI493" s="347"/>
      <c r="CJ493" s="347"/>
      <c r="CK493" s="347"/>
      <c r="CL493" s="347"/>
      <c r="CM493" s="347"/>
      <c r="CN493" s="347"/>
      <c r="CO493" s="347"/>
      <c r="CP493" s="347"/>
      <c r="CQ493" s="347"/>
      <c r="CR493" s="347"/>
      <c r="CS493" s="347"/>
      <c r="CT493" s="347"/>
      <c r="CU493" s="347"/>
      <c r="CV493" s="347"/>
      <c r="CW493" s="347"/>
      <c r="CX493" s="347"/>
      <c r="CY493" s="347"/>
      <c r="CZ493" s="347"/>
      <c r="DA493" s="347"/>
      <c r="DB493" s="347"/>
      <c r="DC493" s="347"/>
      <c r="DD493" s="347"/>
      <c r="DE493" s="347"/>
      <c r="DF493" s="347"/>
      <c r="DG493" s="347"/>
      <c r="DH493" s="347"/>
      <c r="DI493" s="347"/>
      <c r="DJ493" s="347"/>
      <c r="DK493" s="347"/>
      <c r="DL493" s="347"/>
      <c r="DM493" s="347"/>
      <c r="DN493" s="347"/>
      <c r="DO493" s="347"/>
      <c r="DP493" s="347"/>
      <c r="DQ493" s="347"/>
      <c r="DR493" s="347"/>
      <c r="DS493" s="347"/>
      <c r="DT493" s="347"/>
      <c r="DU493" s="347"/>
      <c r="DV493" s="347"/>
      <c r="DW493" s="347"/>
      <c r="DX493" s="347"/>
      <c r="DY493" s="347"/>
      <c r="DZ493" s="347"/>
      <c r="EA493" s="347"/>
      <c r="EB493" s="347"/>
      <c r="EC493" s="347"/>
      <c r="ED493" s="347"/>
      <c r="EE493" s="347"/>
      <c r="EF493" s="347"/>
      <c r="EG493" s="347"/>
      <c r="EH493" s="347"/>
      <c r="EI493" s="347"/>
      <c r="EJ493" s="347"/>
      <c r="EK493" s="347"/>
      <c r="EL493" s="349"/>
      <c r="EM493" s="353"/>
      <c r="EN493" s="353"/>
      <c r="EO493" s="353"/>
      <c r="EP493" s="353"/>
      <c r="EQ493" s="354"/>
    </row>
    <row r="494" spans="1:149" ht="11.45" hidden="1" customHeight="1">
      <c r="B494" s="334"/>
      <c r="C494" s="335"/>
      <c r="D494" s="335"/>
      <c r="E494" s="335"/>
      <c r="F494" s="335"/>
      <c r="G494" s="335"/>
      <c r="H494" s="335"/>
      <c r="I494" s="335"/>
      <c r="J494" s="335"/>
      <c r="K494" s="335"/>
      <c r="L494" s="298"/>
      <c r="M494" s="298"/>
      <c r="N494" s="298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  <c r="AA494" s="335"/>
      <c r="AB494" s="335"/>
      <c r="AC494" s="335"/>
      <c r="AD494" s="335"/>
      <c r="AE494" s="335"/>
      <c r="AF494" s="335"/>
      <c r="AG494" s="335"/>
      <c r="AH494" s="335"/>
      <c r="AI494" s="335"/>
      <c r="AJ494" s="335"/>
      <c r="AK494" s="335"/>
      <c r="AL494" s="335"/>
      <c r="AM494" s="335"/>
      <c r="AN494" s="335"/>
      <c r="AO494" s="335"/>
      <c r="AP494" s="335"/>
      <c r="AQ494" s="335"/>
      <c r="AR494" s="335"/>
      <c r="AS494" s="335"/>
      <c r="AT494" s="335"/>
      <c r="AU494" s="335"/>
      <c r="AV494" s="335"/>
      <c r="AW494" s="335"/>
      <c r="AX494" s="335"/>
      <c r="AY494" s="335"/>
      <c r="AZ494" s="335"/>
      <c r="BA494" s="335"/>
      <c r="BB494" s="335"/>
      <c r="BC494" s="335"/>
      <c r="BD494" s="335"/>
      <c r="BE494" s="335"/>
      <c r="BF494" s="335"/>
      <c r="BG494" s="335"/>
      <c r="BH494" s="335"/>
      <c r="BI494" s="335"/>
      <c r="BJ494" s="335"/>
      <c r="BK494" s="335"/>
      <c r="BL494" s="335"/>
      <c r="BM494" s="335"/>
      <c r="BN494" s="335"/>
      <c r="BO494" s="335"/>
      <c r="BP494" s="335"/>
      <c r="BQ494" s="335"/>
      <c r="BR494" s="335"/>
      <c r="BS494" s="298"/>
      <c r="BT494" s="335"/>
      <c r="BU494" s="335"/>
      <c r="BV494" s="335"/>
      <c r="BW494" s="335"/>
      <c r="BX494" s="335"/>
      <c r="BY494" s="335"/>
      <c r="BZ494" s="335"/>
      <c r="CA494" s="335"/>
      <c r="CB494" s="335"/>
      <c r="CC494" s="335"/>
      <c r="CD494" s="335"/>
      <c r="CE494" s="335"/>
      <c r="CF494" s="335"/>
      <c r="CG494" s="335"/>
      <c r="CH494" s="335"/>
      <c r="CI494" s="335"/>
      <c r="CJ494" s="335"/>
      <c r="CK494" s="335"/>
      <c r="CL494" s="335"/>
      <c r="CM494" s="335"/>
      <c r="CN494" s="335"/>
      <c r="CO494" s="335"/>
      <c r="CP494" s="335"/>
      <c r="CQ494" s="335"/>
      <c r="CR494" s="335"/>
      <c r="CS494" s="335"/>
      <c r="CT494" s="335"/>
      <c r="CU494" s="335"/>
      <c r="CV494" s="335"/>
      <c r="CW494" s="335"/>
      <c r="CX494" s="335"/>
      <c r="CY494" s="335"/>
      <c r="CZ494" s="335"/>
      <c r="DA494" s="335"/>
      <c r="DB494" s="335"/>
      <c r="DC494" s="335"/>
      <c r="DD494" s="335"/>
      <c r="DE494" s="335"/>
      <c r="DF494" s="335"/>
      <c r="DG494" s="335"/>
      <c r="DH494" s="335"/>
      <c r="DI494" s="335"/>
      <c r="DJ494" s="335"/>
      <c r="DK494" s="335"/>
      <c r="DL494" s="335"/>
      <c r="DM494" s="335"/>
      <c r="DN494" s="335"/>
      <c r="DO494" s="335"/>
      <c r="DP494" s="335"/>
      <c r="DQ494" s="335"/>
      <c r="DR494" s="335"/>
      <c r="DS494" s="335"/>
      <c r="DT494" s="335"/>
      <c r="DU494" s="335"/>
      <c r="DV494" s="335"/>
      <c r="DW494" s="335"/>
      <c r="DX494" s="335"/>
      <c r="DY494" s="335"/>
      <c r="DZ494" s="335"/>
      <c r="EA494" s="335"/>
      <c r="EB494" s="335"/>
      <c r="EC494" s="335"/>
      <c r="ED494" s="335"/>
      <c r="EE494" s="335"/>
      <c r="EF494" s="335"/>
      <c r="EG494" s="335"/>
      <c r="EH494" s="335"/>
      <c r="EI494" s="335"/>
      <c r="EJ494" s="335"/>
      <c r="EK494" s="335"/>
      <c r="EL494" s="304"/>
      <c r="EM494" s="304"/>
      <c r="EN494" s="251"/>
      <c r="EO494" s="251"/>
      <c r="EP494" s="251"/>
      <c r="EQ494" s="252"/>
    </row>
    <row r="495" spans="1:149" ht="11.45" hidden="1" customHeight="1">
      <c r="A495" s="243">
        <v>14</v>
      </c>
      <c r="B495" s="1782">
        <f>A495</f>
        <v>14</v>
      </c>
      <c r="C495" s="1781"/>
      <c r="D495" s="1781"/>
      <c r="E495" s="336" t="s">
        <v>819</v>
      </c>
      <c r="F495" s="229"/>
      <c r="G495" s="229"/>
      <c r="H495" s="229"/>
      <c r="I495" s="229"/>
      <c r="J495" s="229"/>
      <c r="K495" s="229"/>
      <c r="L495" s="296"/>
      <c r="M495" s="296"/>
      <c r="N495" s="296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  <c r="AH495" s="229"/>
      <c r="AI495" s="229"/>
      <c r="AJ495" s="229"/>
      <c r="AK495" s="229"/>
      <c r="AL495" s="229"/>
      <c r="AM495" s="229"/>
      <c r="AN495" s="229"/>
      <c r="AO495" s="229"/>
      <c r="AP495" s="229"/>
      <c r="AQ495" s="229"/>
      <c r="AR495" s="229"/>
      <c r="AS495" s="229"/>
      <c r="AT495" s="229"/>
      <c r="AU495" s="229"/>
      <c r="AV495" s="229"/>
      <c r="AW495" s="229"/>
      <c r="AX495" s="229"/>
      <c r="AY495" s="229"/>
      <c r="AZ495" s="229"/>
      <c r="BA495" s="229"/>
      <c r="BB495" s="229"/>
      <c r="BC495" s="229"/>
      <c r="BD495" s="229"/>
      <c r="BE495" s="229"/>
      <c r="BF495" s="229"/>
      <c r="BG495" s="229"/>
      <c r="BH495" s="229"/>
      <c r="BI495" s="229"/>
      <c r="BJ495" s="229"/>
      <c r="BK495" s="229"/>
      <c r="BL495" s="229"/>
      <c r="BM495" s="229"/>
      <c r="BN495" s="229"/>
      <c r="BO495" s="229"/>
      <c r="BP495" s="229"/>
      <c r="BQ495" s="229"/>
      <c r="BR495" s="229"/>
      <c r="BS495" s="296"/>
      <c r="BT495" s="229"/>
      <c r="BU495" s="229"/>
      <c r="BV495" s="229"/>
      <c r="BW495" s="229"/>
      <c r="BX495" s="229"/>
      <c r="BY495" s="229"/>
      <c r="BZ495" s="229"/>
      <c r="CA495" s="229"/>
      <c r="CB495" s="229"/>
      <c r="CC495" s="229"/>
      <c r="CD495" s="229"/>
      <c r="CE495" s="229"/>
      <c r="CF495" s="229"/>
      <c r="CG495" s="229"/>
      <c r="CH495" s="229"/>
      <c r="CI495" s="229"/>
      <c r="CJ495" s="229"/>
      <c r="CK495" s="229"/>
      <c r="CL495" s="229"/>
      <c r="CM495" s="229"/>
      <c r="CN495" s="229"/>
      <c r="CO495" s="229"/>
      <c r="CP495" s="229"/>
      <c r="CQ495" s="229"/>
      <c r="CR495" s="229"/>
      <c r="CS495" s="229"/>
      <c r="CT495" s="229"/>
      <c r="CU495" s="229"/>
      <c r="CV495" s="229"/>
      <c r="CW495" s="229"/>
      <c r="CX495" s="229"/>
      <c r="CY495" s="229"/>
      <c r="CZ495" s="229"/>
      <c r="DA495" s="229"/>
      <c r="DB495" s="229"/>
      <c r="DC495" s="229"/>
      <c r="DD495" s="229"/>
      <c r="DE495" s="229"/>
      <c r="DF495" s="229"/>
      <c r="DG495" s="229"/>
      <c r="DH495" s="229"/>
      <c r="DI495" s="229"/>
      <c r="DJ495" s="229"/>
      <c r="DK495" s="229"/>
      <c r="DL495" s="229"/>
      <c r="DM495" s="229"/>
      <c r="DN495" s="229"/>
      <c r="DO495" s="229"/>
      <c r="DP495" s="229"/>
      <c r="DQ495" s="229"/>
      <c r="DR495" s="229"/>
      <c r="DS495" s="229"/>
      <c r="DT495" s="229"/>
      <c r="DU495" s="229"/>
      <c r="DV495" s="229"/>
      <c r="DW495" s="229"/>
      <c r="DX495" s="229"/>
      <c r="DY495" s="229"/>
      <c r="DZ495" s="229"/>
      <c r="EA495" s="229"/>
      <c r="EB495" s="229"/>
      <c r="EC495" s="229"/>
      <c r="ED495" s="229"/>
      <c r="EE495" s="229"/>
      <c r="EF495" s="229"/>
      <c r="EG495" s="229"/>
      <c r="EH495" s="229"/>
      <c r="EI495" s="229"/>
      <c r="EJ495" s="229"/>
      <c r="EK495" s="229"/>
      <c r="EL495" s="305"/>
      <c r="EM495" s="253" t="e">
        <f>EM519</f>
        <v>#REF!</v>
      </c>
      <c r="EN495" s="232" t="e">
        <f>EN519</f>
        <v>#REF!</v>
      </c>
      <c r="EO495" s="232" t="e">
        <f>EO519</f>
        <v>#REF!</v>
      </c>
      <c r="EP495" s="234" t="e">
        <f>EP519</f>
        <v>#REF!</v>
      </c>
      <c r="EQ495" s="312" t="s">
        <v>759</v>
      </c>
      <c r="ES495" s="800">
        <f>A495</f>
        <v>14</v>
      </c>
    </row>
    <row r="496" spans="1:149" ht="11.45" hidden="1" customHeight="1">
      <c r="B496" s="228"/>
      <c r="C496" s="229"/>
      <c r="D496" s="229"/>
      <c r="E496" s="229" t="s">
        <v>681</v>
      </c>
      <c r="F496" s="229"/>
      <c r="G496" s="229"/>
      <c r="H496" s="229" t="s">
        <v>538</v>
      </c>
      <c r="I496" s="229" t="s">
        <v>724</v>
      </c>
      <c r="J496" s="229"/>
      <c r="K496" s="229"/>
      <c r="L496" s="296" t="s">
        <v>745</v>
      </c>
      <c r="M496" s="296"/>
      <c r="N496" s="296"/>
      <c r="O496" s="229"/>
      <c r="P496" s="229"/>
      <c r="Q496" s="229"/>
      <c r="R496" s="229"/>
      <c r="S496" s="229" t="s">
        <v>132</v>
      </c>
      <c r="T496" s="229"/>
      <c r="U496" s="229" t="s">
        <v>743</v>
      </c>
      <c r="V496" s="229"/>
      <c r="W496" s="229"/>
      <c r="X496" s="229" t="s">
        <v>134</v>
      </c>
      <c r="Y496" s="229"/>
      <c r="Z496" s="229" t="str">
        <f>TEXT(360,"#,##0.#######")</f>
        <v>360.</v>
      </c>
      <c r="AA496" s="229"/>
      <c r="AB496" s="229"/>
      <c r="AC496" s="229" t="s">
        <v>548</v>
      </c>
      <c r="AD496" s="229"/>
      <c r="AE496" s="229" t="s">
        <v>139</v>
      </c>
      <c r="AF496" s="229" t="s">
        <v>724</v>
      </c>
      <c r="AG496" s="229"/>
      <c r="AH496" s="229"/>
      <c r="AI496" s="229"/>
      <c r="AJ496" s="229"/>
      <c r="AK496" s="229"/>
      <c r="AL496" s="229"/>
      <c r="AM496" s="229"/>
      <c r="AN496" s="229"/>
      <c r="AO496" s="229"/>
      <c r="AP496" s="229"/>
      <c r="AQ496" s="229"/>
      <c r="AR496" s="229"/>
      <c r="AS496" s="229"/>
      <c r="AT496" s="229"/>
      <c r="AU496" s="229"/>
      <c r="AV496" s="229"/>
      <c r="AW496" s="229"/>
      <c r="AX496" s="229"/>
      <c r="AY496" s="229"/>
      <c r="AZ496" s="229"/>
      <c r="BA496" s="229"/>
      <c r="BB496" s="229"/>
      <c r="BC496" s="229"/>
      <c r="BD496" s="229"/>
      <c r="BE496" s="229"/>
      <c r="BF496" s="229"/>
      <c r="BG496" s="229"/>
      <c r="BH496" s="229"/>
      <c r="BI496" s="229"/>
      <c r="BJ496" s="229"/>
      <c r="BK496" s="229"/>
      <c r="BL496" s="229"/>
      <c r="BM496" s="229"/>
      <c r="BN496" s="229"/>
      <c r="BO496" s="229"/>
      <c r="BP496" s="229"/>
      <c r="BQ496" s="229"/>
      <c r="BR496" s="229"/>
      <c r="BS496" s="296"/>
      <c r="BT496" s="229"/>
      <c r="BU496" s="229"/>
      <c r="BV496" s="229"/>
      <c r="BW496" s="229"/>
      <c r="BX496" s="229"/>
      <c r="BY496" s="229"/>
      <c r="BZ496" s="229"/>
      <c r="CA496" s="229"/>
      <c r="CB496" s="229"/>
      <c r="CC496" s="229"/>
      <c r="CD496" s="229"/>
      <c r="CE496" s="229"/>
      <c r="CF496" s="229"/>
      <c r="CG496" s="229"/>
      <c r="CH496" s="229"/>
      <c r="CI496" s="229"/>
      <c r="CJ496" s="229"/>
      <c r="CK496" s="229"/>
      <c r="CL496" s="229"/>
      <c r="CM496" s="229"/>
      <c r="CN496" s="229"/>
      <c r="CO496" s="229"/>
      <c r="CP496" s="229"/>
      <c r="CQ496" s="229"/>
      <c r="CR496" s="229"/>
      <c r="CS496" s="229"/>
      <c r="CT496" s="229"/>
      <c r="CU496" s="229"/>
      <c r="CV496" s="229"/>
      <c r="CW496" s="229"/>
      <c r="CX496" s="229"/>
      <c r="CY496" s="229"/>
      <c r="CZ496" s="229"/>
      <c r="DA496" s="229"/>
      <c r="DB496" s="229"/>
      <c r="DC496" s="229"/>
      <c r="DD496" s="229"/>
      <c r="DE496" s="229"/>
      <c r="DF496" s="229"/>
      <c r="DG496" s="229"/>
      <c r="DH496" s="229"/>
      <c r="DI496" s="229"/>
      <c r="DJ496" s="229"/>
      <c r="DK496" s="229"/>
      <c r="DL496" s="229"/>
      <c r="DM496" s="229"/>
      <c r="DN496" s="229"/>
      <c r="DO496" s="229"/>
      <c r="DP496" s="229"/>
      <c r="DQ496" s="229"/>
      <c r="DR496" s="229"/>
      <c r="DS496" s="229"/>
      <c r="DT496" s="229"/>
      <c r="DU496" s="229"/>
      <c r="DV496" s="229"/>
      <c r="DW496" s="229"/>
      <c r="DX496" s="229"/>
      <c r="DY496" s="229"/>
      <c r="DZ496" s="229"/>
      <c r="EA496" s="229"/>
      <c r="EB496" s="229"/>
      <c r="EC496" s="229"/>
      <c r="ED496" s="229"/>
      <c r="EE496" s="229"/>
      <c r="EF496" s="229"/>
      <c r="EG496" s="229"/>
      <c r="EH496" s="229"/>
      <c r="EI496" s="229"/>
      <c r="EJ496" s="229"/>
      <c r="EK496" s="229"/>
      <c r="EL496" s="305"/>
      <c r="EM496" s="309"/>
      <c r="EN496" s="234"/>
      <c r="EO496" s="234"/>
      <c r="EP496" s="234"/>
      <c r="EQ496" s="233"/>
    </row>
    <row r="497" spans="2:147" ht="11.45" hidden="1" customHeight="1">
      <c r="B497" s="228"/>
      <c r="C497" s="229"/>
      <c r="D497" s="229"/>
      <c r="E497" s="229"/>
      <c r="F497" s="229"/>
      <c r="G497" s="229"/>
      <c r="H497" s="229"/>
      <c r="I497" s="229"/>
      <c r="J497" s="229"/>
      <c r="K497" s="229"/>
      <c r="L497" s="296"/>
      <c r="M497" s="296"/>
      <c r="N497" s="296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  <c r="AH497" s="229"/>
      <c r="AI497" s="229"/>
      <c r="AJ497" s="229"/>
      <c r="AK497" s="229"/>
      <c r="AL497" s="229"/>
      <c r="AM497" s="229"/>
      <c r="AN497" s="229"/>
      <c r="AO497" s="229"/>
      <c r="AP497" s="229"/>
      <c r="AQ497" s="229"/>
      <c r="AR497" s="229"/>
      <c r="AS497" s="229"/>
      <c r="AT497" s="229"/>
      <c r="AU497" s="229"/>
      <c r="AV497" s="229"/>
      <c r="AW497" s="229"/>
      <c r="AX497" s="229"/>
      <c r="AY497" s="229"/>
      <c r="AZ497" s="229"/>
      <c r="BA497" s="229"/>
      <c r="BB497" s="229"/>
      <c r="BC497" s="229"/>
      <c r="BD497" s="229"/>
      <c r="BE497" s="229"/>
      <c r="BF497" s="229"/>
      <c r="BG497" s="229"/>
      <c r="BH497" s="229"/>
      <c r="BI497" s="229"/>
      <c r="BJ497" s="229"/>
      <c r="BK497" s="229"/>
      <c r="BL497" s="229"/>
      <c r="BM497" s="229"/>
      <c r="BN497" s="229"/>
      <c r="BO497" s="229"/>
      <c r="BP497" s="229"/>
      <c r="BQ497" s="229"/>
      <c r="BR497" s="229"/>
      <c r="BS497" s="296"/>
      <c r="BT497" s="229"/>
      <c r="BU497" s="229"/>
      <c r="BV497" s="229"/>
      <c r="BW497" s="229"/>
      <c r="BX497" s="229"/>
      <c r="BY497" s="229"/>
      <c r="BZ497" s="229"/>
      <c r="CA497" s="229"/>
      <c r="CB497" s="229"/>
      <c r="CC497" s="229"/>
      <c r="CD497" s="229"/>
      <c r="CE497" s="229"/>
      <c r="CF497" s="229"/>
      <c r="CG497" s="229"/>
      <c r="CH497" s="229"/>
      <c r="CI497" s="229"/>
      <c r="CJ497" s="229"/>
      <c r="CK497" s="229"/>
      <c r="CL497" s="229"/>
      <c r="CM497" s="229"/>
      <c r="CN497" s="229"/>
      <c r="CO497" s="229"/>
      <c r="CP497" s="229"/>
      <c r="CQ497" s="229"/>
      <c r="CR497" s="229"/>
      <c r="CS497" s="229"/>
      <c r="CT497" s="229"/>
      <c r="CU497" s="229"/>
      <c r="CV497" s="229"/>
      <c r="CW497" s="229"/>
      <c r="CX497" s="229"/>
      <c r="CY497" s="229"/>
      <c r="CZ497" s="229"/>
      <c r="DA497" s="229"/>
      <c r="DB497" s="229"/>
      <c r="DC497" s="229"/>
      <c r="DD497" s="229"/>
      <c r="DE497" s="229"/>
      <c r="DF497" s="229"/>
      <c r="DG497" s="229"/>
      <c r="DH497" s="229"/>
      <c r="DI497" s="229"/>
      <c r="DJ497" s="229"/>
      <c r="DK497" s="229"/>
      <c r="DL497" s="229"/>
      <c r="DM497" s="229"/>
      <c r="DN497" s="229"/>
      <c r="DO497" s="229"/>
      <c r="DP497" s="229"/>
      <c r="DQ497" s="229"/>
      <c r="DR497" s="229"/>
      <c r="DS497" s="229"/>
      <c r="DT497" s="229"/>
      <c r="DU497" s="229"/>
      <c r="DV497" s="229"/>
      <c r="DW497" s="229"/>
      <c r="DX497" s="229"/>
      <c r="DY497" s="229"/>
      <c r="DZ497" s="229"/>
      <c r="EA497" s="229"/>
      <c r="EB497" s="229"/>
      <c r="EC497" s="229"/>
      <c r="ED497" s="229"/>
      <c r="EE497" s="229"/>
      <c r="EF497" s="229"/>
      <c r="EG497" s="229"/>
      <c r="EH497" s="229"/>
      <c r="EI497" s="229"/>
      <c r="EJ497" s="229"/>
      <c r="EK497" s="229"/>
      <c r="EL497" s="305"/>
      <c r="EM497" s="309"/>
      <c r="EN497" s="234"/>
      <c r="EO497" s="234"/>
      <c r="EP497" s="234"/>
      <c r="EQ497" s="233"/>
    </row>
    <row r="498" spans="2:147" ht="11.45" hidden="1" customHeight="1">
      <c r="B498" s="228"/>
      <c r="C498" s="229"/>
      <c r="D498" s="229"/>
      <c r="E498" s="229"/>
      <c r="F498" s="229"/>
      <c r="G498" s="229"/>
      <c r="H498" s="229"/>
      <c r="I498" s="229" t="s">
        <v>1620</v>
      </c>
      <c r="J498" s="229"/>
      <c r="K498" s="229"/>
      <c r="L498" s="229"/>
      <c r="M498" s="229" t="s">
        <v>1621</v>
      </c>
      <c r="N498" s="229"/>
      <c r="O498" s="229"/>
      <c r="P498" s="229"/>
      <c r="Q498" s="229"/>
      <c r="R498" s="229" t="s">
        <v>132</v>
      </c>
      <c r="S498" s="229"/>
      <c r="T498" s="229" t="s">
        <v>687</v>
      </c>
      <c r="U498" s="229"/>
      <c r="V498" s="229" t="s">
        <v>134</v>
      </c>
      <c r="W498" s="229"/>
      <c r="X498" s="229" t="s">
        <v>1622</v>
      </c>
      <c r="Y498" s="229"/>
      <c r="Z498" s="229" t="s">
        <v>683</v>
      </c>
      <c r="AA498" s="229"/>
      <c r="AB498" s="229" t="str">
        <f>TEXT(8,"#,##0.#######")</f>
        <v>8.</v>
      </c>
      <c r="AC498" s="229"/>
      <c r="AD498" s="229" t="s">
        <v>1365</v>
      </c>
      <c r="AE498" s="229"/>
      <c r="AF498" s="229"/>
      <c r="AG498" s="229" t="s">
        <v>134</v>
      </c>
      <c r="AH498" s="229"/>
      <c r="AI498" s="229"/>
      <c r="AJ498" s="229" t="str">
        <f>TEXT(Z496,"#,##0.#######")</f>
        <v>360.</v>
      </c>
      <c r="AK498" s="229"/>
      <c r="AL498" s="229"/>
      <c r="AM498" s="229" t="s">
        <v>683</v>
      </c>
      <c r="AN498" s="229"/>
      <c r="AO498" s="229" t="str">
        <f>TEXT(AB498,"#,##0.#######")</f>
        <v>8.</v>
      </c>
      <c r="AP498" s="229"/>
      <c r="AQ498" s="229" t="s">
        <v>134</v>
      </c>
      <c r="AR498" s="229"/>
      <c r="AS498" s="229" t="str">
        <f>TEXT(ROUND(Z496/AO498,2),"#,##0.#######")</f>
        <v>45.</v>
      </c>
      <c r="AT498" s="229"/>
      <c r="AU498" s="229"/>
      <c r="AV498" s="229" t="s">
        <v>1623</v>
      </c>
      <c r="AW498" s="229"/>
      <c r="AX498" s="229" t="s">
        <v>139</v>
      </c>
      <c r="AY498" s="229" t="s">
        <v>1624</v>
      </c>
      <c r="AZ498" s="229"/>
      <c r="BA498" s="229"/>
      <c r="BB498" s="229"/>
      <c r="BC498" s="229"/>
      <c r="BD498" s="229"/>
      <c r="BE498" s="229"/>
      <c r="BF498" s="229"/>
      <c r="BG498" s="229"/>
      <c r="BH498" s="229"/>
      <c r="BI498" s="229"/>
      <c r="BJ498" s="229"/>
      <c r="BK498" s="229"/>
      <c r="BL498" s="229"/>
      <c r="BM498" s="229"/>
      <c r="BN498" s="229"/>
      <c r="BO498" s="229"/>
      <c r="BP498" s="229"/>
      <c r="BQ498" s="229"/>
      <c r="BR498" s="229"/>
      <c r="BS498" s="296"/>
      <c r="BT498" s="229"/>
      <c r="BU498" s="229"/>
      <c r="BV498" s="229"/>
      <c r="BW498" s="229"/>
      <c r="BX498" s="229"/>
      <c r="BY498" s="229"/>
      <c r="BZ498" s="229"/>
      <c r="CA498" s="229"/>
      <c r="CB498" s="229"/>
      <c r="CC498" s="229"/>
      <c r="CD498" s="229"/>
      <c r="CE498" s="229"/>
      <c r="CF498" s="229"/>
      <c r="CG498" s="229"/>
      <c r="CH498" s="229"/>
      <c r="CI498" s="229"/>
      <c r="CJ498" s="229"/>
      <c r="CK498" s="229"/>
      <c r="CL498" s="229"/>
      <c r="CM498" s="229"/>
      <c r="CN498" s="229"/>
      <c r="CO498" s="229"/>
      <c r="CP498" s="229"/>
      <c r="CQ498" s="229"/>
      <c r="CR498" s="229"/>
      <c r="CS498" s="229"/>
      <c r="CT498" s="229"/>
      <c r="CU498" s="229"/>
      <c r="CV498" s="229"/>
      <c r="CW498" s="229"/>
      <c r="CX498" s="229"/>
      <c r="CY498" s="229"/>
      <c r="CZ498" s="229"/>
      <c r="DA498" s="229"/>
      <c r="DB498" s="229"/>
      <c r="DC498" s="229"/>
      <c r="DD498" s="229"/>
      <c r="DE498" s="229"/>
      <c r="DF498" s="229"/>
      <c r="DG498" s="229"/>
      <c r="DH498" s="229"/>
      <c r="DI498" s="229"/>
      <c r="DJ498" s="229"/>
      <c r="DK498" s="229"/>
      <c r="DL498" s="229"/>
      <c r="DM498" s="229"/>
      <c r="DN498" s="229"/>
      <c r="DO498" s="229"/>
      <c r="DP498" s="229"/>
      <c r="DQ498" s="229"/>
      <c r="DR498" s="229"/>
      <c r="DS498" s="229"/>
      <c r="DT498" s="229"/>
      <c r="DU498" s="229"/>
      <c r="DV498" s="229"/>
      <c r="DW498" s="229"/>
      <c r="DX498" s="229"/>
      <c r="DY498" s="229"/>
      <c r="DZ498" s="229"/>
      <c r="EA498" s="229"/>
      <c r="EB498" s="229"/>
      <c r="EC498" s="229"/>
      <c r="ED498" s="229"/>
      <c r="EE498" s="229"/>
      <c r="EF498" s="229"/>
      <c r="EG498" s="229"/>
      <c r="EH498" s="229"/>
      <c r="EI498" s="229"/>
      <c r="EJ498" s="229"/>
      <c r="EK498" s="229"/>
      <c r="EL498" s="305"/>
      <c r="EM498" s="309"/>
      <c r="EN498" s="234"/>
      <c r="EO498" s="234"/>
      <c r="EP498" s="234"/>
      <c r="EQ498" s="233"/>
    </row>
    <row r="499" spans="2:147" ht="11.45" hidden="1" customHeight="1">
      <c r="B499" s="228"/>
      <c r="C499" s="229"/>
      <c r="D499" s="229" t="s">
        <v>674</v>
      </c>
      <c r="E499" s="229"/>
      <c r="F499" s="229"/>
      <c r="G499" s="229" t="s">
        <v>682</v>
      </c>
      <c r="H499" s="229"/>
      <c r="I499" s="229"/>
      <c r="J499" s="229"/>
      <c r="K499" s="229"/>
      <c r="L499" s="229"/>
      <c r="M499" s="229"/>
      <c r="N499" s="296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  <c r="AH499" s="229"/>
      <c r="AI499" s="229"/>
      <c r="AJ499" s="229"/>
      <c r="AK499" s="229"/>
      <c r="AL499" s="229"/>
      <c r="AM499" s="229"/>
      <c r="AN499" s="229"/>
      <c r="AO499" s="229"/>
      <c r="AP499" s="229"/>
      <c r="AQ499" s="229"/>
      <c r="AR499" s="229"/>
      <c r="AS499" s="229"/>
      <c r="AT499" s="229"/>
      <c r="AU499" s="229"/>
      <c r="AV499" s="229"/>
      <c r="AW499" s="229"/>
      <c r="AX499" s="229"/>
      <c r="AY499" s="229"/>
      <c r="AZ499" s="229"/>
      <c r="BA499" s="229"/>
      <c r="BB499" s="229"/>
      <c r="BC499" s="229"/>
      <c r="BD499" s="229"/>
      <c r="BE499" s="229"/>
      <c r="BF499" s="229"/>
      <c r="BG499" s="229"/>
      <c r="BH499" s="229"/>
      <c r="BI499" s="229"/>
      <c r="BJ499" s="229"/>
      <c r="BK499" s="229"/>
      <c r="BL499" s="229"/>
      <c r="BM499" s="229"/>
      <c r="BN499" s="229"/>
      <c r="BO499" s="229"/>
      <c r="BP499" s="229"/>
      <c r="BQ499" s="229"/>
      <c r="BR499" s="229"/>
      <c r="BS499" s="296"/>
      <c r="BT499" s="229"/>
      <c r="BU499" s="229"/>
      <c r="BV499" s="229"/>
      <c r="BW499" s="229"/>
      <c r="BX499" s="229"/>
      <c r="BY499" s="229"/>
      <c r="BZ499" s="229"/>
      <c r="CA499" s="229"/>
      <c r="CB499" s="229"/>
      <c r="CC499" s="229"/>
      <c r="CD499" s="229"/>
      <c r="CE499" s="229"/>
      <c r="CF499" s="229"/>
      <c r="CG499" s="229"/>
      <c r="CH499" s="229"/>
      <c r="CI499" s="229"/>
      <c r="CJ499" s="229"/>
      <c r="CK499" s="229"/>
      <c r="CL499" s="229"/>
      <c r="CM499" s="229"/>
      <c r="CN499" s="229"/>
      <c r="CO499" s="229"/>
      <c r="CP499" s="229"/>
      <c r="CQ499" s="229"/>
      <c r="CR499" s="229"/>
      <c r="CS499" s="229"/>
      <c r="CT499" s="229"/>
      <c r="CU499" s="229"/>
      <c r="CV499" s="229"/>
      <c r="CW499" s="229"/>
      <c r="CX499" s="229"/>
      <c r="CY499" s="229"/>
      <c r="CZ499" s="229"/>
      <c r="DA499" s="229"/>
      <c r="DB499" s="229"/>
      <c r="DC499" s="229"/>
      <c r="DD499" s="229"/>
      <c r="DE499" s="229"/>
      <c r="DF499" s="229"/>
      <c r="DG499" s="229"/>
      <c r="DH499" s="229"/>
      <c r="DI499" s="229"/>
      <c r="DJ499" s="229"/>
      <c r="DK499" s="229"/>
      <c r="DL499" s="229"/>
      <c r="DM499" s="229"/>
      <c r="DN499" s="229"/>
      <c r="DO499" s="229"/>
      <c r="DP499" s="229"/>
      <c r="DQ499" s="229"/>
      <c r="DR499" s="229"/>
      <c r="DS499" s="229"/>
      <c r="DT499" s="229"/>
      <c r="DU499" s="229"/>
      <c r="DV499" s="229"/>
      <c r="DW499" s="229"/>
      <c r="DX499" s="229"/>
      <c r="DY499" s="229"/>
      <c r="DZ499" s="229"/>
      <c r="EA499" s="229"/>
      <c r="EB499" s="229"/>
      <c r="EC499" s="229"/>
      <c r="ED499" s="229"/>
      <c r="EE499" s="229"/>
      <c r="EF499" s="229"/>
      <c r="EG499" s="229"/>
      <c r="EH499" s="229"/>
      <c r="EI499" s="229"/>
      <c r="EJ499" s="229"/>
      <c r="EK499" s="229"/>
      <c r="EL499" s="305"/>
      <c r="EM499" s="309"/>
      <c r="EN499" s="234"/>
      <c r="EO499" s="234"/>
      <c r="EP499" s="234"/>
      <c r="EQ499" s="233"/>
    </row>
    <row r="500" spans="2:147" ht="11.45" hidden="1" customHeight="1">
      <c r="B500" s="228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96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  <c r="AH500" s="229"/>
      <c r="AI500" s="229"/>
      <c r="AJ500" s="229"/>
      <c r="AK500" s="229"/>
      <c r="AL500" s="229"/>
      <c r="AM500" s="229"/>
      <c r="AN500" s="229"/>
      <c r="AO500" s="229"/>
      <c r="AP500" s="229"/>
      <c r="AQ500" s="229"/>
      <c r="AR500" s="229"/>
      <c r="AS500" s="229"/>
      <c r="AT500" s="229"/>
      <c r="AU500" s="229"/>
      <c r="AV500" s="229"/>
      <c r="AW500" s="229"/>
      <c r="AX500" s="229"/>
      <c r="AY500" s="229"/>
      <c r="AZ500" s="229"/>
      <c r="BA500" s="229"/>
      <c r="BB500" s="229"/>
      <c r="BC500" s="229"/>
      <c r="BD500" s="229"/>
      <c r="BE500" s="229"/>
      <c r="BF500" s="229"/>
      <c r="BG500" s="229"/>
      <c r="BH500" s="229"/>
      <c r="BI500" s="229"/>
      <c r="BJ500" s="229"/>
      <c r="BK500" s="229"/>
      <c r="BL500" s="229"/>
      <c r="BM500" s="229"/>
      <c r="BN500" s="229"/>
      <c r="BO500" s="229"/>
      <c r="BP500" s="229"/>
      <c r="BQ500" s="229"/>
      <c r="BR500" s="229"/>
      <c r="BS500" s="296"/>
      <c r="BT500" s="229"/>
      <c r="BU500" s="229"/>
      <c r="BV500" s="229"/>
      <c r="BW500" s="229"/>
      <c r="BX500" s="229"/>
      <c r="BY500" s="229"/>
      <c r="BZ500" s="229"/>
      <c r="CA500" s="229"/>
      <c r="CB500" s="229"/>
      <c r="CC500" s="229"/>
      <c r="CD500" s="229"/>
      <c r="CE500" s="229"/>
      <c r="CF500" s="229"/>
      <c r="CG500" s="229"/>
      <c r="CH500" s="229"/>
      <c r="CI500" s="229"/>
      <c r="CJ500" s="229"/>
      <c r="CK500" s="229"/>
      <c r="CL500" s="229"/>
      <c r="CM500" s="229"/>
      <c r="CN500" s="229"/>
      <c r="CO500" s="229"/>
      <c r="CP500" s="229"/>
      <c r="CQ500" s="229"/>
      <c r="CR500" s="229"/>
      <c r="CS500" s="229"/>
      <c r="CT500" s="229"/>
      <c r="CU500" s="229"/>
      <c r="CV500" s="229"/>
      <c r="CW500" s="229"/>
      <c r="CX500" s="229"/>
      <c r="CY500" s="229"/>
      <c r="CZ500" s="229"/>
      <c r="DA500" s="229"/>
      <c r="DB500" s="229"/>
      <c r="DC500" s="229"/>
      <c r="DD500" s="229"/>
      <c r="DE500" s="229"/>
      <c r="DF500" s="229"/>
      <c r="DG500" s="229"/>
      <c r="DH500" s="229"/>
      <c r="DI500" s="229"/>
      <c r="DJ500" s="229"/>
      <c r="DK500" s="229"/>
      <c r="DL500" s="229"/>
      <c r="DM500" s="229"/>
      <c r="DN500" s="229"/>
      <c r="DO500" s="229"/>
      <c r="DP500" s="229"/>
      <c r="DQ500" s="229"/>
      <c r="DR500" s="229"/>
      <c r="DS500" s="229"/>
      <c r="DT500" s="229"/>
      <c r="DU500" s="229"/>
      <c r="DV500" s="229"/>
      <c r="DW500" s="229"/>
      <c r="DX500" s="229"/>
      <c r="DY500" s="229"/>
      <c r="DZ500" s="229"/>
      <c r="EA500" s="229"/>
      <c r="EB500" s="229"/>
      <c r="EC500" s="229"/>
      <c r="ED500" s="229"/>
      <c r="EE500" s="229"/>
      <c r="EF500" s="229"/>
      <c r="EG500" s="229"/>
      <c r="EH500" s="229"/>
      <c r="EI500" s="229"/>
      <c r="EJ500" s="229"/>
      <c r="EK500" s="229"/>
      <c r="EL500" s="305"/>
      <c r="EM500" s="309"/>
      <c r="EN500" s="234"/>
      <c r="EO500" s="234"/>
      <c r="EP500" s="234"/>
      <c r="EQ500" s="233"/>
    </row>
    <row r="501" spans="2:147" ht="11.45" hidden="1" customHeight="1">
      <c r="B501" s="228"/>
      <c r="C501" s="229"/>
      <c r="D501" s="229"/>
      <c r="E501" s="229"/>
      <c r="F501" s="229"/>
      <c r="G501" s="229" t="s">
        <v>1670</v>
      </c>
      <c r="H501" s="229"/>
      <c r="I501" s="229"/>
      <c r="J501" s="229"/>
      <c r="K501" s="229"/>
      <c r="L501" s="229" t="s">
        <v>132</v>
      </c>
      <c r="M501" s="229"/>
      <c r="N501" s="1774">
        <f>VLOOKUP($G501,노임단가!$A:$B,2,FALSE)</f>
        <v>237245</v>
      </c>
      <c r="O501" s="1774"/>
      <c r="P501" s="1774"/>
      <c r="Q501" s="1774"/>
      <c r="R501" s="1774"/>
      <c r="S501" s="1774"/>
      <c r="T501" s="229" t="s">
        <v>652</v>
      </c>
      <c r="U501" s="229"/>
      <c r="V501" s="229"/>
      <c r="W501" s="229" t="str">
        <f>TEXT(2,"#,##0.#######")</f>
        <v>2.</v>
      </c>
      <c r="X501" s="229"/>
      <c r="Y501" s="229" t="s">
        <v>102</v>
      </c>
      <c r="Z501" s="229"/>
      <c r="AA501" s="229" t="s">
        <v>683</v>
      </c>
      <c r="AB501" s="229"/>
      <c r="AC501" s="229" t="s">
        <v>743</v>
      </c>
      <c r="AD501" s="229"/>
      <c r="AE501" s="229"/>
      <c r="AF501" s="229"/>
      <c r="AG501" s="229"/>
      <c r="AH501" s="229"/>
      <c r="AI501" s="229"/>
      <c r="AJ501" s="229" t="s">
        <v>134</v>
      </c>
      <c r="AK501" s="229"/>
      <c r="AL501" s="229" t="str">
        <f>TEXT(N501,"#,##0.#######")</f>
        <v>237,245.</v>
      </c>
      <c r="AM501" s="229"/>
      <c r="AN501" s="229"/>
      <c r="AO501" s="229"/>
      <c r="AP501" s="229"/>
      <c r="AQ501" s="229" t="s">
        <v>652</v>
      </c>
      <c r="AR501" s="229"/>
      <c r="AS501" s="229" t="str">
        <f>TEXT(W501,"#,##0.#######")</f>
        <v>2.</v>
      </c>
      <c r="AT501" s="229"/>
      <c r="AU501" s="229" t="s">
        <v>683</v>
      </c>
      <c r="AV501" s="229"/>
      <c r="AW501" s="229" t="str">
        <f>TEXT(Z496,"#,##0.#######")</f>
        <v>360.</v>
      </c>
      <c r="AX501" s="229"/>
      <c r="AY501" s="229"/>
      <c r="AZ501" s="229" t="s">
        <v>652</v>
      </c>
      <c r="BA501" s="229"/>
      <c r="BB501" s="229"/>
      <c r="BC501" s="229"/>
      <c r="BD501" s="229"/>
      <c r="BE501" s="229" t="s">
        <v>134</v>
      </c>
      <c r="BF501" s="229"/>
      <c r="BG501" s="229" t="str">
        <f>TEXT(TRUNC(N501*W501/Z496,1),"#,##0.#######")</f>
        <v>1,318.</v>
      </c>
      <c r="BH501" s="229"/>
      <c r="BI501" s="229"/>
      <c r="BJ501" s="229"/>
      <c r="BK501" s="229"/>
      <c r="BL501" s="229"/>
      <c r="BM501" s="229"/>
      <c r="BN501" s="229"/>
      <c r="BO501" s="229"/>
      <c r="BP501" s="229"/>
      <c r="BQ501" s="229"/>
      <c r="BR501" s="229"/>
      <c r="BS501" s="296"/>
      <c r="BT501" s="229"/>
      <c r="BU501" s="229"/>
      <c r="BV501" s="229"/>
      <c r="BW501" s="229"/>
      <c r="BX501" s="229"/>
      <c r="BY501" s="229"/>
      <c r="BZ501" s="229"/>
      <c r="CA501" s="229"/>
      <c r="CB501" s="229"/>
      <c r="CC501" s="229"/>
      <c r="CD501" s="229"/>
      <c r="CE501" s="229"/>
      <c r="CF501" s="229"/>
      <c r="CG501" s="229"/>
      <c r="CH501" s="229"/>
      <c r="CI501" s="229"/>
      <c r="CJ501" s="229"/>
      <c r="CK501" s="229"/>
      <c r="CL501" s="229"/>
      <c r="CM501" s="229"/>
      <c r="CN501" s="229"/>
      <c r="CO501" s="229"/>
      <c r="CP501" s="229"/>
      <c r="CQ501" s="229"/>
      <c r="CR501" s="229"/>
      <c r="CS501" s="229"/>
      <c r="CT501" s="229"/>
      <c r="CU501" s="229"/>
      <c r="CV501" s="229"/>
      <c r="CW501" s="229"/>
      <c r="CX501" s="229"/>
      <c r="CY501" s="229"/>
      <c r="CZ501" s="229"/>
      <c r="DA501" s="229"/>
      <c r="DB501" s="229"/>
      <c r="DC501" s="229"/>
      <c r="DD501" s="229"/>
      <c r="DE501" s="229"/>
      <c r="DF501" s="229"/>
      <c r="DG501" s="229"/>
      <c r="DH501" s="229"/>
      <c r="DI501" s="229"/>
      <c r="DJ501" s="229"/>
      <c r="DK501" s="229"/>
      <c r="DL501" s="229"/>
      <c r="DM501" s="229"/>
      <c r="DN501" s="229"/>
      <c r="DO501" s="229"/>
      <c r="DP501" s="229"/>
      <c r="DQ501" s="229"/>
      <c r="DR501" s="229"/>
      <c r="DS501" s="229"/>
      <c r="DT501" s="229"/>
      <c r="DU501" s="229"/>
      <c r="DV501" s="229"/>
      <c r="DW501" s="229"/>
      <c r="DX501" s="229"/>
      <c r="DY501" s="229"/>
      <c r="DZ501" s="229"/>
      <c r="EA501" s="229"/>
      <c r="EB501" s="229"/>
      <c r="EC501" s="229"/>
      <c r="ED501" s="229"/>
      <c r="EE501" s="229"/>
      <c r="EF501" s="229"/>
      <c r="EG501" s="229"/>
      <c r="EH501" s="229"/>
      <c r="EI501" s="229"/>
      <c r="EJ501" s="229"/>
      <c r="EK501" s="229"/>
      <c r="EL501" s="305"/>
      <c r="EM501" s="309"/>
      <c r="EN501" s="234"/>
      <c r="EO501" s="234"/>
      <c r="EP501" s="234"/>
      <c r="EQ501" s="233"/>
    </row>
    <row r="502" spans="2:147" ht="11.45" hidden="1" customHeight="1">
      <c r="B502" s="228"/>
      <c r="C502" s="229"/>
      <c r="D502" s="229"/>
      <c r="E502" s="229"/>
      <c r="F502" s="229"/>
      <c r="G502" s="229" t="s">
        <v>103</v>
      </c>
      <c r="H502" s="229"/>
      <c r="I502" s="229"/>
      <c r="J502" s="229"/>
      <c r="K502" s="229"/>
      <c r="L502" s="229" t="s">
        <v>132</v>
      </c>
      <c r="M502" s="229"/>
      <c r="N502" s="1774">
        <f>VLOOKUP($G502,노임단가!$A:$B,2,FALSE)</f>
        <v>157068</v>
      </c>
      <c r="O502" s="1774"/>
      <c r="P502" s="1774"/>
      <c r="Q502" s="1774"/>
      <c r="R502" s="1774"/>
      <c r="S502" s="1774"/>
      <c r="T502" s="229" t="s">
        <v>652</v>
      </c>
      <c r="U502" s="229"/>
      <c r="V502" s="229"/>
      <c r="W502" s="229" t="str">
        <f>TEXT(4,"#,##0.#######")</f>
        <v>4.</v>
      </c>
      <c r="X502" s="229"/>
      <c r="Y502" s="229" t="s">
        <v>102</v>
      </c>
      <c r="Z502" s="229"/>
      <c r="AA502" s="229" t="s">
        <v>683</v>
      </c>
      <c r="AB502" s="229"/>
      <c r="AC502" s="229" t="s">
        <v>743</v>
      </c>
      <c r="AD502" s="229"/>
      <c r="AE502" s="229" t="s">
        <v>652</v>
      </c>
      <c r="AF502" s="229"/>
      <c r="AG502" s="229" t="str">
        <f>TEXT(0.5,"#,##0.#######")</f>
        <v>0.5</v>
      </c>
      <c r="AH502" s="229"/>
      <c r="AI502" s="229"/>
      <c r="AJ502" s="229" t="s">
        <v>134</v>
      </c>
      <c r="AK502" s="229"/>
      <c r="AL502" s="229" t="str">
        <f>TEXT(N502,"#,##0.#######")</f>
        <v>157,068.</v>
      </c>
      <c r="AM502" s="229"/>
      <c r="AN502" s="229"/>
      <c r="AO502" s="229"/>
      <c r="AP502" s="229"/>
      <c r="AQ502" s="229" t="s">
        <v>652</v>
      </c>
      <c r="AR502" s="229"/>
      <c r="AS502" s="229" t="str">
        <f>TEXT(W502,"#,##0.#######")</f>
        <v>4.</v>
      </c>
      <c r="AT502" s="229"/>
      <c r="AU502" s="229" t="s">
        <v>683</v>
      </c>
      <c r="AV502" s="229"/>
      <c r="AW502" s="229" t="str">
        <f>TEXT(Z496,"#,##0.#######")</f>
        <v>360.</v>
      </c>
      <c r="AX502" s="229"/>
      <c r="AY502" s="229"/>
      <c r="AZ502" s="229" t="s">
        <v>652</v>
      </c>
      <c r="BA502" s="229"/>
      <c r="BB502" s="229" t="str">
        <f>TEXT(AG502,"#,##0.#######")</f>
        <v>0.5</v>
      </c>
      <c r="BC502" s="229"/>
      <c r="BD502" s="229"/>
      <c r="BE502" s="229" t="s">
        <v>134</v>
      </c>
      <c r="BF502" s="229"/>
      <c r="BG502" s="229" t="str">
        <f>TEXT(TRUNC(N502*W502/Z496*AG502,1),"#,##0.#######")</f>
        <v>872.6</v>
      </c>
      <c r="BH502" s="229"/>
      <c r="BI502" s="229"/>
      <c r="BJ502" s="229"/>
      <c r="BK502" s="229"/>
      <c r="BL502" s="229"/>
      <c r="BM502" s="229"/>
      <c r="BN502" s="229"/>
      <c r="BO502" s="229"/>
      <c r="BP502" s="229"/>
      <c r="BQ502" s="229"/>
      <c r="BR502" s="229"/>
      <c r="BS502" s="296"/>
      <c r="BT502" s="229"/>
      <c r="BU502" s="229"/>
      <c r="BV502" s="229"/>
      <c r="BW502" s="229"/>
      <c r="BX502" s="229"/>
      <c r="BY502" s="229"/>
      <c r="BZ502" s="229"/>
      <c r="CA502" s="229"/>
      <c r="CB502" s="229"/>
      <c r="CC502" s="229"/>
      <c r="CD502" s="229"/>
      <c r="CE502" s="229"/>
      <c r="CF502" s="229"/>
      <c r="CG502" s="229"/>
      <c r="CH502" s="229"/>
      <c r="CI502" s="229"/>
      <c r="CJ502" s="229"/>
      <c r="CK502" s="229"/>
      <c r="CL502" s="229"/>
      <c r="CM502" s="229"/>
      <c r="CN502" s="229"/>
      <c r="CO502" s="229"/>
      <c r="CP502" s="229"/>
      <c r="CQ502" s="229"/>
      <c r="CR502" s="229"/>
      <c r="CS502" s="229"/>
      <c r="CT502" s="229"/>
      <c r="CU502" s="229"/>
      <c r="CV502" s="229"/>
      <c r="CW502" s="229"/>
      <c r="CX502" s="229"/>
      <c r="CY502" s="229"/>
      <c r="CZ502" s="229"/>
      <c r="DA502" s="229"/>
      <c r="DB502" s="229"/>
      <c r="DC502" s="229"/>
      <c r="DD502" s="229"/>
      <c r="DE502" s="229"/>
      <c r="DF502" s="229"/>
      <c r="DG502" s="229"/>
      <c r="DH502" s="229"/>
      <c r="DI502" s="229"/>
      <c r="DJ502" s="229"/>
      <c r="DK502" s="229"/>
      <c r="DL502" s="229"/>
      <c r="DM502" s="229"/>
      <c r="DN502" s="229"/>
      <c r="DO502" s="229"/>
      <c r="DP502" s="229"/>
      <c r="DQ502" s="229"/>
      <c r="DR502" s="229"/>
      <c r="DS502" s="229"/>
      <c r="DT502" s="229"/>
      <c r="DU502" s="229"/>
      <c r="DV502" s="229"/>
      <c r="DW502" s="229"/>
      <c r="DX502" s="229"/>
      <c r="DY502" s="229"/>
      <c r="DZ502" s="229"/>
      <c r="EA502" s="229"/>
      <c r="EB502" s="229"/>
      <c r="EC502" s="229"/>
      <c r="ED502" s="229"/>
      <c r="EE502" s="229"/>
      <c r="EF502" s="229"/>
      <c r="EG502" s="229"/>
      <c r="EH502" s="229"/>
      <c r="EI502" s="229"/>
      <c r="EJ502" s="229"/>
      <c r="EK502" s="229"/>
      <c r="EL502" s="305"/>
      <c r="EM502" s="309"/>
      <c r="EN502" s="234"/>
      <c r="EO502" s="234"/>
      <c r="EP502" s="234"/>
      <c r="EQ502" s="233"/>
    </row>
    <row r="503" spans="2:147" ht="11.45" hidden="1" customHeight="1">
      <c r="B503" s="228"/>
      <c r="C503" s="229"/>
      <c r="D503" s="229"/>
      <c r="E503" s="229"/>
      <c r="F503" s="229"/>
      <c r="G503" s="229" t="s">
        <v>684</v>
      </c>
      <c r="H503" s="229"/>
      <c r="I503" s="229"/>
      <c r="J503" s="229"/>
      <c r="K503" s="229"/>
      <c r="L503" s="229" t="s">
        <v>132</v>
      </c>
      <c r="M503" s="229"/>
      <c r="N503" s="296" t="str">
        <f>TEXT(TRUNC(BG501+BG502,1),"#,##0.#######")</f>
        <v>2,190.6</v>
      </c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  <c r="AH503" s="229"/>
      <c r="AI503" s="229"/>
      <c r="AJ503" s="229"/>
      <c r="AK503" s="229"/>
      <c r="AL503" s="229"/>
      <c r="AM503" s="229"/>
      <c r="AN503" s="229"/>
      <c r="AO503" s="229"/>
      <c r="AP503" s="229"/>
      <c r="AQ503" s="229"/>
      <c r="AR503" s="229"/>
      <c r="AS503" s="229"/>
      <c r="AT503" s="229"/>
      <c r="AU503" s="229"/>
      <c r="AV503" s="229"/>
      <c r="AW503" s="229"/>
      <c r="AX503" s="229"/>
      <c r="AY503" s="229"/>
      <c r="AZ503" s="229"/>
      <c r="BA503" s="229"/>
      <c r="BB503" s="229"/>
      <c r="BC503" s="229"/>
      <c r="BD503" s="229"/>
      <c r="BE503" s="229"/>
      <c r="BF503" s="229"/>
      <c r="BG503" s="229"/>
      <c r="BH503" s="229"/>
      <c r="BI503" s="229"/>
      <c r="BJ503" s="229"/>
      <c r="BK503" s="229"/>
      <c r="BL503" s="229"/>
      <c r="BM503" s="229"/>
      <c r="BN503" s="229"/>
      <c r="BO503" s="229"/>
      <c r="BP503" s="229"/>
      <c r="BQ503" s="229"/>
      <c r="BR503" s="229"/>
      <c r="BS503" s="296"/>
      <c r="BT503" s="229"/>
      <c r="BU503" s="229"/>
      <c r="BV503" s="229"/>
      <c r="BW503" s="229"/>
      <c r="BX503" s="229"/>
      <c r="BY503" s="229"/>
      <c r="BZ503" s="229"/>
      <c r="CA503" s="229"/>
      <c r="CB503" s="229"/>
      <c r="CC503" s="229"/>
      <c r="CD503" s="229"/>
      <c r="CE503" s="229"/>
      <c r="CF503" s="229"/>
      <c r="CG503" s="229"/>
      <c r="CH503" s="229"/>
      <c r="CI503" s="229"/>
      <c r="CJ503" s="229"/>
      <c r="CK503" s="229"/>
      <c r="CL503" s="229"/>
      <c r="CM503" s="229"/>
      <c r="CN503" s="229"/>
      <c r="CO503" s="229"/>
      <c r="CP503" s="229"/>
      <c r="CQ503" s="229"/>
      <c r="CR503" s="229"/>
      <c r="CS503" s="229"/>
      <c r="CT503" s="229"/>
      <c r="CU503" s="229"/>
      <c r="CV503" s="229"/>
      <c r="CW503" s="229"/>
      <c r="CX503" s="229"/>
      <c r="CY503" s="229"/>
      <c r="CZ503" s="229"/>
      <c r="DA503" s="229"/>
      <c r="DB503" s="229"/>
      <c r="DC503" s="229"/>
      <c r="DD503" s="229"/>
      <c r="DE503" s="229"/>
      <c r="DF503" s="229"/>
      <c r="DG503" s="229"/>
      <c r="DH503" s="229"/>
      <c r="DI503" s="229"/>
      <c r="DJ503" s="229"/>
      <c r="DK503" s="229"/>
      <c r="DL503" s="229"/>
      <c r="DM503" s="229"/>
      <c r="DN503" s="229"/>
      <c r="DO503" s="229"/>
      <c r="DP503" s="229"/>
      <c r="DQ503" s="229"/>
      <c r="DR503" s="229"/>
      <c r="DS503" s="229"/>
      <c r="DT503" s="229"/>
      <c r="DU503" s="229"/>
      <c r="DV503" s="229"/>
      <c r="DW503" s="229"/>
      <c r="DX503" s="229"/>
      <c r="DY503" s="229"/>
      <c r="DZ503" s="229"/>
      <c r="EA503" s="229"/>
      <c r="EB503" s="229"/>
      <c r="EC503" s="229"/>
      <c r="ED503" s="229"/>
      <c r="EE503" s="229"/>
      <c r="EF503" s="229"/>
      <c r="EG503" s="229"/>
      <c r="EH503" s="229"/>
      <c r="EI503" s="229"/>
      <c r="EJ503" s="229"/>
      <c r="EK503" s="229"/>
      <c r="EL503" s="305"/>
      <c r="EM503" s="234" t="str">
        <f>EN503</f>
        <v>2,190.6</v>
      </c>
      <c r="EN503" s="234" t="str">
        <f>N503</f>
        <v>2,190.6</v>
      </c>
      <c r="EO503" s="234"/>
      <c r="EP503" s="234"/>
      <c r="EQ503" s="233"/>
    </row>
    <row r="504" spans="2:147" ht="11.45" hidden="1" customHeight="1">
      <c r="B504" s="228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96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29"/>
      <c r="AN504" s="229"/>
      <c r="AO504" s="229"/>
      <c r="AP504" s="229"/>
      <c r="AQ504" s="229"/>
      <c r="AR504" s="229"/>
      <c r="AS504" s="229"/>
      <c r="AT504" s="229"/>
      <c r="AU504" s="229"/>
      <c r="AV504" s="229"/>
      <c r="AW504" s="229"/>
      <c r="AX504" s="229"/>
      <c r="AY504" s="229"/>
      <c r="AZ504" s="229"/>
      <c r="BA504" s="229"/>
      <c r="BB504" s="229"/>
      <c r="BC504" s="229"/>
      <c r="BD504" s="229"/>
      <c r="BE504" s="229"/>
      <c r="BF504" s="229"/>
      <c r="BG504" s="229"/>
      <c r="BH504" s="229"/>
      <c r="BI504" s="229"/>
      <c r="BJ504" s="229"/>
      <c r="BK504" s="229"/>
      <c r="BL504" s="229"/>
      <c r="BM504" s="229"/>
      <c r="BN504" s="229"/>
      <c r="BO504" s="229"/>
      <c r="BP504" s="229"/>
      <c r="BQ504" s="229"/>
      <c r="BR504" s="229"/>
      <c r="BS504" s="296"/>
      <c r="BT504" s="229"/>
      <c r="BU504" s="229"/>
      <c r="BV504" s="229"/>
      <c r="BW504" s="229"/>
      <c r="BX504" s="229"/>
      <c r="BY504" s="229"/>
      <c r="BZ504" s="229"/>
      <c r="CA504" s="229"/>
      <c r="CB504" s="229"/>
      <c r="CC504" s="229"/>
      <c r="CD504" s="229"/>
      <c r="CE504" s="229"/>
      <c r="CF504" s="229"/>
      <c r="CG504" s="229"/>
      <c r="CH504" s="229"/>
      <c r="CI504" s="229"/>
      <c r="CJ504" s="229"/>
      <c r="CK504" s="229"/>
      <c r="CL504" s="229"/>
      <c r="CM504" s="229"/>
      <c r="CN504" s="229"/>
      <c r="CO504" s="229"/>
      <c r="CP504" s="229"/>
      <c r="CQ504" s="229"/>
      <c r="CR504" s="229"/>
      <c r="CS504" s="229"/>
      <c r="CT504" s="229"/>
      <c r="CU504" s="229"/>
      <c r="CV504" s="229"/>
      <c r="CW504" s="229"/>
      <c r="CX504" s="229"/>
      <c r="CY504" s="229"/>
      <c r="CZ504" s="229"/>
      <c r="DA504" s="229"/>
      <c r="DB504" s="229"/>
      <c r="DC504" s="229"/>
      <c r="DD504" s="229"/>
      <c r="DE504" s="229"/>
      <c r="DF504" s="229"/>
      <c r="DG504" s="229"/>
      <c r="DH504" s="229"/>
      <c r="DI504" s="229"/>
      <c r="DJ504" s="229"/>
      <c r="DK504" s="229"/>
      <c r="DL504" s="229"/>
      <c r="DM504" s="229"/>
      <c r="DN504" s="229"/>
      <c r="DO504" s="229"/>
      <c r="DP504" s="229"/>
      <c r="DQ504" s="229"/>
      <c r="DR504" s="229"/>
      <c r="DS504" s="229"/>
      <c r="DT504" s="229"/>
      <c r="DU504" s="229"/>
      <c r="DV504" s="229"/>
      <c r="DW504" s="229"/>
      <c r="DX504" s="229"/>
      <c r="DY504" s="229"/>
      <c r="DZ504" s="229"/>
      <c r="EA504" s="229"/>
      <c r="EB504" s="229"/>
      <c r="EC504" s="229"/>
      <c r="ED504" s="229"/>
      <c r="EE504" s="229"/>
      <c r="EF504" s="229"/>
      <c r="EG504" s="229"/>
      <c r="EH504" s="229"/>
      <c r="EI504" s="229"/>
      <c r="EJ504" s="229"/>
      <c r="EK504" s="229"/>
      <c r="EL504" s="305"/>
      <c r="EM504" s="309"/>
      <c r="EN504" s="234"/>
      <c r="EO504" s="234"/>
      <c r="EP504" s="234"/>
      <c r="EQ504" s="233"/>
    </row>
    <row r="505" spans="2:147" ht="11.45" hidden="1" customHeight="1">
      <c r="B505" s="228"/>
      <c r="C505" s="229"/>
      <c r="D505" s="229" t="s">
        <v>675</v>
      </c>
      <c r="E505" s="229"/>
      <c r="F505" s="229"/>
      <c r="G505" s="229" t="s">
        <v>1625</v>
      </c>
      <c r="H505" s="229"/>
      <c r="I505" s="229"/>
      <c r="J505" s="229"/>
      <c r="K505" s="229"/>
      <c r="L505" s="229"/>
      <c r="M505" s="229"/>
      <c r="N505" s="296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  <c r="AH505" s="229"/>
      <c r="AI505" s="229"/>
      <c r="AJ505" s="229"/>
      <c r="AK505" s="229"/>
      <c r="AL505" s="229"/>
      <c r="AM505" s="229"/>
      <c r="AN505" s="229"/>
      <c r="AO505" s="229"/>
      <c r="AP505" s="229"/>
      <c r="AQ505" s="229"/>
      <c r="AR505" s="229"/>
      <c r="AS505" s="229"/>
      <c r="AT505" s="229"/>
      <c r="AU505" s="229"/>
      <c r="AV505" s="229"/>
      <c r="AW505" s="229"/>
      <c r="AX505" s="229"/>
      <c r="AY505" s="229"/>
      <c r="AZ505" s="229"/>
      <c r="BA505" s="229"/>
      <c r="BB505" s="229"/>
      <c r="BC505" s="229"/>
      <c r="BD505" s="229"/>
      <c r="BE505" s="229"/>
      <c r="BF505" s="229"/>
      <c r="BG505" s="229"/>
      <c r="BH505" s="229"/>
      <c r="BI505" s="229"/>
      <c r="BJ505" s="229"/>
      <c r="BK505" s="229"/>
      <c r="BL505" s="229"/>
      <c r="BM505" s="229"/>
      <c r="BN505" s="229"/>
      <c r="BO505" s="229"/>
      <c r="BP505" s="229"/>
      <c r="BQ505" s="229"/>
      <c r="BR505" s="229"/>
      <c r="BS505" s="296"/>
      <c r="BT505" s="229"/>
      <c r="BU505" s="229"/>
      <c r="BV505" s="229"/>
      <c r="BW505" s="229"/>
      <c r="BX505" s="229"/>
      <c r="BY505" s="229"/>
      <c r="BZ505" s="229"/>
      <c r="CA505" s="229"/>
      <c r="CB505" s="229"/>
      <c r="CC505" s="229"/>
      <c r="CD505" s="229"/>
      <c r="CE505" s="229"/>
      <c r="CF505" s="229"/>
      <c r="CG505" s="229"/>
      <c r="CH505" s="229"/>
      <c r="CI505" s="229"/>
      <c r="CJ505" s="229"/>
      <c r="CK505" s="229"/>
      <c r="CL505" s="229"/>
      <c r="CM505" s="229"/>
      <c r="CN505" s="229"/>
      <c r="CO505" s="229"/>
      <c r="CP505" s="229"/>
      <c r="CQ505" s="229"/>
      <c r="CR505" s="229"/>
      <c r="CS505" s="229"/>
      <c r="CT505" s="229"/>
      <c r="CU505" s="229"/>
      <c r="CV505" s="229"/>
      <c r="CW505" s="229"/>
      <c r="CX505" s="229"/>
      <c r="CY505" s="229"/>
      <c r="CZ505" s="229"/>
      <c r="DA505" s="229"/>
      <c r="DB505" s="229"/>
      <c r="DC505" s="229"/>
      <c r="DD505" s="229"/>
      <c r="DE505" s="229"/>
      <c r="DF505" s="229"/>
      <c r="DG505" s="229"/>
      <c r="DH505" s="229"/>
      <c r="DI505" s="229"/>
      <c r="DJ505" s="229"/>
      <c r="DK505" s="229"/>
      <c r="DL505" s="229"/>
      <c r="DM505" s="229"/>
      <c r="DN505" s="229"/>
      <c r="DO505" s="229"/>
      <c r="DP505" s="229"/>
      <c r="DQ505" s="229"/>
      <c r="DR505" s="229"/>
      <c r="DS505" s="229"/>
      <c r="DT505" s="229"/>
      <c r="DU505" s="229"/>
      <c r="DV505" s="229"/>
      <c r="DW505" s="229"/>
      <c r="DX505" s="229"/>
      <c r="DY505" s="229"/>
      <c r="DZ505" s="229"/>
      <c r="EA505" s="229"/>
      <c r="EB505" s="229"/>
      <c r="EC505" s="229"/>
      <c r="ED505" s="229"/>
      <c r="EE505" s="229"/>
      <c r="EF505" s="229"/>
      <c r="EG505" s="229"/>
      <c r="EH505" s="229"/>
      <c r="EI505" s="229"/>
      <c r="EJ505" s="229"/>
      <c r="EK505" s="229"/>
      <c r="EL505" s="305"/>
      <c r="EM505" s="309"/>
      <c r="EN505" s="234"/>
      <c r="EO505" s="234"/>
      <c r="EP505" s="234"/>
      <c r="EQ505" s="233"/>
    </row>
    <row r="506" spans="2:147" ht="11.45" hidden="1" customHeight="1">
      <c r="B506" s="228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96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  <c r="AH506" s="229"/>
      <c r="AI506" s="229"/>
      <c r="AJ506" s="229"/>
      <c r="AK506" s="229"/>
      <c r="AL506" s="229"/>
      <c r="AM506" s="229"/>
      <c r="AN506" s="229"/>
      <c r="AO506" s="229"/>
      <c r="AP506" s="229"/>
      <c r="AQ506" s="229"/>
      <c r="AR506" s="229"/>
      <c r="AS506" s="229"/>
      <c r="AT506" s="229"/>
      <c r="AU506" s="229"/>
      <c r="AV506" s="229"/>
      <c r="AW506" s="229"/>
      <c r="AX506" s="229"/>
      <c r="AY506" s="229"/>
      <c r="AZ506" s="229"/>
      <c r="BA506" s="229"/>
      <c r="BB506" s="229"/>
      <c r="BC506" s="229"/>
      <c r="BD506" s="229"/>
      <c r="BE506" s="229"/>
      <c r="BF506" s="229"/>
      <c r="BG506" s="229"/>
      <c r="BH506" s="229"/>
      <c r="BI506" s="229"/>
      <c r="BJ506" s="229"/>
      <c r="BK506" s="229"/>
      <c r="BL506" s="229"/>
      <c r="BM506" s="229"/>
      <c r="BN506" s="229"/>
      <c r="BO506" s="229"/>
      <c r="BP506" s="229"/>
      <c r="BQ506" s="229"/>
      <c r="BR506" s="229"/>
      <c r="BS506" s="296"/>
      <c r="BT506" s="229"/>
      <c r="BU506" s="229"/>
      <c r="BV506" s="229"/>
      <c r="BW506" s="229"/>
      <c r="BX506" s="229"/>
      <c r="BY506" s="229"/>
      <c r="BZ506" s="229"/>
      <c r="CA506" s="229"/>
      <c r="CB506" s="229"/>
      <c r="CC506" s="229"/>
      <c r="CD506" s="229"/>
      <c r="CE506" s="229"/>
      <c r="CF506" s="229"/>
      <c r="CG506" s="229"/>
      <c r="CH506" s="229"/>
      <c r="CI506" s="229"/>
      <c r="CJ506" s="229"/>
      <c r="CK506" s="229"/>
      <c r="CL506" s="229"/>
      <c r="CM506" s="229"/>
      <c r="CN506" s="229"/>
      <c r="CO506" s="229"/>
      <c r="CP506" s="229"/>
      <c r="CQ506" s="229"/>
      <c r="CR506" s="229"/>
      <c r="CS506" s="229"/>
      <c r="CT506" s="229"/>
      <c r="CU506" s="229"/>
      <c r="CV506" s="229"/>
      <c r="CW506" s="229"/>
      <c r="CX506" s="229"/>
      <c r="CY506" s="229"/>
      <c r="CZ506" s="229"/>
      <c r="DA506" s="229"/>
      <c r="DB506" s="229"/>
      <c r="DC506" s="229"/>
      <c r="DD506" s="229"/>
      <c r="DE506" s="229"/>
      <c r="DF506" s="229"/>
      <c r="DG506" s="229"/>
      <c r="DH506" s="229"/>
      <c r="DI506" s="229"/>
      <c r="DJ506" s="229"/>
      <c r="DK506" s="229"/>
      <c r="DL506" s="229"/>
      <c r="DM506" s="229"/>
      <c r="DN506" s="229"/>
      <c r="DO506" s="229"/>
      <c r="DP506" s="229"/>
      <c r="DQ506" s="229"/>
      <c r="DR506" s="229"/>
      <c r="DS506" s="229"/>
      <c r="DT506" s="229"/>
      <c r="DU506" s="229"/>
      <c r="DV506" s="229"/>
      <c r="DW506" s="229"/>
      <c r="DX506" s="229"/>
      <c r="DY506" s="229"/>
      <c r="DZ506" s="229"/>
      <c r="EA506" s="229"/>
      <c r="EB506" s="229"/>
      <c r="EC506" s="229"/>
      <c r="ED506" s="229"/>
      <c r="EE506" s="229"/>
      <c r="EF506" s="229"/>
      <c r="EG506" s="229"/>
      <c r="EH506" s="229"/>
      <c r="EI506" s="229"/>
      <c r="EJ506" s="229"/>
      <c r="EK506" s="229"/>
      <c r="EL506" s="305"/>
      <c r="EM506" s="309"/>
      <c r="EN506" s="234"/>
      <c r="EO506" s="234"/>
      <c r="EP506" s="234"/>
      <c r="EQ506" s="233"/>
    </row>
    <row r="507" spans="2:147" ht="11.45" hidden="1" customHeight="1">
      <c r="B507" s="228"/>
      <c r="C507" s="229"/>
      <c r="D507" s="229"/>
      <c r="E507" s="229"/>
      <c r="F507" s="229"/>
      <c r="G507" s="229"/>
      <c r="H507" s="229"/>
      <c r="I507" s="229" t="s">
        <v>1626</v>
      </c>
      <c r="J507" s="229"/>
      <c r="K507" s="229"/>
      <c r="L507" s="296"/>
      <c r="M507" s="296"/>
      <c r="N507" s="296"/>
      <c r="O507" s="229"/>
      <c r="P507" s="229"/>
      <c r="Q507" s="229"/>
      <c r="R507" s="229" t="s">
        <v>1627</v>
      </c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  <c r="AH507" s="229"/>
      <c r="AI507" s="229"/>
      <c r="AJ507" s="229"/>
      <c r="AK507" s="229"/>
      <c r="AL507" s="229"/>
      <c r="AM507" s="229"/>
      <c r="AN507" s="229"/>
      <c r="AO507" s="229"/>
      <c r="AP507" s="229"/>
      <c r="AQ507" s="229"/>
      <c r="AR507" s="229"/>
      <c r="AS507" s="229"/>
      <c r="AT507" s="229"/>
      <c r="AU507" s="229"/>
      <c r="AV507" s="229"/>
      <c r="AW507" s="229"/>
      <c r="AX507" s="229"/>
      <c r="AY507" s="229"/>
      <c r="AZ507" s="229"/>
      <c r="BA507" s="229"/>
      <c r="BB507" s="229"/>
      <c r="BC507" s="229"/>
      <c r="BD507" s="229"/>
      <c r="BE507" s="229"/>
      <c r="BF507" s="229"/>
      <c r="BG507" s="229"/>
      <c r="BH507" s="229"/>
      <c r="BI507" s="229"/>
      <c r="BJ507" s="229"/>
      <c r="BK507" s="229"/>
      <c r="BL507" s="229"/>
      <c r="BM507" s="229"/>
      <c r="BN507" s="229"/>
      <c r="BO507" s="229"/>
      <c r="BP507" s="229"/>
      <c r="BQ507" s="229"/>
      <c r="BR507" s="229"/>
      <c r="BS507" s="296"/>
      <c r="BT507" s="229"/>
      <c r="BU507" s="229"/>
      <c r="BV507" s="229"/>
      <c r="BW507" s="229"/>
      <c r="BX507" s="229"/>
      <c r="BY507" s="229"/>
      <c r="BZ507" s="229"/>
      <c r="CA507" s="229"/>
      <c r="CB507" s="229"/>
      <c r="CC507" s="229"/>
      <c r="CD507" s="229"/>
      <c r="CE507" s="229"/>
      <c r="CF507" s="229"/>
      <c r="CG507" s="229"/>
      <c r="CH507" s="229"/>
      <c r="CI507" s="229"/>
      <c r="CJ507" s="229"/>
      <c r="CK507" s="229"/>
      <c r="CL507" s="229"/>
      <c r="CM507" s="229"/>
      <c r="CN507" s="229"/>
      <c r="CO507" s="229"/>
      <c r="CP507" s="229"/>
      <c r="CQ507" s="229"/>
      <c r="CR507" s="229"/>
      <c r="CS507" s="229"/>
      <c r="CT507" s="229"/>
      <c r="CU507" s="229"/>
      <c r="CV507" s="229"/>
      <c r="CW507" s="229"/>
      <c r="CX507" s="229"/>
      <c r="CY507" s="229"/>
      <c r="CZ507" s="229"/>
      <c r="DA507" s="229"/>
      <c r="DB507" s="229"/>
      <c r="DC507" s="229"/>
      <c r="DD507" s="229"/>
      <c r="DE507" s="229"/>
      <c r="DF507" s="229"/>
      <c r="DG507" s="229"/>
      <c r="DH507" s="229"/>
      <c r="DI507" s="229"/>
      <c r="DJ507" s="229"/>
      <c r="DK507" s="229"/>
      <c r="DL507" s="229"/>
      <c r="DM507" s="229"/>
      <c r="DN507" s="229"/>
      <c r="DO507" s="229"/>
      <c r="DP507" s="229"/>
      <c r="DQ507" s="229"/>
      <c r="DR507" s="229"/>
      <c r="DS507" s="229"/>
      <c r="DT507" s="229"/>
      <c r="DU507" s="229"/>
      <c r="DV507" s="229"/>
      <c r="DW507" s="229"/>
      <c r="DX507" s="229"/>
      <c r="DY507" s="229"/>
      <c r="DZ507" s="229"/>
      <c r="EA507" s="229"/>
      <c r="EB507" s="229"/>
      <c r="EC507" s="229"/>
      <c r="ED507" s="229"/>
      <c r="EE507" s="229"/>
      <c r="EF507" s="229"/>
      <c r="EG507" s="229"/>
      <c r="EH507" s="229"/>
      <c r="EI507" s="229"/>
      <c r="EJ507" s="229"/>
      <c r="EK507" s="229"/>
      <c r="EL507" s="305"/>
      <c r="EM507" s="309"/>
      <c r="EN507" s="234"/>
      <c r="EO507" s="234"/>
      <c r="EP507" s="234"/>
      <c r="EQ507" s="233"/>
    </row>
    <row r="508" spans="2:147" ht="11.45" hidden="1" customHeight="1">
      <c r="B508" s="228"/>
      <c r="C508" s="229"/>
      <c r="D508" s="229"/>
      <c r="E508" s="229"/>
      <c r="F508" s="229"/>
      <c r="G508" s="229" t="s">
        <v>616</v>
      </c>
      <c r="H508" s="229"/>
      <c r="I508" s="229"/>
      <c r="J508" s="229"/>
      <c r="K508" s="229"/>
      <c r="L508" s="296"/>
      <c r="M508" s="296"/>
      <c r="N508" s="296" t="s">
        <v>132</v>
      </c>
      <c r="O508" s="229"/>
      <c r="P508" s="1775" t="e">
        <f>#REF!</f>
        <v>#REF!</v>
      </c>
      <c r="Q508" s="1775"/>
      <c r="R508" s="1775"/>
      <c r="S508" s="1775"/>
      <c r="T508" s="1775"/>
      <c r="V508" s="229" t="s">
        <v>683</v>
      </c>
      <c r="W508" s="229"/>
      <c r="X508" s="229"/>
      <c r="Y508" s="229" t="str">
        <f>TEXT(AS498,"#,##0.#######")</f>
        <v>45.</v>
      </c>
      <c r="Z508" s="229"/>
      <c r="AA508" s="229"/>
      <c r="AB508" s="229"/>
      <c r="AC508" s="229" t="s">
        <v>134</v>
      </c>
      <c r="AD508" s="229"/>
      <c r="AE508" s="229" t="e">
        <f>TEXT(TRUNC(P508/Y508,1),"#,##0.#")</f>
        <v>#REF!</v>
      </c>
      <c r="AF508" s="229"/>
      <c r="AG508" s="229"/>
      <c r="AH508" s="229"/>
      <c r="AI508" s="229"/>
      <c r="AJ508" s="229"/>
      <c r="AK508" s="229"/>
      <c r="AL508" s="229"/>
      <c r="AM508" s="229"/>
      <c r="AN508" s="229"/>
      <c r="AO508" s="229"/>
      <c r="AP508" s="229"/>
      <c r="AQ508" s="229"/>
      <c r="AR508" s="229"/>
      <c r="AS508" s="229"/>
      <c r="AT508" s="229"/>
      <c r="AU508" s="229"/>
      <c r="AV508" s="229"/>
      <c r="AW508" s="229"/>
      <c r="AX508" s="229"/>
      <c r="AY508" s="229"/>
      <c r="AZ508" s="229"/>
      <c r="BA508" s="229"/>
      <c r="BB508" s="229"/>
      <c r="BC508" s="229"/>
      <c r="BD508" s="229"/>
      <c r="BE508" s="229"/>
      <c r="BF508" s="229"/>
      <c r="BG508" s="229"/>
      <c r="BH508" s="229"/>
      <c r="BI508" s="229"/>
      <c r="BJ508" s="229"/>
      <c r="BK508" s="229"/>
      <c r="BL508" s="229"/>
      <c r="BM508" s="229"/>
      <c r="BN508" s="229"/>
      <c r="BO508" s="229"/>
      <c r="BP508" s="229"/>
      <c r="BQ508" s="229"/>
      <c r="BR508" s="229"/>
      <c r="BS508" s="296"/>
      <c r="BT508" s="229"/>
      <c r="BU508" s="229"/>
      <c r="BV508" s="229"/>
      <c r="BW508" s="229"/>
      <c r="BX508" s="229"/>
      <c r="BY508" s="229"/>
      <c r="BZ508" s="229"/>
      <c r="CA508" s="229"/>
      <c r="CB508" s="229"/>
      <c r="CC508" s="229"/>
      <c r="CD508" s="229"/>
      <c r="CE508" s="229"/>
      <c r="CF508" s="229"/>
      <c r="CG508" s="229"/>
      <c r="CH508" s="229"/>
      <c r="CI508" s="229"/>
      <c r="CJ508" s="229"/>
      <c r="CK508" s="229"/>
      <c r="CL508" s="229"/>
      <c r="CM508" s="229"/>
      <c r="CN508" s="229"/>
      <c r="CO508" s="229"/>
      <c r="CP508" s="229"/>
      <c r="CQ508" s="229"/>
      <c r="CR508" s="229"/>
      <c r="CS508" s="229"/>
      <c r="CT508" s="229"/>
      <c r="CU508" s="229"/>
      <c r="CV508" s="229"/>
      <c r="CW508" s="229"/>
      <c r="CX508" s="229"/>
      <c r="CY508" s="229"/>
      <c r="CZ508" s="229"/>
      <c r="DA508" s="229"/>
      <c r="DB508" s="229"/>
      <c r="DC508" s="229"/>
      <c r="DD508" s="229"/>
      <c r="DE508" s="229"/>
      <c r="DF508" s="229"/>
      <c r="DG508" s="229"/>
      <c r="DH508" s="229"/>
      <c r="DI508" s="229"/>
      <c r="DJ508" s="229"/>
      <c r="DK508" s="229"/>
      <c r="DL508" s="229"/>
      <c r="DM508" s="229"/>
      <c r="DN508" s="229"/>
      <c r="DO508" s="229"/>
      <c r="DP508" s="229"/>
      <c r="DQ508" s="229"/>
      <c r="DR508" s="229"/>
      <c r="DS508" s="229"/>
      <c r="DT508" s="229"/>
      <c r="DU508" s="229"/>
      <c r="DV508" s="229"/>
      <c r="DW508" s="229"/>
      <c r="DX508" s="229"/>
      <c r="DY508" s="229"/>
      <c r="DZ508" s="229"/>
      <c r="EA508" s="229"/>
      <c r="EB508" s="229"/>
      <c r="EC508" s="229"/>
      <c r="ED508" s="229"/>
      <c r="EE508" s="229"/>
      <c r="EF508" s="229"/>
      <c r="EG508" s="229"/>
      <c r="EH508" s="229"/>
      <c r="EI508" s="229"/>
      <c r="EJ508" s="229"/>
      <c r="EK508" s="229"/>
      <c r="EL508" s="305"/>
      <c r="EM508" s="309"/>
      <c r="EN508" s="234"/>
      <c r="EO508" s="234"/>
      <c r="EP508" s="234"/>
      <c r="EQ508" s="233"/>
    </row>
    <row r="509" spans="2:147" ht="11.45" hidden="1" customHeight="1">
      <c r="B509" s="228"/>
      <c r="C509" s="229"/>
      <c r="D509" s="229"/>
      <c r="E509" s="229"/>
      <c r="F509" s="229"/>
      <c r="G509" s="229" t="s">
        <v>617</v>
      </c>
      <c r="H509" s="229"/>
      <c r="I509" s="229"/>
      <c r="J509" s="229"/>
      <c r="K509" s="229"/>
      <c r="L509" s="296"/>
      <c r="M509" s="296"/>
      <c r="N509" s="296" t="s">
        <v>132</v>
      </c>
      <c r="O509" s="229"/>
      <c r="P509" s="1775" t="e">
        <f>#REF!</f>
        <v>#REF!</v>
      </c>
      <c r="Q509" s="1775"/>
      <c r="R509" s="1775"/>
      <c r="S509" s="1775"/>
      <c r="T509" s="1775"/>
      <c r="V509" s="229" t="s">
        <v>683</v>
      </c>
      <c r="W509" s="229"/>
      <c r="X509" s="229"/>
      <c r="Y509" s="229" t="str">
        <f>TEXT(AS498,"#,##0.#######")</f>
        <v>45.</v>
      </c>
      <c r="Z509" s="229"/>
      <c r="AA509" s="229"/>
      <c r="AB509" s="229"/>
      <c r="AC509" s="229" t="s">
        <v>134</v>
      </c>
      <c r="AD509" s="229"/>
      <c r="AE509" s="229" t="e">
        <f>TEXT(TRUNC(P509/Y509,1),"#,##0.#")</f>
        <v>#REF!</v>
      </c>
      <c r="AF509" s="229"/>
      <c r="AG509" s="229"/>
      <c r="AH509" s="229"/>
      <c r="AI509" s="229"/>
      <c r="AJ509" s="229"/>
      <c r="AK509" s="229"/>
      <c r="AL509" s="229"/>
      <c r="AM509" s="229"/>
      <c r="AN509" s="229"/>
      <c r="AO509" s="229"/>
      <c r="AP509" s="229"/>
      <c r="AQ509" s="229"/>
      <c r="AR509" s="229"/>
      <c r="AS509" s="229"/>
      <c r="AT509" s="229"/>
      <c r="AU509" s="229"/>
      <c r="AV509" s="229"/>
      <c r="AW509" s="229"/>
      <c r="AX509" s="229"/>
      <c r="AY509" s="229"/>
      <c r="AZ509" s="229"/>
      <c r="BA509" s="229"/>
      <c r="BB509" s="229"/>
      <c r="BC509" s="229"/>
      <c r="BD509" s="229"/>
      <c r="BE509" s="229"/>
      <c r="BF509" s="229"/>
      <c r="BG509" s="229"/>
      <c r="BH509" s="229"/>
      <c r="BI509" s="229"/>
      <c r="BJ509" s="229"/>
      <c r="BK509" s="229"/>
      <c r="BL509" s="229"/>
      <c r="BM509" s="229"/>
      <c r="BN509" s="229"/>
      <c r="BO509" s="229"/>
      <c r="BP509" s="229"/>
      <c r="BQ509" s="229"/>
      <c r="BR509" s="229"/>
      <c r="BS509" s="296"/>
      <c r="BT509" s="229"/>
      <c r="BU509" s="229"/>
      <c r="BV509" s="229"/>
      <c r="BW509" s="229"/>
      <c r="BX509" s="229"/>
      <c r="BY509" s="229"/>
      <c r="BZ509" s="229"/>
      <c r="CA509" s="229"/>
      <c r="CB509" s="229"/>
      <c r="CC509" s="229"/>
      <c r="CD509" s="229"/>
      <c r="CE509" s="229"/>
      <c r="CF509" s="229"/>
      <c r="CG509" s="229"/>
      <c r="CH509" s="229"/>
      <c r="CI509" s="229"/>
      <c r="CJ509" s="229"/>
      <c r="CK509" s="229"/>
      <c r="CL509" s="229"/>
      <c r="CM509" s="229"/>
      <c r="CN509" s="229"/>
      <c r="CO509" s="229"/>
      <c r="CP509" s="229"/>
      <c r="CQ509" s="229"/>
      <c r="CR509" s="229"/>
      <c r="CS509" s="229"/>
      <c r="CT509" s="229"/>
      <c r="CU509" s="229"/>
      <c r="CV509" s="229"/>
      <c r="CW509" s="229"/>
      <c r="CX509" s="229"/>
      <c r="CY509" s="229"/>
      <c r="CZ509" s="229"/>
      <c r="DA509" s="229"/>
      <c r="DB509" s="229"/>
      <c r="DC509" s="229"/>
      <c r="DD509" s="229"/>
      <c r="DE509" s="229"/>
      <c r="DF509" s="229"/>
      <c r="DG509" s="229"/>
      <c r="DH509" s="229"/>
      <c r="DI509" s="229"/>
      <c r="DJ509" s="229"/>
      <c r="DK509" s="229"/>
      <c r="DL509" s="229"/>
      <c r="DM509" s="229"/>
      <c r="DN509" s="229"/>
      <c r="DO509" s="229"/>
      <c r="DP509" s="229"/>
      <c r="DQ509" s="229"/>
      <c r="DR509" s="229"/>
      <c r="DS509" s="229"/>
      <c r="DT509" s="229"/>
      <c r="DU509" s="229"/>
      <c r="DV509" s="229"/>
      <c r="DW509" s="229"/>
      <c r="DX509" s="229"/>
      <c r="DY509" s="229"/>
      <c r="DZ509" s="229"/>
      <c r="EA509" s="229"/>
      <c r="EB509" s="229"/>
      <c r="EC509" s="229"/>
      <c r="ED509" s="229"/>
      <c r="EE509" s="229"/>
      <c r="EF509" s="229"/>
      <c r="EG509" s="229"/>
      <c r="EH509" s="229"/>
      <c r="EI509" s="229"/>
      <c r="EJ509" s="229"/>
      <c r="EK509" s="229"/>
      <c r="EL509" s="305"/>
      <c r="EM509" s="309"/>
      <c r="EN509" s="234"/>
      <c r="EO509" s="234"/>
      <c r="EP509" s="234"/>
      <c r="EQ509" s="233"/>
    </row>
    <row r="510" spans="2:147" ht="11.45" hidden="1" customHeight="1">
      <c r="B510" s="228"/>
      <c r="C510" s="229"/>
      <c r="D510" s="229"/>
      <c r="E510" s="229"/>
      <c r="F510" s="229"/>
      <c r="G510" s="229" t="s">
        <v>679</v>
      </c>
      <c r="H510" s="229"/>
      <c r="I510" s="229"/>
      <c r="J510" s="229"/>
      <c r="K510" s="229" t="s">
        <v>680</v>
      </c>
      <c r="L510" s="296"/>
      <c r="M510" s="296"/>
      <c r="N510" s="296" t="s">
        <v>132</v>
      </c>
      <c r="O510" s="229"/>
      <c r="P510" s="1775" t="e">
        <f>#REF!</f>
        <v>#REF!</v>
      </c>
      <c r="Q510" s="1775"/>
      <c r="R510" s="1775"/>
      <c r="S510" s="1775"/>
      <c r="T510" s="1775"/>
      <c r="V510" s="229" t="s">
        <v>683</v>
      </c>
      <c r="W510" s="229"/>
      <c r="X510" s="229"/>
      <c r="Y510" s="229" t="str">
        <f>TEXT(AS498,"#,##0.#######")</f>
        <v>45.</v>
      </c>
      <c r="Z510" s="229"/>
      <c r="AA510" s="229"/>
      <c r="AB510" s="229"/>
      <c r="AC510" s="229" t="s">
        <v>134</v>
      </c>
      <c r="AD510" s="229"/>
      <c r="AE510" s="229" t="e">
        <f>TEXT(TRUNC(P510/Y510,1),"#,##0.#")</f>
        <v>#REF!</v>
      </c>
      <c r="AF510" s="229"/>
      <c r="AG510" s="229"/>
      <c r="AH510" s="229"/>
      <c r="AI510" s="229"/>
      <c r="AJ510" s="229"/>
      <c r="AK510" s="229"/>
      <c r="AL510" s="229"/>
      <c r="AM510" s="229"/>
      <c r="AN510" s="229"/>
      <c r="AO510" s="229"/>
      <c r="AP510" s="229"/>
      <c r="AQ510" s="229"/>
      <c r="AR510" s="229"/>
      <c r="AS510" s="229"/>
      <c r="AT510" s="229"/>
      <c r="AU510" s="229"/>
      <c r="AV510" s="229"/>
      <c r="AW510" s="229"/>
      <c r="AX510" s="229"/>
      <c r="AY510" s="229"/>
      <c r="AZ510" s="229"/>
      <c r="BA510" s="229"/>
      <c r="BB510" s="229"/>
      <c r="BC510" s="229"/>
      <c r="BD510" s="229"/>
      <c r="BE510" s="229"/>
      <c r="BF510" s="229"/>
      <c r="BG510" s="229"/>
      <c r="BH510" s="229"/>
      <c r="BI510" s="229"/>
      <c r="BJ510" s="229"/>
      <c r="BK510" s="229"/>
      <c r="BL510" s="229"/>
      <c r="BM510" s="229"/>
      <c r="BN510" s="229"/>
      <c r="BO510" s="229"/>
      <c r="BP510" s="229"/>
      <c r="BQ510" s="229"/>
      <c r="BR510" s="229"/>
      <c r="BS510" s="296"/>
      <c r="BT510" s="229"/>
      <c r="BU510" s="229"/>
      <c r="BV510" s="229"/>
      <c r="BW510" s="229"/>
      <c r="BX510" s="229"/>
      <c r="BY510" s="229"/>
      <c r="BZ510" s="229"/>
      <c r="CA510" s="229"/>
      <c r="CB510" s="229"/>
      <c r="CC510" s="229"/>
      <c r="CD510" s="229"/>
      <c r="CE510" s="229"/>
      <c r="CF510" s="229"/>
      <c r="CG510" s="229"/>
      <c r="CH510" s="229"/>
      <c r="CI510" s="229"/>
      <c r="CJ510" s="229"/>
      <c r="CK510" s="229"/>
      <c r="CL510" s="229"/>
      <c r="CM510" s="229"/>
      <c r="CN510" s="229"/>
      <c r="CO510" s="229"/>
      <c r="CP510" s="229"/>
      <c r="CQ510" s="229"/>
      <c r="CR510" s="229"/>
      <c r="CS510" s="229"/>
      <c r="CT510" s="229"/>
      <c r="CU510" s="229"/>
      <c r="CV510" s="229"/>
      <c r="CW510" s="229"/>
      <c r="CX510" s="229"/>
      <c r="CY510" s="229"/>
      <c r="CZ510" s="229"/>
      <c r="DA510" s="229"/>
      <c r="DB510" s="229"/>
      <c r="DC510" s="229"/>
      <c r="DD510" s="229"/>
      <c r="DE510" s="229"/>
      <c r="DF510" s="229"/>
      <c r="DG510" s="229"/>
      <c r="DH510" s="229"/>
      <c r="DI510" s="229"/>
      <c r="DJ510" s="229"/>
      <c r="DK510" s="229"/>
      <c r="DL510" s="229"/>
      <c r="DM510" s="229"/>
      <c r="DN510" s="229"/>
      <c r="DO510" s="229"/>
      <c r="DP510" s="229"/>
      <c r="DQ510" s="229"/>
      <c r="DR510" s="229"/>
      <c r="DS510" s="229"/>
      <c r="DT510" s="229"/>
      <c r="DU510" s="229"/>
      <c r="DV510" s="229"/>
      <c r="DW510" s="229"/>
      <c r="DX510" s="229"/>
      <c r="DY510" s="229"/>
      <c r="DZ510" s="229"/>
      <c r="EA510" s="229"/>
      <c r="EB510" s="229"/>
      <c r="EC510" s="229"/>
      <c r="ED510" s="229"/>
      <c r="EE510" s="229"/>
      <c r="EF510" s="229"/>
      <c r="EG510" s="229"/>
      <c r="EH510" s="229"/>
      <c r="EI510" s="229"/>
      <c r="EJ510" s="229"/>
      <c r="EK510" s="229"/>
      <c r="EL510" s="305"/>
      <c r="EM510" s="309"/>
      <c r="EN510" s="234"/>
      <c r="EO510" s="234"/>
      <c r="EP510" s="234"/>
      <c r="EQ510" s="233"/>
    </row>
    <row r="511" spans="2:147" ht="11.45" hidden="1" customHeight="1">
      <c r="B511" s="228"/>
      <c r="C511" s="229"/>
      <c r="D511" s="229"/>
      <c r="E511" s="229"/>
      <c r="F511" s="229"/>
      <c r="G511" s="229" t="s">
        <v>688</v>
      </c>
      <c r="H511" s="229"/>
      <c r="I511" s="229"/>
      <c r="J511" s="229"/>
      <c r="K511" s="229" t="s">
        <v>96</v>
      </c>
      <c r="L511" s="296"/>
      <c r="M511" s="296"/>
      <c r="N511" s="296" t="s">
        <v>132</v>
      </c>
      <c r="O511" s="229"/>
      <c r="P511" s="229" t="e">
        <f>TEXT(AE508+AE509+AE510,"#,##0.#######")</f>
        <v>#REF!</v>
      </c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  <c r="AH511" s="229"/>
      <c r="AI511" s="229"/>
      <c r="AJ511" s="229"/>
      <c r="AK511" s="229"/>
      <c r="AL511" s="229"/>
      <c r="AM511" s="229"/>
      <c r="AN511" s="229"/>
      <c r="AO511" s="229"/>
      <c r="AP511" s="229"/>
      <c r="AQ511" s="229"/>
      <c r="AR511" s="229"/>
      <c r="AS511" s="229"/>
      <c r="AT511" s="229"/>
      <c r="AU511" s="229"/>
      <c r="AV511" s="229"/>
      <c r="AW511" s="229"/>
      <c r="AX511" s="229"/>
      <c r="AY511" s="229"/>
      <c r="AZ511" s="229"/>
      <c r="BA511" s="229"/>
      <c r="BB511" s="229"/>
      <c r="BC511" s="229"/>
      <c r="BD511" s="229"/>
      <c r="BE511" s="229"/>
      <c r="BF511" s="229"/>
      <c r="BG511" s="229"/>
      <c r="BH511" s="229"/>
      <c r="BI511" s="229"/>
      <c r="BJ511" s="229"/>
      <c r="BK511" s="229"/>
      <c r="BL511" s="229"/>
      <c r="BM511" s="229"/>
      <c r="BN511" s="229"/>
      <c r="BO511" s="229"/>
      <c r="BP511" s="229"/>
      <c r="BQ511" s="229"/>
      <c r="BR511" s="229"/>
      <c r="BS511" s="296"/>
      <c r="BT511" s="229"/>
      <c r="BU511" s="229"/>
      <c r="BV511" s="229"/>
      <c r="BW511" s="229"/>
      <c r="BX511" s="229"/>
      <c r="BY511" s="229"/>
      <c r="BZ511" s="229"/>
      <c r="CA511" s="229"/>
      <c r="CB511" s="229"/>
      <c r="CC511" s="229"/>
      <c r="CD511" s="229"/>
      <c r="CE511" s="229"/>
      <c r="CF511" s="229"/>
      <c r="CG511" s="229"/>
      <c r="CH511" s="229"/>
      <c r="CI511" s="229"/>
      <c r="CJ511" s="229"/>
      <c r="CK511" s="229"/>
      <c r="CL511" s="229"/>
      <c r="CM511" s="229"/>
      <c r="CN511" s="229"/>
      <c r="CO511" s="229"/>
      <c r="CP511" s="229"/>
      <c r="CQ511" s="229"/>
      <c r="CR511" s="229"/>
      <c r="CS511" s="229"/>
      <c r="CT511" s="229"/>
      <c r="CU511" s="229"/>
      <c r="CV511" s="229"/>
      <c r="CW511" s="229"/>
      <c r="CX511" s="229"/>
      <c r="CY511" s="229"/>
      <c r="CZ511" s="229"/>
      <c r="DA511" s="229"/>
      <c r="DB511" s="229"/>
      <c r="DC511" s="229"/>
      <c r="DD511" s="229"/>
      <c r="DE511" s="229"/>
      <c r="DF511" s="229"/>
      <c r="DG511" s="229"/>
      <c r="DH511" s="229"/>
      <c r="DI511" s="229"/>
      <c r="DJ511" s="229"/>
      <c r="DK511" s="229"/>
      <c r="DL511" s="229"/>
      <c r="DM511" s="229"/>
      <c r="DN511" s="229"/>
      <c r="DO511" s="229"/>
      <c r="DP511" s="229"/>
      <c r="DQ511" s="229"/>
      <c r="DR511" s="229"/>
      <c r="DS511" s="229"/>
      <c r="DT511" s="229"/>
      <c r="DU511" s="229"/>
      <c r="DV511" s="229"/>
      <c r="DW511" s="229"/>
      <c r="DX511" s="229"/>
      <c r="DY511" s="229"/>
      <c r="DZ511" s="229"/>
      <c r="EA511" s="229"/>
      <c r="EB511" s="229"/>
      <c r="EC511" s="229"/>
      <c r="ED511" s="229"/>
      <c r="EE511" s="229"/>
      <c r="EF511" s="229"/>
      <c r="EG511" s="229"/>
      <c r="EH511" s="229"/>
      <c r="EI511" s="229"/>
      <c r="EJ511" s="229"/>
      <c r="EK511" s="229"/>
      <c r="EL511" s="305"/>
      <c r="EM511" s="309"/>
      <c r="EN511" s="234"/>
      <c r="EO511" s="234"/>
      <c r="EP511" s="234"/>
      <c r="EQ511" s="233"/>
    </row>
    <row r="512" spans="2:147" ht="11.45" hidden="1" customHeight="1">
      <c r="B512" s="228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96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  <c r="AH512" s="229"/>
      <c r="AI512" s="229"/>
      <c r="AJ512" s="229"/>
      <c r="AK512" s="229"/>
      <c r="AL512" s="229"/>
      <c r="AM512" s="229"/>
      <c r="AN512" s="229"/>
      <c r="AO512" s="229"/>
      <c r="AP512" s="229"/>
      <c r="AQ512" s="229"/>
      <c r="AR512" s="229"/>
      <c r="AS512" s="229"/>
      <c r="AT512" s="229"/>
      <c r="AU512" s="229"/>
      <c r="AV512" s="229"/>
      <c r="AW512" s="229"/>
      <c r="AX512" s="229"/>
      <c r="AY512" s="229"/>
      <c r="AZ512" s="229"/>
      <c r="BA512" s="229"/>
      <c r="BB512" s="229"/>
      <c r="BC512" s="229"/>
      <c r="BD512" s="229"/>
      <c r="BE512" s="229"/>
      <c r="BF512" s="229"/>
      <c r="BG512" s="229"/>
      <c r="BH512" s="229"/>
      <c r="BI512" s="229"/>
      <c r="BJ512" s="229"/>
      <c r="BK512" s="229"/>
      <c r="BL512" s="229"/>
      <c r="BM512" s="229"/>
      <c r="BN512" s="229"/>
      <c r="BO512" s="229"/>
      <c r="BP512" s="229"/>
      <c r="BQ512" s="229"/>
      <c r="BR512" s="229"/>
      <c r="BS512" s="296"/>
      <c r="BT512" s="229"/>
      <c r="BU512" s="229"/>
      <c r="BV512" s="229"/>
      <c r="BW512" s="229"/>
      <c r="BX512" s="229"/>
      <c r="BY512" s="229"/>
      <c r="BZ512" s="229"/>
      <c r="CA512" s="229"/>
      <c r="CB512" s="229"/>
      <c r="CC512" s="229"/>
      <c r="CD512" s="229"/>
      <c r="CE512" s="229"/>
      <c r="CF512" s="229"/>
      <c r="CG512" s="229"/>
      <c r="CH512" s="229"/>
      <c r="CI512" s="229"/>
      <c r="CJ512" s="229"/>
      <c r="CK512" s="229"/>
      <c r="CL512" s="229"/>
      <c r="CM512" s="229"/>
      <c r="CN512" s="229"/>
      <c r="CO512" s="229"/>
      <c r="CP512" s="229"/>
      <c r="CQ512" s="229"/>
      <c r="CR512" s="229"/>
      <c r="CS512" s="229"/>
      <c r="CT512" s="229"/>
      <c r="CU512" s="229"/>
      <c r="CV512" s="229"/>
      <c r="CW512" s="229"/>
      <c r="CX512" s="229"/>
      <c r="CY512" s="229"/>
      <c r="CZ512" s="229"/>
      <c r="DA512" s="229"/>
      <c r="DB512" s="229"/>
      <c r="DC512" s="229"/>
      <c r="DD512" s="229"/>
      <c r="DE512" s="229"/>
      <c r="DF512" s="229"/>
      <c r="DG512" s="229"/>
      <c r="DH512" s="229"/>
      <c r="DI512" s="229"/>
      <c r="DJ512" s="229"/>
      <c r="DK512" s="229"/>
      <c r="DL512" s="229"/>
      <c r="DM512" s="229"/>
      <c r="DN512" s="229"/>
      <c r="DO512" s="229"/>
      <c r="DP512" s="229"/>
      <c r="DQ512" s="229"/>
      <c r="DR512" s="229"/>
      <c r="DS512" s="229"/>
      <c r="DT512" s="229"/>
      <c r="DU512" s="229"/>
      <c r="DV512" s="229"/>
      <c r="DW512" s="229"/>
      <c r="DX512" s="229"/>
      <c r="DY512" s="229"/>
      <c r="DZ512" s="229"/>
      <c r="EA512" s="229"/>
      <c r="EB512" s="229"/>
      <c r="EC512" s="229"/>
      <c r="ED512" s="229"/>
      <c r="EE512" s="229"/>
      <c r="EF512" s="229"/>
      <c r="EG512" s="229"/>
      <c r="EH512" s="229"/>
      <c r="EI512" s="229"/>
      <c r="EJ512" s="229"/>
      <c r="EK512" s="229"/>
      <c r="EL512" s="305"/>
      <c r="EM512" s="309"/>
      <c r="EN512" s="234"/>
      <c r="EO512" s="234"/>
      <c r="EP512" s="234"/>
      <c r="EQ512" s="233"/>
    </row>
    <row r="513" spans="2:147" ht="11.45" hidden="1" customHeight="1">
      <c r="B513" s="228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96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  <c r="AH513" s="229"/>
      <c r="AI513" s="229"/>
      <c r="AJ513" s="229"/>
      <c r="AK513" s="229"/>
      <c r="AL513" s="229"/>
      <c r="AM513" s="229"/>
      <c r="AN513" s="229"/>
      <c r="AO513" s="229"/>
      <c r="AP513" s="229"/>
      <c r="AQ513" s="229"/>
      <c r="AR513" s="229"/>
      <c r="AS513" s="229"/>
      <c r="AT513" s="229"/>
      <c r="AU513" s="229"/>
      <c r="AV513" s="229"/>
      <c r="AW513" s="229"/>
      <c r="AX513" s="229"/>
      <c r="AY513" s="229"/>
      <c r="AZ513" s="229"/>
      <c r="BA513" s="229"/>
      <c r="BB513" s="229"/>
      <c r="BC513" s="229"/>
      <c r="BD513" s="229"/>
      <c r="BE513" s="229"/>
      <c r="BF513" s="229"/>
      <c r="BG513" s="229"/>
      <c r="BH513" s="229"/>
      <c r="BI513" s="229"/>
      <c r="BJ513" s="229"/>
      <c r="BK513" s="229"/>
      <c r="BL513" s="229"/>
      <c r="BM513" s="229"/>
      <c r="BN513" s="229"/>
      <c r="BO513" s="229"/>
      <c r="BP513" s="229"/>
      <c r="BQ513" s="229"/>
      <c r="BR513" s="229"/>
      <c r="BS513" s="296"/>
      <c r="BT513" s="229"/>
      <c r="BU513" s="229"/>
      <c r="BV513" s="229"/>
      <c r="BW513" s="229"/>
      <c r="BX513" s="229"/>
      <c r="BY513" s="229"/>
      <c r="BZ513" s="229"/>
      <c r="CA513" s="229"/>
      <c r="CB513" s="229"/>
      <c r="CC513" s="229"/>
      <c r="CD513" s="229"/>
      <c r="CE513" s="229"/>
      <c r="CF513" s="229"/>
      <c r="CG513" s="229"/>
      <c r="CH513" s="229"/>
      <c r="CI513" s="229"/>
      <c r="CJ513" s="229"/>
      <c r="CK513" s="229"/>
      <c r="CL513" s="229"/>
      <c r="CM513" s="229"/>
      <c r="CN513" s="229"/>
      <c r="CO513" s="229"/>
      <c r="CP513" s="229"/>
      <c r="CQ513" s="229"/>
      <c r="CR513" s="229"/>
      <c r="CS513" s="229"/>
      <c r="CT513" s="229"/>
      <c r="CU513" s="229"/>
      <c r="CV513" s="229"/>
      <c r="CW513" s="229"/>
      <c r="CX513" s="229"/>
      <c r="CY513" s="229"/>
      <c r="CZ513" s="229"/>
      <c r="DA513" s="229"/>
      <c r="DB513" s="229"/>
      <c r="DC513" s="229"/>
      <c r="DD513" s="229"/>
      <c r="DE513" s="229"/>
      <c r="DF513" s="229"/>
      <c r="DG513" s="229"/>
      <c r="DH513" s="229"/>
      <c r="DI513" s="229"/>
      <c r="DJ513" s="229"/>
      <c r="DK513" s="229"/>
      <c r="DL513" s="229"/>
      <c r="DM513" s="229"/>
      <c r="DN513" s="229"/>
      <c r="DO513" s="229"/>
      <c r="DP513" s="229"/>
      <c r="DQ513" s="229"/>
      <c r="DR513" s="229"/>
      <c r="DS513" s="229"/>
      <c r="DT513" s="229"/>
      <c r="DU513" s="229"/>
      <c r="DV513" s="229"/>
      <c r="DW513" s="229"/>
      <c r="DX513" s="229"/>
      <c r="DY513" s="229"/>
      <c r="DZ513" s="229"/>
      <c r="EA513" s="229"/>
      <c r="EB513" s="229"/>
      <c r="EC513" s="229"/>
      <c r="ED513" s="229"/>
      <c r="EE513" s="229"/>
      <c r="EF513" s="229"/>
      <c r="EG513" s="229"/>
      <c r="EH513" s="229"/>
      <c r="EI513" s="229"/>
      <c r="EJ513" s="229"/>
      <c r="EK513" s="229"/>
      <c r="EL513" s="305"/>
      <c r="EM513" s="234" t="e">
        <f>EN513+EO513+EP513</f>
        <v>#REF!</v>
      </c>
      <c r="EN513" s="234" t="e">
        <f>TEXT(AE508,"#,###.0")</f>
        <v>#REF!</v>
      </c>
      <c r="EO513" s="234" t="e">
        <f>TEXT(AE509,"#,###.0")</f>
        <v>#REF!</v>
      </c>
      <c r="EP513" s="234" t="e">
        <f>TEXT(AE510,"#,###.0")</f>
        <v>#REF!</v>
      </c>
      <c r="EQ513" s="233"/>
    </row>
    <row r="514" spans="2:147" ht="11.45" hidden="1" customHeight="1">
      <c r="B514" s="228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96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  <c r="AH514" s="229"/>
      <c r="AI514" s="229"/>
      <c r="AJ514" s="229"/>
      <c r="AK514" s="229"/>
      <c r="AL514" s="229"/>
      <c r="AM514" s="229"/>
      <c r="AN514" s="229"/>
      <c r="AO514" s="229"/>
      <c r="AP514" s="229"/>
      <c r="AQ514" s="229"/>
      <c r="AR514" s="229"/>
      <c r="AS514" s="229"/>
      <c r="AT514" s="229"/>
      <c r="AU514" s="229"/>
      <c r="AV514" s="229"/>
      <c r="AW514" s="229"/>
      <c r="AX514" s="229"/>
      <c r="AY514" s="229"/>
      <c r="AZ514" s="229"/>
      <c r="BA514" s="229"/>
      <c r="BB514" s="229"/>
      <c r="BC514" s="229"/>
      <c r="BD514" s="229"/>
      <c r="BE514" s="229"/>
      <c r="BF514" s="229"/>
      <c r="BG514" s="229"/>
      <c r="BH514" s="229"/>
      <c r="BI514" s="229"/>
      <c r="BJ514" s="229"/>
      <c r="BK514" s="229"/>
      <c r="BL514" s="229"/>
      <c r="BM514" s="229"/>
      <c r="BN514" s="229"/>
      <c r="BO514" s="229"/>
      <c r="BP514" s="229"/>
      <c r="BQ514" s="229"/>
      <c r="BR514" s="229"/>
      <c r="BS514" s="296"/>
      <c r="BT514" s="229"/>
      <c r="BU514" s="229"/>
      <c r="BV514" s="229"/>
      <c r="BW514" s="229"/>
      <c r="BX514" s="229"/>
      <c r="BY514" s="229"/>
      <c r="BZ514" s="229"/>
      <c r="CA514" s="229"/>
      <c r="CB514" s="229"/>
      <c r="CC514" s="229"/>
      <c r="CD514" s="229"/>
      <c r="CE514" s="229"/>
      <c r="CF514" s="229"/>
      <c r="CG514" s="229"/>
      <c r="CH514" s="229"/>
      <c r="CI514" s="229"/>
      <c r="CJ514" s="229"/>
      <c r="CK514" s="229"/>
      <c r="CL514" s="229"/>
      <c r="CM514" s="229"/>
      <c r="CN514" s="229"/>
      <c r="CO514" s="229"/>
      <c r="CP514" s="229"/>
      <c r="CQ514" s="229"/>
      <c r="CR514" s="229"/>
      <c r="CS514" s="229"/>
      <c r="CT514" s="229"/>
      <c r="CU514" s="229"/>
      <c r="CV514" s="229"/>
      <c r="CW514" s="229"/>
      <c r="CX514" s="229"/>
      <c r="CY514" s="229"/>
      <c r="CZ514" s="229"/>
      <c r="DA514" s="229"/>
      <c r="DB514" s="229"/>
      <c r="DC514" s="229"/>
      <c r="DD514" s="229"/>
      <c r="DE514" s="229"/>
      <c r="DF514" s="229"/>
      <c r="DG514" s="229"/>
      <c r="DH514" s="229"/>
      <c r="DI514" s="229"/>
      <c r="DJ514" s="229"/>
      <c r="DK514" s="229"/>
      <c r="DL514" s="229"/>
      <c r="DM514" s="229"/>
      <c r="DN514" s="229"/>
      <c r="DO514" s="229"/>
      <c r="DP514" s="229"/>
      <c r="DQ514" s="229"/>
      <c r="DR514" s="229"/>
      <c r="DS514" s="229"/>
      <c r="DT514" s="229"/>
      <c r="DU514" s="229"/>
      <c r="DV514" s="229"/>
      <c r="DW514" s="229"/>
      <c r="DX514" s="229"/>
      <c r="DY514" s="229"/>
      <c r="DZ514" s="229"/>
      <c r="EA514" s="229"/>
      <c r="EB514" s="229"/>
      <c r="EC514" s="229"/>
      <c r="ED514" s="229"/>
      <c r="EE514" s="229"/>
      <c r="EF514" s="229"/>
      <c r="EG514" s="229"/>
      <c r="EH514" s="229"/>
      <c r="EI514" s="229"/>
      <c r="EJ514" s="229"/>
      <c r="EK514" s="229"/>
      <c r="EL514" s="305"/>
      <c r="EM514" s="309"/>
      <c r="EN514" s="234"/>
      <c r="EO514" s="234"/>
      <c r="EP514" s="234"/>
      <c r="EQ514" s="233"/>
    </row>
    <row r="515" spans="2:147" ht="11.45" hidden="1" customHeight="1">
      <c r="B515" s="228"/>
      <c r="C515" s="229"/>
      <c r="D515" s="229" t="s">
        <v>695</v>
      </c>
      <c r="E515" s="229"/>
      <c r="F515" s="229"/>
      <c r="G515" s="229" t="s">
        <v>678</v>
      </c>
      <c r="H515" s="229"/>
      <c r="I515" s="229"/>
      <c r="J515" s="229"/>
      <c r="K515" s="229" t="s">
        <v>96</v>
      </c>
      <c r="L515" s="229"/>
      <c r="M515" s="229"/>
      <c r="N515" s="296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  <c r="AH515" s="229"/>
      <c r="AI515" s="229"/>
      <c r="AJ515" s="229"/>
      <c r="AK515" s="229"/>
      <c r="AL515" s="229"/>
      <c r="AM515" s="229"/>
      <c r="AN515" s="229"/>
      <c r="AO515" s="229"/>
      <c r="AP515" s="229"/>
      <c r="AQ515" s="229"/>
      <c r="AR515" s="229"/>
      <c r="AS515" s="229"/>
      <c r="AT515" s="229"/>
      <c r="AU515" s="229"/>
      <c r="AV515" s="229"/>
      <c r="AW515" s="229"/>
      <c r="AX515" s="229"/>
      <c r="AY515" s="229"/>
      <c r="AZ515" s="229"/>
      <c r="BA515" s="229"/>
      <c r="BB515" s="229"/>
      <c r="BC515" s="229"/>
      <c r="BD515" s="229"/>
      <c r="BE515" s="229"/>
      <c r="BF515" s="229"/>
      <c r="BG515" s="229"/>
      <c r="BH515" s="229"/>
      <c r="BI515" s="229"/>
      <c r="BJ515" s="229"/>
      <c r="BK515" s="229"/>
      <c r="BL515" s="229"/>
      <c r="BM515" s="229"/>
      <c r="BN515" s="229"/>
      <c r="BO515" s="229"/>
      <c r="BP515" s="229"/>
      <c r="BQ515" s="229"/>
      <c r="BR515" s="229"/>
      <c r="BS515" s="296"/>
      <c r="BT515" s="229"/>
      <c r="BU515" s="229"/>
      <c r="BV515" s="229"/>
      <c r="BW515" s="229"/>
      <c r="BX515" s="229"/>
      <c r="BY515" s="229"/>
      <c r="BZ515" s="229"/>
      <c r="CA515" s="229"/>
      <c r="CB515" s="229"/>
      <c r="CC515" s="229"/>
      <c r="CD515" s="229"/>
      <c r="CE515" s="229"/>
      <c r="CF515" s="229"/>
      <c r="CG515" s="229"/>
      <c r="CH515" s="229"/>
      <c r="CI515" s="229"/>
      <c r="CJ515" s="229"/>
      <c r="CK515" s="229"/>
      <c r="CL515" s="229"/>
      <c r="CM515" s="229"/>
      <c r="CN515" s="229"/>
      <c r="CO515" s="229"/>
      <c r="CP515" s="229"/>
      <c r="CQ515" s="229"/>
      <c r="CR515" s="229"/>
      <c r="CS515" s="229"/>
      <c r="CT515" s="229"/>
      <c r="CU515" s="229"/>
      <c r="CV515" s="229"/>
      <c r="CW515" s="229"/>
      <c r="CX515" s="229"/>
      <c r="CY515" s="229"/>
      <c r="CZ515" s="229"/>
      <c r="DA515" s="229"/>
      <c r="DB515" s="229"/>
      <c r="DC515" s="229"/>
      <c r="DD515" s="229"/>
      <c r="DE515" s="229"/>
      <c r="DF515" s="229"/>
      <c r="DG515" s="229"/>
      <c r="DH515" s="229"/>
      <c r="DI515" s="229"/>
      <c r="DJ515" s="229"/>
      <c r="DK515" s="229"/>
      <c r="DL515" s="229"/>
      <c r="DM515" s="229"/>
      <c r="DN515" s="229"/>
      <c r="DO515" s="229"/>
      <c r="DP515" s="229"/>
      <c r="DQ515" s="229"/>
      <c r="DR515" s="229"/>
      <c r="DS515" s="229"/>
      <c r="DT515" s="229"/>
      <c r="DU515" s="229"/>
      <c r="DV515" s="229"/>
      <c r="DW515" s="229"/>
      <c r="DX515" s="229"/>
      <c r="DY515" s="229"/>
      <c r="DZ515" s="229"/>
      <c r="EA515" s="229"/>
      <c r="EB515" s="229"/>
      <c r="EC515" s="229"/>
      <c r="ED515" s="229"/>
      <c r="EE515" s="229"/>
      <c r="EF515" s="229"/>
      <c r="EG515" s="229"/>
      <c r="EH515" s="229"/>
      <c r="EI515" s="229"/>
      <c r="EJ515" s="229"/>
      <c r="EK515" s="229"/>
      <c r="EL515" s="305"/>
      <c r="EM515" s="309"/>
      <c r="EN515" s="234"/>
      <c r="EO515" s="234"/>
      <c r="EP515" s="234"/>
      <c r="EQ515" s="233"/>
    </row>
    <row r="516" spans="2:147" ht="11.45" hidden="1" customHeight="1">
      <c r="B516" s="228"/>
      <c r="C516" s="229"/>
      <c r="D516" s="229"/>
      <c r="E516" s="229"/>
      <c r="F516" s="229"/>
      <c r="G516" s="229"/>
      <c r="H516" s="229"/>
      <c r="I516" s="229" t="s">
        <v>616</v>
      </c>
      <c r="J516" s="229"/>
      <c r="K516" s="229"/>
      <c r="L516" s="229"/>
      <c r="M516" s="229"/>
      <c r="N516" s="296"/>
      <c r="O516" s="229"/>
      <c r="P516" s="229" t="s">
        <v>132</v>
      </c>
      <c r="Q516" s="229"/>
      <c r="R516" s="229" t="str">
        <f>TEXT(EN503,"#,###.##")</f>
        <v>2,190.6</v>
      </c>
      <c r="S516" s="229"/>
      <c r="T516" s="229"/>
      <c r="U516" s="229"/>
      <c r="V516" s="229"/>
      <c r="W516" s="229" t="s">
        <v>130</v>
      </c>
      <c r="X516" s="229"/>
      <c r="Y516" s="229" t="e">
        <f>TEXT(EN513,"#,###.##")</f>
        <v>#REF!</v>
      </c>
      <c r="Z516" s="229"/>
      <c r="AA516" s="229"/>
      <c r="AB516" s="229"/>
      <c r="AC516" s="229"/>
      <c r="AD516" s="229" t="s">
        <v>134</v>
      </c>
      <c r="AE516" s="229"/>
      <c r="AF516" s="229"/>
      <c r="AG516" s="229" t="e">
        <f>TEXT(TRUNC(EN503+EN513,0),"#,##0")</f>
        <v>#REF!</v>
      </c>
      <c r="AH516" s="229"/>
      <c r="AI516" s="229"/>
      <c r="AJ516" s="229"/>
      <c r="AK516" s="229"/>
      <c r="AL516" s="229"/>
      <c r="AM516" s="229"/>
      <c r="AN516" s="229"/>
      <c r="AO516" s="229"/>
      <c r="AP516" s="229"/>
      <c r="AQ516" s="229"/>
      <c r="AR516" s="229"/>
      <c r="AS516" s="229"/>
      <c r="AT516" s="229"/>
      <c r="AU516" s="229"/>
      <c r="AV516" s="229"/>
      <c r="AW516" s="229"/>
      <c r="AX516" s="229"/>
      <c r="AY516" s="229"/>
      <c r="AZ516" s="229"/>
      <c r="BA516" s="229"/>
      <c r="BB516" s="229"/>
      <c r="BC516" s="229"/>
      <c r="BD516" s="229"/>
      <c r="BE516" s="229"/>
      <c r="BF516" s="229"/>
      <c r="BG516" s="229"/>
      <c r="BH516" s="229"/>
      <c r="BI516" s="229"/>
      <c r="BJ516" s="229"/>
      <c r="BK516" s="229"/>
      <c r="BL516" s="229"/>
      <c r="BM516" s="229"/>
      <c r="BN516" s="229"/>
      <c r="BO516" s="229"/>
      <c r="BP516" s="229"/>
      <c r="BQ516" s="229"/>
      <c r="BR516" s="229"/>
      <c r="BS516" s="296"/>
      <c r="BT516" s="229"/>
      <c r="BU516" s="229"/>
      <c r="BV516" s="229"/>
      <c r="BW516" s="229"/>
      <c r="BX516" s="229"/>
      <c r="BY516" s="229"/>
      <c r="BZ516" s="229"/>
      <c r="CA516" s="229"/>
      <c r="CB516" s="229"/>
      <c r="CC516" s="229"/>
      <c r="CD516" s="229"/>
      <c r="CE516" s="229"/>
      <c r="CF516" s="229"/>
      <c r="CG516" s="229"/>
      <c r="CH516" s="229"/>
      <c r="CI516" s="229"/>
      <c r="CJ516" s="229"/>
      <c r="CK516" s="229"/>
      <c r="CL516" s="229"/>
      <c r="CM516" s="229"/>
      <c r="CN516" s="229"/>
      <c r="CO516" s="229"/>
      <c r="CP516" s="229"/>
      <c r="CQ516" s="229"/>
      <c r="CR516" s="229"/>
      <c r="CS516" s="229"/>
      <c r="CT516" s="229"/>
      <c r="CU516" s="229"/>
      <c r="CV516" s="229"/>
      <c r="CW516" s="229"/>
      <c r="CX516" s="229"/>
      <c r="CY516" s="229"/>
      <c r="CZ516" s="229"/>
      <c r="DA516" s="229"/>
      <c r="DB516" s="229"/>
      <c r="DC516" s="229"/>
      <c r="DD516" s="229"/>
      <c r="DE516" s="229"/>
      <c r="DF516" s="229"/>
      <c r="DG516" s="229"/>
      <c r="DH516" s="229"/>
      <c r="DI516" s="229"/>
      <c r="DJ516" s="229"/>
      <c r="DK516" s="229"/>
      <c r="DL516" s="229"/>
      <c r="DM516" s="229"/>
      <c r="DN516" s="229"/>
      <c r="DO516" s="229"/>
      <c r="DP516" s="229"/>
      <c r="DQ516" s="229"/>
      <c r="DR516" s="229"/>
      <c r="DS516" s="229"/>
      <c r="DT516" s="229"/>
      <c r="DU516" s="229"/>
      <c r="DV516" s="229"/>
      <c r="DW516" s="229"/>
      <c r="DX516" s="229"/>
      <c r="DY516" s="229"/>
      <c r="DZ516" s="229"/>
      <c r="EA516" s="229"/>
      <c r="EB516" s="229"/>
      <c r="EC516" s="229"/>
      <c r="ED516" s="229"/>
      <c r="EE516" s="229"/>
      <c r="EF516" s="229"/>
      <c r="EG516" s="229"/>
      <c r="EH516" s="229"/>
      <c r="EI516" s="229"/>
      <c r="EJ516" s="229"/>
      <c r="EK516" s="229"/>
      <c r="EL516" s="305"/>
      <c r="EM516" s="309"/>
      <c r="EN516" s="234"/>
      <c r="EO516" s="234"/>
      <c r="EP516" s="234"/>
      <c r="EQ516" s="233"/>
    </row>
    <row r="517" spans="2:147" ht="11.45" hidden="1" customHeight="1">
      <c r="B517" s="228"/>
      <c r="C517" s="229"/>
      <c r="D517" s="229"/>
      <c r="E517" s="229"/>
      <c r="F517" s="229"/>
      <c r="G517" s="229"/>
      <c r="H517" s="229"/>
      <c r="I517" s="229" t="s">
        <v>617</v>
      </c>
      <c r="J517" s="229"/>
      <c r="K517" s="229"/>
      <c r="L517" s="229"/>
      <c r="M517" s="229"/>
      <c r="N517" s="296"/>
      <c r="O517" s="229"/>
      <c r="P517" s="229" t="s">
        <v>132</v>
      </c>
      <c r="Q517" s="229"/>
      <c r="R517" s="229" t="e">
        <f>TEXT(TRUNC(EO506+EO513,0),"#,##0")</f>
        <v>#REF!</v>
      </c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  <c r="AH517" s="229"/>
      <c r="AI517" s="229"/>
      <c r="AJ517" s="229"/>
      <c r="AK517" s="229"/>
      <c r="AL517" s="229"/>
      <c r="AM517" s="229"/>
      <c r="AN517" s="229"/>
      <c r="AO517" s="229"/>
      <c r="AP517" s="229"/>
      <c r="AQ517" s="229"/>
      <c r="AR517" s="229"/>
      <c r="AS517" s="229"/>
      <c r="AT517" s="229"/>
      <c r="AU517" s="229"/>
      <c r="AV517" s="229"/>
      <c r="AW517" s="229"/>
      <c r="AX517" s="229"/>
      <c r="AY517" s="229"/>
      <c r="AZ517" s="229"/>
      <c r="BA517" s="229"/>
      <c r="BB517" s="229"/>
      <c r="BC517" s="229"/>
      <c r="BD517" s="229"/>
      <c r="BE517" s="229"/>
      <c r="BF517" s="229"/>
      <c r="BG517" s="229"/>
      <c r="BH517" s="229"/>
      <c r="BI517" s="229"/>
      <c r="BJ517" s="229"/>
      <c r="BK517" s="229"/>
      <c r="BL517" s="229"/>
      <c r="BM517" s="229"/>
      <c r="BN517" s="229"/>
      <c r="BO517" s="229"/>
      <c r="BP517" s="229"/>
      <c r="BQ517" s="229"/>
      <c r="BR517" s="229"/>
      <c r="BS517" s="296"/>
      <c r="BT517" s="229"/>
      <c r="BU517" s="229"/>
      <c r="BV517" s="229"/>
      <c r="BW517" s="229"/>
      <c r="BX517" s="229"/>
      <c r="BY517" s="229"/>
      <c r="BZ517" s="229"/>
      <c r="CA517" s="229"/>
      <c r="CB517" s="229"/>
      <c r="CC517" s="229"/>
      <c r="CD517" s="229"/>
      <c r="CE517" s="229"/>
      <c r="CF517" s="229"/>
      <c r="CG517" s="229"/>
      <c r="CH517" s="229"/>
      <c r="CI517" s="229"/>
      <c r="CJ517" s="229"/>
      <c r="CK517" s="229"/>
      <c r="CL517" s="229"/>
      <c r="CM517" s="229"/>
      <c r="CN517" s="229"/>
      <c r="CO517" s="229"/>
      <c r="CP517" s="229"/>
      <c r="CQ517" s="229"/>
      <c r="CR517" s="229"/>
      <c r="CS517" s="229"/>
      <c r="CT517" s="229"/>
      <c r="CU517" s="229"/>
      <c r="CV517" s="229"/>
      <c r="CW517" s="229"/>
      <c r="CX517" s="229"/>
      <c r="CY517" s="229"/>
      <c r="CZ517" s="229"/>
      <c r="DA517" s="229"/>
      <c r="DB517" s="229"/>
      <c r="DC517" s="229"/>
      <c r="DD517" s="229"/>
      <c r="DE517" s="229"/>
      <c r="DF517" s="229"/>
      <c r="DG517" s="229"/>
      <c r="DH517" s="229"/>
      <c r="DI517" s="229"/>
      <c r="DJ517" s="229"/>
      <c r="DK517" s="229"/>
      <c r="DL517" s="229"/>
      <c r="DM517" s="229"/>
      <c r="DN517" s="229"/>
      <c r="DO517" s="229"/>
      <c r="DP517" s="229"/>
      <c r="DQ517" s="229"/>
      <c r="DR517" s="229"/>
      <c r="DS517" s="229"/>
      <c r="DT517" s="229"/>
      <c r="DU517" s="229"/>
      <c r="DV517" s="229"/>
      <c r="DW517" s="229"/>
      <c r="DX517" s="229"/>
      <c r="DY517" s="229"/>
      <c r="DZ517" s="229"/>
      <c r="EA517" s="229"/>
      <c r="EB517" s="229"/>
      <c r="EC517" s="229"/>
      <c r="ED517" s="229"/>
      <c r="EE517" s="229"/>
      <c r="EF517" s="229"/>
      <c r="EG517" s="229"/>
      <c r="EH517" s="229"/>
      <c r="EI517" s="229"/>
      <c r="EJ517" s="229"/>
      <c r="EK517" s="229"/>
      <c r="EL517" s="305"/>
      <c r="EM517" s="309"/>
      <c r="EN517" s="234"/>
      <c r="EO517" s="234"/>
      <c r="EP517" s="234"/>
      <c r="EQ517" s="233"/>
    </row>
    <row r="518" spans="2:147" ht="11.45" hidden="1" customHeight="1">
      <c r="B518" s="228"/>
      <c r="C518" s="229"/>
      <c r="D518" s="229"/>
      <c r="E518" s="229"/>
      <c r="F518" s="229"/>
      <c r="G518" s="229"/>
      <c r="H518" s="229"/>
      <c r="I518" s="229" t="s">
        <v>679</v>
      </c>
      <c r="J518" s="229"/>
      <c r="K518" s="229" t="s">
        <v>680</v>
      </c>
      <c r="L518" s="229"/>
      <c r="M518" s="229"/>
      <c r="N518" s="296"/>
      <c r="O518" s="229"/>
      <c r="P518" s="229" t="s">
        <v>132</v>
      </c>
      <c r="Q518" s="229"/>
      <c r="R518" s="229" t="e">
        <f>TEXT(TRUNC(EP513),"#,##0")</f>
        <v>#REF!</v>
      </c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  <c r="AH518" s="229"/>
      <c r="AI518" s="229"/>
      <c r="AJ518" s="229"/>
      <c r="AK518" s="229"/>
      <c r="AL518" s="229"/>
      <c r="AM518" s="229"/>
      <c r="AN518" s="229"/>
      <c r="AO518" s="229"/>
      <c r="AP518" s="229"/>
      <c r="AQ518" s="229"/>
      <c r="AR518" s="229"/>
      <c r="AS518" s="229"/>
      <c r="AT518" s="229"/>
      <c r="AU518" s="229"/>
      <c r="AV518" s="229"/>
      <c r="AW518" s="229"/>
      <c r="AX518" s="229"/>
      <c r="AY518" s="229"/>
      <c r="AZ518" s="229"/>
      <c r="BA518" s="229"/>
      <c r="BB518" s="229"/>
      <c r="BC518" s="229"/>
      <c r="BD518" s="229"/>
      <c r="BE518" s="229"/>
      <c r="BF518" s="229"/>
      <c r="BG518" s="229"/>
      <c r="BH518" s="229"/>
      <c r="BI518" s="229"/>
      <c r="BJ518" s="229"/>
      <c r="BK518" s="229"/>
      <c r="BL518" s="229"/>
      <c r="BM518" s="229"/>
      <c r="BN518" s="229"/>
      <c r="BO518" s="229"/>
      <c r="BP518" s="229"/>
      <c r="BQ518" s="229"/>
      <c r="BR518" s="229"/>
      <c r="BS518" s="296"/>
      <c r="BT518" s="229"/>
      <c r="BU518" s="229"/>
      <c r="BV518" s="229"/>
      <c r="BW518" s="229"/>
      <c r="BX518" s="229"/>
      <c r="BY518" s="229"/>
      <c r="BZ518" s="229"/>
      <c r="CA518" s="229"/>
      <c r="CB518" s="229"/>
      <c r="CC518" s="229"/>
      <c r="CD518" s="229"/>
      <c r="CE518" s="229"/>
      <c r="CF518" s="229"/>
      <c r="CG518" s="229"/>
      <c r="CH518" s="229"/>
      <c r="CI518" s="229"/>
      <c r="CJ518" s="229"/>
      <c r="CK518" s="229"/>
      <c r="CL518" s="229"/>
      <c r="CM518" s="229"/>
      <c r="CN518" s="229"/>
      <c r="CO518" s="229"/>
      <c r="CP518" s="229"/>
      <c r="CQ518" s="229"/>
      <c r="CR518" s="229"/>
      <c r="CS518" s="229"/>
      <c r="CT518" s="229"/>
      <c r="CU518" s="229"/>
      <c r="CV518" s="229"/>
      <c r="CW518" s="229"/>
      <c r="CX518" s="229"/>
      <c r="CY518" s="229"/>
      <c r="CZ518" s="229"/>
      <c r="DA518" s="229"/>
      <c r="DB518" s="229"/>
      <c r="DC518" s="229"/>
      <c r="DD518" s="229"/>
      <c r="DE518" s="229"/>
      <c r="DF518" s="229"/>
      <c r="DG518" s="229"/>
      <c r="DH518" s="229"/>
      <c r="DI518" s="229"/>
      <c r="DJ518" s="229"/>
      <c r="DK518" s="229"/>
      <c r="DL518" s="229"/>
      <c r="DM518" s="229"/>
      <c r="DN518" s="229"/>
      <c r="DO518" s="229"/>
      <c r="DP518" s="229"/>
      <c r="DQ518" s="229"/>
      <c r="DR518" s="229"/>
      <c r="DS518" s="229"/>
      <c r="DT518" s="229"/>
      <c r="DU518" s="229"/>
      <c r="DV518" s="229"/>
      <c r="DW518" s="229"/>
      <c r="DX518" s="229"/>
      <c r="DY518" s="229"/>
      <c r="DZ518" s="229"/>
      <c r="EA518" s="229"/>
      <c r="EB518" s="229"/>
      <c r="EC518" s="229"/>
      <c r="ED518" s="229"/>
      <c r="EE518" s="229"/>
      <c r="EF518" s="229"/>
      <c r="EG518" s="229"/>
      <c r="EH518" s="229"/>
      <c r="EI518" s="229"/>
      <c r="EJ518" s="229"/>
      <c r="EK518" s="229"/>
      <c r="EL518" s="305"/>
      <c r="EM518" s="309"/>
      <c r="EN518" s="234"/>
      <c r="EO518" s="234"/>
      <c r="EP518" s="234"/>
      <c r="EQ518" s="233"/>
    </row>
    <row r="519" spans="2:147" ht="11.45" hidden="1" customHeight="1">
      <c r="B519" s="228"/>
      <c r="C519" s="229"/>
      <c r="D519" s="229"/>
      <c r="E519" s="229"/>
      <c r="F519" s="229"/>
      <c r="G519" s="229"/>
      <c r="H519" s="229"/>
      <c r="I519" s="229"/>
      <c r="J519" s="229"/>
      <c r="K519" s="229" t="s">
        <v>96</v>
      </c>
      <c r="L519" s="229"/>
      <c r="M519" s="229"/>
      <c r="N519" s="296"/>
      <c r="O519" s="229"/>
      <c r="P519" s="229" t="s">
        <v>132</v>
      </c>
      <c r="Q519" s="229"/>
      <c r="R519" s="229" t="e">
        <f>TEXT(AG516+R517+R518,"#,##0")</f>
        <v>#REF!</v>
      </c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  <c r="AH519" s="229"/>
      <c r="AI519" s="229"/>
      <c r="AJ519" s="229"/>
      <c r="AK519" s="229"/>
      <c r="AL519" s="229"/>
      <c r="AM519" s="229"/>
      <c r="AN519" s="229"/>
      <c r="AO519" s="229"/>
      <c r="AP519" s="229"/>
      <c r="AQ519" s="229"/>
      <c r="AR519" s="229"/>
      <c r="AS519" s="229"/>
      <c r="AT519" s="229"/>
      <c r="AU519" s="229"/>
      <c r="AV519" s="229"/>
      <c r="AW519" s="229"/>
      <c r="AX519" s="229"/>
      <c r="AY519" s="229"/>
      <c r="AZ519" s="229"/>
      <c r="BA519" s="229"/>
      <c r="BB519" s="229"/>
      <c r="BC519" s="229"/>
      <c r="BD519" s="229"/>
      <c r="BE519" s="229"/>
      <c r="BF519" s="229"/>
      <c r="BG519" s="229"/>
      <c r="BH519" s="229"/>
      <c r="BI519" s="229"/>
      <c r="BJ519" s="229"/>
      <c r="BK519" s="229"/>
      <c r="BL519" s="229"/>
      <c r="BM519" s="229"/>
      <c r="BN519" s="229"/>
      <c r="BO519" s="229"/>
      <c r="BP519" s="229"/>
      <c r="BQ519" s="229"/>
      <c r="BR519" s="229"/>
      <c r="BS519" s="296"/>
      <c r="BT519" s="229"/>
      <c r="BU519" s="229"/>
      <c r="BV519" s="229"/>
      <c r="BW519" s="229"/>
      <c r="BX519" s="229"/>
      <c r="BY519" s="229"/>
      <c r="BZ519" s="229"/>
      <c r="CA519" s="229"/>
      <c r="CB519" s="229"/>
      <c r="CC519" s="229"/>
      <c r="CD519" s="229"/>
      <c r="CE519" s="229"/>
      <c r="CF519" s="229"/>
      <c r="CG519" s="229"/>
      <c r="CH519" s="229"/>
      <c r="CI519" s="229"/>
      <c r="CJ519" s="229"/>
      <c r="CK519" s="229"/>
      <c r="CL519" s="229"/>
      <c r="CM519" s="229"/>
      <c r="CN519" s="229"/>
      <c r="CO519" s="229"/>
      <c r="CP519" s="229"/>
      <c r="CQ519" s="229"/>
      <c r="CR519" s="229"/>
      <c r="CS519" s="229"/>
      <c r="CT519" s="229"/>
      <c r="CU519" s="229"/>
      <c r="CV519" s="229"/>
      <c r="CW519" s="229"/>
      <c r="CX519" s="229"/>
      <c r="CY519" s="229"/>
      <c r="CZ519" s="229"/>
      <c r="DA519" s="229"/>
      <c r="DB519" s="229"/>
      <c r="DC519" s="229"/>
      <c r="DD519" s="229"/>
      <c r="DE519" s="229"/>
      <c r="DF519" s="229"/>
      <c r="DG519" s="229"/>
      <c r="DH519" s="229"/>
      <c r="DI519" s="229"/>
      <c r="DJ519" s="229"/>
      <c r="DK519" s="229"/>
      <c r="DL519" s="229"/>
      <c r="DM519" s="229"/>
      <c r="DN519" s="229"/>
      <c r="DO519" s="229"/>
      <c r="DP519" s="229"/>
      <c r="DQ519" s="229"/>
      <c r="DR519" s="229"/>
      <c r="DS519" s="229"/>
      <c r="DT519" s="229"/>
      <c r="DU519" s="229"/>
      <c r="DV519" s="229"/>
      <c r="DW519" s="229"/>
      <c r="DX519" s="229"/>
      <c r="DY519" s="229"/>
      <c r="DZ519" s="229"/>
      <c r="EA519" s="229"/>
      <c r="EB519" s="229"/>
      <c r="EC519" s="229"/>
      <c r="ED519" s="229"/>
      <c r="EE519" s="229"/>
      <c r="EF519" s="229"/>
      <c r="EG519" s="229"/>
      <c r="EH519" s="229"/>
      <c r="EI519" s="229"/>
      <c r="EJ519" s="229"/>
      <c r="EK519" s="229"/>
      <c r="EL519" s="305"/>
      <c r="EM519" s="310" t="e">
        <f>EN519+EO519+EP519</f>
        <v>#REF!</v>
      </c>
      <c r="EN519" s="234" t="e">
        <f>TEXT(AG516,"#,##0")</f>
        <v>#REF!</v>
      </c>
      <c r="EO519" s="234" t="e">
        <f>TEXT(R517,"#,##0")</f>
        <v>#REF!</v>
      </c>
      <c r="EP519" s="234" t="e">
        <f>TEXT(R518,"#,##0")</f>
        <v>#REF!</v>
      </c>
      <c r="EQ519" s="233"/>
    </row>
    <row r="520" spans="2:147" ht="11.45" hidden="1" customHeight="1">
      <c r="B520" s="228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  <c r="AH520" s="229"/>
      <c r="AI520" s="229"/>
      <c r="AJ520" s="229"/>
      <c r="AK520" s="229"/>
      <c r="AL520" s="229"/>
      <c r="AM520" s="229"/>
      <c r="AN520" s="229"/>
      <c r="AO520" s="229"/>
      <c r="AP520" s="229"/>
      <c r="AQ520" s="229"/>
      <c r="AR520" s="229"/>
      <c r="AS520" s="229"/>
      <c r="AT520" s="229"/>
      <c r="AU520" s="229"/>
      <c r="AV520" s="229"/>
      <c r="AW520" s="229"/>
      <c r="AX520" s="229"/>
      <c r="AY520" s="229"/>
      <c r="AZ520" s="229"/>
      <c r="BA520" s="229"/>
      <c r="BB520" s="229"/>
      <c r="BC520" s="229"/>
      <c r="BD520" s="229"/>
      <c r="BE520" s="229"/>
      <c r="BF520" s="229"/>
      <c r="BG520" s="229"/>
      <c r="BH520" s="229"/>
      <c r="BI520" s="229"/>
      <c r="BJ520" s="229"/>
      <c r="BK520" s="229"/>
      <c r="BL520" s="229"/>
      <c r="BM520" s="229"/>
      <c r="BN520" s="229"/>
      <c r="BO520" s="229"/>
      <c r="BP520" s="229"/>
      <c r="BQ520" s="229"/>
      <c r="BR520" s="229"/>
      <c r="BS520" s="296"/>
      <c r="BT520" s="229"/>
      <c r="BU520" s="229"/>
      <c r="BV520" s="229"/>
      <c r="BW520" s="229"/>
      <c r="BX520" s="229"/>
      <c r="BY520" s="229"/>
      <c r="BZ520" s="229"/>
      <c r="CA520" s="229"/>
      <c r="CB520" s="229"/>
      <c r="CC520" s="229"/>
      <c r="CD520" s="229"/>
      <c r="CE520" s="229"/>
      <c r="CF520" s="229"/>
      <c r="CG520" s="229"/>
      <c r="CH520" s="229"/>
      <c r="CI520" s="229"/>
      <c r="CJ520" s="229"/>
      <c r="CK520" s="229"/>
      <c r="CL520" s="229"/>
      <c r="CM520" s="229"/>
      <c r="CN520" s="229"/>
      <c r="CO520" s="229"/>
      <c r="CP520" s="229"/>
      <c r="CQ520" s="229"/>
      <c r="CR520" s="229"/>
      <c r="CS520" s="229"/>
      <c r="CT520" s="229"/>
      <c r="CU520" s="229"/>
      <c r="CV520" s="229"/>
      <c r="CW520" s="229"/>
      <c r="CX520" s="229"/>
      <c r="CY520" s="229"/>
      <c r="CZ520" s="229"/>
      <c r="DA520" s="229"/>
      <c r="DB520" s="229"/>
      <c r="DC520" s="229"/>
      <c r="DD520" s="229"/>
      <c r="DE520" s="229"/>
      <c r="DF520" s="229"/>
      <c r="DG520" s="229"/>
      <c r="DH520" s="229"/>
      <c r="DI520" s="229"/>
      <c r="DJ520" s="229"/>
      <c r="DK520" s="229"/>
      <c r="DL520" s="229"/>
      <c r="DM520" s="229"/>
      <c r="DN520" s="229"/>
      <c r="DO520" s="229"/>
      <c r="DP520" s="229"/>
      <c r="DQ520" s="229"/>
      <c r="DR520" s="229"/>
      <c r="DS520" s="229"/>
      <c r="DT520" s="229"/>
      <c r="DU520" s="229"/>
      <c r="DV520" s="229"/>
      <c r="DW520" s="229"/>
      <c r="DX520" s="229"/>
      <c r="DY520" s="229"/>
      <c r="DZ520" s="229"/>
      <c r="EA520" s="229"/>
      <c r="EB520" s="229"/>
      <c r="EC520" s="229"/>
      <c r="ED520" s="229"/>
      <c r="EE520" s="229"/>
      <c r="EF520" s="229"/>
      <c r="EG520" s="229"/>
      <c r="EH520" s="229"/>
      <c r="EI520" s="229"/>
      <c r="EJ520" s="229"/>
      <c r="EK520" s="229"/>
      <c r="EL520" s="305"/>
      <c r="EM520" s="310"/>
      <c r="EN520" s="234"/>
      <c r="EO520" s="234"/>
      <c r="EP520" s="234"/>
      <c r="EQ520" s="233"/>
    </row>
    <row r="521" spans="2:147" ht="11.45" hidden="1" customHeight="1">
      <c r="B521" s="228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  <c r="AH521" s="229"/>
      <c r="AI521" s="229"/>
      <c r="AJ521" s="229"/>
      <c r="AK521" s="229"/>
      <c r="AL521" s="229"/>
      <c r="AM521" s="229"/>
      <c r="AN521" s="229"/>
      <c r="AO521" s="229"/>
      <c r="AP521" s="229"/>
      <c r="AQ521" s="229"/>
      <c r="AR521" s="229"/>
      <c r="AS521" s="229"/>
      <c r="AT521" s="229"/>
      <c r="AU521" s="229"/>
      <c r="AV521" s="229"/>
      <c r="AW521" s="229"/>
      <c r="AX521" s="229"/>
      <c r="AY521" s="229"/>
      <c r="AZ521" s="229"/>
      <c r="BA521" s="229"/>
      <c r="BB521" s="229"/>
      <c r="BC521" s="229"/>
      <c r="BD521" s="229"/>
      <c r="BE521" s="229"/>
      <c r="BF521" s="229"/>
      <c r="BG521" s="229"/>
      <c r="BH521" s="229"/>
      <c r="BI521" s="229"/>
      <c r="BJ521" s="229"/>
      <c r="BK521" s="229"/>
      <c r="BL521" s="229"/>
      <c r="BM521" s="229"/>
      <c r="BN521" s="229"/>
      <c r="BO521" s="229"/>
      <c r="BP521" s="229"/>
      <c r="BQ521" s="229"/>
      <c r="BR521" s="229"/>
      <c r="BS521" s="296"/>
      <c r="BT521" s="229"/>
      <c r="BU521" s="229"/>
      <c r="BV521" s="229"/>
      <c r="BW521" s="229"/>
      <c r="BX521" s="229"/>
      <c r="BY521" s="229"/>
      <c r="BZ521" s="229"/>
      <c r="CA521" s="229"/>
      <c r="CB521" s="229"/>
      <c r="CC521" s="229"/>
      <c r="CD521" s="229"/>
      <c r="CE521" s="229"/>
      <c r="CF521" s="229"/>
      <c r="CG521" s="229"/>
      <c r="CH521" s="229"/>
      <c r="CI521" s="229"/>
      <c r="CJ521" s="229"/>
      <c r="CK521" s="229"/>
      <c r="CL521" s="229"/>
      <c r="CM521" s="229"/>
      <c r="CN521" s="229"/>
      <c r="CO521" s="229"/>
      <c r="CP521" s="229"/>
      <c r="CQ521" s="229"/>
      <c r="CR521" s="229"/>
      <c r="CS521" s="229"/>
      <c r="CT521" s="229"/>
      <c r="CU521" s="229"/>
      <c r="CV521" s="229"/>
      <c r="CW521" s="229"/>
      <c r="CX521" s="229"/>
      <c r="CY521" s="229"/>
      <c r="CZ521" s="229"/>
      <c r="DA521" s="229"/>
      <c r="DB521" s="229"/>
      <c r="DC521" s="229"/>
      <c r="DD521" s="229"/>
      <c r="DE521" s="229"/>
      <c r="DF521" s="229"/>
      <c r="DG521" s="229"/>
      <c r="DH521" s="229"/>
      <c r="DI521" s="229"/>
      <c r="DJ521" s="229"/>
      <c r="DK521" s="229"/>
      <c r="DL521" s="229"/>
      <c r="DM521" s="229"/>
      <c r="DN521" s="229"/>
      <c r="DO521" s="229"/>
      <c r="DP521" s="229"/>
      <c r="DQ521" s="229"/>
      <c r="DR521" s="229"/>
      <c r="DS521" s="229"/>
      <c r="DT521" s="229"/>
      <c r="DU521" s="229"/>
      <c r="DV521" s="229"/>
      <c r="DW521" s="229"/>
      <c r="DX521" s="229"/>
      <c r="DY521" s="229"/>
      <c r="DZ521" s="229"/>
      <c r="EA521" s="229"/>
      <c r="EB521" s="229"/>
      <c r="EC521" s="229"/>
      <c r="ED521" s="229"/>
      <c r="EE521" s="229"/>
      <c r="EF521" s="229"/>
      <c r="EG521" s="229"/>
      <c r="EH521" s="229"/>
      <c r="EI521" s="229"/>
      <c r="EJ521" s="229"/>
      <c r="EK521" s="229"/>
      <c r="EL521" s="305"/>
      <c r="EM521" s="310"/>
      <c r="EN521" s="234"/>
      <c r="EO521" s="234"/>
      <c r="EP521" s="234"/>
      <c r="EQ521" s="233"/>
    </row>
    <row r="522" spans="2:147" ht="11.45" hidden="1" customHeight="1">
      <c r="B522" s="228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  <c r="AH522" s="229"/>
      <c r="AI522" s="229"/>
      <c r="AJ522" s="229"/>
      <c r="AK522" s="229"/>
      <c r="AL522" s="229"/>
      <c r="AM522" s="229"/>
      <c r="AN522" s="229"/>
      <c r="AO522" s="229"/>
      <c r="AP522" s="229"/>
      <c r="AQ522" s="229"/>
      <c r="AR522" s="229"/>
      <c r="AS522" s="229"/>
      <c r="AT522" s="229"/>
      <c r="AU522" s="229"/>
      <c r="AV522" s="229"/>
      <c r="AW522" s="229"/>
      <c r="AX522" s="229"/>
      <c r="AY522" s="229"/>
      <c r="AZ522" s="229"/>
      <c r="BA522" s="229"/>
      <c r="BB522" s="229"/>
      <c r="BC522" s="229"/>
      <c r="BD522" s="229"/>
      <c r="BE522" s="229"/>
      <c r="BF522" s="229"/>
      <c r="BG522" s="229"/>
      <c r="BH522" s="229"/>
      <c r="BI522" s="229"/>
      <c r="BJ522" s="229"/>
      <c r="BK522" s="229"/>
      <c r="BL522" s="229"/>
      <c r="BM522" s="229"/>
      <c r="BN522" s="229"/>
      <c r="BO522" s="229"/>
      <c r="BP522" s="229"/>
      <c r="BQ522" s="229"/>
      <c r="BR522" s="229"/>
      <c r="BS522" s="296"/>
      <c r="BT522" s="229"/>
      <c r="BU522" s="229"/>
      <c r="BV522" s="229"/>
      <c r="BW522" s="229"/>
      <c r="BX522" s="229"/>
      <c r="BY522" s="229"/>
      <c r="BZ522" s="229"/>
      <c r="CA522" s="229"/>
      <c r="CB522" s="229"/>
      <c r="CC522" s="229"/>
      <c r="CD522" s="229"/>
      <c r="CE522" s="229"/>
      <c r="CF522" s="229"/>
      <c r="CG522" s="229"/>
      <c r="CH522" s="229"/>
      <c r="CI522" s="229"/>
      <c r="CJ522" s="229"/>
      <c r="CK522" s="229"/>
      <c r="CL522" s="229"/>
      <c r="CM522" s="229"/>
      <c r="CN522" s="229"/>
      <c r="CO522" s="229"/>
      <c r="CP522" s="229"/>
      <c r="CQ522" s="229"/>
      <c r="CR522" s="229"/>
      <c r="CS522" s="229"/>
      <c r="CT522" s="229"/>
      <c r="CU522" s="229"/>
      <c r="CV522" s="229"/>
      <c r="CW522" s="229"/>
      <c r="CX522" s="229"/>
      <c r="CY522" s="229"/>
      <c r="CZ522" s="229"/>
      <c r="DA522" s="229"/>
      <c r="DB522" s="229"/>
      <c r="DC522" s="229"/>
      <c r="DD522" s="229"/>
      <c r="DE522" s="229"/>
      <c r="DF522" s="229"/>
      <c r="DG522" s="229"/>
      <c r="DH522" s="229"/>
      <c r="DI522" s="229"/>
      <c r="DJ522" s="229"/>
      <c r="DK522" s="229"/>
      <c r="DL522" s="229"/>
      <c r="DM522" s="229"/>
      <c r="DN522" s="229"/>
      <c r="DO522" s="229"/>
      <c r="DP522" s="229"/>
      <c r="DQ522" s="229"/>
      <c r="DR522" s="229"/>
      <c r="DS522" s="229"/>
      <c r="DT522" s="229"/>
      <c r="DU522" s="229"/>
      <c r="DV522" s="229"/>
      <c r="DW522" s="229"/>
      <c r="DX522" s="229"/>
      <c r="DY522" s="229"/>
      <c r="DZ522" s="229"/>
      <c r="EA522" s="229"/>
      <c r="EB522" s="229"/>
      <c r="EC522" s="229"/>
      <c r="ED522" s="229"/>
      <c r="EE522" s="229"/>
      <c r="EF522" s="229"/>
      <c r="EG522" s="229"/>
      <c r="EH522" s="229"/>
      <c r="EI522" s="229"/>
      <c r="EJ522" s="229"/>
      <c r="EK522" s="229"/>
      <c r="EL522" s="305"/>
      <c r="EM522" s="310"/>
      <c r="EN522" s="234"/>
      <c r="EO522" s="234"/>
      <c r="EP522" s="234"/>
      <c r="EQ522" s="233"/>
    </row>
    <row r="523" spans="2:147" ht="11.45" hidden="1" customHeight="1">
      <c r="B523" s="228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  <c r="AH523" s="229"/>
      <c r="AI523" s="229"/>
      <c r="AJ523" s="229"/>
      <c r="AK523" s="229"/>
      <c r="AL523" s="229"/>
      <c r="AM523" s="229"/>
      <c r="AN523" s="229"/>
      <c r="AO523" s="229"/>
      <c r="AP523" s="229"/>
      <c r="AQ523" s="229"/>
      <c r="AR523" s="229"/>
      <c r="AS523" s="229"/>
      <c r="AT523" s="229"/>
      <c r="AU523" s="229"/>
      <c r="AV523" s="229"/>
      <c r="AW523" s="229"/>
      <c r="AX523" s="229"/>
      <c r="AY523" s="229"/>
      <c r="AZ523" s="229"/>
      <c r="BA523" s="229"/>
      <c r="BB523" s="229"/>
      <c r="BC523" s="229"/>
      <c r="BD523" s="229"/>
      <c r="BE523" s="229"/>
      <c r="BF523" s="229"/>
      <c r="BG523" s="229"/>
      <c r="BH523" s="229"/>
      <c r="BI523" s="229"/>
      <c r="BJ523" s="229"/>
      <c r="BK523" s="229"/>
      <c r="BL523" s="229"/>
      <c r="BM523" s="229"/>
      <c r="BN523" s="229"/>
      <c r="BO523" s="229"/>
      <c r="BP523" s="229"/>
      <c r="BQ523" s="229"/>
      <c r="BR523" s="229"/>
      <c r="BS523" s="296"/>
      <c r="BT523" s="229"/>
      <c r="BU523" s="229"/>
      <c r="BV523" s="229"/>
      <c r="BW523" s="229"/>
      <c r="BX523" s="229"/>
      <c r="BY523" s="229"/>
      <c r="BZ523" s="229"/>
      <c r="CA523" s="229"/>
      <c r="CB523" s="229"/>
      <c r="CC523" s="229"/>
      <c r="CD523" s="229"/>
      <c r="CE523" s="229"/>
      <c r="CF523" s="229"/>
      <c r="CG523" s="229"/>
      <c r="CH523" s="229"/>
      <c r="CI523" s="229"/>
      <c r="CJ523" s="229"/>
      <c r="CK523" s="229"/>
      <c r="CL523" s="229"/>
      <c r="CM523" s="229"/>
      <c r="CN523" s="229"/>
      <c r="CO523" s="229"/>
      <c r="CP523" s="229"/>
      <c r="CQ523" s="229"/>
      <c r="CR523" s="229"/>
      <c r="CS523" s="229"/>
      <c r="CT523" s="229"/>
      <c r="CU523" s="229"/>
      <c r="CV523" s="229"/>
      <c r="CW523" s="229"/>
      <c r="CX523" s="229"/>
      <c r="CY523" s="229"/>
      <c r="CZ523" s="229"/>
      <c r="DA523" s="229"/>
      <c r="DB523" s="229"/>
      <c r="DC523" s="229"/>
      <c r="DD523" s="229"/>
      <c r="DE523" s="229"/>
      <c r="DF523" s="229"/>
      <c r="DG523" s="229"/>
      <c r="DH523" s="229"/>
      <c r="DI523" s="229"/>
      <c r="DJ523" s="229"/>
      <c r="DK523" s="229"/>
      <c r="DL523" s="229"/>
      <c r="DM523" s="229"/>
      <c r="DN523" s="229"/>
      <c r="DO523" s="229"/>
      <c r="DP523" s="229"/>
      <c r="DQ523" s="229"/>
      <c r="DR523" s="229"/>
      <c r="DS523" s="229"/>
      <c r="DT523" s="229"/>
      <c r="DU523" s="229"/>
      <c r="DV523" s="229"/>
      <c r="DW523" s="229"/>
      <c r="DX523" s="229"/>
      <c r="DY523" s="229"/>
      <c r="DZ523" s="229"/>
      <c r="EA523" s="229"/>
      <c r="EB523" s="229"/>
      <c r="EC523" s="229"/>
      <c r="ED523" s="229"/>
      <c r="EE523" s="229"/>
      <c r="EF523" s="229"/>
      <c r="EG523" s="229"/>
      <c r="EH523" s="229"/>
      <c r="EI523" s="229"/>
      <c r="EJ523" s="229"/>
      <c r="EK523" s="229"/>
      <c r="EL523" s="305"/>
      <c r="EM523" s="310"/>
      <c r="EN523" s="234"/>
      <c r="EO523" s="234"/>
      <c r="EP523" s="234"/>
      <c r="EQ523" s="233"/>
    </row>
    <row r="524" spans="2:147" ht="11.45" hidden="1" customHeight="1">
      <c r="B524" s="228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  <c r="AH524" s="229"/>
      <c r="AI524" s="229"/>
      <c r="AJ524" s="229"/>
      <c r="AK524" s="229"/>
      <c r="AL524" s="229"/>
      <c r="AM524" s="229"/>
      <c r="AN524" s="229"/>
      <c r="AO524" s="229"/>
      <c r="AP524" s="229"/>
      <c r="AQ524" s="229"/>
      <c r="AR524" s="229"/>
      <c r="AS524" s="229"/>
      <c r="AT524" s="229"/>
      <c r="AU524" s="229"/>
      <c r="AV524" s="229"/>
      <c r="AW524" s="229"/>
      <c r="AX524" s="229"/>
      <c r="AY524" s="229"/>
      <c r="AZ524" s="229"/>
      <c r="BA524" s="229"/>
      <c r="BB524" s="229"/>
      <c r="BC524" s="229"/>
      <c r="BD524" s="229"/>
      <c r="BE524" s="229"/>
      <c r="BF524" s="229"/>
      <c r="BG524" s="229"/>
      <c r="BH524" s="229"/>
      <c r="BI524" s="229"/>
      <c r="BJ524" s="229"/>
      <c r="BK524" s="229"/>
      <c r="BL524" s="229"/>
      <c r="BM524" s="229"/>
      <c r="BN524" s="229"/>
      <c r="BO524" s="229"/>
      <c r="BP524" s="229"/>
      <c r="BQ524" s="229"/>
      <c r="BR524" s="229"/>
      <c r="BS524" s="296"/>
      <c r="BT524" s="229"/>
      <c r="BU524" s="229"/>
      <c r="BV524" s="229"/>
      <c r="BW524" s="229"/>
      <c r="BX524" s="229"/>
      <c r="BY524" s="229"/>
      <c r="BZ524" s="229"/>
      <c r="CA524" s="229"/>
      <c r="CB524" s="229"/>
      <c r="CC524" s="229"/>
      <c r="CD524" s="229"/>
      <c r="CE524" s="229"/>
      <c r="CF524" s="229"/>
      <c r="CG524" s="229"/>
      <c r="CH524" s="229"/>
      <c r="CI524" s="229"/>
      <c r="CJ524" s="229"/>
      <c r="CK524" s="229"/>
      <c r="CL524" s="229"/>
      <c r="CM524" s="229"/>
      <c r="CN524" s="229"/>
      <c r="CO524" s="229"/>
      <c r="CP524" s="229"/>
      <c r="CQ524" s="229"/>
      <c r="CR524" s="229"/>
      <c r="CS524" s="229"/>
      <c r="CT524" s="229"/>
      <c r="CU524" s="229"/>
      <c r="CV524" s="229"/>
      <c r="CW524" s="229"/>
      <c r="CX524" s="229"/>
      <c r="CY524" s="229"/>
      <c r="CZ524" s="229"/>
      <c r="DA524" s="229"/>
      <c r="DB524" s="229"/>
      <c r="DC524" s="229"/>
      <c r="DD524" s="229"/>
      <c r="DE524" s="229"/>
      <c r="DF524" s="229"/>
      <c r="DG524" s="229"/>
      <c r="DH524" s="229"/>
      <c r="DI524" s="229"/>
      <c r="DJ524" s="229"/>
      <c r="DK524" s="229"/>
      <c r="DL524" s="229"/>
      <c r="DM524" s="229"/>
      <c r="DN524" s="229"/>
      <c r="DO524" s="229"/>
      <c r="DP524" s="229"/>
      <c r="DQ524" s="229"/>
      <c r="DR524" s="229"/>
      <c r="DS524" s="229"/>
      <c r="DT524" s="229"/>
      <c r="DU524" s="229"/>
      <c r="DV524" s="229"/>
      <c r="DW524" s="229"/>
      <c r="DX524" s="229"/>
      <c r="DY524" s="229"/>
      <c r="DZ524" s="229"/>
      <c r="EA524" s="229"/>
      <c r="EB524" s="229"/>
      <c r="EC524" s="229"/>
      <c r="ED524" s="229"/>
      <c r="EE524" s="229"/>
      <c r="EF524" s="229"/>
      <c r="EG524" s="229"/>
      <c r="EH524" s="229"/>
      <c r="EI524" s="229"/>
      <c r="EJ524" s="229"/>
      <c r="EK524" s="229"/>
      <c r="EL524" s="305"/>
      <c r="EM524" s="310"/>
      <c r="EN524" s="234"/>
      <c r="EO524" s="234"/>
      <c r="EP524" s="234"/>
      <c r="EQ524" s="233"/>
    </row>
    <row r="525" spans="2:147" ht="11.45" hidden="1" customHeight="1">
      <c r="B525" s="228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  <c r="AH525" s="229"/>
      <c r="AI525" s="229"/>
      <c r="AJ525" s="229"/>
      <c r="AK525" s="229"/>
      <c r="AL525" s="229"/>
      <c r="AM525" s="229"/>
      <c r="AN525" s="229"/>
      <c r="AO525" s="229"/>
      <c r="AP525" s="229"/>
      <c r="AQ525" s="229"/>
      <c r="AR525" s="229"/>
      <c r="AS525" s="229"/>
      <c r="AT525" s="229"/>
      <c r="AU525" s="229"/>
      <c r="AV525" s="229"/>
      <c r="AW525" s="229"/>
      <c r="AX525" s="229"/>
      <c r="AY525" s="229"/>
      <c r="AZ525" s="229"/>
      <c r="BA525" s="229"/>
      <c r="BB525" s="229"/>
      <c r="BC525" s="229"/>
      <c r="BD525" s="229"/>
      <c r="BE525" s="229"/>
      <c r="BF525" s="229"/>
      <c r="BG525" s="229"/>
      <c r="BH525" s="229"/>
      <c r="BI525" s="229"/>
      <c r="BJ525" s="229"/>
      <c r="BK525" s="229"/>
      <c r="BL525" s="229"/>
      <c r="BM525" s="229"/>
      <c r="BN525" s="229"/>
      <c r="BO525" s="229"/>
      <c r="BP525" s="229"/>
      <c r="BQ525" s="229"/>
      <c r="BR525" s="229"/>
      <c r="BS525" s="296"/>
      <c r="BT525" s="229"/>
      <c r="BU525" s="229"/>
      <c r="BV525" s="229"/>
      <c r="BW525" s="229"/>
      <c r="BX525" s="229"/>
      <c r="BY525" s="229"/>
      <c r="BZ525" s="229"/>
      <c r="CA525" s="229"/>
      <c r="CB525" s="229"/>
      <c r="CC525" s="229"/>
      <c r="CD525" s="229"/>
      <c r="CE525" s="229"/>
      <c r="CF525" s="229"/>
      <c r="CG525" s="229"/>
      <c r="CH525" s="229"/>
      <c r="CI525" s="229"/>
      <c r="CJ525" s="229"/>
      <c r="CK525" s="229"/>
      <c r="CL525" s="229"/>
      <c r="CM525" s="229"/>
      <c r="CN525" s="229"/>
      <c r="CO525" s="229"/>
      <c r="CP525" s="229"/>
      <c r="CQ525" s="229"/>
      <c r="CR525" s="229"/>
      <c r="CS525" s="229"/>
      <c r="CT525" s="229"/>
      <c r="CU525" s="229"/>
      <c r="CV525" s="229"/>
      <c r="CW525" s="229"/>
      <c r="CX525" s="229"/>
      <c r="CY525" s="229"/>
      <c r="CZ525" s="229"/>
      <c r="DA525" s="229"/>
      <c r="DB525" s="229"/>
      <c r="DC525" s="229"/>
      <c r="DD525" s="229"/>
      <c r="DE525" s="229"/>
      <c r="DF525" s="229"/>
      <c r="DG525" s="229"/>
      <c r="DH525" s="229"/>
      <c r="DI525" s="229"/>
      <c r="DJ525" s="229"/>
      <c r="DK525" s="229"/>
      <c r="DL525" s="229"/>
      <c r="DM525" s="229"/>
      <c r="DN525" s="229"/>
      <c r="DO525" s="229"/>
      <c r="DP525" s="229"/>
      <c r="DQ525" s="229"/>
      <c r="DR525" s="229"/>
      <c r="DS525" s="229"/>
      <c r="DT525" s="229"/>
      <c r="DU525" s="229"/>
      <c r="DV525" s="229"/>
      <c r="DW525" s="229"/>
      <c r="DX525" s="229"/>
      <c r="DY525" s="229"/>
      <c r="DZ525" s="229"/>
      <c r="EA525" s="229"/>
      <c r="EB525" s="229"/>
      <c r="EC525" s="229"/>
      <c r="ED525" s="229"/>
      <c r="EE525" s="229"/>
      <c r="EF525" s="229"/>
      <c r="EG525" s="229"/>
      <c r="EH525" s="229"/>
      <c r="EI525" s="229"/>
      <c r="EJ525" s="229"/>
      <c r="EK525" s="229"/>
      <c r="EL525" s="305"/>
      <c r="EM525" s="310"/>
      <c r="EN525" s="234"/>
      <c r="EO525" s="234"/>
      <c r="EP525" s="234"/>
      <c r="EQ525" s="233"/>
    </row>
    <row r="526" spans="2:147" ht="11.45" hidden="1" customHeight="1">
      <c r="B526" s="228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  <c r="AH526" s="229"/>
      <c r="AI526" s="229"/>
      <c r="AJ526" s="229"/>
      <c r="AK526" s="229"/>
      <c r="AL526" s="229"/>
      <c r="AM526" s="229"/>
      <c r="AN526" s="229"/>
      <c r="AO526" s="229"/>
      <c r="AP526" s="229"/>
      <c r="AQ526" s="229"/>
      <c r="AR526" s="229"/>
      <c r="AS526" s="229"/>
      <c r="AT526" s="229"/>
      <c r="AU526" s="229"/>
      <c r="AV526" s="229"/>
      <c r="AW526" s="229"/>
      <c r="AX526" s="229"/>
      <c r="AY526" s="229"/>
      <c r="AZ526" s="229"/>
      <c r="BA526" s="229"/>
      <c r="BB526" s="229"/>
      <c r="BC526" s="229"/>
      <c r="BD526" s="229"/>
      <c r="BE526" s="229"/>
      <c r="BF526" s="229"/>
      <c r="BG526" s="229"/>
      <c r="BH526" s="229"/>
      <c r="BI526" s="229"/>
      <c r="BJ526" s="229"/>
      <c r="BK526" s="229"/>
      <c r="BL526" s="229"/>
      <c r="BM526" s="229"/>
      <c r="BN526" s="229"/>
      <c r="BO526" s="229"/>
      <c r="BP526" s="229"/>
      <c r="BQ526" s="229"/>
      <c r="BR526" s="229"/>
      <c r="BS526" s="296"/>
      <c r="BT526" s="229"/>
      <c r="BU526" s="229"/>
      <c r="BV526" s="229"/>
      <c r="BW526" s="229"/>
      <c r="BX526" s="229"/>
      <c r="BY526" s="229"/>
      <c r="BZ526" s="229"/>
      <c r="CA526" s="229"/>
      <c r="CB526" s="229"/>
      <c r="CC526" s="229"/>
      <c r="CD526" s="229"/>
      <c r="CE526" s="229"/>
      <c r="CF526" s="229"/>
      <c r="CG526" s="229"/>
      <c r="CH526" s="229"/>
      <c r="CI526" s="229"/>
      <c r="CJ526" s="229"/>
      <c r="CK526" s="229"/>
      <c r="CL526" s="229"/>
      <c r="CM526" s="229"/>
      <c r="CN526" s="229"/>
      <c r="CO526" s="229"/>
      <c r="CP526" s="229"/>
      <c r="CQ526" s="229"/>
      <c r="CR526" s="229"/>
      <c r="CS526" s="229"/>
      <c r="CT526" s="229"/>
      <c r="CU526" s="229"/>
      <c r="CV526" s="229"/>
      <c r="CW526" s="229"/>
      <c r="CX526" s="229"/>
      <c r="CY526" s="229"/>
      <c r="CZ526" s="229"/>
      <c r="DA526" s="229"/>
      <c r="DB526" s="229"/>
      <c r="DC526" s="229"/>
      <c r="DD526" s="229"/>
      <c r="DE526" s="229"/>
      <c r="DF526" s="229"/>
      <c r="DG526" s="229"/>
      <c r="DH526" s="229"/>
      <c r="DI526" s="229"/>
      <c r="DJ526" s="229"/>
      <c r="DK526" s="229"/>
      <c r="DL526" s="229"/>
      <c r="DM526" s="229"/>
      <c r="DN526" s="229"/>
      <c r="DO526" s="229"/>
      <c r="DP526" s="229"/>
      <c r="DQ526" s="229"/>
      <c r="DR526" s="229"/>
      <c r="DS526" s="229"/>
      <c r="DT526" s="229"/>
      <c r="DU526" s="229"/>
      <c r="DV526" s="229"/>
      <c r="DW526" s="229"/>
      <c r="DX526" s="229"/>
      <c r="DY526" s="229"/>
      <c r="DZ526" s="229"/>
      <c r="EA526" s="229"/>
      <c r="EB526" s="229"/>
      <c r="EC526" s="229"/>
      <c r="ED526" s="229"/>
      <c r="EE526" s="229"/>
      <c r="EF526" s="229"/>
      <c r="EG526" s="229"/>
      <c r="EH526" s="229"/>
      <c r="EI526" s="229"/>
      <c r="EJ526" s="229"/>
      <c r="EK526" s="229"/>
      <c r="EL526" s="305"/>
      <c r="EM526" s="310"/>
      <c r="EN526" s="234"/>
      <c r="EO526" s="234"/>
      <c r="EP526" s="234"/>
      <c r="EQ526" s="233"/>
    </row>
    <row r="527" spans="2:147" ht="11.45" hidden="1" customHeight="1">
      <c r="B527" s="228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  <c r="AH527" s="229"/>
      <c r="AI527" s="229"/>
      <c r="AJ527" s="229"/>
      <c r="AK527" s="229"/>
      <c r="AL527" s="229"/>
      <c r="AM527" s="229"/>
      <c r="AN527" s="229"/>
      <c r="AO527" s="229"/>
      <c r="AP527" s="229"/>
      <c r="AQ527" s="229"/>
      <c r="AR527" s="229"/>
      <c r="AS527" s="229"/>
      <c r="AT527" s="229"/>
      <c r="AU527" s="229"/>
      <c r="AV527" s="229"/>
      <c r="AW527" s="229"/>
      <c r="AX527" s="229"/>
      <c r="AY527" s="229"/>
      <c r="AZ527" s="229"/>
      <c r="BA527" s="229"/>
      <c r="BB527" s="229"/>
      <c r="BC527" s="229"/>
      <c r="BD527" s="229"/>
      <c r="BE527" s="229"/>
      <c r="BF527" s="229"/>
      <c r="BG527" s="229"/>
      <c r="BH527" s="229"/>
      <c r="BI527" s="229"/>
      <c r="BJ527" s="229"/>
      <c r="BK527" s="229"/>
      <c r="BL527" s="229"/>
      <c r="BM527" s="229"/>
      <c r="BN527" s="229"/>
      <c r="BO527" s="229"/>
      <c r="BP527" s="229"/>
      <c r="BQ527" s="229"/>
      <c r="BR527" s="229"/>
      <c r="BS527" s="296"/>
      <c r="BT527" s="229"/>
      <c r="BU527" s="229"/>
      <c r="BV527" s="229"/>
      <c r="BW527" s="229"/>
      <c r="BX527" s="229"/>
      <c r="BY527" s="229"/>
      <c r="BZ527" s="229"/>
      <c r="CA527" s="229"/>
      <c r="CB527" s="229"/>
      <c r="CC527" s="229"/>
      <c r="CD527" s="229"/>
      <c r="CE527" s="229"/>
      <c r="CF527" s="229"/>
      <c r="CG527" s="229"/>
      <c r="CH527" s="229"/>
      <c r="CI527" s="229"/>
      <c r="CJ527" s="229"/>
      <c r="CK527" s="229"/>
      <c r="CL527" s="229"/>
      <c r="CM527" s="229"/>
      <c r="CN527" s="229"/>
      <c r="CO527" s="229"/>
      <c r="CP527" s="229"/>
      <c r="CQ527" s="229"/>
      <c r="CR527" s="229"/>
      <c r="CS527" s="229"/>
      <c r="CT527" s="229"/>
      <c r="CU527" s="229"/>
      <c r="CV527" s="229"/>
      <c r="CW527" s="229"/>
      <c r="CX527" s="229"/>
      <c r="CY527" s="229"/>
      <c r="CZ527" s="229"/>
      <c r="DA527" s="229"/>
      <c r="DB527" s="229"/>
      <c r="DC527" s="229"/>
      <c r="DD527" s="229"/>
      <c r="DE527" s="229"/>
      <c r="DF527" s="229"/>
      <c r="DG527" s="229"/>
      <c r="DH527" s="229"/>
      <c r="DI527" s="229"/>
      <c r="DJ527" s="229"/>
      <c r="DK527" s="229"/>
      <c r="DL527" s="229"/>
      <c r="DM527" s="229"/>
      <c r="DN527" s="229"/>
      <c r="DO527" s="229"/>
      <c r="DP527" s="229"/>
      <c r="DQ527" s="229"/>
      <c r="DR527" s="229"/>
      <c r="DS527" s="229"/>
      <c r="DT527" s="229"/>
      <c r="DU527" s="229"/>
      <c r="DV527" s="229"/>
      <c r="DW527" s="229"/>
      <c r="DX527" s="229"/>
      <c r="DY527" s="229"/>
      <c r="DZ527" s="229"/>
      <c r="EA527" s="229"/>
      <c r="EB527" s="229"/>
      <c r="EC527" s="229"/>
      <c r="ED527" s="229"/>
      <c r="EE527" s="229"/>
      <c r="EF527" s="229"/>
      <c r="EG527" s="229"/>
      <c r="EH527" s="229"/>
      <c r="EI527" s="229"/>
      <c r="EJ527" s="229"/>
      <c r="EK527" s="229"/>
      <c r="EL527" s="305"/>
      <c r="EM527" s="310"/>
      <c r="EN527" s="234"/>
      <c r="EO527" s="234"/>
      <c r="EP527" s="234"/>
      <c r="EQ527" s="233"/>
    </row>
    <row r="528" spans="2:147" ht="11.45" hidden="1" customHeight="1">
      <c r="B528" s="228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  <c r="AH528" s="229"/>
      <c r="AI528" s="229"/>
      <c r="AJ528" s="229"/>
      <c r="AK528" s="229"/>
      <c r="AL528" s="229"/>
      <c r="AM528" s="229"/>
      <c r="AN528" s="229"/>
      <c r="AO528" s="229"/>
      <c r="AP528" s="229"/>
      <c r="AQ528" s="229"/>
      <c r="AR528" s="229"/>
      <c r="AS528" s="229"/>
      <c r="AT528" s="229"/>
      <c r="AU528" s="229"/>
      <c r="AV528" s="229"/>
      <c r="AW528" s="229"/>
      <c r="AX528" s="229"/>
      <c r="AY528" s="229"/>
      <c r="AZ528" s="229"/>
      <c r="BA528" s="229"/>
      <c r="BB528" s="229"/>
      <c r="BC528" s="229"/>
      <c r="BD528" s="229"/>
      <c r="BE528" s="229"/>
      <c r="BF528" s="229"/>
      <c r="BG528" s="229"/>
      <c r="BH528" s="229"/>
      <c r="BI528" s="229"/>
      <c r="BJ528" s="229"/>
      <c r="BK528" s="229"/>
      <c r="BL528" s="229"/>
      <c r="BM528" s="229"/>
      <c r="BN528" s="229"/>
      <c r="BO528" s="229"/>
      <c r="BP528" s="229"/>
      <c r="BQ528" s="229"/>
      <c r="BR528" s="229"/>
      <c r="BS528" s="296"/>
      <c r="BT528" s="229"/>
      <c r="BU528" s="229"/>
      <c r="BV528" s="229"/>
      <c r="BW528" s="229"/>
      <c r="BX528" s="229"/>
      <c r="BY528" s="229"/>
      <c r="BZ528" s="229"/>
      <c r="CA528" s="229"/>
      <c r="CB528" s="229"/>
      <c r="CC528" s="229"/>
      <c r="CD528" s="229"/>
      <c r="CE528" s="229"/>
      <c r="CF528" s="229"/>
      <c r="CG528" s="229"/>
      <c r="CH528" s="229"/>
      <c r="CI528" s="229"/>
      <c r="CJ528" s="229"/>
      <c r="CK528" s="229"/>
      <c r="CL528" s="229"/>
      <c r="CM528" s="229"/>
      <c r="CN528" s="229"/>
      <c r="CO528" s="229"/>
      <c r="CP528" s="229"/>
      <c r="CQ528" s="229"/>
      <c r="CR528" s="229"/>
      <c r="CS528" s="229"/>
      <c r="CT528" s="229"/>
      <c r="CU528" s="229"/>
      <c r="CV528" s="229"/>
      <c r="CW528" s="229"/>
      <c r="CX528" s="229"/>
      <c r="CY528" s="229"/>
      <c r="CZ528" s="229"/>
      <c r="DA528" s="229"/>
      <c r="DB528" s="229"/>
      <c r="DC528" s="229"/>
      <c r="DD528" s="229"/>
      <c r="DE528" s="229"/>
      <c r="DF528" s="229"/>
      <c r="DG528" s="229"/>
      <c r="DH528" s="229"/>
      <c r="DI528" s="229"/>
      <c r="DJ528" s="229"/>
      <c r="DK528" s="229"/>
      <c r="DL528" s="229"/>
      <c r="DM528" s="229"/>
      <c r="DN528" s="229"/>
      <c r="DO528" s="229"/>
      <c r="DP528" s="229"/>
      <c r="DQ528" s="229"/>
      <c r="DR528" s="229"/>
      <c r="DS528" s="229"/>
      <c r="DT528" s="229"/>
      <c r="DU528" s="229"/>
      <c r="DV528" s="229"/>
      <c r="DW528" s="229"/>
      <c r="DX528" s="229"/>
      <c r="DY528" s="229"/>
      <c r="DZ528" s="229"/>
      <c r="EA528" s="229"/>
      <c r="EB528" s="229"/>
      <c r="EC528" s="229"/>
      <c r="ED528" s="229"/>
      <c r="EE528" s="229"/>
      <c r="EF528" s="229"/>
      <c r="EG528" s="229"/>
      <c r="EH528" s="229"/>
      <c r="EI528" s="229"/>
      <c r="EJ528" s="229"/>
      <c r="EK528" s="229"/>
      <c r="EL528" s="305"/>
      <c r="EM528" s="310"/>
      <c r="EN528" s="234"/>
      <c r="EO528" s="234"/>
      <c r="EP528" s="234"/>
      <c r="EQ528" s="233"/>
    </row>
    <row r="529" spans="2:147" ht="11.45" hidden="1" customHeight="1">
      <c r="B529" s="228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  <c r="AH529" s="229"/>
      <c r="AI529" s="229"/>
      <c r="AJ529" s="229"/>
      <c r="AK529" s="229"/>
      <c r="AL529" s="229"/>
      <c r="AM529" s="229"/>
      <c r="AN529" s="229"/>
      <c r="AO529" s="229"/>
      <c r="AP529" s="229"/>
      <c r="AQ529" s="229"/>
      <c r="AR529" s="229"/>
      <c r="AS529" s="229"/>
      <c r="AT529" s="229"/>
      <c r="AU529" s="229"/>
      <c r="AV529" s="229"/>
      <c r="AW529" s="229"/>
      <c r="AX529" s="229"/>
      <c r="AY529" s="229"/>
      <c r="AZ529" s="229"/>
      <c r="BA529" s="229"/>
      <c r="BB529" s="229"/>
      <c r="BC529" s="229"/>
      <c r="BD529" s="229"/>
      <c r="BE529" s="229"/>
      <c r="BF529" s="229"/>
      <c r="BG529" s="229"/>
      <c r="BH529" s="229"/>
      <c r="BI529" s="229"/>
      <c r="BJ529" s="229"/>
      <c r="BK529" s="229"/>
      <c r="BL529" s="229"/>
      <c r="BM529" s="229"/>
      <c r="BN529" s="229"/>
      <c r="BO529" s="229"/>
      <c r="BP529" s="229"/>
      <c r="BQ529" s="229"/>
      <c r="BR529" s="229"/>
      <c r="BS529" s="296"/>
      <c r="BT529" s="229"/>
      <c r="BU529" s="229"/>
      <c r="BV529" s="229"/>
      <c r="BW529" s="229"/>
      <c r="BX529" s="229"/>
      <c r="BY529" s="229"/>
      <c r="BZ529" s="229"/>
      <c r="CA529" s="229"/>
      <c r="CB529" s="229"/>
      <c r="CC529" s="229"/>
      <c r="CD529" s="229"/>
      <c r="CE529" s="229"/>
      <c r="CF529" s="229"/>
      <c r="CG529" s="229"/>
      <c r="CH529" s="229"/>
      <c r="CI529" s="229"/>
      <c r="CJ529" s="229"/>
      <c r="CK529" s="229"/>
      <c r="CL529" s="229"/>
      <c r="CM529" s="229"/>
      <c r="CN529" s="229"/>
      <c r="CO529" s="229"/>
      <c r="CP529" s="229"/>
      <c r="CQ529" s="229"/>
      <c r="CR529" s="229"/>
      <c r="CS529" s="229"/>
      <c r="CT529" s="229"/>
      <c r="CU529" s="229"/>
      <c r="CV529" s="229"/>
      <c r="CW529" s="229"/>
      <c r="CX529" s="229"/>
      <c r="CY529" s="229"/>
      <c r="CZ529" s="229"/>
      <c r="DA529" s="229"/>
      <c r="DB529" s="229"/>
      <c r="DC529" s="229"/>
      <c r="DD529" s="229"/>
      <c r="DE529" s="229"/>
      <c r="DF529" s="229"/>
      <c r="DG529" s="229"/>
      <c r="DH529" s="229"/>
      <c r="DI529" s="229"/>
      <c r="DJ529" s="229"/>
      <c r="DK529" s="229"/>
      <c r="DL529" s="229"/>
      <c r="DM529" s="229"/>
      <c r="DN529" s="229"/>
      <c r="DO529" s="229"/>
      <c r="DP529" s="229"/>
      <c r="DQ529" s="229"/>
      <c r="DR529" s="229"/>
      <c r="DS529" s="229"/>
      <c r="DT529" s="229"/>
      <c r="DU529" s="229"/>
      <c r="DV529" s="229"/>
      <c r="DW529" s="229"/>
      <c r="DX529" s="229"/>
      <c r="DY529" s="229"/>
      <c r="DZ529" s="229"/>
      <c r="EA529" s="229"/>
      <c r="EB529" s="229"/>
      <c r="EC529" s="229"/>
      <c r="ED529" s="229"/>
      <c r="EE529" s="229"/>
      <c r="EF529" s="229"/>
      <c r="EG529" s="229"/>
      <c r="EH529" s="229"/>
      <c r="EI529" s="229"/>
      <c r="EJ529" s="229"/>
      <c r="EK529" s="229"/>
      <c r="EL529" s="305"/>
      <c r="EM529" s="310"/>
      <c r="EN529" s="234"/>
      <c r="EO529" s="234"/>
      <c r="EP529" s="234"/>
      <c r="EQ529" s="233"/>
    </row>
    <row r="530" spans="2:147" ht="11.45" hidden="1" customHeight="1">
      <c r="B530" s="228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  <c r="AH530" s="229"/>
      <c r="AI530" s="229"/>
      <c r="AJ530" s="229"/>
      <c r="AK530" s="229"/>
      <c r="AL530" s="229"/>
      <c r="AM530" s="229"/>
      <c r="AN530" s="229"/>
      <c r="AO530" s="229"/>
      <c r="AP530" s="229"/>
      <c r="AQ530" s="229"/>
      <c r="AR530" s="229"/>
      <c r="AS530" s="229"/>
      <c r="AT530" s="229"/>
      <c r="AU530" s="229"/>
      <c r="AV530" s="229"/>
      <c r="AW530" s="229"/>
      <c r="AX530" s="229"/>
      <c r="AY530" s="229"/>
      <c r="AZ530" s="229"/>
      <c r="BA530" s="229"/>
      <c r="BB530" s="229"/>
      <c r="BC530" s="229"/>
      <c r="BD530" s="229"/>
      <c r="BE530" s="229"/>
      <c r="BF530" s="229"/>
      <c r="BG530" s="229"/>
      <c r="BH530" s="229"/>
      <c r="BI530" s="229"/>
      <c r="BJ530" s="229"/>
      <c r="BK530" s="229"/>
      <c r="BL530" s="229"/>
      <c r="BM530" s="229"/>
      <c r="BN530" s="229"/>
      <c r="BO530" s="229"/>
      <c r="BP530" s="229"/>
      <c r="BQ530" s="229"/>
      <c r="BR530" s="229"/>
      <c r="BS530" s="296"/>
      <c r="BT530" s="229"/>
      <c r="BU530" s="229"/>
      <c r="BV530" s="229"/>
      <c r="BW530" s="229"/>
      <c r="BX530" s="229"/>
      <c r="BY530" s="229"/>
      <c r="BZ530" s="229"/>
      <c r="CA530" s="229"/>
      <c r="CB530" s="229"/>
      <c r="CC530" s="229"/>
      <c r="CD530" s="229"/>
      <c r="CE530" s="229"/>
      <c r="CF530" s="229"/>
      <c r="CG530" s="229"/>
      <c r="CH530" s="229"/>
      <c r="CI530" s="229"/>
      <c r="CJ530" s="229"/>
      <c r="CK530" s="229"/>
      <c r="CL530" s="229"/>
      <c r="CM530" s="229"/>
      <c r="CN530" s="229"/>
      <c r="CO530" s="229"/>
      <c r="CP530" s="229"/>
      <c r="CQ530" s="229"/>
      <c r="CR530" s="229"/>
      <c r="CS530" s="229"/>
      <c r="CT530" s="229"/>
      <c r="CU530" s="229"/>
      <c r="CV530" s="229"/>
      <c r="CW530" s="229"/>
      <c r="CX530" s="229"/>
      <c r="CY530" s="229"/>
      <c r="CZ530" s="229"/>
      <c r="DA530" s="229"/>
      <c r="DB530" s="229"/>
      <c r="DC530" s="229"/>
      <c r="DD530" s="229"/>
      <c r="DE530" s="229"/>
      <c r="DF530" s="229"/>
      <c r="DG530" s="229"/>
      <c r="DH530" s="229"/>
      <c r="DI530" s="229"/>
      <c r="DJ530" s="229"/>
      <c r="DK530" s="229"/>
      <c r="DL530" s="229"/>
      <c r="DM530" s="229"/>
      <c r="DN530" s="229"/>
      <c r="DO530" s="229"/>
      <c r="DP530" s="229"/>
      <c r="DQ530" s="229"/>
      <c r="DR530" s="229"/>
      <c r="DS530" s="229"/>
      <c r="DT530" s="229"/>
      <c r="DU530" s="229"/>
      <c r="DV530" s="229"/>
      <c r="DW530" s="229"/>
      <c r="DX530" s="229"/>
      <c r="DY530" s="229"/>
      <c r="DZ530" s="229"/>
      <c r="EA530" s="229"/>
      <c r="EB530" s="229"/>
      <c r="EC530" s="229"/>
      <c r="ED530" s="229"/>
      <c r="EE530" s="229"/>
      <c r="EF530" s="229"/>
      <c r="EG530" s="229"/>
      <c r="EH530" s="229"/>
      <c r="EI530" s="229"/>
      <c r="EJ530" s="229"/>
      <c r="EK530" s="229"/>
      <c r="EL530" s="305"/>
      <c r="EM530" s="310"/>
      <c r="EN530" s="234"/>
      <c r="EO530" s="234"/>
      <c r="EP530" s="234"/>
      <c r="EQ530" s="233"/>
    </row>
    <row r="531" spans="2:147" ht="11.45" hidden="1" customHeight="1">
      <c r="B531" s="228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  <c r="AH531" s="229"/>
      <c r="AI531" s="229"/>
      <c r="AJ531" s="229"/>
      <c r="AK531" s="229"/>
      <c r="AL531" s="229"/>
      <c r="AM531" s="229"/>
      <c r="AN531" s="229"/>
      <c r="AO531" s="229"/>
      <c r="AP531" s="229"/>
      <c r="AQ531" s="229"/>
      <c r="AR531" s="229"/>
      <c r="AS531" s="229"/>
      <c r="AT531" s="229"/>
      <c r="AU531" s="229"/>
      <c r="AV531" s="229"/>
      <c r="AW531" s="229"/>
      <c r="AX531" s="229"/>
      <c r="AY531" s="229"/>
      <c r="AZ531" s="229"/>
      <c r="BA531" s="229"/>
      <c r="BB531" s="229"/>
      <c r="BC531" s="229"/>
      <c r="BD531" s="229"/>
      <c r="BE531" s="229"/>
      <c r="BF531" s="229"/>
      <c r="BG531" s="229"/>
      <c r="BH531" s="229"/>
      <c r="BI531" s="229"/>
      <c r="BJ531" s="229"/>
      <c r="BK531" s="229"/>
      <c r="BL531" s="229"/>
      <c r="BM531" s="229"/>
      <c r="BN531" s="229"/>
      <c r="BO531" s="229"/>
      <c r="BP531" s="229"/>
      <c r="BQ531" s="229"/>
      <c r="BR531" s="229"/>
      <c r="BS531" s="296"/>
      <c r="BT531" s="229"/>
      <c r="BU531" s="229"/>
      <c r="BV531" s="229"/>
      <c r="BW531" s="229"/>
      <c r="BX531" s="229"/>
      <c r="BY531" s="229"/>
      <c r="BZ531" s="229"/>
      <c r="CA531" s="229"/>
      <c r="CB531" s="229"/>
      <c r="CC531" s="229"/>
      <c r="CD531" s="229"/>
      <c r="CE531" s="229"/>
      <c r="CF531" s="229"/>
      <c r="CG531" s="229"/>
      <c r="CH531" s="229"/>
      <c r="CI531" s="229"/>
      <c r="CJ531" s="229"/>
      <c r="CK531" s="229"/>
      <c r="CL531" s="229"/>
      <c r="CM531" s="229"/>
      <c r="CN531" s="229"/>
      <c r="CO531" s="229"/>
      <c r="CP531" s="229"/>
      <c r="CQ531" s="229"/>
      <c r="CR531" s="229"/>
      <c r="CS531" s="229"/>
      <c r="CT531" s="229"/>
      <c r="CU531" s="229"/>
      <c r="CV531" s="229"/>
      <c r="CW531" s="229"/>
      <c r="CX531" s="229"/>
      <c r="CY531" s="229"/>
      <c r="CZ531" s="229"/>
      <c r="DA531" s="229"/>
      <c r="DB531" s="229"/>
      <c r="DC531" s="229"/>
      <c r="DD531" s="229"/>
      <c r="DE531" s="229"/>
      <c r="DF531" s="229"/>
      <c r="DG531" s="229"/>
      <c r="DH531" s="229"/>
      <c r="DI531" s="229"/>
      <c r="DJ531" s="229"/>
      <c r="DK531" s="229"/>
      <c r="DL531" s="229"/>
      <c r="DM531" s="229"/>
      <c r="DN531" s="229"/>
      <c r="DO531" s="229"/>
      <c r="DP531" s="229"/>
      <c r="DQ531" s="229"/>
      <c r="DR531" s="229"/>
      <c r="DS531" s="229"/>
      <c r="DT531" s="229"/>
      <c r="DU531" s="229"/>
      <c r="DV531" s="229"/>
      <c r="DW531" s="229"/>
      <c r="DX531" s="229"/>
      <c r="DY531" s="229"/>
      <c r="DZ531" s="229"/>
      <c r="EA531" s="229"/>
      <c r="EB531" s="229"/>
      <c r="EC531" s="229"/>
      <c r="ED531" s="229"/>
      <c r="EE531" s="229"/>
      <c r="EF531" s="229"/>
      <c r="EG531" s="229"/>
      <c r="EH531" s="229"/>
      <c r="EI531" s="229"/>
      <c r="EJ531" s="229"/>
      <c r="EK531" s="229"/>
      <c r="EL531" s="305"/>
      <c r="EM531" s="310"/>
      <c r="EN531" s="234"/>
      <c r="EO531" s="234"/>
      <c r="EP531" s="234"/>
      <c r="EQ531" s="233"/>
    </row>
    <row r="532" spans="2:147" ht="11.45" hidden="1" customHeight="1">
      <c r="B532" s="228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  <c r="AH532" s="229"/>
      <c r="AI532" s="229"/>
      <c r="AJ532" s="229"/>
      <c r="AK532" s="229"/>
      <c r="AL532" s="229"/>
      <c r="AM532" s="229"/>
      <c r="AN532" s="229"/>
      <c r="AO532" s="229"/>
      <c r="AP532" s="229"/>
      <c r="AQ532" s="229"/>
      <c r="AR532" s="229"/>
      <c r="AS532" s="229"/>
      <c r="AT532" s="229"/>
      <c r="AU532" s="229"/>
      <c r="AV532" s="229"/>
      <c r="AW532" s="229"/>
      <c r="AX532" s="229"/>
      <c r="AY532" s="229"/>
      <c r="AZ532" s="229"/>
      <c r="BA532" s="229"/>
      <c r="BB532" s="229"/>
      <c r="BC532" s="229"/>
      <c r="BD532" s="229"/>
      <c r="BE532" s="229"/>
      <c r="BF532" s="229"/>
      <c r="BG532" s="229"/>
      <c r="BH532" s="229"/>
      <c r="BI532" s="229"/>
      <c r="BJ532" s="229"/>
      <c r="BK532" s="229"/>
      <c r="BL532" s="229"/>
      <c r="BM532" s="229"/>
      <c r="BN532" s="229"/>
      <c r="BO532" s="229"/>
      <c r="BP532" s="229"/>
      <c r="BQ532" s="229"/>
      <c r="BR532" s="229"/>
      <c r="BS532" s="296"/>
      <c r="BT532" s="229"/>
      <c r="BU532" s="229"/>
      <c r="BV532" s="229"/>
      <c r="BW532" s="229"/>
      <c r="BX532" s="229"/>
      <c r="BY532" s="229"/>
      <c r="BZ532" s="229"/>
      <c r="CA532" s="229"/>
      <c r="CB532" s="229"/>
      <c r="CC532" s="229"/>
      <c r="CD532" s="229"/>
      <c r="CE532" s="229"/>
      <c r="CF532" s="229"/>
      <c r="CG532" s="229"/>
      <c r="CH532" s="229"/>
      <c r="CI532" s="229"/>
      <c r="CJ532" s="229"/>
      <c r="CK532" s="229"/>
      <c r="CL532" s="229"/>
      <c r="CM532" s="229"/>
      <c r="CN532" s="229"/>
      <c r="CO532" s="229"/>
      <c r="CP532" s="229"/>
      <c r="CQ532" s="229"/>
      <c r="CR532" s="229"/>
      <c r="CS532" s="229"/>
      <c r="CT532" s="229"/>
      <c r="CU532" s="229"/>
      <c r="CV532" s="229"/>
      <c r="CW532" s="229"/>
      <c r="CX532" s="229"/>
      <c r="CY532" s="229"/>
      <c r="CZ532" s="229"/>
      <c r="DA532" s="229"/>
      <c r="DB532" s="229"/>
      <c r="DC532" s="229"/>
      <c r="DD532" s="229"/>
      <c r="DE532" s="229"/>
      <c r="DF532" s="229"/>
      <c r="DG532" s="229"/>
      <c r="DH532" s="229"/>
      <c r="DI532" s="229"/>
      <c r="DJ532" s="229"/>
      <c r="DK532" s="229"/>
      <c r="DL532" s="229"/>
      <c r="DM532" s="229"/>
      <c r="DN532" s="229"/>
      <c r="DO532" s="229"/>
      <c r="DP532" s="229"/>
      <c r="DQ532" s="229"/>
      <c r="DR532" s="229"/>
      <c r="DS532" s="229"/>
      <c r="DT532" s="229"/>
      <c r="DU532" s="229"/>
      <c r="DV532" s="229"/>
      <c r="DW532" s="229"/>
      <c r="DX532" s="229"/>
      <c r="DY532" s="229"/>
      <c r="DZ532" s="229"/>
      <c r="EA532" s="229"/>
      <c r="EB532" s="229"/>
      <c r="EC532" s="229"/>
      <c r="ED532" s="229"/>
      <c r="EE532" s="229"/>
      <c r="EF532" s="229"/>
      <c r="EG532" s="229"/>
      <c r="EH532" s="229"/>
      <c r="EI532" s="229"/>
      <c r="EJ532" s="229"/>
      <c r="EK532" s="229"/>
      <c r="EL532" s="305"/>
      <c r="EM532" s="310"/>
      <c r="EN532" s="234"/>
      <c r="EO532" s="234"/>
      <c r="EP532" s="234"/>
      <c r="EQ532" s="233"/>
    </row>
    <row r="533" spans="2:147" ht="11.45" hidden="1" customHeight="1">
      <c r="B533" s="228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  <c r="AH533" s="229"/>
      <c r="AI533" s="229"/>
      <c r="AJ533" s="229"/>
      <c r="AK533" s="229"/>
      <c r="AL533" s="229"/>
      <c r="AM533" s="229"/>
      <c r="AN533" s="229"/>
      <c r="AO533" s="229"/>
      <c r="AP533" s="229"/>
      <c r="AQ533" s="229"/>
      <c r="AR533" s="229"/>
      <c r="AS533" s="229"/>
      <c r="AT533" s="229"/>
      <c r="AU533" s="229"/>
      <c r="AV533" s="229"/>
      <c r="AW533" s="229"/>
      <c r="AX533" s="229"/>
      <c r="AY533" s="229"/>
      <c r="AZ533" s="229"/>
      <c r="BA533" s="229"/>
      <c r="BB533" s="229"/>
      <c r="BC533" s="229"/>
      <c r="BD533" s="229"/>
      <c r="BE533" s="229"/>
      <c r="BF533" s="229"/>
      <c r="BG533" s="229"/>
      <c r="BH533" s="229"/>
      <c r="BI533" s="229"/>
      <c r="BJ533" s="229"/>
      <c r="BK533" s="229"/>
      <c r="BL533" s="229"/>
      <c r="BM533" s="229"/>
      <c r="BN533" s="229"/>
      <c r="BO533" s="229"/>
      <c r="BP533" s="229"/>
      <c r="BQ533" s="229"/>
      <c r="BR533" s="229"/>
      <c r="BS533" s="296"/>
      <c r="BT533" s="229"/>
      <c r="BU533" s="229"/>
      <c r="BV533" s="229"/>
      <c r="BW533" s="229"/>
      <c r="BX533" s="229"/>
      <c r="BY533" s="229"/>
      <c r="BZ533" s="229"/>
      <c r="CA533" s="229"/>
      <c r="CB533" s="229"/>
      <c r="CC533" s="229"/>
      <c r="CD533" s="229"/>
      <c r="CE533" s="229"/>
      <c r="CF533" s="229"/>
      <c r="CG533" s="229"/>
      <c r="CH533" s="229"/>
      <c r="CI533" s="229"/>
      <c r="CJ533" s="229"/>
      <c r="CK533" s="229"/>
      <c r="CL533" s="229"/>
      <c r="CM533" s="229"/>
      <c r="CN533" s="229"/>
      <c r="CO533" s="229"/>
      <c r="CP533" s="229"/>
      <c r="CQ533" s="229"/>
      <c r="CR533" s="229"/>
      <c r="CS533" s="229"/>
      <c r="CT533" s="229"/>
      <c r="CU533" s="229"/>
      <c r="CV533" s="229"/>
      <c r="CW533" s="229"/>
      <c r="CX533" s="229"/>
      <c r="CY533" s="229"/>
      <c r="CZ533" s="229"/>
      <c r="DA533" s="229"/>
      <c r="DB533" s="229"/>
      <c r="DC533" s="229"/>
      <c r="DD533" s="229"/>
      <c r="DE533" s="229"/>
      <c r="DF533" s="229"/>
      <c r="DG533" s="229"/>
      <c r="DH533" s="229"/>
      <c r="DI533" s="229"/>
      <c r="DJ533" s="229"/>
      <c r="DK533" s="229"/>
      <c r="DL533" s="229"/>
      <c r="DM533" s="229"/>
      <c r="DN533" s="229"/>
      <c r="DO533" s="229"/>
      <c r="DP533" s="229"/>
      <c r="DQ533" s="229"/>
      <c r="DR533" s="229"/>
      <c r="DS533" s="229"/>
      <c r="DT533" s="229"/>
      <c r="DU533" s="229"/>
      <c r="DV533" s="229"/>
      <c r="DW533" s="229"/>
      <c r="DX533" s="229"/>
      <c r="DY533" s="229"/>
      <c r="DZ533" s="229"/>
      <c r="EA533" s="229"/>
      <c r="EB533" s="229"/>
      <c r="EC533" s="229"/>
      <c r="ED533" s="229"/>
      <c r="EE533" s="229"/>
      <c r="EF533" s="229"/>
      <c r="EG533" s="229"/>
      <c r="EH533" s="229"/>
      <c r="EI533" s="229"/>
      <c r="EJ533" s="229"/>
      <c r="EK533" s="229"/>
      <c r="EL533" s="305"/>
      <c r="EM533" s="310"/>
      <c r="EN533" s="234"/>
      <c r="EO533" s="234"/>
      <c r="EP533" s="234"/>
      <c r="EQ533" s="233"/>
    </row>
    <row r="534" spans="2:147" ht="11.45" hidden="1" customHeight="1">
      <c r="B534" s="228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  <c r="AO534" s="229"/>
      <c r="AP534" s="229"/>
      <c r="AQ534" s="229"/>
      <c r="AR534" s="229"/>
      <c r="AS534" s="229"/>
      <c r="AT534" s="229"/>
      <c r="AU534" s="229"/>
      <c r="AV534" s="229"/>
      <c r="AW534" s="229"/>
      <c r="AX534" s="229"/>
      <c r="AY534" s="229"/>
      <c r="AZ534" s="229"/>
      <c r="BA534" s="229"/>
      <c r="BB534" s="229"/>
      <c r="BC534" s="229"/>
      <c r="BD534" s="229"/>
      <c r="BE534" s="229"/>
      <c r="BF534" s="229"/>
      <c r="BG534" s="229"/>
      <c r="BH534" s="229"/>
      <c r="BI534" s="229"/>
      <c r="BJ534" s="229"/>
      <c r="BK534" s="229"/>
      <c r="BL534" s="229"/>
      <c r="BM534" s="229"/>
      <c r="BN534" s="229"/>
      <c r="BO534" s="229"/>
      <c r="BP534" s="229"/>
      <c r="BQ534" s="229"/>
      <c r="BR534" s="229"/>
      <c r="BS534" s="296"/>
      <c r="BT534" s="229"/>
      <c r="BU534" s="229"/>
      <c r="BV534" s="229"/>
      <c r="BW534" s="229"/>
      <c r="BX534" s="229"/>
      <c r="BY534" s="229"/>
      <c r="BZ534" s="229"/>
      <c r="CA534" s="229"/>
      <c r="CB534" s="229"/>
      <c r="CC534" s="229"/>
      <c r="CD534" s="229"/>
      <c r="CE534" s="229"/>
      <c r="CF534" s="229"/>
      <c r="CG534" s="229"/>
      <c r="CH534" s="229"/>
      <c r="CI534" s="229"/>
      <c r="CJ534" s="229"/>
      <c r="CK534" s="229"/>
      <c r="CL534" s="229"/>
      <c r="CM534" s="229"/>
      <c r="CN534" s="229"/>
      <c r="CO534" s="229"/>
      <c r="CP534" s="229"/>
      <c r="CQ534" s="229"/>
      <c r="CR534" s="229"/>
      <c r="CS534" s="229"/>
      <c r="CT534" s="229"/>
      <c r="CU534" s="229"/>
      <c r="CV534" s="229"/>
      <c r="CW534" s="229"/>
      <c r="CX534" s="229"/>
      <c r="CY534" s="229"/>
      <c r="CZ534" s="229"/>
      <c r="DA534" s="229"/>
      <c r="DB534" s="229"/>
      <c r="DC534" s="229"/>
      <c r="DD534" s="229"/>
      <c r="DE534" s="229"/>
      <c r="DF534" s="229"/>
      <c r="DG534" s="229"/>
      <c r="DH534" s="229"/>
      <c r="DI534" s="229"/>
      <c r="DJ534" s="229"/>
      <c r="DK534" s="229"/>
      <c r="DL534" s="229"/>
      <c r="DM534" s="229"/>
      <c r="DN534" s="229"/>
      <c r="DO534" s="229"/>
      <c r="DP534" s="229"/>
      <c r="DQ534" s="229"/>
      <c r="DR534" s="229"/>
      <c r="DS534" s="229"/>
      <c r="DT534" s="229"/>
      <c r="DU534" s="229"/>
      <c r="DV534" s="229"/>
      <c r="DW534" s="229"/>
      <c r="DX534" s="229"/>
      <c r="DY534" s="229"/>
      <c r="DZ534" s="229"/>
      <c r="EA534" s="229"/>
      <c r="EB534" s="229"/>
      <c r="EC534" s="229"/>
      <c r="ED534" s="229"/>
      <c r="EE534" s="229"/>
      <c r="EF534" s="229"/>
      <c r="EG534" s="229"/>
      <c r="EH534" s="229"/>
      <c r="EI534" s="229"/>
      <c r="EJ534" s="229"/>
      <c r="EK534" s="229"/>
      <c r="EL534" s="305"/>
      <c r="EM534" s="310"/>
      <c r="EN534" s="234"/>
      <c r="EO534" s="234"/>
      <c r="EP534" s="234"/>
      <c r="EQ534" s="233"/>
    </row>
    <row r="535" spans="2:147" ht="11.45" hidden="1" customHeight="1">
      <c r="B535" s="228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  <c r="AH535" s="229"/>
      <c r="AI535" s="229"/>
      <c r="AJ535" s="229"/>
      <c r="AK535" s="229"/>
      <c r="AL535" s="229"/>
      <c r="AM535" s="229"/>
      <c r="AN535" s="229"/>
      <c r="AO535" s="229"/>
      <c r="AP535" s="229"/>
      <c r="AQ535" s="229"/>
      <c r="AR535" s="229"/>
      <c r="AS535" s="229"/>
      <c r="AT535" s="229"/>
      <c r="AU535" s="229"/>
      <c r="AV535" s="229"/>
      <c r="AW535" s="229"/>
      <c r="AX535" s="229"/>
      <c r="AY535" s="229"/>
      <c r="AZ535" s="229"/>
      <c r="BA535" s="229"/>
      <c r="BB535" s="229"/>
      <c r="BC535" s="229"/>
      <c r="BD535" s="229"/>
      <c r="BE535" s="229"/>
      <c r="BF535" s="229"/>
      <c r="BG535" s="229"/>
      <c r="BH535" s="229"/>
      <c r="BI535" s="229"/>
      <c r="BJ535" s="229"/>
      <c r="BK535" s="229"/>
      <c r="BL535" s="229"/>
      <c r="BM535" s="229"/>
      <c r="BN535" s="229"/>
      <c r="BO535" s="229"/>
      <c r="BP535" s="229"/>
      <c r="BQ535" s="229"/>
      <c r="BR535" s="229"/>
      <c r="BS535" s="296"/>
      <c r="BT535" s="229"/>
      <c r="BU535" s="229"/>
      <c r="BV535" s="229"/>
      <c r="BW535" s="229"/>
      <c r="BX535" s="229"/>
      <c r="BY535" s="229"/>
      <c r="BZ535" s="229"/>
      <c r="CA535" s="229"/>
      <c r="CB535" s="229"/>
      <c r="CC535" s="229"/>
      <c r="CD535" s="229"/>
      <c r="CE535" s="229"/>
      <c r="CF535" s="229"/>
      <c r="CG535" s="229"/>
      <c r="CH535" s="229"/>
      <c r="CI535" s="229"/>
      <c r="CJ535" s="229"/>
      <c r="CK535" s="229"/>
      <c r="CL535" s="229"/>
      <c r="CM535" s="229"/>
      <c r="CN535" s="229"/>
      <c r="CO535" s="229"/>
      <c r="CP535" s="229"/>
      <c r="CQ535" s="229"/>
      <c r="CR535" s="229"/>
      <c r="CS535" s="229"/>
      <c r="CT535" s="229"/>
      <c r="CU535" s="229"/>
      <c r="CV535" s="229"/>
      <c r="CW535" s="229"/>
      <c r="CX535" s="229"/>
      <c r="CY535" s="229"/>
      <c r="CZ535" s="229"/>
      <c r="DA535" s="229"/>
      <c r="DB535" s="229"/>
      <c r="DC535" s="229"/>
      <c r="DD535" s="229"/>
      <c r="DE535" s="229"/>
      <c r="DF535" s="229"/>
      <c r="DG535" s="229"/>
      <c r="DH535" s="229"/>
      <c r="DI535" s="229"/>
      <c r="DJ535" s="229"/>
      <c r="DK535" s="229"/>
      <c r="DL535" s="229"/>
      <c r="DM535" s="229"/>
      <c r="DN535" s="229"/>
      <c r="DO535" s="229"/>
      <c r="DP535" s="229"/>
      <c r="DQ535" s="229"/>
      <c r="DR535" s="229"/>
      <c r="DS535" s="229"/>
      <c r="DT535" s="229"/>
      <c r="DU535" s="229"/>
      <c r="DV535" s="229"/>
      <c r="DW535" s="229"/>
      <c r="DX535" s="229"/>
      <c r="DY535" s="229"/>
      <c r="DZ535" s="229"/>
      <c r="EA535" s="229"/>
      <c r="EB535" s="229"/>
      <c r="EC535" s="229"/>
      <c r="ED535" s="229"/>
      <c r="EE535" s="229"/>
      <c r="EF535" s="229"/>
      <c r="EG535" s="229"/>
      <c r="EH535" s="229"/>
      <c r="EI535" s="229"/>
      <c r="EJ535" s="229"/>
      <c r="EK535" s="229"/>
      <c r="EL535" s="305"/>
      <c r="EM535" s="310"/>
      <c r="EN535" s="234"/>
      <c r="EO535" s="234"/>
      <c r="EP535" s="234"/>
      <c r="EQ535" s="233"/>
    </row>
    <row r="536" spans="2:147" ht="11.45" hidden="1" customHeight="1">
      <c r="B536" s="228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  <c r="AH536" s="229"/>
      <c r="AI536" s="229"/>
      <c r="AJ536" s="229"/>
      <c r="AK536" s="229"/>
      <c r="AL536" s="229"/>
      <c r="AM536" s="229"/>
      <c r="AN536" s="229"/>
      <c r="AO536" s="229"/>
      <c r="AP536" s="229"/>
      <c r="AQ536" s="229"/>
      <c r="AR536" s="229"/>
      <c r="AS536" s="229"/>
      <c r="AT536" s="229"/>
      <c r="AU536" s="229"/>
      <c r="AV536" s="229"/>
      <c r="AW536" s="229"/>
      <c r="AX536" s="229"/>
      <c r="AY536" s="229"/>
      <c r="AZ536" s="229"/>
      <c r="BA536" s="229"/>
      <c r="BB536" s="229"/>
      <c r="BC536" s="229"/>
      <c r="BD536" s="229"/>
      <c r="BE536" s="229"/>
      <c r="BF536" s="229"/>
      <c r="BG536" s="229"/>
      <c r="BH536" s="229"/>
      <c r="BI536" s="229"/>
      <c r="BJ536" s="229"/>
      <c r="BK536" s="229"/>
      <c r="BL536" s="229"/>
      <c r="BM536" s="229"/>
      <c r="BN536" s="229"/>
      <c r="BO536" s="229"/>
      <c r="BP536" s="229"/>
      <c r="BQ536" s="229"/>
      <c r="BR536" s="229"/>
      <c r="BS536" s="296"/>
      <c r="BT536" s="229"/>
      <c r="BU536" s="229"/>
      <c r="BV536" s="229"/>
      <c r="BW536" s="229"/>
      <c r="BX536" s="229"/>
      <c r="BY536" s="229"/>
      <c r="BZ536" s="229"/>
      <c r="CA536" s="229"/>
      <c r="CB536" s="229"/>
      <c r="CC536" s="229"/>
      <c r="CD536" s="229"/>
      <c r="CE536" s="229"/>
      <c r="CF536" s="229"/>
      <c r="CG536" s="229"/>
      <c r="CH536" s="229"/>
      <c r="CI536" s="229"/>
      <c r="CJ536" s="229"/>
      <c r="CK536" s="229"/>
      <c r="CL536" s="229"/>
      <c r="CM536" s="229"/>
      <c r="CN536" s="229"/>
      <c r="CO536" s="229"/>
      <c r="CP536" s="229"/>
      <c r="CQ536" s="229"/>
      <c r="CR536" s="229"/>
      <c r="CS536" s="229"/>
      <c r="CT536" s="229"/>
      <c r="CU536" s="229"/>
      <c r="CV536" s="229"/>
      <c r="CW536" s="229"/>
      <c r="CX536" s="229"/>
      <c r="CY536" s="229"/>
      <c r="CZ536" s="229"/>
      <c r="DA536" s="229"/>
      <c r="DB536" s="229"/>
      <c r="DC536" s="229"/>
      <c r="DD536" s="229"/>
      <c r="DE536" s="229"/>
      <c r="DF536" s="229"/>
      <c r="DG536" s="229"/>
      <c r="DH536" s="229"/>
      <c r="DI536" s="229"/>
      <c r="DJ536" s="229"/>
      <c r="DK536" s="229"/>
      <c r="DL536" s="229"/>
      <c r="DM536" s="229"/>
      <c r="DN536" s="229"/>
      <c r="DO536" s="229"/>
      <c r="DP536" s="229"/>
      <c r="DQ536" s="229"/>
      <c r="DR536" s="229"/>
      <c r="DS536" s="229"/>
      <c r="DT536" s="229"/>
      <c r="DU536" s="229"/>
      <c r="DV536" s="229"/>
      <c r="DW536" s="229"/>
      <c r="DX536" s="229"/>
      <c r="DY536" s="229"/>
      <c r="DZ536" s="229"/>
      <c r="EA536" s="229"/>
      <c r="EB536" s="229"/>
      <c r="EC536" s="229"/>
      <c r="ED536" s="229"/>
      <c r="EE536" s="229"/>
      <c r="EF536" s="229"/>
      <c r="EG536" s="229"/>
      <c r="EH536" s="229"/>
      <c r="EI536" s="229"/>
      <c r="EJ536" s="229"/>
      <c r="EK536" s="229"/>
      <c r="EL536" s="305"/>
      <c r="EM536" s="310"/>
      <c r="EN536" s="234"/>
      <c r="EO536" s="234"/>
      <c r="EP536" s="234"/>
      <c r="EQ536" s="233"/>
    </row>
    <row r="537" spans="2:147" ht="11.45" hidden="1" customHeight="1">
      <c r="B537" s="228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  <c r="AH537" s="229"/>
      <c r="AI537" s="229"/>
      <c r="AJ537" s="229"/>
      <c r="AK537" s="229"/>
      <c r="AL537" s="229"/>
      <c r="AM537" s="229"/>
      <c r="AN537" s="229"/>
      <c r="AO537" s="229"/>
      <c r="AP537" s="229"/>
      <c r="AQ537" s="229"/>
      <c r="AR537" s="229"/>
      <c r="AS537" s="229"/>
      <c r="AT537" s="229"/>
      <c r="AU537" s="229"/>
      <c r="AV537" s="229"/>
      <c r="AW537" s="229"/>
      <c r="AX537" s="229"/>
      <c r="AY537" s="229"/>
      <c r="AZ537" s="229"/>
      <c r="BA537" s="229"/>
      <c r="BB537" s="229"/>
      <c r="BC537" s="229"/>
      <c r="BD537" s="229"/>
      <c r="BE537" s="229"/>
      <c r="BF537" s="229"/>
      <c r="BG537" s="229"/>
      <c r="BH537" s="229"/>
      <c r="BI537" s="229"/>
      <c r="BJ537" s="229"/>
      <c r="BK537" s="229"/>
      <c r="BL537" s="229"/>
      <c r="BM537" s="229"/>
      <c r="BN537" s="229"/>
      <c r="BO537" s="229"/>
      <c r="BP537" s="229"/>
      <c r="BQ537" s="229"/>
      <c r="BR537" s="229"/>
      <c r="BS537" s="296"/>
      <c r="BT537" s="229"/>
      <c r="BU537" s="229"/>
      <c r="BV537" s="229"/>
      <c r="BW537" s="229"/>
      <c r="BX537" s="229"/>
      <c r="BY537" s="229"/>
      <c r="BZ537" s="229"/>
      <c r="CA537" s="229"/>
      <c r="CB537" s="229"/>
      <c r="CC537" s="229"/>
      <c r="CD537" s="229"/>
      <c r="CE537" s="229"/>
      <c r="CF537" s="229"/>
      <c r="CG537" s="229"/>
      <c r="CH537" s="229"/>
      <c r="CI537" s="229"/>
      <c r="CJ537" s="229"/>
      <c r="CK537" s="229"/>
      <c r="CL537" s="229"/>
      <c r="CM537" s="229"/>
      <c r="CN537" s="229"/>
      <c r="CO537" s="229"/>
      <c r="CP537" s="229"/>
      <c r="CQ537" s="229"/>
      <c r="CR537" s="229"/>
      <c r="CS537" s="229"/>
      <c r="CT537" s="229"/>
      <c r="CU537" s="229"/>
      <c r="CV537" s="229"/>
      <c r="CW537" s="229"/>
      <c r="CX537" s="229"/>
      <c r="CY537" s="229"/>
      <c r="CZ537" s="229"/>
      <c r="DA537" s="229"/>
      <c r="DB537" s="229"/>
      <c r="DC537" s="229"/>
      <c r="DD537" s="229"/>
      <c r="DE537" s="229"/>
      <c r="DF537" s="229"/>
      <c r="DG537" s="229"/>
      <c r="DH537" s="229"/>
      <c r="DI537" s="229"/>
      <c r="DJ537" s="229"/>
      <c r="DK537" s="229"/>
      <c r="DL537" s="229"/>
      <c r="DM537" s="229"/>
      <c r="DN537" s="229"/>
      <c r="DO537" s="229"/>
      <c r="DP537" s="229"/>
      <c r="DQ537" s="229"/>
      <c r="DR537" s="229"/>
      <c r="DS537" s="229"/>
      <c r="DT537" s="229"/>
      <c r="DU537" s="229"/>
      <c r="DV537" s="229"/>
      <c r="DW537" s="229"/>
      <c r="DX537" s="229"/>
      <c r="DY537" s="229"/>
      <c r="DZ537" s="229"/>
      <c r="EA537" s="229"/>
      <c r="EB537" s="229"/>
      <c r="EC537" s="229"/>
      <c r="ED537" s="229"/>
      <c r="EE537" s="229"/>
      <c r="EF537" s="229"/>
      <c r="EG537" s="229"/>
      <c r="EH537" s="229"/>
      <c r="EI537" s="229"/>
      <c r="EJ537" s="229"/>
      <c r="EK537" s="229"/>
      <c r="EL537" s="305"/>
      <c r="EM537" s="310"/>
      <c r="EN537" s="234"/>
      <c r="EO537" s="234"/>
      <c r="EP537" s="234"/>
      <c r="EQ537" s="233"/>
    </row>
    <row r="538" spans="2:147" ht="11.45" hidden="1" customHeight="1">
      <c r="B538" s="228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  <c r="AH538" s="229"/>
      <c r="AI538" s="229"/>
      <c r="AJ538" s="229"/>
      <c r="AK538" s="229"/>
      <c r="AL538" s="229"/>
      <c r="AM538" s="229"/>
      <c r="AN538" s="229"/>
      <c r="AO538" s="229"/>
      <c r="AP538" s="229"/>
      <c r="AQ538" s="229"/>
      <c r="AR538" s="229"/>
      <c r="AS538" s="229"/>
      <c r="AT538" s="229"/>
      <c r="AU538" s="229"/>
      <c r="AV538" s="229"/>
      <c r="AW538" s="229"/>
      <c r="AX538" s="229"/>
      <c r="AY538" s="229"/>
      <c r="AZ538" s="229"/>
      <c r="BA538" s="229"/>
      <c r="BB538" s="229"/>
      <c r="BC538" s="229"/>
      <c r="BD538" s="229"/>
      <c r="BE538" s="229"/>
      <c r="BF538" s="229"/>
      <c r="BG538" s="229"/>
      <c r="BH538" s="229"/>
      <c r="BI538" s="229"/>
      <c r="BJ538" s="229"/>
      <c r="BK538" s="229"/>
      <c r="BL538" s="229"/>
      <c r="BM538" s="229"/>
      <c r="BN538" s="229"/>
      <c r="BO538" s="229"/>
      <c r="BP538" s="229"/>
      <c r="BQ538" s="229"/>
      <c r="BR538" s="229"/>
      <c r="BS538" s="296"/>
      <c r="BT538" s="229"/>
      <c r="BU538" s="229"/>
      <c r="BV538" s="229"/>
      <c r="BW538" s="229"/>
      <c r="BX538" s="229"/>
      <c r="BY538" s="229"/>
      <c r="BZ538" s="229"/>
      <c r="CA538" s="229"/>
      <c r="CB538" s="229"/>
      <c r="CC538" s="229"/>
      <c r="CD538" s="229"/>
      <c r="CE538" s="229"/>
      <c r="CF538" s="229"/>
      <c r="CG538" s="229"/>
      <c r="CH538" s="229"/>
      <c r="CI538" s="229"/>
      <c r="CJ538" s="229"/>
      <c r="CK538" s="229"/>
      <c r="CL538" s="229"/>
      <c r="CM538" s="229"/>
      <c r="CN538" s="229"/>
      <c r="CO538" s="229"/>
      <c r="CP538" s="229"/>
      <c r="CQ538" s="229"/>
      <c r="CR538" s="229"/>
      <c r="CS538" s="229"/>
      <c r="CT538" s="229"/>
      <c r="CU538" s="229"/>
      <c r="CV538" s="229"/>
      <c r="CW538" s="229"/>
      <c r="CX538" s="229"/>
      <c r="CY538" s="229"/>
      <c r="CZ538" s="229"/>
      <c r="DA538" s="229"/>
      <c r="DB538" s="229"/>
      <c r="DC538" s="229"/>
      <c r="DD538" s="229"/>
      <c r="DE538" s="229"/>
      <c r="DF538" s="229"/>
      <c r="DG538" s="229"/>
      <c r="DH538" s="229"/>
      <c r="DI538" s="229"/>
      <c r="DJ538" s="229"/>
      <c r="DK538" s="229"/>
      <c r="DL538" s="229"/>
      <c r="DM538" s="229"/>
      <c r="DN538" s="229"/>
      <c r="DO538" s="229"/>
      <c r="DP538" s="229"/>
      <c r="DQ538" s="229"/>
      <c r="DR538" s="229"/>
      <c r="DS538" s="229"/>
      <c r="DT538" s="229"/>
      <c r="DU538" s="229"/>
      <c r="DV538" s="229"/>
      <c r="DW538" s="229"/>
      <c r="DX538" s="229"/>
      <c r="DY538" s="229"/>
      <c r="DZ538" s="229"/>
      <c r="EA538" s="229"/>
      <c r="EB538" s="229"/>
      <c r="EC538" s="229"/>
      <c r="ED538" s="229"/>
      <c r="EE538" s="229"/>
      <c r="EF538" s="229"/>
      <c r="EG538" s="229"/>
      <c r="EH538" s="229"/>
      <c r="EI538" s="229"/>
      <c r="EJ538" s="229"/>
      <c r="EK538" s="229"/>
      <c r="EL538" s="305"/>
      <c r="EM538" s="310"/>
      <c r="EN538" s="234"/>
      <c r="EO538" s="234"/>
      <c r="EP538" s="234"/>
      <c r="EQ538" s="233"/>
    </row>
    <row r="539" spans="2:147" ht="11.45" hidden="1" customHeight="1">
      <c r="B539" s="228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  <c r="AH539" s="229"/>
      <c r="AI539" s="229"/>
      <c r="AJ539" s="229"/>
      <c r="AK539" s="229"/>
      <c r="AL539" s="229"/>
      <c r="AM539" s="229"/>
      <c r="AN539" s="229"/>
      <c r="AO539" s="229"/>
      <c r="AP539" s="229"/>
      <c r="AQ539" s="229"/>
      <c r="AR539" s="229"/>
      <c r="AS539" s="229"/>
      <c r="AT539" s="229"/>
      <c r="AU539" s="229"/>
      <c r="AV539" s="229"/>
      <c r="AW539" s="229"/>
      <c r="AX539" s="229"/>
      <c r="AY539" s="229"/>
      <c r="AZ539" s="229"/>
      <c r="BA539" s="229"/>
      <c r="BB539" s="229"/>
      <c r="BC539" s="229"/>
      <c r="BD539" s="229"/>
      <c r="BE539" s="229"/>
      <c r="BF539" s="229"/>
      <c r="BG539" s="229"/>
      <c r="BH539" s="229"/>
      <c r="BI539" s="229"/>
      <c r="BJ539" s="229"/>
      <c r="BK539" s="229"/>
      <c r="BL539" s="229"/>
      <c r="BM539" s="229"/>
      <c r="BN539" s="229"/>
      <c r="BO539" s="229"/>
      <c r="BP539" s="229"/>
      <c r="BQ539" s="229"/>
      <c r="BR539" s="229"/>
      <c r="BS539" s="296"/>
      <c r="BT539" s="229"/>
      <c r="BU539" s="229"/>
      <c r="BV539" s="229"/>
      <c r="BW539" s="229"/>
      <c r="BX539" s="229"/>
      <c r="BY539" s="229"/>
      <c r="BZ539" s="229"/>
      <c r="CA539" s="229"/>
      <c r="CB539" s="229"/>
      <c r="CC539" s="229"/>
      <c r="CD539" s="229"/>
      <c r="CE539" s="229"/>
      <c r="CF539" s="229"/>
      <c r="CG539" s="229"/>
      <c r="CH539" s="229"/>
      <c r="CI539" s="229"/>
      <c r="CJ539" s="229"/>
      <c r="CK539" s="229"/>
      <c r="CL539" s="229"/>
      <c r="CM539" s="229"/>
      <c r="CN539" s="229"/>
      <c r="CO539" s="229"/>
      <c r="CP539" s="229"/>
      <c r="CQ539" s="229"/>
      <c r="CR539" s="229"/>
      <c r="CS539" s="229"/>
      <c r="CT539" s="229"/>
      <c r="CU539" s="229"/>
      <c r="CV539" s="229"/>
      <c r="CW539" s="229"/>
      <c r="CX539" s="229"/>
      <c r="CY539" s="229"/>
      <c r="CZ539" s="229"/>
      <c r="DA539" s="229"/>
      <c r="DB539" s="229"/>
      <c r="DC539" s="229"/>
      <c r="DD539" s="229"/>
      <c r="DE539" s="229"/>
      <c r="DF539" s="229"/>
      <c r="DG539" s="229"/>
      <c r="DH539" s="229"/>
      <c r="DI539" s="229"/>
      <c r="DJ539" s="229"/>
      <c r="DK539" s="229"/>
      <c r="DL539" s="229"/>
      <c r="DM539" s="229"/>
      <c r="DN539" s="229"/>
      <c r="DO539" s="229"/>
      <c r="DP539" s="229"/>
      <c r="DQ539" s="229"/>
      <c r="DR539" s="229"/>
      <c r="DS539" s="229"/>
      <c r="DT539" s="229"/>
      <c r="DU539" s="229"/>
      <c r="DV539" s="229"/>
      <c r="DW539" s="229"/>
      <c r="DX539" s="229"/>
      <c r="DY539" s="229"/>
      <c r="DZ539" s="229"/>
      <c r="EA539" s="229"/>
      <c r="EB539" s="229"/>
      <c r="EC539" s="229"/>
      <c r="ED539" s="229"/>
      <c r="EE539" s="229"/>
      <c r="EF539" s="229"/>
      <c r="EG539" s="229"/>
      <c r="EH539" s="229"/>
      <c r="EI539" s="229"/>
      <c r="EJ539" s="229"/>
      <c r="EK539" s="229"/>
      <c r="EL539" s="305"/>
      <c r="EM539" s="310"/>
      <c r="EN539" s="234"/>
      <c r="EO539" s="234"/>
      <c r="EP539" s="234"/>
      <c r="EQ539" s="233"/>
    </row>
    <row r="540" spans="2:147" ht="11.45" hidden="1" customHeight="1">
      <c r="B540" s="228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  <c r="AH540" s="229"/>
      <c r="AI540" s="229"/>
      <c r="AJ540" s="229"/>
      <c r="AK540" s="229"/>
      <c r="AL540" s="229"/>
      <c r="AM540" s="229"/>
      <c r="AN540" s="229"/>
      <c r="AO540" s="229"/>
      <c r="AP540" s="229"/>
      <c r="AQ540" s="229"/>
      <c r="AR540" s="229"/>
      <c r="AS540" s="229"/>
      <c r="AT540" s="229"/>
      <c r="AU540" s="229"/>
      <c r="AV540" s="229"/>
      <c r="AW540" s="229"/>
      <c r="AX540" s="229"/>
      <c r="AY540" s="229"/>
      <c r="AZ540" s="229"/>
      <c r="BA540" s="229"/>
      <c r="BB540" s="229"/>
      <c r="BC540" s="229"/>
      <c r="BD540" s="229"/>
      <c r="BE540" s="229"/>
      <c r="BF540" s="229"/>
      <c r="BG540" s="229"/>
      <c r="BH540" s="229"/>
      <c r="BI540" s="229"/>
      <c r="BJ540" s="229"/>
      <c r="BK540" s="229"/>
      <c r="BL540" s="229"/>
      <c r="BM540" s="229"/>
      <c r="BN540" s="229"/>
      <c r="BO540" s="229"/>
      <c r="BP540" s="229"/>
      <c r="BQ540" s="229"/>
      <c r="BR540" s="229"/>
      <c r="BS540" s="296"/>
      <c r="BT540" s="229"/>
      <c r="BU540" s="229"/>
      <c r="BV540" s="229"/>
      <c r="BW540" s="229"/>
      <c r="BX540" s="229"/>
      <c r="BY540" s="229"/>
      <c r="BZ540" s="229"/>
      <c r="CA540" s="229"/>
      <c r="CB540" s="229"/>
      <c r="CC540" s="229"/>
      <c r="CD540" s="229"/>
      <c r="CE540" s="229"/>
      <c r="CF540" s="229"/>
      <c r="CG540" s="229"/>
      <c r="CH540" s="229"/>
      <c r="CI540" s="229"/>
      <c r="CJ540" s="229"/>
      <c r="CK540" s="229"/>
      <c r="CL540" s="229"/>
      <c r="CM540" s="229"/>
      <c r="CN540" s="229"/>
      <c r="CO540" s="229"/>
      <c r="CP540" s="229"/>
      <c r="CQ540" s="229"/>
      <c r="CR540" s="229"/>
      <c r="CS540" s="229"/>
      <c r="CT540" s="229"/>
      <c r="CU540" s="229"/>
      <c r="CV540" s="229"/>
      <c r="CW540" s="229"/>
      <c r="CX540" s="229"/>
      <c r="CY540" s="229"/>
      <c r="CZ540" s="229"/>
      <c r="DA540" s="229"/>
      <c r="DB540" s="229"/>
      <c r="DC540" s="229"/>
      <c r="DD540" s="229"/>
      <c r="DE540" s="229"/>
      <c r="DF540" s="229"/>
      <c r="DG540" s="229"/>
      <c r="DH540" s="229"/>
      <c r="DI540" s="229"/>
      <c r="DJ540" s="229"/>
      <c r="DK540" s="229"/>
      <c r="DL540" s="229"/>
      <c r="DM540" s="229"/>
      <c r="DN540" s="229"/>
      <c r="DO540" s="229"/>
      <c r="DP540" s="229"/>
      <c r="DQ540" s="229"/>
      <c r="DR540" s="229"/>
      <c r="DS540" s="229"/>
      <c r="DT540" s="229"/>
      <c r="DU540" s="229"/>
      <c r="DV540" s="229"/>
      <c r="DW540" s="229"/>
      <c r="DX540" s="229"/>
      <c r="DY540" s="229"/>
      <c r="DZ540" s="229"/>
      <c r="EA540" s="229"/>
      <c r="EB540" s="229"/>
      <c r="EC540" s="229"/>
      <c r="ED540" s="229"/>
      <c r="EE540" s="229"/>
      <c r="EF540" s="229"/>
      <c r="EG540" s="229"/>
      <c r="EH540" s="229"/>
      <c r="EI540" s="229"/>
      <c r="EJ540" s="229"/>
      <c r="EK540" s="229"/>
      <c r="EL540" s="305"/>
      <c r="EM540" s="310"/>
      <c r="EN540" s="234"/>
      <c r="EO540" s="234"/>
      <c r="EP540" s="234"/>
      <c r="EQ540" s="233"/>
    </row>
    <row r="541" spans="2:147" ht="11.45" hidden="1" customHeight="1">
      <c r="B541" s="228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  <c r="AH541" s="229"/>
      <c r="AI541" s="229"/>
      <c r="AJ541" s="229"/>
      <c r="AK541" s="229"/>
      <c r="AL541" s="229"/>
      <c r="AM541" s="229"/>
      <c r="AN541" s="229"/>
      <c r="AO541" s="229"/>
      <c r="AP541" s="229"/>
      <c r="AQ541" s="229"/>
      <c r="AR541" s="229"/>
      <c r="AS541" s="229"/>
      <c r="AT541" s="229"/>
      <c r="AU541" s="229"/>
      <c r="AV541" s="229"/>
      <c r="AW541" s="229"/>
      <c r="AX541" s="229"/>
      <c r="AY541" s="229"/>
      <c r="AZ541" s="229"/>
      <c r="BA541" s="229"/>
      <c r="BB541" s="229"/>
      <c r="BC541" s="229"/>
      <c r="BD541" s="229"/>
      <c r="BE541" s="229"/>
      <c r="BF541" s="229"/>
      <c r="BG541" s="229"/>
      <c r="BH541" s="229"/>
      <c r="BI541" s="229"/>
      <c r="BJ541" s="229"/>
      <c r="BK541" s="229"/>
      <c r="BL541" s="229"/>
      <c r="BM541" s="229"/>
      <c r="BN541" s="229"/>
      <c r="BO541" s="229"/>
      <c r="BP541" s="229"/>
      <c r="BQ541" s="229"/>
      <c r="BR541" s="229"/>
      <c r="BS541" s="296"/>
      <c r="BT541" s="229"/>
      <c r="BU541" s="229"/>
      <c r="BV541" s="229"/>
      <c r="BW541" s="229"/>
      <c r="BX541" s="229"/>
      <c r="BY541" s="229"/>
      <c r="BZ541" s="229"/>
      <c r="CA541" s="229"/>
      <c r="CB541" s="229"/>
      <c r="CC541" s="229"/>
      <c r="CD541" s="229"/>
      <c r="CE541" s="229"/>
      <c r="CF541" s="229"/>
      <c r="CG541" s="229"/>
      <c r="CH541" s="229"/>
      <c r="CI541" s="229"/>
      <c r="CJ541" s="229"/>
      <c r="CK541" s="229"/>
      <c r="CL541" s="229"/>
      <c r="CM541" s="229"/>
      <c r="CN541" s="229"/>
      <c r="CO541" s="229"/>
      <c r="CP541" s="229"/>
      <c r="CQ541" s="229"/>
      <c r="CR541" s="229"/>
      <c r="CS541" s="229"/>
      <c r="CT541" s="229"/>
      <c r="CU541" s="229"/>
      <c r="CV541" s="229"/>
      <c r="CW541" s="229"/>
      <c r="CX541" s="229"/>
      <c r="CY541" s="229"/>
      <c r="CZ541" s="229"/>
      <c r="DA541" s="229"/>
      <c r="DB541" s="229"/>
      <c r="DC541" s="229"/>
      <c r="DD541" s="229"/>
      <c r="DE541" s="229"/>
      <c r="DF541" s="229"/>
      <c r="DG541" s="229"/>
      <c r="DH541" s="229"/>
      <c r="DI541" s="229"/>
      <c r="DJ541" s="229"/>
      <c r="DK541" s="229"/>
      <c r="DL541" s="229"/>
      <c r="DM541" s="229"/>
      <c r="DN541" s="229"/>
      <c r="DO541" s="229"/>
      <c r="DP541" s="229"/>
      <c r="DQ541" s="229"/>
      <c r="DR541" s="229"/>
      <c r="DS541" s="229"/>
      <c r="DT541" s="229"/>
      <c r="DU541" s="229"/>
      <c r="DV541" s="229"/>
      <c r="DW541" s="229"/>
      <c r="DX541" s="229"/>
      <c r="DY541" s="229"/>
      <c r="DZ541" s="229"/>
      <c r="EA541" s="229"/>
      <c r="EB541" s="229"/>
      <c r="EC541" s="229"/>
      <c r="ED541" s="229"/>
      <c r="EE541" s="229"/>
      <c r="EF541" s="229"/>
      <c r="EG541" s="229"/>
      <c r="EH541" s="229"/>
      <c r="EI541" s="229"/>
      <c r="EJ541" s="229"/>
      <c r="EK541" s="229"/>
      <c r="EL541" s="305"/>
      <c r="EM541" s="310"/>
      <c r="EN541" s="234"/>
      <c r="EO541" s="234"/>
      <c r="EP541" s="234"/>
      <c r="EQ541" s="233"/>
    </row>
    <row r="542" spans="2:147" ht="11.45" hidden="1" customHeight="1">
      <c r="B542" s="228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  <c r="AH542" s="229"/>
      <c r="AI542" s="229"/>
      <c r="AJ542" s="229"/>
      <c r="AK542" s="229"/>
      <c r="AL542" s="229"/>
      <c r="AM542" s="229"/>
      <c r="AN542" s="229"/>
      <c r="AO542" s="229"/>
      <c r="AP542" s="229"/>
      <c r="AQ542" s="229"/>
      <c r="AR542" s="229"/>
      <c r="AS542" s="229"/>
      <c r="AT542" s="229"/>
      <c r="AU542" s="229"/>
      <c r="AV542" s="229"/>
      <c r="AW542" s="229"/>
      <c r="AX542" s="229"/>
      <c r="AY542" s="229"/>
      <c r="AZ542" s="229"/>
      <c r="BA542" s="229"/>
      <c r="BB542" s="229"/>
      <c r="BC542" s="229"/>
      <c r="BD542" s="229"/>
      <c r="BE542" s="229"/>
      <c r="BF542" s="229"/>
      <c r="BG542" s="229"/>
      <c r="BH542" s="229"/>
      <c r="BI542" s="229"/>
      <c r="BJ542" s="229"/>
      <c r="BK542" s="229"/>
      <c r="BL542" s="229"/>
      <c r="BM542" s="229"/>
      <c r="BN542" s="229"/>
      <c r="BO542" s="229"/>
      <c r="BP542" s="229"/>
      <c r="BQ542" s="229"/>
      <c r="BR542" s="229"/>
      <c r="BS542" s="296"/>
      <c r="BT542" s="229"/>
      <c r="BU542" s="229"/>
      <c r="BV542" s="229"/>
      <c r="BW542" s="229"/>
      <c r="BX542" s="229"/>
      <c r="BY542" s="229"/>
      <c r="BZ542" s="229"/>
      <c r="CA542" s="229"/>
      <c r="CB542" s="229"/>
      <c r="CC542" s="229"/>
      <c r="CD542" s="229"/>
      <c r="CE542" s="229"/>
      <c r="CF542" s="229"/>
      <c r="CG542" s="229"/>
      <c r="CH542" s="229"/>
      <c r="CI542" s="229"/>
      <c r="CJ542" s="229"/>
      <c r="CK542" s="229"/>
      <c r="CL542" s="229"/>
      <c r="CM542" s="229"/>
      <c r="CN542" s="229"/>
      <c r="CO542" s="229"/>
      <c r="CP542" s="229"/>
      <c r="CQ542" s="229"/>
      <c r="CR542" s="229"/>
      <c r="CS542" s="229"/>
      <c r="CT542" s="229"/>
      <c r="CU542" s="229"/>
      <c r="CV542" s="229"/>
      <c r="CW542" s="229"/>
      <c r="CX542" s="229"/>
      <c r="CY542" s="229"/>
      <c r="CZ542" s="229"/>
      <c r="DA542" s="229"/>
      <c r="DB542" s="229"/>
      <c r="DC542" s="229"/>
      <c r="DD542" s="229"/>
      <c r="DE542" s="229"/>
      <c r="DF542" s="229"/>
      <c r="DG542" s="229"/>
      <c r="DH542" s="229"/>
      <c r="DI542" s="229"/>
      <c r="DJ542" s="229"/>
      <c r="DK542" s="229"/>
      <c r="DL542" s="229"/>
      <c r="DM542" s="229"/>
      <c r="DN542" s="229"/>
      <c r="DO542" s="229"/>
      <c r="DP542" s="229"/>
      <c r="DQ542" s="229"/>
      <c r="DR542" s="229"/>
      <c r="DS542" s="229"/>
      <c r="DT542" s="229"/>
      <c r="DU542" s="229"/>
      <c r="DV542" s="229"/>
      <c r="DW542" s="229"/>
      <c r="DX542" s="229"/>
      <c r="DY542" s="229"/>
      <c r="DZ542" s="229"/>
      <c r="EA542" s="229"/>
      <c r="EB542" s="229"/>
      <c r="EC542" s="229"/>
      <c r="ED542" s="229"/>
      <c r="EE542" s="229"/>
      <c r="EF542" s="229"/>
      <c r="EG542" s="229"/>
      <c r="EH542" s="229"/>
      <c r="EI542" s="229"/>
      <c r="EJ542" s="229"/>
      <c r="EK542" s="229"/>
      <c r="EL542" s="305"/>
      <c r="EM542" s="310"/>
      <c r="EN542" s="234"/>
      <c r="EO542" s="234"/>
      <c r="EP542" s="234"/>
      <c r="EQ542" s="233"/>
    </row>
    <row r="543" spans="2:147" ht="11.45" hidden="1" customHeight="1">
      <c r="B543" s="228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  <c r="AH543" s="229"/>
      <c r="AI543" s="229"/>
      <c r="AJ543" s="229"/>
      <c r="AK543" s="229"/>
      <c r="AL543" s="229"/>
      <c r="AM543" s="229"/>
      <c r="AN543" s="229"/>
      <c r="AO543" s="229"/>
      <c r="AP543" s="229"/>
      <c r="AQ543" s="229"/>
      <c r="AR543" s="229"/>
      <c r="AS543" s="229"/>
      <c r="AT543" s="229"/>
      <c r="AU543" s="229"/>
      <c r="AV543" s="229"/>
      <c r="AW543" s="229"/>
      <c r="AX543" s="229"/>
      <c r="AY543" s="229"/>
      <c r="AZ543" s="229"/>
      <c r="BA543" s="229"/>
      <c r="BB543" s="229"/>
      <c r="BC543" s="229"/>
      <c r="BD543" s="229"/>
      <c r="BE543" s="229"/>
      <c r="BF543" s="229"/>
      <c r="BG543" s="229"/>
      <c r="BH543" s="229"/>
      <c r="BI543" s="229"/>
      <c r="BJ543" s="229"/>
      <c r="BK543" s="229"/>
      <c r="BL543" s="229"/>
      <c r="BM543" s="229"/>
      <c r="BN543" s="229"/>
      <c r="BO543" s="229"/>
      <c r="BP543" s="229"/>
      <c r="BQ543" s="229"/>
      <c r="BR543" s="229"/>
      <c r="BS543" s="296"/>
      <c r="BT543" s="229"/>
      <c r="BU543" s="229"/>
      <c r="BV543" s="229"/>
      <c r="BW543" s="229"/>
      <c r="BX543" s="229"/>
      <c r="BY543" s="229"/>
      <c r="BZ543" s="229"/>
      <c r="CA543" s="229"/>
      <c r="CB543" s="229"/>
      <c r="CC543" s="229"/>
      <c r="CD543" s="229"/>
      <c r="CE543" s="229"/>
      <c r="CF543" s="229"/>
      <c r="CG543" s="229"/>
      <c r="CH543" s="229"/>
      <c r="CI543" s="229"/>
      <c r="CJ543" s="229"/>
      <c r="CK543" s="229"/>
      <c r="CL543" s="229"/>
      <c r="CM543" s="229"/>
      <c r="CN543" s="229"/>
      <c r="CO543" s="229"/>
      <c r="CP543" s="229"/>
      <c r="CQ543" s="229"/>
      <c r="CR543" s="229"/>
      <c r="CS543" s="229"/>
      <c r="CT543" s="229"/>
      <c r="CU543" s="229"/>
      <c r="CV543" s="229"/>
      <c r="CW543" s="229"/>
      <c r="CX543" s="229"/>
      <c r="CY543" s="229"/>
      <c r="CZ543" s="229"/>
      <c r="DA543" s="229"/>
      <c r="DB543" s="229"/>
      <c r="DC543" s="229"/>
      <c r="DD543" s="229"/>
      <c r="DE543" s="229"/>
      <c r="DF543" s="229"/>
      <c r="DG543" s="229"/>
      <c r="DH543" s="229"/>
      <c r="DI543" s="229"/>
      <c r="DJ543" s="229"/>
      <c r="DK543" s="229"/>
      <c r="DL543" s="229"/>
      <c r="DM543" s="229"/>
      <c r="DN543" s="229"/>
      <c r="DO543" s="229"/>
      <c r="DP543" s="229"/>
      <c r="DQ543" s="229"/>
      <c r="DR543" s="229"/>
      <c r="DS543" s="229"/>
      <c r="DT543" s="229"/>
      <c r="DU543" s="229"/>
      <c r="DV543" s="229"/>
      <c r="DW543" s="229"/>
      <c r="DX543" s="229"/>
      <c r="DY543" s="229"/>
      <c r="DZ543" s="229"/>
      <c r="EA543" s="229"/>
      <c r="EB543" s="229"/>
      <c r="EC543" s="229"/>
      <c r="ED543" s="229"/>
      <c r="EE543" s="229"/>
      <c r="EF543" s="229"/>
      <c r="EG543" s="229"/>
      <c r="EH543" s="229"/>
      <c r="EI543" s="229"/>
      <c r="EJ543" s="229"/>
      <c r="EK543" s="229"/>
      <c r="EL543" s="305"/>
      <c r="EM543" s="310"/>
      <c r="EN543" s="234"/>
      <c r="EO543" s="234"/>
      <c r="EP543" s="234"/>
      <c r="EQ543" s="233"/>
    </row>
    <row r="544" spans="2:147" ht="11.45" hidden="1" customHeight="1">
      <c r="B544" s="228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  <c r="AH544" s="229"/>
      <c r="AI544" s="229"/>
      <c r="AJ544" s="229"/>
      <c r="AK544" s="229"/>
      <c r="AL544" s="229"/>
      <c r="AM544" s="229"/>
      <c r="AN544" s="229"/>
      <c r="AO544" s="229"/>
      <c r="AP544" s="229"/>
      <c r="AQ544" s="229"/>
      <c r="AR544" s="229"/>
      <c r="AS544" s="229"/>
      <c r="AT544" s="229"/>
      <c r="AU544" s="229"/>
      <c r="AV544" s="229"/>
      <c r="AW544" s="229"/>
      <c r="AX544" s="229"/>
      <c r="AY544" s="229"/>
      <c r="AZ544" s="229"/>
      <c r="BA544" s="229"/>
      <c r="BB544" s="229"/>
      <c r="BC544" s="229"/>
      <c r="BD544" s="229"/>
      <c r="BE544" s="229"/>
      <c r="BF544" s="229"/>
      <c r="BG544" s="229"/>
      <c r="BH544" s="229"/>
      <c r="BI544" s="229"/>
      <c r="BJ544" s="229"/>
      <c r="BK544" s="229"/>
      <c r="BL544" s="229"/>
      <c r="BM544" s="229"/>
      <c r="BN544" s="229"/>
      <c r="BO544" s="229"/>
      <c r="BP544" s="229"/>
      <c r="BQ544" s="229"/>
      <c r="BR544" s="229"/>
      <c r="BS544" s="296"/>
      <c r="BT544" s="229"/>
      <c r="BU544" s="229"/>
      <c r="BV544" s="229"/>
      <c r="BW544" s="229"/>
      <c r="BX544" s="229"/>
      <c r="BY544" s="229"/>
      <c r="BZ544" s="229"/>
      <c r="CA544" s="229"/>
      <c r="CB544" s="229"/>
      <c r="CC544" s="229"/>
      <c r="CD544" s="229"/>
      <c r="CE544" s="229"/>
      <c r="CF544" s="229"/>
      <c r="CG544" s="229"/>
      <c r="CH544" s="229"/>
      <c r="CI544" s="229"/>
      <c r="CJ544" s="229"/>
      <c r="CK544" s="229"/>
      <c r="CL544" s="229"/>
      <c r="CM544" s="229"/>
      <c r="CN544" s="229"/>
      <c r="CO544" s="229"/>
      <c r="CP544" s="229"/>
      <c r="CQ544" s="229"/>
      <c r="CR544" s="229"/>
      <c r="CS544" s="229"/>
      <c r="CT544" s="229"/>
      <c r="CU544" s="229"/>
      <c r="CV544" s="229"/>
      <c r="CW544" s="229"/>
      <c r="CX544" s="229"/>
      <c r="CY544" s="229"/>
      <c r="CZ544" s="229"/>
      <c r="DA544" s="229"/>
      <c r="DB544" s="229"/>
      <c r="DC544" s="229"/>
      <c r="DD544" s="229"/>
      <c r="DE544" s="229"/>
      <c r="DF544" s="229"/>
      <c r="DG544" s="229"/>
      <c r="DH544" s="229"/>
      <c r="DI544" s="229"/>
      <c r="DJ544" s="229"/>
      <c r="DK544" s="229"/>
      <c r="DL544" s="229"/>
      <c r="DM544" s="229"/>
      <c r="DN544" s="229"/>
      <c r="DO544" s="229"/>
      <c r="DP544" s="229"/>
      <c r="DQ544" s="229"/>
      <c r="DR544" s="229"/>
      <c r="DS544" s="229"/>
      <c r="DT544" s="229"/>
      <c r="DU544" s="229"/>
      <c r="DV544" s="229"/>
      <c r="DW544" s="229"/>
      <c r="DX544" s="229"/>
      <c r="DY544" s="229"/>
      <c r="DZ544" s="229"/>
      <c r="EA544" s="229"/>
      <c r="EB544" s="229"/>
      <c r="EC544" s="229"/>
      <c r="ED544" s="229"/>
      <c r="EE544" s="229"/>
      <c r="EF544" s="229"/>
      <c r="EG544" s="229"/>
      <c r="EH544" s="229"/>
      <c r="EI544" s="229"/>
      <c r="EJ544" s="229"/>
      <c r="EK544" s="229"/>
      <c r="EL544" s="305"/>
      <c r="EM544" s="310"/>
      <c r="EN544" s="234"/>
      <c r="EO544" s="234"/>
      <c r="EP544" s="234"/>
      <c r="EQ544" s="233"/>
    </row>
    <row r="545" spans="1:149" ht="11.45" hidden="1" customHeight="1">
      <c r="B545" s="228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  <c r="AH545" s="229"/>
      <c r="AI545" s="229"/>
      <c r="AJ545" s="229"/>
      <c r="AK545" s="229"/>
      <c r="AL545" s="229"/>
      <c r="AM545" s="229"/>
      <c r="AN545" s="229"/>
      <c r="AO545" s="229"/>
      <c r="AP545" s="229"/>
      <c r="AQ545" s="229"/>
      <c r="AR545" s="229"/>
      <c r="AS545" s="229"/>
      <c r="AT545" s="229"/>
      <c r="AU545" s="229"/>
      <c r="AV545" s="229"/>
      <c r="AW545" s="229"/>
      <c r="AX545" s="229"/>
      <c r="AY545" s="229"/>
      <c r="AZ545" s="229"/>
      <c r="BA545" s="229"/>
      <c r="BB545" s="229"/>
      <c r="BC545" s="229"/>
      <c r="BD545" s="229"/>
      <c r="BE545" s="229"/>
      <c r="BF545" s="229"/>
      <c r="BG545" s="229"/>
      <c r="BH545" s="229"/>
      <c r="BI545" s="229"/>
      <c r="BJ545" s="229"/>
      <c r="BK545" s="229"/>
      <c r="BL545" s="229"/>
      <c r="BM545" s="229"/>
      <c r="BN545" s="229"/>
      <c r="BO545" s="229"/>
      <c r="BP545" s="229"/>
      <c r="BQ545" s="229"/>
      <c r="BR545" s="229"/>
      <c r="BS545" s="296"/>
      <c r="BT545" s="229"/>
      <c r="BU545" s="229"/>
      <c r="BV545" s="229"/>
      <c r="BW545" s="229"/>
      <c r="BX545" s="229"/>
      <c r="BY545" s="229"/>
      <c r="BZ545" s="229"/>
      <c r="CA545" s="229"/>
      <c r="CB545" s="229"/>
      <c r="CC545" s="229"/>
      <c r="CD545" s="229"/>
      <c r="CE545" s="229"/>
      <c r="CF545" s="229"/>
      <c r="CG545" s="229"/>
      <c r="CH545" s="229"/>
      <c r="CI545" s="229"/>
      <c r="CJ545" s="229"/>
      <c r="CK545" s="229"/>
      <c r="CL545" s="229"/>
      <c r="CM545" s="229"/>
      <c r="CN545" s="229"/>
      <c r="CO545" s="229"/>
      <c r="CP545" s="229"/>
      <c r="CQ545" s="229"/>
      <c r="CR545" s="229"/>
      <c r="CS545" s="229"/>
      <c r="CT545" s="229"/>
      <c r="CU545" s="229"/>
      <c r="CV545" s="229"/>
      <c r="CW545" s="229"/>
      <c r="CX545" s="229"/>
      <c r="CY545" s="229"/>
      <c r="CZ545" s="229"/>
      <c r="DA545" s="229"/>
      <c r="DB545" s="229"/>
      <c r="DC545" s="229"/>
      <c r="DD545" s="229"/>
      <c r="DE545" s="229"/>
      <c r="DF545" s="229"/>
      <c r="DG545" s="229"/>
      <c r="DH545" s="229"/>
      <c r="DI545" s="229"/>
      <c r="DJ545" s="229"/>
      <c r="DK545" s="229"/>
      <c r="DL545" s="229"/>
      <c r="DM545" s="229"/>
      <c r="DN545" s="229"/>
      <c r="DO545" s="229"/>
      <c r="DP545" s="229"/>
      <c r="DQ545" s="229"/>
      <c r="DR545" s="229"/>
      <c r="DS545" s="229"/>
      <c r="DT545" s="229"/>
      <c r="DU545" s="229"/>
      <c r="DV545" s="229"/>
      <c r="DW545" s="229"/>
      <c r="DX545" s="229"/>
      <c r="DY545" s="229"/>
      <c r="DZ545" s="229"/>
      <c r="EA545" s="229"/>
      <c r="EB545" s="229"/>
      <c r="EC545" s="229"/>
      <c r="ED545" s="229"/>
      <c r="EE545" s="229"/>
      <c r="EF545" s="229"/>
      <c r="EG545" s="229"/>
      <c r="EH545" s="229"/>
      <c r="EI545" s="229"/>
      <c r="EJ545" s="229"/>
      <c r="EK545" s="229"/>
      <c r="EL545" s="305"/>
      <c r="EM545" s="310"/>
      <c r="EN545" s="234"/>
      <c r="EO545" s="234"/>
      <c r="EP545" s="234"/>
      <c r="EQ545" s="233"/>
    </row>
    <row r="546" spans="1:149" ht="11.45" hidden="1" customHeight="1">
      <c r="B546" s="230"/>
      <c r="C546" s="227"/>
      <c r="D546" s="227"/>
      <c r="E546" s="227"/>
      <c r="F546" s="227"/>
      <c r="G546" s="227"/>
      <c r="H546" s="227"/>
      <c r="I546" s="227"/>
      <c r="J546" s="227"/>
      <c r="K546" s="227"/>
      <c r="L546" s="299"/>
      <c r="M546" s="299"/>
      <c r="N546" s="299"/>
      <c r="O546" s="227"/>
      <c r="P546" s="227"/>
      <c r="Q546" s="227"/>
      <c r="R546" s="227"/>
      <c r="S546" s="227"/>
      <c r="T546" s="227"/>
      <c r="U546" s="227"/>
      <c r="V546" s="227"/>
      <c r="W546" s="227"/>
      <c r="X546" s="227"/>
      <c r="Y546" s="227"/>
      <c r="Z546" s="227"/>
      <c r="AA546" s="227"/>
      <c r="AB546" s="227"/>
      <c r="AC546" s="227"/>
      <c r="AD546" s="227"/>
      <c r="AE546" s="227"/>
      <c r="AF546" s="227"/>
      <c r="AG546" s="227"/>
      <c r="AH546" s="227"/>
      <c r="AI546" s="227"/>
      <c r="AJ546" s="227"/>
      <c r="AK546" s="227"/>
      <c r="AL546" s="227"/>
      <c r="AM546" s="227"/>
      <c r="AN546" s="227"/>
      <c r="AO546" s="227"/>
      <c r="AP546" s="227"/>
      <c r="AQ546" s="227"/>
      <c r="AR546" s="227"/>
      <c r="AS546" s="227"/>
      <c r="AT546" s="227"/>
      <c r="AU546" s="227"/>
      <c r="AV546" s="227"/>
      <c r="AW546" s="227"/>
      <c r="AX546" s="227"/>
      <c r="AY546" s="227"/>
      <c r="AZ546" s="227"/>
      <c r="BA546" s="227"/>
      <c r="BB546" s="227"/>
      <c r="BC546" s="227"/>
      <c r="BD546" s="227"/>
      <c r="BE546" s="227"/>
      <c r="BF546" s="227"/>
      <c r="BG546" s="227"/>
      <c r="BH546" s="227"/>
      <c r="BI546" s="227"/>
      <c r="BJ546" s="227"/>
      <c r="BK546" s="227"/>
      <c r="BL546" s="227"/>
      <c r="BM546" s="227"/>
      <c r="BN546" s="227"/>
      <c r="BO546" s="227"/>
      <c r="BP546" s="227"/>
      <c r="BQ546" s="227"/>
      <c r="BR546" s="227"/>
      <c r="BS546" s="299"/>
      <c r="BT546" s="227"/>
      <c r="BU546" s="227"/>
      <c r="BV546" s="227"/>
      <c r="BW546" s="227"/>
      <c r="BX546" s="227"/>
      <c r="BY546" s="227"/>
      <c r="BZ546" s="227"/>
      <c r="CA546" s="227"/>
      <c r="CB546" s="227"/>
      <c r="CC546" s="227"/>
      <c r="CD546" s="227"/>
      <c r="CE546" s="227"/>
      <c r="CF546" s="227"/>
      <c r="CG546" s="227"/>
      <c r="CH546" s="227"/>
      <c r="CI546" s="227"/>
      <c r="CJ546" s="227"/>
      <c r="CK546" s="227"/>
      <c r="CL546" s="227"/>
      <c r="CM546" s="227"/>
      <c r="CN546" s="227"/>
      <c r="CO546" s="227"/>
      <c r="CP546" s="227"/>
      <c r="CQ546" s="227"/>
      <c r="CR546" s="227"/>
      <c r="CS546" s="227"/>
      <c r="CT546" s="227"/>
      <c r="CU546" s="227"/>
      <c r="CV546" s="227"/>
      <c r="CW546" s="227"/>
      <c r="CX546" s="227"/>
      <c r="CY546" s="227"/>
      <c r="CZ546" s="227"/>
      <c r="DA546" s="227"/>
      <c r="DB546" s="227"/>
      <c r="DC546" s="227"/>
      <c r="DD546" s="227"/>
      <c r="DE546" s="227"/>
      <c r="DF546" s="227"/>
      <c r="DG546" s="227"/>
      <c r="DH546" s="227"/>
      <c r="DI546" s="227"/>
      <c r="DJ546" s="227"/>
      <c r="DK546" s="227"/>
      <c r="DL546" s="227"/>
      <c r="DM546" s="227"/>
      <c r="DN546" s="227"/>
      <c r="DO546" s="227"/>
      <c r="DP546" s="227"/>
      <c r="DQ546" s="227"/>
      <c r="DR546" s="227"/>
      <c r="DS546" s="227"/>
      <c r="DT546" s="227"/>
      <c r="DU546" s="227"/>
      <c r="DV546" s="227"/>
      <c r="DW546" s="227"/>
      <c r="DX546" s="227"/>
      <c r="DY546" s="227"/>
      <c r="DZ546" s="227"/>
      <c r="EA546" s="227"/>
      <c r="EB546" s="227"/>
      <c r="EC546" s="227"/>
      <c r="ED546" s="227"/>
      <c r="EE546" s="227"/>
      <c r="EF546" s="227"/>
      <c r="EG546" s="227"/>
      <c r="EH546" s="227"/>
      <c r="EI546" s="227"/>
      <c r="EJ546" s="227"/>
      <c r="EK546" s="227"/>
      <c r="EL546" s="306"/>
      <c r="EM546" s="311"/>
      <c r="EN546" s="237"/>
      <c r="EO546" s="237"/>
      <c r="EP546" s="237"/>
      <c r="EQ546" s="238"/>
    </row>
    <row r="547" spans="1:149" ht="11.45" hidden="1" customHeight="1">
      <c r="B547" s="255"/>
      <c r="C547" s="256"/>
      <c r="D547" s="256"/>
      <c r="E547" s="256"/>
      <c r="F547" s="256"/>
      <c r="G547" s="256"/>
      <c r="H547" s="256"/>
      <c r="I547" s="256"/>
      <c r="J547" s="256"/>
      <c r="K547" s="256"/>
      <c r="L547" s="300"/>
      <c r="M547" s="300"/>
      <c r="N547" s="300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  <c r="AA547" s="256"/>
      <c r="AB547" s="256"/>
      <c r="AC547" s="256"/>
      <c r="AD547" s="256"/>
      <c r="AE547" s="256"/>
      <c r="AF547" s="256"/>
      <c r="AG547" s="256"/>
      <c r="AH547" s="256"/>
      <c r="AI547" s="256"/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  <c r="BR547" s="256"/>
      <c r="BS547" s="300"/>
      <c r="BT547" s="256"/>
      <c r="BU547" s="256"/>
      <c r="BV547" s="256"/>
      <c r="BW547" s="256"/>
      <c r="BX547" s="256"/>
      <c r="BY547" s="256"/>
      <c r="BZ547" s="256"/>
      <c r="CA547" s="256"/>
      <c r="CB547" s="256"/>
      <c r="CC547" s="256"/>
      <c r="CD547" s="256"/>
      <c r="CE547" s="256"/>
      <c r="CF547" s="256"/>
      <c r="CG547" s="256"/>
      <c r="CH547" s="256"/>
      <c r="CI547" s="256"/>
      <c r="CJ547" s="256"/>
      <c r="CK547" s="256"/>
      <c r="CL547" s="256"/>
      <c r="CM547" s="256"/>
      <c r="CN547" s="256"/>
      <c r="CO547" s="256"/>
      <c r="CP547" s="256"/>
      <c r="CQ547" s="256"/>
      <c r="CR547" s="256"/>
      <c r="CS547" s="256"/>
      <c r="CT547" s="256"/>
      <c r="CU547" s="256"/>
      <c r="CV547" s="256"/>
      <c r="CW547" s="256"/>
      <c r="CX547" s="256"/>
      <c r="CY547" s="256"/>
      <c r="CZ547" s="256"/>
      <c r="DA547" s="256"/>
      <c r="DB547" s="256"/>
      <c r="DC547" s="256"/>
      <c r="DD547" s="256"/>
      <c r="DE547" s="256"/>
      <c r="DF547" s="256"/>
      <c r="DG547" s="256"/>
      <c r="DH547" s="256"/>
      <c r="DI547" s="256"/>
      <c r="DJ547" s="256"/>
      <c r="DK547" s="256"/>
      <c r="DL547" s="256"/>
      <c r="DM547" s="256"/>
      <c r="DN547" s="256"/>
      <c r="DO547" s="256"/>
      <c r="DP547" s="256"/>
      <c r="DQ547" s="256"/>
      <c r="DR547" s="256"/>
      <c r="DS547" s="256"/>
      <c r="DT547" s="256"/>
      <c r="DU547" s="256"/>
      <c r="DV547" s="256"/>
      <c r="DW547" s="256"/>
      <c r="DX547" s="256"/>
      <c r="DY547" s="256"/>
      <c r="DZ547" s="256"/>
      <c r="EA547" s="256"/>
      <c r="EB547" s="256"/>
      <c r="EC547" s="256"/>
      <c r="ED547" s="256"/>
      <c r="EE547" s="256"/>
      <c r="EF547" s="256"/>
      <c r="EG547" s="256"/>
      <c r="EH547" s="256"/>
      <c r="EI547" s="256"/>
      <c r="EJ547" s="256"/>
      <c r="EK547" s="256"/>
      <c r="EL547" s="361"/>
      <c r="EM547" s="257"/>
      <c r="EN547" s="258"/>
      <c r="EO547" s="258"/>
      <c r="EP547" s="258"/>
      <c r="EQ547" s="259"/>
    </row>
    <row r="548" spans="1:149" ht="11.45" hidden="1" customHeight="1">
      <c r="A548" s="243">
        <v>15</v>
      </c>
      <c r="B548" s="1782">
        <f>A548</f>
        <v>15</v>
      </c>
      <c r="C548" s="1781"/>
      <c r="D548" s="1781"/>
      <c r="E548" s="336" t="s">
        <v>889</v>
      </c>
      <c r="F548" s="229"/>
      <c r="G548" s="229"/>
      <c r="H548" s="229"/>
      <c r="I548" s="229"/>
      <c r="J548" s="229"/>
      <c r="K548" s="229"/>
      <c r="L548" s="296"/>
      <c r="M548" s="296"/>
      <c r="N548" s="296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  <c r="AH548" s="229"/>
      <c r="AI548" s="229"/>
      <c r="AJ548" s="229"/>
      <c r="AK548" s="229"/>
      <c r="AL548" s="229"/>
      <c r="AM548" s="229"/>
      <c r="AN548" s="229"/>
      <c r="AO548" s="229"/>
      <c r="AP548" s="229"/>
      <c r="AQ548" s="229"/>
      <c r="AR548" s="229"/>
      <c r="AS548" s="229"/>
      <c r="AT548" s="229"/>
      <c r="AU548" s="229"/>
      <c r="AV548" s="229"/>
      <c r="AW548" s="229"/>
      <c r="AX548" s="229"/>
      <c r="AY548" s="229"/>
      <c r="AZ548" s="229"/>
      <c r="BA548" s="229"/>
      <c r="BB548" s="229"/>
      <c r="BC548" s="229"/>
      <c r="BD548" s="229"/>
      <c r="BE548" s="229"/>
      <c r="BF548" s="229"/>
      <c r="BG548" s="229"/>
      <c r="BH548" s="229"/>
      <c r="BI548" s="229"/>
      <c r="BJ548" s="229"/>
      <c r="BK548" s="229"/>
      <c r="BL548" s="229"/>
      <c r="BM548" s="229"/>
      <c r="BN548" s="229"/>
      <c r="BO548" s="229"/>
      <c r="BP548" s="229"/>
      <c r="BQ548" s="229"/>
      <c r="BR548" s="229"/>
      <c r="BS548" s="296"/>
      <c r="BT548" s="229"/>
      <c r="BU548" s="229"/>
      <c r="BV548" s="229"/>
      <c r="BW548" s="229"/>
      <c r="BX548" s="229"/>
      <c r="BY548" s="229"/>
      <c r="BZ548" s="229"/>
      <c r="CA548" s="229"/>
      <c r="CB548" s="229"/>
      <c r="CC548" s="229"/>
      <c r="CD548" s="229"/>
      <c r="CE548" s="229"/>
      <c r="CF548" s="229"/>
      <c r="CG548" s="229"/>
      <c r="CH548" s="229"/>
      <c r="CI548" s="229"/>
      <c r="CJ548" s="229"/>
      <c r="CK548" s="229"/>
      <c r="CL548" s="229"/>
      <c r="CM548" s="229"/>
      <c r="CN548" s="229"/>
      <c r="CO548" s="229"/>
      <c r="CP548" s="229"/>
      <c r="CQ548" s="229"/>
      <c r="CR548" s="229"/>
      <c r="CS548" s="229"/>
      <c r="CT548" s="229"/>
      <c r="CU548" s="229"/>
      <c r="CV548" s="229"/>
      <c r="CW548" s="229"/>
      <c r="CX548" s="229"/>
      <c r="CY548" s="229"/>
      <c r="CZ548" s="229"/>
      <c r="DA548" s="229"/>
      <c r="DB548" s="229"/>
      <c r="DC548" s="229"/>
      <c r="DD548" s="229"/>
      <c r="DE548" s="229"/>
      <c r="DF548" s="229"/>
      <c r="DG548" s="229"/>
      <c r="DH548" s="229"/>
      <c r="DI548" s="229"/>
      <c r="DJ548" s="229"/>
      <c r="DK548" s="229"/>
      <c r="DL548" s="229"/>
      <c r="DM548" s="229"/>
      <c r="DN548" s="229"/>
      <c r="DO548" s="229"/>
      <c r="DP548" s="229"/>
      <c r="DQ548" s="229"/>
      <c r="DR548" s="229"/>
      <c r="DS548" s="229"/>
      <c r="DT548" s="229"/>
      <c r="DU548" s="229"/>
      <c r="DV548" s="229"/>
      <c r="DW548" s="229"/>
      <c r="DX548" s="229"/>
      <c r="DY548" s="229"/>
      <c r="DZ548" s="229"/>
      <c r="EA548" s="229"/>
      <c r="EB548" s="229"/>
      <c r="EC548" s="229"/>
      <c r="ED548" s="229"/>
      <c r="EE548" s="229"/>
      <c r="EF548" s="229"/>
      <c r="EG548" s="229"/>
      <c r="EH548" s="229"/>
      <c r="EI548" s="229"/>
      <c r="EJ548" s="229"/>
      <c r="EK548" s="229"/>
      <c r="EL548" s="305"/>
      <c r="EM548" s="232" t="e">
        <f>EM589</f>
        <v>#REF!</v>
      </c>
      <c r="EN548" s="232" t="e">
        <f>EN589</f>
        <v>#REF!</v>
      </c>
      <c r="EO548" s="232" t="e">
        <f>EO589</f>
        <v>#REF!</v>
      </c>
      <c r="EP548" s="232" t="e">
        <f>EP589</f>
        <v>#REF!</v>
      </c>
      <c r="EQ548" s="312" t="s">
        <v>760</v>
      </c>
      <c r="ES548" s="800">
        <f>A548</f>
        <v>15</v>
      </c>
    </row>
    <row r="549" spans="1:149" ht="11.45" hidden="1" customHeight="1">
      <c r="B549" s="228"/>
      <c r="C549" s="229"/>
      <c r="D549" s="229"/>
      <c r="E549" s="229" t="s">
        <v>681</v>
      </c>
      <c r="F549" s="229"/>
      <c r="G549" s="229"/>
      <c r="H549" s="229" t="s">
        <v>538</v>
      </c>
      <c r="I549" s="229" t="s">
        <v>724</v>
      </c>
      <c r="J549" s="229"/>
      <c r="K549" s="229"/>
      <c r="L549" s="296" t="s">
        <v>745</v>
      </c>
      <c r="M549" s="296"/>
      <c r="N549" s="296"/>
      <c r="O549" s="229"/>
      <c r="P549" s="229"/>
      <c r="Q549" s="229"/>
      <c r="R549" s="229"/>
      <c r="S549" s="229" t="s">
        <v>132</v>
      </c>
      <c r="T549" s="229"/>
      <c r="U549" s="229" t="s">
        <v>743</v>
      </c>
      <c r="V549" s="229"/>
      <c r="W549" s="229"/>
      <c r="X549" s="229" t="s">
        <v>134</v>
      </c>
      <c r="Y549" s="229"/>
      <c r="Z549" s="229"/>
      <c r="AA549" s="229" t="str">
        <f>TEXT(300,"#,##0.#######")</f>
        <v>300.</v>
      </c>
      <c r="AB549" s="229"/>
      <c r="AC549" s="229"/>
      <c r="AD549" s="229" t="s">
        <v>548</v>
      </c>
      <c r="AE549" s="229"/>
      <c r="AF549" s="229" t="s">
        <v>139</v>
      </c>
      <c r="AG549" s="229" t="s">
        <v>724</v>
      </c>
      <c r="AH549" s="229"/>
      <c r="AI549" s="229"/>
      <c r="AJ549" s="229"/>
      <c r="AK549" s="229"/>
      <c r="AL549" s="229"/>
      <c r="AM549" s="229"/>
      <c r="AN549" s="229"/>
      <c r="AO549" s="229"/>
      <c r="AP549" s="229"/>
      <c r="AQ549" s="229"/>
      <c r="AR549" s="229"/>
      <c r="AS549" s="229"/>
      <c r="AT549" s="229"/>
      <c r="AU549" s="229"/>
      <c r="AV549" s="229"/>
      <c r="AW549" s="229"/>
      <c r="AX549" s="229"/>
      <c r="AY549" s="229"/>
      <c r="AZ549" s="229"/>
      <c r="BA549" s="229"/>
      <c r="BB549" s="229"/>
      <c r="BC549" s="229"/>
      <c r="BD549" s="229"/>
      <c r="BE549" s="229"/>
      <c r="BF549" s="229"/>
      <c r="BG549" s="229"/>
      <c r="BH549" s="229"/>
      <c r="BI549" s="229"/>
      <c r="BJ549" s="229"/>
      <c r="BK549" s="229"/>
      <c r="BL549" s="229"/>
      <c r="BM549" s="229"/>
      <c r="BN549" s="229"/>
      <c r="BO549" s="229"/>
      <c r="BP549" s="229"/>
      <c r="BQ549" s="229"/>
      <c r="BR549" s="229"/>
      <c r="BS549" s="296"/>
      <c r="BT549" s="229"/>
      <c r="BU549" s="229"/>
      <c r="BV549" s="229"/>
      <c r="BW549" s="229"/>
      <c r="BX549" s="229"/>
      <c r="BY549" s="229"/>
      <c r="BZ549" s="229"/>
      <c r="CA549" s="229"/>
      <c r="CB549" s="229"/>
      <c r="CC549" s="229"/>
      <c r="CD549" s="229"/>
      <c r="CE549" s="229"/>
      <c r="CF549" s="229"/>
      <c r="CG549" s="229"/>
      <c r="CH549" s="229"/>
      <c r="CI549" s="229"/>
      <c r="CJ549" s="229"/>
      <c r="CK549" s="229"/>
      <c r="CL549" s="229"/>
      <c r="CM549" s="229"/>
      <c r="CN549" s="229"/>
      <c r="CO549" s="229"/>
      <c r="CP549" s="229"/>
      <c r="CQ549" s="229"/>
      <c r="CR549" s="229"/>
      <c r="CS549" s="229"/>
      <c r="CT549" s="229"/>
      <c r="CU549" s="229"/>
      <c r="CV549" s="229"/>
      <c r="CW549" s="229"/>
      <c r="CX549" s="229"/>
      <c r="CY549" s="229"/>
      <c r="CZ549" s="229"/>
      <c r="DA549" s="229"/>
      <c r="DB549" s="229"/>
      <c r="DC549" s="229"/>
      <c r="DD549" s="229"/>
      <c r="DE549" s="229"/>
      <c r="DF549" s="229"/>
      <c r="DG549" s="229"/>
      <c r="DH549" s="229"/>
      <c r="DI549" s="229"/>
      <c r="DJ549" s="229"/>
      <c r="DK549" s="229"/>
      <c r="DL549" s="229"/>
      <c r="DM549" s="229"/>
      <c r="DN549" s="229"/>
      <c r="DO549" s="229"/>
      <c r="DP549" s="229"/>
      <c r="DQ549" s="229"/>
      <c r="DR549" s="229"/>
      <c r="DS549" s="229"/>
      <c r="DT549" s="229"/>
      <c r="DU549" s="229"/>
      <c r="DV549" s="229"/>
      <c r="DW549" s="229"/>
      <c r="DX549" s="229"/>
      <c r="DY549" s="229"/>
      <c r="DZ549" s="229"/>
      <c r="EA549" s="229"/>
      <c r="EB549" s="229"/>
      <c r="EC549" s="229"/>
      <c r="ED549" s="229"/>
      <c r="EE549" s="229"/>
      <c r="EF549" s="229"/>
      <c r="EG549" s="229"/>
      <c r="EH549" s="229"/>
      <c r="EI549" s="229"/>
      <c r="EJ549" s="229"/>
      <c r="EK549" s="229"/>
      <c r="EL549" s="305"/>
      <c r="EM549" s="234"/>
      <c r="EN549" s="234"/>
      <c r="EO549" s="234"/>
      <c r="EP549" s="234"/>
      <c r="EQ549" s="233"/>
    </row>
    <row r="550" spans="1:149" ht="11.45" hidden="1" customHeight="1">
      <c r="B550" s="228"/>
      <c r="C550" s="229"/>
      <c r="D550" s="229"/>
      <c r="E550" s="229"/>
      <c r="F550" s="229"/>
      <c r="G550" s="229"/>
      <c r="H550" s="229" t="s">
        <v>741</v>
      </c>
      <c r="I550" s="229"/>
      <c r="J550" s="229"/>
      <c r="K550" s="229"/>
      <c r="L550" s="296"/>
      <c r="M550" s="296"/>
      <c r="N550" s="296"/>
      <c r="O550" s="229" t="s">
        <v>745</v>
      </c>
      <c r="P550" s="229"/>
      <c r="Q550" s="229"/>
      <c r="R550" s="229"/>
      <c r="S550" s="229"/>
      <c r="T550" s="229"/>
      <c r="U550" s="229"/>
      <c r="V550" s="229" t="s">
        <v>132</v>
      </c>
      <c r="W550" s="229"/>
      <c r="X550" s="229" t="s">
        <v>687</v>
      </c>
      <c r="Y550" s="229"/>
      <c r="Z550" s="229" t="s">
        <v>134</v>
      </c>
      <c r="AA550" s="229"/>
      <c r="AB550" s="229" t="s">
        <v>743</v>
      </c>
      <c r="AC550" s="229"/>
      <c r="AD550" s="229"/>
      <c r="AE550" s="229" t="s">
        <v>683</v>
      </c>
      <c r="AF550" s="229"/>
      <c r="AG550" s="229"/>
      <c r="AH550" s="229" t="str">
        <f>TEXT(8,"#,##0.#######")</f>
        <v>8.</v>
      </c>
      <c r="AI550" s="229" t="s">
        <v>618</v>
      </c>
      <c r="AJ550" s="229"/>
      <c r="AK550" s="229"/>
      <c r="AL550" s="229" t="s">
        <v>134</v>
      </c>
      <c r="AM550" s="229"/>
      <c r="AN550" s="229" t="str">
        <f>TEXT(AA549,"#,##0.#######")</f>
        <v>300.</v>
      </c>
      <c r="AO550" s="229"/>
      <c r="AP550" s="229"/>
      <c r="AQ550" s="229"/>
      <c r="AR550" s="229" t="s">
        <v>683</v>
      </c>
      <c r="AS550" s="229"/>
      <c r="AT550" s="229"/>
      <c r="AU550" s="229" t="str">
        <f>TEXT(AH550,"#,##0.#######")</f>
        <v>8.</v>
      </c>
      <c r="AV550" s="229"/>
      <c r="AW550" s="229" t="s">
        <v>134</v>
      </c>
      <c r="AX550" s="229"/>
      <c r="AY550" s="229"/>
      <c r="AZ550" s="229" t="str">
        <f>TEXT(ROUND(AA549/AH550,2),"#,##0.#######")</f>
        <v>37.5</v>
      </c>
      <c r="BA550" s="229"/>
      <c r="BB550" s="229"/>
      <c r="BC550" s="229" t="s">
        <v>548</v>
      </c>
      <c r="BD550" s="229"/>
      <c r="BE550" s="229" t="s">
        <v>139</v>
      </c>
      <c r="BF550" s="229" t="s">
        <v>618</v>
      </c>
      <c r="BG550" s="229"/>
      <c r="BH550" s="229"/>
      <c r="BI550" s="229"/>
      <c r="BJ550" s="229"/>
      <c r="BK550" s="229"/>
      <c r="BL550" s="229"/>
      <c r="BM550" s="229"/>
      <c r="BN550" s="229"/>
      <c r="BO550" s="229"/>
      <c r="BP550" s="229"/>
      <c r="BQ550" s="229"/>
      <c r="BR550" s="229"/>
      <c r="BS550" s="296"/>
      <c r="BT550" s="229"/>
      <c r="BU550" s="229"/>
      <c r="BV550" s="229"/>
      <c r="BW550" s="229"/>
      <c r="BX550" s="229"/>
      <c r="BY550" s="229"/>
      <c r="BZ550" s="229"/>
      <c r="CA550" s="229"/>
      <c r="CB550" s="229"/>
      <c r="CC550" s="229"/>
      <c r="CD550" s="229"/>
      <c r="CE550" s="229"/>
      <c r="CF550" s="229"/>
      <c r="CG550" s="229"/>
      <c r="CH550" s="229"/>
      <c r="CI550" s="229"/>
      <c r="CJ550" s="229"/>
      <c r="CK550" s="229"/>
      <c r="CL550" s="229"/>
      <c r="CM550" s="229"/>
      <c r="CN550" s="229"/>
      <c r="CO550" s="229"/>
      <c r="CP550" s="229"/>
      <c r="CQ550" s="229"/>
      <c r="CR550" s="229"/>
      <c r="CS550" s="229"/>
      <c r="CT550" s="229"/>
      <c r="CU550" s="229"/>
      <c r="CV550" s="229"/>
      <c r="CW550" s="229"/>
      <c r="CX550" s="229"/>
      <c r="CY550" s="229"/>
      <c r="CZ550" s="229"/>
      <c r="DA550" s="229"/>
      <c r="DB550" s="229"/>
      <c r="DC550" s="229"/>
      <c r="DD550" s="229"/>
      <c r="DE550" s="229"/>
      <c r="DF550" s="229"/>
      <c r="DG550" s="229"/>
      <c r="DH550" s="229"/>
      <c r="DI550" s="229"/>
      <c r="DJ550" s="229"/>
      <c r="DK550" s="229"/>
      <c r="DL550" s="229"/>
      <c r="DM550" s="229"/>
      <c r="DN550" s="229"/>
      <c r="DO550" s="229"/>
      <c r="DP550" s="229"/>
      <c r="DQ550" s="229"/>
      <c r="DR550" s="229"/>
      <c r="DS550" s="229"/>
      <c r="DT550" s="229"/>
      <c r="DU550" s="229"/>
      <c r="DV550" s="229"/>
      <c r="DW550" s="229"/>
      <c r="DX550" s="229"/>
      <c r="DY550" s="229"/>
      <c r="DZ550" s="229"/>
      <c r="EA550" s="229"/>
      <c r="EB550" s="229"/>
      <c r="EC550" s="229"/>
      <c r="ED550" s="229"/>
      <c r="EE550" s="229"/>
      <c r="EF550" s="229"/>
      <c r="EG550" s="229"/>
      <c r="EH550" s="229"/>
      <c r="EI550" s="229"/>
      <c r="EJ550" s="229"/>
      <c r="EK550" s="229"/>
      <c r="EL550" s="305"/>
      <c r="EM550" s="234"/>
      <c r="EN550" s="234"/>
      <c r="EO550" s="234"/>
      <c r="EP550" s="234"/>
      <c r="EQ550" s="233"/>
    </row>
    <row r="551" spans="1:149" ht="11.45" hidden="1" customHeight="1">
      <c r="B551" s="228"/>
      <c r="C551" s="229"/>
      <c r="D551" s="229"/>
      <c r="E551" s="229"/>
      <c r="F551" s="229"/>
      <c r="G551" s="229"/>
      <c r="H551" s="229"/>
      <c r="I551" s="229"/>
      <c r="J551" s="229"/>
      <c r="K551" s="229"/>
      <c r="L551" s="296"/>
      <c r="M551" s="296"/>
      <c r="N551" s="296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  <c r="AH551" s="229"/>
      <c r="AI551" s="229"/>
      <c r="AJ551" s="229"/>
      <c r="AK551" s="229"/>
      <c r="AL551" s="229"/>
      <c r="AM551" s="229"/>
      <c r="AN551" s="229"/>
      <c r="AO551" s="229"/>
      <c r="AP551" s="229"/>
      <c r="AQ551" s="229"/>
      <c r="AR551" s="229"/>
      <c r="AS551" s="229"/>
      <c r="AT551" s="229"/>
      <c r="AU551" s="229"/>
      <c r="AV551" s="229"/>
      <c r="AW551" s="229"/>
      <c r="AX551" s="229"/>
      <c r="AY551" s="229"/>
      <c r="AZ551" s="229"/>
      <c r="BA551" s="229"/>
      <c r="BB551" s="229"/>
      <c r="BC551" s="229"/>
      <c r="BD551" s="229"/>
      <c r="BE551" s="229"/>
      <c r="BF551" s="229"/>
      <c r="BG551" s="229"/>
      <c r="BH551" s="229"/>
      <c r="BI551" s="229"/>
      <c r="BJ551" s="229"/>
      <c r="BK551" s="229"/>
      <c r="BL551" s="229"/>
      <c r="BM551" s="229"/>
      <c r="BN551" s="229"/>
      <c r="BO551" s="229"/>
      <c r="BP551" s="229"/>
      <c r="BQ551" s="229"/>
      <c r="BR551" s="229"/>
      <c r="BS551" s="296"/>
      <c r="BT551" s="229"/>
      <c r="BU551" s="229"/>
      <c r="BV551" s="229"/>
      <c r="BW551" s="229"/>
      <c r="BX551" s="229"/>
      <c r="BY551" s="229"/>
      <c r="BZ551" s="229"/>
      <c r="CA551" s="229"/>
      <c r="CB551" s="229"/>
      <c r="CC551" s="229"/>
      <c r="CD551" s="229"/>
      <c r="CE551" s="229"/>
      <c r="CF551" s="229"/>
      <c r="CG551" s="229"/>
      <c r="CH551" s="229"/>
      <c r="CI551" s="229"/>
      <c r="CJ551" s="229"/>
      <c r="CK551" s="229"/>
      <c r="CL551" s="229"/>
      <c r="CM551" s="229"/>
      <c r="CN551" s="229"/>
      <c r="CO551" s="229"/>
      <c r="CP551" s="229"/>
      <c r="CQ551" s="229"/>
      <c r="CR551" s="229"/>
      <c r="CS551" s="229"/>
      <c r="CT551" s="229"/>
      <c r="CU551" s="229"/>
      <c r="CV551" s="229"/>
      <c r="CW551" s="229"/>
      <c r="CX551" s="229"/>
      <c r="CY551" s="229"/>
      <c r="CZ551" s="229"/>
      <c r="DA551" s="229"/>
      <c r="DB551" s="229"/>
      <c r="DC551" s="229"/>
      <c r="DD551" s="229"/>
      <c r="DE551" s="229"/>
      <c r="DF551" s="229"/>
      <c r="DG551" s="229"/>
      <c r="DH551" s="229"/>
      <c r="DI551" s="229"/>
      <c r="DJ551" s="229"/>
      <c r="DK551" s="229"/>
      <c r="DL551" s="229"/>
      <c r="DM551" s="229"/>
      <c r="DN551" s="229"/>
      <c r="DO551" s="229"/>
      <c r="DP551" s="229"/>
      <c r="DQ551" s="229"/>
      <c r="DR551" s="229"/>
      <c r="DS551" s="229"/>
      <c r="DT551" s="229"/>
      <c r="DU551" s="229"/>
      <c r="DV551" s="229"/>
      <c r="DW551" s="229"/>
      <c r="DX551" s="229"/>
      <c r="DY551" s="229"/>
      <c r="DZ551" s="229"/>
      <c r="EA551" s="229"/>
      <c r="EB551" s="229"/>
      <c r="EC551" s="229"/>
      <c r="ED551" s="229"/>
      <c r="EE551" s="229"/>
      <c r="EF551" s="229"/>
      <c r="EG551" s="229"/>
      <c r="EH551" s="229"/>
      <c r="EI551" s="229"/>
      <c r="EJ551" s="229"/>
      <c r="EK551" s="229"/>
      <c r="EL551" s="305"/>
      <c r="EM551" s="234"/>
      <c r="EN551" s="234"/>
      <c r="EO551" s="234"/>
      <c r="EP551" s="234"/>
      <c r="EQ551" s="233"/>
    </row>
    <row r="552" spans="1:149" ht="11.45" hidden="1" customHeight="1">
      <c r="B552" s="228"/>
      <c r="C552" s="229"/>
      <c r="D552" s="229" t="s">
        <v>674</v>
      </c>
      <c r="E552" s="229"/>
      <c r="F552" s="229"/>
      <c r="G552" s="229" t="s">
        <v>617</v>
      </c>
      <c r="H552" s="229"/>
      <c r="I552" s="229"/>
      <c r="J552" s="229"/>
      <c r="K552" s="229"/>
      <c r="L552" s="296"/>
      <c r="M552" s="296"/>
      <c r="N552" s="296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  <c r="AH552" s="229"/>
      <c r="AI552" s="229"/>
      <c r="AJ552" s="229"/>
      <c r="AK552" s="229"/>
      <c r="AL552" s="229"/>
      <c r="AM552" s="229"/>
      <c r="AN552" s="229"/>
      <c r="AO552" s="229"/>
      <c r="AP552" s="229"/>
      <c r="AQ552" s="229"/>
      <c r="AR552" s="229"/>
      <c r="AS552" s="229"/>
      <c r="AT552" s="229"/>
      <c r="AU552" s="229"/>
      <c r="AV552" s="229"/>
      <c r="AW552" s="229"/>
      <c r="AX552" s="229"/>
      <c r="AY552" s="229"/>
      <c r="AZ552" s="229"/>
      <c r="BA552" s="229"/>
      <c r="BB552" s="229"/>
      <c r="BC552" s="229"/>
      <c r="BD552" s="229"/>
      <c r="BE552" s="229"/>
      <c r="BF552" s="229"/>
      <c r="BG552" s="229"/>
      <c r="BH552" s="229"/>
      <c r="BI552" s="229"/>
      <c r="BJ552" s="229"/>
      <c r="BK552" s="229"/>
      <c r="BL552" s="229"/>
      <c r="BM552" s="229"/>
      <c r="BN552" s="229"/>
      <c r="BO552" s="229"/>
      <c r="BP552" s="229"/>
      <c r="BQ552" s="229"/>
      <c r="BR552" s="229"/>
      <c r="BS552" s="296"/>
      <c r="BT552" s="229"/>
      <c r="BU552" s="229"/>
      <c r="BV552" s="229"/>
      <c r="BW552" s="229"/>
      <c r="BX552" s="229"/>
      <c r="BY552" s="229"/>
      <c r="BZ552" s="229"/>
      <c r="CA552" s="229"/>
      <c r="CB552" s="229"/>
      <c r="CC552" s="229"/>
      <c r="CD552" s="229"/>
      <c r="CE552" s="229"/>
      <c r="CF552" s="229"/>
      <c r="CG552" s="229"/>
      <c r="CH552" s="229"/>
      <c r="CI552" s="229"/>
      <c r="CJ552" s="229"/>
      <c r="CK552" s="229"/>
      <c r="CL552" s="229"/>
      <c r="CM552" s="229"/>
      <c r="CN552" s="229"/>
      <c r="CO552" s="229"/>
      <c r="CP552" s="229"/>
      <c r="CQ552" s="229"/>
      <c r="CR552" s="229"/>
      <c r="CS552" s="229"/>
      <c r="CT552" s="229"/>
      <c r="CU552" s="229"/>
      <c r="CV552" s="229"/>
      <c r="CW552" s="229"/>
      <c r="CX552" s="229"/>
      <c r="CY552" s="229"/>
      <c r="CZ552" s="229"/>
      <c r="DA552" s="229"/>
      <c r="DB552" s="229"/>
      <c r="DC552" s="229"/>
      <c r="DD552" s="229"/>
      <c r="DE552" s="229"/>
      <c r="DF552" s="229"/>
      <c r="DG552" s="229"/>
      <c r="DH552" s="229"/>
      <c r="DI552" s="229"/>
      <c r="DJ552" s="229"/>
      <c r="DK552" s="229"/>
      <c r="DL552" s="229"/>
      <c r="DM552" s="229"/>
      <c r="DN552" s="229"/>
      <c r="DO552" s="229"/>
      <c r="DP552" s="229"/>
      <c r="DQ552" s="229"/>
      <c r="DR552" s="229"/>
      <c r="DS552" s="229"/>
      <c r="DT552" s="229"/>
      <c r="DU552" s="229"/>
      <c r="DV552" s="229"/>
      <c r="DW552" s="229"/>
      <c r="DX552" s="229"/>
      <c r="DY552" s="229"/>
      <c r="DZ552" s="229"/>
      <c r="EA552" s="229"/>
      <c r="EB552" s="229"/>
      <c r="EC552" s="229"/>
      <c r="ED552" s="229"/>
      <c r="EE552" s="229"/>
      <c r="EF552" s="229"/>
      <c r="EG552" s="229"/>
      <c r="EH552" s="229"/>
      <c r="EI552" s="229"/>
      <c r="EJ552" s="229"/>
      <c r="EK552" s="229"/>
      <c r="EL552" s="305"/>
      <c r="EM552" s="234"/>
      <c r="EN552" s="234"/>
      <c r="EO552" s="234"/>
      <c r="EP552" s="234"/>
      <c r="EQ552" s="233"/>
    </row>
    <row r="553" spans="1:149" ht="11.45" hidden="1" customHeight="1">
      <c r="B553" s="228"/>
      <c r="C553" s="229"/>
      <c r="D553" s="229"/>
      <c r="E553" s="229"/>
      <c r="F553" s="229"/>
      <c r="G553" s="229" t="s">
        <v>751</v>
      </c>
      <c r="H553" s="229"/>
      <c r="I553" s="229"/>
      <c r="J553" s="229"/>
      <c r="K553" s="229"/>
      <c r="L553" s="296"/>
      <c r="M553" s="296" t="s">
        <v>132</v>
      </c>
      <c r="N553" s="296"/>
      <c r="O553" s="229"/>
      <c r="P553" s="229"/>
      <c r="Q553" s="229"/>
      <c r="R553" s="229" t="s">
        <v>752</v>
      </c>
      <c r="S553" s="229"/>
      <c r="T553" s="229"/>
      <c r="U553" s="229"/>
      <c r="V553" s="229" t="s">
        <v>548</v>
      </c>
      <c r="W553" s="229"/>
      <c r="X553" s="229"/>
      <c r="Y553" s="229"/>
      <c r="Z553" s="229" t="s">
        <v>131</v>
      </c>
      <c r="AA553" s="229"/>
      <c r="AB553" s="229" t="s">
        <v>725</v>
      </c>
      <c r="AC553" s="229"/>
      <c r="AD553" s="229"/>
      <c r="AE553" s="229"/>
      <c r="AF553" s="229"/>
      <c r="AG553" s="229"/>
      <c r="AH553" s="229"/>
      <c r="AI553" s="229"/>
      <c r="AJ553" s="229"/>
      <c r="AK553" s="229"/>
      <c r="AL553" s="229"/>
      <c r="AM553" s="229"/>
      <c r="AN553" s="229"/>
      <c r="AO553" s="229"/>
      <c r="AP553" s="229"/>
      <c r="AQ553" s="229"/>
      <c r="AR553" s="229"/>
      <c r="AS553" s="229"/>
      <c r="AT553" s="229"/>
      <c r="AU553" s="229"/>
      <c r="AV553" s="229"/>
      <c r="AW553" s="229"/>
      <c r="AX553" s="229"/>
      <c r="AY553" s="229"/>
      <c r="AZ553" s="229"/>
      <c r="BA553" s="229"/>
      <c r="BB553" s="229"/>
      <c r="BC553" s="229"/>
      <c r="BD553" s="229"/>
      <c r="BE553" s="229"/>
      <c r="BF553" s="229"/>
      <c r="BG553" s="229"/>
      <c r="BH553" s="229"/>
      <c r="BI553" s="229"/>
      <c r="BJ553" s="229"/>
      <c r="BK553" s="229"/>
      <c r="BL553" s="229"/>
      <c r="BM553" s="229"/>
      <c r="BN553" s="229"/>
      <c r="BO553" s="229"/>
      <c r="BP553" s="229"/>
      <c r="BQ553" s="229"/>
      <c r="BR553" s="229"/>
      <c r="BS553" s="296"/>
      <c r="BT553" s="229"/>
      <c r="BU553" s="229"/>
      <c r="BV553" s="229"/>
      <c r="BW553" s="229"/>
      <c r="BX553" s="229"/>
      <c r="BY553" s="229"/>
      <c r="BZ553" s="229"/>
      <c r="CA553" s="229"/>
      <c r="CB553" s="229"/>
      <c r="CC553" s="229"/>
      <c r="CD553" s="229"/>
      <c r="CE553" s="229"/>
      <c r="CF553" s="229"/>
      <c r="CG553" s="229"/>
      <c r="CH553" s="229"/>
      <c r="CI553" s="229"/>
      <c r="CJ553" s="229"/>
      <c r="CK553" s="229"/>
      <c r="CL553" s="229"/>
      <c r="CM553" s="229"/>
      <c r="CN553" s="229"/>
      <c r="CO553" s="229"/>
      <c r="CP553" s="229"/>
      <c r="CQ553" s="229"/>
      <c r="CR553" s="229"/>
      <c r="CS553" s="229"/>
      <c r="CT553" s="229"/>
      <c r="CU553" s="229"/>
      <c r="CV553" s="229"/>
      <c r="CW553" s="229"/>
      <c r="CX553" s="229"/>
      <c r="CY553" s="229"/>
      <c r="CZ553" s="229"/>
      <c r="DA553" s="229"/>
      <c r="DB553" s="229"/>
      <c r="DC553" s="229"/>
      <c r="DD553" s="229"/>
      <c r="DE553" s="229"/>
      <c r="DF553" s="229"/>
      <c r="DG553" s="229"/>
      <c r="DH553" s="229"/>
      <c r="DI553" s="229"/>
      <c r="DJ553" s="229"/>
      <c r="DK553" s="229"/>
      <c r="DL553" s="229"/>
      <c r="DM553" s="229"/>
      <c r="DN553" s="229"/>
      <c r="DO553" s="229"/>
      <c r="DP553" s="229"/>
      <c r="DQ553" s="229"/>
      <c r="DR553" s="229"/>
      <c r="DS553" s="229"/>
      <c r="DT553" s="229"/>
      <c r="DU553" s="229"/>
      <c r="DV553" s="229"/>
      <c r="DW553" s="229"/>
      <c r="DX553" s="229"/>
      <c r="DY553" s="229"/>
      <c r="DZ553" s="229"/>
      <c r="EA553" s="229"/>
      <c r="EB553" s="229"/>
      <c r="EC553" s="229"/>
      <c r="ED553" s="229"/>
      <c r="EE553" s="229"/>
      <c r="EF553" s="229"/>
      <c r="EG553" s="229"/>
      <c r="EH553" s="229"/>
      <c r="EI553" s="229"/>
      <c r="EJ553" s="229"/>
      <c r="EK553" s="229"/>
      <c r="EL553" s="305"/>
      <c r="EM553" s="234"/>
      <c r="EN553" s="234"/>
      <c r="EO553" s="234"/>
      <c r="EP553" s="234"/>
      <c r="EQ553" s="233"/>
    </row>
    <row r="554" spans="1:149" ht="11.45" hidden="1" customHeight="1">
      <c r="B554" s="228"/>
      <c r="C554" s="229"/>
      <c r="D554" s="229"/>
      <c r="E554" s="229"/>
      <c r="F554" s="229"/>
      <c r="G554" s="229" t="s">
        <v>739</v>
      </c>
      <c r="H554" s="229"/>
      <c r="I554" s="229"/>
      <c r="J554" s="229"/>
      <c r="K554" s="229"/>
      <c r="L554" s="296"/>
      <c r="M554" s="296"/>
      <c r="N554" s="296"/>
      <c r="O554" s="229"/>
      <c r="P554" s="229"/>
      <c r="Q554" s="229"/>
      <c r="R554" s="229" t="s">
        <v>740</v>
      </c>
      <c r="S554" s="229"/>
      <c r="T554" s="229"/>
      <c r="U554" s="229"/>
      <c r="V554" s="229"/>
      <c r="W554" s="229"/>
      <c r="X554" s="1774" t="e">
        <f>VLOOKUP(G554,#REF!,10,FALSE)</f>
        <v>#REF!</v>
      </c>
      <c r="Y554" s="1774"/>
      <c r="Z554" s="1774"/>
      <c r="AA554" s="1774"/>
      <c r="AB554" s="1774"/>
      <c r="AC554" s="1774"/>
      <c r="AD554" s="229"/>
      <c r="AE554" s="229" t="str">
        <f>TEXT(4.4,"#,##0.#######")</f>
        <v>4.4</v>
      </c>
      <c r="AF554" s="229"/>
      <c r="AG554" s="229" t="s">
        <v>91</v>
      </c>
      <c r="AH554" s="229"/>
      <c r="AI554" s="229" t="s">
        <v>683</v>
      </c>
      <c r="AJ554" s="229"/>
      <c r="AK554" s="229" t="str">
        <f>TEXT(100,"#,##0.#######")</f>
        <v>100.</v>
      </c>
      <c r="AL554" s="229"/>
      <c r="AM554" s="229"/>
      <c r="AN554" s="229" t="s">
        <v>548</v>
      </c>
      <c r="AO554" s="229"/>
      <c r="AP554" s="229" t="s">
        <v>134</v>
      </c>
      <c r="AQ554" s="229"/>
      <c r="AR554" s="229" t="e">
        <f>TEXT(TRUNC(X554*AE554/AK554,1),"#,##0.#")</f>
        <v>#REF!</v>
      </c>
      <c r="AS554" s="229"/>
      <c r="AT554" s="229"/>
      <c r="AU554" s="229"/>
      <c r="AV554" s="229"/>
      <c r="AW554" s="229"/>
      <c r="AX554" s="229"/>
      <c r="AY554" s="229"/>
      <c r="AZ554" s="229"/>
      <c r="BA554" s="229"/>
      <c r="BB554" s="229"/>
      <c r="BC554" s="229"/>
      <c r="BD554" s="229"/>
      <c r="BE554" s="229"/>
      <c r="BF554" s="229"/>
      <c r="BG554" s="229"/>
      <c r="BH554" s="229"/>
      <c r="BI554" s="229"/>
      <c r="BJ554" s="229"/>
      <c r="BK554" s="229"/>
      <c r="BL554" s="229"/>
      <c r="BM554" s="229"/>
      <c r="BN554" s="229"/>
      <c r="BO554" s="229"/>
      <c r="BP554" s="229"/>
      <c r="BQ554" s="229"/>
      <c r="BR554" s="229"/>
      <c r="BS554" s="296"/>
      <c r="BT554" s="229"/>
      <c r="BU554" s="229"/>
      <c r="BV554" s="229"/>
      <c r="BW554" s="229"/>
      <c r="BX554" s="229"/>
      <c r="BY554" s="229"/>
      <c r="BZ554" s="229"/>
      <c r="CA554" s="229"/>
      <c r="CB554" s="229"/>
      <c r="CC554" s="229"/>
      <c r="CD554" s="229"/>
      <c r="CE554" s="229"/>
      <c r="CF554" s="229"/>
      <c r="CG554" s="229"/>
      <c r="CH554" s="229"/>
      <c r="CI554" s="229"/>
      <c r="CJ554" s="229"/>
      <c r="CK554" s="229"/>
      <c r="CL554" s="229"/>
      <c r="CM554" s="229"/>
      <c r="CN554" s="229"/>
      <c r="CO554" s="229"/>
      <c r="CP554" s="229"/>
      <c r="CQ554" s="229"/>
      <c r="CR554" s="229"/>
      <c r="CS554" s="229"/>
      <c r="CT554" s="229"/>
      <c r="CU554" s="229"/>
      <c r="CV554" s="229"/>
      <c r="CW554" s="229"/>
      <c r="CX554" s="229"/>
      <c r="CY554" s="229"/>
      <c r="CZ554" s="229"/>
      <c r="DA554" s="229"/>
      <c r="DB554" s="229"/>
      <c r="DC554" s="229"/>
      <c r="DD554" s="229"/>
      <c r="DE554" s="229"/>
      <c r="DF554" s="229"/>
      <c r="DG554" s="229"/>
      <c r="DH554" s="229"/>
      <c r="DI554" s="229"/>
      <c r="DJ554" s="229"/>
      <c r="DK554" s="229"/>
      <c r="DL554" s="229"/>
      <c r="DM554" s="229"/>
      <c r="DN554" s="229"/>
      <c r="DO554" s="229"/>
      <c r="DP554" s="229"/>
      <c r="DQ554" s="229"/>
      <c r="DR554" s="229"/>
      <c r="DS554" s="229"/>
      <c r="DT554" s="229"/>
      <c r="DU554" s="229"/>
      <c r="DV554" s="229"/>
      <c r="DW554" s="229"/>
      <c r="DX554" s="229"/>
      <c r="DY554" s="229"/>
      <c r="DZ554" s="229"/>
      <c r="EA554" s="229"/>
      <c r="EB554" s="229"/>
      <c r="EC554" s="229"/>
      <c r="ED554" s="229"/>
      <c r="EE554" s="229"/>
      <c r="EF554" s="229"/>
      <c r="EG554" s="229"/>
      <c r="EH554" s="229"/>
      <c r="EI554" s="229"/>
      <c r="EJ554" s="229"/>
      <c r="EK554" s="229"/>
      <c r="EL554" s="305"/>
      <c r="EM554" s="234" t="e">
        <f>EN554+EO554+EP554</f>
        <v>#REF!</v>
      </c>
      <c r="EN554" s="234"/>
      <c r="EO554" s="234" t="e">
        <f>AR554</f>
        <v>#REF!</v>
      </c>
      <c r="EP554" s="234"/>
      <c r="EQ554" s="233"/>
    </row>
    <row r="555" spans="1:149" ht="11.45" hidden="1" customHeight="1">
      <c r="B555" s="228"/>
      <c r="C555" s="229"/>
      <c r="D555" s="229"/>
      <c r="E555" s="229"/>
      <c r="F555" s="229"/>
      <c r="G555" s="229"/>
      <c r="H555" s="229"/>
      <c r="I555" s="229"/>
      <c r="J555" s="229"/>
      <c r="K555" s="229"/>
      <c r="L555" s="296"/>
      <c r="M555" s="296"/>
      <c r="N555" s="296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  <c r="AH555" s="229"/>
      <c r="AI555" s="229"/>
      <c r="AJ555" s="229"/>
      <c r="AK555" s="229"/>
      <c r="AL555" s="229"/>
      <c r="AM555" s="229"/>
      <c r="AN555" s="229"/>
      <c r="AO555" s="229"/>
      <c r="AP555" s="229"/>
      <c r="AQ555" s="229"/>
      <c r="AR555" s="229"/>
      <c r="AS555" s="229"/>
      <c r="AT555" s="229"/>
      <c r="AU555" s="229"/>
      <c r="AV555" s="229"/>
      <c r="AW555" s="229"/>
      <c r="AX555" s="229"/>
      <c r="AY555" s="229"/>
      <c r="AZ555" s="229"/>
      <c r="BA555" s="229"/>
      <c r="BB555" s="229"/>
      <c r="BC555" s="229"/>
      <c r="BD555" s="229"/>
      <c r="BE555" s="229"/>
      <c r="BF555" s="229"/>
      <c r="BG555" s="229"/>
      <c r="BH555" s="229"/>
      <c r="BI555" s="229"/>
      <c r="BJ555" s="229"/>
      <c r="BK555" s="229"/>
      <c r="BL555" s="229"/>
      <c r="BM555" s="229"/>
      <c r="BN555" s="229"/>
      <c r="BO555" s="229"/>
      <c r="BP555" s="229"/>
      <c r="BQ555" s="229"/>
      <c r="BR555" s="229"/>
      <c r="BS555" s="296"/>
      <c r="BT555" s="229"/>
      <c r="BU555" s="229"/>
      <c r="BV555" s="229"/>
      <c r="BW555" s="229"/>
      <c r="BX555" s="229"/>
      <c r="BY555" s="229"/>
      <c r="BZ555" s="229"/>
      <c r="CA555" s="229"/>
      <c r="CB555" s="229"/>
      <c r="CC555" s="229"/>
      <c r="CD555" s="229"/>
      <c r="CE555" s="229"/>
      <c r="CF555" s="229"/>
      <c r="CG555" s="229"/>
      <c r="CH555" s="229"/>
      <c r="CI555" s="229"/>
      <c r="CJ555" s="229"/>
      <c r="CK555" s="229"/>
      <c r="CL555" s="229"/>
      <c r="CM555" s="229"/>
      <c r="CN555" s="229"/>
      <c r="CO555" s="229"/>
      <c r="CP555" s="229"/>
      <c r="CQ555" s="229"/>
      <c r="CR555" s="229"/>
      <c r="CS555" s="229"/>
      <c r="CT555" s="229"/>
      <c r="CU555" s="229"/>
      <c r="CV555" s="229"/>
      <c r="CW555" s="229"/>
      <c r="CX555" s="229"/>
      <c r="CY555" s="229"/>
      <c r="CZ555" s="229"/>
      <c r="DA555" s="229"/>
      <c r="DB555" s="229"/>
      <c r="DC555" s="229"/>
      <c r="DD555" s="229"/>
      <c r="DE555" s="229"/>
      <c r="DF555" s="229"/>
      <c r="DG555" s="229"/>
      <c r="DH555" s="229"/>
      <c r="DI555" s="229"/>
      <c r="DJ555" s="229"/>
      <c r="DK555" s="229"/>
      <c r="DL555" s="229"/>
      <c r="DM555" s="229"/>
      <c r="DN555" s="229"/>
      <c r="DO555" s="229"/>
      <c r="DP555" s="229"/>
      <c r="DQ555" s="229"/>
      <c r="DR555" s="229"/>
      <c r="DS555" s="229"/>
      <c r="DT555" s="229"/>
      <c r="DU555" s="229"/>
      <c r="DV555" s="229"/>
      <c r="DW555" s="229"/>
      <c r="DX555" s="229"/>
      <c r="DY555" s="229"/>
      <c r="DZ555" s="229"/>
      <c r="EA555" s="229"/>
      <c r="EB555" s="229"/>
      <c r="EC555" s="229"/>
      <c r="ED555" s="229"/>
      <c r="EE555" s="229"/>
      <c r="EF555" s="229"/>
      <c r="EG555" s="229"/>
      <c r="EH555" s="229"/>
      <c r="EI555" s="229"/>
      <c r="EJ555" s="229"/>
      <c r="EK555" s="229"/>
      <c r="EL555" s="305"/>
      <c r="EM555" s="234"/>
      <c r="EN555" s="234"/>
      <c r="EO555" s="234"/>
      <c r="EP555" s="234"/>
      <c r="EQ555" s="233"/>
    </row>
    <row r="556" spans="1:149" ht="11.45" hidden="1" customHeight="1">
      <c r="B556" s="228"/>
      <c r="C556" s="229"/>
      <c r="D556" s="229" t="s">
        <v>675</v>
      </c>
      <c r="E556" s="229"/>
      <c r="F556" s="229"/>
      <c r="G556" s="229" t="s">
        <v>682</v>
      </c>
      <c r="H556" s="229"/>
      <c r="I556" s="229"/>
      <c r="J556" s="229"/>
      <c r="K556" s="229"/>
      <c r="L556" s="296"/>
      <c r="M556" s="296"/>
      <c r="N556" s="296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  <c r="AH556" s="229"/>
      <c r="AI556" s="229"/>
      <c r="AJ556" s="229"/>
      <c r="AK556" s="229"/>
      <c r="AL556" s="229"/>
      <c r="AM556" s="229"/>
      <c r="AN556" s="229"/>
      <c r="AO556" s="229"/>
      <c r="AP556" s="229"/>
      <c r="AQ556" s="229"/>
      <c r="AR556" s="229"/>
      <c r="AS556" s="229"/>
      <c r="AT556" s="229"/>
      <c r="AU556" s="229"/>
      <c r="AV556" s="229"/>
      <c r="AW556" s="229"/>
      <c r="AX556" s="229"/>
      <c r="AY556" s="229"/>
      <c r="AZ556" s="229"/>
      <c r="BA556" s="229"/>
      <c r="BB556" s="229"/>
      <c r="BC556" s="229"/>
      <c r="BD556" s="229"/>
      <c r="BE556" s="229"/>
      <c r="BF556" s="229"/>
      <c r="BG556" s="229"/>
      <c r="BH556" s="229"/>
      <c r="BI556" s="229"/>
      <c r="BJ556" s="229"/>
      <c r="BK556" s="229"/>
      <c r="BL556" s="229"/>
      <c r="BM556" s="229"/>
      <c r="BN556" s="229"/>
      <c r="BO556" s="229"/>
      <c r="BP556" s="229"/>
      <c r="BQ556" s="229"/>
      <c r="BR556" s="229"/>
      <c r="BS556" s="296"/>
      <c r="BT556" s="229"/>
      <c r="BU556" s="229"/>
      <c r="BV556" s="229"/>
      <c r="BW556" s="229"/>
      <c r="BX556" s="229"/>
      <c r="BY556" s="229"/>
      <c r="BZ556" s="229"/>
      <c r="CA556" s="229"/>
      <c r="CB556" s="229"/>
      <c r="CC556" s="229"/>
      <c r="CD556" s="229"/>
      <c r="CE556" s="229"/>
      <c r="CF556" s="229"/>
      <c r="CG556" s="229"/>
      <c r="CH556" s="229"/>
      <c r="CI556" s="229"/>
      <c r="CJ556" s="229"/>
      <c r="CK556" s="229"/>
      <c r="CL556" s="229"/>
      <c r="CM556" s="229"/>
      <c r="CN556" s="229"/>
      <c r="CO556" s="229"/>
      <c r="CP556" s="229"/>
      <c r="CQ556" s="229"/>
      <c r="CR556" s="229"/>
      <c r="CS556" s="229"/>
      <c r="CT556" s="229"/>
      <c r="CU556" s="229"/>
      <c r="CV556" s="229"/>
      <c r="CW556" s="229"/>
      <c r="CX556" s="229"/>
      <c r="CY556" s="229"/>
      <c r="CZ556" s="229"/>
      <c r="DA556" s="229"/>
      <c r="DB556" s="229"/>
      <c r="DC556" s="229"/>
      <c r="DD556" s="229"/>
      <c r="DE556" s="229"/>
      <c r="DF556" s="229"/>
      <c r="DG556" s="229"/>
      <c r="DH556" s="229"/>
      <c r="DI556" s="229"/>
      <c r="DJ556" s="229"/>
      <c r="DK556" s="229"/>
      <c r="DL556" s="229"/>
      <c r="DM556" s="229"/>
      <c r="DN556" s="229"/>
      <c r="DO556" s="229"/>
      <c r="DP556" s="229"/>
      <c r="DQ556" s="229"/>
      <c r="DR556" s="229"/>
      <c r="DS556" s="229"/>
      <c r="DT556" s="229"/>
      <c r="DU556" s="229"/>
      <c r="DV556" s="229"/>
      <c r="DW556" s="229"/>
      <c r="DX556" s="229"/>
      <c r="DY556" s="229"/>
      <c r="DZ556" s="229"/>
      <c r="EA556" s="229"/>
      <c r="EB556" s="229"/>
      <c r="EC556" s="229"/>
      <c r="ED556" s="229"/>
      <c r="EE556" s="229"/>
      <c r="EF556" s="229"/>
      <c r="EG556" s="229"/>
      <c r="EH556" s="229"/>
      <c r="EI556" s="229"/>
      <c r="EJ556" s="229"/>
      <c r="EK556" s="229"/>
      <c r="EL556" s="305"/>
      <c r="EM556" s="234"/>
      <c r="EN556" s="234"/>
      <c r="EO556" s="234"/>
      <c r="EP556" s="234"/>
      <c r="EQ556" s="233"/>
    </row>
    <row r="557" spans="1:149" ht="11.45" hidden="1" customHeight="1">
      <c r="B557" s="228"/>
      <c r="C557" s="229"/>
      <c r="D557" s="229"/>
      <c r="E557" s="229"/>
      <c r="F557" s="229"/>
      <c r="G557" s="229" t="s">
        <v>127</v>
      </c>
      <c r="H557" s="229"/>
      <c r="I557" s="229"/>
      <c r="J557" s="229"/>
      <c r="K557" s="229"/>
      <c r="L557" s="296" t="s">
        <v>132</v>
      </c>
      <c r="M557" s="296"/>
      <c r="N557" s="1775">
        <f>VLOOKUP($G557,노임단가!$A:$B,2,FALSE)</f>
        <v>197450</v>
      </c>
      <c r="O557" s="1775"/>
      <c r="P557" s="1775"/>
      <c r="Q557" s="1775"/>
      <c r="R557" s="1775"/>
      <c r="S557" s="1775"/>
      <c r="T557" s="229" t="s">
        <v>652</v>
      </c>
      <c r="U557" s="229"/>
      <c r="V557" s="229" t="str">
        <f>TEXT(2,"#,##0.#######")</f>
        <v>2.</v>
      </c>
      <c r="W557" s="229"/>
      <c r="X557" s="229" t="s">
        <v>102</v>
      </c>
      <c r="Y557" s="229"/>
      <c r="Z557" s="229" t="s">
        <v>683</v>
      </c>
      <c r="AA557" s="229"/>
      <c r="AB557" s="229" t="s">
        <v>743</v>
      </c>
      <c r="AC557" s="229"/>
      <c r="AD557" s="229" t="s">
        <v>134</v>
      </c>
      <c r="AE557" s="229"/>
      <c r="AF557" s="229" t="str">
        <f>TEXT(N557,"#,##0.#######")</f>
        <v>197,450.</v>
      </c>
      <c r="AG557" s="229"/>
      <c r="AH557" s="229"/>
      <c r="AI557" s="229"/>
      <c r="AJ557" s="229"/>
      <c r="AK557" s="229" t="s">
        <v>652</v>
      </c>
      <c r="AL557" s="229"/>
      <c r="AM557" s="229" t="str">
        <f>TEXT(V557,"#,##0.#######")</f>
        <v>2.</v>
      </c>
      <c r="AN557" s="229"/>
      <c r="AO557" s="229" t="s">
        <v>683</v>
      </c>
      <c r="AP557" s="229"/>
      <c r="AQ557" s="229" t="str">
        <f>TEXT(AA549,"#,##0.#######")</f>
        <v>300.</v>
      </c>
      <c r="AR557" s="229"/>
      <c r="AS557" s="229"/>
      <c r="AT557" s="229" t="s">
        <v>134</v>
      </c>
      <c r="AU557" s="229" t="str">
        <f>TEXT(TRUNC(N557*V557/AA549,1),"#,##0.#######")</f>
        <v>1,316.3</v>
      </c>
      <c r="AV557" s="229"/>
      <c r="AX557" s="229"/>
      <c r="AY557" s="229"/>
      <c r="AZ557" s="229"/>
      <c r="BA557" s="229"/>
      <c r="BB557" s="229"/>
      <c r="BC557" s="229"/>
      <c r="BD557" s="229"/>
      <c r="BE557" s="229"/>
      <c r="BF557" s="229"/>
      <c r="BG557" s="229"/>
      <c r="BH557" s="229"/>
      <c r="BI557" s="229"/>
      <c r="BJ557" s="229"/>
      <c r="BK557" s="229"/>
      <c r="BL557" s="229"/>
      <c r="BM557" s="229"/>
      <c r="BN557" s="229"/>
      <c r="BO557" s="229"/>
      <c r="BP557" s="229"/>
      <c r="BQ557" s="229"/>
      <c r="BR557" s="229"/>
      <c r="BS557" s="296"/>
      <c r="BT557" s="229"/>
      <c r="BU557" s="229"/>
      <c r="BV557" s="229"/>
      <c r="BW557" s="229"/>
      <c r="BX557" s="229"/>
      <c r="BY557" s="229"/>
      <c r="BZ557" s="229"/>
      <c r="CA557" s="229"/>
      <c r="CB557" s="229"/>
      <c r="CC557" s="229"/>
      <c r="CD557" s="229"/>
      <c r="CE557" s="229"/>
      <c r="CF557" s="229"/>
      <c r="CG557" s="229"/>
      <c r="CH557" s="229"/>
      <c r="CI557" s="229"/>
      <c r="CJ557" s="229"/>
      <c r="CK557" s="229"/>
      <c r="CL557" s="229"/>
      <c r="CM557" s="229"/>
      <c r="CN557" s="229"/>
      <c r="CO557" s="229"/>
      <c r="CP557" s="229"/>
      <c r="CQ557" s="229"/>
      <c r="CR557" s="229"/>
      <c r="CS557" s="229"/>
      <c r="CT557" s="229"/>
      <c r="CU557" s="229"/>
      <c r="CV557" s="229"/>
      <c r="CW557" s="229"/>
      <c r="CX557" s="229"/>
      <c r="CY557" s="229"/>
      <c r="CZ557" s="229"/>
      <c r="DA557" s="229"/>
      <c r="DB557" s="229"/>
      <c r="DC557" s="229"/>
      <c r="DD557" s="229"/>
      <c r="DE557" s="229"/>
      <c r="DF557" s="229"/>
      <c r="DG557" s="229"/>
      <c r="DH557" s="229"/>
      <c r="DI557" s="229"/>
      <c r="DJ557" s="229"/>
      <c r="DK557" s="229"/>
      <c r="DL557" s="229"/>
      <c r="DM557" s="229"/>
      <c r="DN557" s="229"/>
      <c r="DO557" s="229"/>
      <c r="DP557" s="229"/>
      <c r="DQ557" s="229"/>
      <c r="DR557" s="229"/>
      <c r="DS557" s="229"/>
      <c r="DT557" s="229"/>
      <c r="DU557" s="229"/>
      <c r="DV557" s="229"/>
      <c r="DW557" s="229"/>
      <c r="DX557" s="229"/>
      <c r="DY557" s="229"/>
      <c r="DZ557" s="229"/>
      <c r="EA557" s="229"/>
      <c r="EB557" s="229"/>
      <c r="EC557" s="229"/>
      <c r="ED557" s="229"/>
      <c r="EE557" s="229"/>
      <c r="EF557" s="229"/>
      <c r="EG557" s="229"/>
      <c r="EH557" s="229"/>
      <c r="EI557" s="229"/>
      <c r="EJ557" s="229"/>
      <c r="EK557" s="229"/>
      <c r="EL557" s="305"/>
      <c r="EM557" s="234"/>
      <c r="EN557" s="234"/>
      <c r="EO557" s="234"/>
      <c r="EP557" s="234"/>
      <c r="EQ557" s="233"/>
    </row>
    <row r="558" spans="1:149" ht="11.45" hidden="1" customHeight="1">
      <c r="B558" s="228"/>
      <c r="C558" s="229"/>
      <c r="D558" s="229"/>
      <c r="E558" s="229"/>
      <c r="F558" s="229"/>
      <c r="G558" s="229" t="s">
        <v>103</v>
      </c>
      <c r="H558" s="229"/>
      <c r="I558" s="229"/>
      <c r="J558" s="229"/>
      <c r="K558" s="229"/>
      <c r="L558" s="296" t="s">
        <v>132</v>
      </c>
      <c r="M558" s="296"/>
      <c r="N558" s="1775">
        <f>VLOOKUP($G558,노임단가!$A:$B,2,FALSE)</f>
        <v>157068</v>
      </c>
      <c r="O558" s="1775"/>
      <c r="P558" s="1775"/>
      <c r="Q558" s="1775"/>
      <c r="R558" s="1775"/>
      <c r="S558" s="1775"/>
      <c r="T558" s="229" t="s">
        <v>652</v>
      </c>
      <c r="U558" s="229"/>
      <c r="V558" s="229" t="str">
        <f>TEXT(2,"#,##0.#######")</f>
        <v>2.</v>
      </c>
      <c r="W558" s="229"/>
      <c r="X558" s="229" t="s">
        <v>102</v>
      </c>
      <c r="Y558" s="229"/>
      <c r="Z558" s="229" t="s">
        <v>683</v>
      </c>
      <c r="AA558" s="229"/>
      <c r="AB558" s="229" t="s">
        <v>743</v>
      </c>
      <c r="AC558" s="229"/>
      <c r="AD558" s="229" t="s">
        <v>134</v>
      </c>
      <c r="AE558" s="229"/>
      <c r="AF558" s="229" t="str">
        <f>TEXT(N558,"#,##0.#######")</f>
        <v>157,068.</v>
      </c>
      <c r="AG558" s="229"/>
      <c r="AH558" s="229"/>
      <c r="AI558" s="229"/>
      <c r="AJ558" s="229"/>
      <c r="AK558" s="229" t="s">
        <v>652</v>
      </c>
      <c r="AL558" s="229"/>
      <c r="AM558" s="229" t="str">
        <f>TEXT(V558,"#,##0.#######")</f>
        <v>2.</v>
      </c>
      <c r="AN558" s="229"/>
      <c r="AO558" s="229" t="s">
        <v>683</v>
      </c>
      <c r="AP558" s="229"/>
      <c r="AQ558" s="229" t="str">
        <f>TEXT(AA549,"#,##0.#######")</f>
        <v>300.</v>
      </c>
      <c r="AR558" s="229"/>
      <c r="AS558" s="229"/>
      <c r="AT558" s="229" t="s">
        <v>134</v>
      </c>
      <c r="AU558" s="229" t="str">
        <f>TEXT(TRUNC(N558*V558/AA549,1),"#,##0.#######")</f>
        <v>1,047.1</v>
      </c>
      <c r="AV558" s="229"/>
      <c r="AW558" s="229"/>
      <c r="AX558" s="229"/>
      <c r="AY558" s="229"/>
      <c r="AZ558" s="229"/>
      <c r="BA558" s="229"/>
      <c r="BB558" s="229"/>
      <c r="BC558" s="229"/>
      <c r="BD558" s="229"/>
      <c r="BE558" s="229"/>
      <c r="BF558" s="229"/>
      <c r="BG558" s="229"/>
      <c r="BH558" s="229"/>
      <c r="BI558" s="229"/>
      <c r="BJ558" s="229"/>
      <c r="BK558" s="229"/>
      <c r="BL558" s="229"/>
      <c r="BM558" s="229"/>
      <c r="BN558" s="229"/>
      <c r="BO558" s="229"/>
      <c r="BP558" s="229"/>
      <c r="BQ558" s="229"/>
      <c r="BR558" s="229"/>
      <c r="BS558" s="296"/>
      <c r="BT558" s="229"/>
      <c r="BU558" s="229"/>
      <c r="BV558" s="229"/>
      <c r="BW558" s="229"/>
      <c r="BX558" s="229"/>
      <c r="BY558" s="229"/>
      <c r="BZ558" s="229"/>
      <c r="CA558" s="229"/>
      <c r="CB558" s="229"/>
      <c r="CC558" s="229"/>
      <c r="CD558" s="229"/>
      <c r="CE558" s="229"/>
      <c r="CF558" s="229"/>
      <c r="CG558" s="229"/>
      <c r="CH558" s="229"/>
      <c r="CI558" s="229"/>
      <c r="CJ558" s="229"/>
      <c r="CK558" s="229"/>
      <c r="CL558" s="229"/>
      <c r="CM558" s="229"/>
      <c r="CN558" s="229"/>
      <c r="CO558" s="229"/>
      <c r="CP558" s="229"/>
      <c r="CQ558" s="229"/>
      <c r="CR558" s="229"/>
      <c r="CS558" s="229"/>
      <c r="CT558" s="229"/>
      <c r="CU558" s="229"/>
      <c r="CV558" s="229"/>
      <c r="CW558" s="229"/>
      <c r="CX558" s="229"/>
      <c r="CY558" s="229"/>
      <c r="CZ558" s="229"/>
      <c r="DA558" s="229"/>
      <c r="DB558" s="229"/>
      <c r="DC558" s="229"/>
      <c r="DD558" s="229"/>
      <c r="DE558" s="229"/>
      <c r="DF558" s="229"/>
      <c r="DG558" s="229"/>
      <c r="DH558" s="229"/>
      <c r="DI558" s="229"/>
      <c r="DJ558" s="229"/>
      <c r="DK558" s="229"/>
      <c r="DL558" s="229"/>
      <c r="DM558" s="229"/>
      <c r="DN558" s="229"/>
      <c r="DO558" s="229"/>
      <c r="DP558" s="229"/>
      <c r="DQ558" s="229"/>
      <c r="DR558" s="229"/>
      <c r="DS558" s="229"/>
      <c r="DT558" s="229"/>
      <c r="DU558" s="229"/>
      <c r="DV558" s="229"/>
      <c r="DW558" s="229"/>
      <c r="DX558" s="229"/>
      <c r="DY558" s="229"/>
      <c r="DZ558" s="229"/>
      <c r="EA558" s="229"/>
      <c r="EB558" s="229"/>
      <c r="EC558" s="229"/>
      <c r="ED558" s="229"/>
      <c r="EE558" s="229"/>
      <c r="EF558" s="229"/>
      <c r="EG558" s="229"/>
      <c r="EH558" s="229"/>
      <c r="EI558" s="229"/>
      <c r="EJ558" s="229"/>
      <c r="EK558" s="229"/>
      <c r="EL558" s="305"/>
      <c r="EM558" s="234"/>
      <c r="EN558" s="234"/>
      <c r="EO558" s="234"/>
      <c r="EP558" s="234"/>
      <c r="EQ558" s="233"/>
    </row>
    <row r="559" spans="1:149" ht="11.45" hidden="1" customHeight="1">
      <c r="B559" s="228"/>
      <c r="C559" s="229"/>
      <c r="D559" s="229"/>
      <c r="E559" s="229"/>
      <c r="F559" s="229"/>
      <c r="G559" s="229" t="s">
        <v>1670</v>
      </c>
      <c r="H559" s="229"/>
      <c r="I559" s="229"/>
      <c r="J559" s="229"/>
      <c r="K559" s="229"/>
      <c r="L559" s="296" t="s">
        <v>132</v>
      </c>
      <c r="M559" s="296"/>
      <c r="N559" s="1775">
        <f>VLOOKUP($G559,노임단가!$A:$B,2,FALSE)</f>
        <v>237245</v>
      </c>
      <c r="O559" s="1775"/>
      <c r="P559" s="1775"/>
      <c r="Q559" s="1775"/>
      <c r="R559" s="1775"/>
      <c r="S559" s="1775"/>
      <c r="T559" s="229" t="s">
        <v>652</v>
      </c>
      <c r="U559" s="229"/>
      <c r="V559" s="229" t="str">
        <f>TEXT(3,"#,##0.#######")</f>
        <v>3.</v>
      </c>
      <c r="W559" s="229"/>
      <c r="X559" s="229" t="s">
        <v>102</v>
      </c>
      <c r="Y559" s="229"/>
      <c r="Z559" s="229" t="s">
        <v>683</v>
      </c>
      <c r="AA559" s="229"/>
      <c r="AB559" s="229" t="s">
        <v>743</v>
      </c>
      <c r="AC559" s="229"/>
      <c r="AD559" s="229" t="s">
        <v>134</v>
      </c>
      <c r="AE559" s="229"/>
      <c r="AF559" s="229" t="str">
        <f>TEXT(N559,"#,##0.#######")</f>
        <v>237,245.</v>
      </c>
      <c r="AG559" s="229"/>
      <c r="AH559" s="229"/>
      <c r="AI559" s="229"/>
      <c r="AJ559" s="229"/>
      <c r="AK559" s="229" t="s">
        <v>652</v>
      </c>
      <c r="AL559" s="229"/>
      <c r="AM559" s="229" t="str">
        <f>TEXT(V559,"#,##0.#######")</f>
        <v>3.</v>
      </c>
      <c r="AN559" s="229"/>
      <c r="AO559" s="229" t="s">
        <v>683</v>
      </c>
      <c r="AP559" s="229"/>
      <c r="AQ559" s="229" t="str">
        <f>TEXT(AA549,"#,##0.#######")</f>
        <v>300.</v>
      </c>
      <c r="AR559" s="229"/>
      <c r="AS559" s="229"/>
      <c r="AT559" s="229" t="s">
        <v>134</v>
      </c>
      <c r="AU559" s="229" t="str">
        <f>TEXT(TRUNC(N559*V559/AA549,1),"#,##0.#######")</f>
        <v>2,372.4</v>
      </c>
      <c r="AV559" s="229"/>
      <c r="AW559" s="229"/>
      <c r="AX559" s="229"/>
      <c r="AY559" s="229"/>
      <c r="AZ559" s="229"/>
      <c r="BA559" s="229"/>
      <c r="BB559" s="229"/>
      <c r="BC559" s="229"/>
      <c r="BD559" s="229"/>
      <c r="BE559" s="229"/>
      <c r="BF559" s="229"/>
      <c r="BG559" s="229"/>
      <c r="BH559" s="229"/>
      <c r="BI559" s="229"/>
      <c r="BJ559" s="229"/>
      <c r="BK559" s="229"/>
      <c r="BL559" s="229"/>
      <c r="BM559" s="229"/>
      <c r="BN559" s="229"/>
      <c r="BO559" s="229"/>
      <c r="BP559" s="229"/>
      <c r="BQ559" s="229"/>
      <c r="BR559" s="229"/>
      <c r="BS559" s="296"/>
      <c r="BT559" s="229"/>
      <c r="BU559" s="229"/>
      <c r="BV559" s="229"/>
      <c r="BW559" s="229"/>
      <c r="BX559" s="229"/>
      <c r="BY559" s="229"/>
      <c r="BZ559" s="229"/>
      <c r="CA559" s="229"/>
      <c r="CB559" s="229"/>
      <c r="CC559" s="229"/>
      <c r="CD559" s="229"/>
      <c r="CE559" s="229"/>
      <c r="CF559" s="229"/>
      <c r="CG559" s="229"/>
      <c r="CH559" s="229"/>
      <c r="CI559" s="229"/>
      <c r="CJ559" s="229"/>
      <c r="CK559" s="229"/>
      <c r="CL559" s="229"/>
      <c r="CM559" s="229"/>
      <c r="CN559" s="229"/>
      <c r="CO559" s="229"/>
      <c r="CP559" s="229"/>
      <c r="CQ559" s="229"/>
      <c r="CR559" s="229"/>
      <c r="CS559" s="229"/>
      <c r="CT559" s="229"/>
      <c r="CU559" s="229"/>
      <c r="CV559" s="229"/>
      <c r="CW559" s="229"/>
      <c r="CX559" s="229"/>
      <c r="CY559" s="229"/>
      <c r="CZ559" s="229"/>
      <c r="DA559" s="229"/>
      <c r="DB559" s="229"/>
      <c r="DC559" s="229"/>
      <c r="DD559" s="229"/>
      <c r="DE559" s="229"/>
      <c r="DF559" s="229"/>
      <c r="DG559" s="229"/>
      <c r="DH559" s="229"/>
      <c r="DI559" s="229"/>
      <c r="DJ559" s="229"/>
      <c r="DK559" s="229"/>
      <c r="DL559" s="229"/>
      <c r="DM559" s="229"/>
      <c r="DN559" s="229"/>
      <c r="DO559" s="229"/>
      <c r="DP559" s="229"/>
      <c r="DQ559" s="229"/>
      <c r="DR559" s="229"/>
      <c r="DS559" s="229"/>
      <c r="DT559" s="229"/>
      <c r="DU559" s="229"/>
      <c r="DV559" s="229"/>
      <c r="DW559" s="229"/>
      <c r="DX559" s="229"/>
      <c r="DY559" s="229"/>
      <c r="DZ559" s="229"/>
      <c r="EA559" s="229"/>
      <c r="EB559" s="229"/>
      <c r="EC559" s="229"/>
      <c r="ED559" s="229"/>
      <c r="EE559" s="229"/>
      <c r="EF559" s="229"/>
      <c r="EG559" s="229"/>
      <c r="EH559" s="229"/>
      <c r="EI559" s="229"/>
      <c r="EJ559" s="229"/>
      <c r="EK559" s="229"/>
      <c r="EL559" s="305"/>
      <c r="EM559" s="234"/>
      <c r="EN559" s="234"/>
      <c r="EO559" s="234"/>
      <c r="EP559" s="234"/>
      <c r="EQ559" s="233"/>
    </row>
    <row r="560" spans="1:149" ht="11.45" hidden="1" customHeight="1">
      <c r="B560" s="228"/>
      <c r="C560" s="229"/>
      <c r="D560" s="229"/>
      <c r="E560" s="229"/>
      <c r="F560" s="229"/>
      <c r="G560" s="229" t="s">
        <v>684</v>
      </c>
      <c r="H560" s="229"/>
      <c r="I560" s="229"/>
      <c r="J560" s="229"/>
      <c r="K560" s="229"/>
      <c r="L560" s="296" t="s">
        <v>132</v>
      </c>
      <c r="M560" s="296"/>
      <c r="N560" s="296" t="str">
        <f>TEXT(TRUNC(AU557+AU558+AU559,1),"#,##0.#######")</f>
        <v>4,735.8</v>
      </c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  <c r="AH560" s="229"/>
      <c r="AI560" s="229"/>
      <c r="AJ560" s="229"/>
      <c r="AK560" s="229"/>
      <c r="AL560" s="229"/>
      <c r="AM560" s="229"/>
      <c r="AN560" s="229"/>
      <c r="AO560" s="229"/>
      <c r="AP560" s="229"/>
      <c r="AQ560" s="229"/>
      <c r="AR560" s="229"/>
      <c r="AS560" s="229"/>
      <c r="AT560" s="229"/>
      <c r="AU560" s="229"/>
      <c r="AV560" s="229"/>
      <c r="AW560" s="229"/>
      <c r="AX560" s="229"/>
      <c r="AY560" s="229"/>
      <c r="AZ560" s="229"/>
      <c r="BA560" s="229"/>
      <c r="BB560" s="229"/>
      <c r="BC560" s="229"/>
      <c r="BD560" s="229"/>
      <c r="BE560" s="229"/>
      <c r="BF560" s="229"/>
      <c r="BG560" s="229"/>
      <c r="BH560" s="229"/>
      <c r="BI560" s="229"/>
      <c r="BJ560" s="229"/>
      <c r="BK560" s="229"/>
      <c r="BL560" s="229"/>
      <c r="BM560" s="229"/>
      <c r="BN560" s="229"/>
      <c r="BO560" s="229"/>
      <c r="BP560" s="229"/>
      <c r="BQ560" s="229"/>
      <c r="BR560" s="229"/>
      <c r="BS560" s="296"/>
      <c r="BT560" s="229"/>
      <c r="BU560" s="229"/>
      <c r="BV560" s="229"/>
      <c r="BW560" s="229"/>
      <c r="BX560" s="229"/>
      <c r="BY560" s="229"/>
      <c r="BZ560" s="229"/>
      <c r="CA560" s="229"/>
      <c r="CB560" s="229"/>
      <c r="CC560" s="229"/>
      <c r="CD560" s="229"/>
      <c r="CE560" s="229"/>
      <c r="CF560" s="229"/>
      <c r="CG560" s="229"/>
      <c r="CH560" s="229"/>
      <c r="CI560" s="229"/>
      <c r="CJ560" s="229"/>
      <c r="CK560" s="229"/>
      <c r="CL560" s="229"/>
      <c r="CM560" s="229"/>
      <c r="CN560" s="229"/>
      <c r="CO560" s="229"/>
      <c r="CP560" s="229"/>
      <c r="CQ560" s="229"/>
      <c r="CR560" s="229"/>
      <c r="CS560" s="229"/>
      <c r="CT560" s="229"/>
      <c r="CU560" s="229"/>
      <c r="CV560" s="229"/>
      <c r="CW560" s="229"/>
      <c r="CX560" s="229"/>
      <c r="CY560" s="229"/>
      <c r="CZ560" s="229"/>
      <c r="DA560" s="229"/>
      <c r="DB560" s="229"/>
      <c r="DC560" s="229"/>
      <c r="DD560" s="229"/>
      <c r="DE560" s="229"/>
      <c r="DF560" s="229"/>
      <c r="DG560" s="229"/>
      <c r="DH560" s="229"/>
      <c r="DI560" s="229"/>
      <c r="DJ560" s="229"/>
      <c r="DK560" s="229"/>
      <c r="DL560" s="229"/>
      <c r="DM560" s="229"/>
      <c r="DN560" s="229"/>
      <c r="DO560" s="229"/>
      <c r="DP560" s="229"/>
      <c r="DQ560" s="229"/>
      <c r="DR560" s="229"/>
      <c r="DS560" s="229"/>
      <c r="DT560" s="229"/>
      <c r="DU560" s="229"/>
      <c r="DV560" s="229"/>
      <c r="DW560" s="229"/>
      <c r="DX560" s="229"/>
      <c r="DY560" s="229"/>
      <c r="DZ560" s="229"/>
      <c r="EA560" s="229"/>
      <c r="EB560" s="229"/>
      <c r="EC560" s="229"/>
      <c r="ED560" s="229"/>
      <c r="EE560" s="229"/>
      <c r="EF560" s="229"/>
      <c r="EG560" s="229"/>
      <c r="EH560" s="229"/>
      <c r="EI560" s="229"/>
      <c r="EJ560" s="229"/>
      <c r="EK560" s="229"/>
      <c r="EL560" s="305"/>
      <c r="EM560" s="234"/>
      <c r="EN560" s="234" t="str">
        <f>N560</f>
        <v>4,735.8</v>
      </c>
      <c r="EO560" s="234"/>
      <c r="EP560" s="234"/>
      <c r="EQ560" s="233"/>
    </row>
    <row r="561" spans="2:147" ht="11.45" hidden="1" customHeight="1">
      <c r="B561" s="228"/>
      <c r="C561" s="229"/>
      <c r="D561" s="229"/>
      <c r="E561" s="229"/>
      <c r="F561" s="229"/>
      <c r="G561" s="229"/>
      <c r="H561" s="229"/>
      <c r="I561" s="229"/>
      <c r="J561" s="229"/>
      <c r="K561" s="229"/>
      <c r="L561" s="296"/>
      <c r="M561" s="296"/>
      <c r="N561" s="296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  <c r="AH561" s="229"/>
      <c r="AI561" s="229"/>
      <c r="AJ561" s="229"/>
      <c r="AK561" s="229"/>
      <c r="AL561" s="229"/>
      <c r="AM561" s="229"/>
      <c r="AN561" s="229"/>
      <c r="AO561" s="229"/>
      <c r="AP561" s="229"/>
      <c r="AQ561" s="229"/>
      <c r="AR561" s="229"/>
      <c r="AS561" s="229"/>
      <c r="AT561" s="229"/>
      <c r="AU561" s="229"/>
      <c r="AV561" s="229"/>
      <c r="AW561" s="229"/>
      <c r="AX561" s="229"/>
      <c r="AY561" s="229"/>
      <c r="AZ561" s="229"/>
      <c r="BA561" s="229"/>
      <c r="BB561" s="229"/>
      <c r="BC561" s="229"/>
      <c r="BD561" s="229"/>
      <c r="BE561" s="229"/>
      <c r="BF561" s="229"/>
      <c r="BG561" s="229"/>
      <c r="BH561" s="229"/>
      <c r="BI561" s="229"/>
      <c r="BJ561" s="229"/>
      <c r="BK561" s="229"/>
      <c r="BL561" s="229"/>
      <c r="BM561" s="229"/>
      <c r="BN561" s="229"/>
      <c r="BO561" s="229"/>
      <c r="BP561" s="229"/>
      <c r="BQ561" s="229"/>
      <c r="BR561" s="229"/>
      <c r="BS561" s="296"/>
      <c r="BT561" s="229"/>
      <c r="BU561" s="229"/>
      <c r="BV561" s="229"/>
      <c r="BW561" s="229"/>
      <c r="BX561" s="229"/>
      <c r="BY561" s="229"/>
      <c r="BZ561" s="229"/>
      <c r="CA561" s="229"/>
      <c r="CB561" s="229"/>
      <c r="CC561" s="229"/>
      <c r="CD561" s="229"/>
      <c r="CE561" s="229"/>
      <c r="CF561" s="229"/>
      <c r="CG561" s="229"/>
      <c r="CH561" s="229"/>
      <c r="CI561" s="229"/>
      <c r="CJ561" s="229"/>
      <c r="CK561" s="229"/>
      <c r="CL561" s="229"/>
      <c r="CM561" s="229"/>
      <c r="CN561" s="229"/>
      <c r="CO561" s="229"/>
      <c r="CP561" s="229"/>
      <c r="CQ561" s="229"/>
      <c r="CR561" s="229"/>
      <c r="CS561" s="229"/>
      <c r="CT561" s="229"/>
      <c r="CU561" s="229"/>
      <c r="CV561" s="229"/>
      <c r="CW561" s="229"/>
      <c r="CX561" s="229"/>
      <c r="CY561" s="229"/>
      <c r="CZ561" s="229"/>
      <c r="DA561" s="229"/>
      <c r="DB561" s="229"/>
      <c r="DC561" s="229"/>
      <c r="DD561" s="229"/>
      <c r="DE561" s="229"/>
      <c r="DF561" s="229"/>
      <c r="DG561" s="229"/>
      <c r="DH561" s="229"/>
      <c r="DI561" s="229"/>
      <c r="DJ561" s="229"/>
      <c r="DK561" s="229"/>
      <c r="DL561" s="229"/>
      <c r="DM561" s="229"/>
      <c r="DN561" s="229"/>
      <c r="DO561" s="229"/>
      <c r="DP561" s="229"/>
      <c r="DQ561" s="229"/>
      <c r="DR561" s="229"/>
      <c r="DS561" s="229"/>
      <c r="DT561" s="229"/>
      <c r="DU561" s="229"/>
      <c r="DV561" s="229"/>
      <c r="DW561" s="229"/>
      <c r="DX561" s="229"/>
      <c r="DY561" s="229"/>
      <c r="DZ561" s="229"/>
      <c r="EA561" s="229"/>
      <c r="EB561" s="229"/>
      <c r="EC561" s="229"/>
      <c r="ED561" s="229"/>
      <c r="EE561" s="229"/>
      <c r="EF561" s="229"/>
      <c r="EG561" s="229"/>
      <c r="EH561" s="229"/>
      <c r="EI561" s="229"/>
      <c r="EJ561" s="229"/>
      <c r="EK561" s="229"/>
      <c r="EL561" s="305"/>
      <c r="EM561" s="234"/>
      <c r="EN561" s="234"/>
      <c r="EO561" s="234"/>
      <c r="EP561" s="234"/>
      <c r="EQ561" s="233"/>
    </row>
    <row r="562" spans="2:147" ht="11.45" hidden="1" customHeight="1">
      <c r="B562" s="228"/>
      <c r="C562" s="229"/>
      <c r="D562" s="229" t="s">
        <v>677</v>
      </c>
      <c r="E562" s="229"/>
      <c r="F562" s="229"/>
      <c r="G562" s="229" t="s">
        <v>1628</v>
      </c>
      <c r="H562" s="229"/>
      <c r="I562" s="229"/>
      <c r="J562" s="229"/>
      <c r="K562" s="229"/>
      <c r="L562" s="296"/>
      <c r="M562" s="296"/>
      <c r="N562" s="296"/>
      <c r="O562" s="229" t="s">
        <v>147</v>
      </c>
      <c r="P562" s="229" t="s">
        <v>676</v>
      </c>
      <c r="Q562" s="229"/>
      <c r="R562" s="229"/>
      <c r="S562" s="229"/>
      <c r="T562" s="229"/>
      <c r="U562" s="229"/>
      <c r="V562" s="229"/>
      <c r="W562" s="229"/>
      <c r="X562" s="229"/>
      <c r="Y562" s="229" t="s">
        <v>543</v>
      </c>
      <c r="Z562" s="229" t="s">
        <v>657</v>
      </c>
      <c r="AA562" s="229" t="s">
        <v>148</v>
      </c>
      <c r="AB562" s="229"/>
      <c r="AC562" s="229"/>
      <c r="AD562" s="229"/>
      <c r="AE562" s="229"/>
      <c r="AF562" s="229"/>
      <c r="AG562" s="229"/>
      <c r="AH562" s="229"/>
      <c r="AI562" s="229"/>
      <c r="AJ562" s="229"/>
      <c r="AK562" s="229"/>
      <c r="AL562" s="229"/>
      <c r="AM562" s="229"/>
      <c r="AN562" s="229"/>
      <c r="AO562" s="229"/>
      <c r="AP562" s="229"/>
      <c r="AQ562" s="229"/>
      <c r="AR562" s="229"/>
      <c r="AS562" s="229"/>
      <c r="AT562" s="229"/>
      <c r="AU562" s="229"/>
      <c r="AV562" s="229"/>
      <c r="AW562" s="229"/>
      <c r="AX562" s="229"/>
      <c r="AY562" s="229"/>
      <c r="AZ562" s="229"/>
      <c r="BA562" s="229"/>
      <c r="BB562" s="229"/>
      <c r="BC562" s="229"/>
      <c r="BD562" s="229"/>
      <c r="BE562" s="229"/>
      <c r="BF562" s="229"/>
      <c r="BG562" s="229"/>
      <c r="BH562" s="229"/>
      <c r="BI562" s="229"/>
      <c r="BJ562" s="229"/>
      <c r="BK562" s="229"/>
      <c r="BL562" s="229"/>
      <c r="BM562" s="229"/>
      <c r="BN562" s="229"/>
      <c r="BO562" s="229"/>
      <c r="BP562" s="229"/>
      <c r="BQ562" s="229"/>
      <c r="BR562" s="229"/>
      <c r="BS562" s="296"/>
      <c r="BT562" s="229"/>
      <c r="BU562" s="229"/>
      <c r="BV562" s="229"/>
      <c r="BW562" s="229"/>
      <c r="BX562" s="229"/>
      <c r="BY562" s="229"/>
      <c r="BZ562" s="229"/>
      <c r="CA562" s="229"/>
      <c r="CB562" s="229"/>
      <c r="CC562" s="229"/>
      <c r="CD562" s="229"/>
      <c r="CE562" s="229"/>
      <c r="CF562" s="229"/>
      <c r="CG562" s="229"/>
      <c r="CH562" s="229"/>
      <c r="CI562" s="229"/>
      <c r="CJ562" s="229"/>
      <c r="CK562" s="229"/>
      <c r="CL562" s="229"/>
      <c r="CM562" s="229"/>
      <c r="CN562" s="229"/>
      <c r="CO562" s="229"/>
      <c r="CP562" s="229"/>
      <c r="CQ562" s="229"/>
      <c r="CR562" s="229"/>
      <c r="CS562" s="229"/>
      <c r="CT562" s="229"/>
      <c r="CU562" s="229"/>
      <c r="CV562" s="229"/>
      <c r="CW562" s="229"/>
      <c r="CX562" s="229"/>
      <c r="CY562" s="229"/>
      <c r="CZ562" s="229"/>
      <c r="DA562" s="229"/>
      <c r="DB562" s="229"/>
      <c r="DC562" s="229"/>
      <c r="DD562" s="229"/>
      <c r="DE562" s="229"/>
      <c r="DF562" s="229"/>
      <c r="DG562" s="229"/>
      <c r="DH562" s="229"/>
      <c r="DI562" s="229"/>
      <c r="DJ562" s="229"/>
      <c r="DK562" s="229"/>
      <c r="DL562" s="229"/>
      <c r="DM562" s="229"/>
      <c r="DN562" s="229"/>
      <c r="DO562" s="229"/>
      <c r="DP562" s="229"/>
      <c r="DQ562" s="229"/>
      <c r="DR562" s="229"/>
      <c r="DS562" s="229"/>
      <c r="DT562" s="229"/>
      <c r="DU562" s="229"/>
      <c r="DV562" s="229"/>
      <c r="DW562" s="229"/>
      <c r="DX562" s="229"/>
      <c r="DY562" s="229"/>
      <c r="DZ562" s="229"/>
      <c r="EA562" s="229"/>
      <c r="EB562" s="229"/>
      <c r="EC562" s="229"/>
      <c r="ED562" s="229"/>
      <c r="EE562" s="229"/>
      <c r="EF562" s="229"/>
      <c r="EG562" s="229"/>
      <c r="EH562" s="229"/>
      <c r="EI562" s="229"/>
      <c r="EJ562" s="229"/>
      <c r="EK562" s="229"/>
      <c r="EL562" s="305"/>
      <c r="EM562" s="234"/>
      <c r="EN562" s="234"/>
      <c r="EO562" s="234"/>
      <c r="EP562" s="234"/>
      <c r="EQ562" s="233"/>
    </row>
    <row r="563" spans="2:147" ht="11.45" hidden="1" customHeight="1">
      <c r="B563" s="228"/>
      <c r="C563" s="229"/>
      <c r="D563" s="229"/>
      <c r="E563" s="229"/>
      <c r="F563" s="229"/>
      <c r="G563" s="229" t="str">
        <f>N560</f>
        <v>4,735.8</v>
      </c>
      <c r="H563" s="229"/>
      <c r="I563" s="229"/>
      <c r="J563" s="229"/>
      <c r="K563" s="229"/>
      <c r="L563" s="296"/>
      <c r="M563" s="296"/>
      <c r="N563" s="296"/>
      <c r="O563" s="229"/>
      <c r="P563" s="229"/>
      <c r="Q563" s="229" t="s">
        <v>652</v>
      </c>
      <c r="R563" s="229"/>
      <c r="S563" s="229"/>
      <c r="T563" s="229" t="str">
        <f>TEXT(5,"#,##0.#######")</f>
        <v>5.</v>
      </c>
      <c r="U563" s="229" t="s">
        <v>657</v>
      </c>
      <c r="V563" s="229"/>
      <c r="W563" s="229" t="s">
        <v>134</v>
      </c>
      <c r="X563" s="229"/>
      <c r="Y563" s="229" t="str">
        <f>TEXT(TRUNC(N560*(T563*(1/100)),1),"#,##0.#")</f>
        <v>236.7</v>
      </c>
      <c r="Z563" s="229"/>
      <c r="AA563" s="229"/>
      <c r="AB563" s="229"/>
      <c r="AC563" s="229"/>
      <c r="AD563" s="229"/>
      <c r="AE563" s="229"/>
      <c r="AF563" s="229"/>
      <c r="AG563" s="229"/>
      <c r="AH563" s="229"/>
      <c r="AI563" s="229"/>
      <c r="AJ563" s="229"/>
      <c r="AK563" s="229"/>
      <c r="AL563" s="229"/>
      <c r="AM563" s="229"/>
      <c r="AN563" s="229"/>
      <c r="AO563" s="229"/>
      <c r="AP563" s="229"/>
      <c r="AQ563" s="229"/>
      <c r="AR563" s="229"/>
      <c r="AS563" s="229"/>
      <c r="AT563" s="229"/>
      <c r="AU563" s="229"/>
      <c r="AV563" s="229"/>
      <c r="AW563" s="229"/>
      <c r="AX563" s="229"/>
      <c r="AY563" s="229"/>
      <c r="AZ563" s="229"/>
      <c r="BA563" s="229"/>
      <c r="BB563" s="229"/>
      <c r="BC563" s="229"/>
      <c r="BD563" s="229"/>
      <c r="BE563" s="229"/>
      <c r="BF563" s="229"/>
      <c r="BG563" s="229"/>
      <c r="BH563" s="229"/>
      <c r="BI563" s="229"/>
      <c r="BJ563" s="229"/>
      <c r="BK563" s="229"/>
      <c r="BL563" s="229"/>
      <c r="BM563" s="229"/>
      <c r="BN563" s="229"/>
      <c r="BO563" s="229"/>
      <c r="BP563" s="229"/>
      <c r="BQ563" s="229"/>
      <c r="BR563" s="229"/>
      <c r="BS563" s="296"/>
      <c r="BT563" s="229"/>
      <c r="BU563" s="229"/>
      <c r="BV563" s="229"/>
      <c r="BW563" s="229"/>
      <c r="BX563" s="229"/>
      <c r="BY563" s="229"/>
      <c r="BZ563" s="229"/>
      <c r="CA563" s="229"/>
      <c r="CB563" s="229"/>
      <c r="CC563" s="229"/>
      <c r="CD563" s="229"/>
      <c r="CE563" s="229"/>
      <c r="CF563" s="229"/>
      <c r="CG563" s="229"/>
      <c r="CH563" s="229"/>
      <c r="CI563" s="229"/>
      <c r="CJ563" s="229"/>
      <c r="CK563" s="229"/>
      <c r="CL563" s="229"/>
      <c r="CM563" s="229"/>
      <c r="CN563" s="229"/>
      <c r="CO563" s="229"/>
      <c r="CP563" s="229"/>
      <c r="CQ563" s="229"/>
      <c r="CR563" s="229"/>
      <c r="CS563" s="229"/>
      <c r="CT563" s="229"/>
      <c r="CU563" s="229"/>
      <c r="CV563" s="229"/>
      <c r="CW563" s="229"/>
      <c r="CX563" s="229"/>
      <c r="CY563" s="229"/>
      <c r="CZ563" s="229"/>
      <c r="DA563" s="229"/>
      <c r="DB563" s="229"/>
      <c r="DC563" s="229"/>
      <c r="DD563" s="229"/>
      <c r="DE563" s="229"/>
      <c r="DF563" s="229"/>
      <c r="DG563" s="229"/>
      <c r="DH563" s="229"/>
      <c r="DI563" s="229"/>
      <c r="DJ563" s="229"/>
      <c r="DK563" s="229"/>
      <c r="DL563" s="229"/>
      <c r="DM563" s="229"/>
      <c r="DN563" s="229"/>
      <c r="DO563" s="229"/>
      <c r="DP563" s="229"/>
      <c r="DQ563" s="229"/>
      <c r="DR563" s="229"/>
      <c r="DS563" s="229"/>
      <c r="DT563" s="229"/>
      <c r="DU563" s="229"/>
      <c r="DV563" s="229"/>
      <c r="DW563" s="229"/>
      <c r="DX563" s="229"/>
      <c r="DY563" s="229"/>
      <c r="DZ563" s="229"/>
      <c r="EA563" s="229"/>
      <c r="EB563" s="229"/>
      <c r="EC563" s="229"/>
      <c r="ED563" s="229"/>
      <c r="EE563" s="229"/>
      <c r="EF563" s="229"/>
      <c r="EG563" s="229"/>
      <c r="EH563" s="229"/>
      <c r="EI563" s="229"/>
      <c r="EJ563" s="229"/>
      <c r="EK563" s="229"/>
      <c r="EL563" s="305"/>
      <c r="EM563" s="234">
        <f>EN563+EO563+EP563</f>
        <v>236.7</v>
      </c>
      <c r="EN563" s="234"/>
      <c r="EO563" s="234" t="str">
        <f>Y563</f>
        <v>236.7</v>
      </c>
      <c r="EP563" s="234"/>
      <c r="EQ563" s="233"/>
    </row>
    <row r="564" spans="2:147" ht="11.25" hidden="1" customHeight="1">
      <c r="B564" s="228"/>
      <c r="C564" s="229"/>
      <c r="D564" s="229"/>
      <c r="E564" s="229"/>
      <c r="F564" s="229"/>
      <c r="G564" s="229"/>
      <c r="H564" s="229"/>
      <c r="I564" s="229"/>
      <c r="J564" s="229"/>
      <c r="K564" s="229"/>
      <c r="L564" s="296"/>
      <c r="M564" s="296"/>
      <c r="N564" s="296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  <c r="AH564" s="229"/>
      <c r="AI564" s="229"/>
      <c r="AJ564" s="229"/>
      <c r="AK564" s="229"/>
      <c r="AL564" s="229"/>
      <c r="AM564" s="229"/>
      <c r="AN564" s="229"/>
      <c r="AO564" s="229"/>
      <c r="AP564" s="229"/>
      <c r="AQ564" s="229"/>
      <c r="AR564" s="229"/>
      <c r="AS564" s="229"/>
      <c r="AT564" s="229"/>
      <c r="AU564" s="229"/>
      <c r="AV564" s="229"/>
      <c r="AW564" s="229"/>
      <c r="AX564" s="229"/>
      <c r="AY564" s="229"/>
      <c r="AZ564" s="229"/>
      <c r="BA564" s="229"/>
      <c r="BB564" s="229"/>
      <c r="BC564" s="229"/>
      <c r="BD564" s="229"/>
      <c r="BE564" s="229"/>
      <c r="BF564" s="229"/>
      <c r="BG564" s="229"/>
      <c r="BH564" s="229"/>
      <c r="BI564" s="229"/>
      <c r="BJ564" s="229"/>
      <c r="BK564" s="229"/>
      <c r="BL564" s="229"/>
      <c r="BM564" s="229"/>
      <c r="BN564" s="229"/>
      <c r="BO564" s="229"/>
      <c r="BP564" s="229"/>
      <c r="BQ564" s="229"/>
      <c r="BR564" s="229"/>
      <c r="BS564" s="296"/>
      <c r="BT564" s="229"/>
      <c r="BU564" s="229"/>
      <c r="BV564" s="229"/>
      <c r="BW564" s="229"/>
      <c r="BX564" s="229"/>
      <c r="BY564" s="229"/>
      <c r="BZ564" s="229"/>
      <c r="CA564" s="229"/>
      <c r="CB564" s="229"/>
      <c r="CC564" s="229"/>
      <c r="CD564" s="229"/>
      <c r="CE564" s="229"/>
      <c r="CF564" s="229"/>
      <c r="CG564" s="229"/>
      <c r="CH564" s="229"/>
      <c r="CI564" s="229"/>
      <c r="CJ564" s="229"/>
      <c r="CK564" s="229"/>
      <c r="CL564" s="229"/>
      <c r="CM564" s="229"/>
      <c r="CN564" s="229"/>
      <c r="CO564" s="229"/>
      <c r="CP564" s="229"/>
      <c r="CQ564" s="229"/>
      <c r="CR564" s="229"/>
      <c r="CS564" s="229"/>
      <c r="CT564" s="229"/>
      <c r="CU564" s="229"/>
      <c r="CV564" s="229"/>
      <c r="CW564" s="229"/>
      <c r="CX564" s="229"/>
      <c r="CY564" s="229"/>
      <c r="CZ564" s="229"/>
      <c r="DA564" s="229"/>
      <c r="DB564" s="229"/>
      <c r="DC564" s="229"/>
      <c r="DD564" s="229"/>
      <c r="DE564" s="229"/>
      <c r="DF564" s="229"/>
      <c r="DG564" s="229"/>
      <c r="DH564" s="229"/>
      <c r="DI564" s="229"/>
      <c r="DJ564" s="229"/>
      <c r="DK564" s="229"/>
      <c r="DL564" s="229"/>
      <c r="DM564" s="229"/>
      <c r="DN564" s="229"/>
      <c r="DO564" s="229"/>
      <c r="DP564" s="229"/>
      <c r="DQ564" s="229"/>
      <c r="DR564" s="229"/>
      <c r="DS564" s="229"/>
      <c r="DT564" s="229"/>
      <c r="DU564" s="229"/>
      <c r="DV564" s="229"/>
      <c r="DW564" s="229"/>
      <c r="DX564" s="229"/>
      <c r="DY564" s="229"/>
      <c r="DZ564" s="229"/>
      <c r="EA564" s="229"/>
      <c r="EB564" s="229"/>
      <c r="EC564" s="229"/>
      <c r="ED564" s="229"/>
      <c r="EE564" s="229"/>
      <c r="EF564" s="229"/>
      <c r="EG564" s="229"/>
      <c r="EH564" s="229"/>
      <c r="EI564" s="229"/>
      <c r="EJ564" s="229"/>
      <c r="EK564" s="229"/>
      <c r="EL564" s="305"/>
      <c r="EM564" s="234"/>
      <c r="EN564" s="234"/>
      <c r="EO564" s="234"/>
      <c r="EP564" s="234"/>
      <c r="EQ564" s="233"/>
    </row>
    <row r="565" spans="2:147" ht="11.45" hidden="1" customHeight="1">
      <c r="B565" s="228"/>
      <c r="C565" s="229"/>
      <c r="D565" s="229">
        <v>4</v>
      </c>
      <c r="E565" s="229"/>
      <c r="F565" s="229"/>
      <c r="G565" s="229" t="s">
        <v>647</v>
      </c>
      <c r="H565" s="229"/>
      <c r="I565" s="229"/>
      <c r="J565" s="229"/>
      <c r="K565" s="229"/>
      <c r="L565" s="296"/>
      <c r="M565" s="296"/>
      <c r="N565" s="296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  <c r="AH565" s="229"/>
      <c r="AI565" s="229"/>
      <c r="AJ565" s="229"/>
      <c r="AK565" s="229"/>
      <c r="AL565" s="229"/>
      <c r="AM565" s="229"/>
      <c r="AN565" s="229"/>
      <c r="AO565" s="229"/>
      <c r="AP565" s="229"/>
      <c r="AQ565" s="229"/>
      <c r="AR565" s="229"/>
      <c r="AS565" s="229"/>
      <c r="AT565" s="229"/>
      <c r="AU565" s="229"/>
      <c r="AV565" s="229"/>
      <c r="AW565" s="229"/>
      <c r="AX565" s="229"/>
      <c r="AY565" s="229"/>
      <c r="AZ565" s="229"/>
      <c r="BA565" s="229"/>
      <c r="BB565" s="229"/>
      <c r="BC565" s="229"/>
      <c r="BD565" s="229"/>
      <c r="BE565" s="229"/>
      <c r="BF565" s="229"/>
      <c r="BG565" s="229"/>
      <c r="BH565" s="229"/>
      <c r="BI565" s="229"/>
      <c r="BJ565" s="229"/>
      <c r="BK565" s="229"/>
      <c r="BL565" s="229"/>
      <c r="BM565" s="229"/>
      <c r="BN565" s="229"/>
      <c r="BO565" s="229"/>
      <c r="BP565" s="229"/>
      <c r="BQ565" s="229"/>
      <c r="BR565" s="229"/>
      <c r="BS565" s="296"/>
      <c r="BT565" s="229"/>
      <c r="BU565" s="229"/>
      <c r="BV565" s="229"/>
      <c r="BW565" s="229"/>
      <c r="BX565" s="229"/>
      <c r="BY565" s="229"/>
      <c r="BZ565" s="229"/>
      <c r="CA565" s="229"/>
      <c r="CB565" s="229"/>
      <c r="CC565" s="229"/>
      <c r="CD565" s="229"/>
      <c r="CE565" s="229"/>
      <c r="CF565" s="229"/>
      <c r="CG565" s="229"/>
      <c r="CH565" s="229"/>
      <c r="CI565" s="229"/>
      <c r="CJ565" s="229"/>
      <c r="CK565" s="229"/>
      <c r="CL565" s="229"/>
      <c r="CM565" s="229"/>
      <c r="CN565" s="229"/>
      <c r="CO565" s="229"/>
      <c r="CP565" s="229"/>
      <c r="CQ565" s="229"/>
      <c r="CR565" s="229"/>
      <c r="CS565" s="229"/>
      <c r="CT565" s="229"/>
      <c r="CU565" s="229"/>
      <c r="CV565" s="229"/>
      <c r="CW565" s="229"/>
      <c r="CX565" s="229"/>
      <c r="CY565" s="229"/>
      <c r="CZ565" s="229"/>
      <c r="DA565" s="229"/>
      <c r="DB565" s="229"/>
      <c r="DC565" s="229"/>
      <c r="DD565" s="229"/>
      <c r="DE565" s="229"/>
      <c r="DF565" s="229"/>
      <c r="DG565" s="229"/>
      <c r="DH565" s="229"/>
      <c r="DI565" s="229"/>
      <c r="DJ565" s="229"/>
      <c r="DK565" s="229"/>
      <c r="DL565" s="229"/>
      <c r="DM565" s="229"/>
      <c r="DN565" s="229"/>
      <c r="DO565" s="229"/>
      <c r="DP565" s="229"/>
      <c r="DQ565" s="229"/>
      <c r="DR565" s="229"/>
      <c r="DS565" s="229"/>
      <c r="DT565" s="229"/>
      <c r="DU565" s="229"/>
      <c r="DV565" s="229"/>
      <c r="DW565" s="229"/>
      <c r="DX565" s="229"/>
      <c r="DY565" s="229"/>
      <c r="DZ565" s="229"/>
      <c r="EA565" s="229"/>
      <c r="EB565" s="229"/>
      <c r="EC565" s="229"/>
      <c r="ED565" s="229"/>
      <c r="EE565" s="229"/>
      <c r="EF565" s="229"/>
      <c r="EG565" s="229"/>
      <c r="EH565" s="229"/>
      <c r="EI565" s="229"/>
      <c r="EJ565" s="229"/>
      <c r="EK565" s="229"/>
      <c r="EL565" s="305"/>
      <c r="EM565" s="234"/>
      <c r="EN565" s="234"/>
      <c r="EO565" s="234"/>
      <c r="EP565" s="234"/>
      <c r="EQ565" s="233"/>
    </row>
    <row r="566" spans="2:147" ht="11.45" hidden="1" customHeight="1">
      <c r="B566" s="228"/>
      <c r="C566" s="229"/>
      <c r="D566" s="229"/>
      <c r="E566" s="229"/>
      <c r="F566" s="229"/>
      <c r="G566" s="229"/>
      <c r="H566" s="229"/>
      <c r="I566" s="229"/>
      <c r="J566" s="229"/>
      <c r="K566" s="229"/>
      <c r="L566" s="296"/>
      <c r="M566" s="296"/>
      <c r="N566" s="296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  <c r="AH566" s="229"/>
      <c r="AI566" s="229"/>
      <c r="AJ566" s="229"/>
      <c r="AK566" s="229"/>
      <c r="AL566" s="229"/>
      <c r="AM566" s="229"/>
      <c r="AN566" s="229"/>
      <c r="AO566" s="229"/>
      <c r="AP566" s="229"/>
      <c r="AQ566" s="229"/>
      <c r="AR566" s="229"/>
      <c r="AS566" s="229"/>
      <c r="AT566" s="229"/>
      <c r="AU566" s="229"/>
      <c r="AV566" s="229"/>
      <c r="AW566" s="229"/>
      <c r="AX566" s="229"/>
      <c r="AY566" s="229"/>
      <c r="AZ566" s="229"/>
      <c r="BA566" s="229"/>
      <c r="BB566" s="229"/>
      <c r="BC566" s="229"/>
      <c r="BD566" s="229"/>
      <c r="BE566" s="229"/>
      <c r="BF566" s="229"/>
      <c r="BG566" s="229"/>
      <c r="BH566" s="229"/>
      <c r="BI566" s="229"/>
      <c r="BJ566" s="229"/>
      <c r="BK566" s="229"/>
      <c r="BL566" s="229"/>
      <c r="BM566" s="229"/>
      <c r="BN566" s="229"/>
      <c r="BO566" s="229"/>
      <c r="BP566" s="229"/>
      <c r="BQ566" s="229"/>
      <c r="BR566" s="229"/>
      <c r="BS566" s="296"/>
      <c r="BT566" s="229"/>
      <c r="BU566" s="229"/>
      <c r="BV566" s="229"/>
      <c r="BW566" s="229"/>
      <c r="BX566" s="229"/>
      <c r="BY566" s="229"/>
      <c r="BZ566" s="229"/>
      <c r="CA566" s="229"/>
      <c r="CB566" s="229"/>
      <c r="CC566" s="229"/>
      <c r="CD566" s="229"/>
      <c r="CE566" s="229"/>
      <c r="CF566" s="229"/>
      <c r="CG566" s="229"/>
      <c r="CH566" s="229"/>
      <c r="CI566" s="229"/>
      <c r="CJ566" s="229"/>
      <c r="CK566" s="229"/>
      <c r="CL566" s="229"/>
      <c r="CM566" s="229"/>
      <c r="CN566" s="229"/>
      <c r="CO566" s="229"/>
      <c r="CP566" s="229"/>
      <c r="CQ566" s="229"/>
      <c r="CR566" s="229"/>
      <c r="CS566" s="229"/>
      <c r="CT566" s="229"/>
      <c r="CU566" s="229"/>
      <c r="CV566" s="229"/>
      <c r="CW566" s="229"/>
      <c r="CX566" s="229"/>
      <c r="CY566" s="229"/>
      <c r="CZ566" s="229"/>
      <c r="DA566" s="229"/>
      <c r="DB566" s="229"/>
      <c r="DC566" s="229"/>
      <c r="DD566" s="229"/>
      <c r="DE566" s="229"/>
      <c r="DF566" s="229"/>
      <c r="DG566" s="229"/>
      <c r="DH566" s="229"/>
      <c r="DI566" s="229"/>
      <c r="DJ566" s="229"/>
      <c r="DK566" s="229"/>
      <c r="DL566" s="229"/>
      <c r="DM566" s="229"/>
      <c r="DN566" s="229"/>
      <c r="DO566" s="229"/>
      <c r="DP566" s="229"/>
      <c r="DQ566" s="229"/>
      <c r="DR566" s="229"/>
      <c r="DS566" s="229"/>
      <c r="DT566" s="229"/>
      <c r="DU566" s="229"/>
      <c r="DV566" s="229"/>
      <c r="DW566" s="229"/>
      <c r="DX566" s="229"/>
      <c r="DY566" s="229"/>
      <c r="DZ566" s="229"/>
      <c r="EA566" s="229"/>
      <c r="EB566" s="229"/>
      <c r="EC566" s="229"/>
      <c r="ED566" s="229"/>
      <c r="EE566" s="229"/>
      <c r="EF566" s="229"/>
      <c r="EG566" s="229"/>
      <c r="EH566" s="229"/>
      <c r="EI566" s="229"/>
      <c r="EJ566" s="229"/>
      <c r="EK566" s="229"/>
      <c r="EL566" s="305"/>
      <c r="EM566" s="234"/>
      <c r="EN566" s="234"/>
      <c r="EO566" s="234"/>
      <c r="EP566" s="234"/>
      <c r="EQ566" s="233"/>
    </row>
    <row r="567" spans="2:147" ht="11.45" hidden="1" customHeight="1">
      <c r="B567" s="228"/>
      <c r="C567" s="229"/>
      <c r="D567" s="229"/>
      <c r="E567" s="229" t="s">
        <v>685</v>
      </c>
      <c r="F567" s="229"/>
      <c r="G567" s="229" t="s">
        <v>686</v>
      </c>
      <c r="H567" s="229"/>
      <c r="I567" s="229" t="s">
        <v>735</v>
      </c>
      <c r="J567" s="229"/>
      <c r="K567" s="229"/>
      <c r="L567" s="296"/>
      <c r="M567" s="296"/>
      <c r="N567" s="296"/>
      <c r="O567" s="229"/>
      <c r="P567" s="229"/>
      <c r="Q567" s="229"/>
      <c r="R567" s="229" t="s">
        <v>736</v>
      </c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  <c r="AH567" s="229"/>
      <c r="AI567" s="229"/>
      <c r="AJ567" s="229"/>
      <c r="AK567" s="229"/>
      <c r="AL567" s="229"/>
      <c r="AM567" s="229"/>
      <c r="AN567" s="229"/>
      <c r="AO567" s="229"/>
      <c r="AP567" s="229"/>
      <c r="AQ567" s="229"/>
      <c r="AR567" s="229"/>
      <c r="AS567" s="229"/>
      <c r="AT567" s="229"/>
      <c r="AU567" s="229"/>
      <c r="AV567" s="229"/>
      <c r="AW567" s="229"/>
      <c r="AX567" s="229"/>
      <c r="AY567" s="229"/>
      <c r="AZ567" s="229"/>
      <c r="BA567" s="229"/>
      <c r="BB567" s="229"/>
      <c r="BC567" s="229"/>
      <c r="BD567" s="229"/>
      <c r="BE567" s="229"/>
      <c r="BF567" s="229"/>
      <c r="BG567" s="229"/>
      <c r="BH567" s="229"/>
      <c r="BI567" s="229"/>
      <c r="BJ567" s="229"/>
      <c r="BK567" s="229"/>
      <c r="BL567" s="229"/>
      <c r="BM567" s="229"/>
      <c r="BN567" s="229"/>
      <c r="BO567" s="229"/>
      <c r="BP567" s="229"/>
      <c r="BQ567" s="229"/>
      <c r="BR567" s="229"/>
      <c r="BS567" s="296"/>
      <c r="BT567" s="229"/>
      <c r="BU567" s="229"/>
      <c r="BV567" s="229"/>
      <c r="BW567" s="229"/>
      <c r="BX567" s="229"/>
      <c r="BY567" s="229"/>
      <c r="BZ567" s="229"/>
      <c r="CA567" s="229"/>
      <c r="CB567" s="229"/>
      <c r="CC567" s="229"/>
      <c r="CD567" s="229"/>
      <c r="CE567" s="229"/>
      <c r="CF567" s="229"/>
      <c r="CG567" s="229"/>
      <c r="CH567" s="229"/>
      <c r="CI567" s="229"/>
      <c r="CJ567" s="229"/>
      <c r="CK567" s="229"/>
      <c r="CL567" s="229"/>
      <c r="CM567" s="229"/>
      <c r="CN567" s="229"/>
      <c r="CO567" s="229"/>
      <c r="CP567" s="229"/>
      <c r="CQ567" s="229"/>
      <c r="CR567" s="229"/>
      <c r="CS567" s="229"/>
      <c r="CT567" s="229"/>
      <c r="CU567" s="229"/>
      <c r="CV567" s="229"/>
      <c r="CW567" s="229"/>
      <c r="CX567" s="229"/>
      <c r="CY567" s="229"/>
      <c r="CZ567" s="229"/>
      <c r="DA567" s="229"/>
      <c r="DB567" s="229"/>
      <c r="DC567" s="229"/>
      <c r="DD567" s="229"/>
      <c r="DE567" s="229"/>
      <c r="DF567" s="229"/>
      <c r="DG567" s="229"/>
      <c r="DH567" s="229"/>
      <c r="DI567" s="229"/>
      <c r="DJ567" s="229"/>
      <c r="DK567" s="229"/>
      <c r="DL567" s="229"/>
      <c r="DM567" s="229"/>
      <c r="DN567" s="229"/>
      <c r="DO567" s="229"/>
      <c r="DP567" s="229"/>
      <c r="DQ567" s="229"/>
      <c r="DR567" s="229"/>
      <c r="DS567" s="229"/>
      <c r="DT567" s="229"/>
      <c r="DU567" s="229"/>
      <c r="DV567" s="229"/>
      <c r="DW567" s="229"/>
      <c r="DX567" s="229"/>
      <c r="DY567" s="229"/>
      <c r="DZ567" s="229"/>
      <c r="EA567" s="229"/>
      <c r="EB567" s="229"/>
      <c r="EC567" s="229"/>
      <c r="ED567" s="229"/>
      <c r="EE567" s="229"/>
      <c r="EF567" s="229"/>
      <c r="EG567" s="229"/>
      <c r="EH567" s="229"/>
      <c r="EI567" s="229"/>
      <c r="EJ567" s="229"/>
      <c r="EK567" s="229"/>
      <c r="EL567" s="305"/>
      <c r="EM567" s="234"/>
      <c r="EN567" s="234"/>
      <c r="EO567" s="234"/>
      <c r="EP567" s="234"/>
      <c r="EQ567" s="233"/>
    </row>
    <row r="568" spans="2:147" ht="11.45" hidden="1" customHeight="1">
      <c r="B568" s="228"/>
      <c r="C568" s="229"/>
      <c r="D568" s="229"/>
      <c r="E568" s="229"/>
      <c r="F568" s="229"/>
      <c r="G568" s="229" t="s">
        <v>616</v>
      </c>
      <c r="H568" s="229"/>
      <c r="I568" s="229"/>
      <c r="J568" s="229"/>
      <c r="K568" s="229"/>
      <c r="L568" s="296"/>
      <c r="M568" s="296"/>
      <c r="N568" s="296" t="s">
        <v>132</v>
      </c>
      <c r="O568" s="229"/>
      <c r="P568" s="1775" t="e">
        <f>#REF!</f>
        <v>#REF!</v>
      </c>
      <c r="Q568" s="1775"/>
      <c r="R568" s="1775"/>
      <c r="S568" s="1775"/>
      <c r="T568" s="1775"/>
      <c r="V568" s="229" t="s">
        <v>683</v>
      </c>
      <c r="W568" s="229"/>
      <c r="X568" s="229"/>
      <c r="Y568" s="229" t="str">
        <f>TEXT(AZ550,"#,##0.#######")</f>
        <v>37.5</v>
      </c>
      <c r="Z568" s="229"/>
      <c r="AA568" s="229"/>
      <c r="AB568" s="229"/>
      <c r="AC568" s="229" t="s">
        <v>134</v>
      </c>
      <c r="AD568" s="229"/>
      <c r="AE568" s="229" t="e">
        <f>TEXT(TRUNC(P568/AZ550,1),"#,##0.#")</f>
        <v>#REF!</v>
      </c>
      <c r="AF568" s="229"/>
      <c r="AG568" s="229"/>
      <c r="AH568" s="229"/>
      <c r="AI568" s="229"/>
      <c r="AJ568" s="229"/>
      <c r="AK568" s="229"/>
      <c r="AL568" s="229"/>
      <c r="AM568" s="229"/>
      <c r="AN568" s="229"/>
      <c r="AO568" s="229"/>
      <c r="AP568" s="229"/>
      <c r="AQ568" s="229"/>
      <c r="AR568" s="229"/>
      <c r="AS568" s="229"/>
      <c r="AT568" s="229"/>
      <c r="AU568" s="229"/>
      <c r="AV568" s="229"/>
      <c r="AW568" s="229"/>
      <c r="AX568" s="229"/>
      <c r="AY568" s="229"/>
      <c r="AZ568" s="229"/>
      <c r="BA568" s="229"/>
      <c r="BB568" s="229"/>
      <c r="BC568" s="229"/>
      <c r="BD568" s="229"/>
      <c r="BE568" s="229"/>
      <c r="BF568" s="229"/>
      <c r="BG568" s="229"/>
      <c r="BH568" s="229"/>
      <c r="BI568" s="229"/>
      <c r="BJ568" s="229"/>
      <c r="BK568" s="229"/>
      <c r="BL568" s="229"/>
      <c r="BM568" s="229"/>
      <c r="BN568" s="229"/>
      <c r="BO568" s="229"/>
      <c r="BP568" s="229"/>
      <c r="BQ568" s="229"/>
      <c r="BR568" s="229"/>
      <c r="BS568" s="296"/>
      <c r="BT568" s="229"/>
      <c r="BU568" s="229"/>
      <c r="BV568" s="229"/>
      <c r="BW568" s="229"/>
      <c r="BX568" s="229"/>
      <c r="BY568" s="229"/>
      <c r="BZ568" s="229"/>
      <c r="CA568" s="229"/>
      <c r="CB568" s="229"/>
      <c r="CC568" s="229"/>
      <c r="CD568" s="229"/>
      <c r="CE568" s="229"/>
      <c r="CF568" s="229"/>
      <c r="CG568" s="229"/>
      <c r="CH568" s="229"/>
      <c r="CI568" s="229"/>
      <c r="CJ568" s="229"/>
      <c r="CK568" s="229"/>
      <c r="CL568" s="229"/>
      <c r="CM568" s="229"/>
      <c r="CN568" s="229"/>
      <c r="CO568" s="229"/>
      <c r="CP568" s="229"/>
      <c r="CQ568" s="229"/>
      <c r="CR568" s="229"/>
      <c r="CS568" s="229"/>
      <c r="CT568" s="229"/>
      <c r="CU568" s="229"/>
      <c r="CV568" s="229"/>
      <c r="CW568" s="229"/>
      <c r="CX568" s="229"/>
      <c r="CY568" s="229"/>
      <c r="CZ568" s="229"/>
      <c r="DA568" s="229"/>
      <c r="DB568" s="229"/>
      <c r="DC568" s="229"/>
      <c r="DD568" s="229"/>
      <c r="DE568" s="229"/>
      <c r="DF568" s="229"/>
      <c r="DG568" s="229"/>
      <c r="DH568" s="229"/>
      <c r="DI568" s="229"/>
      <c r="DJ568" s="229"/>
      <c r="DK568" s="229"/>
      <c r="DL568" s="229"/>
      <c r="DM568" s="229"/>
      <c r="DN568" s="229"/>
      <c r="DO568" s="229"/>
      <c r="DP568" s="229"/>
      <c r="DQ568" s="229"/>
      <c r="DR568" s="229"/>
      <c r="DS568" s="229"/>
      <c r="DT568" s="229"/>
      <c r="DU568" s="229"/>
      <c r="DV568" s="229"/>
      <c r="DW568" s="229"/>
      <c r="DX568" s="229"/>
      <c r="DY568" s="229"/>
      <c r="DZ568" s="229"/>
      <c r="EA568" s="229"/>
      <c r="EB568" s="229"/>
      <c r="EC568" s="229"/>
      <c r="ED568" s="229"/>
      <c r="EE568" s="229"/>
      <c r="EF568" s="229"/>
      <c r="EG568" s="229"/>
      <c r="EH568" s="229"/>
      <c r="EI568" s="229"/>
      <c r="EJ568" s="229"/>
      <c r="EK568" s="229"/>
      <c r="EL568" s="305"/>
      <c r="EM568" s="234"/>
      <c r="EN568" s="234"/>
      <c r="EO568" s="234"/>
      <c r="EP568" s="234"/>
      <c r="EQ568" s="233"/>
    </row>
    <row r="569" spans="2:147" ht="11.45" hidden="1" customHeight="1">
      <c r="B569" s="228"/>
      <c r="C569" s="229"/>
      <c r="D569" s="229"/>
      <c r="E569" s="229"/>
      <c r="F569" s="229"/>
      <c r="G569" s="229" t="s">
        <v>617</v>
      </c>
      <c r="H569" s="229"/>
      <c r="I569" s="229"/>
      <c r="J569" s="229"/>
      <c r="K569" s="229"/>
      <c r="L569" s="296"/>
      <c r="M569" s="296"/>
      <c r="N569" s="296" t="s">
        <v>132</v>
      </c>
      <c r="O569" s="229"/>
      <c r="P569" s="1775" t="e">
        <f>#REF!</f>
        <v>#REF!</v>
      </c>
      <c r="Q569" s="1775"/>
      <c r="R569" s="1775"/>
      <c r="S569" s="1775"/>
      <c r="T569" s="1775"/>
      <c r="V569" s="229" t="s">
        <v>683</v>
      </c>
      <c r="W569" s="229"/>
      <c r="X569" s="229"/>
      <c r="Y569" s="229" t="str">
        <f>TEXT(AZ550,"#,##0.#######")</f>
        <v>37.5</v>
      </c>
      <c r="Z569" s="229"/>
      <c r="AA569" s="229"/>
      <c r="AB569" s="229"/>
      <c r="AC569" s="229" t="s">
        <v>134</v>
      </c>
      <c r="AD569" s="229"/>
      <c r="AE569" s="229" t="e">
        <f>TEXT(TRUNC(P569/AZ550,1),"#,##0.#")</f>
        <v>#REF!</v>
      </c>
      <c r="AF569" s="229"/>
      <c r="AG569" s="229"/>
      <c r="AH569" s="229"/>
      <c r="AI569" s="229"/>
      <c r="AJ569" s="229"/>
      <c r="AK569" s="229"/>
      <c r="AL569" s="229"/>
      <c r="AM569" s="229"/>
      <c r="AN569" s="229"/>
      <c r="AO569" s="229"/>
      <c r="AP569" s="229"/>
      <c r="AQ569" s="229"/>
      <c r="AR569" s="229"/>
      <c r="AS569" s="229"/>
      <c r="AT569" s="229"/>
      <c r="AU569" s="229"/>
      <c r="AV569" s="229"/>
      <c r="AW569" s="229"/>
      <c r="AX569" s="229"/>
      <c r="AY569" s="229"/>
      <c r="AZ569" s="229"/>
      <c r="BA569" s="229"/>
      <c r="BB569" s="229"/>
      <c r="BC569" s="229"/>
      <c r="BD569" s="229"/>
      <c r="BE569" s="229"/>
      <c r="BF569" s="229"/>
      <c r="BG569" s="229"/>
      <c r="BH569" s="229"/>
      <c r="BI569" s="229"/>
      <c r="BJ569" s="229"/>
      <c r="BK569" s="229"/>
      <c r="BL569" s="229"/>
      <c r="BM569" s="229"/>
      <c r="BN569" s="229"/>
      <c r="BO569" s="229"/>
      <c r="BP569" s="229"/>
      <c r="BQ569" s="229"/>
      <c r="BR569" s="229"/>
      <c r="BS569" s="296"/>
      <c r="BT569" s="229"/>
      <c r="BU569" s="229"/>
      <c r="BV569" s="229"/>
      <c r="BW569" s="229"/>
      <c r="BX569" s="229"/>
      <c r="BY569" s="229"/>
      <c r="BZ569" s="229"/>
      <c r="CA569" s="229"/>
      <c r="CB569" s="229"/>
      <c r="CC569" s="229"/>
      <c r="CD569" s="229"/>
      <c r="CE569" s="229"/>
      <c r="CF569" s="229"/>
      <c r="CG569" s="229"/>
      <c r="CH569" s="229"/>
      <c r="CI569" s="229"/>
      <c r="CJ569" s="229"/>
      <c r="CK569" s="229"/>
      <c r="CL569" s="229"/>
      <c r="CM569" s="229"/>
      <c r="CN569" s="229"/>
      <c r="CO569" s="229"/>
      <c r="CP569" s="229"/>
      <c r="CQ569" s="229"/>
      <c r="CR569" s="229"/>
      <c r="CS569" s="229"/>
      <c r="CT569" s="229"/>
      <c r="CU569" s="229"/>
      <c r="CV569" s="229"/>
      <c r="CW569" s="229"/>
      <c r="CX569" s="229"/>
      <c r="CY569" s="229"/>
      <c r="CZ569" s="229"/>
      <c r="DA569" s="229"/>
      <c r="DB569" s="229"/>
      <c r="DC569" s="229"/>
      <c r="DD569" s="229"/>
      <c r="DE569" s="229"/>
      <c r="DF569" s="229"/>
      <c r="DG569" s="229"/>
      <c r="DH569" s="229"/>
      <c r="DI569" s="229"/>
      <c r="DJ569" s="229"/>
      <c r="DK569" s="229"/>
      <c r="DL569" s="229"/>
      <c r="DM569" s="229"/>
      <c r="DN569" s="229"/>
      <c r="DO569" s="229"/>
      <c r="DP569" s="229"/>
      <c r="DQ569" s="229"/>
      <c r="DR569" s="229"/>
      <c r="DS569" s="229"/>
      <c r="DT569" s="229"/>
      <c r="DU569" s="229"/>
      <c r="DV569" s="229"/>
      <c r="DW569" s="229"/>
      <c r="DX569" s="229"/>
      <c r="DY569" s="229"/>
      <c r="DZ569" s="229"/>
      <c r="EA569" s="229"/>
      <c r="EB569" s="229"/>
      <c r="EC569" s="229"/>
      <c r="ED569" s="229"/>
      <c r="EE569" s="229"/>
      <c r="EF569" s="229"/>
      <c r="EG569" s="229"/>
      <c r="EH569" s="229"/>
      <c r="EI569" s="229"/>
      <c r="EJ569" s="229"/>
      <c r="EK569" s="229"/>
      <c r="EL569" s="305"/>
      <c r="EM569" s="234"/>
      <c r="EN569" s="234"/>
      <c r="EO569" s="234"/>
      <c r="EP569" s="234"/>
      <c r="EQ569" s="233"/>
    </row>
    <row r="570" spans="2:147" ht="11.45" hidden="1" customHeight="1">
      <c r="B570" s="228"/>
      <c r="C570" s="229"/>
      <c r="D570" s="229"/>
      <c r="E570" s="229"/>
      <c r="F570" s="229"/>
      <c r="G570" s="229" t="s">
        <v>679</v>
      </c>
      <c r="H570" s="229"/>
      <c r="I570" s="229"/>
      <c r="J570" s="229"/>
      <c r="K570" s="229" t="s">
        <v>680</v>
      </c>
      <c r="L570" s="296"/>
      <c r="M570" s="296"/>
      <c r="N570" s="296" t="s">
        <v>132</v>
      </c>
      <c r="O570" s="229"/>
      <c r="P570" s="1775" t="e">
        <f>#REF!</f>
        <v>#REF!</v>
      </c>
      <c r="Q570" s="1775"/>
      <c r="R570" s="1775"/>
      <c r="S570" s="1775"/>
      <c r="T570" s="1775"/>
      <c r="V570" s="229" t="s">
        <v>683</v>
      </c>
      <c r="W570" s="229"/>
      <c r="X570" s="229"/>
      <c r="Y570" s="229" t="str">
        <f>TEXT(AZ550,"#,##0.#######")</f>
        <v>37.5</v>
      </c>
      <c r="Z570" s="229"/>
      <c r="AA570" s="229"/>
      <c r="AB570" s="229"/>
      <c r="AC570" s="229" t="s">
        <v>134</v>
      </c>
      <c r="AD570" s="229"/>
      <c r="AE570" s="229" t="e">
        <f>TEXT(TRUNC(P570/AZ550,1),"#,##0.#")</f>
        <v>#REF!</v>
      </c>
      <c r="AF570" s="229"/>
      <c r="AG570" s="229"/>
      <c r="AH570" s="229"/>
      <c r="AI570" s="229"/>
      <c r="AJ570" s="229"/>
      <c r="AK570" s="229"/>
      <c r="AL570" s="229"/>
      <c r="AM570" s="229"/>
      <c r="AN570" s="229"/>
      <c r="AO570" s="229"/>
      <c r="AP570" s="229"/>
      <c r="AQ570" s="229"/>
      <c r="AR570" s="229"/>
      <c r="AS570" s="229"/>
      <c r="AT570" s="229"/>
      <c r="AU570" s="229"/>
      <c r="AV570" s="229"/>
      <c r="AW570" s="229"/>
      <c r="AX570" s="229"/>
      <c r="AY570" s="229"/>
      <c r="AZ570" s="229"/>
      <c r="BA570" s="229"/>
      <c r="BB570" s="229"/>
      <c r="BC570" s="229"/>
      <c r="BD570" s="229"/>
      <c r="BE570" s="229"/>
      <c r="BF570" s="229"/>
      <c r="BG570" s="229"/>
      <c r="BH570" s="229"/>
      <c r="BI570" s="229"/>
      <c r="BJ570" s="229"/>
      <c r="BK570" s="229"/>
      <c r="BL570" s="229"/>
      <c r="BM570" s="229"/>
      <c r="BN570" s="229"/>
      <c r="BO570" s="229"/>
      <c r="BP570" s="229"/>
      <c r="BQ570" s="229"/>
      <c r="BR570" s="229"/>
      <c r="BS570" s="296"/>
      <c r="BT570" s="229"/>
      <c r="BU570" s="229"/>
      <c r="BV570" s="229"/>
      <c r="BW570" s="229"/>
      <c r="BX570" s="229"/>
      <c r="BY570" s="229"/>
      <c r="BZ570" s="229"/>
      <c r="CA570" s="229"/>
      <c r="CB570" s="229"/>
      <c r="CC570" s="229"/>
      <c r="CD570" s="229"/>
      <c r="CE570" s="229"/>
      <c r="CF570" s="229"/>
      <c r="CG570" s="229"/>
      <c r="CH570" s="229"/>
      <c r="CI570" s="229"/>
      <c r="CJ570" s="229"/>
      <c r="CK570" s="229"/>
      <c r="CL570" s="229"/>
      <c r="CM570" s="229"/>
      <c r="CN570" s="229"/>
      <c r="CO570" s="229"/>
      <c r="CP570" s="229"/>
      <c r="CQ570" s="229"/>
      <c r="CR570" s="229"/>
      <c r="CS570" s="229"/>
      <c r="CT570" s="229"/>
      <c r="CU570" s="229"/>
      <c r="CV570" s="229"/>
      <c r="CW570" s="229"/>
      <c r="CX570" s="229"/>
      <c r="CY570" s="229"/>
      <c r="CZ570" s="229"/>
      <c r="DA570" s="229"/>
      <c r="DB570" s="229"/>
      <c r="DC570" s="229"/>
      <c r="DD570" s="229"/>
      <c r="DE570" s="229"/>
      <c r="DF570" s="229"/>
      <c r="DG570" s="229"/>
      <c r="DH570" s="229"/>
      <c r="DI570" s="229"/>
      <c r="DJ570" s="229"/>
      <c r="DK570" s="229"/>
      <c r="DL570" s="229"/>
      <c r="DM570" s="229"/>
      <c r="DN570" s="229"/>
      <c r="DO570" s="229"/>
      <c r="DP570" s="229"/>
      <c r="DQ570" s="229"/>
      <c r="DR570" s="229"/>
      <c r="DS570" s="229"/>
      <c r="DT570" s="229"/>
      <c r="DU570" s="229"/>
      <c r="DV570" s="229"/>
      <c r="DW570" s="229"/>
      <c r="DX570" s="229"/>
      <c r="DY570" s="229"/>
      <c r="DZ570" s="229"/>
      <c r="EA570" s="229"/>
      <c r="EB570" s="229"/>
      <c r="EC570" s="229"/>
      <c r="ED570" s="229"/>
      <c r="EE570" s="229"/>
      <c r="EF570" s="229"/>
      <c r="EG570" s="229"/>
      <c r="EH570" s="229"/>
      <c r="EI570" s="229"/>
      <c r="EJ570" s="229"/>
      <c r="EK570" s="229"/>
      <c r="EL570" s="305"/>
      <c r="EM570" s="234"/>
      <c r="EN570" s="234"/>
      <c r="EO570" s="234"/>
      <c r="EP570" s="234"/>
      <c r="EQ570" s="233"/>
    </row>
    <row r="571" spans="2:147" ht="11.45" hidden="1" customHeight="1">
      <c r="B571" s="228"/>
      <c r="C571" s="229"/>
      <c r="D571" s="229"/>
      <c r="E571" s="229"/>
      <c r="F571" s="229"/>
      <c r="G571" s="229" t="s">
        <v>688</v>
      </c>
      <c r="H571" s="229"/>
      <c r="I571" s="229"/>
      <c r="J571" s="229"/>
      <c r="K571" s="229" t="s">
        <v>96</v>
      </c>
      <c r="L571" s="296"/>
      <c r="M571" s="296"/>
      <c r="N571" s="296" t="s">
        <v>132</v>
      </c>
      <c r="O571" s="229"/>
      <c r="P571" s="229" t="e">
        <f>TEXT(AE568+AE569+AE570,"#,##0.#######")</f>
        <v>#REF!</v>
      </c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  <c r="AH571" s="229"/>
      <c r="AI571" s="229"/>
      <c r="AJ571" s="229"/>
      <c r="AK571" s="229"/>
      <c r="AL571" s="229"/>
      <c r="AM571" s="229"/>
      <c r="AN571" s="229"/>
      <c r="AO571" s="229"/>
      <c r="AP571" s="229"/>
      <c r="AQ571" s="229"/>
      <c r="AR571" s="229"/>
      <c r="AS571" s="229"/>
      <c r="AT571" s="229"/>
      <c r="AU571" s="229"/>
      <c r="AV571" s="229"/>
      <c r="AW571" s="229"/>
      <c r="AX571" s="229"/>
      <c r="AY571" s="229"/>
      <c r="AZ571" s="229"/>
      <c r="BA571" s="229"/>
      <c r="BB571" s="229"/>
      <c r="BC571" s="229"/>
      <c r="BD571" s="229"/>
      <c r="BE571" s="229"/>
      <c r="BF571" s="229"/>
      <c r="BG571" s="229"/>
      <c r="BH571" s="229"/>
      <c r="BI571" s="229"/>
      <c r="BJ571" s="229"/>
      <c r="BK571" s="229"/>
      <c r="BL571" s="229"/>
      <c r="BM571" s="229"/>
      <c r="BN571" s="229"/>
      <c r="BO571" s="229"/>
      <c r="BP571" s="229"/>
      <c r="BQ571" s="229"/>
      <c r="BR571" s="229"/>
      <c r="BS571" s="296"/>
      <c r="BT571" s="229"/>
      <c r="BU571" s="229"/>
      <c r="BV571" s="229"/>
      <c r="BW571" s="229"/>
      <c r="BX571" s="229"/>
      <c r="BY571" s="229"/>
      <c r="BZ571" s="229"/>
      <c r="CA571" s="229"/>
      <c r="CB571" s="229"/>
      <c r="CC571" s="229"/>
      <c r="CD571" s="229"/>
      <c r="CE571" s="229"/>
      <c r="CF571" s="229"/>
      <c r="CG571" s="229"/>
      <c r="CH571" s="229"/>
      <c r="CI571" s="229"/>
      <c r="CJ571" s="229"/>
      <c r="CK571" s="229"/>
      <c r="CL571" s="229"/>
      <c r="CM571" s="229"/>
      <c r="CN571" s="229"/>
      <c r="CO571" s="229"/>
      <c r="CP571" s="229"/>
      <c r="CQ571" s="229"/>
      <c r="CR571" s="229"/>
      <c r="CS571" s="229"/>
      <c r="CT571" s="229"/>
      <c r="CU571" s="229"/>
      <c r="CV571" s="229"/>
      <c r="CW571" s="229"/>
      <c r="CX571" s="229"/>
      <c r="CY571" s="229"/>
      <c r="CZ571" s="229"/>
      <c r="DA571" s="229"/>
      <c r="DB571" s="229"/>
      <c r="DC571" s="229"/>
      <c r="DD571" s="229"/>
      <c r="DE571" s="229"/>
      <c r="DF571" s="229"/>
      <c r="DG571" s="229"/>
      <c r="DH571" s="229"/>
      <c r="DI571" s="229"/>
      <c r="DJ571" s="229"/>
      <c r="DK571" s="229"/>
      <c r="DL571" s="229"/>
      <c r="DM571" s="229"/>
      <c r="DN571" s="229"/>
      <c r="DO571" s="229"/>
      <c r="DP571" s="229"/>
      <c r="DQ571" s="229"/>
      <c r="DR571" s="229"/>
      <c r="DS571" s="229"/>
      <c r="DT571" s="229"/>
      <c r="DU571" s="229"/>
      <c r="DV571" s="229"/>
      <c r="DW571" s="229"/>
      <c r="DX571" s="229"/>
      <c r="DY571" s="229"/>
      <c r="DZ571" s="229"/>
      <c r="EA571" s="229"/>
      <c r="EB571" s="229"/>
      <c r="EC571" s="229"/>
      <c r="ED571" s="229"/>
      <c r="EE571" s="229"/>
      <c r="EF571" s="229"/>
      <c r="EG571" s="229"/>
      <c r="EH571" s="229"/>
      <c r="EI571" s="229"/>
      <c r="EJ571" s="229"/>
      <c r="EK571" s="229"/>
      <c r="EL571" s="305"/>
      <c r="EM571" s="234" t="e">
        <f>EN571+EO571+EP571</f>
        <v>#REF!</v>
      </c>
      <c r="EN571" s="234" t="e">
        <f>TEXT(AE568,"#,###.0")</f>
        <v>#REF!</v>
      </c>
      <c r="EO571" s="234" t="e">
        <f>TEXT(AE569,"#,###.0")</f>
        <v>#REF!</v>
      </c>
      <c r="EP571" s="234" t="e">
        <f>TEXT(AE570,"#,###.0")</f>
        <v>#REF!</v>
      </c>
      <c r="EQ571" s="233"/>
    </row>
    <row r="572" spans="2:147" ht="11.45" hidden="1" customHeight="1">
      <c r="B572" s="228"/>
      <c r="C572" s="229"/>
      <c r="D572" s="229"/>
      <c r="E572" s="229"/>
      <c r="F572" s="229"/>
      <c r="G572" s="229"/>
      <c r="H572" s="229"/>
      <c r="I572" s="229"/>
      <c r="J572" s="229"/>
      <c r="K572" s="229"/>
      <c r="L572" s="296"/>
      <c r="M572" s="296"/>
      <c r="N572" s="296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  <c r="AH572" s="229"/>
      <c r="AI572" s="229"/>
      <c r="AJ572" s="229"/>
      <c r="AK572" s="229"/>
      <c r="AL572" s="229"/>
      <c r="AM572" s="229"/>
      <c r="AN572" s="229"/>
      <c r="AO572" s="229"/>
      <c r="AP572" s="229"/>
      <c r="AQ572" s="229"/>
      <c r="AR572" s="229"/>
      <c r="AS572" s="229"/>
      <c r="AT572" s="229"/>
      <c r="AU572" s="229"/>
      <c r="AV572" s="229"/>
      <c r="AW572" s="229"/>
      <c r="AX572" s="229"/>
      <c r="AY572" s="229"/>
      <c r="AZ572" s="229"/>
      <c r="BA572" s="229"/>
      <c r="BB572" s="229"/>
      <c r="BC572" s="229"/>
      <c r="BD572" s="229"/>
      <c r="BE572" s="229"/>
      <c r="BF572" s="229"/>
      <c r="BG572" s="229"/>
      <c r="BH572" s="229"/>
      <c r="BI572" s="229"/>
      <c r="BJ572" s="229"/>
      <c r="BK572" s="229"/>
      <c r="BL572" s="229"/>
      <c r="BM572" s="229"/>
      <c r="BN572" s="229"/>
      <c r="BO572" s="229"/>
      <c r="BP572" s="229"/>
      <c r="BQ572" s="229"/>
      <c r="BR572" s="229"/>
      <c r="BS572" s="296"/>
      <c r="BT572" s="229"/>
      <c r="BU572" s="229"/>
      <c r="BV572" s="229"/>
      <c r="BW572" s="229"/>
      <c r="BX572" s="229"/>
      <c r="BY572" s="229"/>
      <c r="BZ572" s="229"/>
      <c r="CA572" s="229"/>
      <c r="CB572" s="229"/>
      <c r="CC572" s="229"/>
      <c r="CD572" s="229"/>
      <c r="CE572" s="229"/>
      <c r="CF572" s="229"/>
      <c r="CG572" s="229"/>
      <c r="CH572" s="229"/>
      <c r="CI572" s="229"/>
      <c r="CJ572" s="229"/>
      <c r="CK572" s="229"/>
      <c r="CL572" s="229"/>
      <c r="CM572" s="229"/>
      <c r="CN572" s="229"/>
      <c r="CO572" s="229"/>
      <c r="CP572" s="229"/>
      <c r="CQ572" s="229"/>
      <c r="CR572" s="229"/>
      <c r="CS572" s="229"/>
      <c r="CT572" s="229"/>
      <c r="CU572" s="229"/>
      <c r="CV572" s="229"/>
      <c r="CW572" s="229"/>
      <c r="CX572" s="229"/>
      <c r="CY572" s="229"/>
      <c r="CZ572" s="229"/>
      <c r="DA572" s="229"/>
      <c r="DB572" s="229"/>
      <c r="DC572" s="229"/>
      <c r="DD572" s="229"/>
      <c r="DE572" s="229"/>
      <c r="DF572" s="229"/>
      <c r="DG572" s="229"/>
      <c r="DH572" s="229"/>
      <c r="DI572" s="229"/>
      <c r="DJ572" s="229"/>
      <c r="DK572" s="229"/>
      <c r="DL572" s="229"/>
      <c r="DM572" s="229"/>
      <c r="DN572" s="229"/>
      <c r="DO572" s="229"/>
      <c r="DP572" s="229"/>
      <c r="DQ572" s="229"/>
      <c r="DR572" s="229"/>
      <c r="DS572" s="229"/>
      <c r="DT572" s="229"/>
      <c r="DU572" s="229"/>
      <c r="DV572" s="229"/>
      <c r="DW572" s="229"/>
      <c r="DX572" s="229"/>
      <c r="DY572" s="229"/>
      <c r="DZ572" s="229"/>
      <c r="EA572" s="229"/>
      <c r="EB572" s="229"/>
      <c r="EC572" s="229"/>
      <c r="ED572" s="229"/>
      <c r="EE572" s="229"/>
      <c r="EF572" s="229"/>
      <c r="EG572" s="229"/>
      <c r="EH572" s="229"/>
      <c r="EI572" s="229"/>
      <c r="EJ572" s="229"/>
      <c r="EK572" s="229"/>
      <c r="EL572" s="305"/>
      <c r="EM572" s="234"/>
      <c r="EN572" s="234"/>
      <c r="EO572" s="234"/>
      <c r="EP572" s="234"/>
      <c r="EQ572" s="233"/>
    </row>
    <row r="573" spans="2:147" ht="11.45" hidden="1" customHeight="1">
      <c r="B573" s="228"/>
      <c r="C573" s="229"/>
      <c r="D573" s="229"/>
      <c r="E573" s="229" t="s">
        <v>689</v>
      </c>
      <c r="F573" s="229"/>
      <c r="G573" s="229" t="s">
        <v>686</v>
      </c>
      <c r="H573" s="229"/>
      <c r="I573" s="229" t="s">
        <v>744</v>
      </c>
      <c r="J573" s="229"/>
      <c r="K573" s="229"/>
      <c r="L573" s="296"/>
      <c r="M573" s="296"/>
      <c r="N573" s="296"/>
      <c r="O573" s="229"/>
      <c r="P573" s="229"/>
      <c r="Q573" s="229"/>
      <c r="R573" s="229"/>
      <c r="S573" s="229" t="s">
        <v>732</v>
      </c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  <c r="AH573" s="229"/>
      <c r="AI573" s="229"/>
      <c r="AJ573" s="229"/>
      <c r="AK573" s="229"/>
      <c r="AL573" s="229"/>
      <c r="AM573" s="229"/>
      <c r="AN573" s="229"/>
      <c r="AO573" s="229"/>
      <c r="AP573" s="229"/>
      <c r="AQ573" s="229"/>
      <c r="AR573" s="229"/>
      <c r="AS573" s="229"/>
      <c r="AT573" s="229"/>
      <c r="AU573" s="229"/>
      <c r="AV573" s="229"/>
      <c r="AW573" s="229"/>
      <c r="AX573" s="229"/>
      <c r="AY573" s="229"/>
      <c r="AZ573" s="229"/>
      <c r="BA573" s="229"/>
      <c r="BB573" s="229"/>
      <c r="BC573" s="229"/>
      <c r="BD573" s="229"/>
      <c r="BE573" s="229"/>
      <c r="BF573" s="229"/>
      <c r="BG573" s="229"/>
      <c r="BH573" s="229"/>
      <c r="BI573" s="229"/>
      <c r="BJ573" s="229"/>
      <c r="BK573" s="229"/>
      <c r="BL573" s="229"/>
      <c r="BM573" s="229"/>
      <c r="BN573" s="229"/>
      <c r="BO573" s="229"/>
      <c r="BP573" s="229"/>
      <c r="BQ573" s="229"/>
      <c r="BR573" s="229"/>
      <c r="BS573" s="296"/>
      <c r="BT573" s="229"/>
      <c r="BU573" s="229"/>
      <c r="BV573" s="229"/>
      <c r="BW573" s="229"/>
      <c r="BX573" s="229"/>
      <c r="BY573" s="229"/>
      <c r="BZ573" s="229"/>
      <c r="CA573" s="229"/>
      <c r="CB573" s="229"/>
      <c r="CC573" s="229"/>
      <c r="CD573" s="229"/>
      <c r="CE573" s="229"/>
      <c r="CF573" s="229"/>
      <c r="CG573" s="229"/>
      <c r="CH573" s="229"/>
      <c r="CI573" s="229"/>
      <c r="CJ573" s="229"/>
      <c r="CK573" s="229"/>
      <c r="CL573" s="229"/>
      <c r="CM573" s="229"/>
      <c r="CN573" s="229"/>
      <c r="CO573" s="229"/>
      <c r="CP573" s="229"/>
      <c r="CQ573" s="229"/>
      <c r="CR573" s="229"/>
      <c r="CS573" s="229"/>
      <c r="CT573" s="229"/>
      <c r="CU573" s="229"/>
      <c r="CV573" s="229"/>
      <c r="CW573" s="229"/>
      <c r="CX573" s="229"/>
      <c r="CY573" s="229"/>
      <c r="CZ573" s="229"/>
      <c r="DA573" s="229"/>
      <c r="DB573" s="229"/>
      <c r="DC573" s="229"/>
      <c r="DD573" s="229"/>
      <c r="DE573" s="229"/>
      <c r="DF573" s="229"/>
      <c r="DG573" s="229"/>
      <c r="DH573" s="229"/>
      <c r="DI573" s="229"/>
      <c r="DJ573" s="229"/>
      <c r="DK573" s="229"/>
      <c r="DL573" s="229"/>
      <c r="DM573" s="229"/>
      <c r="DN573" s="229"/>
      <c r="DO573" s="229"/>
      <c r="DP573" s="229"/>
      <c r="DQ573" s="229"/>
      <c r="DR573" s="229"/>
      <c r="DS573" s="229"/>
      <c r="DT573" s="229"/>
      <c r="DU573" s="229"/>
      <c r="DV573" s="229"/>
      <c r="DW573" s="229"/>
      <c r="DX573" s="229"/>
      <c r="DY573" s="229"/>
      <c r="DZ573" s="229"/>
      <c r="EA573" s="229"/>
      <c r="EB573" s="229"/>
      <c r="EC573" s="229"/>
      <c r="ED573" s="229"/>
      <c r="EE573" s="229"/>
      <c r="EF573" s="229"/>
      <c r="EG573" s="229"/>
      <c r="EH573" s="229"/>
      <c r="EI573" s="229"/>
      <c r="EJ573" s="229"/>
      <c r="EK573" s="229"/>
      <c r="EL573" s="305"/>
      <c r="EM573" s="234"/>
      <c r="EN573" s="234"/>
      <c r="EO573" s="234"/>
      <c r="EP573" s="234"/>
      <c r="EQ573" s="233"/>
    </row>
    <row r="574" spans="2:147" ht="11.45" hidden="1" customHeight="1">
      <c r="B574" s="228"/>
      <c r="C574" s="229"/>
      <c r="D574" s="229"/>
      <c r="E574" s="229"/>
      <c r="F574" s="229"/>
      <c r="G574" s="229" t="s">
        <v>616</v>
      </c>
      <c r="H574" s="229"/>
      <c r="I574" s="229"/>
      <c r="J574" s="229"/>
      <c r="K574" s="229"/>
      <c r="L574" s="296"/>
      <c r="M574" s="296"/>
      <c r="N574" s="296" t="s">
        <v>132</v>
      </c>
      <c r="O574" s="229"/>
      <c r="P574" s="1775" t="e">
        <f>#REF!</f>
        <v>#REF!</v>
      </c>
      <c r="Q574" s="1775"/>
      <c r="R574" s="1775"/>
      <c r="S574" s="1775"/>
      <c r="T574" s="1775"/>
      <c r="U574" s="229" t="s">
        <v>683</v>
      </c>
      <c r="V574" s="229"/>
      <c r="W574" s="229"/>
      <c r="X574" s="229" t="str">
        <f>TEXT(AZ550,"#,##0.#######")</f>
        <v>37.5</v>
      </c>
      <c r="Y574" s="229"/>
      <c r="AA574" s="229"/>
      <c r="AB574" s="229" t="s">
        <v>134</v>
      </c>
      <c r="AC574" s="229"/>
      <c r="AD574" s="229" t="e">
        <f>TEXT(TRUNC(P574/AZ550,1),"#,##0.#")</f>
        <v>#REF!</v>
      </c>
      <c r="AE574" s="229"/>
      <c r="AF574" s="229"/>
      <c r="AG574" s="229"/>
      <c r="AH574" s="229"/>
      <c r="AI574" s="229"/>
      <c r="AJ574" s="229"/>
      <c r="AK574" s="229"/>
      <c r="AL574" s="229"/>
      <c r="AM574" s="229"/>
      <c r="AN574" s="229"/>
      <c r="AO574" s="229"/>
      <c r="AP574" s="229"/>
      <c r="AQ574" s="229"/>
      <c r="AR574" s="229"/>
      <c r="AS574" s="229"/>
      <c r="AT574" s="229"/>
      <c r="AU574" s="229"/>
      <c r="AV574" s="229"/>
      <c r="AW574" s="229"/>
      <c r="AX574" s="229"/>
      <c r="AY574" s="229"/>
      <c r="AZ574" s="229"/>
      <c r="BA574" s="229"/>
      <c r="BB574" s="229"/>
      <c r="BC574" s="229"/>
      <c r="BD574" s="229"/>
      <c r="BE574" s="229"/>
      <c r="BF574" s="229"/>
      <c r="BG574" s="229"/>
      <c r="BH574" s="229"/>
      <c r="BI574" s="229"/>
      <c r="BJ574" s="229"/>
      <c r="BK574" s="229"/>
      <c r="BL574" s="229"/>
      <c r="BM574" s="229"/>
      <c r="BN574" s="229"/>
      <c r="BO574" s="229"/>
      <c r="BP574" s="229"/>
      <c r="BQ574" s="229"/>
      <c r="BR574" s="229"/>
      <c r="BS574" s="296"/>
      <c r="BT574" s="229"/>
      <c r="BU574" s="229"/>
      <c r="BV574" s="229"/>
      <c r="BW574" s="229"/>
      <c r="BX574" s="229"/>
      <c r="BY574" s="229"/>
      <c r="BZ574" s="229"/>
      <c r="CA574" s="229"/>
      <c r="CB574" s="229"/>
      <c r="CC574" s="229"/>
      <c r="CD574" s="229"/>
      <c r="CE574" s="229"/>
      <c r="CF574" s="229"/>
      <c r="CG574" s="229"/>
      <c r="CH574" s="229"/>
      <c r="CI574" s="229"/>
      <c r="CJ574" s="229"/>
      <c r="CK574" s="229"/>
      <c r="CL574" s="229"/>
      <c r="CM574" s="229"/>
      <c r="CN574" s="229"/>
      <c r="CO574" s="229"/>
      <c r="CP574" s="229"/>
      <c r="CQ574" s="229"/>
      <c r="CR574" s="229"/>
      <c r="CS574" s="229"/>
      <c r="CT574" s="229"/>
      <c r="CU574" s="229"/>
      <c r="CV574" s="229"/>
      <c r="CW574" s="229"/>
      <c r="CX574" s="229"/>
      <c r="CY574" s="229"/>
      <c r="CZ574" s="229"/>
      <c r="DA574" s="229"/>
      <c r="DB574" s="229"/>
      <c r="DC574" s="229"/>
      <c r="DD574" s="229"/>
      <c r="DE574" s="229"/>
      <c r="DF574" s="229"/>
      <c r="DG574" s="229"/>
      <c r="DH574" s="229"/>
      <c r="DI574" s="229"/>
      <c r="DJ574" s="229"/>
      <c r="DK574" s="229"/>
      <c r="DL574" s="229"/>
      <c r="DM574" s="229"/>
      <c r="DN574" s="229"/>
      <c r="DO574" s="229"/>
      <c r="DP574" s="229"/>
      <c r="DQ574" s="229"/>
      <c r="DR574" s="229"/>
      <c r="DS574" s="229"/>
      <c r="DT574" s="229"/>
      <c r="DU574" s="229"/>
      <c r="DV574" s="229"/>
      <c r="DW574" s="229"/>
      <c r="DX574" s="229"/>
      <c r="DY574" s="229"/>
      <c r="DZ574" s="229"/>
      <c r="EA574" s="229"/>
      <c r="EB574" s="229"/>
      <c r="EC574" s="229"/>
      <c r="ED574" s="229"/>
      <c r="EE574" s="229"/>
      <c r="EF574" s="229"/>
      <c r="EG574" s="229"/>
      <c r="EH574" s="229"/>
      <c r="EI574" s="229"/>
      <c r="EJ574" s="229"/>
      <c r="EK574" s="229"/>
      <c r="EL574" s="305"/>
      <c r="EM574" s="234"/>
      <c r="EN574" s="234"/>
      <c r="EO574" s="234"/>
      <c r="EP574" s="234"/>
      <c r="EQ574" s="233"/>
    </row>
    <row r="575" spans="2:147" ht="11.45" hidden="1" customHeight="1">
      <c r="B575" s="228"/>
      <c r="C575" s="229"/>
      <c r="D575" s="229"/>
      <c r="E575" s="229"/>
      <c r="F575" s="229"/>
      <c r="G575" s="229" t="s">
        <v>617</v>
      </c>
      <c r="H575" s="229"/>
      <c r="I575" s="229"/>
      <c r="J575" s="229"/>
      <c r="K575" s="229"/>
      <c r="L575" s="296"/>
      <c r="M575" s="296"/>
      <c r="N575" s="296" t="s">
        <v>132</v>
      </c>
      <c r="O575" s="229"/>
      <c r="P575" s="1775" t="e">
        <f>#REF!</f>
        <v>#REF!</v>
      </c>
      <c r="Q575" s="1775"/>
      <c r="R575" s="1775"/>
      <c r="S575" s="1775"/>
      <c r="T575" s="1775"/>
      <c r="U575" s="229" t="s">
        <v>683</v>
      </c>
      <c r="V575" s="229"/>
      <c r="W575" s="229"/>
      <c r="X575" s="229" t="str">
        <f>TEXT(AZ550,"#,##0.#######")</f>
        <v>37.5</v>
      </c>
      <c r="Y575" s="229"/>
      <c r="AA575" s="229"/>
      <c r="AB575" s="229" t="s">
        <v>134</v>
      </c>
      <c r="AC575" s="229"/>
      <c r="AD575" s="229" t="e">
        <f>TEXT(TRUNC(P575/AZ550,1),"#,##0.#")</f>
        <v>#REF!</v>
      </c>
      <c r="AE575" s="229"/>
      <c r="AF575" s="229"/>
      <c r="AG575" s="229"/>
      <c r="AH575" s="229"/>
      <c r="AI575" s="229"/>
      <c r="AJ575" s="229"/>
      <c r="AK575" s="229"/>
      <c r="AL575" s="229"/>
      <c r="AM575" s="229"/>
      <c r="AN575" s="229"/>
      <c r="AO575" s="229"/>
      <c r="AP575" s="229"/>
      <c r="AQ575" s="229"/>
      <c r="AR575" s="229"/>
      <c r="AS575" s="229"/>
      <c r="AT575" s="229"/>
      <c r="AU575" s="229"/>
      <c r="AV575" s="229"/>
      <c r="AW575" s="229"/>
      <c r="AX575" s="229"/>
      <c r="AY575" s="229"/>
      <c r="AZ575" s="229"/>
      <c r="BA575" s="229"/>
      <c r="BB575" s="229"/>
      <c r="BC575" s="229"/>
      <c r="BD575" s="229"/>
      <c r="BE575" s="229"/>
      <c r="BF575" s="229"/>
      <c r="BG575" s="229"/>
      <c r="BH575" s="229"/>
      <c r="BI575" s="229"/>
      <c r="BJ575" s="229"/>
      <c r="BK575" s="229"/>
      <c r="BL575" s="229"/>
      <c r="BM575" s="229"/>
      <c r="BN575" s="229"/>
      <c r="BO575" s="229"/>
      <c r="BP575" s="229"/>
      <c r="BQ575" s="229"/>
      <c r="BR575" s="229"/>
      <c r="BS575" s="296"/>
      <c r="BT575" s="229"/>
      <c r="BU575" s="229"/>
      <c r="BV575" s="229"/>
      <c r="BW575" s="229"/>
      <c r="BX575" s="229"/>
      <c r="BY575" s="229"/>
      <c r="BZ575" s="229"/>
      <c r="CA575" s="229"/>
      <c r="CB575" s="229"/>
      <c r="CC575" s="229"/>
      <c r="CD575" s="229"/>
      <c r="CE575" s="229"/>
      <c r="CF575" s="229"/>
      <c r="CG575" s="229"/>
      <c r="CH575" s="229"/>
      <c r="CI575" s="229"/>
      <c r="CJ575" s="229"/>
      <c r="CK575" s="229"/>
      <c r="CL575" s="229"/>
      <c r="CM575" s="229"/>
      <c r="CN575" s="229"/>
      <c r="CO575" s="229"/>
      <c r="CP575" s="229"/>
      <c r="CQ575" s="229"/>
      <c r="CR575" s="229"/>
      <c r="CS575" s="229"/>
      <c r="CT575" s="229"/>
      <c r="CU575" s="229"/>
      <c r="CV575" s="229"/>
      <c r="CW575" s="229"/>
      <c r="CX575" s="229"/>
      <c r="CY575" s="229"/>
      <c r="CZ575" s="229"/>
      <c r="DA575" s="229"/>
      <c r="DB575" s="229"/>
      <c r="DC575" s="229"/>
      <c r="DD575" s="229"/>
      <c r="DE575" s="229"/>
      <c r="DF575" s="229"/>
      <c r="DG575" s="229"/>
      <c r="DH575" s="229"/>
      <c r="DI575" s="229"/>
      <c r="DJ575" s="229"/>
      <c r="DK575" s="229"/>
      <c r="DL575" s="229"/>
      <c r="DM575" s="229"/>
      <c r="DN575" s="229"/>
      <c r="DO575" s="229"/>
      <c r="DP575" s="229"/>
      <c r="DQ575" s="229"/>
      <c r="DR575" s="229"/>
      <c r="DS575" s="229"/>
      <c r="DT575" s="229"/>
      <c r="DU575" s="229"/>
      <c r="DV575" s="229"/>
      <c r="DW575" s="229"/>
      <c r="DX575" s="229"/>
      <c r="DY575" s="229"/>
      <c r="DZ575" s="229"/>
      <c r="EA575" s="229"/>
      <c r="EB575" s="229"/>
      <c r="EC575" s="229"/>
      <c r="ED575" s="229"/>
      <c r="EE575" s="229"/>
      <c r="EF575" s="229"/>
      <c r="EG575" s="229"/>
      <c r="EH575" s="229"/>
      <c r="EI575" s="229"/>
      <c r="EJ575" s="229"/>
      <c r="EK575" s="229"/>
      <c r="EL575" s="305"/>
      <c r="EM575" s="234"/>
      <c r="EN575" s="234"/>
      <c r="EO575" s="234"/>
      <c r="EP575" s="234"/>
      <c r="EQ575" s="233"/>
    </row>
    <row r="576" spans="2:147" ht="11.45" hidden="1" customHeight="1">
      <c r="B576" s="228"/>
      <c r="C576" s="229"/>
      <c r="D576" s="229"/>
      <c r="E576" s="229"/>
      <c r="F576" s="229"/>
      <c r="G576" s="229" t="s">
        <v>679</v>
      </c>
      <c r="H576" s="229"/>
      <c r="I576" s="229" t="s">
        <v>680</v>
      </c>
      <c r="J576" s="229"/>
      <c r="K576" s="229"/>
      <c r="L576" s="296"/>
      <c r="M576" s="296"/>
      <c r="N576" s="296" t="s">
        <v>132</v>
      </c>
      <c r="O576" s="229"/>
      <c r="P576" s="1775" t="e">
        <f>#REF!</f>
        <v>#REF!</v>
      </c>
      <c r="Q576" s="1775"/>
      <c r="R576" s="1775"/>
      <c r="S576" s="1775"/>
      <c r="T576" s="1775"/>
      <c r="U576" s="229" t="s">
        <v>683</v>
      </c>
      <c r="V576" s="229"/>
      <c r="W576" s="229"/>
      <c r="X576" s="229" t="str">
        <f>TEXT(AZ550,"#,##0.#######")</f>
        <v>37.5</v>
      </c>
      <c r="Y576" s="229"/>
      <c r="AA576" s="229"/>
      <c r="AB576" s="229" t="s">
        <v>134</v>
      </c>
      <c r="AC576" s="229"/>
      <c r="AD576" s="229" t="e">
        <f>TEXT(TRUNC(P576/AZ550,1),"#,##0.#")</f>
        <v>#REF!</v>
      </c>
      <c r="AE576" s="229"/>
      <c r="AF576" s="229"/>
      <c r="AG576" s="229"/>
      <c r="AH576" s="229"/>
      <c r="AI576" s="229"/>
      <c r="AJ576" s="229"/>
      <c r="AK576" s="229"/>
      <c r="AL576" s="229"/>
      <c r="AM576" s="229"/>
      <c r="AN576" s="229"/>
      <c r="AO576" s="229"/>
      <c r="AP576" s="229"/>
      <c r="AQ576" s="229"/>
      <c r="AR576" s="229"/>
      <c r="AS576" s="229"/>
      <c r="AT576" s="229"/>
      <c r="AU576" s="229"/>
      <c r="AV576" s="229"/>
      <c r="AW576" s="229"/>
      <c r="AX576" s="229"/>
      <c r="AY576" s="229"/>
      <c r="AZ576" s="229"/>
      <c r="BA576" s="229"/>
      <c r="BB576" s="229"/>
      <c r="BC576" s="229"/>
      <c r="BD576" s="229"/>
      <c r="BE576" s="229"/>
      <c r="BF576" s="229"/>
      <c r="BG576" s="229"/>
      <c r="BH576" s="229"/>
      <c r="BI576" s="229"/>
      <c r="BJ576" s="229"/>
      <c r="BK576" s="229"/>
      <c r="BL576" s="229"/>
      <c r="BM576" s="229"/>
      <c r="BN576" s="229"/>
      <c r="BO576" s="229"/>
      <c r="BP576" s="229"/>
      <c r="BQ576" s="229"/>
      <c r="BR576" s="229"/>
      <c r="BS576" s="296"/>
      <c r="BT576" s="229"/>
      <c r="BU576" s="229"/>
      <c r="BV576" s="229"/>
      <c r="BW576" s="229"/>
      <c r="BX576" s="229"/>
      <c r="BY576" s="229"/>
      <c r="BZ576" s="229"/>
      <c r="CA576" s="229"/>
      <c r="CB576" s="229"/>
      <c r="CC576" s="229"/>
      <c r="CD576" s="229"/>
      <c r="CE576" s="229"/>
      <c r="CF576" s="229"/>
      <c r="CG576" s="229"/>
      <c r="CH576" s="229"/>
      <c r="CI576" s="229"/>
      <c r="CJ576" s="229"/>
      <c r="CK576" s="229"/>
      <c r="CL576" s="229"/>
      <c r="CM576" s="229"/>
      <c r="CN576" s="229"/>
      <c r="CO576" s="229"/>
      <c r="CP576" s="229"/>
      <c r="CQ576" s="229"/>
      <c r="CR576" s="229"/>
      <c r="CS576" s="229"/>
      <c r="CT576" s="229"/>
      <c r="CU576" s="229"/>
      <c r="CV576" s="229"/>
      <c r="CW576" s="229"/>
      <c r="CX576" s="229"/>
      <c r="CY576" s="229"/>
      <c r="CZ576" s="229"/>
      <c r="DA576" s="229"/>
      <c r="DB576" s="229"/>
      <c r="DC576" s="229"/>
      <c r="DD576" s="229"/>
      <c r="DE576" s="229"/>
      <c r="DF576" s="229"/>
      <c r="DG576" s="229"/>
      <c r="DH576" s="229"/>
      <c r="DI576" s="229"/>
      <c r="DJ576" s="229"/>
      <c r="DK576" s="229"/>
      <c r="DL576" s="229"/>
      <c r="DM576" s="229"/>
      <c r="DN576" s="229"/>
      <c r="DO576" s="229"/>
      <c r="DP576" s="229"/>
      <c r="DQ576" s="229"/>
      <c r="DR576" s="229"/>
      <c r="DS576" s="229"/>
      <c r="DT576" s="229"/>
      <c r="DU576" s="229"/>
      <c r="DV576" s="229"/>
      <c r="DW576" s="229"/>
      <c r="DX576" s="229"/>
      <c r="DY576" s="229"/>
      <c r="DZ576" s="229"/>
      <c r="EA576" s="229"/>
      <c r="EB576" s="229"/>
      <c r="EC576" s="229"/>
      <c r="ED576" s="229"/>
      <c r="EE576" s="229"/>
      <c r="EF576" s="229"/>
      <c r="EG576" s="229"/>
      <c r="EH576" s="229"/>
      <c r="EI576" s="229"/>
      <c r="EJ576" s="229"/>
      <c r="EK576" s="229"/>
      <c r="EL576" s="305"/>
      <c r="EM576" s="234"/>
      <c r="EN576" s="234"/>
      <c r="EO576" s="234"/>
      <c r="EP576" s="234"/>
      <c r="EQ576" s="233"/>
    </row>
    <row r="577" spans="2:147" ht="11.45" hidden="1" customHeight="1">
      <c r="B577" s="228"/>
      <c r="C577" s="229"/>
      <c r="D577" s="229"/>
      <c r="E577" s="229"/>
      <c r="F577" s="229"/>
      <c r="G577" s="229" t="s">
        <v>688</v>
      </c>
      <c r="H577" s="229"/>
      <c r="I577" s="229" t="s">
        <v>96</v>
      </c>
      <c r="J577" s="229"/>
      <c r="K577" s="229"/>
      <c r="L577" s="296"/>
      <c r="M577" s="296"/>
      <c r="N577" s="296" t="s">
        <v>132</v>
      </c>
      <c r="O577" s="229"/>
      <c r="P577" s="229" t="e">
        <f>TEXT(AD574+AD575+AD576,"#,##0.#######")</f>
        <v>#REF!</v>
      </c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  <c r="AH577" s="229"/>
      <c r="AI577" s="229"/>
      <c r="AJ577" s="229"/>
      <c r="AK577" s="229"/>
      <c r="AL577" s="229"/>
      <c r="AM577" s="229"/>
      <c r="AN577" s="229"/>
      <c r="AO577" s="229"/>
      <c r="AP577" s="229"/>
      <c r="AQ577" s="229"/>
      <c r="AR577" s="229"/>
      <c r="AS577" s="229"/>
      <c r="AT577" s="229"/>
      <c r="AU577" s="229"/>
      <c r="AV577" s="229"/>
      <c r="AW577" s="229"/>
      <c r="AX577" s="229"/>
      <c r="AY577" s="229"/>
      <c r="AZ577" s="229"/>
      <c r="BA577" s="229"/>
      <c r="BB577" s="229"/>
      <c r="BC577" s="229"/>
      <c r="BD577" s="229"/>
      <c r="BE577" s="229"/>
      <c r="BF577" s="229"/>
      <c r="BG577" s="229"/>
      <c r="BH577" s="229"/>
      <c r="BI577" s="229"/>
      <c r="BJ577" s="229"/>
      <c r="BK577" s="229"/>
      <c r="BL577" s="229"/>
      <c r="BM577" s="229"/>
      <c r="BN577" s="229"/>
      <c r="BO577" s="229"/>
      <c r="BP577" s="229"/>
      <c r="BQ577" s="229"/>
      <c r="BR577" s="229"/>
      <c r="BS577" s="296"/>
      <c r="BT577" s="229"/>
      <c r="BU577" s="229"/>
      <c r="BV577" s="229"/>
      <c r="BW577" s="229"/>
      <c r="BX577" s="229"/>
      <c r="BY577" s="229"/>
      <c r="BZ577" s="229"/>
      <c r="CA577" s="229"/>
      <c r="CB577" s="229"/>
      <c r="CC577" s="229"/>
      <c r="CD577" s="229"/>
      <c r="CE577" s="229"/>
      <c r="CF577" s="229"/>
      <c r="CG577" s="229"/>
      <c r="CH577" s="229"/>
      <c r="CI577" s="229"/>
      <c r="CJ577" s="229"/>
      <c r="CK577" s="229"/>
      <c r="CL577" s="229"/>
      <c r="CM577" s="229"/>
      <c r="CN577" s="229"/>
      <c r="CO577" s="229"/>
      <c r="CP577" s="229"/>
      <c r="CQ577" s="229"/>
      <c r="CR577" s="229"/>
      <c r="CS577" s="229"/>
      <c r="CT577" s="229"/>
      <c r="CU577" s="229"/>
      <c r="CV577" s="229"/>
      <c r="CW577" s="229"/>
      <c r="CX577" s="229"/>
      <c r="CY577" s="229"/>
      <c r="CZ577" s="229"/>
      <c r="DA577" s="229"/>
      <c r="DB577" s="229"/>
      <c r="DC577" s="229"/>
      <c r="DD577" s="229"/>
      <c r="DE577" s="229"/>
      <c r="DF577" s="229"/>
      <c r="DG577" s="229"/>
      <c r="DH577" s="229"/>
      <c r="DI577" s="229"/>
      <c r="DJ577" s="229"/>
      <c r="DK577" s="229"/>
      <c r="DL577" s="229"/>
      <c r="DM577" s="229"/>
      <c r="DN577" s="229"/>
      <c r="DO577" s="229"/>
      <c r="DP577" s="229"/>
      <c r="DQ577" s="229"/>
      <c r="DR577" s="229"/>
      <c r="DS577" s="229"/>
      <c r="DT577" s="229"/>
      <c r="DU577" s="229"/>
      <c r="DV577" s="229"/>
      <c r="DW577" s="229"/>
      <c r="DX577" s="229"/>
      <c r="DY577" s="229"/>
      <c r="DZ577" s="229"/>
      <c r="EA577" s="229"/>
      <c r="EB577" s="229"/>
      <c r="EC577" s="229"/>
      <c r="ED577" s="229"/>
      <c r="EE577" s="229"/>
      <c r="EF577" s="229"/>
      <c r="EG577" s="229"/>
      <c r="EH577" s="229"/>
      <c r="EI577" s="229"/>
      <c r="EJ577" s="229"/>
      <c r="EK577" s="229"/>
      <c r="EL577" s="305"/>
      <c r="EM577" s="234" t="e">
        <f>EN577+EO577+EP577</f>
        <v>#REF!</v>
      </c>
      <c r="EN577" s="234" t="e">
        <f>TEXT(AD574,"#,###.0")</f>
        <v>#REF!</v>
      </c>
      <c r="EO577" s="234" t="e">
        <f>TEXT(AD575,"#,###.0")</f>
        <v>#REF!</v>
      </c>
      <c r="EP577" s="234" t="e">
        <f>TEXT(AD576,"#,###.0")</f>
        <v>#REF!</v>
      </c>
      <c r="EQ577" s="233"/>
    </row>
    <row r="578" spans="2:147" ht="11.45" hidden="1" customHeight="1">
      <c r="B578" s="228"/>
      <c r="C578" s="229"/>
      <c r="D578" s="229"/>
      <c r="E578" s="229"/>
      <c r="F578" s="229"/>
      <c r="G578" s="229"/>
      <c r="H578" s="229"/>
      <c r="I578" s="229"/>
      <c r="J578" s="229"/>
      <c r="K578" s="229"/>
      <c r="L578" s="296"/>
      <c r="M578" s="296"/>
      <c r="N578" s="296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  <c r="AH578" s="229"/>
      <c r="AI578" s="229"/>
      <c r="AJ578" s="229"/>
      <c r="AK578" s="229"/>
      <c r="AL578" s="229"/>
      <c r="AM578" s="229"/>
      <c r="AN578" s="229"/>
      <c r="AO578" s="229"/>
      <c r="AP578" s="229"/>
      <c r="AQ578" s="229"/>
      <c r="AR578" s="229"/>
      <c r="AS578" s="229"/>
      <c r="AT578" s="229"/>
      <c r="AU578" s="229"/>
      <c r="AV578" s="229"/>
      <c r="AW578" s="229"/>
      <c r="AX578" s="229"/>
      <c r="AY578" s="229"/>
      <c r="AZ578" s="229"/>
      <c r="BA578" s="229"/>
      <c r="BB578" s="229"/>
      <c r="BC578" s="229"/>
      <c r="BD578" s="229"/>
      <c r="BE578" s="229"/>
      <c r="BF578" s="229"/>
      <c r="BG578" s="229"/>
      <c r="BH578" s="229"/>
      <c r="BI578" s="229"/>
      <c r="BJ578" s="229"/>
      <c r="BK578" s="229"/>
      <c r="BL578" s="229"/>
      <c r="BM578" s="229"/>
      <c r="BN578" s="229"/>
      <c r="BO578" s="229"/>
      <c r="BP578" s="229"/>
      <c r="BQ578" s="229"/>
      <c r="BR578" s="229"/>
      <c r="BS578" s="296"/>
      <c r="BT578" s="229"/>
      <c r="BU578" s="229"/>
      <c r="BV578" s="229"/>
      <c r="BW578" s="229"/>
      <c r="BX578" s="229"/>
      <c r="BY578" s="229"/>
      <c r="BZ578" s="229"/>
      <c r="CA578" s="229"/>
      <c r="CB578" s="229"/>
      <c r="CC578" s="229"/>
      <c r="CD578" s="229"/>
      <c r="CE578" s="229"/>
      <c r="CF578" s="229"/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P578" s="229"/>
      <c r="DQ578" s="229"/>
      <c r="DR578" s="229"/>
      <c r="DS578" s="229"/>
      <c r="DT578" s="229"/>
      <c r="DU578" s="229"/>
      <c r="DV578" s="229"/>
      <c r="DW578" s="229"/>
      <c r="DX578" s="229"/>
      <c r="DY578" s="229"/>
      <c r="DZ578" s="229"/>
      <c r="EA578" s="229"/>
      <c r="EB578" s="229"/>
      <c r="EC578" s="229"/>
      <c r="ED578" s="229"/>
      <c r="EE578" s="229"/>
      <c r="EF578" s="229"/>
      <c r="EG578" s="229"/>
      <c r="EH578" s="229"/>
      <c r="EI578" s="229"/>
      <c r="EJ578" s="229"/>
      <c r="EK578" s="229"/>
      <c r="EL578" s="305"/>
      <c r="EM578" s="234"/>
      <c r="EN578" s="234"/>
      <c r="EO578" s="234"/>
      <c r="EP578" s="234"/>
      <c r="EQ578" s="233"/>
    </row>
    <row r="579" spans="2:147" ht="11.45" hidden="1" customHeight="1">
      <c r="B579" s="228"/>
      <c r="C579" s="229"/>
      <c r="D579" s="229"/>
      <c r="E579" s="229" t="s">
        <v>690</v>
      </c>
      <c r="F579" s="229"/>
      <c r="G579" s="229" t="s">
        <v>686</v>
      </c>
      <c r="H579" s="229"/>
      <c r="I579" s="229" t="s">
        <v>688</v>
      </c>
      <c r="J579" s="229"/>
      <c r="K579" s="229"/>
      <c r="L579" s="296"/>
      <c r="M579" s="296" t="s">
        <v>96</v>
      </c>
      <c r="N579" s="296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  <c r="AH579" s="229"/>
      <c r="AI579" s="229"/>
      <c r="AJ579" s="229"/>
      <c r="AK579" s="229"/>
      <c r="AL579" s="229"/>
      <c r="AM579" s="229"/>
      <c r="AN579" s="229"/>
      <c r="AO579" s="229"/>
      <c r="AP579" s="229"/>
      <c r="AQ579" s="229"/>
      <c r="AR579" s="229"/>
      <c r="AS579" s="229"/>
      <c r="AT579" s="229"/>
      <c r="AU579" s="229"/>
      <c r="AV579" s="229"/>
      <c r="AW579" s="229"/>
      <c r="AX579" s="229"/>
      <c r="AY579" s="229"/>
      <c r="AZ579" s="229"/>
      <c r="BA579" s="229"/>
      <c r="BB579" s="229"/>
      <c r="BC579" s="229"/>
      <c r="BD579" s="229"/>
      <c r="BE579" s="229"/>
      <c r="BF579" s="229"/>
      <c r="BG579" s="229"/>
      <c r="BH579" s="229"/>
      <c r="BI579" s="229"/>
      <c r="BJ579" s="229"/>
      <c r="BK579" s="229"/>
      <c r="BL579" s="229"/>
      <c r="BM579" s="229"/>
      <c r="BN579" s="229"/>
      <c r="BO579" s="229"/>
      <c r="BP579" s="229"/>
      <c r="BQ579" s="229"/>
      <c r="BR579" s="229"/>
      <c r="BS579" s="296"/>
      <c r="BT579" s="229"/>
      <c r="BU579" s="229"/>
      <c r="BV579" s="229"/>
      <c r="BW579" s="229"/>
      <c r="BX579" s="229"/>
      <c r="BY579" s="229"/>
      <c r="BZ579" s="229"/>
      <c r="CA579" s="229"/>
      <c r="CB579" s="229"/>
      <c r="CC579" s="229"/>
      <c r="CD579" s="229"/>
      <c r="CE579" s="229"/>
      <c r="CF579" s="229"/>
      <c r="CG579" s="229"/>
      <c r="CH579" s="229"/>
      <c r="CI579" s="229"/>
      <c r="CJ579" s="229"/>
      <c r="CK579" s="229"/>
      <c r="CL579" s="229"/>
      <c r="CM579" s="229"/>
      <c r="CN579" s="229"/>
      <c r="CO579" s="229"/>
      <c r="CP579" s="229"/>
      <c r="CQ579" s="229"/>
      <c r="CR579" s="229"/>
      <c r="CS579" s="229"/>
      <c r="CT579" s="229"/>
      <c r="CU579" s="229"/>
      <c r="CV579" s="229"/>
      <c r="CW579" s="229"/>
      <c r="CX579" s="229"/>
      <c r="CY579" s="229"/>
      <c r="CZ579" s="229"/>
      <c r="DA579" s="229"/>
      <c r="DB579" s="229"/>
      <c r="DC579" s="229"/>
      <c r="DD579" s="229"/>
      <c r="DE579" s="229"/>
      <c r="DF579" s="229"/>
      <c r="DG579" s="229"/>
      <c r="DH579" s="229"/>
      <c r="DI579" s="229"/>
      <c r="DJ579" s="229"/>
      <c r="DK579" s="229"/>
      <c r="DL579" s="229"/>
      <c r="DM579" s="229"/>
      <c r="DN579" s="229"/>
      <c r="DO579" s="229"/>
      <c r="DP579" s="229"/>
      <c r="DQ579" s="229"/>
      <c r="DR579" s="229"/>
      <c r="DS579" s="229"/>
      <c r="DT579" s="229"/>
      <c r="DU579" s="229"/>
      <c r="DV579" s="229"/>
      <c r="DW579" s="229"/>
      <c r="DX579" s="229"/>
      <c r="DY579" s="229"/>
      <c r="DZ579" s="229"/>
      <c r="EA579" s="229"/>
      <c r="EB579" s="229"/>
      <c r="EC579" s="229"/>
      <c r="ED579" s="229"/>
      <c r="EE579" s="229"/>
      <c r="EF579" s="229"/>
      <c r="EG579" s="229"/>
      <c r="EH579" s="229"/>
      <c r="EI579" s="229"/>
      <c r="EJ579" s="229"/>
      <c r="EK579" s="229"/>
      <c r="EL579" s="305"/>
      <c r="EM579" s="234"/>
      <c r="EN579" s="234"/>
      <c r="EO579" s="234"/>
      <c r="EP579" s="234"/>
      <c r="EQ579" s="233"/>
    </row>
    <row r="580" spans="2:147" ht="11.45" hidden="1" customHeight="1">
      <c r="B580" s="228"/>
      <c r="C580" s="229"/>
      <c r="D580" s="229"/>
      <c r="E580" s="229"/>
      <c r="F580" s="229"/>
      <c r="G580" s="229"/>
      <c r="H580" s="229" t="s">
        <v>616</v>
      </c>
      <c r="I580" s="229"/>
      <c r="J580" s="229"/>
      <c r="K580" s="229"/>
      <c r="L580" s="296"/>
      <c r="M580" s="296"/>
      <c r="N580" s="296"/>
      <c r="O580" s="229" t="s">
        <v>132</v>
      </c>
      <c r="P580" s="229"/>
      <c r="Q580" s="229" t="e">
        <f>TEXT(EN571,"#,###.##")</f>
        <v>#REF!</v>
      </c>
      <c r="R580" s="229"/>
      <c r="S580" s="229"/>
      <c r="T580" s="229"/>
      <c r="U580" s="229"/>
      <c r="V580" s="229" t="s">
        <v>130</v>
      </c>
      <c r="W580" s="229"/>
      <c r="X580" s="229" t="e">
        <f>TEXT(EN577,"#,###.##")</f>
        <v>#REF!</v>
      </c>
      <c r="Z580" s="229"/>
      <c r="AA580" s="229"/>
      <c r="AB580" s="229" t="s">
        <v>134</v>
      </c>
      <c r="AC580" s="229"/>
      <c r="AD580" s="229" t="e">
        <f>TEXT(TRUNC(EN571+EN577,1),"#,##0.#")</f>
        <v>#REF!</v>
      </c>
      <c r="AE580" s="229"/>
      <c r="AF580" s="229"/>
      <c r="AG580" s="229"/>
      <c r="AI580" s="229"/>
      <c r="AJ580" s="229"/>
      <c r="AK580" s="229"/>
      <c r="AL580" s="229"/>
      <c r="AM580" s="229"/>
      <c r="AN580" s="229"/>
      <c r="AO580" s="229"/>
      <c r="AP580" s="229"/>
      <c r="AQ580" s="229"/>
      <c r="AR580" s="229"/>
      <c r="AS580" s="229"/>
      <c r="AT580" s="229"/>
      <c r="AU580" s="229"/>
      <c r="AV580" s="229"/>
      <c r="AW580" s="229"/>
      <c r="AX580" s="229"/>
      <c r="AY580" s="229"/>
      <c r="AZ580" s="229"/>
      <c r="BA580" s="229"/>
      <c r="BB580" s="229"/>
      <c r="BC580" s="229"/>
      <c r="BD580" s="229"/>
      <c r="BE580" s="229"/>
      <c r="BF580" s="229"/>
      <c r="BG580" s="229"/>
      <c r="BH580" s="229"/>
      <c r="BI580" s="229"/>
      <c r="BJ580" s="229"/>
      <c r="BK580" s="229"/>
      <c r="BL580" s="229"/>
      <c r="BM580" s="229"/>
      <c r="BN580" s="229"/>
      <c r="BO580" s="229"/>
      <c r="BP580" s="229"/>
      <c r="BQ580" s="229"/>
      <c r="BR580" s="229"/>
      <c r="BS580" s="296"/>
      <c r="BT580" s="229"/>
      <c r="BU580" s="229"/>
      <c r="BV580" s="229"/>
      <c r="BW580" s="229"/>
      <c r="BX580" s="229"/>
      <c r="BY580" s="229"/>
      <c r="BZ580" s="229"/>
      <c r="CA580" s="229"/>
      <c r="CB580" s="229"/>
      <c r="CC580" s="229"/>
      <c r="CD580" s="229"/>
      <c r="CE580" s="229"/>
      <c r="CF580" s="229"/>
      <c r="CG580" s="229"/>
      <c r="CH580" s="229"/>
      <c r="CI580" s="229"/>
      <c r="CJ580" s="229"/>
      <c r="CK580" s="229"/>
      <c r="CL580" s="229"/>
      <c r="CM580" s="229"/>
      <c r="CN580" s="229"/>
      <c r="CO580" s="229"/>
      <c r="CP580" s="229"/>
      <c r="CQ580" s="229"/>
      <c r="CR580" s="229"/>
      <c r="CS580" s="229"/>
      <c r="CT580" s="229"/>
      <c r="CU580" s="229"/>
      <c r="CV580" s="229"/>
      <c r="CW580" s="229"/>
      <c r="CX580" s="229"/>
      <c r="CY580" s="229"/>
      <c r="CZ580" s="229"/>
      <c r="DA580" s="229"/>
      <c r="DB580" s="229"/>
      <c r="DC580" s="229"/>
      <c r="DD580" s="229"/>
      <c r="DE580" s="229"/>
      <c r="DF580" s="229"/>
      <c r="DG580" s="229"/>
      <c r="DH580" s="229"/>
      <c r="DI580" s="229"/>
      <c r="DJ580" s="229"/>
      <c r="DK580" s="229"/>
      <c r="DL580" s="229"/>
      <c r="DM580" s="229"/>
      <c r="DN580" s="229"/>
      <c r="DO580" s="229"/>
      <c r="DP580" s="229"/>
      <c r="DQ580" s="229"/>
      <c r="DR580" s="229"/>
      <c r="DS580" s="229"/>
      <c r="DT580" s="229"/>
      <c r="DU580" s="229"/>
      <c r="DV580" s="229"/>
      <c r="DW580" s="229"/>
      <c r="DX580" s="229"/>
      <c r="DY580" s="229"/>
      <c r="DZ580" s="229"/>
      <c r="EA580" s="229"/>
      <c r="EB580" s="229"/>
      <c r="EC580" s="229"/>
      <c r="ED580" s="229"/>
      <c r="EE580" s="229"/>
      <c r="EF580" s="229"/>
      <c r="EG580" s="229"/>
      <c r="EH580" s="229"/>
      <c r="EI580" s="229"/>
      <c r="EJ580" s="229"/>
      <c r="EK580" s="229"/>
      <c r="EL580" s="305"/>
      <c r="EM580" s="234"/>
      <c r="EN580" s="234"/>
      <c r="EO580" s="234"/>
      <c r="EP580" s="234"/>
      <c r="EQ580" s="233"/>
    </row>
    <row r="581" spans="2:147" ht="11.45" hidden="1" customHeight="1">
      <c r="B581" s="228"/>
      <c r="C581" s="229"/>
      <c r="D581" s="229"/>
      <c r="E581" s="229"/>
      <c r="F581" s="229"/>
      <c r="G581" s="229"/>
      <c r="H581" s="229" t="s">
        <v>617</v>
      </c>
      <c r="I581" s="229"/>
      <c r="J581" s="229"/>
      <c r="K581" s="229"/>
      <c r="L581" s="296"/>
      <c r="M581" s="296"/>
      <c r="N581" s="296"/>
      <c r="O581" s="229" t="s">
        <v>132</v>
      </c>
      <c r="P581" s="229"/>
      <c r="Q581" s="229" t="e">
        <f>TEXT(EO571,"#,###.##")</f>
        <v>#REF!</v>
      </c>
      <c r="R581" s="229"/>
      <c r="S581" s="229"/>
      <c r="T581" s="229"/>
      <c r="U581" s="229"/>
      <c r="V581" s="229" t="s">
        <v>130</v>
      </c>
      <c r="W581" s="229"/>
      <c r="X581" s="229" t="e">
        <f>TEXT(EO577,"#,###.##")</f>
        <v>#REF!</v>
      </c>
      <c r="Y581" s="229"/>
      <c r="Z581" s="229"/>
      <c r="AA581" s="229"/>
      <c r="AB581" s="229" t="s">
        <v>134</v>
      </c>
      <c r="AC581" s="229"/>
      <c r="AD581" s="229" t="e">
        <f>TEXT(TRUNC(EO571+EO577,1),"#,##0.#")</f>
        <v>#REF!</v>
      </c>
      <c r="AF581" s="229"/>
      <c r="AG581" s="229"/>
      <c r="AH581" s="229"/>
      <c r="AI581" s="229"/>
      <c r="AJ581" s="229"/>
      <c r="AK581" s="229"/>
      <c r="AL581" s="229"/>
      <c r="AM581" s="229"/>
      <c r="AN581" s="229"/>
      <c r="AO581" s="229"/>
      <c r="AP581" s="229"/>
      <c r="AQ581" s="229"/>
      <c r="AR581" s="229"/>
      <c r="AS581" s="229"/>
      <c r="AT581" s="229"/>
      <c r="AU581" s="229"/>
      <c r="AV581" s="229"/>
      <c r="AW581" s="229"/>
      <c r="AX581" s="229"/>
      <c r="AY581" s="229"/>
      <c r="AZ581" s="229"/>
      <c r="BA581" s="229"/>
      <c r="BB581" s="229"/>
      <c r="BC581" s="229"/>
      <c r="BD581" s="229"/>
      <c r="BE581" s="229"/>
      <c r="BF581" s="229"/>
      <c r="BG581" s="229"/>
      <c r="BH581" s="229"/>
      <c r="BI581" s="229"/>
      <c r="BJ581" s="229"/>
      <c r="BK581" s="229"/>
      <c r="BL581" s="229"/>
      <c r="BM581" s="229"/>
      <c r="BN581" s="229"/>
      <c r="BO581" s="229"/>
      <c r="BP581" s="229"/>
      <c r="BQ581" s="229"/>
      <c r="BR581" s="229"/>
      <c r="BS581" s="296"/>
      <c r="BT581" s="229"/>
      <c r="BU581" s="229"/>
      <c r="BV581" s="229"/>
      <c r="BW581" s="229"/>
      <c r="BX581" s="229"/>
      <c r="BY581" s="229"/>
      <c r="BZ581" s="229"/>
      <c r="CA581" s="229"/>
      <c r="CB581" s="229"/>
      <c r="CC581" s="229"/>
      <c r="CD581" s="229"/>
      <c r="CE581" s="229"/>
      <c r="CF581" s="229"/>
      <c r="CG581" s="229"/>
      <c r="CH581" s="229"/>
      <c r="CI581" s="229"/>
      <c r="CJ581" s="229"/>
      <c r="CK581" s="229"/>
      <c r="CL581" s="229"/>
      <c r="CM581" s="229"/>
      <c r="CN581" s="229"/>
      <c r="CO581" s="229"/>
      <c r="CP581" s="229"/>
      <c r="CQ581" s="229"/>
      <c r="CR581" s="229"/>
      <c r="CS581" s="229"/>
      <c r="CT581" s="229"/>
      <c r="CU581" s="229"/>
      <c r="CV581" s="229"/>
      <c r="CW581" s="229"/>
      <c r="CX581" s="229"/>
      <c r="CY581" s="229"/>
      <c r="CZ581" s="229"/>
      <c r="DA581" s="229"/>
      <c r="DB581" s="229"/>
      <c r="DC581" s="229"/>
      <c r="DD581" s="229"/>
      <c r="DE581" s="229"/>
      <c r="DF581" s="229"/>
      <c r="DG581" s="229"/>
      <c r="DH581" s="229"/>
      <c r="DI581" s="229"/>
      <c r="DJ581" s="229"/>
      <c r="DK581" s="229"/>
      <c r="DL581" s="229"/>
      <c r="DM581" s="229"/>
      <c r="DN581" s="229"/>
      <c r="DO581" s="229"/>
      <c r="DP581" s="229"/>
      <c r="DQ581" s="229"/>
      <c r="DR581" s="229"/>
      <c r="DS581" s="229"/>
      <c r="DT581" s="229"/>
      <c r="DU581" s="229"/>
      <c r="DV581" s="229"/>
      <c r="DW581" s="229"/>
      <c r="DX581" s="229"/>
      <c r="DY581" s="229"/>
      <c r="DZ581" s="229"/>
      <c r="EA581" s="229"/>
      <c r="EB581" s="229"/>
      <c r="EC581" s="229"/>
      <c r="ED581" s="229"/>
      <c r="EE581" s="229"/>
      <c r="EF581" s="229"/>
      <c r="EG581" s="229"/>
      <c r="EH581" s="229"/>
      <c r="EI581" s="229"/>
      <c r="EJ581" s="229"/>
      <c r="EK581" s="229"/>
      <c r="EL581" s="305"/>
      <c r="EM581" s="234"/>
      <c r="EN581" s="234"/>
      <c r="EO581" s="234"/>
      <c r="EP581" s="234"/>
      <c r="EQ581" s="233"/>
    </row>
    <row r="582" spans="2:147" ht="11.45" hidden="1" customHeight="1">
      <c r="B582" s="228"/>
      <c r="C582" s="229"/>
      <c r="D582" s="229"/>
      <c r="E582" s="229"/>
      <c r="F582" s="229"/>
      <c r="G582" s="229"/>
      <c r="H582" s="229" t="s">
        <v>679</v>
      </c>
      <c r="I582" s="229"/>
      <c r="J582" s="296" t="s">
        <v>680</v>
      </c>
      <c r="K582" s="229"/>
      <c r="L582" s="296"/>
      <c r="M582" s="296"/>
      <c r="N582" s="296"/>
      <c r="O582" s="229" t="s">
        <v>132</v>
      </c>
      <c r="P582" s="229"/>
      <c r="Q582" s="229" t="e">
        <f>TEXT(EP571,"#,###.##")</f>
        <v>#REF!</v>
      </c>
      <c r="R582" s="229"/>
      <c r="S582" s="229"/>
      <c r="T582" s="229"/>
      <c r="U582" s="229"/>
      <c r="V582" s="229" t="s">
        <v>130</v>
      </c>
      <c r="W582" s="229"/>
      <c r="X582" s="229" t="e">
        <f>TEXT(EP577,"#,###.##")</f>
        <v>#REF!</v>
      </c>
      <c r="Y582" s="229"/>
      <c r="Z582" s="229"/>
      <c r="AA582" s="229"/>
      <c r="AB582" s="229" t="s">
        <v>134</v>
      </c>
      <c r="AC582" s="229"/>
      <c r="AD582" s="229" t="e">
        <f>TEXT(TRUNC(EP571+EP577,1),"#,##0.#")</f>
        <v>#REF!</v>
      </c>
      <c r="AE582" s="229"/>
      <c r="AF582" s="229"/>
      <c r="AH582" s="229"/>
      <c r="AI582" s="229"/>
      <c r="AJ582" s="229"/>
      <c r="AK582" s="229"/>
      <c r="AL582" s="229"/>
      <c r="AM582" s="229"/>
      <c r="AN582" s="229"/>
      <c r="AO582" s="229"/>
      <c r="AP582" s="229"/>
      <c r="AQ582" s="229"/>
      <c r="AR582" s="229"/>
      <c r="AS582" s="229"/>
      <c r="AT582" s="229"/>
      <c r="AU582" s="229"/>
      <c r="AV582" s="229"/>
      <c r="AW582" s="229"/>
      <c r="AX582" s="229"/>
      <c r="AY582" s="229"/>
      <c r="AZ582" s="229"/>
      <c r="BA582" s="229"/>
      <c r="BB582" s="229"/>
      <c r="BC582" s="229"/>
      <c r="BD582" s="229"/>
      <c r="BE582" s="229"/>
      <c r="BF582" s="229"/>
      <c r="BG582" s="229"/>
      <c r="BH582" s="229"/>
      <c r="BI582" s="229"/>
      <c r="BJ582" s="229"/>
      <c r="BK582" s="229"/>
      <c r="BL582" s="229"/>
      <c r="BM582" s="229"/>
      <c r="BN582" s="229"/>
      <c r="BO582" s="229"/>
      <c r="BP582" s="229"/>
      <c r="BQ582" s="229"/>
      <c r="BR582" s="229"/>
      <c r="BS582" s="296"/>
      <c r="BT582" s="229"/>
      <c r="BU582" s="229"/>
      <c r="BV582" s="229"/>
      <c r="BW582" s="229"/>
      <c r="BX582" s="229"/>
      <c r="BY582" s="229"/>
      <c r="BZ582" s="229"/>
      <c r="CA582" s="229"/>
      <c r="CB582" s="229"/>
      <c r="CC582" s="229"/>
      <c r="CD582" s="229"/>
      <c r="CE582" s="229"/>
      <c r="CF582" s="229"/>
      <c r="CG582" s="229"/>
      <c r="CH582" s="229"/>
      <c r="CI582" s="229"/>
      <c r="CJ582" s="229"/>
      <c r="CK582" s="229"/>
      <c r="CL582" s="229"/>
      <c r="CM582" s="229"/>
      <c r="CN582" s="229"/>
      <c r="CO582" s="229"/>
      <c r="CP582" s="229"/>
      <c r="CQ582" s="229"/>
      <c r="CR582" s="229"/>
      <c r="CS582" s="229"/>
      <c r="CT582" s="229"/>
      <c r="CU582" s="229"/>
      <c r="CV582" s="229"/>
      <c r="CW582" s="229"/>
      <c r="CX582" s="229"/>
      <c r="CY582" s="229"/>
      <c r="CZ582" s="229"/>
      <c r="DA582" s="229"/>
      <c r="DB582" s="229"/>
      <c r="DC582" s="229"/>
      <c r="DD582" s="229"/>
      <c r="DE582" s="229"/>
      <c r="DF582" s="229"/>
      <c r="DG582" s="229"/>
      <c r="DH582" s="229"/>
      <c r="DI582" s="229"/>
      <c r="DJ582" s="229"/>
      <c r="DK582" s="229"/>
      <c r="DL582" s="229"/>
      <c r="DM582" s="229"/>
      <c r="DN582" s="229"/>
      <c r="DO582" s="229"/>
      <c r="DP582" s="229"/>
      <c r="DQ582" s="229"/>
      <c r="DR582" s="229"/>
      <c r="DS582" s="229"/>
      <c r="DT582" s="229"/>
      <c r="DU582" s="229"/>
      <c r="DV582" s="229"/>
      <c r="DW582" s="229"/>
      <c r="DX582" s="229"/>
      <c r="DY582" s="229"/>
      <c r="DZ582" s="229"/>
      <c r="EA582" s="229"/>
      <c r="EB582" s="229"/>
      <c r="EC582" s="229"/>
      <c r="ED582" s="229"/>
      <c r="EE582" s="229"/>
      <c r="EF582" s="229"/>
      <c r="EG582" s="229"/>
      <c r="EH582" s="229"/>
      <c r="EI582" s="229"/>
      <c r="EJ582" s="229"/>
      <c r="EK582" s="229"/>
      <c r="EL582" s="305"/>
      <c r="EM582" s="234"/>
      <c r="EN582" s="234"/>
      <c r="EO582" s="234"/>
      <c r="EP582" s="234"/>
      <c r="EQ582" s="233"/>
    </row>
    <row r="583" spans="2:147" ht="11.45" hidden="1" customHeight="1">
      <c r="B583" s="228"/>
      <c r="C583" s="229"/>
      <c r="D583" s="229"/>
      <c r="E583" s="229"/>
      <c r="F583" s="229"/>
      <c r="G583" s="229"/>
      <c r="H583" s="229"/>
      <c r="I583" s="229"/>
      <c r="J583" s="229" t="s">
        <v>96</v>
      </c>
      <c r="K583" s="229"/>
      <c r="L583" s="296"/>
      <c r="M583" s="296"/>
      <c r="N583" s="296"/>
      <c r="O583" s="229" t="s">
        <v>132</v>
      </c>
      <c r="P583" s="229"/>
      <c r="Q583" s="229" t="e">
        <f>TEXT(AD580+AD581+AD582,"#,##0.#######")</f>
        <v>#REF!</v>
      </c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  <c r="AH583" s="229"/>
      <c r="AI583" s="229"/>
      <c r="AJ583" s="229"/>
      <c r="AK583" s="229"/>
      <c r="AL583" s="229"/>
      <c r="AM583" s="229"/>
      <c r="AN583" s="229"/>
      <c r="AO583" s="229"/>
      <c r="AP583" s="229"/>
      <c r="AQ583" s="229"/>
      <c r="AR583" s="229"/>
      <c r="AS583" s="229"/>
      <c r="AT583" s="229"/>
      <c r="AU583" s="229"/>
      <c r="AV583" s="229"/>
      <c r="AW583" s="229"/>
      <c r="AX583" s="229"/>
      <c r="AY583" s="229"/>
      <c r="AZ583" s="229"/>
      <c r="BA583" s="229"/>
      <c r="BB583" s="229"/>
      <c r="BC583" s="229"/>
      <c r="BD583" s="229"/>
      <c r="BE583" s="229"/>
      <c r="BF583" s="229"/>
      <c r="BG583" s="229"/>
      <c r="BH583" s="229"/>
      <c r="BI583" s="229"/>
      <c r="BJ583" s="229"/>
      <c r="BK583" s="229"/>
      <c r="BL583" s="229"/>
      <c r="BM583" s="229"/>
      <c r="BN583" s="229"/>
      <c r="BO583" s="229"/>
      <c r="BP583" s="229"/>
      <c r="BQ583" s="229"/>
      <c r="BR583" s="229"/>
      <c r="BS583" s="296"/>
      <c r="BT583" s="229"/>
      <c r="BU583" s="229"/>
      <c r="BV583" s="229"/>
      <c r="BW583" s="229"/>
      <c r="BX583" s="229"/>
      <c r="BY583" s="229"/>
      <c r="BZ583" s="229"/>
      <c r="CA583" s="229"/>
      <c r="CB583" s="229"/>
      <c r="CC583" s="229"/>
      <c r="CD583" s="229"/>
      <c r="CE583" s="229"/>
      <c r="CF583" s="229"/>
      <c r="CG583" s="229"/>
      <c r="CH583" s="229"/>
      <c r="CI583" s="229"/>
      <c r="CJ583" s="229"/>
      <c r="CK583" s="229"/>
      <c r="CL583" s="229"/>
      <c r="CM583" s="229"/>
      <c r="CN583" s="229"/>
      <c r="CO583" s="229"/>
      <c r="CP583" s="229"/>
      <c r="CQ583" s="229"/>
      <c r="CR583" s="229"/>
      <c r="CS583" s="229"/>
      <c r="CT583" s="229"/>
      <c r="CU583" s="229"/>
      <c r="CV583" s="229"/>
      <c r="CW583" s="229"/>
      <c r="CX583" s="229"/>
      <c r="CY583" s="229"/>
      <c r="CZ583" s="229"/>
      <c r="DA583" s="229"/>
      <c r="DB583" s="229"/>
      <c r="DC583" s="229"/>
      <c r="DD583" s="229"/>
      <c r="DE583" s="229"/>
      <c r="DF583" s="229"/>
      <c r="DG583" s="229"/>
      <c r="DH583" s="229"/>
      <c r="DI583" s="229"/>
      <c r="DJ583" s="229"/>
      <c r="DK583" s="229"/>
      <c r="DL583" s="229"/>
      <c r="DM583" s="229"/>
      <c r="DN583" s="229"/>
      <c r="DO583" s="229"/>
      <c r="DP583" s="229"/>
      <c r="DQ583" s="229"/>
      <c r="DR583" s="229"/>
      <c r="DS583" s="229"/>
      <c r="DT583" s="229"/>
      <c r="DU583" s="229"/>
      <c r="DV583" s="229"/>
      <c r="DW583" s="229"/>
      <c r="DX583" s="229"/>
      <c r="DY583" s="229"/>
      <c r="DZ583" s="229"/>
      <c r="EA583" s="229"/>
      <c r="EB583" s="229"/>
      <c r="EC583" s="229"/>
      <c r="ED583" s="229"/>
      <c r="EE583" s="229"/>
      <c r="EF583" s="229"/>
      <c r="EG583" s="229"/>
      <c r="EH583" s="229"/>
      <c r="EI583" s="229"/>
      <c r="EJ583" s="229"/>
      <c r="EK583" s="229"/>
      <c r="EL583" s="305"/>
      <c r="EM583" s="234" t="e">
        <f>EN583+EO583+EP583</f>
        <v>#REF!</v>
      </c>
      <c r="EN583" s="234" t="e">
        <f>TEXT(AD580,"#,###.0")</f>
        <v>#REF!</v>
      </c>
      <c r="EO583" s="234" t="e">
        <f>TEXT(AD581,"#,###.0")</f>
        <v>#REF!</v>
      </c>
      <c r="EP583" s="234" t="e">
        <f>TEXT(AD582,"#,###.0")</f>
        <v>#REF!</v>
      </c>
      <c r="EQ583" s="233"/>
    </row>
    <row r="584" spans="2:147" ht="11.45" hidden="1" customHeight="1">
      <c r="B584" s="228"/>
      <c r="C584" s="229"/>
      <c r="D584" s="229"/>
      <c r="E584" s="229"/>
      <c r="F584" s="229"/>
      <c r="G584" s="229"/>
      <c r="H584" s="229"/>
      <c r="I584" s="229"/>
      <c r="J584" s="229"/>
      <c r="K584" s="229"/>
      <c r="L584" s="296"/>
      <c r="M584" s="296"/>
      <c r="N584" s="296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  <c r="AH584" s="229"/>
      <c r="AI584" s="229"/>
      <c r="AJ584" s="229"/>
      <c r="AK584" s="229"/>
      <c r="AL584" s="229"/>
      <c r="AM584" s="229"/>
      <c r="AN584" s="229"/>
      <c r="AO584" s="229"/>
      <c r="AP584" s="229"/>
      <c r="AQ584" s="229"/>
      <c r="AR584" s="229"/>
      <c r="AS584" s="229"/>
      <c r="AT584" s="229"/>
      <c r="AU584" s="229"/>
      <c r="AV584" s="229"/>
      <c r="AW584" s="229"/>
      <c r="AX584" s="229"/>
      <c r="AY584" s="229"/>
      <c r="AZ584" s="229"/>
      <c r="BA584" s="229"/>
      <c r="BB584" s="229"/>
      <c r="BC584" s="229"/>
      <c r="BD584" s="229"/>
      <c r="BE584" s="229"/>
      <c r="BF584" s="229"/>
      <c r="BG584" s="229"/>
      <c r="BH584" s="229"/>
      <c r="BI584" s="229"/>
      <c r="BJ584" s="229"/>
      <c r="BK584" s="229"/>
      <c r="BL584" s="229"/>
      <c r="BM584" s="229"/>
      <c r="BN584" s="229"/>
      <c r="BO584" s="229"/>
      <c r="BP584" s="229"/>
      <c r="BQ584" s="229"/>
      <c r="BR584" s="229"/>
      <c r="BS584" s="296"/>
      <c r="BT584" s="229"/>
      <c r="BU584" s="229"/>
      <c r="BV584" s="229"/>
      <c r="BW584" s="229"/>
      <c r="BX584" s="229"/>
      <c r="BY584" s="229"/>
      <c r="BZ584" s="229"/>
      <c r="CA584" s="229"/>
      <c r="CB584" s="229"/>
      <c r="CC584" s="229"/>
      <c r="CD584" s="229"/>
      <c r="CE584" s="229"/>
      <c r="CF584" s="229"/>
      <c r="CG584" s="229"/>
      <c r="CH584" s="229"/>
      <c r="CI584" s="229"/>
      <c r="CJ584" s="229"/>
      <c r="CK584" s="229"/>
      <c r="CL584" s="229"/>
      <c r="CM584" s="229"/>
      <c r="CN584" s="229"/>
      <c r="CO584" s="229"/>
      <c r="CP584" s="229"/>
      <c r="CQ584" s="229"/>
      <c r="CR584" s="229"/>
      <c r="CS584" s="229"/>
      <c r="CT584" s="229"/>
      <c r="CU584" s="229"/>
      <c r="CV584" s="229"/>
      <c r="CW584" s="229"/>
      <c r="CX584" s="229"/>
      <c r="CY584" s="229"/>
      <c r="CZ584" s="229"/>
      <c r="DA584" s="229"/>
      <c r="DB584" s="229"/>
      <c r="DC584" s="229"/>
      <c r="DD584" s="229"/>
      <c r="DE584" s="229"/>
      <c r="DF584" s="229"/>
      <c r="DG584" s="229"/>
      <c r="DH584" s="229"/>
      <c r="DI584" s="229"/>
      <c r="DJ584" s="229"/>
      <c r="DK584" s="229"/>
      <c r="DL584" s="229"/>
      <c r="DM584" s="229"/>
      <c r="DN584" s="229"/>
      <c r="DO584" s="229"/>
      <c r="DP584" s="229"/>
      <c r="DQ584" s="229"/>
      <c r="DR584" s="229"/>
      <c r="DS584" s="229"/>
      <c r="DT584" s="229"/>
      <c r="DU584" s="229"/>
      <c r="DV584" s="229"/>
      <c r="DW584" s="229"/>
      <c r="DX584" s="229"/>
      <c r="DY584" s="229"/>
      <c r="DZ584" s="229"/>
      <c r="EA584" s="229"/>
      <c r="EB584" s="229"/>
      <c r="EC584" s="229"/>
      <c r="ED584" s="229"/>
      <c r="EE584" s="229"/>
      <c r="EF584" s="229"/>
      <c r="EG584" s="229"/>
      <c r="EH584" s="229"/>
      <c r="EI584" s="229"/>
      <c r="EJ584" s="229"/>
      <c r="EK584" s="229"/>
      <c r="EL584" s="305"/>
      <c r="EM584" s="234"/>
      <c r="EN584" s="234"/>
      <c r="EO584" s="234"/>
      <c r="EP584" s="234"/>
      <c r="EQ584" s="233"/>
    </row>
    <row r="585" spans="2:147" ht="11.45" hidden="1" customHeight="1">
      <c r="B585" s="228"/>
      <c r="C585" s="229"/>
      <c r="D585" s="229" t="s">
        <v>727</v>
      </c>
      <c r="E585" s="229"/>
      <c r="F585" s="229"/>
      <c r="G585" s="229" t="s">
        <v>678</v>
      </c>
      <c r="H585" s="229"/>
      <c r="I585" s="229"/>
      <c r="J585" s="229" t="s">
        <v>96</v>
      </c>
      <c r="K585" s="229"/>
      <c r="L585" s="296"/>
      <c r="M585" s="296"/>
      <c r="N585" s="296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  <c r="AH585" s="229"/>
      <c r="AI585" s="229"/>
      <c r="AJ585" s="229"/>
      <c r="AK585" s="229"/>
      <c r="AL585" s="229"/>
      <c r="AM585" s="229"/>
      <c r="AN585" s="229"/>
      <c r="AO585" s="229"/>
      <c r="AP585" s="229"/>
      <c r="AQ585" s="229"/>
      <c r="AR585" s="229"/>
      <c r="AS585" s="229"/>
      <c r="AT585" s="229"/>
      <c r="AU585" s="229"/>
      <c r="AV585" s="229"/>
      <c r="AW585" s="229"/>
      <c r="AX585" s="229"/>
      <c r="AY585" s="229"/>
      <c r="AZ585" s="229"/>
      <c r="BA585" s="229"/>
      <c r="BB585" s="229"/>
      <c r="BC585" s="229"/>
      <c r="BD585" s="229"/>
      <c r="BE585" s="229"/>
      <c r="BF585" s="229"/>
      <c r="BG585" s="229"/>
      <c r="BH585" s="229"/>
      <c r="BI585" s="229"/>
      <c r="BJ585" s="229"/>
      <c r="BK585" s="229"/>
      <c r="BL585" s="229"/>
      <c r="BM585" s="229"/>
      <c r="BN585" s="229"/>
      <c r="BO585" s="229"/>
      <c r="BP585" s="229"/>
      <c r="BQ585" s="229"/>
      <c r="BR585" s="229"/>
      <c r="BS585" s="296"/>
      <c r="BT585" s="229"/>
      <c r="BU585" s="229"/>
      <c r="BV585" s="229"/>
      <c r="BW585" s="229"/>
      <c r="BX585" s="229"/>
      <c r="BY585" s="229"/>
      <c r="BZ585" s="229"/>
      <c r="CA585" s="229"/>
      <c r="CB585" s="229"/>
      <c r="CC585" s="229"/>
      <c r="CD585" s="229"/>
      <c r="CE585" s="229"/>
      <c r="CF585" s="229"/>
      <c r="CG585" s="229"/>
      <c r="CH585" s="229"/>
      <c r="CI585" s="229"/>
      <c r="CJ585" s="229"/>
      <c r="CK585" s="229"/>
      <c r="CL585" s="229"/>
      <c r="CM585" s="229"/>
      <c r="CN585" s="229"/>
      <c r="CO585" s="229"/>
      <c r="CP585" s="229"/>
      <c r="CQ585" s="229"/>
      <c r="CR585" s="229"/>
      <c r="CS585" s="229"/>
      <c r="CT585" s="229"/>
      <c r="CU585" s="229"/>
      <c r="CV585" s="229"/>
      <c r="CW585" s="229"/>
      <c r="CX585" s="229"/>
      <c r="CY585" s="229"/>
      <c r="CZ585" s="229"/>
      <c r="DA585" s="229"/>
      <c r="DB585" s="229"/>
      <c r="DC585" s="229"/>
      <c r="DD585" s="229"/>
      <c r="DE585" s="229"/>
      <c r="DF585" s="229"/>
      <c r="DG585" s="229"/>
      <c r="DH585" s="229"/>
      <c r="DI585" s="229"/>
      <c r="DJ585" s="229"/>
      <c r="DK585" s="229"/>
      <c r="DL585" s="229"/>
      <c r="DM585" s="229"/>
      <c r="DN585" s="229"/>
      <c r="DO585" s="229"/>
      <c r="DP585" s="229"/>
      <c r="DQ585" s="229"/>
      <c r="DR585" s="229"/>
      <c r="DS585" s="229"/>
      <c r="DT585" s="229"/>
      <c r="DU585" s="229"/>
      <c r="DV585" s="229"/>
      <c r="DW585" s="229"/>
      <c r="DX585" s="229"/>
      <c r="DY585" s="229"/>
      <c r="DZ585" s="229"/>
      <c r="EA585" s="229"/>
      <c r="EB585" s="229"/>
      <c r="EC585" s="229"/>
      <c r="ED585" s="229"/>
      <c r="EE585" s="229"/>
      <c r="EF585" s="229"/>
      <c r="EG585" s="229"/>
      <c r="EH585" s="229"/>
      <c r="EI585" s="229"/>
      <c r="EJ585" s="229"/>
      <c r="EK585" s="229"/>
      <c r="EL585" s="305"/>
      <c r="EM585" s="234"/>
      <c r="EN585" s="234"/>
      <c r="EO585" s="234"/>
      <c r="EP585" s="234"/>
      <c r="EQ585" s="233"/>
    </row>
    <row r="586" spans="2:147" ht="11.45" hidden="1" customHeight="1">
      <c r="B586" s="228"/>
      <c r="C586" s="229"/>
      <c r="D586" s="229"/>
      <c r="E586" s="229"/>
      <c r="F586" s="229"/>
      <c r="G586" s="229"/>
      <c r="H586" s="229" t="s">
        <v>616</v>
      </c>
      <c r="I586" s="229"/>
      <c r="J586" s="229"/>
      <c r="K586" s="229"/>
      <c r="L586" s="296"/>
      <c r="M586" s="296"/>
      <c r="N586" s="296"/>
      <c r="O586" s="229" t="s">
        <v>132</v>
      </c>
      <c r="P586" s="229"/>
      <c r="Q586" s="229" t="str">
        <f>TEXT(EN560,"#,###.##")</f>
        <v>4,735.8</v>
      </c>
      <c r="R586" s="229"/>
      <c r="S586" s="229"/>
      <c r="T586" s="229"/>
      <c r="U586" s="229"/>
      <c r="V586" s="229"/>
      <c r="W586" s="229" t="s">
        <v>130</v>
      </c>
      <c r="X586" s="229"/>
      <c r="Y586" s="229" t="e">
        <f>TEXT(EN583,"#,###.##")</f>
        <v>#REF!</v>
      </c>
      <c r="Z586" s="229"/>
      <c r="AB586" s="229"/>
      <c r="AC586" s="229"/>
      <c r="AD586" s="229"/>
      <c r="AE586" s="229" t="s">
        <v>134</v>
      </c>
      <c r="AF586" s="229"/>
      <c r="AG586" s="229" t="e">
        <f>TEXT(TRUNC(EN560+EN583,0),"#,##0")</f>
        <v>#REF!</v>
      </c>
      <c r="AH586" s="229"/>
      <c r="AJ586" s="229"/>
      <c r="AK586" s="229"/>
      <c r="AM586" s="229"/>
      <c r="AN586" s="229"/>
      <c r="AO586" s="229"/>
      <c r="AP586" s="229"/>
      <c r="AQ586" s="229"/>
      <c r="AR586" s="229"/>
      <c r="AS586" s="229"/>
      <c r="AT586" s="229"/>
      <c r="AU586" s="229"/>
      <c r="AV586" s="229"/>
      <c r="AW586" s="229"/>
      <c r="AX586" s="229"/>
      <c r="AY586" s="229"/>
      <c r="AZ586" s="229"/>
      <c r="BA586" s="229"/>
      <c r="BB586" s="229"/>
      <c r="BC586" s="229"/>
      <c r="BD586" s="229"/>
      <c r="BE586" s="229"/>
      <c r="BF586" s="229"/>
      <c r="BG586" s="229"/>
      <c r="BH586" s="229"/>
      <c r="BI586" s="229"/>
      <c r="BJ586" s="229"/>
      <c r="BK586" s="229"/>
      <c r="BL586" s="229"/>
      <c r="BM586" s="229"/>
      <c r="BN586" s="229"/>
      <c r="BO586" s="229"/>
      <c r="BP586" s="229"/>
      <c r="BQ586" s="229"/>
      <c r="BR586" s="229"/>
      <c r="BS586" s="296"/>
      <c r="BT586" s="229"/>
      <c r="BU586" s="229"/>
      <c r="BV586" s="229"/>
      <c r="BW586" s="229"/>
      <c r="BX586" s="229"/>
      <c r="BY586" s="229"/>
      <c r="BZ586" s="229"/>
      <c r="CA586" s="229"/>
      <c r="CB586" s="229"/>
      <c r="CC586" s="229"/>
      <c r="CD586" s="229"/>
      <c r="CE586" s="229"/>
      <c r="CF586" s="229"/>
      <c r="CG586" s="229"/>
      <c r="CH586" s="229"/>
      <c r="CI586" s="229"/>
      <c r="CJ586" s="229"/>
      <c r="CK586" s="229"/>
      <c r="CL586" s="229"/>
      <c r="CM586" s="229"/>
      <c r="CN586" s="229"/>
      <c r="CO586" s="229"/>
      <c r="CP586" s="229"/>
      <c r="CQ586" s="229"/>
      <c r="CR586" s="229"/>
      <c r="CS586" s="229"/>
      <c r="CT586" s="229"/>
      <c r="CU586" s="229"/>
      <c r="CV586" s="229"/>
      <c r="CW586" s="229"/>
      <c r="CX586" s="229"/>
      <c r="CY586" s="229"/>
      <c r="CZ586" s="229"/>
      <c r="DA586" s="229"/>
      <c r="DB586" s="229"/>
      <c r="DC586" s="229"/>
      <c r="DD586" s="229"/>
      <c r="DE586" s="229"/>
      <c r="DF586" s="229"/>
      <c r="DG586" s="229"/>
      <c r="DH586" s="229"/>
      <c r="DI586" s="229"/>
      <c r="DJ586" s="229"/>
      <c r="DK586" s="229"/>
      <c r="DL586" s="229"/>
      <c r="DM586" s="229"/>
      <c r="DN586" s="229"/>
      <c r="DO586" s="229"/>
      <c r="DP586" s="229"/>
      <c r="DQ586" s="229"/>
      <c r="DR586" s="229"/>
      <c r="DS586" s="229"/>
      <c r="DT586" s="229"/>
      <c r="DU586" s="229"/>
      <c r="DV586" s="229"/>
      <c r="DW586" s="229"/>
      <c r="DX586" s="229"/>
      <c r="DY586" s="229"/>
      <c r="DZ586" s="229"/>
      <c r="EA586" s="229"/>
      <c r="EB586" s="229"/>
      <c r="EC586" s="229"/>
      <c r="ED586" s="229"/>
      <c r="EE586" s="229"/>
      <c r="EF586" s="229"/>
      <c r="EG586" s="229"/>
      <c r="EH586" s="229"/>
      <c r="EI586" s="229"/>
      <c r="EJ586" s="229"/>
      <c r="EK586" s="229"/>
      <c r="EL586" s="305"/>
      <c r="EM586" s="234"/>
      <c r="EN586" s="234"/>
      <c r="EO586" s="234"/>
      <c r="EP586" s="234"/>
      <c r="EQ586" s="233"/>
    </row>
    <row r="587" spans="2:147" ht="11.45" hidden="1" customHeight="1">
      <c r="B587" s="228"/>
      <c r="C587" s="229"/>
      <c r="D587" s="229"/>
      <c r="E587" s="229"/>
      <c r="F587" s="229"/>
      <c r="G587" s="229"/>
      <c r="H587" s="229" t="s">
        <v>617</v>
      </c>
      <c r="I587" s="229"/>
      <c r="J587" s="229"/>
      <c r="K587" s="229"/>
      <c r="L587" s="296"/>
      <c r="M587" s="296"/>
      <c r="N587" s="296"/>
      <c r="O587" s="229" t="s">
        <v>132</v>
      </c>
      <c r="P587" s="229"/>
      <c r="Q587" s="229" t="e">
        <f>TEXT(EO554,"#,###.##")</f>
        <v>#REF!</v>
      </c>
      <c r="R587" s="229"/>
      <c r="S587" s="229"/>
      <c r="T587" s="229"/>
      <c r="U587" s="229"/>
      <c r="V587" s="229"/>
      <c r="W587" s="229" t="s">
        <v>130</v>
      </c>
      <c r="X587" s="229"/>
      <c r="Y587" s="229" t="str">
        <f>TEXT(EO563,"#,###.##")</f>
        <v>236.7</v>
      </c>
      <c r="Z587" s="229"/>
      <c r="AA587" s="229"/>
      <c r="AB587" s="229"/>
      <c r="AC587" s="229"/>
      <c r="AD587" s="229" t="s">
        <v>130</v>
      </c>
      <c r="AF587" s="229"/>
      <c r="AH587" s="229"/>
      <c r="AI587" s="229"/>
      <c r="AJ587" s="229"/>
      <c r="AK587" s="229"/>
      <c r="AL587" s="229" t="e">
        <f>TEXT(EO583,"#,###.##")</f>
        <v>#REF!</v>
      </c>
      <c r="AM587" s="229"/>
      <c r="AO587" s="229"/>
      <c r="AP587" s="229" t="s">
        <v>134</v>
      </c>
      <c r="AQ587" s="229"/>
      <c r="AR587" s="229" t="e">
        <f>TEXT(TRUNC(EO554+EO563+EO583,0),"#,##0")</f>
        <v>#REF!</v>
      </c>
      <c r="AS587" s="229"/>
      <c r="AU587" s="229"/>
      <c r="AV587" s="229"/>
      <c r="AX587" s="229"/>
      <c r="AY587" s="229"/>
      <c r="AZ587" s="229"/>
      <c r="BA587" s="229"/>
      <c r="BB587" s="229"/>
      <c r="BC587" s="229"/>
      <c r="BD587" s="229"/>
      <c r="BE587" s="229"/>
      <c r="BF587" s="229"/>
      <c r="BG587" s="229"/>
      <c r="BH587" s="229"/>
      <c r="BI587" s="229"/>
      <c r="BJ587" s="229"/>
      <c r="BK587" s="229"/>
      <c r="BL587" s="229"/>
      <c r="BM587" s="229"/>
      <c r="BN587" s="229"/>
      <c r="BO587" s="229"/>
      <c r="BP587" s="229"/>
      <c r="BQ587" s="229"/>
      <c r="BR587" s="229"/>
      <c r="BS587" s="296"/>
      <c r="BT587" s="229"/>
      <c r="BU587" s="229"/>
      <c r="BV587" s="229"/>
      <c r="BW587" s="229"/>
      <c r="BX587" s="229"/>
      <c r="BY587" s="229"/>
      <c r="BZ587" s="229"/>
      <c r="CA587" s="229"/>
      <c r="CB587" s="229"/>
      <c r="CC587" s="229"/>
      <c r="CD587" s="229"/>
      <c r="CE587" s="229"/>
      <c r="CF587" s="229"/>
      <c r="CG587" s="229"/>
      <c r="CH587" s="229"/>
      <c r="CI587" s="229"/>
      <c r="CJ587" s="229"/>
      <c r="CK587" s="229"/>
      <c r="CL587" s="229"/>
      <c r="CM587" s="229"/>
      <c r="CN587" s="229"/>
      <c r="CO587" s="229"/>
      <c r="CP587" s="229"/>
      <c r="CQ587" s="229"/>
      <c r="CR587" s="229"/>
      <c r="CS587" s="229"/>
      <c r="CT587" s="229"/>
      <c r="CU587" s="229"/>
      <c r="CV587" s="229"/>
      <c r="CW587" s="229"/>
      <c r="CX587" s="229"/>
      <c r="CY587" s="229"/>
      <c r="CZ587" s="229"/>
      <c r="DA587" s="229"/>
      <c r="DB587" s="229"/>
      <c r="DC587" s="229"/>
      <c r="DD587" s="229"/>
      <c r="DE587" s="229"/>
      <c r="DF587" s="229"/>
      <c r="DG587" s="229"/>
      <c r="DH587" s="229"/>
      <c r="DI587" s="229"/>
      <c r="DJ587" s="229"/>
      <c r="DK587" s="229"/>
      <c r="DL587" s="229"/>
      <c r="DM587" s="229"/>
      <c r="DN587" s="229"/>
      <c r="DO587" s="229"/>
      <c r="DP587" s="229"/>
      <c r="DQ587" s="229"/>
      <c r="DR587" s="229"/>
      <c r="DS587" s="229"/>
      <c r="DT587" s="229"/>
      <c r="DU587" s="229"/>
      <c r="DV587" s="229"/>
      <c r="DW587" s="229"/>
      <c r="DX587" s="229"/>
      <c r="DY587" s="229"/>
      <c r="DZ587" s="229"/>
      <c r="EA587" s="229"/>
      <c r="EB587" s="229"/>
      <c r="EC587" s="229"/>
      <c r="ED587" s="229"/>
      <c r="EE587" s="229"/>
      <c r="EF587" s="229"/>
      <c r="EG587" s="229"/>
      <c r="EH587" s="229"/>
      <c r="EI587" s="229"/>
      <c r="EJ587" s="229"/>
      <c r="EK587" s="229"/>
      <c r="EL587" s="305"/>
      <c r="EM587" s="234"/>
      <c r="EN587" s="234"/>
      <c r="EO587" s="234"/>
      <c r="EP587" s="234"/>
      <c r="EQ587" s="233"/>
    </row>
    <row r="588" spans="2:147" ht="11.45" hidden="1" customHeight="1">
      <c r="B588" s="228"/>
      <c r="C588" s="229"/>
      <c r="D588" s="229"/>
      <c r="E588" s="229"/>
      <c r="F588" s="229"/>
      <c r="G588" s="229"/>
      <c r="H588" s="229" t="s">
        <v>679</v>
      </c>
      <c r="I588" s="229"/>
      <c r="J588" s="229" t="s">
        <v>680</v>
      </c>
      <c r="K588" s="229"/>
      <c r="L588" s="296"/>
      <c r="M588" s="296"/>
      <c r="N588" s="296"/>
      <c r="O588" s="229" t="s">
        <v>132</v>
      </c>
      <c r="P588" s="229"/>
      <c r="Q588" s="229" t="e">
        <f>TEXT(TRUNC(EP583,0),"#,##0")</f>
        <v>#REF!</v>
      </c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  <c r="AH588" s="229"/>
      <c r="AI588" s="229"/>
      <c r="AJ588" s="229"/>
      <c r="AK588" s="229"/>
      <c r="AL588" s="229"/>
      <c r="AM588" s="229"/>
      <c r="AN588" s="229"/>
      <c r="AO588" s="229"/>
      <c r="AP588" s="229"/>
      <c r="AQ588" s="229"/>
      <c r="AR588" s="229"/>
      <c r="AS588" s="229"/>
      <c r="AT588" s="229"/>
      <c r="AU588" s="229"/>
      <c r="AV588" s="229"/>
      <c r="AW588" s="229"/>
      <c r="AX588" s="229"/>
      <c r="AY588" s="229"/>
      <c r="AZ588" s="229"/>
      <c r="BA588" s="229"/>
      <c r="BB588" s="229"/>
      <c r="BC588" s="229"/>
      <c r="BD588" s="229"/>
      <c r="BE588" s="229"/>
      <c r="BF588" s="229"/>
      <c r="BG588" s="229"/>
      <c r="BH588" s="229"/>
      <c r="BI588" s="229"/>
      <c r="BJ588" s="229"/>
      <c r="BK588" s="229"/>
      <c r="BL588" s="229"/>
      <c r="BM588" s="229"/>
      <c r="BN588" s="229"/>
      <c r="BO588" s="229"/>
      <c r="BP588" s="229"/>
      <c r="BQ588" s="229"/>
      <c r="BR588" s="229"/>
      <c r="BS588" s="296"/>
      <c r="BT588" s="229"/>
      <c r="BU588" s="229"/>
      <c r="BV588" s="229"/>
      <c r="BW588" s="229"/>
      <c r="BX588" s="229"/>
      <c r="BY588" s="229"/>
      <c r="BZ588" s="229"/>
      <c r="CA588" s="229"/>
      <c r="CB588" s="229"/>
      <c r="CC588" s="229"/>
      <c r="CD588" s="229"/>
      <c r="CE588" s="229"/>
      <c r="CF588" s="229"/>
      <c r="CG588" s="229"/>
      <c r="CH588" s="229"/>
      <c r="CI588" s="229"/>
      <c r="CJ588" s="229"/>
      <c r="CK588" s="229"/>
      <c r="CL588" s="229"/>
      <c r="CM588" s="229"/>
      <c r="CN588" s="229"/>
      <c r="CO588" s="229"/>
      <c r="CP588" s="229"/>
      <c r="CQ588" s="229"/>
      <c r="CR588" s="229"/>
      <c r="CS588" s="229"/>
      <c r="CT588" s="229"/>
      <c r="CU588" s="229"/>
      <c r="CV588" s="229"/>
      <c r="CW588" s="229"/>
      <c r="CX588" s="229"/>
      <c r="CY588" s="229"/>
      <c r="CZ588" s="229"/>
      <c r="DA588" s="229"/>
      <c r="DB588" s="229"/>
      <c r="DC588" s="229"/>
      <c r="DD588" s="229"/>
      <c r="DE588" s="229"/>
      <c r="DF588" s="229"/>
      <c r="DG588" s="229"/>
      <c r="DH588" s="229"/>
      <c r="DI588" s="229"/>
      <c r="DJ588" s="229"/>
      <c r="DK588" s="229"/>
      <c r="DL588" s="229"/>
      <c r="DM588" s="229"/>
      <c r="DN588" s="229"/>
      <c r="DO588" s="229"/>
      <c r="DP588" s="229"/>
      <c r="DQ588" s="229"/>
      <c r="DR588" s="229"/>
      <c r="DS588" s="229"/>
      <c r="DT588" s="229"/>
      <c r="DU588" s="229"/>
      <c r="DV588" s="229"/>
      <c r="DW588" s="229"/>
      <c r="DX588" s="229"/>
      <c r="DY588" s="229"/>
      <c r="DZ588" s="229"/>
      <c r="EA588" s="229"/>
      <c r="EB588" s="229"/>
      <c r="EC588" s="229"/>
      <c r="ED588" s="229"/>
      <c r="EE588" s="229"/>
      <c r="EF588" s="229"/>
      <c r="EG588" s="229"/>
      <c r="EH588" s="229"/>
      <c r="EI588" s="229"/>
      <c r="EJ588" s="229"/>
      <c r="EK588" s="229"/>
      <c r="EL588" s="305"/>
      <c r="EM588" s="234"/>
      <c r="EN588" s="234"/>
      <c r="EO588" s="234"/>
      <c r="EP588" s="234"/>
      <c r="EQ588" s="233"/>
    </row>
    <row r="589" spans="2:147" ht="11.45" hidden="1" customHeight="1">
      <c r="B589" s="228"/>
      <c r="C589" s="229"/>
      <c r="D589" s="229"/>
      <c r="E589" s="229"/>
      <c r="F589" s="229"/>
      <c r="G589" s="229"/>
      <c r="H589" s="229"/>
      <c r="I589" s="229"/>
      <c r="J589" s="229" t="s">
        <v>96</v>
      </c>
      <c r="K589" s="229"/>
      <c r="L589" s="296"/>
      <c r="M589" s="296"/>
      <c r="N589" s="296"/>
      <c r="O589" s="229" t="s">
        <v>132</v>
      </c>
      <c r="P589" s="229"/>
      <c r="Q589" s="229" t="e">
        <f>TEXT(AG586+AR587+Q588,"#,##0")</f>
        <v>#REF!</v>
      </c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  <c r="AH589" s="229"/>
      <c r="AI589" s="229"/>
      <c r="AJ589" s="229"/>
      <c r="AK589" s="229"/>
      <c r="AL589" s="229"/>
      <c r="AM589" s="229"/>
      <c r="AN589" s="229"/>
      <c r="AO589" s="229"/>
      <c r="AP589" s="229"/>
      <c r="AQ589" s="229"/>
      <c r="AR589" s="229"/>
      <c r="AS589" s="229"/>
      <c r="AT589" s="229"/>
      <c r="AU589" s="229"/>
      <c r="AV589" s="229"/>
      <c r="AW589" s="229"/>
      <c r="AX589" s="229"/>
      <c r="AY589" s="229"/>
      <c r="AZ589" s="229"/>
      <c r="BA589" s="229"/>
      <c r="BB589" s="229"/>
      <c r="BC589" s="229"/>
      <c r="BD589" s="229"/>
      <c r="BE589" s="229"/>
      <c r="BF589" s="229"/>
      <c r="BG589" s="229"/>
      <c r="BH589" s="229"/>
      <c r="BI589" s="229"/>
      <c r="BJ589" s="229"/>
      <c r="BK589" s="229"/>
      <c r="BL589" s="229"/>
      <c r="BM589" s="229"/>
      <c r="BN589" s="229"/>
      <c r="BO589" s="229"/>
      <c r="BP589" s="229"/>
      <c r="BQ589" s="229"/>
      <c r="BR589" s="229"/>
      <c r="BS589" s="296"/>
      <c r="BT589" s="229"/>
      <c r="BU589" s="229"/>
      <c r="BV589" s="229"/>
      <c r="BW589" s="229"/>
      <c r="BX589" s="229"/>
      <c r="BY589" s="229"/>
      <c r="BZ589" s="229"/>
      <c r="CA589" s="229"/>
      <c r="CB589" s="229"/>
      <c r="CC589" s="229"/>
      <c r="CD589" s="229"/>
      <c r="CE589" s="229"/>
      <c r="CF589" s="229"/>
      <c r="CG589" s="229"/>
      <c r="CH589" s="229"/>
      <c r="CI589" s="229"/>
      <c r="CJ589" s="229"/>
      <c r="CK589" s="229"/>
      <c r="CL589" s="229"/>
      <c r="CM589" s="229"/>
      <c r="CN589" s="229"/>
      <c r="CO589" s="229"/>
      <c r="CP589" s="229"/>
      <c r="CQ589" s="229"/>
      <c r="CR589" s="229"/>
      <c r="CS589" s="229"/>
      <c r="CT589" s="229"/>
      <c r="CU589" s="229"/>
      <c r="CV589" s="229"/>
      <c r="CW589" s="229"/>
      <c r="CX589" s="229"/>
      <c r="CY589" s="229"/>
      <c r="CZ589" s="229"/>
      <c r="DA589" s="229"/>
      <c r="DB589" s="229"/>
      <c r="DC589" s="229"/>
      <c r="DD589" s="229"/>
      <c r="DE589" s="229"/>
      <c r="DF589" s="229"/>
      <c r="DG589" s="229"/>
      <c r="DH589" s="229"/>
      <c r="DI589" s="229"/>
      <c r="DJ589" s="229"/>
      <c r="DK589" s="229"/>
      <c r="DL589" s="229"/>
      <c r="DM589" s="229"/>
      <c r="DN589" s="229"/>
      <c r="DO589" s="229"/>
      <c r="DP589" s="229"/>
      <c r="DQ589" s="229"/>
      <c r="DR589" s="229"/>
      <c r="DS589" s="229"/>
      <c r="DT589" s="229"/>
      <c r="DU589" s="229"/>
      <c r="DV589" s="229"/>
      <c r="DW589" s="229"/>
      <c r="DX589" s="229"/>
      <c r="DY589" s="229"/>
      <c r="DZ589" s="229"/>
      <c r="EA589" s="229"/>
      <c r="EB589" s="229"/>
      <c r="EC589" s="229"/>
      <c r="ED589" s="229"/>
      <c r="EE589" s="229"/>
      <c r="EF589" s="229"/>
      <c r="EG589" s="229"/>
      <c r="EH589" s="229"/>
      <c r="EI589" s="229"/>
      <c r="EJ589" s="229"/>
      <c r="EK589" s="229"/>
      <c r="EL589" s="305"/>
      <c r="EM589" s="235" t="e">
        <f>EN589+EO589+EP589</f>
        <v>#REF!</v>
      </c>
      <c r="EN589" s="234" t="e">
        <f>TEXT(AG586,"#,##0")</f>
        <v>#REF!</v>
      </c>
      <c r="EO589" s="234" t="e">
        <f>TEXT(AR587,"#,##0")</f>
        <v>#REF!</v>
      </c>
      <c r="EP589" s="234" t="e">
        <f>TEXT(Q588,"#,##0")</f>
        <v>#REF!</v>
      </c>
      <c r="EQ589" s="233"/>
    </row>
    <row r="590" spans="2:147" ht="11.45" hidden="1" customHeight="1">
      <c r="B590" s="228"/>
      <c r="C590" s="229"/>
      <c r="D590" s="229"/>
      <c r="E590" s="229"/>
      <c r="F590" s="229"/>
      <c r="G590" s="229"/>
      <c r="H590" s="229"/>
      <c r="I590" s="229"/>
      <c r="J590" s="229"/>
      <c r="K590" s="229"/>
      <c r="L590" s="296"/>
      <c r="M590" s="296"/>
      <c r="N590" s="296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  <c r="AH590" s="229"/>
      <c r="AI590" s="229"/>
      <c r="AJ590" s="229"/>
      <c r="AK590" s="229"/>
      <c r="AL590" s="229"/>
      <c r="AM590" s="229"/>
      <c r="AN590" s="229"/>
      <c r="AO590" s="229"/>
      <c r="AP590" s="229"/>
      <c r="AQ590" s="229"/>
      <c r="AR590" s="229"/>
      <c r="AS590" s="229"/>
      <c r="AT590" s="229"/>
      <c r="AU590" s="229"/>
      <c r="AV590" s="229"/>
      <c r="AW590" s="229"/>
      <c r="AX590" s="229"/>
      <c r="AY590" s="229"/>
      <c r="AZ590" s="229"/>
      <c r="BA590" s="229"/>
      <c r="BB590" s="229"/>
      <c r="BC590" s="229"/>
      <c r="BD590" s="229"/>
      <c r="BE590" s="229"/>
      <c r="BF590" s="229"/>
      <c r="BG590" s="229"/>
      <c r="BH590" s="229"/>
      <c r="BI590" s="229"/>
      <c r="BJ590" s="229"/>
      <c r="BK590" s="229"/>
      <c r="BL590" s="229"/>
      <c r="BM590" s="229"/>
      <c r="BN590" s="229"/>
      <c r="BO590" s="229"/>
      <c r="BP590" s="229"/>
      <c r="BQ590" s="229"/>
      <c r="BR590" s="229"/>
      <c r="BS590" s="296"/>
      <c r="BT590" s="229"/>
      <c r="BU590" s="229"/>
      <c r="BV590" s="229"/>
      <c r="BW590" s="229"/>
      <c r="BX590" s="229"/>
      <c r="BY590" s="229"/>
      <c r="BZ590" s="229"/>
      <c r="CA590" s="229"/>
      <c r="CB590" s="229"/>
      <c r="CC590" s="229"/>
      <c r="CD590" s="229"/>
      <c r="CE590" s="229"/>
      <c r="CF590" s="229"/>
      <c r="CG590" s="229"/>
      <c r="CH590" s="229"/>
      <c r="CI590" s="229"/>
      <c r="CJ590" s="229"/>
      <c r="CK590" s="229"/>
      <c r="CL590" s="229"/>
      <c r="CM590" s="229"/>
      <c r="CN590" s="229"/>
      <c r="CO590" s="229"/>
      <c r="CP590" s="229"/>
      <c r="CQ590" s="229"/>
      <c r="CR590" s="229"/>
      <c r="CS590" s="229"/>
      <c r="CT590" s="229"/>
      <c r="CU590" s="229"/>
      <c r="CV590" s="229"/>
      <c r="CW590" s="229"/>
      <c r="CX590" s="229"/>
      <c r="CY590" s="229"/>
      <c r="CZ590" s="229"/>
      <c r="DA590" s="229"/>
      <c r="DB590" s="229"/>
      <c r="DC590" s="229"/>
      <c r="DD590" s="229"/>
      <c r="DE590" s="229"/>
      <c r="DF590" s="229"/>
      <c r="DG590" s="229"/>
      <c r="DH590" s="229"/>
      <c r="DI590" s="229"/>
      <c r="DJ590" s="229"/>
      <c r="DK590" s="229"/>
      <c r="DL590" s="229"/>
      <c r="DM590" s="229"/>
      <c r="DN590" s="229"/>
      <c r="DO590" s="229"/>
      <c r="DP590" s="229"/>
      <c r="DQ590" s="229"/>
      <c r="DR590" s="229"/>
      <c r="DS590" s="229"/>
      <c r="DT590" s="229"/>
      <c r="DU590" s="229"/>
      <c r="DV590" s="229"/>
      <c r="DW590" s="229"/>
      <c r="DX590" s="229"/>
      <c r="DY590" s="229"/>
      <c r="DZ590" s="229"/>
      <c r="EA590" s="229"/>
      <c r="EB590" s="229"/>
      <c r="EC590" s="229"/>
      <c r="ED590" s="229"/>
      <c r="EE590" s="229"/>
      <c r="EF590" s="229"/>
      <c r="EG590" s="229"/>
      <c r="EH590" s="229"/>
      <c r="EI590" s="229"/>
      <c r="EJ590" s="229"/>
      <c r="EK590" s="229"/>
      <c r="EL590" s="305"/>
      <c r="EM590" s="234"/>
      <c r="EN590" s="234"/>
      <c r="EO590" s="234"/>
      <c r="EP590" s="234"/>
      <c r="EQ590" s="233"/>
    </row>
    <row r="591" spans="2:147" ht="11.45" hidden="1" customHeight="1">
      <c r="B591" s="228"/>
      <c r="C591" s="229"/>
      <c r="D591" s="229"/>
      <c r="E591" s="229"/>
      <c r="F591" s="229"/>
      <c r="G591" s="229"/>
      <c r="H591" s="229"/>
      <c r="I591" s="229"/>
      <c r="J591" s="229"/>
      <c r="K591" s="229"/>
      <c r="L591" s="296"/>
      <c r="M591" s="296"/>
      <c r="N591" s="296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  <c r="AH591" s="229"/>
      <c r="AI591" s="229"/>
      <c r="AJ591" s="229"/>
      <c r="AK591" s="229"/>
      <c r="AL591" s="229"/>
      <c r="AM591" s="229"/>
      <c r="AN591" s="229"/>
      <c r="AO591" s="229"/>
      <c r="AP591" s="229"/>
      <c r="AQ591" s="229"/>
      <c r="AR591" s="229"/>
      <c r="AS591" s="229"/>
      <c r="AT591" s="229"/>
      <c r="AU591" s="229"/>
      <c r="AV591" s="229"/>
      <c r="AW591" s="229"/>
      <c r="AX591" s="229"/>
      <c r="AY591" s="229"/>
      <c r="AZ591" s="229"/>
      <c r="BA591" s="229"/>
      <c r="BB591" s="229"/>
      <c r="BC591" s="229"/>
      <c r="BD591" s="229"/>
      <c r="BE591" s="229"/>
      <c r="BF591" s="229"/>
      <c r="BG591" s="229"/>
      <c r="BH591" s="229"/>
      <c r="BI591" s="229"/>
      <c r="BJ591" s="229"/>
      <c r="BK591" s="229"/>
      <c r="BL591" s="229"/>
      <c r="BM591" s="229"/>
      <c r="BN591" s="229"/>
      <c r="BO591" s="229"/>
      <c r="BP591" s="229"/>
      <c r="BQ591" s="229"/>
      <c r="BR591" s="229"/>
      <c r="BS591" s="296"/>
      <c r="BT591" s="229"/>
      <c r="BU591" s="229"/>
      <c r="BV591" s="229"/>
      <c r="BW591" s="229"/>
      <c r="BX591" s="229"/>
      <c r="BY591" s="229"/>
      <c r="BZ591" s="229"/>
      <c r="CA591" s="229"/>
      <c r="CB591" s="229"/>
      <c r="CC591" s="229"/>
      <c r="CD591" s="229"/>
      <c r="CE591" s="229"/>
      <c r="CF591" s="229"/>
      <c r="CG591" s="229"/>
      <c r="CH591" s="229"/>
      <c r="CI591" s="229"/>
      <c r="CJ591" s="229"/>
      <c r="CK591" s="229"/>
      <c r="CL591" s="229"/>
      <c r="CM591" s="229"/>
      <c r="CN591" s="229"/>
      <c r="CO591" s="229"/>
      <c r="CP591" s="229"/>
      <c r="CQ591" s="229"/>
      <c r="CR591" s="229"/>
      <c r="CS591" s="229"/>
      <c r="CT591" s="229"/>
      <c r="CU591" s="229"/>
      <c r="CV591" s="229"/>
      <c r="CW591" s="229"/>
      <c r="CX591" s="229"/>
      <c r="CY591" s="229"/>
      <c r="CZ591" s="229"/>
      <c r="DA591" s="229"/>
      <c r="DB591" s="229"/>
      <c r="DC591" s="229"/>
      <c r="DD591" s="229"/>
      <c r="DE591" s="229"/>
      <c r="DF591" s="229"/>
      <c r="DG591" s="229"/>
      <c r="DH591" s="229"/>
      <c r="DI591" s="229"/>
      <c r="DJ591" s="229"/>
      <c r="DK591" s="229"/>
      <c r="DL591" s="229"/>
      <c r="DM591" s="229"/>
      <c r="DN591" s="229"/>
      <c r="DO591" s="229"/>
      <c r="DP591" s="229"/>
      <c r="DQ591" s="229"/>
      <c r="DR591" s="229"/>
      <c r="DS591" s="229"/>
      <c r="DT591" s="229"/>
      <c r="DU591" s="229"/>
      <c r="DV591" s="229"/>
      <c r="DW591" s="229"/>
      <c r="DX591" s="229"/>
      <c r="DY591" s="229"/>
      <c r="DZ591" s="229"/>
      <c r="EA591" s="229"/>
      <c r="EB591" s="229"/>
      <c r="EC591" s="229"/>
      <c r="ED591" s="229"/>
      <c r="EE591" s="229"/>
      <c r="EF591" s="229"/>
      <c r="EG591" s="229"/>
      <c r="EH591" s="229"/>
      <c r="EI591" s="229"/>
      <c r="EJ591" s="229"/>
      <c r="EK591" s="229"/>
      <c r="EL591" s="305"/>
      <c r="EM591" s="234"/>
      <c r="EN591" s="234"/>
      <c r="EO591" s="234"/>
      <c r="EP591" s="234"/>
      <c r="EQ591" s="233"/>
    </row>
    <row r="592" spans="2:147" ht="11.45" hidden="1" customHeight="1">
      <c r="B592" s="228"/>
      <c r="C592" s="229"/>
      <c r="D592" s="229"/>
      <c r="E592" s="229"/>
      <c r="F592" s="229"/>
      <c r="G592" s="229"/>
      <c r="H592" s="229"/>
      <c r="I592" s="229"/>
      <c r="J592" s="229"/>
      <c r="K592" s="229"/>
      <c r="L592" s="296"/>
      <c r="M592" s="296"/>
      <c r="N592" s="296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29"/>
      <c r="AN592" s="229"/>
      <c r="AO592" s="229"/>
      <c r="AP592" s="229"/>
      <c r="AQ592" s="229"/>
      <c r="AR592" s="229"/>
      <c r="AS592" s="229"/>
      <c r="AT592" s="229"/>
      <c r="AU592" s="229"/>
      <c r="AV592" s="229"/>
      <c r="AW592" s="229"/>
      <c r="AX592" s="229"/>
      <c r="AY592" s="229"/>
      <c r="AZ592" s="229"/>
      <c r="BA592" s="229"/>
      <c r="BB592" s="229"/>
      <c r="BC592" s="229"/>
      <c r="BD592" s="229"/>
      <c r="BE592" s="229"/>
      <c r="BF592" s="229"/>
      <c r="BG592" s="229"/>
      <c r="BH592" s="229"/>
      <c r="BI592" s="229"/>
      <c r="BJ592" s="229"/>
      <c r="BK592" s="229"/>
      <c r="BL592" s="229"/>
      <c r="BM592" s="229"/>
      <c r="BN592" s="229"/>
      <c r="BO592" s="229"/>
      <c r="BP592" s="229"/>
      <c r="BQ592" s="229"/>
      <c r="BR592" s="229"/>
      <c r="BS592" s="296"/>
      <c r="BT592" s="229"/>
      <c r="BU592" s="229"/>
      <c r="BV592" s="229"/>
      <c r="BW592" s="229"/>
      <c r="BX592" s="229"/>
      <c r="BY592" s="229"/>
      <c r="BZ592" s="229"/>
      <c r="CA592" s="229"/>
      <c r="CB592" s="229"/>
      <c r="CC592" s="229"/>
      <c r="CD592" s="229"/>
      <c r="CE592" s="229"/>
      <c r="CF592" s="229"/>
      <c r="CG592" s="229"/>
      <c r="CH592" s="229"/>
      <c r="CI592" s="229"/>
      <c r="CJ592" s="229"/>
      <c r="CK592" s="229"/>
      <c r="CL592" s="229"/>
      <c r="CM592" s="229"/>
      <c r="CN592" s="229"/>
      <c r="CO592" s="229"/>
      <c r="CP592" s="229"/>
      <c r="CQ592" s="229"/>
      <c r="CR592" s="229"/>
      <c r="CS592" s="229"/>
      <c r="CT592" s="229"/>
      <c r="CU592" s="229"/>
      <c r="CV592" s="229"/>
      <c r="CW592" s="229"/>
      <c r="CX592" s="229"/>
      <c r="CY592" s="229"/>
      <c r="CZ592" s="229"/>
      <c r="DA592" s="229"/>
      <c r="DB592" s="229"/>
      <c r="DC592" s="229"/>
      <c r="DD592" s="229"/>
      <c r="DE592" s="229"/>
      <c r="DF592" s="229"/>
      <c r="DG592" s="229"/>
      <c r="DH592" s="229"/>
      <c r="DI592" s="229"/>
      <c r="DJ592" s="229"/>
      <c r="DK592" s="229"/>
      <c r="DL592" s="229"/>
      <c r="DM592" s="229"/>
      <c r="DN592" s="229"/>
      <c r="DO592" s="229"/>
      <c r="DP592" s="229"/>
      <c r="DQ592" s="229"/>
      <c r="DR592" s="229"/>
      <c r="DS592" s="229"/>
      <c r="DT592" s="229"/>
      <c r="DU592" s="229"/>
      <c r="DV592" s="229"/>
      <c r="DW592" s="229"/>
      <c r="DX592" s="229"/>
      <c r="DY592" s="229"/>
      <c r="DZ592" s="229"/>
      <c r="EA592" s="229"/>
      <c r="EB592" s="229"/>
      <c r="EC592" s="229"/>
      <c r="ED592" s="229"/>
      <c r="EE592" s="229"/>
      <c r="EF592" s="229"/>
      <c r="EG592" s="229"/>
      <c r="EH592" s="229"/>
      <c r="EI592" s="229"/>
      <c r="EJ592" s="229"/>
      <c r="EK592" s="229"/>
      <c r="EL592" s="305"/>
      <c r="EM592" s="234"/>
      <c r="EN592" s="234"/>
      <c r="EO592" s="234"/>
      <c r="EP592" s="234"/>
      <c r="EQ592" s="233"/>
    </row>
    <row r="593" spans="1:149" ht="11.45" hidden="1" customHeight="1">
      <c r="B593" s="230"/>
      <c r="C593" s="227"/>
      <c r="D593" s="227"/>
      <c r="E593" s="227"/>
      <c r="F593" s="227"/>
      <c r="G593" s="227"/>
      <c r="H593" s="227"/>
      <c r="I593" s="227"/>
      <c r="J593" s="227"/>
      <c r="K593" s="227"/>
      <c r="L593" s="299"/>
      <c r="M593" s="299"/>
      <c r="N593" s="299"/>
      <c r="O593" s="227"/>
      <c r="P593" s="227"/>
      <c r="Q593" s="227"/>
      <c r="R593" s="227"/>
      <c r="S593" s="227"/>
      <c r="T593" s="227"/>
      <c r="U593" s="227"/>
      <c r="V593" s="227"/>
      <c r="W593" s="227"/>
      <c r="X593" s="227"/>
      <c r="Y593" s="227"/>
      <c r="Z593" s="227"/>
      <c r="AA593" s="227"/>
      <c r="AB593" s="227"/>
      <c r="AC593" s="227"/>
      <c r="AD593" s="227"/>
      <c r="AE593" s="227"/>
      <c r="AF593" s="227"/>
      <c r="AG593" s="227"/>
      <c r="AH593" s="227"/>
      <c r="AI593" s="227"/>
      <c r="AJ593" s="227"/>
      <c r="AK593" s="227"/>
      <c r="AL593" s="227"/>
      <c r="AM593" s="227"/>
      <c r="AN593" s="227"/>
      <c r="AO593" s="227"/>
      <c r="AP593" s="227"/>
      <c r="AQ593" s="227"/>
      <c r="AR593" s="227"/>
      <c r="AS593" s="227"/>
      <c r="AT593" s="227"/>
      <c r="AU593" s="227"/>
      <c r="AV593" s="227"/>
      <c r="AW593" s="227"/>
      <c r="AX593" s="227"/>
      <c r="AY593" s="227"/>
      <c r="AZ593" s="227"/>
      <c r="BA593" s="227"/>
      <c r="BB593" s="227"/>
      <c r="BC593" s="227"/>
      <c r="BD593" s="227"/>
      <c r="BE593" s="227"/>
      <c r="BF593" s="227"/>
      <c r="BG593" s="227"/>
      <c r="BH593" s="227"/>
      <c r="BI593" s="227"/>
      <c r="BJ593" s="227"/>
      <c r="BK593" s="227"/>
      <c r="BL593" s="227"/>
      <c r="BM593" s="227"/>
      <c r="BN593" s="227"/>
      <c r="BO593" s="227"/>
      <c r="BP593" s="227"/>
      <c r="BQ593" s="227"/>
      <c r="BR593" s="227"/>
      <c r="BS593" s="299"/>
      <c r="BT593" s="227"/>
      <c r="BU593" s="227"/>
      <c r="BV593" s="227"/>
      <c r="BW593" s="227"/>
      <c r="BX593" s="227"/>
      <c r="BY593" s="227"/>
      <c r="BZ593" s="227"/>
      <c r="CA593" s="227"/>
      <c r="CB593" s="227"/>
      <c r="CC593" s="227"/>
      <c r="CD593" s="227"/>
      <c r="CE593" s="227"/>
      <c r="CF593" s="227"/>
      <c r="CG593" s="227"/>
      <c r="CH593" s="227"/>
      <c r="CI593" s="227"/>
      <c r="CJ593" s="227"/>
      <c r="CK593" s="227"/>
      <c r="CL593" s="227"/>
      <c r="CM593" s="227"/>
      <c r="CN593" s="227"/>
      <c r="CO593" s="227"/>
      <c r="CP593" s="227"/>
      <c r="CQ593" s="227"/>
      <c r="CR593" s="227"/>
      <c r="CS593" s="227"/>
      <c r="CT593" s="227"/>
      <c r="CU593" s="227"/>
      <c r="CV593" s="227"/>
      <c r="CW593" s="227"/>
      <c r="CX593" s="227"/>
      <c r="CY593" s="227"/>
      <c r="CZ593" s="227"/>
      <c r="DA593" s="227"/>
      <c r="DB593" s="227"/>
      <c r="DC593" s="227"/>
      <c r="DD593" s="227"/>
      <c r="DE593" s="227"/>
      <c r="DF593" s="227"/>
      <c r="DG593" s="227"/>
      <c r="DH593" s="227"/>
      <c r="DI593" s="227"/>
      <c r="DJ593" s="227"/>
      <c r="DK593" s="227"/>
      <c r="DL593" s="227"/>
      <c r="DM593" s="227"/>
      <c r="DN593" s="227"/>
      <c r="DO593" s="227"/>
      <c r="DP593" s="227"/>
      <c r="DQ593" s="227"/>
      <c r="DR593" s="227"/>
      <c r="DS593" s="227"/>
      <c r="DT593" s="227"/>
      <c r="DU593" s="227"/>
      <c r="DV593" s="227"/>
      <c r="DW593" s="227"/>
      <c r="DX593" s="227"/>
      <c r="DY593" s="227"/>
      <c r="DZ593" s="227"/>
      <c r="EA593" s="227"/>
      <c r="EB593" s="227"/>
      <c r="EC593" s="227"/>
      <c r="ED593" s="227"/>
      <c r="EE593" s="227"/>
      <c r="EF593" s="227"/>
      <c r="EG593" s="227"/>
      <c r="EH593" s="227"/>
      <c r="EI593" s="227"/>
      <c r="EJ593" s="227"/>
      <c r="EK593" s="227"/>
      <c r="EL593" s="306"/>
      <c r="EM593" s="237"/>
      <c r="EN593" s="237"/>
      <c r="EO593" s="237"/>
      <c r="EP593" s="237"/>
      <c r="EQ593" s="238"/>
    </row>
    <row r="594" spans="1:149" s="243" customFormat="1" ht="11.25" hidden="1" customHeight="1">
      <c r="B594" s="267"/>
      <c r="C594" s="265"/>
      <c r="D594" s="265"/>
      <c r="E594" s="265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  <c r="Z594" s="265"/>
      <c r="AA594" s="265"/>
      <c r="AB594" s="265"/>
      <c r="AC594" s="265"/>
      <c r="AD594" s="265"/>
      <c r="AE594" s="265"/>
      <c r="AF594" s="265"/>
      <c r="AG594" s="265"/>
      <c r="AH594" s="265"/>
      <c r="AI594" s="265"/>
      <c r="AJ594" s="265"/>
      <c r="AK594" s="265"/>
      <c r="AL594" s="265"/>
      <c r="AM594" s="265"/>
      <c r="AN594" s="265"/>
      <c r="AO594" s="265"/>
      <c r="AP594" s="265"/>
      <c r="AQ594" s="265"/>
      <c r="AR594" s="265"/>
      <c r="AS594" s="265"/>
      <c r="AT594" s="265"/>
      <c r="AU594" s="265"/>
      <c r="AV594" s="265"/>
      <c r="AW594" s="265"/>
      <c r="AX594" s="265"/>
      <c r="AY594" s="265"/>
      <c r="AZ594" s="265"/>
      <c r="BA594" s="265"/>
      <c r="BB594" s="265"/>
      <c r="BC594" s="265"/>
      <c r="BD594" s="265"/>
      <c r="BE594" s="265"/>
      <c r="BF594" s="265"/>
      <c r="BG594" s="265"/>
      <c r="BH594" s="265"/>
      <c r="BI594" s="265"/>
      <c r="BJ594" s="265"/>
      <c r="BK594" s="265"/>
      <c r="BL594" s="265"/>
      <c r="BM594" s="265"/>
      <c r="BN594" s="265"/>
      <c r="BO594" s="265"/>
      <c r="BP594" s="265"/>
      <c r="BQ594" s="265"/>
      <c r="BR594" s="265"/>
      <c r="BS594" s="265"/>
      <c r="BT594" s="265"/>
      <c r="BU594" s="265"/>
      <c r="BV594" s="265"/>
      <c r="BW594" s="265"/>
      <c r="BX594" s="265"/>
      <c r="BY594" s="265"/>
      <c r="BZ594" s="265"/>
      <c r="CA594" s="265"/>
      <c r="CB594" s="265"/>
      <c r="CC594" s="265"/>
      <c r="CD594" s="265"/>
      <c r="CE594" s="265"/>
      <c r="CF594" s="265"/>
      <c r="CG594" s="265"/>
      <c r="CH594" s="265"/>
      <c r="CI594" s="265"/>
      <c r="CJ594" s="265"/>
      <c r="CK594" s="265"/>
      <c r="CL594" s="265"/>
      <c r="CM594" s="265"/>
      <c r="CN594" s="265"/>
      <c r="CO594" s="265"/>
      <c r="CP594" s="265"/>
      <c r="CQ594" s="265"/>
      <c r="CR594" s="265"/>
      <c r="CS594" s="265"/>
      <c r="CT594" s="265"/>
      <c r="CU594" s="265"/>
      <c r="CV594" s="265"/>
      <c r="CW594" s="265"/>
      <c r="CX594" s="265"/>
      <c r="CY594" s="314"/>
      <c r="CZ594" s="314"/>
      <c r="DA594" s="314"/>
      <c r="DB594" s="314"/>
      <c r="DC594" s="314"/>
      <c r="DD594" s="314"/>
      <c r="DE594" s="314"/>
      <c r="DF594" s="314"/>
      <c r="DG594" s="314"/>
      <c r="DH594" s="314"/>
      <c r="DI594" s="314"/>
      <c r="DJ594" s="314"/>
      <c r="DK594" s="314"/>
      <c r="DL594" s="314"/>
      <c r="DM594" s="314"/>
      <c r="DN594" s="314"/>
      <c r="DO594" s="314"/>
      <c r="DP594" s="314"/>
      <c r="DQ594" s="314"/>
      <c r="DR594" s="314"/>
      <c r="DS594" s="314"/>
      <c r="DT594" s="314"/>
      <c r="DU594" s="314"/>
      <c r="DV594" s="314"/>
      <c r="DW594" s="314"/>
      <c r="DX594" s="314"/>
      <c r="DY594" s="314"/>
      <c r="DZ594" s="314"/>
      <c r="EA594" s="314"/>
      <c r="EB594" s="314"/>
      <c r="EC594" s="314"/>
      <c r="ED594" s="314"/>
      <c r="EE594" s="314"/>
      <c r="EF594" s="314"/>
      <c r="EG594" s="314"/>
      <c r="EH594" s="314"/>
      <c r="EI594" s="314"/>
      <c r="EJ594" s="314"/>
      <c r="EK594" s="314"/>
      <c r="EL594" s="356"/>
      <c r="EM594" s="269"/>
      <c r="EN594" s="269"/>
      <c r="EO594" s="269"/>
      <c r="EP594" s="269"/>
      <c r="EQ594" s="315"/>
    </row>
    <row r="595" spans="1:149" s="243" customFormat="1" ht="11.25" hidden="1" customHeight="1">
      <c r="A595" s="243">
        <v>16</v>
      </c>
      <c r="B595" s="1782">
        <f>A595</f>
        <v>16</v>
      </c>
      <c r="C595" s="1781"/>
      <c r="D595" s="1781"/>
      <c r="E595" s="344" t="s">
        <v>890</v>
      </c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240"/>
      <c r="BW595" s="240"/>
      <c r="BX595" s="240"/>
      <c r="BY595" s="240"/>
      <c r="BZ595" s="240"/>
      <c r="CA595" s="240"/>
      <c r="CB595" s="240"/>
      <c r="CC595" s="240"/>
      <c r="CD595" s="240"/>
      <c r="CE595" s="240"/>
      <c r="CF595" s="240"/>
      <c r="CG595" s="240"/>
      <c r="CH595" s="240"/>
      <c r="CI595" s="240"/>
      <c r="CJ595" s="240"/>
      <c r="CK595" s="240"/>
      <c r="CL595" s="240"/>
      <c r="CM595" s="240"/>
      <c r="CN595" s="240"/>
      <c r="CO595" s="240"/>
      <c r="CP595" s="240"/>
      <c r="CQ595" s="240"/>
      <c r="CR595" s="240"/>
      <c r="CS595" s="240"/>
      <c r="CT595" s="240"/>
      <c r="CU595" s="240"/>
      <c r="CV595" s="240"/>
      <c r="CW595" s="240"/>
      <c r="CX595" s="240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345"/>
      <c r="EM595" s="242" t="e">
        <f>EM634</f>
        <v>#REF!</v>
      </c>
      <c r="EN595" s="242" t="e">
        <f>EN634</f>
        <v>#REF!</v>
      </c>
      <c r="EO595" s="242" t="e">
        <f>EO634</f>
        <v>#REF!</v>
      </c>
      <c r="EP595" s="242" t="e">
        <f>EP634</f>
        <v>#REF!</v>
      </c>
      <c r="EQ595" s="312" t="s">
        <v>1328</v>
      </c>
      <c r="ES595" s="800">
        <f>A595</f>
        <v>16</v>
      </c>
    </row>
    <row r="596" spans="1:149" s="243" customFormat="1" ht="11.25" hidden="1" customHeight="1">
      <c r="B596" s="244"/>
      <c r="C596" s="240"/>
      <c r="D596" s="240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240"/>
      <c r="BW596" s="240"/>
      <c r="BX596" s="240"/>
      <c r="BY596" s="240"/>
      <c r="BZ596" s="240"/>
      <c r="CA596" s="240"/>
      <c r="CB596" s="240"/>
      <c r="CC596" s="240"/>
      <c r="CD596" s="240"/>
      <c r="CE596" s="240"/>
      <c r="CF596" s="240"/>
      <c r="CG596" s="240"/>
      <c r="CH596" s="240"/>
      <c r="CI596" s="240"/>
      <c r="CJ596" s="240"/>
      <c r="CK596" s="240"/>
      <c r="CL596" s="240"/>
      <c r="CM596" s="240"/>
      <c r="CN596" s="240"/>
      <c r="CO596" s="240"/>
      <c r="CP596" s="240"/>
      <c r="CQ596" s="240"/>
      <c r="CR596" s="240"/>
      <c r="CS596" s="240"/>
      <c r="CT596" s="240"/>
      <c r="CU596" s="240"/>
      <c r="CV596" s="240"/>
      <c r="CW596" s="240"/>
      <c r="CX596" s="240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345"/>
      <c r="EM596" s="245"/>
      <c r="EN596" s="245"/>
      <c r="EO596" s="245"/>
      <c r="EP596" s="245"/>
      <c r="EQ596" s="316"/>
    </row>
    <row r="597" spans="1:149" s="243" customFormat="1" ht="11.25" hidden="1" customHeight="1">
      <c r="B597" s="244"/>
      <c r="C597" s="240"/>
      <c r="D597" s="240" t="s">
        <v>674</v>
      </c>
      <c r="E597" s="240"/>
      <c r="F597" s="240"/>
      <c r="G597" s="240" t="s">
        <v>766</v>
      </c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 t="s">
        <v>814</v>
      </c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240"/>
      <c r="BW597" s="240"/>
      <c r="BX597" s="240"/>
      <c r="BY597" s="240"/>
      <c r="BZ597" s="240"/>
      <c r="CA597" s="240"/>
      <c r="CB597" s="240"/>
      <c r="CC597" s="240"/>
      <c r="CD597" s="240"/>
      <c r="CE597" s="240"/>
      <c r="CF597" s="240"/>
      <c r="CG597" s="240"/>
      <c r="CH597" s="240"/>
      <c r="CI597" s="240"/>
      <c r="CJ597" s="240"/>
      <c r="CK597" s="240"/>
      <c r="CL597" s="240"/>
      <c r="CM597" s="240"/>
      <c r="CN597" s="240"/>
      <c r="CO597" s="240"/>
      <c r="CP597" s="240"/>
      <c r="CQ597" s="240"/>
      <c r="CR597" s="240"/>
      <c r="CS597" s="240"/>
      <c r="CT597" s="240"/>
      <c r="CU597" s="240"/>
      <c r="CV597" s="240"/>
      <c r="CW597" s="240"/>
      <c r="CX597" s="240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345"/>
      <c r="EM597" s="245"/>
      <c r="EN597" s="245"/>
      <c r="EO597" s="245"/>
      <c r="EP597" s="245"/>
      <c r="EQ597" s="316"/>
    </row>
    <row r="598" spans="1:149" s="243" customFormat="1" ht="11.25" hidden="1" customHeight="1">
      <c r="B598" s="244"/>
      <c r="C598" s="240"/>
      <c r="D598" s="240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240"/>
      <c r="BW598" s="240"/>
      <c r="BX598" s="240"/>
      <c r="BY598" s="240"/>
      <c r="BZ598" s="240"/>
      <c r="CA598" s="240"/>
      <c r="CB598" s="240"/>
      <c r="CC598" s="240"/>
      <c r="CD598" s="240"/>
      <c r="CE598" s="240"/>
      <c r="CF598" s="240"/>
      <c r="CG598" s="240"/>
      <c r="CH598" s="240"/>
      <c r="CI598" s="240"/>
      <c r="CJ598" s="240"/>
      <c r="CK598" s="240"/>
      <c r="CL598" s="240"/>
      <c r="CM598" s="240"/>
      <c r="CN598" s="240"/>
      <c r="CO598" s="240"/>
      <c r="CP598" s="240"/>
      <c r="CQ598" s="240"/>
      <c r="CR598" s="240"/>
      <c r="CS598" s="240"/>
      <c r="CT598" s="240"/>
      <c r="CU598" s="240"/>
      <c r="CV598" s="240"/>
      <c r="CW598" s="240"/>
      <c r="CX598" s="240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345"/>
      <c r="EM598" s="245"/>
      <c r="EN598" s="245"/>
      <c r="EO598" s="245"/>
      <c r="EP598" s="245"/>
      <c r="EQ598" s="316"/>
    </row>
    <row r="599" spans="1:149" s="243" customFormat="1" ht="11.25" hidden="1" customHeight="1">
      <c r="B599" s="244"/>
      <c r="C599" s="240"/>
      <c r="D599" s="240"/>
      <c r="E599" s="240"/>
      <c r="F599" s="240"/>
      <c r="G599" s="240" t="s">
        <v>687</v>
      </c>
      <c r="H599" s="240"/>
      <c r="I599" s="240" t="s">
        <v>134</v>
      </c>
      <c r="J599" s="240"/>
      <c r="K599" s="240" t="str">
        <f>TEXT(6.9,"#,##0.#######")</f>
        <v>6.9</v>
      </c>
      <c r="L599" s="240"/>
      <c r="M599" s="240" t="s">
        <v>91</v>
      </c>
      <c r="N599" s="240"/>
      <c r="O599" s="240" t="s">
        <v>139</v>
      </c>
      <c r="P599" s="240" t="s">
        <v>618</v>
      </c>
      <c r="Q599" s="240"/>
      <c r="R599" s="240"/>
      <c r="S599" s="240" t="s">
        <v>147</v>
      </c>
      <c r="T599" s="799" t="s">
        <v>1326</v>
      </c>
      <c r="U599" s="240"/>
      <c r="V599" s="240" t="s">
        <v>768</v>
      </c>
      <c r="W599" s="240"/>
      <c r="X599" s="240"/>
      <c r="Y599" s="240"/>
      <c r="Z599" s="240" t="s">
        <v>148</v>
      </c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240"/>
      <c r="BW599" s="240"/>
      <c r="BX599" s="240"/>
      <c r="BY599" s="240"/>
      <c r="BZ599" s="240"/>
      <c r="CA599" s="240"/>
      <c r="CB599" s="240"/>
      <c r="CC599" s="240"/>
      <c r="CD599" s="240"/>
      <c r="CE599" s="240"/>
      <c r="CF599" s="240"/>
      <c r="CG599" s="240"/>
      <c r="CH599" s="240"/>
      <c r="CI599" s="240"/>
      <c r="CJ599" s="240"/>
      <c r="CK599" s="240"/>
      <c r="CL599" s="240"/>
      <c r="CM599" s="240"/>
      <c r="CN599" s="240"/>
      <c r="CO599" s="240"/>
      <c r="CP599" s="240"/>
      <c r="CQ599" s="240"/>
      <c r="CR599" s="240"/>
      <c r="CS599" s="240"/>
      <c r="CT599" s="240"/>
      <c r="CU599" s="240"/>
      <c r="CV599" s="240"/>
      <c r="CW599" s="240"/>
      <c r="CX599" s="240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345"/>
      <c r="EM599" s="245"/>
      <c r="EN599" s="245"/>
      <c r="EO599" s="245"/>
      <c r="EP599" s="245"/>
      <c r="EQ599" s="316"/>
    </row>
    <row r="600" spans="1:149" s="243" customFormat="1" ht="11.25" hidden="1" customHeight="1">
      <c r="B600" s="244"/>
      <c r="C600" s="240"/>
      <c r="D600" s="240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  <c r="AA600" s="240"/>
      <c r="AB600" s="240"/>
      <c r="AC600" s="240"/>
      <c r="AD600" s="240"/>
      <c r="AE600" s="240"/>
      <c r="AF600" s="240"/>
      <c r="AG600" s="240"/>
      <c r="AH600" s="240"/>
      <c r="AI600" s="240"/>
      <c r="AJ600" s="240"/>
      <c r="AK600" s="240"/>
      <c r="AL600" s="240"/>
      <c r="AM600" s="240"/>
      <c r="AN600" s="240"/>
      <c r="AO600" s="240"/>
      <c r="AP600" s="240"/>
      <c r="AQ600" s="240"/>
      <c r="AR600" s="240"/>
      <c r="AS600" s="240"/>
      <c r="AT600" s="240"/>
      <c r="AU600" s="240"/>
      <c r="AV600" s="240"/>
      <c r="AW600" s="240"/>
      <c r="AX600" s="240"/>
      <c r="AY600" s="240"/>
      <c r="AZ600" s="240"/>
      <c r="BA600" s="240"/>
      <c r="BB600" s="240"/>
      <c r="BC600" s="240"/>
      <c r="BD600" s="240"/>
      <c r="BE600" s="240"/>
      <c r="BF600" s="240"/>
      <c r="BG600" s="240"/>
      <c r="BH600" s="240"/>
      <c r="BI600" s="240"/>
      <c r="BJ600" s="240"/>
      <c r="BK600" s="240"/>
      <c r="BL600" s="240"/>
      <c r="BM600" s="240"/>
      <c r="BN600" s="240"/>
      <c r="BO600" s="240"/>
      <c r="BP600" s="240"/>
      <c r="BQ600" s="240"/>
      <c r="BR600" s="240"/>
      <c r="BS600" s="240"/>
      <c r="BT600" s="240"/>
      <c r="BU600" s="240"/>
      <c r="BV600" s="240"/>
      <c r="BW600" s="240"/>
      <c r="BX600" s="240"/>
      <c r="BY600" s="240"/>
      <c r="BZ600" s="240"/>
      <c r="CA600" s="240"/>
      <c r="CB600" s="240"/>
      <c r="CC600" s="240"/>
      <c r="CD600" s="240"/>
      <c r="CE600" s="240"/>
      <c r="CF600" s="240"/>
      <c r="CG600" s="240"/>
      <c r="CH600" s="240"/>
      <c r="CI600" s="240"/>
      <c r="CJ600" s="240"/>
      <c r="CK600" s="240"/>
      <c r="CL600" s="240"/>
      <c r="CM600" s="240"/>
      <c r="CN600" s="240"/>
      <c r="CO600" s="240"/>
      <c r="CP600" s="240"/>
      <c r="CQ600" s="240"/>
      <c r="CR600" s="240"/>
      <c r="CS600" s="240"/>
      <c r="CT600" s="240"/>
      <c r="CU600" s="240"/>
      <c r="CV600" s="240"/>
      <c r="CW600" s="240"/>
      <c r="CX600" s="240"/>
      <c r="CY600" s="241"/>
      <c r="CZ600" s="241"/>
      <c r="DA600" s="241"/>
      <c r="DB600" s="241"/>
      <c r="DC600" s="241"/>
      <c r="DD600" s="241"/>
      <c r="DE600" s="241"/>
      <c r="DF600" s="241"/>
      <c r="DG600" s="241"/>
      <c r="DH600" s="241"/>
      <c r="DI600" s="241"/>
      <c r="DJ600" s="241"/>
      <c r="DK600" s="241"/>
      <c r="DL600" s="241"/>
      <c r="DM600" s="241"/>
      <c r="DN600" s="241"/>
      <c r="DO600" s="241"/>
      <c r="DP600" s="241"/>
      <c r="DQ600" s="241"/>
      <c r="DR600" s="241"/>
      <c r="DS600" s="241"/>
      <c r="DT600" s="241"/>
      <c r="DU600" s="241"/>
      <c r="DV600" s="241"/>
      <c r="DW600" s="241"/>
      <c r="DX600" s="241"/>
      <c r="DY600" s="241"/>
      <c r="DZ600" s="241"/>
      <c r="EA600" s="241"/>
      <c r="EB600" s="241"/>
      <c r="EC600" s="241"/>
      <c r="ED600" s="241"/>
      <c r="EE600" s="241"/>
      <c r="EF600" s="241"/>
      <c r="EG600" s="241"/>
      <c r="EH600" s="241"/>
      <c r="EI600" s="241"/>
      <c r="EJ600" s="241"/>
      <c r="EK600" s="241"/>
      <c r="EL600" s="345"/>
      <c r="EM600" s="245"/>
      <c r="EN600" s="245"/>
      <c r="EO600" s="245"/>
      <c r="EP600" s="245"/>
      <c r="EQ600" s="316"/>
    </row>
    <row r="601" spans="1:149" s="243" customFormat="1" ht="11.25" hidden="1" customHeight="1">
      <c r="B601" s="244"/>
      <c r="C601" s="240"/>
      <c r="D601" s="240"/>
      <c r="E601" s="240"/>
      <c r="F601" s="240"/>
      <c r="G601" s="240" t="s">
        <v>616</v>
      </c>
      <c r="H601" s="240"/>
      <c r="I601" s="240"/>
      <c r="J601" s="240"/>
      <c r="K601" s="240"/>
      <c r="L601" s="240"/>
      <c r="M601" s="240"/>
      <c r="N601" s="240" t="s">
        <v>132</v>
      </c>
      <c r="O601" s="240"/>
      <c r="P601" s="1775" t="e">
        <f>#REF!</f>
        <v>#REF!</v>
      </c>
      <c r="Q601" s="1775"/>
      <c r="R601" s="1775"/>
      <c r="S601" s="1775"/>
      <c r="T601" s="1775"/>
      <c r="U601" s="240" t="s">
        <v>683</v>
      </c>
      <c r="V601" s="240"/>
      <c r="W601" s="240"/>
      <c r="X601" s="240" t="str">
        <f>TEXT(K599,"#,##0.#######")</f>
        <v>6.9</v>
      </c>
      <c r="Y601" s="240"/>
      <c r="Z601" s="240"/>
      <c r="AA601" s="240" t="s">
        <v>134</v>
      </c>
      <c r="AB601" s="240"/>
      <c r="AC601" s="240" t="e">
        <f>TEXT(TRUNC(P601/K599,1),"#,##0.#")</f>
        <v>#REF!</v>
      </c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240"/>
      <c r="BW601" s="240"/>
      <c r="BX601" s="240"/>
      <c r="BY601" s="240"/>
      <c r="BZ601" s="240"/>
      <c r="CA601" s="240"/>
      <c r="CB601" s="240"/>
      <c r="CC601" s="240"/>
      <c r="CD601" s="240"/>
      <c r="CE601" s="240"/>
      <c r="CF601" s="240"/>
      <c r="CG601" s="240"/>
      <c r="CH601" s="240"/>
      <c r="CI601" s="240"/>
      <c r="CJ601" s="240"/>
      <c r="CK601" s="240"/>
      <c r="CL601" s="240"/>
      <c r="CM601" s="240"/>
      <c r="CN601" s="240"/>
      <c r="CO601" s="240"/>
      <c r="CP601" s="240"/>
      <c r="CQ601" s="240"/>
      <c r="CR601" s="240"/>
      <c r="CS601" s="240"/>
      <c r="CT601" s="240"/>
      <c r="CU601" s="240"/>
      <c r="CV601" s="240"/>
      <c r="CW601" s="240"/>
      <c r="CX601" s="240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345"/>
      <c r="EM601" s="245"/>
      <c r="EN601" s="245"/>
      <c r="EO601" s="245"/>
      <c r="EP601" s="245"/>
      <c r="EQ601" s="316"/>
    </row>
    <row r="602" spans="1:149" s="243" customFormat="1" ht="11.25" hidden="1" customHeight="1">
      <c r="B602" s="244"/>
      <c r="C602" s="240"/>
      <c r="D602" s="240"/>
      <c r="E602" s="240"/>
      <c r="F602" s="240"/>
      <c r="G602" s="240" t="s">
        <v>617</v>
      </c>
      <c r="H602" s="240"/>
      <c r="I602" s="240"/>
      <c r="J602" s="240"/>
      <c r="K602" s="240"/>
      <c r="L602" s="240"/>
      <c r="M602" s="240"/>
      <c r="N602" s="240" t="s">
        <v>132</v>
      </c>
      <c r="O602" s="240"/>
      <c r="P602" s="1775" t="e">
        <f>#REF!</f>
        <v>#REF!</v>
      </c>
      <c r="Q602" s="1775"/>
      <c r="R602" s="1775"/>
      <c r="S602" s="1775"/>
      <c r="T602" s="1775"/>
      <c r="U602" s="240" t="s">
        <v>683</v>
      </c>
      <c r="V602" s="240"/>
      <c r="W602" s="240"/>
      <c r="X602" s="240" t="str">
        <f>TEXT(K599,"#,##0.#######")</f>
        <v>6.9</v>
      </c>
      <c r="Y602" s="240"/>
      <c r="Z602" s="240"/>
      <c r="AA602" s="240" t="s">
        <v>134</v>
      </c>
      <c r="AB602" s="240"/>
      <c r="AC602" s="240" t="e">
        <f>TEXT(TRUNC(P602/K599,1),"#,##0.#")</f>
        <v>#REF!</v>
      </c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240"/>
      <c r="BW602" s="240"/>
      <c r="BX602" s="240"/>
      <c r="BY602" s="240"/>
      <c r="BZ602" s="240"/>
      <c r="CA602" s="240"/>
      <c r="CB602" s="240"/>
      <c r="CC602" s="240"/>
      <c r="CD602" s="240"/>
      <c r="CE602" s="240"/>
      <c r="CF602" s="240"/>
      <c r="CG602" s="240"/>
      <c r="CH602" s="240"/>
      <c r="CI602" s="240"/>
      <c r="CJ602" s="240"/>
      <c r="CK602" s="240"/>
      <c r="CL602" s="240"/>
      <c r="CM602" s="240"/>
      <c r="CN602" s="240"/>
      <c r="CO602" s="240"/>
      <c r="CP602" s="240"/>
      <c r="CQ602" s="240"/>
      <c r="CR602" s="240"/>
      <c r="CS602" s="240"/>
      <c r="CT602" s="240"/>
      <c r="CU602" s="240"/>
      <c r="CV602" s="240"/>
      <c r="CW602" s="240"/>
      <c r="CX602" s="240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345"/>
      <c r="EM602" s="245"/>
      <c r="EN602" s="245"/>
      <c r="EO602" s="245"/>
      <c r="EP602" s="245"/>
      <c r="EQ602" s="316"/>
    </row>
    <row r="603" spans="1:149" s="243" customFormat="1" ht="11.25" hidden="1" customHeight="1">
      <c r="B603" s="244"/>
      <c r="C603" s="240"/>
      <c r="D603" s="240"/>
      <c r="E603" s="240"/>
      <c r="F603" s="240"/>
      <c r="G603" s="240" t="s">
        <v>679</v>
      </c>
      <c r="H603" s="240"/>
      <c r="I603" s="240"/>
      <c r="J603" s="240"/>
      <c r="K603" s="240" t="s">
        <v>680</v>
      </c>
      <c r="L603" s="240"/>
      <c r="M603" s="240"/>
      <c r="N603" s="240" t="s">
        <v>132</v>
      </c>
      <c r="O603" s="240"/>
      <c r="P603" s="1775" t="e">
        <f>#REF!</f>
        <v>#REF!</v>
      </c>
      <c r="Q603" s="1775"/>
      <c r="R603" s="1775"/>
      <c r="S603" s="1775"/>
      <c r="T603" s="1775"/>
      <c r="U603" s="240" t="s">
        <v>683</v>
      </c>
      <c r="V603" s="240"/>
      <c r="W603" s="240"/>
      <c r="X603" s="240" t="str">
        <f>TEXT(K599,"#,##0.#######")</f>
        <v>6.9</v>
      </c>
      <c r="Y603" s="240"/>
      <c r="Z603" s="240"/>
      <c r="AA603" s="240" t="s">
        <v>134</v>
      </c>
      <c r="AB603" s="240"/>
      <c r="AC603" s="240" t="e">
        <f>TEXT(TRUNC(P603/K599,1),"#,##0.#")</f>
        <v>#REF!</v>
      </c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240"/>
      <c r="BW603" s="240"/>
      <c r="BX603" s="240"/>
      <c r="BY603" s="240"/>
      <c r="BZ603" s="240"/>
      <c r="CA603" s="240"/>
      <c r="CB603" s="240"/>
      <c r="CC603" s="240"/>
      <c r="CD603" s="240"/>
      <c r="CE603" s="240"/>
      <c r="CF603" s="240"/>
      <c r="CG603" s="240"/>
      <c r="CH603" s="240"/>
      <c r="CI603" s="240"/>
      <c r="CJ603" s="240"/>
      <c r="CK603" s="240"/>
      <c r="CL603" s="240"/>
      <c r="CM603" s="240"/>
      <c r="CN603" s="240"/>
      <c r="CO603" s="240"/>
      <c r="CP603" s="240"/>
      <c r="CQ603" s="240"/>
      <c r="CR603" s="240"/>
      <c r="CS603" s="240"/>
      <c r="CT603" s="240"/>
      <c r="CU603" s="240"/>
      <c r="CV603" s="240"/>
      <c r="CW603" s="240"/>
      <c r="CX603" s="240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345"/>
      <c r="EM603" s="245"/>
      <c r="EN603" s="245"/>
      <c r="EO603" s="245"/>
      <c r="EP603" s="245"/>
      <c r="EQ603" s="316"/>
    </row>
    <row r="604" spans="1:149" s="243" customFormat="1" ht="11.25" hidden="1" customHeight="1">
      <c r="B604" s="244"/>
      <c r="C604" s="240"/>
      <c r="D604" s="240"/>
      <c r="E604" s="240"/>
      <c r="F604" s="240"/>
      <c r="G604" s="240" t="s">
        <v>688</v>
      </c>
      <c r="H604" s="240"/>
      <c r="I604" s="240"/>
      <c r="J604" s="240"/>
      <c r="K604" s="240" t="s">
        <v>96</v>
      </c>
      <c r="L604" s="240"/>
      <c r="M604" s="240"/>
      <c r="N604" s="240" t="s">
        <v>132</v>
      </c>
      <c r="O604" s="240"/>
      <c r="P604" s="240" t="e">
        <f>TEXT(AC601+AC602+AC603,"#,##0.#######")</f>
        <v>#REF!</v>
      </c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240"/>
      <c r="BW604" s="240"/>
      <c r="BX604" s="240"/>
      <c r="BY604" s="240"/>
      <c r="BZ604" s="240"/>
      <c r="CA604" s="240"/>
      <c r="CB604" s="240"/>
      <c r="CC604" s="240"/>
      <c r="CD604" s="240"/>
      <c r="CE604" s="240"/>
      <c r="CF604" s="240"/>
      <c r="CG604" s="240"/>
      <c r="CH604" s="240"/>
      <c r="CI604" s="240"/>
      <c r="CJ604" s="240"/>
      <c r="CK604" s="240"/>
      <c r="CL604" s="240"/>
      <c r="CM604" s="240"/>
      <c r="CN604" s="240"/>
      <c r="CO604" s="240"/>
      <c r="CP604" s="240"/>
      <c r="CQ604" s="240"/>
      <c r="CR604" s="240"/>
      <c r="CS604" s="240"/>
      <c r="CT604" s="240"/>
      <c r="CU604" s="240"/>
      <c r="CV604" s="240"/>
      <c r="CW604" s="240"/>
      <c r="CX604" s="240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345"/>
      <c r="EM604" s="245" t="e">
        <f>EN604+EO604+EP604</f>
        <v>#REF!</v>
      </c>
      <c r="EN604" s="245" t="e">
        <f>TEXT(AC601,"#,###.0")</f>
        <v>#REF!</v>
      </c>
      <c r="EO604" s="245" t="e">
        <f>TEXT(AC602,"#,###.0")</f>
        <v>#REF!</v>
      </c>
      <c r="EP604" s="245" t="e">
        <f>TEXT(AC603,"#,###.0")</f>
        <v>#REF!</v>
      </c>
      <c r="EQ604" s="316"/>
    </row>
    <row r="605" spans="1:149" s="243" customFormat="1" ht="11.25" hidden="1" customHeight="1">
      <c r="B605" s="244"/>
      <c r="C605" s="240"/>
      <c r="D605" s="240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240"/>
      <c r="BW605" s="240"/>
      <c r="BX605" s="240"/>
      <c r="BY605" s="240"/>
      <c r="BZ605" s="240"/>
      <c r="CA605" s="240"/>
      <c r="CB605" s="240"/>
      <c r="CC605" s="240"/>
      <c r="CD605" s="240"/>
      <c r="CE605" s="240"/>
      <c r="CF605" s="240"/>
      <c r="CG605" s="240"/>
      <c r="CH605" s="240"/>
      <c r="CI605" s="240"/>
      <c r="CJ605" s="240"/>
      <c r="CK605" s="240"/>
      <c r="CL605" s="240"/>
      <c r="CM605" s="240"/>
      <c r="CN605" s="240"/>
      <c r="CO605" s="240"/>
      <c r="CP605" s="240"/>
      <c r="CQ605" s="240"/>
      <c r="CR605" s="240"/>
      <c r="CS605" s="240"/>
      <c r="CT605" s="240"/>
      <c r="CU605" s="240"/>
      <c r="CV605" s="240"/>
      <c r="CW605" s="240"/>
      <c r="CX605" s="240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345"/>
      <c r="EM605" s="245"/>
      <c r="EN605" s="245"/>
      <c r="EO605" s="245"/>
      <c r="EP605" s="245"/>
      <c r="EQ605" s="316"/>
    </row>
    <row r="606" spans="1:149" s="243" customFormat="1" ht="11.25" hidden="1" customHeight="1">
      <c r="B606" s="244"/>
      <c r="C606" s="240"/>
      <c r="D606" s="240" t="s">
        <v>675</v>
      </c>
      <c r="E606" s="240"/>
      <c r="F606" s="240"/>
      <c r="G606" s="240" t="s">
        <v>769</v>
      </c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  <c r="AA606" s="240"/>
      <c r="AB606" s="240"/>
      <c r="AC606" s="240"/>
      <c r="AD606" s="240"/>
      <c r="AE606" s="240"/>
      <c r="AF606" s="240"/>
      <c r="AG606" s="240"/>
      <c r="AH606" s="240"/>
      <c r="AI606" s="240"/>
      <c r="AJ606" s="240"/>
      <c r="AK606" s="240"/>
      <c r="AL606" s="240"/>
      <c r="AM606" s="240"/>
      <c r="AN606" s="240"/>
      <c r="AO606" s="240"/>
      <c r="AP606" s="240"/>
      <c r="AQ606" s="240"/>
      <c r="AR606" s="240"/>
      <c r="AS606" s="240"/>
      <c r="AT606" s="240"/>
      <c r="AU606" s="240"/>
      <c r="AV606" s="240"/>
      <c r="AW606" s="240"/>
      <c r="AX606" s="240"/>
      <c r="AY606" s="240"/>
      <c r="AZ606" s="240"/>
      <c r="BA606" s="240"/>
      <c r="BB606" s="240"/>
      <c r="BC606" s="240"/>
      <c r="BD606" s="240"/>
      <c r="BE606" s="240"/>
      <c r="BF606" s="240"/>
      <c r="BG606" s="240"/>
      <c r="BH606" s="240"/>
      <c r="BI606" s="240"/>
      <c r="BJ606" s="240"/>
      <c r="BK606" s="240"/>
      <c r="BL606" s="240"/>
      <c r="BM606" s="240"/>
      <c r="BN606" s="240"/>
      <c r="BO606" s="240"/>
      <c r="BP606" s="240"/>
      <c r="BQ606" s="240"/>
      <c r="BR606" s="240"/>
      <c r="BS606" s="240"/>
      <c r="BT606" s="240"/>
      <c r="BU606" s="240"/>
      <c r="BV606" s="240"/>
      <c r="BW606" s="240"/>
      <c r="BX606" s="240"/>
      <c r="BY606" s="240"/>
      <c r="BZ606" s="240"/>
      <c r="CA606" s="240"/>
      <c r="CB606" s="240"/>
      <c r="CC606" s="240"/>
      <c r="CD606" s="240"/>
      <c r="CE606" s="240"/>
      <c r="CF606" s="240"/>
      <c r="CG606" s="240"/>
      <c r="CH606" s="240"/>
      <c r="CI606" s="240"/>
      <c r="CJ606" s="240"/>
      <c r="CK606" s="240"/>
      <c r="CL606" s="240"/>
      <c r="CM606" s="240"/>
      <c r="CN606" s="240"/>
      <c r="CO606" s="240"/>
      <c r="CP606" s="240"/>
      <c r="CQ606" s="240"/>
      <c r="CR606" s="240"/>
      <c r="CS606" s="240"/>
      <c r="CT606" s="240"/>
      <c r="CU606" s="240"/>
      <c r="CV606" s="240"/>
      <c r="CW606" s="240"/>
      <c r="CX606" s="240"/>
      <c r="CY606" s="241"/>
      <c r="CZ606" s="241"/>
      <c r="DA606" s="241"/>
      <c r="DB606" s="241"/>
      <c r="DC606" s="241"/>
      <c r="DD606" s="241"/>
      <c r="DE606" s="241"/>
      <c r="DF606" s="241"/>
      <c r="DG606" s="241"/>
      <c r="DH606" s="241"/>
      <c r="DI606" s="241"/>
      <c r="DJ606" s="241"/>
      <c r="DK606" s="241"/>
      <c r="DL606" s="241"/>
      <c r="DM606" s="241"/>
      <c r="DN606" s="241"/>
      <c r="DO606" s="241"/>
      <c r="DP606" s="241"/>
      <c r="DQ606" s="241"/>
      <c r="DR606" s="241"/>
      <c r="DS606" s="241"/>
      <c r="DT606" s="241"/>
      <c r="DU606" s="241"/>
      <c r="DV606" s="241"/>
      <c r="DW606" s="241"/>
      <c r="DX606" s="241"/>
      <c r="DY606" s="241"/>
      <c r="DZ606" s="241"/>
      <c r="EA606" s="241"/>
      <c r="EB606" s="241"/>
      <c r="EC606" s="241"/>
      <c r="ED606" s="241"/>
      <c r="EE606" s="241"/>
      <c r="EF606" s="241"/>
      <c r="EG606" s="241"/>
      <c r="EH606" s="241"/>
      <c r="EI606" s="241"/>
      <c r="EJ606" s="241"/>
      <c r="EK606" s="241"/>
      <c r="EL606" s="345"/>
      <c r="EM606" s="245"/>
      <c r="EN606" s="245"/>
      <c r="EO606" s="245"/>
      <c r="EP606" s="245"/>
      <c r="EQ606" s="316"/>
    </row>
    <row r="607" spans="1:149" s="243" customFormat="1" ht="11.25" hidden="1" customHeight="1">
      <c r="B607" s="244"/>
      <c r="C607" s="240"/>
      <c r="D607" s="240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240"/>
      <c r="BW607" s="240"/>
      <c r="BX607" s="240"/>
      <c r="BY607" s="240"/>
      <c r="BZ607" s="240"/>
      <c r="CA607" s="240"/>
      <c r="CB607" s="240"/>
      <c r="CC607" s="240"/>
      <c r="CD607" s="240"/>
      <c r="CE607" s="240"/>
      <c r="CF607" s="240"/>
      <c r="CG607" s="240"/>
      <c r="CH607" s="240"/>
      <c r="CI607" s="240"/>
      <c r="CJ607" s="240"/>
      <c r="CK607" s="240"/>
      <c r="CL607" s="240"/>
      <c r="CM607" s="240"/>
      <c r="CN607" s="240"/>
      <c r="CO607" s="240"/>
      <c r="CP607" s="240"/>
      <c r="CQ607" s="240"/>
      <c r="CR607" s="240"/>
      <c r="CS607" s="240"/>
      <c r="CT607" s="240"/>
      <c r="CU607" s="240"/>
      <c r="CV607" s="240"/>
      <c r="CW607" s="240"/>
      <c r="CX607" s="240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345"/>
      <c r="EM607" s="245"/>
      <c r="EN607" s="245"/>
      <c r="EO607" s="245"/>
      <c r="EP607" s="245"/>
      <c r="EQ607" s="316"/>
    </row>
    <row r="608" spans="1:149" s="243" customFormat="1" ht="11.25" hidden="1" customHeight="1">
      <c r="B608" s="244"/>
      <c r="C608" s="240"/>
      <c r="D608" s="240"/>
      <c r="E608" s="240"/>
      <c r="F608" s="240"/>
      <c r="G608" s="240" t="s">
        <v>103</v>
      </c>
      <c r="H608" s="240"/>
      <c r="I608" s="240"/>
      <c r="J608" s="240"/>
      <c r="K608" s="240"/>
      <c r="L608" s="240"/>
      <c r="M608" s="240"/>
      <c r="N608" s="240" t="s">
        <v>132</v>
      </c>
      <c r="O608" s="240"/>
      <c r="P608" s="1775">
        <f>VLOOKUP($G608,노임단가!$A:$B,2,FALSE)</f>
        <v>157068</v>
      </c>
      <c r="Q608" s="1775"/>
      <c r="R608" s="1775"/>
      <c r="S608" s="1775"/>
      <c r="T608" s="1775"/>
      <c r="U608" s="1775"/>
      <c r="V608" s="240" t="s">
        <v>652</v>
      </c>
      <c r="W608" s="240"/>
      <c r="X608" s="240"/>
      <c r="Y608" s="240" t="str">
        <f>TEXT(1,"#,##0.#######")</f>
        <v>1.</v>
      </c>
      <c r="Z608" s="240" t="s">
        <v>102</v>
      </c>
      <c r="AA608" s="240"/>
      <c r="AB608" s="240"/>
      <c r="AC608" s="240" t="s">
        <v>683</v>
      </c>
      <c r="AD608" s="240"/>
      <c r="AE608" s="240"/>
      <c r="AF608" s="240" t="s">
        <v>147</v>
      </c>
      <c r="AG608" s="240" t="str">
        <f>TEXT(8,"#,##0.#######")</f>
        <v>8.</v>
      </c>
      <c r="AH608" s="240" t="s">
        <v>618</v>
      </c>
      <c r="AI608" s="240"/>
      <c r="AJ608" s="240"/>
      <c r="AK608" s="240" t="s">
        <v>652</v>
      </c>
      <c r="AL608" s="240"/>
      <c r="AM608" s="240"/>
      <c r="AN608" s="240" t="str">
        <f>TEXT(K599,"#,##0.#######")</f>
        <v>6.9</v>
      </c>
      <c r="AO608" s="240"/>
      <c r="AP608" s="240" t="s">
        <v>148</v>
      </c>
      <c r="AQ608" s="240"/>
      <c r="AR608" s="240" t="s">
        <v>134</v>
      </c>
      <c r="AS608" s="240"/>
      <c r="AT608" s="240" t="str">
        <f>TEXT(TRUNC(P608*Y608/(AG608*K599),1),"#,##0.#")</f>
        <v>2,845.4</v>
      </c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240"/>
      <c r="BW608" s="240"/>
      <c r="BX608" s="240"/>
      <c r="BY608" s="240"/>
      <c r="BZ608" s="240"/>
      <c r="CA608" s="240"/>
      <c r="CB608" s="240"/>
      <c r="CC608" s="240"/>
      <c r="CD608" s="240"/>
      <c r="CE608" s="240"/>
      <c r="CF608" s="240"/>
      <c r="CG608" s="240"/>
      <c r="CH608" s="240"/>
      <c r="CI608" s="240"/>
      <c r="CJ608" s="240"/>
      <c r="CK608" s="240"/>
      <c r="CL608" s="240"/>
      <c r="CM608" s="240"/>
      <c r="CN608" s="240"/>
      <c r="CO608" s="240"/>
      <c r="CP608" s="240"/>
      <c r="CQ608" s="240"/>
      <c r="CR608" s="240"/>
      <c r="CS608" s="240"/>
      <c r="CT608" s="240"/>
      <c r="CU608" s="240"/>
      <c r="CV608" s="240"/>
      <c r="CW608" s="240"/>
      <c r="CX608" s="240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345"/>
      <c r="EM608" s="245">
        <f>EN608+EO608+EP608</f>
        <v>2845.4</v>
      </c>
      <c r="EN608" s="245" t="str">
        <f>AT608</f>
        <v>2,845.4</v>
      </c>
      <c r="EO608" s="245"/>
      <c r="EP608" s="245"/>
      <c r="EQ608" s="316"/>
    </row>
    <row r="609" spans="2:175" s="243" customFormat="1" ht="11.25" hidden="1" customHeight="1">
      <c r="B609" s="244"/>
      <c r="C609" s="240"/>
      <c r="D609" s="240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240"/>
      <c r="BW609" s="240"/>
      <c r="BX609" s="240"/>
      <c r="BY609" s="240"/>
      <c r="BZ609" s="240"/>
      <c r="CA609" s="240"/>
      <c r="CB609" s="240"/>
      <c r="CC609" s="240"/>
      <c r="CD609" s="240"/>
      <c r="CE609" s="240"/>
      <c r="CF609" s="240"/>
      <c r="CG609" s="240"/>
      <c r="CH609" s="240"/>
      <c r="CI609" s="240"/>
      <c r="CJ609" s="240"/>
      <c r="CK609" s="240"/>
      <c r="CL609" s="240"/>
      <c r="CM609" s="240"/>
      <c r="CN609" s="240"/>
      <c r="CO609" s="240"/>
      <c r="CP609" s="240"/>
      <c r="CQ609" s="240"/>
      <c r="CR609" s="240"/>
      <c r="CS609" s="240"/>
      <c r="CT609" s="240"/>
      <c r="CU609" s="240"/>
      <c r="CV609" s="240"/>
      <c r="CW609" s="240"/>
      <c r="CX609" s="240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345"/>
      <c r="EM609" s="245"/>
      <c r="EN609" s="245"/>
      <c r="EO609" s="245"/>
      <c r="EP609" s="245"/>
      <c r="EQ609" s="316"/>
    </row>
    <row r="610" spans="2:175" s="243" customFormat="1" ht="11.25" hidden="1" customHeight="1">
      <c r="B610" s="244"/>
      <c r="C610" s="240"/>
      <c r="D610" s="240" t="s">
        <v>677</v>
      </c>
      <c r="E610" s="240"/>
      <c r="F610" s="240"/>
      <c r="G610" s="240" t="s">
        <v>770</v>
      </c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240"/>
      <c r="BW610" s="240"/>
      <c r="BX610" s="240"/>
      <c r="BY610" s="240"/>
      <c r="BZ610" s="240"/>
      <c r="CA610" s="240"/>
      <c r="CB610" s="240"/>
      <c r="CC610" s="240"/>
      <c r="CD610" s="240"/>
      <c r="CE610" s="240"/>
      <c r="CF610" s="240"/>
      <c r="CG610" s="240"/>
      <c r="CH610" s="240"/>
      <c r="CI610" s="240"/>
      <c r="CJ610" s="240"/>
      <c r="CK610" s="240"/>
      <c r="CL610" s="240"/>
      <c r="CM610" s="240"/>
      <c r="CN610" s="240"/>
      <c r="CO610" s="240"/>
      <c r="CP610" s="240"/>
      <c r="CQ610" s="240"/>
      <c r="CR610" s="240"/>
      <c r="CS610" s="240"/>
      <c r="CT610" s="240"/>
      <c r="CU610" s="240"/>
      <c r="CV610" s="240"/>
      <c r="CW610" s="240"/>
      <c r="CX610" s="240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345"/>
      <c r="EM610" s="245"/>
      <c r="EN610" s="245"/>
      <c r="EO610" s="245"/>
      <c r="EP610" s="245"/>
      <c r="EQ610" s="316"/>
    </row>
    <row r="611" spans="2:175" s="243" customFormat="1" ht="11.25" hidden="1" customHeight="1">
      <c r="B611" s="244"/>
      <c r="C611" s="240"/>
      <c r="D611" s="240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240"/>
      <c r="BW611" s="240"/>
      <c r="BX611" s="240"/>
      <c r="BY611" s="240"/>
      <c r="BZ611" s="240"/>
      <c r="CA611" s="240"/>
      <c r="CB611" s="240"/>
      <c r="CC611" s="240"/>
      <c r="CD611" s="240"/>
      <c r="CE611" s="240"/>
      <c r="CF611" s="240"/>
      <c r="CG611" s="240"/>
      <c r="CH611" s="240"/>
      <c r="CI611" s="240"/>
      <c r="CJ611" s="240"/>
      <c r="CK611" s="240"/>
      <c r="CL611" s="240"/>
      <c r="CM611" s="240"/>
      <c r="CN611" s="240"/>
      <c r="CO611" s="240"/>
      <c r="CP611" s="240"/>
      <c r="CQ611" s="240"/>
      <c r="CR611" s="240"/>
      <c r="CS611" s="240"/>
      <c r="CT611" s="240"/>
      <c r="CU611" s="240"/>
      <c r="CV611" s="240"/>
      <c r="CW611" s="240"/>
      <c r="CX611" s="240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345"/>
      <c r="EM611" s="245"/>
      <c r="EN611" s="245"/>
      <c r="EO611" s="245"/>
      <c r="EP611" s="245"/>
      <c r="EQ611" s="316"/>
    </row>
    <row r="612" spans="2:175" s="243" customFormat="1" ht="11.25" hidden="1" customHeight="1">
      <c r="B612" s="244"/>
      <c r="C612" s="240"/>
      <c r="D612" s="240"/>
      <c r="E612" s="240"/>
      <c r="F612" s="240"/>
      <c r="G612" s="240" t="s">
        <v>839</v>
      </c>
      <c r="H612" s="240"/>
      <c r="I612" s="240"/>
      <c r="J612" s="240"/>
      <c r="K612" s="240"/>
      <c r="L612" s="240"/>
      <c r="M612" s="240"/>
      <c r="N612" s="240"/>
      <c r="O612" s="240" t="str">
        <f>TEXT(56000,"#,##0.#######")</f>
        <v>56,000.</v>
      </c>
      <c r="P612" s="240"/>
      <c r="Q612" s="240"/>
      <c r="R612" s="240"/>
      <c r="S612" s="240"/>
      <c r="T612" s="240"/>
      <c r="U612" s="240" t="s">
        <v>652</v>
      </c>
      <c r="V612" s="240"/>
      <c r="W612" s="240"/>
      <c r="X612" s="240" t="str">
        <f>TEXT(0.008,"#,##0.#######")</f>
        <v>0.008</v>
      </c>
      <c r="Y612" s="240"/>
      <c r="Z612" s="240"/>
      <c r="AA612" s="240"/>
      <c r="AB612" s="240" t="s">
        <v>370</v>
      </c>
      <c r="AC612" s="240"/>
      <c r="AD612" s="240"/>
      <c r="AE612" s="240" t="s">
        <v>683</v>
      </c>
      <c r="AF612" s="240"/>
      <c r="AG612" s="240"/>
      <c r="AH612" s="240" t="str">
        <f>TEXT(K599,"#,##0.#######")</f>
        <v>6.9</v>
      </c>
      <c r="AI612" s="240"/>
      <c r="AJ612" s="240"/>
      <c r="AK612" s="240" t="s">
        <v>134</v>
      </c>
      <c r="AL612" s="240"/>
      <c r="AM612" s="240" t="str">
        <f>TEXT(TRUNC(O612*X612/K599,1),"#,##0.#")</f>
        <v>64.9</v>
      </c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240"/>
      <c r="BW612" s="240"/>
      <c r="BX612" s="240"/>
      <c r="BY612" s="240"/>
      <c r="BZ612" s="240"/>
      <c r="CA612" s="240"/>
      <c r="CB612" s="240"/>
      <c r="CC612" s="240"/>
      <c r="CD612" s="240"/>
      <c r="CE612" s="240"/>
      <c r="CF612" s="240"/>
      <c r="CG612" s="240"/>
      <c r="CH612" s="240"/>
      <c r="CI612" s="240"/>
      <c r="CJ612" s="240"/>
      <c r="CK612" s="240"/>
      <c r="CL612" s="240"/>
      <c r="CM612" s="240"/>
      <c r="CN612" s="240"/>
      <c r="CO612" s="240"/>
      <c r="CP612" s="240"/>
      <c r="CQ612" s="240"/>
      <c r="CR612" s="240"/>
      <c r="CS612" s="240"/>
      <c r="CT612" s="240"/>
      <c r="CU612" s="240"/>
      <c r="CV612" s="240"/>
      <c r="CW612" s="240"/>
      <c r="CX612" s="240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345"/>
      <c r="EM612" s="245">
        <f>EN612+EO612+EP612</f>
        <v>64.900000000000006</v>
      </c>
      <c r="EN612" s="245"/>
      <c r="EO612" s="245" t="str">
        <f>AM612</f>
        <v>64.9</v>
      </c>
      <c r="EP612" s="245"/>
      <c r="EQ612" s="316"/>
    </row>
    <row r="613" spans="2:175" s="243" customFormat="1" ht="11.25" hidden="1" customHeight="1">
      <c r="B613" s="244"/>
      <c r="C613" s="240"/>
      <c r="D613" s="240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240"/>
      <c r="BW613" s="240"/>
      <c r="BX613" s="240"/>
      <c r="BY613" s="240"/>
      <c r="BZ613" s="240"/>
      <c r="CA613" s="240"/>
      <c r="CB613" s="240"/>
      <c r="CC613" s="240"/>
      <c r="CD613" s="240"/>
      <c r="CE613" s="240"/>
      <c r="CF613" s="240"/>
      <c r="CG613" s="240"/>
      <c r="CH613" s="240"/>
      <c r="CI613" s="240"/>
      <c r="CJ613" s="240"/>
      <c r="CK613" s="240"/>
      <c r="CL613" s="240"/>
      <c r="CM613" s="240"/>
      <c r="CN613" s="240"/>
      <c r="CO613" s="240"/>
      <c r="CP613" s="240"/>
      <c r="CQ613" s="240"/>
      <c r="CR613" s="240"/>
      <c r="CS613" s="240"/>
      <c r="CT613" s="240"/>
      <c r="CU613" s="240"/>
      <c r="CV613" s="240"/>
      <c r="CW613" s="240"/>
      <c r="CX613" s="240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345"/>
      <c r="EM613" s="245"/>
      <c r="EN613" s="245"/>
      <c r="EO613" s="245"/>
      <c r="EP613" s="245"/>
      <c r="EQ613" s="316"/>
    </row>
    <row r="614" spans="2:175" s="243" customFormat="1" ht="11.25" hidden="1" customHeight="1">
      <c r="B614" s="244"/>
      <c r="C614" s="240"/>
      <c r="D614" s="240" t="s">
        <v>695</v>
      </c>
      <c r="E614" s="240"/>
      <c r="F614" s="240"/>
      <c r="G614" s="240" t="s">
        <v>771</v>
      </c>
      <c r="H614" s="240"/>
      <c r="I614" s="240"/>
      <c r="J614" s="240"/>
      <c r="K614" s="240"/>
      <c r="L614" s="240"/>
      <c r="M614" s="240"/>
      <c r="N614" s="240"/>
      <c r="O614" s="240"/>
      <c r="P614" s="240" t="s">
        <v>132</v>
      </c>
      <c r="Q614" s="240"/>
      <c r="R614" s="240" t="s">
        <v>691</v>
      </c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 t="s">
        <v>1327</v>
      </c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240"/>
      <c r="BW614" s="240"/>
      <c r="BX614" s="240"/>
      <c r="BY614" s="240"/>
      <c r="BZ614" s="240"/>
      <c r="CA614" s="240"/>
      <c r="CB614" s="240"/>
      <c r="CC614" s="240"/>
      <c r="CD614" s="240"/>
      <c r="CE614" s="240"/>
      <c r="CF614" s="240"/>
      <c r="CG614" s="240"/>
      <c r="CH614" s="240"/>
      <c r="CI614" s="240"/>
      <c r="CJ614" s="240"/>
      <c r="CK614" s="240"/>
      <c r="CL614" s="240"/>
      <c r="CM614" s="240"/>
      <c r="CN614" s="240"/>
      <c r="CO614" s="240"/>
      <c r="CP614" s="240"/>
      <c r="CQ614" s="240"/>
      <c r="CR614" s="240"/>
      <c r="CS614" s="240"/>
      <c r="CT614" s="240"/>
      <c r="CU614" s="240"/>
      <c r="CV614" s="240"/>
      <c r="CW614" s="240"/>
      <c r="CX614" s="240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345"/>
      <c r="EM614" s="245"/>
      <c r="EN614" s="245"/>
      <c r="EO614" s="245"/>
      <c r="EP614" s="245"/>
      <c r="EQ614" s="316"/>
    </row>
    <row r="615" spans="2:175" s="243" customFormat="1" ht="11.25" hidden="1" customHeight="1">
      <c r="B615" s="244"/>
      <c r="C615" s="240"/>
      <c r="D615" s="240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240"/>
      <c r="BW615" s="240"/>
      <c r="BX615" s="240"/>
      <c r="BY615" s="240"/>
      <c r="BZ615" s="240"/>
      <c r="CA615" s="240"/>
      <c r="CB615" s="240"/>
      <c r="CC615" s="240"/>
      <c r="CD615" s="240"/>
      <c r="CE615" s="240"/>
      <c r="CF615" s="240"/>
      <c r="CG615" s="240"/>
      <c r="CH615" s="240"/>
      <c r="CI615" s="240"/>
      <c r="CJ615" s="240"/>
      <c r="CK615" s="240"/>
      <c r="CL615" s="240"/>
      <c r="CM615" s="240"/>
      <c r="CN615" s="240"/>
      <c r="CO615" s="240"/>
      <c r="CP615" s="240"/>
      <c r="CQ615" s="240"/>
      <c r="CR615" s="240"/>
      <c r="CS615" s="240"/>
      <c r="CT615" s="240"/>
      <c r="CU615" s="240"/>
      <c r="CV615" s="240"/>
      <c r="CW615" s="240"/>
      <c r="CX615" s="240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345"/>
      <c r="EM615" s="245"/>
      <c r="EN615" s="245"/>
      <c r="EO615" s="245"/>
      <c r="EP615" s="245"/>
      <c r="EQ615" s="316"/>
    </row>
    <row r="616" spans="2:175" s="243" customFormat="1" ht="11.25" hidden="1" customHeight="1">
      <c r="B616" s="244"/>
      <c r="C616" s="240"/>
      <c r="D616" s="240"/>
      <c r="E616" s="240"/>
      <c r="F616" s="240"/>
      <c r="G616" s="240" t="s">
        <v>773</v>
      </c>
      <c r="H616" s="240"/>
      <c r="I616" s="240" t="s">
        <v>134</v>
      </c>
      <c r="J616" s="240"/>
      <c r="K616" s="240" t="str">
        <f>TEXT(0.4,"#,##0.#######")</f>
        <v>0.4</v>
      </c>
      <c r="L616" s="240"/>
      <c r="M616" s="240"/>
      <c r="N616" s="240"/>
      <c r="O616" s="240"/>
      <c r="P616" s="240"/>
      <c r="Q616" s="240"/>
      <c r="R616" s="240"/>
      <c r="S616" s="240"/>
      <c r="T616" s="240" t="s">
        <v>774</v>
      </c>
      <c r="U616" s="240"/>
      <c r="V616" s="240" t="s">
        <v>134</v>
      </c>
      <c r="W616" s="240"/>
      <c r="X616" s="240" t="str">
        <f>TEXT(1,"#,##0.#######")</f>
        <v>1.</v>
      </c>
      <c r="Y616" s="240"/>
      <c r="Z616" s="240" t="s">
        <v>139</v>
      </c>
      <c r="AA616" s="240"/>
      <c r="AB616" s="240" t="str">
        <f>TEXT(1.5,"#,##0.#######")</f>
        <v>1.5</v>
      </c>
      <c r="AC616" s="240"/>
      <c r="AD616" s="240"/>
      <c r="AE616" s="240"/>
      <c r="AF616" s="240" t="s">
        <v>134</v>
      </c>
      <c r="AG616" s="240"/>
      <c r="AH616" s="240" t="str">
        <f>TEXT(ROUND(X616/AB616,2),"#,##0.#######")</f>
        <v>0.67</v>
      </c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 t="s">
        <v>775</v>
      </c>
      <c r="AT616" s="240"/>
      <c r="AU616" s="240" t="s">
        <v>134</v>
      </c>
      <c r="AV616" s="240"/>
      <c r="AW616" s="240" t="str">
        <f>TEXT(0.55,"#,##0.#######")</f>
        <v>0.55</v>
      </c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240"/>
      <c r="BW616" s="240"/>
      <c r="BX616" s="240"/>
      <c r="BY616" s="240"/>
      <c r="BZ616" s="240"/>
      <c r="CA616" s="240"/>
      <c r="CB616" s="240"/>
      <c r="CC616" s="240"/>
      <c r="CD616" s="240"/>
      <c r="CE616" s="240"/>
      <c r="CF616" s="240"/>
      <c r="CG616" s="240"/>
      <c r="CH616" s="240"/>
      <c r="CI616" s="240"/>
      <c r="CJ616" s="240"/>
      <c r="CK616" s="240"/>
      <c r="CL616" s="240"/>
      <c r="CM616" s="240"/>
      <c r="CN616" s="240"/>
      <c r="CO616" s="240"/>
      <c r="CP616" s="240"/>
      <c r="CQ616" s="240"/>
      <c r="CR616" s="240"/>
      <c r="CS616" s="240"/>
      <c r="CT616" s="240"/>
      <c r="CU616" s="240"/>
      <c r="CV616" s="240"/>
      <c r="CW616" s="240"/>
      <c r="CX616" s="240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345"/>
      <c r="EM616" s="245"/>
      <c r="EN616" s="245"/>
      <c r="EO616" s="245"/>
      <c r="EP616" s="245"/>
      <c r="EQ616" s="316"/>
    </row>
    <row r="617" spans="2:175" s="243" customFormat="1" ht="11.25" hidden="1" customHeight="1">
      <c r="B617" s="244"/>
      <c r="C617" s="240"/>
      <c r="D617" s="240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240"/>
      <c r="BW617" s="240"/>
      <c r="BX617" s="240"/>
      <c r="BY617" s="240"/>
      <c r="BZ617" s="240"/>
      <c r="CA617" s="240"/>
      <c r="CB617" s="240"/>
      <c r="CC617" s="240"/>
      <c r="CD617" s="240"/>
      <c r="CE617" s="240"/>
      <c r="CF617" s="240"/>
      <c r="CG617" s="240"/>
      <c r="CH617" s="240"/>
      <c r="CI617" s="240"/>
      <c r="CJ617" s="240"/>
      <c r="CK617" s="240"/>
      <c r="CL617" s="240"/>
      <c r="CM617" s="240"/>
      <c r="CN617" s="240"/>
      <c r="CO617" s="240"/>
      <c r="CP617" s="240"/>
      <c r="CQ617" s="240"/>
      <c r="CR617" s="240"/>
      <c r="CS617" s="240"/>
      <c r="CT617" s="240"/>
      <c r="CU617" s="240"/>
      <c r="CV617" s="240"/>
      <c r="CW617" s="240"/>
      <c r="CX617" s="240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345"/>
      <c r="EM617" s="245"/>
      <c r="EN617" s="245"/>
      <c r="EO617" s="245"/>
      <c r="EP617" s="245"/>
      <c r="EQ617" s="316"/>
    </row>
    <row r="618" spans="2:175" s="243" customFormat="1" ht="11.25" hidden="1" customHeight="1">
      <c r="B618" s="244"/>
      <c r="C618" s="240"/>
      <c r="D618" s="240"/>
      <c r="E618" s="240"/>
      <c r="F618" s="240"/>
      <c r="G618" s="240" t="s">
        <v>692</v>
      </c>
      <c r="H618" s="240"/>
      <c r="I618" s="240" t="s">
        <v>134</v>
      </c>
      <c r="J618" s="240"/>
      <c r="K618" s="240" t="str">
        <f>TEXT(0.45,"#,##0.#######")</f>
        <v>0.45</v>
      </c>
      <c r="L618" s="240"/>
      <c r="M618" s="240"/>
      <c r="N618" s="240"/>
      <c r="O618" s="240"/>
      <c r="P618" s="240"/>
      <c r="Q618" s="240"/>
      <c r="R618" s="240"/>
      <c r="S618" s="240"/>
      <c r="T618" s="240" t="s">
        <v>693</v>
      </c>
      <c r="U618" s="240"/>
      <c r="V618" s="240"/>
      <c r="W618" s="240" t="s">
        <v>134</v>
      </c>
      <c r="X618" s="240"/>
      <c r="Y618" s="240" t="str">
        <f>TEXT(18,"#,##0.#######")</f>
        <v>18.</v>
      </c>
      <c r="Z618" s="240"/>
      <c r="AA618" s="240" t="s">
        <v>776</v>
      </c>
      <c r="AB618" s="240"/>
      <c r="AC618" s="240"/>
      <c r="AD618" s="240"/>
      <c r="AE618" s="240" t="s">
        <v>147</v>
      </c>
      <c r="AF618" s="240" t="s">
        <v>553</v>
      </c>
      <c r="AG618" s="240"/>
      <c r="AH618" s="240"/>
      <c r="AI618" s="240" t="s">
        <v>777</v>
      </c>
      <c r="AJ618" s="240"/>
      <c r="AK618" s="240" t="s">
        <v>148</v>
      </c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240"/>
      <c r="BW618" s="240"/>
      <c r="BX618" s="240"/>
      <c r="BY618" s="240"/>
      <c r="BZ618" s="240"/>
      <c r="CA618" s="240"/>
      <c r="CB618" s="240"/>
      <c r="CC618" s="240"/>
      <c r="CD618" s="240"/>
      <c r="CE618" s="240"/>
      <c r="CF618" s="240"/>
      <c r="CG618" s="240"/>
      <c r="CH618" s="240"/>
      <c r="CI618" s="240"/>
      <c r="CJ618" s="240"/>
      <c r="CK618" s="240"/>
      <c r="CL618" s="240"/>
      <c r="CM618" s="240"/>
      <c r="CN618" s="240"/>
      <c r="CO618" s="240"/>
      <c r="CP618" s="240"/>
      <c r="CQ618" s="240"/>
      <c r="CR618" s="240"/>
      <c r="CS618" s="240"/>
      <c r="CT618" s="240"/>
      <c r="CU618" s="240"/>
      <c r="CV618" s="240"/>
      <c r="CW618" s="240"/>
      <c r="CX618" s="240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345"/>
      <c r="EM618" s="245"/>
      <c r="EN618" s="245"/>
      <c r="EO618" s="245"/>
      <c r="EP618" s="245"/>
      <c r="EQ618" s="316"/>
    </row>
    <row r="619" spans="2:175" s="243" customFormat="1" ht="11.25" hidden="1" customHeight="1">
      <c r="B619" s="244"/>
      <c r="C619" s="240"/>
      <c r="D619" s="240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240"/>
      <c r="BW619" s="240"/>
      <c r="BX619" s="240"/>
      <c r="BY619" s="240"/>
      <c r="BZ619" s="240"/>
      <c r="CA619" s="240"/>
      <c r="CB619" s="240"/>
      <c r="CC619" s="240"/>
      <c r="CD619" s="240"/>
      <c r="CE619" s="240"/>
      <c r="CF619" s="240"/>
      <c r="CG619" s="240"/>
      <c r="CH619" s="240"/>
      <c r="CI619" s="240"/>
      <c r="CJ619" s="240"/>
      <c r="CK619" s="240"/>
      <c r="CL619" s="240"/>
      <c r="CM619" s="240"/>
      <c r="CN619" s="240"/>
      <c r="CO619" s="240"/>
      <c r="CP619" s="240"/>
      <c r="CQ619" s="240"/>
      <c r="CR619" s="240"/>
      <c r="CS619" s="240"/>
      <c r="CT619" s="240"/>
      <c r="CU619" s="240"/>
      <c r="CV619" s="240"/>
      <c r="CW619" s="240"/>
      <c r="CX619" s="240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345"/>
      <c r="EM619" s="245"/>
      <c r="EN619" s="245"/>
      <c r="EO619" s="245"/>
      <c r="EP619" s="245"/>
      <c r="EQ619" s="316"/>
    </row>
    <row r="620" spans="2:175" s="243" customFormat="1" ht="11.25" hidden="1" customHeight="1">
      <c r="B620" s="244"/>
      <c r="C620" s="240"/>
      <c r="D620" s="240"/>
      <c r="E620" s="240"/>
      <c r="F620" s="240"/>
      <c r="G620" s="240"/>
      <c r="H620" s="240"/>
      <c r="I620" s="240"/>
      <c r="J620" s="240"/>
      <c r="K620" s="240"/>
      <c r="L620" s="240" t="str">
        <f>TEXT(3600,"#,##0.#######")</f>
        <v>3,600.</v>
      </c>
      <c r="M620" s="240"/>
      <c r="N620" s="240"/>
      <c r="O620" s="240"/>
      <c r="P620" s="240"/>
      <c r="Q620" s="240" t="s">
        <v>652</v>
      </c>
      <c r="R620" s="240"/>
      <c r="S620" s="240" t="s">
        <v>773</v>
      </c>
      <c r="T620" s="240" t="s">
        <v>652</v>
      </c>
      <c r="U620" s="240"/>
      <c r="V620" s="240" t="s">
        <v>775</v>
      </c>
      <c r="W620" s="240" t="s">
        <v>652</v>
      </c>
      <c r="X620" s="240"/>
      <c r="Y620" s="240" t="s">
        <v>774</v>
      </c>
      <c r="Z620" s="240" t="s">
        <v>652</v>
      </c>
      <c r="AA620" s="240"/>
      <c r="AB620" s="240" t="s">
        <v>692</v>
      </c>
      <c r="AC620" s="240"/>
      <c r="AD620" s="240"/>
      <c r="AE620" s="240"/>
      <c r="AF620" s="240"/>
      <c r="AG620" s="240" t="str">
        <f>TEXT(L620,"#,##0.#######")</f>
        <v>3,600.</v>
      </c>
      <c r="AH620" s="240"/>
      <c r="AI620" s="240"/>
      <c r="AJ620" s="240"/>
      <c r="AK620" s="240"/>
      <c r="AL620" s="240" t="s">
        <v>652</v>
      </c>
      <c r="AM620" s="240"/>
      <c r="AN620" s="240" t="str">
        <f>TEXT(K616,"#,##0.#######")</f>
        <v>0.4</v>
      </c>
      <c r="AO620" s="240"/>
      <c r="AP620" s="240"/>
      <c r="AQ620" s="240" t="s">
        <v>652</v>
      </c>
      <c r="AR620" s="240"/>
      <c r="AS620" s="240" t="str">
        <f>TEXT(AW616,"#,##0.#######")</f>
        <v>0.55</v>
      </c>
      <c r="AT620" s="240"/>
      <c r="AU620" s="240"/>
      <c r="AV620" s="240"/>
      <c r="AW620" s="240" t="s">
        <v>652</v>
      </c>
      <c r="AX620" s="240"/>
      <c r="AY620" s="240" t="str">
        <f>TEXT(AH616,"#,##0.#######")</f>
        <v>0.67</v>
      </c>
      <c r="AZ620" s="240"/>
      <c r="BA620" s="240"/>
      <c r="BB620" s="240"/>
      <c r="BC620" s="240" t="s">
        <v>652</v>
      </c>
      <c r="BD620" s="240"/>
      <c r="BE620" s="240" t="str">
        <f>TEXT(K618,"#,##0.#######")</f>
        <v>0.45</v>
      </c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240"/>
      <c r="BW620" s="240"/>
      <c r="BX620" s="240"/>
      <c r="BY620" s="240"/>
      <c r="BZ620" s="240"/>
      <c r="CA620" s="240"/>
      <c r="CB620" s="240"/>
      <c r="CC620" s="240"/>
      <c r="CD620" s="240"/>
      <c r="CE620" s="240"/>
      <c r="CF620" s="240"/>
      <c r="CG620" s="240"/>
      <c r="CH620" s="240"/>
      <c r="CI620" s="240"/>
      <c r="CJ620" s="240"/>
      <c r="CK620" s="240"/>
      <c r="CL620" s="240"/>
      <c r="CM620" s="240"/>
      <c r="CN620" s="240"/>
      <c r="CO620" s="240"/>
      <c r="CP620" s="240"/>
      <c r="CQ620" s="240"/>
      <c r="CR620" s="240"/>
      <c r="CS620" s="240"/>
      <c r="CT620" s="240"/>
      <c r="CU620" s="240"/>
      <c r="CV620" s="240"/>
      <c r="CW620" s="240"/>
      <c r="CX620" s="240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345"/>
      <c r="EM620" s="245"/>
      <c r="EN620" s="245"/>
      <c r="EO620" s="245"/>
      <c r="EP620" s="245"/>
      <c r="EQ620" s="316"/>
    </row>
    <row r="621" spans="2:175" s="243" customFormat="1" ht="11.25" hidden="1" customHeight="1">
      <c r="B621" s="244"/>
      <c r="C621" s="240"/>
      <c r="D621" s="240"/>
      <c r="E621" s="240"/>
      <c r="F621" s="240"/>
      <c r="G621" s="240" t="s">
        <v>687</v>
      </c>
      <c r="H621" s="240"/>
      <c r="I621" s="240" t="s">
        <v>134</v>
      </c>
      <c r="J621" s="240"/>
      <c r="K621" s="240" t="s">
        <v>694</v>
      </c>
      <c r="L621" s="240"/>
      <c r="M621" s="240" t="s">
        <v>694</v>
      </c>
      <c r="N621" s="240"/>
      <c r="O621" s="240" t="s">
        <v>694</v>
      </c>
      <c r="P621" s="240"/>
      <c r="Q621" s="240" t="s">
        <v>694</v>
      </c>
      <c r="R621" s="240"/>
      <c r="S621" s="240" t="s">
        <v>694</v>
      </c>
      <c r="T621" s="240"/>
      <c r="U621" s="240" t="s">
        <v>694</v>
      </c>
      <c r="V621" s="240"/>
      <c r="W621" s="240" t="s">
        <v>694</v>
      </c>
      <c r="X621" s="240"/>
      <c r="Y621" s="240" t="s">
        <v>694</v>
      </c>
      <c r="Z621" s="240"/>
      <c r="AA621" s="240" t="s">
        <v>694</v>
      </c>
      <c r="AB621" s="240"/>
      <c r="AC621" s="240" t="s">
        <v>694</v>
      </c>
      <c r="AD621" s="240"/>
      <c r="AE621" s="240" t="s">
        <v>134</v>
      </c>
      <c r="AF621" s="240" t="s">
        <v>694</v>
      </c>
      <c r="AG621" s="240"/>
      <c r="AH621" s="240" t="s">
        <v>694</v>
      </c>
      <c r="AI621" s="240"/>
      <c r="AJ621" s="240" t="s">
        <v>694</v>
      </c>
      <c r="AK621" s="240"/>
      <c r="AL621" s="240" t="s">
        <v>694</v>
      </c>
      <c r="AM621" s="240"/>
      <c r="AN621" s="240" t="s">
        <v>694</v>
      </c>
      <c r="AO621" s="240"/>
      <c r="AP621" s="240" t="s">
        <v>694</v>
      </c>
      <c r="AQ621" s="240"/>
      <c r="AR621" s="240" t="s">
        <v>694</v>
      </c>
      <c r="AS621" s="240"/>
      <c r="AT621" s="240" t="s">
        <v>694</v>
      </c>
      <c r="AU621" s="240"/>
      <c r="AV621" s="240" t="s">
        <v>694</v>
      </c>
      <c r="AW621" s="240"/>
      <c r="AX621" s="240" t="s">
        <v>694</v>
      </c>
      <c r="AY621" s="240"/>
      <c r="AZ621" s="240" t="s">
        <v>694</v>
      </c>
      <c r="BA621" s="240"/>
      <c r="BB621" s="240" t="s">
        <v>694</v>
      </c>
      <c r="BC621" s="240"/>
      <c r="BD621" s="240" t="s">
        <v>694</v>
      </c>
      <c r="BE621" s="240"/>
      <c r="BF621" s="240" t="s">
        <v>694</v>
      </c>
      <c r="BG621" s="240"/>
      <c r="BH621" s="240" t="s">
        <v>694</v>
      </c>
      <c r="BI621" s="240"/>
      <c r="BJ621" s="240" t="s">
        <v>134</v>
      </c>
      <c r="BK621" s="240" t="str">
        <f>TEXT(ROUND((3600*K616*AW616*AH616*K618)/(Y618),2),"#,##0.#######")</f>
        <v>13.27</v>
      </c>
      <c r="BL621" s="240"/>
      <c r="BM621" s="240"/>
      <c r="BN621" s="240" t="s">
        <v>91</v>
      </c>
      <c r="BO621" s="240"/>
      <c r="BP621" s="240" t="s">
        <v>139</v>
      </c>
      <c r="BQ621" s="240" t="s">
        <v>618</v>
      </c>
      <c r="BR621" s="240"/>
      <c r="BS621" s="240"/>
      <c r="BT621" s="240"/>
      <c r="BU621" s="240"/>
      <c r="BV621" s="240"/>
      <c r="BW621" s="240"/>
      <c r="BX621" s="240"/>
      <c r="BY621" s="240"/>
      <c r="BZ621" s="240"/>
      <c r="CA621" s="240"/>
      <c r="CB621" s="240"/>
      <c r="CC621" s="240"/>
      <c r="CD621" s="240"/>
      <c r="CE621" s="240"/>
      <c r="CF621" s="240"/>
      <c r="CG621" s="240"/>
      <c r="CH621" s="240"/>
      <c r="CI621" s="240"/>
      <c r="CJ621" s="240"/>
      <c r="CK621" s="240"/>
      <c r="CL621" s="240"/>
      <c r="CM621" s="240"/>
      <c r="CN621" s="240"/>
      <c r="CO621" s="240"/>
      <c r="CP621" s="240"/>
      <c r="CQ621" s="240"/>
      <c r="CR621" s="240"/>
      <c r="CS621" s="240"/>
      <c r="CT621" s="240"/>
      <c r="CU621" s="240"/>
      <c r="CV621" s="240"/>
      <c r="CW621" s="240"/>
      <c r="CX621" s="240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345"/>
      <c r="EM621" s="245"/>
      <c r="EN621" s="245"/>
      <c r="EO621" s="245"/>
      <c r="EP621" s="245"/>
      <c r="EQ621" s="316"/>
      <c r="ES621" s="240"/>
      <c r="ET621" s="240"/>
      <c r="EU621" s="240"/>
      <c r="EV621" s="240"/>
      <c r="EW621" s="240"/>
      <c r="EX621" s="240"/>
      <c r="EY621" s="240"/>
      <c r="EZ621" s="240"/>
      <c r="FA621" s="240"/>
      <c r="FB621" s="240"/>
      <c r="FC621" s="240"/>
      <c r="FD621" s="240"/>
      <c r="FE621" s="240"/>
      <c r="FF621" s="240"/>
      <c r="FG621" s="240"/>
      <c r="FH621" s="240"/>
      <c r="FI621" s="240"/>
      <c r="FJ621" s="240"/>
      <c r="FK621" s="240"/>
      <c r="FL621" s="240"/>
      <c r="FM621" s="240"/>
      <c r="FN621" s="240"/>
      <c r="FO621" s="240"/>
      <c r="FP621" s="240"/>
      <c r="FQ621" s="240"/>
      <c r="FR621" s="240"/>
      <c r="FS621" s="240"/>
    </row>
    <row r="622" spans="2:175" s="243" customFormat="1" ht="11.25" hidden="1" customHeight="1">
      <c r="B622" s="244"/>
      <c r="C622" s="240"/>
      <c r="D622" s="240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 t="s">
        <v>693</v>
      </c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 t="str">
        <f>TEXT(Y618,"#,##0.#######")</f>
        <v>18.</v>
      </c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240"/>
      <c r="BW622" s="240"/>
      <c r="BX622" s="240"/>
      <c r="BY622" s="240"/>
      <c r="BZ622" s="240"/>
      <c r="CA622" s="240"/>
      <c r="CB622" s="240"/>
      <c r="CC622" s="240"/>
      <c r="CD622" s="240"/>
      <c r="CE622" s="240"/>
      <c r="CF622" s="240"/>
      <c r="CG622" s="240"/>
      <c r="CH622" s="240"/>
      <c r="CI622" s="240"/>
      <c r="CJ622" s="240"/>
      <c r="CK622" s="240"/>
      <c r="CL622" s="240"/>
      <c r="CM622" s="240"/>
      <c r="CN622" s="240"/>
      <c r="CO622" s="240"/>
      <c r="CP622" s="240"/>
      <c r="CQ622" s="240"/>
      <c r="CR622" s="240"/>
      <c r="CS622" s="240"/>
      <c r="CT622" s="240"/>
      <c r="CU622" s="240"/>
      <c r="CV622" s="240"/>
      <c r="CW622" s="240"/>
      <c r="CX622" s="240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345"/>
      <c r="EM622" s="245"/>
      <c r="EN622" s="245"/>
      <c r="EO622" s="245"/>
      <c r="EP622" s="245"/>
      <c r="EQ622" s="316"/>
    </row>
    <row r="623" spans="2:175" s="243" customFormat="1" ht="11.25" hidden="1" customHeight="1">
      <c r="B623" s="244"/>
      <c r="C623" s="240"/>
      <c r="D623" s="240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0"/>
      <c r="AO623" s="240"/>
      <c r="AP623" s="240"/>
      <c r="AQ623" s="240"/>
      <c r="AR623" s="240"/>
      <c r="AS623" s="240"/>
      <c r="AT623" s="240"/>
      <c r="AU623" s="240"/>
      <c r="AV623" s="240"/>
      <c r="AW623" s="240"/>
      <c r="AX623" s="240"/>
      <c r="AY623" s="240"/>
      <c r="AZ623" s="240"/>
      <c r="BA623" s="240"/>
      <c r="BB623" s="240"/>
      <c r="BC623" s="240"/>
      <c r="BD623" s="240"/>
      <c r="BE623" s="240"/>
      <c r="BF623" s="240"/>
      <c r="BG623" s="240"/>
      <c r="BH623" s="240"/>
      <c r="BI623" s="240"/>
      <c r="BJ623" s="240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240"/>
      <c r="BW623" s="240"/>
      <c r="BX623" s="240"/>
      <c r="BY623" s="240"/>
      <c r="BZ623" s="240"/>
      <c r="CA623" s="240"/>
      <c r="CB623" s="240"/>
      <c r="CC623" s="240"/>
      <c r="CD623" s="240"/>
      <c r="CE623" s="240"/>
      <c r="CF623" s="240"/>
      <c r="CG623" s="240"/>
      <c r="CH623" s="240"/>
      <c r="CI623" s="240"/>
      <c r="CJ623" s="240"/>
      <c r="CK623" s="240"/>
      <c r="CL623" s="240"/>
      <c r="CM623" s="240"/>
      <c r="CN623" s="240"/>
      <c r="CO623" s="240"/>
      <c r="CP623" s="240"/>
      <c r="CQ623" s="240"/>
      <c r="CR623" s="240"/>
      <c r="CS623" s="240"/>
      <c r="CT623" s="240"/>
      <c r="CU623" s="240"/>
      <c r="CV623" s="240"/>
      <c r="CW623" s="240"/>
      <c r="CX623" s="240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345"/>
      <c r="EM623" s="245"/>
      <c r="EN623" s="245"/>
      <c r="EO623" s="245"/>
      <c r="EP623" s="245"/>
      <c r="EQ623" s="316"/>
    </row>
    <row r="624" spans="2:175" s="243" customFormat="1" ht="11.25" hidden="1" customHeight="1">
      <c r="B624" s="244"/>
      <c r="C624" s="240"/>
      <c r="D624" s="240"/>
      <c r="E624" s="240"/>
      <c r="F624" s="240"/>
      <c r="G624" s="240" t="s">
        <v>616</v>
      </c>
      <c r="H624" s="240"/>
      <c r="I624" s="240"/>
      <c r="J624" s="240"/>
      <c r="K624" s="240"/>
      <c r="L624" s="240"/>
      <c r="M624" s="240"/>
      <c r="N624" s="240" t="s">
        <v>132</v>
      </c>
      <c r="O624" s="240"/>
      <c r="P624" s="1775" t="e">
        <f>#REF!</f>
        <v>#REF!</v>
      </c>
      <c r="Q624" s="1775"/>
      <c r="R624" s="1775"/>
      <c r="S624" s="1775"/>
      <c r="T624" s="1775"/>
      <c r="U624" s="240"/>
      <c r="V624" s="240" t="s">
        <v>683</v>
      </c>
      <c r="W624" s="240"/>
      <c r="X624" s="240"/>
      <c r="Y624" s="240" t="str">
        <f>TEXT(BK621,"#,##0.#######")</f>
        <v>13.27</v>
      </c>
      <c r="Z624" s="240"/>
      <c r="AA624" s="240"/>
      <c r="AB624" s="240"/>
      <c r="AC624" s="240" t="s">
        <v>134</v>
      </c>
      <c r="AD624" s="240"/>
      <c r="AE624" s="240" t="e">
        <f>TEXT(TRUNC(P624/BK621,1),"#,##0.#")</f>
        <v>#REF!</v>
      </c>
      <c r="AF624" s="240"/>
      <c r="AG624" s="240"/>
      <c r="AH624" s="240"/>
      <c r="AI624" s="240"/>
      <c r="AJ624" s="240"/>
      <c r="AK624" s="240"/>
      <c r="AL624" s="240"/>
      <c r="AM624" s="240"/>
      <c r="AN624" s="240"/>
      <c r="AO624" s="240"/>
      <c r="AP624" s="240"/>
      <c r="AQ624" s="240"/>
      <c r="AR624" s="240"/>
      <c r="AS624" s="240"/>
      <c r="AT624" s="240"/>
      <c r="AU624" s="240"/>
      <c r="AV624" s="240"/>
      <c r="AW624" s="240"/>
      <c r="AX624" s="240"/>
      <c r="AY624" s="240"/>
      <c r="AZ624" s="240"/>
      <c r="BA624" s="240"/>
      <c r="BB624" s="240"/>
      <c r="BC624" s="240"/>
      <c r="BD624" s="240"/>
      <c r="BE624" s="240"/>
      <c r="BF624" s="240"/>
      <c r="BG624" s="240"/>
      <c r="BH624" s="240"/>
      <c r="BI624" s="240"/>
      <c r="BJ624" s="240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240"/>
      <c r="BW624" s="240"/>
      <c r="BX624" s="240"/>
      <c r="BY624" s="240"/>
      <c r="BZ624" s="240"/>
      <c r="CA624" s="240"/>
      <c r="CB624" s="240"/>
      <c r="CC624" s="240"/>
      <c r="CD624" s="240"/>
      <c r="CE624" s="240"/>
      <c r="CF624" s="240"/>
      <c r="CG624" s="240"/>
      <c r="CH624" s="240"/>
      <c r="CI624" s="240"/>
      <c r="CJ624" s="240"/>
      <c r="CK624" s="240"/>
      <c r="CL624" s="240"/>
      <c r="CM624" s="240"/>
      <c r="CN624" s="240"/>
      <c r="CO624" s="240"/>
      <c r="CP624" s="240"/>
      <c r="CQ624" s="240"/>
      <c r="CR624" s="240"/>
      <c r="CS624" s="240"/>
      <c r="CT624" s="240"/>
      <c r="CU624" s="240"/>
      <c r="CV624" s="240"/>
      <c r="CW624" s="240"/>
      <c r="CX624" s="240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345"/>
      <c r="EM624" s="245"/>
      <c r="EN624" s="245"/>
      <c r="EO624" s="245"/>
      <c r="EP624" s="245"/>
      <c r="EQ624" s="316"/>
    </row>
    <row r="625" spans="2:147" s="243" customFormat="1" ht="11.25" hidden="1" customHeight="1">
      <c r="B625" s="244"/>
      <c r="C625" s="240"/>
      <c r="D625" s="240"/>
      <c r="E625" s="240"/>
      <c r="F625" s="240"/>
      <c r="G625" s="240" t="s">
        <v>617</v>
      </c>
      <c r="H625" s="240"/>
      <c r="I625" s="240"/>
      <c r="J625" s="240"/>
      <c r="K625" s="240"/>
      <c r="L625" s="240"/>
      <c r="M625" s="240"/>
      <c r="N625" s="240" t="s">
        <v>132</v>
      </c>
      <c r="O625" s="240"/>
      <c r="P625" s="1775" t="e">
        <f>#REF!</f>
        <v>#REF!</v>
      </c>
      <c r="Q625" s="1775"/>
      <c r="R625" s="1775"/>
      <c r="S625" s="1775"/>
      <c r="T625" s="1775"/>
      <c r="U625" s="240"/>
      <c r="V625" s="240" t="s">
        <v>683</v>
      </c>
      <c r="W625" s="240"/>
      <c r="X625" s="240"/>
      <c r="Y625" s="240" t="str">
        <f>TEXT(BK621,"#,##0.#######")</f>
        <v>13.27</v>
      </c>
      <c r="Z625" s="240"/>
      <c r="AA625" s="240"/>
      <c r="AB625" s="240"/>
      <c r="AC625" s="240" t="s">
        <v>134</v>
      </c>
      <c r="AD625" s="240"/>
      <c r="AE625" s="240" t="e">
        <f>TEXT(TRUNC(P625/BK621,1),"#,##0.#")</f>
        <v>#REF!</v>
      </c>
      <c r="AF625" s="240"/>
      <c r="AG625" s="240"/>
      <c r="AH625" s="240"/>
      <c r="AI625" s="240"/>
      <c r="AJ625" s="240"/>
      <c r="AK625" s="240"/>
      <c r="AL625" s="240"/>
      <c r="AM625" s="240"/>
      <c r="AN625" s="240"/>
      <c r="AO625" s="240"/>
      <c r="AP625" s="240"/>
      <c r="AQ625" s="240"/>
      <c r="AR625" s="240"/>
      <c r="AS625" s="240"/>
      <c r="AT625" s="240"/>
      <c r="AU625" s="240"/>
      <c r="AV625" s="240"/>
      <c r="AW625" s="240"/>
      <c r="AX625" s="240"/>
      <c r="AY625" s="240"/>
      <c r="AZ625" s="240"/>
      <c r="BA625" s="240"/>
      <c r="BB625" s="240"/>
      <c r="BC625" s="240"/>
      <c r="BD625" s="240"/>
      <c r="BE625" s="240"/>
      <c r="BF625" s="240"/>
      <c r="BG625" s="240"/>
      <c r="BH625" s="240"/>
      <c r="BI625" s="240"/>
      <c r="BJ625" s="240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240"/>
      <c r="BW625" s="240"/>
      <c r="BX625" s="240"/>
      <c r="BY625" s="240"/>
      <c r="BZ625" s="240"/>
      <c r="CA625" s="240"/>
      <c r="CB625" s="240"/>
      <c r="CC625" s="240"/>
      <c r="CD625" s="240"/>
      <c r="CE625" s="240"/>
      <c r="CF625" s="240"/>
      <c r="CG625" s="240"/>
      <c r="CH625" s="240"/>
      <c r="CI625" s="240"/>
      <c r="CJ625" s="240"/>
      <c r="CK625" s="240"/>
      <c r="CL625" s="240"/>
      <c r="CM625" s="240"/>
      <c r="CN625" s="240"/>
      <c r="CO625" s="240"/>
      <c r="CP625" s="240"/>
      <c r="CQ625" s="240"/>
      <c r="CR625" s="240"/>
      <c r="CS625" s="240"/>
      <c r="CT625" s="240"/>
      <c r="CU625" s="240"/>
      <c r="CV625" s="240"/>
      <c r="CW625" s="240"/>
      <c r="CX625" s="240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345"/>
      <c r="EM625" s="245"/>
      <c r="EN625" s="245"/>
      <c r="EO625" s="245"/>
      <c r="EP625" s="245"/>
      <c r="EQ625" s="316"/>
    </row>
    <row r="626" spans="2:147" s="243" customFormat="1" ht="11.25" hidden="1" customHeight="1">
      <c r="B626" s="244"/>
      <c r="C626" s="240"/>
      <c r="D626" s="240"/>
      <c r="E626" s="240"/>
      <c r="F626" s="240"/>
      <c r="G626" s="240" t="s">
        <v>679</v>
      </c>
      <c r="H626" s="240"/>
      <c r="I626" s="240"/>
      <c r="J626" s="240"/>
      <c r="K626" s="240" t="s">
        <v>680</v>
      </c>
      <c r="L626" s="240"/>
      <c r="M626" s="240"/>
      <c r="N626" s="240" t="s">
        <v>132</v>
      </c>
      <c r="O626" s="240"/>
      <c r="P626" s="1775" t="e">
        <f>#REF!</f>
        <v>#REF!</v>
      </c>
      <c r="Q626" s="1775"/>
      <c r="R626" s="1775"/>
      <c r="S626" s="1775"/>
      <c r="T626" s="1775"/>
      <c r="U626" s="240"/>
      <c r="V626" s="240" t="s">
        <v>683</v>
      </c>
      <c r="W626" s="240"/>
      <c r="X626" s="240"/>
      <c r="Y626" s="240" t="str">
        <f>TEXT(BK621,"#,##0.#######")</f>
        <v>13.27</v>
      </c>
      <c r="Z626" s="240"/>
      <c r="AA626" s="240"/>
      <c r="AB626" s="240"/>
      <c r="AC626" s="240" t="s">
        <v>134</v>
      </c>
      <c r="AD626" s="240"/>
      <c r="AE626" s="240" t="e">
        <f>TEXT(TRUNC(P626/BK621,1),"#,##0.#")</f>
        <v>#REF!</v>
      </c>
      <c r="AF626" s="240"/>
      <c r="AG626" s="240"/>
      <c r="AH626" s="240"/>
      <c r="AI626" s="240"/>
      <c r="AJ626" s="240"/>
      <c r="AK626" s="240"/>
      <c r="AL626" s="240"/>
      <c r="AM626" s="240"/>
      <c r="AN626" s="240"/>
      <c r="AO626" s="240"/>
      <c r="AP626" s="240"/>
      <c r="AQ626" s="240"/>
      <c r="AR626" s="240"/>
      <c r="AS626" s="240"/>
      <c r="AT626" s="240"/>
      <c r="AU626" s="240"/>
      <c r="AV626" s="240"/>
      <c r="AW626" s="240"/>
      <c r="AX626" s="240"/>
      <c r="AY626" s="240"/>
      <c r="AZ626" s="240"/>
      <c r="BA626" s="240"/>
      <c r="BB626" s="240"/>
      <c r="BC626" s="240"/>
      <c r="BD626" s="240"/>
      <c r="BE626" s="240"/>
      <c r="BF626" s="240"/>
      <c r="BG626" s="240"/>
      <c r="BH626" s="240"/>
      <c r="BI626" s="240"/>
      <c r="BJ626" s="240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240"/>
      <c r="BW626" s="240"/>
      <c r="BX626" s="240"/>
      <c r="BY626" s="240"/>
      <c r="BZ626" s="240"/>
      <c r="CA626" s="240"/>
      <c r="CB626" s="240"/>
      <c r="CC626" s="240"/>
      <c r="CD626" s="240"/>
      <c r="CE626" s="240"/>
      <c r="CF626" s="240"/>
      <c r="CG626" s="240"/>
      <c r="CH626" s="240"/>
      <c r="CI626" s="240"/>
      <c r="CJ626" s="240"/>
      <c r="CK626" s="240"/>
      <c r="CL626" s="240"/>
      <c r="CM626" s="240"/>
      <c r="CN626" s="240"/>
      <c r="CO626" s="240"/>
      <c r="CP626" s="240"/>
      <c r="CQ626" s="240"/>
      <c r="CR626" s="240"/>
      <c r="CS626" s="240"/>
      <c r="CT626" s="240"/>
      <c r="CU626" s="240"/>
      <c r="CV626" s="240"/>
      <c r="CW626" s="240"/>
      <c r="CX626" s="240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345"/>
      <c r="EM626" s="245"/>
      <c r="EN626" s="245"/>
      <c r="EO626" s="245"/>
      <c r="EP626" s="245"/>
      <c r="EQ626" s="316"/>
    </row>
    <row r="627" spans="2:147" s="243" customFormat="1" ht="11.25" hidden="1" customHeight="1">
      <c r="B627" s="244"/>
      <c r="C627" s="240"/>
      <c r="D627" s="240"/>
      <c r="E627" s="240"/>
      <c r="F627" s="240"/>
      <c r="G627" s="240" t="s">
        <v>688</v>
      </c>
      <c r="H627" s="240"/>
      <c r="I627" s="240"/>
      <c r="J627" s="240"/>
      <c r="K627" s="240" t="s">
        <v>96</v>
      </c>
      <c r="L627" s="240"/>
      <c r="M627" s="240"/>
      <c r="N627" s="240" t="s">
        <v>132</v>
      </c>
      <c r="O627" s="240"/>
      <c r="P627" s="240" t="e">
        <f>TEXT(AE624+AE625+AE626,"#,##0.#######")</f>
        <v>#REF!</v>
      </c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  <c r="BC627" s="240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240"/>
      <c r="BW627" s="240"/>
      <c r="BX627" s="240"/>
      <c r="BY627" s="240"/>
      <c r="BZ627" s="240"/>
      <c r="CA627" s="240"/>
      <c r="CB627" s="240"/>
      <c r="CC627" s="240"/>
      <c r="CD627" s="240"/>
      <c r="CE627" s="240"/>
      <c r="CF627" s="240"/>
      <c r="CG627" s="240"/>
      <c r="CH627" s="240"/>
      <c r="CI627" s="240"/>
      <c r="CJ627" s="240"/>
      <c r="CK627" s="240"/>
      <c r="CL627" s="240"/>
      <c r="CM627" s="240"/>
      <c r="CN627" s="240"/>
      <c r="CO627" s="240"/>
      <c r="CP627" s="240"/>
      <c r="CQ627" s="240"/>
      <c r="CR627" s="240"/>
      <c r="CS627" s="240"/>
      <c r="CT627" s="240"/>
      <c r="CU627" s="240"/>
      <c r="CV627" s="240"/>
      <c r="CW627" s="240"/>
      <c r="CX627" s="240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345"/>
      <c r="EM627" s="245" t="e">
        <f>EN627+EO627+EP627</f>
        <v>#REF!</v>
      </c>
      <c r="EN627" s="245" t="e">
        <f>TEXT(AE624,"#,###.0")</f>
        <v>#REF!</v>
      </c>
      <c r="EO627" s="245" t="e">
        <f>TEXT(AE625,"#,###.0")</f>
        <v>#REF!</v>
      </c>
      <c r="EP627" s="245" t="e">
        <f>TEXT(AE626,"#,###.0")</f>
        <v>#REF!</v>
      </c>
      <c r="EQ627" s="316"/>
    </row>
    <row r="628" spans="2:147" s="243" customFormat="1" ht="11.25" hidden="1" customHeight="1">
      <c r="B628" s="244"/>
      <c r="C628" s="240"/>
      <c r="D628" s="240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0"/>
      <c r="AO628" s="240"/>
      <c r="AP628" s="240"/>
      <c r="AQ628" s="240"/>
      <c r="AR628" s="240"/>
      <c r="AS628" s="240"/>
      <c r="AT628" s="240"/>
      <c r="AU628" s="240"/>
      <c r="AV628" s="240"/>
      <c r="AW628" s="240"/>
      <c r="AX628" s="240"/>
      <c r="AY628" s="240"/>
      <c r="AZ628" s="240"/>
      <c r="BA628" s="240"/>
      <c r="BB628" s="240"/>
      <c r="BC628" s="240"/>
      <c r="BD628" s="240"/>
      <c r="BE628" s="240"/>
      <c r="BF628" s="240"/>
      <c r="BG628" s="240"/>
      <c r="BH628" s="240"/>
      <c r="BI628" s="240"/>
      <c r="BJ628" s="240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240"/>
      <c r="BW628" s="240"/>
      <c r="BX628" s="240"/>
      <c r="BY628" s="240"/>
      <c r="BZ628" s="240"/>
      <c r="CA628" s="240"/>
      <c r="CB628" s="240"/>
      <c r="CC628" s="240"/>
      <c r="CD628" s="240"/>
      <c r="CE628" s="240"/>
      <c r="CF628" s="240"/>
      <c r="CG628" s="240"/>
      <c r="CH628" s="240"/>
      <c r="CI628" s="240"/>
      <c r="CJ628" s="240"/>
      <c r="CK628" s="240"/>
      <c r="CL628" s="240"/>
      <c r="CM628" s="240"/>
      <c r="CN628" s="240"/>
      <c r="CO628" s="240"/>
      <c r="CP628" s="240"/>
      <c r="CQ628" s="240"/>
      <c r="CR628" s="240"/>
      <c r="CS628" s="240"/>
      <c r="CT628" s="240"/>
      <c r="CU628" s="240"/>
      <c r="CV628" s="240"/>
      <c r="CW628" s="240"/>
      <c r="CX628" s="240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345"/>
      <c r="EM628" s="245"/>
      <c r="EN628" s="245"/>
      <c r="EO628" s="245"/>
      <c r="EP628" s="245"/>
      <c r="EQ628" s="316"/>
    </row>
    <row r="629" spans="2:147" s="243" customFormat="1" ht="11.25" hidden="1" customHeight="1">
      <c r="B629" s="244"/>
      <c r="C629" s="240"/>
      <c r="D629" s="240" t="s">
        <v>696</v>
      </c>
      <c r="E629" s="240"/>
      <c r="F629" s="240"/>
      <c r="G629" s="240" t="s">
        <v>678</v>
      </c>
      <c r="H629" s="240"/>
      <c r="I629" s="240"/>
      <c r="J629" s="240"/>
      <c r="K629" s="240"/>
      <c r="L629" s="240" t="s">
        <v>96</v>
      </c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  <c r="AA629" s="240"/>
      <c r="AB629" s="240"/>
      <c r="AC629" s="240"/>
      <c r="AD629" s="240"/>
      <c r="AE629" s="240"/>
      <c r="AF629" s="240"/>
      <c r="AG629" s="240"/>
      <c r="AH629" s="240"/>
      <c r="AI629" s="240"/>
      <c r="AJ629" s="240"/>
      <c r="AK629" s="240"/>
      <c r="AL629" s="240"/>
      <c r="AM629" s="240"/>
      <c r="AN629" s="240"/>
      <c r="AO629" s="240"/>
      <c r="AP629" s="240"/>
      <c r="AQ629" s="240"/>
      <c r="AR629" s="240"/>
      <c r="AS629" s="240"/>
      <c r="AT629" s="240"/>
      <c r="AU629" s="240"/>
      <c r="AV629" s="240"/>
      <c r="AW629" s="240"/>
      <c r="AX629" s="240"/>
      <c r="AY629" s="240"/>
      <c r="AZ629" s="240"/>
      <c r="BA629" s="240"/>
      <c r="BB629" s="240"/>
      <c r="BC629" s="240"/>
      <c r="BD629" s="240"/>
      <c r="BE629" s="240"/>
      <c r="BF629" s="240"/>
      <c r="BG629" s="240"/>
      <c r="BH629" s="240"/>
      <c r="BI629" s="240"/>
      <c r="BJ629" s="240"/>
      <c r="BK629" s="240"/>
      <c r="BL629" s="240"/>
      <c r="BM629" s="240"/>
      <c r="BN629" s="240"/>
      <c r="BO629" s="240"/>
      <c r="BP629" s="240"/>
      <c r="BQ629" s="240"/>
      <c r="BR629" s="240"/>
      <c r="BS629" s="240"/>
      <c r="BT629" s="240"/>
      <c r="BU629" s="240"/>
      <c r="BV629" s="240"/>
      <c r="BW629" s="240"/>
      <c r="BX629" s="240"/>
      <c r="BY629" s="240"/>
      <c r="BZ629" s="240"/>
      <c r="CA629" s="240"/>
      <c r="CB629" s="240"/>
      <c r="CC629" s="240"/>
      <c r="CD629" s="240"/>
      <c r="CE629" s="240"/>
      <c r="CF629" s="240"/>
      <c r="CG629" s="240"/>
      <c r="CH629" s="240"/>
      <c r="CI629" s="240"/>
      <c r="CJ629" s="240"/>
      <c r="CK629" s="240"/>
      <c r="CL629" s="240"/>
      <c r="CM629" s="240"/>
      <c r="CN629" s="240"/>
      <c r="CO629" s="240"/>
      <c r="CP629" s="240"/>
      <c r="CQ629" s="240"/>
      <c r="CR629" s="240"/>
      <c r="CS629" s="240"/>
      <c r="CT629" s="240"/>
      <c r="CU629" s="240"/>
      <c r="CV629" s="240"/>
      <c r="CW629" s="240"/>
      <c r="CX629" s="240"/>
      <c r="CY629" s="241"/>
      <c r="CZ629" s="241"/>
      <c r="DA629" s="241"/>
      <c r="DB629" s="241"/>
      <c r="DC629" s="241"/>
      <c r="DD629" s="241"/>
      <c r="DE629" s="241"/>
      <c r="DF629" s="241"/>
      <c r="DG629" s="241"/>
      <c r="DH629" s="241"/>
      <c r="DI629" s="241"/>
      <c r="DJ629" s="241"/>
      <c r="DK629" s="241"/>
      <c r="DL629" s="241"/>
      <c r="DM629" s="241"/>
      <c r="DN629" s="241"/>
      <c r="DO629" s="241"/>
      <c r="DP629" s="241"/>
      <c r="DQ629" s="241"/>
      <c r="DR629" s="241"/>
      <c r="DS629" s="241"/>
      <c r="DT629" s="241"/>
      <c r="DU629" s="241"/>
      <c r="DV629" s="241"/>
      <c r="DW629" s="241"/>
      <c r="DX629" s="241"/>
      <c r="DY629" s="241"/>
      <c r="DZ629" s="241"/>
      <c r="EA629" s="241"/>
      <c r="EB629" s="241"/>
      <c r="EC629" s="241"/>
      <c r="ED629" s="241"/>
      <c r="EE629" s="241"/>
      <c r="EF629" s="241"/>
      <c r="EG629" s="241"/>
      <c r="EH629" s="241"/>
      <c r="EI629" s="241"/>
      <c r="EJ629" s="241"/>
      <c r="EK629" s="241"/>
      <c r="EL629" s="345"/>
      <c r="EM629" s="245"/>
      <c r="EN629" s="245"/>
      <c r="EO629" s="245"/>
      <c r="EP629" s="245"/>
      <c r="EQ629" s="316"/>
    </row>
    <row r="630" spans="2:147" s="243" customFormat="1" ht="11.25" hidden="1" customHeight="1">
      <c r="B630" s="244"/>
      <c r="C630" s="240"/>
      <c r="D630" s="240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0"/>
      <c r="AO630" s="240"/>
      <c r="AP630" s="240"/>
      <c r="AQ630" s="240"/>
      <c r="AR630" s="240"/>
      <c r="AS630" s="240"/>
      <c r="AT630" s="240"/>
      <c r="AU630" s="240"/>
      <c r="AV630" s="240"/>
      <c r="AW630" s="240"/>
      <c r="AX630" s="240"/>
      <c r="AY630" s="240"/>
      <c r="AZ630" s="240"/>
      <c r="BA630" s="240"/>
      <c r="BB630" s="240"/>
      <c r="BC630" s="240"/>
      <c r="BD630" s="240"/>
      <c r="BE630" s="240"/>
      <c r="BF630" s="240"/>
      <c r="BG630" s="240"/>
      <c r="BH630" s="240"/>
      <c r="BI630" s="240"/>
      <c r="BJ630" s="240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240"/>
      <c r="BW630" s="240"/>
      <c r="BX630" s="240"/>
      <c r="BY630" s="240"/>
      <c r="BZ630" s="240"/>
      <c r="CA630" s="240"/>
      <c r="CB630" s="240"/>
      <c r="CC630" s="240"/>
      <c r="CD630" s="240"/>
      <c r="CE630" s="240"/>
      <c r="CF630" s="240"/>
      <c r="CG630" s="240"/>
      <c r="CH630" s="240"/>
      <c r="CI630" s="240"/>
      <c r="CJ630" s="240"/>
      <c r="CK630" s="240"/>
      <c r="CL630" s="240"/>
      <c r="CM630" s="240"/>
      <c r="CN630" s="240"/>
      <c r="CO630" s="240"/>
      <c r="CP630" s="240"/>
      <c r="CQ630" s="240"/>
      <c r="CR630" s="240"/>
      <c r="CS630" s="240"/>
      <c r="CT630" s="240"/>
      <c r="CU630" s="240"/>
      <c r="CV630" s="240"/>
      <c r="CW630" s="240"/>
      <c r="CX630" s="240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345"/>
      <c r="EM630" s="245"/>
      <c r="EN630" s="245"/>
      <c r="EO630" s="245"/>
      <c r="EP630" s="245"/>
      <c r="EQ630" s="316"/>
    </row>
    <row r="631" spans="2:147" s="243" customFormat="1" ht="11.25" hidden="1" customHeight="1">
      <c r="B631" s="244"/>
      <c r="C631" s="240"/>
      <c r="D631" s="240"/>
      <c r="E631" s="240"/>
      <c r="F631" s="240"/>
      <c r="G631" s="240"/>
      <c r="H631" s="240" t="s">
        <v>616</v>
      </c>
      <c r="I631" s="240"/>
      <c r="J631" s="240"/>
      <c r="K631" s="240"/>
      <c r="L631" s="240"/>
      <c r="M631" s="240"/>
      <c r="N631" s="240"/>
      <c r="O631" s="240" t="s">
        <v>132</v>
      </c>
      <c r="P631" s="240"/>
      <c r="Q631" s="240" t="e">
        <f>TEXT(EN604,"#,###.##")</f>
        <v>#REF!</v>
      </c>
      <c r="R631" s="240"/>
      <c r="S631" s="240"/>
      <c r="T631" s="240"/>
      <c r="U631" s="240"/>
      <c r="V631" s="240" t="s">
        <v>130</v>
      </c>
      <c r="W631" s="240"/>
      <c r="X631" s="240" t="str">
        <f>TEXT(EN608,"#,###.##")</f>
        <v>2,845.4</v>
      </c>
      <c r="Y631" s="240"/>
      <c r="Z631" s="240"/>
      <c r="AA631" s="240"/>
      <c r="AB631" s="240" t="s">
        <v>130</v>
      </c>
      <c r="AC631" s="240"/>
      <c r="AD631" s="240" t="e">
        <f>TEXT(EN627,"#,###.##")</f>
        <v>#REF!</v>
      </c>
      <c r="AE631" s="240"/>
      <c r="AF631" s="240"/>
      <c r="AG631" s="240"/>
      <c r="AH631" s="240"/>
      <c r="AI631" s="240" t="s">
        <v>134</v>
      </c>
      <c r="AJ631" s="240"/>
      <c r="AK631" s="240" t="e">
        <f>TEXT(TRUNC(EN604+EN608+EN627,0),"#,##0")</f>
        <v>#REF!</v>
      </c>
      <c r="AL631" s="240"/>
      <c r="AM631" s="240"/>
      <c r="AN631" s="240"/>
      <c r="AO631" s="240"/>
      <c r="AP631" s="240"/>
      <c r="AQ631" s="240"/>
      <c r="AR631" s="240"/>
      <c r="AS631" s="240"/>
      <c r="AT631" s="240"/>
      <c r="AU631" s="240"/>
      <c r="AV631" s="240"/>
      <c r="AW631" s="240"/>
      <c r="AX631" s="240"/>
      <c r="AY631" s="240"/>
      <c r="AZ631" s="240"/>
      <c r="BA631" s="240"/>
      <c r="BB631" s="240"/>
      <c r="BC631" s="240"/>
      <c r="BD631" s="240"/>
      <c r="BE631" s="240"/>
      <c r="BF631" s="240"/>
      <c r="BG631" s="240"/>
      <c r="BH631" s="240"/>
      <c r="BI631" s="240"/>
      <c r="BJ631" s="240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240"/>
      <c r="BW631" s="240"/>
      <c r="BX631" s="240"/>
      <c r="BY631" s="240"/>
      <c r="BZ631" s="240"/>
      <c r="CA631" s="240"/>
      <c r="CB631" s="240"/>
      <c r="CC631" s="240"/>
      <c r="CD631" s="240"/>
      <c r="CE631" s="240"/>
      <c r="CF631" s="240"/>
      <c r="CG631" s="240"/>
      <c r="CH631" s="240"/>
      <c r="CI631" s="240"/>
      <c r="CJ631" s="240"/>
      <c r="CK631" s="240"/>
      <c r="CL631" s="240"/>
      <c r="CM631" s="240"/>
      <c r="CN631" s="240"/>
      <c r="CO631" s="240"/>
      <c r="CP631" s="240"/>
      <c r="CQ631" s="240"/>
      <c r="CR631" s="240"/>
      <c r="CS631" s="240"/>
      <c r="CT631" s="240"/>
      <c r="CU631" s="240"/>
      <c r="CV631" s="240"/>
      <c r="CW631" s="240"/>
      <c r="CX631" s="240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345"/>
      <c r="EM631" s="245"/>
      <c r="EN631" s="245"/>
      <c r="EO631" s="245"/>
      <c r="EP631" s="245"/>
      <c r="EQ631" s="316"/>
    </row>
    <row r="632" spans="2:147" s="243" customFormat="1" ht="11.25" hidden="1" customHeight="1">
      <c r="B632" s="244"/>
      <c r="C632" s="240"/>
      <c r="D632" s="240"/>
      <c r="E632" s="240"/>
      <c r="F632" s="240"/>
      <c r="G632" s="240"/>
      <c r="H632" s="240" t="s">
        <v>617</v>
      </c>
      <c r="I632" s="240"/>
      <c r="J632" s="240"/>
      <c r="K632" s="240"/>
      <c r="L632" s="240"/>
      <c r="M632" s="240"/>
      <c r="N632" s="240"/>
      <c r="O632" s="240" t="s">
        <v>132</v>
      </c>
      <c r="P632" s="240"/>
      <c r="Q632" s="240" t="e">
        <f>TEXT(EO604,"#,###.##")</f>
        <v>#REF!</v>
      </c>
      <c r="R632" s="240"/>
      <c r="S632" s="240"/>
      <c r="T632" s="240"/>
      <c r="U632" s="240"/>
      <c r="V632" s="240" t="s">
        <v>130</v>
      </c>
      <c r="W632" s="240"/>
      <c r="X632" s="240" t="str">
        <f>TEXT(EO612,"#,###.##")</f>
        <v>64.9</v>
      </c>
      <c r="Y632" s="240"/>
      <c r="Z632" s="240"/>
      <c r="AA632" s="240"/>
      <c r="AB632" s="240" t="s">
        <v>130</v>
      </c>
      <c r="AC632" s="240"/>
      <c r="AD632" s="240" t="e">
        <f>TEXT(EO627,"#,###.##")</f>
        <v>#REF!</v>
      </c>
      <c r="AE632" s="240"/>
      <c r="AF632" s="240"/>
      <c r="AG632" s="240"/>
      <c r="AH632" s="240"/>
      <c r="AI632" s="240" t="s">
        <v>134</v>
      </c>
      <c r="AJ632" s="240"/>
      <c r="AK632" s="240" t="e">
        <f>TEXT(TRUNC(EO604+EO612+EO627,0),"#,##0")</f>
        <v>#REF!</v>
      </c>
      <c r="AL632" s="240"/>
      <c r="AM632" s="240"/>
      <c r="AN632" s="240"/>
      <c r="AO632" s="240"/>
      <c r="AP632" s="240"/>
      <c r="AQ632" s="240"/>
      <c r="AR632" s="240"/>
      <c r="AS632" s="240"/>
      <c r="AT632" s="240"/>
      <c r="AU632" s="240"/>
      <c r="AV632" s="240"/>
      <c r="AW632" s="240"/>
      <c r="AX632" s="240"/>
      <c r="AY632" s="240"/>
      <c r="AZ632" s="240"/>
      <c r="BA632" s="240"/>
      <c r="BB632" s="240"/>
      <c r="BC632" s="240"/>
      <c r="BD632" s="240"/>
      <c r="BE632" s="240"/>
      <c r="BF632" s="240"/>
      <c r="BG632" s="240"/>
      <c r="BH632" s="240"/>
      <c r="BI632" s="240"/>
      <c r="BJ632" s="240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240"/>
      <c r="BW632" s="240"/>
      <c r="BX632" s="240"/>
      <c r="BY632" s="240"/>
      <c r="BZ632" s="240"/>
      <c r="CA632" s="240"/>
      <c r="CB632" s="240"/>
      <c r="CC632" s="240"/>
      <c r="CD632" s="240"/>
      <c r="CE632" s="240"/>
      <c r="CF632" s="240"/>
      <c r="CG632" s="240"/>
      <c r="CH632" s="240"/>
      <c r="CI632" s="240"/>
      <c r="CJ632" s="240"/>
      <c r="CK632" s="240"/>
      <c r="CL632" s="240"/>
      <c r="CM632" s="240"/>
      <c r="CN632" s="240"/>
      <c r="CO632" s="240"/>
      <c r="CP632" s="240"/>
      <c r="CQ632" s="240"/>
      <c r="CR632" s="240"/>
      <c r="CS632" s="240"/>
      <c r="CT632" s="240"/>
      <c r="CU632" s="240"/>
      <c r="CV632" s="240"/>
      <c r="CW632" s="240"/>
      <c r="CX632" s="240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345"/>
      <c r="EM632" s="245"/>
      <c r="EN632" s="245"/>
      <c r="EO632" s="245"/>
      <c r="EP632" s="245"/>
      <c r="EQ632" s="316"/>
    </row>
    <row r="633" spans="2:147" s="243" customFormat="1" ht="11.25" hidden="1" customHeight="1">
      <c r="B633" s="244"/>
      <c r="C633" s="240"/>
      <c r="D633" s="240"/>
      <c r="E633" s="240"/>
      <c r="F633" s="240"/>
      <c r="G633" s="240"/>
      <c r="H633" s="240" t="s">
        <v>679</v>
      </c>
      <c r="I633" s="240"/>
      <c r="J633" s="240" t="s">
        <v>680</v>
      </c>
      <c r="K633" s="240"/>
      <c r="L633" s="240"/>
      <c r="M633" s="240"/>
      <c r="N633" s="240"/>
      <c r="O633" s="240" t="s">
        <v>132</v>
      </c>
      <c r="P633" s="240"/>
      <c r="Q633" s="240" t="e">
        <f>TEXT(EP604,"#,###.##")</f>
        <v>#REF!</v>
      </c>
      <c r="R633" s="240"/>
      <c r="S633" s="240"/>
      <c r="T633" s="240"/>
      <c r="U633" s="240"/>
      <c r="V633" s="240" t="s">
        <v>130</v>
      </c>
      <c r="W633" s="240"/>
      <c r="X633" s="240" t="e">
        <f>TEXT(EP627,"#,###.##")</f>
        <v>#REF!</v>
      </c>
      <c r="Y633" s="240"/>
      <c r="Z633" s="240"/>
      <c r="AA633" s="240"/>
      <c r="AB633" s="240" t="s">
        <v>134</v>
      </c>
      <c r="AC633" s="240"/>
      <c r="AD633" s="240" t="e">
        <f>TEXT(TRUNC(EP604+EP627,0),"#,##0")</f>
        <v>#REF!</v>
      </c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0"/>
      <c r="AO633" s="240"/>
      <c r="AP633" s="240"/>
      <c r="AQ633" s="240"/>
      <c r="AR633" s="240"/>
      <c r="AS633" s="240"/>
      <c r="AT633" s="240"/>
      <c r="AU633" s="240"/>
      <c r="AV633" s="240"/>
      <c r="AW633" s="240"/>
      <c r="AX633" s="240"/>
      <c r="AY633" s="240"/>
      <c r="AZ633" s="240"/>
      <c r="BA633" s="240"/>
      <c r="BB633" s="240"/>
      <c r="BC633" s="240"/>
      <c r="BD633" s="240"/>
      <c r="BE633" s="240"/>
      <c r="BF633" s="240"/>
      <c r="BG633" s="240"/>
      <c r="BH633" s="240"/>
      <c r="BI633" s="240"/>
      <c r="BJ633" s="240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240"/>
      <c r="BW633" s="240"/>
      <c r="BX633" s="240"/>
      <c r="BY633" s="240"/>
      <c r="BZ633" s="240"/>
      <c r="CA633" s="240"/>
      <c r="CB633" s="240"/>
      <c r="CC633" s="240"/>
      <c r="CD633" s="240"/>
      <c r="CE633" s="240"/>
      <c r="CF633" s="240"/>
      <c r="CG633" s="240"/>
      <c r="CH633" s="240"/>
      <c r="CI633" s="240"/>
      <c r="CJ633" s="240"/>
      <c r="CK633" s="240"/>
      <c r="CL633" s="240"/>
      <c r="CM633" s="240"/>
      <c r="CN633" s="240"/>
      <c r="CO633" s="240"/>
      <c r="CP633" s="240"/>
      <c r="CQ633" s="240"/>
      <c r="CR633" s="240"/>
      <c r="CS633" s="240"/>
      <c r="CT633" s="240"/>
      <c r="CU633" s="240"/>
      <c r="CV633" s="240"/>
      <c r="CW633" s="240"/>
      <c r="CX633" s="240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345"/>
      <c r="EM633" s="245"/>
      <c r="EN633" s="245"/>
      <c r="EO633" s="245"/>
      <c r="EP633" s="245"/>
      <c r="EQ633" s="316"/>
    </row>
    <row r="634" spans="2:147" s="243" customFormat="1" ht="11.25" hidden="1" customHeight="1">
      <c r="B634" s="244"/>
      <c r="C634" s="240"/>
      <c r="D634" s="240"/>
      <c r="E634" s="240"/>
      <c r="F634" s="240"/>
      <c r="G634" s="240"/>
      <c r="H634" s="240"/>
      <c r="I634" s="240"/>
      <c r="J634" s="240" t="s">
        <v>96</v>
      </c>
      <c r="K634" s="240"/>
      <c r="L634" s="240"/>
      <c r="M634" s="240"/>
      <c r="N634" s="240"/>
      <c r="O634" s="240" t="s">
        <v>132</v>
      </c>
      <c r="P634" s="240"/>
      <c r="Q634" s="240" t="e">
        <f>TEXT(AK631+AK632+AD633,"#,##0")</f>
        <v>#REF!</v>
      </c>
      <c r="R634" s="240"/>
      <c r="S634" s="240"/>
      <c r="T634" s="240"/>
      <c r="U634" s="240"/>
      <c r="V634" s="240"/>
      <c r="W634" s="240"/>
      <c r="X634" s="240"/>
      <c r="Y634" s="240"/>
      <c r="Z634" s="240"/>
      <c r="AA634" s="240"/>
      <c r="AB634" s="240"/>
      <c r="AC634" s="240"/>
      <c r="AD634" s="240"/>
      <c r="AE634" s="240"/>
      <c r="AF634" s="240"/>
      <c r="AG634" s="240"/>
      <c r="AH634" s="240"/>
      <c r="AI634" s="240"/>
      <c r="AJ634" s="240"/>
      <c r="AK634" s="240"/>
      <c r="AL634" s="240"/>
      <c r="AM634" s="240"/>
      <c r="AN634" s="240"/>
      <c r="AO634" s="240"/>
      <c r="AP634" s="240"/>
      <c r="AQ634" s="240"/>
      <c r="AR634" s="240"/>
      <c r="AS634" s="240"/>
      <c r="AT634" s="240"/>
      <c r="AU634" s="240"/>
      <c r="AV634" s="240"/>
      <c r="AW634" s="240"/>
      <c r="AX634" s="240"/>
      <c r="AY634" s="240"/>
      <c r="AZ634" s="240"/>
      <c r="BA634" s="240"/>
      <c r="BB634" s="240"/>
      <c r="BC634" s="240"/>
      <c r="BD634" s="240"/>
      <c r="BE634" s="240"/>
      <c r="BF634" s="240"/>
      <c r="BG634" s="240"/>
      <c r="BH634" s="240"/>
      <c r="BI634" s="240"/>
      <c r="BJ634" s="240"/>
      <c r="BK634" s="240"/>
      <c r="BL634" s="240"/>
      <c r="BM634" s="240"/>
      <c r="BN634" s="240"/>
      <c r="BO634" s="240"/>
      <c r="BP634" s="240"/>
      <c r="BQ634" s="240"/>
      <c r="BR634" s="240"/>
      <c r="BS634" s="240"/>
      <c r="BT634" s="240"/>
      <c r="BU634" s="240"/>
      <c r="BV634" s="240"/>
      <c r="BW634" s="240"/>
      <c r="BX634" s="240"/>
      <c r="BY634" s="240"/>
      <c r="BZ634" s="240"/>
      <c r="CA634" s="240"/>
      <c r="CB634" s="240"/>
      <c r="CC634" s="240"/>
      <c r="CD634" s="240"/>
      <c r="CE634" s="240"/>
      <c r="CF634" s="240"/>
      <c r="CG634" s="240"/>
      <c r="CH634" s="240"/>
      <c r="CI634" s="240"/>
      <c r="CJ634" s="240"/>
      <c r="CK634" s="240"/>
      <c r="CL634" s="240"/>
      <c r="CM634" s="240"/>
      <c r="CN634" s="240"/>
      <c r="CO634" s="240"/>
      <c r="CP634" s="240"/>
      <c r="CQ634" s="240"/>
      <c r="CR634" s="240"/>
      <c r="CS634" s="240"/>
      <c r="CT634" s="240"/>
      <c r="CU634" s="240"/>
      <c r="CV634" s="240"/>
      <c r="CW634" s="240"/>
      <c r="CX634" s="240"/>
      <c r="CY634" s="241"/>
      <c r="CZ634" s="241"/>
      <c r="DA634" s="241"/>
      <c r="DB634" s="241"/>
      <c r="DC634" s="241"/>
      <c r="DD634" s="241"/>
      <c r="DE634" s="241"/>
      <c r="DF634" s="241"/>
      <c r="DG634" s="241"/>
      <c r="DH634" s="241"/>
      <c r="DI634" s="241"/>
      <c r="DJ634" s="241"/>
      <c r="DK634" s="241"/>
      <c r="DL634" s="241"/>
      <c r="DM634" s="241"/>
      <c r="DN634" s="241"/>
      <c r="DO634" s="241"/>
      <c r="DP634" s="241"/>
      <c r="DQ634" s="241"/>
      <c r="DR634" s="241"/>
      <c r="DS634" s="241"/>
      <c r="DT634" s="241"/>
      <c r="DU634" s="241"/>
      <c r="DV634" s="241"/>
      <c r="DW634" s="241"/>
      <c r="DX634" s="241"/>
      <c r="DY634" s="241"/>
      <c r="DZ634" s="241"/>
      <c r="EA634" s="241"/>
      <c r="EB634" s="241"/>
      <c r="EC634" s="241"/>
      <c r="ED634" s="241"/>
      <c r="EE634" s="241"/>
      <c r="EF634" s="241"/>
      <c r="EG634" s="241"/>
      <c r="EH634" s="241"/>
      <c r="EI634" s="241"/>
      <c r="EJ634" s="241"/>
      <c r="EK634" s="241"/>
      <c r="EL634" s="345"/>
      <c r="EM634" s="250" t="e">
        <f>EN634+EO634+EP634</f>
        <v>#REF!</v>
      </c>
      <c r="EN634" s="245" t="e">
        <f>TEXT(AK631,"#,##0")</f>
        <v>#REF!</v>
      </c>
      <c r="EO634" s="245" t="e">
        <f>TEXT(AK632,"#,##0")</f>
        <v>#REF!</v>
      </c>
      <c r="EP634" s="245" t="e">
        <f>TEXT(AD633,"#,##0")</f>
        <v>#REF!</v>
      </c>
      <c r="EQ634" s="316"/>
    </row>
    <row r="635" spans="2:147" s="243" customFormat="1" ht="11.25" hidden="1" customHeight="1">
      <c r="B635" s="244"/>
      <c r="C635" s="240"/>
      <c r="D635" s="240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0"/>
      <c r="AO635" s="240"/>
      <c r="AP635" s="240"/>
      <c r="AQ635" s="240"/>
      <c r="AR635" s="240"/>
      <c r="AS635" s="240"/>
      <c r="AT635" s="240"/>
      <c r="AU635" s="240"/>
      <c r="AV635" s="240"/>
      <c r="AW635" s="240"/>
      <c r="AX635" s="240"/>
      <c r="AY635" s="240"/>
      <c r="AZ635" s="240"/>
      <c r="BA635" s="240"/>
      <c r="BB635" s="240"/>
      <c r="BC635" s="240"/>
      <c r="BD635" s="240"/>
      <c r="BE635" s="240"/>
      <c r="BF635" s="240"/>
      <c r="BG635" s="240"/>
      <c r="BH635" s="240"/>
      <c r="BI635" s="240"/>
      <c r="BJ635" s="240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240"/>
      <c r="BW635" s="240"/>
      <c r="BX635" s="240"/>
      <c r="BY635" s="240"/>
      <c r="BZ635" s="240"/>
      <c r="CA635" s="240"/>
      <c r="CB635" s="240"/>
      <c r="CC635" s="240"/>
      <c r="CD635" s="240"/>
      <c r="CE635" s="240"/>
      <c r="CF635" s="240"/>
      <c r="CG635" s="240"/>
      <c r="CH635" s="240"/>
      <c r="CI635" s="240"/>
      <c r="CJ635" s="240"/>
      <c r="CK635" s="240"/>
      <c r="CL635" s="240"/>
      <c r="CM635" s="240"/>
      <c r="CN635" s="240"/>
      <c r="CO635" s="240"/>
      <c r="CP635" s="240"/>
      <c r="CQ635" s="240"/>
      <c r="CR635" s="240"/>
      <c r="CS635" s="240"/>
      <c r="CT635" s="240"/>
      <c r="CU635" s="240"/>
      <c r="CV635" s="240"/>
      <c r="CW635" s="240"/>
      <c r="CX635" s="240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345"/>
      <c r="EM635" s="250"/>
      <c r="EN635" s="245"/>
      <c r="EO635" s="245"/>
      <c r="EP635" s="245"/>
      <c r="EQ635" s="316"/>
    </row>
    <row r="636" spans="2:147" s="243" customFormat="1" ht="11.25" hidden="1" customHeight="1">
      <c r="B636" s="244"/>
      <c r="C636" s="240"/>
      <c r="D636" s="240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0"/>
      <c r="AO636" s="240"/>
      <c r="AP636" s="240"/>
      <c r="AQ636" s="240"/>
      <c r="AR636" s="240"/>
      <c r="AS636" s="240"/>
      <c r="AT636" s="240"/>
      <c r="AU636" s="240"/>
      <c r="AV636" s="240"/>
      <c r="AW636" s="240"/>
      <c r="AX636" s="240"/>
      <c r="AY636" s="240"/>
      <c r="AZ636" s="240"/>
      <c r="BA636" s="240"/>
      <c r="BB636" s="240"/>
      <c r="BC636" s="240"/>
      <c r="BD636" s="240"/>
      <c r="BE636" s="240"/>
      <c r="BF636" s="240"/>
      <c r="BG636" s="240"/>
      <c r="BH636" s="240"/>
      <c r="BI636" s="240"/>
      <c r="BJ636" s="240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240"/>
      <c r="BW636" s="240"/>
      <c r="BX636" s="240"/>
      <c r="BY636" s="240"/>
      <c r="BZ636" s="240"/>
      <c r="CA636" s="240"/>
      <c r="CB636" s="240"/>
      <c r="CC636" s="240"/>
      <c r="CD636" s="240"/>
      <c r="CE636" s="240"/>
      <c r="CF636" s="240"/>
      <c r="CG636" s="240"/>
      <c r="CH636" s="240"/>
      <c r="CI636" s="240"/>
      <c r="CJ636" s="240"/>
      <c r="CK636" s="240"/>
      <c r="CL636" s="240"/>
      <c r="CM636" s="240"/>
      <c r="CN636" s="240"/>
      <c r="CO636" s="240"/>
      <c r="CP636" s="240"/>
      <c r="CQ636" s="240"/>
      <c r="CR636" s="240"/>
      <c r="CS636" s="240"/>
      <c r="CT636" s="240"/>
      <c r="CU636" s="240"/>
      <c r="CV636" s="240"/>
      <c r="CW636" s="240"/>
      <c r="CX636" s="240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345"/>
      <c r="EM636" s="250"/>
      <c r="EN636" s="245"/>
      <c r="EO636" s="245"/>
      <c r="EP636" s="245"/>
      <c r="EQ636" s="316"/>
    </row>
    <row r="637" spans="2:147" s="243" customFormat="1" ht="11.25" hidden="1" customHeight="1">
      <c r="B637" s="244"/>
      <c r="C637" s="240"/>
      <c r="D637" s="240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  <c r="AA637" s="240"/>
      <c r="AB637" s="240"/>
      <c r="AC637" s="240"/>
      <c r="AD637" s="240"/>
      <c r="AE637" s="240"/>
      <c r="AF637" s="240"/>
      <c r="AG637" s="240"/>
      <c r="AH637" s="240"/>
      <c r="AI637" s="240"/>
      <c r="AJ637" s="240"/>
      <c r="AK637" s="240"/>
      <c r="AL637" s="240"/>
      <c r="AM637" s="240"/>
      <c r="AN637" s="240"/>
      <c r="AO637" s="240"/>
      <c r="AP637" s="240"/>
      <c r="AQ637" s="240"/>
      <c r="AR637" s="240"/>
      <c r="AS637" s="240"/>
      <c r="AT637" s="240"/>
      <c r="AU637" s="240"/>
      <c r="AV637" s="240"/>
      <c r="AW637" s="240"/>
      <c r="AX637" s="240"/>
      <c r="AY637" s="240"/>
      <c r="AZ637" s="240"/>
      <c r="BA637" s="240"/>
      <c r="BB637" s="240"/>
      <c r="BC637" s="240"/>
      <c r="BD637" s="240"/>
      <c r="BE637" s="240"/>
      <c r="BF637" s="240"/>
      <c r="BG637" s="240"/>
      <c r="BH637" s="240"/>
      <c r="BI637" s="240"/>
      <c r="BJ637" s="240"/>
      <c r="BK637" s="240"/>
      <c r="BL637" s="240"/>
      <c r="BM637" s="240"/>
      <c r="BN637" s="240"/>
      <c r="BO637" s="240"/>
      <c r="BP637" s="240"/>
      <c r="BQ637" s="240"/>
      <c r="BR637" s="240"/>
      <c r="BS637" s="240"/>
      <c r="BT637" s="240"/>
      <c r="BU637" s="240"/>
      <c r="BV637" s="240"/>
      <c r="BW637" s="240"/>
      <c r="BX637" s="240"/>
      <c r="BY637" s="240"/>
      <c r="BZ637" s="240"/>
      <c r="CA637" s="240"/>
      <c r="CB637" s="240"/>
      <c r="CC637" s="240"/>
      <c r="CD637" s="240"/>
      <c r="CE637" s="240"/>
      <c r="CF637" s="240"/>
      <c r="CG637" s="240"/>
      <c r="CH637" s="240"/>
      <c r="CI637" s="240"/>
      <c r="CJ637" s="240"/>
      <c r="CK637" s="240"/>
      <c r="CL637" s="240"/>
      <c r="CM637" s="240"/>
      <c r="CN637" s="240"/>
      <c r="CO637" s="240"/>
      <c r="CP637" s="240"/>
      <c r="CQ637" s="240"/>
      <c r="CR637" s="240"/>
      <c r="CS637" s="240"/>
      <c r="CT637" s="240"/>
      <c r="CU637" s="240"/>
      <c r="CV637" s="240"/>
      <c r="CW637" s="240"/>
      <c r="CX637" s="240"/>
      <c r="CY637" s="241"/>
      <c r="CZ637" s="241"/>
      <c r="DA637" s="241"/>
      <c r="DB637" s="241"/>
      <c r="DC637" s="241"/>
      <c r="DD637" s="241"/>
      <c r="DE637" s="241"/>
      <c r="DF637" s="241"/>
      <c r="DG637" s="241"/>
      <c r="DH637" s="241"/>
      <c r="DI637" s="241"/>
      <c r="DJ637" s="241"/>
      <c r="DK637" s="241"/>
      <c r="DL637" s="241"/>
      <c r="DM637" s="241"/>
      <c r="DN637" s="241"/>
      <c r="DO637" s="241"/>
      <c r="DP637" s="241"/>
      <c r="DQ637" s="241"/>
      <c r="DR637" s="241"/>
      <c r="DS637" s="241"/>
      <c r="DT637" s="241"/>
      <c r="DU637" s="241"/>
      <c r="DV637" s="241"/>
      <c r="DW637" s="241"/>
      <c r="DX637" s="241"/>
      <c r="DY637" s="241"/>
      <c r="DZ637" s="241"/>
      <c r="EA637" s="241"/>
      <c r="EB637" s="241"/>
      <c r="EC637" s="241"/>
      <c r="ED637" s="241"/>
      <c r="EE637" s="241"/>
      <c r="EF637" s="241"/>
      <c r="EG637" s="241"/>
      <c r="EH637" s="241"/>
      <c r="EI637" s="241"/>
      <c r="EJ637" s="241"/>
      <c r="EK637" s="241"/>
      <c r="EL637" s="345"/>
      <c r="EM637" s="250"/>
      <c r="EN637" s="245"/>
      <c r="EO637" s="245"/>
      <c r="EP637" s="245"/>
      <c r="EQ637" s="316"/>
    </row>
    <row r="638" spans="2:147" s="243" customFormat="1" ht="11.25" hidden="1" customHeight="1">
      <c r="B638" s="244"/>
      <c r="C638" s="240"/>
      <c r="D638" s="240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0"/>
      <c r="AO638" s="240"/>
      <c r="AP638" s="240"/>
      <c r="AQ638" s="240"/>
      <c r="AR638" s="240"/>
      <c r="AS638" s="240"/>
      <c r="AT638" s="240"/>
      <c r="AU638" s="240"/>
      <c r="AV638" s="240"/>
      <c r="AW638" s="240"/>
      <c r="AX638" s="240"/>
      <c r="AY638" s="240"/>
      <c r="AZ638" s="240"/>
      <c r="BA638" s="240"/>
      <c r="BB638" s="240"/>
      <c r="BC638" s="240"/>
      <c r="BD638" s="240"/>
      <c r="BE638" s="240"/>
      <c r="BF638" s="240"/>
      <c r="BG638" s="240"/>
      <c r="BH638" s="240"/>
      <c r="BI638" s="240"/>
      <c r="BJ638" s="240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240"/>
      <c r="BW638" s="240"/>
      <c r="BX638" s="240"/>
      <c r="BY638" s="240"/>
      <c r="BZ638" s="240"/>
      <c r="CA638" s="240"/>
      <c r="CB638" s="240"/>
      <c r="CC638" s="240"/>
      <c r="CD638" s="240"/>
      <c r="CE638" s="240"/>
      <c r="CF638" s="240"/>
      <c r="CG638" s="240"/>
      <c r="CH638" s="240"/>
      <c r="CI638" s="240"/>
      <c r="CJ638" s="240"/>
      <c r="CK638" s="240"/>
      <c r="CL638" s="240"/>
      <c r="CM638" s="240"/>
      <c r="CN638" s="240"/>
      <c r="CO638" s="240"/>
      <c r="CP638" s="240"/>
      <c r="CQ638" s="240"/>
      <c r="CR638" s="240"/>
      <c r="CS638" s="240"/>
      <c r="CT638" s="240"/>
      <c r="CU638" s="240"/>
      <c r="CV638" s="240"/>
      <c r="CW638" s="240"/>
      <c r="CX638" s="240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345"/>
      <c r="EM638" s="250"/>
      <c r="EN638" s="245"/>
      <c r="EO638" s="245"/>
      <c r="EP638" s="245"/>
      <c r="EQ638" s="316"/>
    </row>
    <row r="639" spans="2:147" s="243" customFormat="1" ht="11.25" hidden="1" customHeight="1">
      <c r="B639" s="244"/>
      <c r="C639" s="240"/>
      <c r="D639" s="240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0"/>
      <c r="AO639" s="240"/>
      <c r="AP639" s="240"/>
      <c r="AQ639" s="240"/>
      <c r="AR639" s="240"/>
      <c r="AS639" s="240"/>
      <c r="AT639" s="240"/>
      <c r="AU639" s="240"/>
      <c r="AV639" s="240"/>
      <c r="AW639" s="240"/>
      <c r="AX639" s="240"/>
      <c r="AY639" s="240"/>
      <c r="AZ639" s="240"/>
      <c r="BA639" s="240"/>
      <c r="BB639" s="240"/>
      <c r="BC639" s="240"/>
      <c r="BD639" s="240"/>
      <c r="BE639" s="240"/>
      <c r="BF639" s="240"/>
      <c r="BG639" s="240"/>
      <c r="BH639" s="240"/>
      <c r="BI639" s="240"/>
      <c r="BJ639" s="240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240"/>
      <c r="BW639" s="240"/>
      <c r="BX639" s="240"/>
      <c r="BY639" s="240"/>
      <c r="BZ639" s="240"/>
      <c r="CA639" s="240"/>
      <c r="CB639" s="240"/>
      <c r="CC639" s="240"/>
      <c r="CD639" s="240"/>
      <c r="CE639" s="240"/>
      <c r="CF639" s="240"/>
      <c r="CG639" s="240"/>
      <c r="CH639" s="240"/>
      <c r="CI639" s="240"/>
      <c r="CJ639" s="240"/>
      <c r="CK639" s="240"/>
      <c r="CL639" s="240"/>
      <c r="CM639" s="240"/>
      <c r="CN639" s="240"/>
      <c r="CO639" s="240"/>
      <c r="CP639" s="240"/>
      <c r="CQ639" s="240"/>
      <c r="CR639" s="240"/>
      <c r="CS639" s="240"/>
      <c r="CT639" s="240"/>
      <c r="CU639" s="240"/>
      <c r="CV639" s="240"/>
      <c r="CW639" s="240"/>
      <c r="CX639" s="240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345"/>
      <c r="EM639" s="250"/>
      <c r="EN639" s="245"/>
      <c r="EO639" s="245"/>
      <c r="EP639" s="245"/>
      <c r="EQ639" s="316"/>
    </row>
    <row r="640" spans="2:147" s="243" customFormat="1" ht="11.25" hidden="1" customHeight="1">
      <c r="B640" s="244"/>
      <c r="C640" s="240"/>
      <c r="D640" s="240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0"/>
      <c r="AO640" s="240"/>
      <c r="AP640" s="240"/>
      <c r="AQ640" s="240"/>
      <c r="AR640" s="240"/>
      <c r="AS640" s="240"/>
      <c r="AT640" s="240"/>
      <c r="AU640" s="240"/>
      <c r="AV640" s="240"/>
      <c r="AW640" s="240"/>
      <c r="AX640" s="240"/>
      <c r="AY640" s="240"/>
      <c r="AZ640" s="240"/>
      <c r="BA640" s="240"/>
      <c r="BB640" s="240"/>
      <c r="BC640" s="240"/>
      <c r="BD640" s="240"/>
      <c r="BE640" s="240"/>
      <c r="BF640" s="240"/>
      <c r="BG640" s="240"/>
      <c r="BH640" s="240"/>
      <c r="BI640" s="240"/>
      <c r="BJ640" s="240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240"/>
      <c r="BW640" s="240"/>
      <c r="BX640" s="240"/>
      <c r="BY640" s="240"/>
      <c r="BZ640" s="240"/>
      <c r="CA640" s="240"/>
      <c r="CB640" s="240"/>
      <c r="CC640" s="240"/>
      <c r="CD640" s="240"/>
      <c r="CE640" s="240"/>
      <c r="CF640" s="240"/>
      <c r="CG640" s="240"/>
      <c r="CH640" s="240"/>
      <c r="CI640" s="240"/>
      <c r="CJ640" s="240"/>
      <c r="CK640" s="240"/>
      <c r="CL640" s="240"/>
      <c r="CM640" s="240"/>
      <c r="CN640" s="240"/>
      <c r="CO640" s="240"/>
      <c r="CP640" s="240"/>
      <c r="CQ640" s="240"/>
      <c r="CR640" s="240"/>
      <c r="CS640" s="240"/>
      <c r="CT640" s="240"/>
      <c r="CU640" s="240"/>
      <c r="CV640" s="240"/>
      <c r="CW640" s="240"/>
      <c r="CX640" s="240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345"/>
      <c r="EM640" s="250"/>
      <c r="EN640" s="245"/>
      <c r="EO640" s="245"/>
      <c r="EP640" s="245"/>
      <c r="EQ640" s="316"/>
    </row>
    <row r="641" spans="1:189" s="243" customFormat="1" ht="11.25" hidden="1" customHeight="1">
      <c r="B641" s="244"/>
      <c r="C641" s="240"/>
      <c r="D641" s="240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0"/>
      <c r="AO641" s="240"/>
      <c r="AP641" s="240"/>
      <c r="AQ641" s="240"/>
      <c r="AR641" s="240"/>
      <c r="AS641" s="240"/>
      <c r="AT641" s="240"/>
      <c r="AU641" s="240"/>
      <c r="AV641" s="240"/>
      <c r="AW641" s="240"/>
      <c r="AX641" s="240"/>
      <c r="AY641" s="240"/>
      <c r="AZ641" s="240"/>
      <c r="BA641" s="240"/>
      <c r="BB641" s="240"/>
      <c r="BC641" s="240"/>
      <c r="BD641" s="240"/>
      <c r="BE641" s="240"/>
      <c r="BF641" s="240"/>
      <c r="BG641" s="240"/>
      <c r="BH641" s="240"/>
      <c r="BI641" s="240"/>
      <c r="BJ641" s="240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240"/>
      <c r="BW641" s="240"/>
      <c r="BX641" s="240"/>
      <c r="BY641" s="240"/>
      <c r="BZ641" s="240"/>
      <c r="CA641" s="240"/>
      <c r="CB641" s="240"/>
      <c r="CC641" s="240"/>
      <c r="CD641" s="240"/>
      <c r="CE641" s="240"/>
      <c r="CF641" s="240"/>
      <c r="CG641" s="240"/>
      <c r="CH641" s="240"/>
      <c r="CI641" s="240"/>
      <c r="CJ641" s="240"/>
      <c r="CK641" s="240"/>
      <c r="CL641" s="240"/>
      <c r="CM641" s="240"/>
      <c r="CN641" s="240"/>
      <c r="CO641" s="240"/>
      <c r="CP641" s="240"/>
      <c r="CQ641" s="240"/>
      <c r="CR641" s="240"/>
      <c r="CS641" s="240"/>
      <c r="CT641" s="240"/>
      <c r="CU641" s="240"/>
      <c r="CV641" s="240"/>
      <c r="CW641" s="240"/>
      <c r="CX641" s="240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345"/>
      <c r="EM641" s="250"/>
      <c r="EN641" s="245"/>
      <c r="EO641" s="245"/>
      <c r="EP641" s="245"/>
      <c r="EQ641" s="316"/>
    </row>
    <row r="642" spans="1:189" s="243" customFormat="1" ht="11.25" hidden="1" customHeight="1">
      <c r="B642" s="246"/>
      <c r="C642" s="247"/>
      <c r="D642" s="247"/>
      <c r="E642" s="247"/>
      <c r="F642" s="247"/>
      <c r="G642" s="247"/>
      <c r="H642" s="247"/>
      <c r="I642" s="247"/>
      <c r="J642" s="247"/>
      <c r="K642" s="247"/>
      <c r="L642" s="247"/>
      <c r="M642" s="247"/>
      <c r="N642" s="247"/>
      <c r="O642" s="247"/>
      <c r="P642" s="247"/>
      <c r="Q642" s="247"/>
      <c r="R642" s="247"/>
      <c r="S642" s="247"/>
      <c r="T642" s="247"/>
      <c r="U642" s="247"/>
      <c r="V642" s="247"/>
      <c r="W642" s="247"/>
      <c r="X642" s="247"/>
      <c r="Y642" s="247"/>
      <c r="Z642" s="247"/>
      <c r="AA642" s="247"/>
      <c r="AB642" s="247"/>
      <c r="AC642" s="247"/>
      <c r="AD642" s="247"/>
      <c r="AE642" s="247"/>
      <c r="AF642" s="247"/>
      <c r="AG642" s="247"/>
      <c r="AH642" s="247"/>
      <c r="AI642" s="247"/>
      <c r="AJ642" s="247"/>
      <c r="AK642" s="247"/>
      <c r="AL642" s="247"/>
      <c r="AM642" s="247"/>
      <c r="AN642" s="247"/>
      <c r="AO642" s="247"/>
      <c r="AP642" s="247"/>
      <c r="AQ642" s="247"/>
      <c r="AR642" s="247"/>
      <c r="AS642" s="247"/>
      <c r="AT642" s="247"/>
      <c r="AU642" s="247"/>
      <c r="AV642" s="247"/>
      <c r="AW642" s="247"/>
      <c r="AX642" s="247"/>
      <c r="AY642" s="247"/>
      <c r="AZ642" s="247"/>
      <c r="BA642" s="247"/>
      <c r="BB642" s="247"/>
      <c r="BC642" s="247"/>
      <c r="BD642" s="247"/>
      <c r="BE642" s="247"/>
      <c r="BF642" s="247"/>
      <c r="BG642" s="247"/>
      <c r="BH642" s="247"/>
      <c r="BI642" s="247"/>
      <c r="BJ642" s="247"/>
      <c r="BK642" s="247"/>
      <c r="BL642" s="247"/>
      <c r="BM642" s="247"/>
      <c r="BN642" s="247"/>
      <c r="BO642" s="247"/>
      <c r="BP642" s="247"/>
      <c r="BQ642" s="247"/>
      <c r="BR642" s="247"/>
      <c r="BS642" s="247"/>
      <c r="BT642" s="247"/>
      <c r="BU642" s="247"/>
      <c r="BV642" s="247"/>
      <c r="BW642" s="247"/>
      <c r="BX642" s="247"/>
      <c r="BY642" s="247"/>
      <c r="BZ642" s="247"/>
      <c r="CA642" s="247"/>
      <c r="CB642" s="247"/>
      <c r="CC642" s="247"/>
      <c r="CD642" s="247"/>
      <c r="CE642" s="247"/>
      <c r="CF642" s="247"/>
      <c r="CG642" s="247"/>
      <c r="CH642" s="247"/>
      <c r="CI642" s="247"/>
      <c r="CJ642" s="247"/>
      <c r="CK642" s="247"/>
      <c r="CL642" s="247"/>
      <c r="CM642" s="247"/>
      <c r="CN642" s="247"/>
      <c r="CO642" s="247"/>
      <c r="CP642" s="247"/>
      <c r="CQ642" s="247"/>
      <c r="CR642" s="247"/>
      <c r="CS642" s="247"/>
      <c r="CT642" s="247"/>
      <c r="CU642" s="247"/>
      <c r="CV642" s="247"/>
      <c r="CW642" s="247"/>
      <c r="CX642" s="247"/>
      <c r="CY642" s="248"/>
      <c r="CZ642" s="248"/>
      <c r="DA642" s="248"/>
      <c r="DB642" s="248"/>
      <c r="DC642" s="248"/>
      <c r="DD642" s="248"/>
      <c r="DE642" s="248"/>
      <c r="DF642" s="248"/>
      <c r="DG642" s="248"/>
      <c r="DH642" s="248"/>
      <c r="DI642" s="248"/>
      <c r="DJ642" s="248"/>
      <c r="DK642" s="248"/>
      <c r="DL642" s="248"/>
      <c r="DM642" s="248"/>
      <c r="DN642" s="248"/>
      <c r="DO642" s="248"/>
      <c r="DP642" s="248"/>
      <c r="DQ642" s="248"/>
      <c r="DR642" s="248"/>
      <c r="DS642" s="248"/>
      <c r="DT642" s="248"/>
      <c r="DU642" s="248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48"/>
      <c r="EF642" s="248"/>
      <c r="EG642" s="248"/>
      <c r="EH642" s="248"/>
      <c r="EI642" s="248"/>
      <c r="EJ642" s="248"/>
      <c r="EK642" s="248"/>
      <c r="EL642" s="357"/>
      <c r="EM642" s="249"/>
      <c r="EN642" s="249"/>
      <c r="EO642" s="249"/>
      <c r="EP642" s="249"/>
      <c r="EQ642" s="317"/>
    </row>
    <row r="643" spans="1:189" ht="11.45" hidden="1" customHeight="1">
      <c r="B643" s="255"/>
      <c r="C643" s="256"/>
      <c r="D643" s="256"/>
      <c r="E643" s="256"/>
      <c r="F643" s="256"/>
      <c r="G643" s="256"/>
      <c r="H643" s="256"/>
      <c r="I643" s="256"/>
      <c r="J643" s="256"/>
      <c r="K643" s="256"/>
      <c r="L643" s="300"/>
      <c r="M643" s="300"/>
      <c r="N643" s="300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  <c r="AA643" s="256"/>
      <c r="AB643" s="256"/>
      <c r="AC643" s="256"/>
      <c r="AD643" s="256"/>
      <c r="AE643" s="256"/>
      <c r="AF643" s="256"/>
      <c r="AG643" s="256"/>
      <c r="AH643" s="256"/>
      <c r="AI643" s="256"/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56"/>
      <c r="BO643" s="256"/>
      <c r="BP643" s="256"/>
      <c r="BQ643" s="256"/>
      <c r="BR643" s="256"/>
      <c r="BS643" s="300"/>
      <c r="BT643" s="256"/>
      <c r="BU643" s="256"/>
      <c r="BV643" s="256"/>
      <c r="BW643" s="256"/>
      <c r="BX643" s="256"/>
      <c r="BY643" s="256"/>
      <c r="BZ643" s="256"/>
      <c r="CA643" s="256"/>
      <c r="CB643" s="256"/>
      <c r="CC643" s="256"/>
      <c r="CD643" s="256"/>
      <c r="CE643" s="256"/>
      <c r="CF643" s="256"/>
      <c r="CG643" s="256"/>
      <c r="CH643" s="256"/>
      <c r="CI643" s="256"/>
      <c r="CJ643" s="256"/>
      <c r="CK643" s="256"/>
      <c r="CL643" s="256"/>
      <c r="CM643" s="256"/>
      <c r="CN643" s="256"/>
      <c r="CO643" s="256"/>
      <c r="CP643" s="256"/>
      <c r="CQ643" s="256"/>
      <c r="CR643" s="256"/>
      <c r="CS643" s="256"/>
      <c r="CT643" s="256"/>
      <c r="CU643" s="256"/>
      <c r="CV643" s="256"/>
      <c r="CW643" s="256"/>
      <c r="CX643" s="256"/>
      <c r="CY643" s="256"/>
      <c r="CZ643" s="256"/>
      <c r="DA643" s="256"/>
      <c r="DB643" s="256"/>
      <c r="DC643" s="256"/>
      <c r="DD643" s="256"/>
      <c r="DE643" s="256"/>
      <c r="DF643" s="256"/>
      <c r="DG643" s="256"/>
      <c r="DH643" s="256"/>
      <c r="DI643" s="256"/>
      <c r="DJ643" s="256"/>
      <c r="DK643" s="256"/>
      <c r="DL643" s="256"/>
      <c r="DM643" s="256"/>
      <c r="DN643" s="256"/>
      <c r="DO643" s="256"/>
      <c r="DP643" s="256"/>
      <c r="DQ643" s="256"/>
      <c r="DR643" s="256"/>
      <c r="DS643" s="256"/>
      <c r="DT643" s="256"/>
      <c r="DU643" s="256"/>
      <c r="DV643" s="256"/>
      <c r="DW643" s="256"/>
      <c r="DX643" s="256"/>
      <c r="DY643" s="256"/>
      <c r="DZ643" s="256"/>
      <c r="EA643" s="256"/>
      <c r="EB643" s="256"/>
      <c r="EC643" s="256"/>
      <c r="ED643" s="256"/>
      <c r="EE643" s="256"/>
      <c r="EF643" s="256"/>
      <c r="EG643" s="256"/>
      <c r="EH643" s="256"/>
      <c r="EI643" s="256"/>
      <c r="EJ643" s="256"/>
      <c r="EK643" s="256"/>
      <c r="EL643" s="361"/>
      <c r="EM643" s="257"/>
      <c r="EN643" s="258"/>
      <c r="EO643" s="258"/>
      <c r="EP643" s="258"/>
      <c r="EQ643" s="259"/>
    </row>
    <row r="644" spans="1:189" s="243" customFormat="1" ht="11.45" hidden="1" customHeight="1">
      <c r="A644" s="243">
        <v>17</v>
      </c>
      <c r="B644" s="1782">
        <f>A644</f>
        <v>17</v>
      </c>
      <c r="C644" s="1781"/>
      <c r="D644" s="1781"/>
      <c r="E644" s="344" t="s">
        <v>891</v>
      </c>
      <c r="F644" s="240"/>
      <c r="G644" s="240"/>
      <c r="H644" s="240"/>
      <c r="I644" s="240"/>
      <c r="J644" s="240"/>
      <c r="K644" s="240"/>
      <c r="L644" s="297"/>
      <c r="M644" s="297"/>
      <c r="N644" s="297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0"/>
      <c r="BN644" s="240"/>
      <c r="BO644" s="240"/>
      <c r="BP644" s="240"/>
      <c r="BQ644" s="240"/>
      <c r="BR644" s="240"/>
      <c r="BS644" s="297"/>
      <c r="BT644" s="240"/>
      <c r="BU644" s="240"/>
      <c r="BV644" s="240"/>
      <c r="BW644" s="240"/>
      <c r="BX644" s="240"/>
      <c r="BY644" s="240"/>
      <c r="BZ644" s="240"/>
      <c r="CA644" s="240"/>
      <c r="CB644" s="240"/>
      <c r="CC644" s="240"/>
      <c r="CD644" s="240"/>
      <c r="CE644" s="240"/>
      <c r="CF644" s="240"/>
      <c r="CG644" s="240"/>
      <c r="CH644" s="240"/>
      <c r="CI644" s="240"/>
      <c r="CJ644" s="240"/>
      <c r="CK644" s="240"/>
      <c r="CL644" s="240"/>
      <c r="CM644" s="240"/>
      <c r="CN644" s="240"/>
      <c r="CO644" s="240"/>
      <c r="CP644" s="240"/>
      <c r="CQ644" s="240"/>
      <c r="CR644" s="240"/>
      <c r="CS644" s="240"/>
      <c r="CT644" s="240"/>
      <c r="CU644" s="240"/>
      <c r="CV644" s="240"/>
      <c r="CW644" s="240"/>
      <c r="CX644" s="240"/>
      <c r="CY644" s="240"/>
      <c r="CZ644" s="240"/>
      <c r="DA644" s="240"/>
      <c r="DB644" s="240"/>
      <c r="DC644" s="240"/>
      <c r="DD644" s="240"/>
      <c r="DE644" s="240"/>
      <c r="DF644" s="240"/>
      <c r="DG644" s="240"/>
      <c r="DH644" s="240"/>
      <c r="DI644" s="240"/>
      <c r="DJ644" s="240"/>
      <c r="DK644" s="240"/>
      <c r="DL644" s="240"/>
      <c r="DM644" s="240"/>
      <c r="DN644" s="240"/>
      <c r="DO644" s="240"/>
      <c r="DP644" s="240"/>
      <c r="DQ644" s="240"/>
      <c r="DR644" s="240"/>
      <c r="DS644" s="240"/>
      <c r="DT644" s="240"/>
      <c r="DU644" s="240"/>
      <c r="DV644" s="240"/>
      <c r="DW644" s="240"/>
      <c r="DX644" s="240"/>
      <c r="DY644" s="240"/>
      <c r="DZ644" s="240"/>
      <c r="EA644" s="240"/>
      <c r="EB644" s="240"/>
      <c r="EC644" s="240"/>
      <c r="ED644" s="240"/>
      <c r="EE644" s="240"/>
      <c r="EF644" s="240"/>
      <c r="EG644" s="240"/>
      <c r="EH644" s="240"/>
      <c r="EI644" s="240"/>
      <c r="EJ644" s="240"/>
      <c r="EK644" s="240"/>
      <c r="EL644" s="359"/>
      <c r="EM644" s="242" t="e">
        <f>EM713</f>
        <v>#REF!</v>
      </c>
      <c r="EN644" s="242" t="e">
        <f>EN713</f>
        <v>#REF!</v>
      </c>
      <c r="EO644" s="242" t="e">
        <f>EO713</f>
        <v>#REF!</v>
      </c>
      <c r="EP644" s="242" t="e">
        <f>EP713</f>
        <v>#REF!</v>
      </c>
      <c r="EQ644" s="312" t="s">
        <v>762</v>
      </c>
      <c r="ER644" s="240"/>
      <c r="ES644" s="800">
        <f>A644</f>
        <v>17</v>
      </c>
      <c r="ET644" s="240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193"/>
    </row>
    <row r="645" spans="1:189" s="243" customFormat="1" ht="11.45" hidden="1" customHeight="1">
      <c r="B645" s="244"/>
      <c r="C645" s="240"/>
      <c r="D645" s="240"/>
      <c r="E645" s="240"/>
      <c r="F645" s="240"/>
      <c r="G645" s="240"/>
      <c r="H645" s="240"/>
      <c r="I645" s="240"/>
      <c r="J645" s="240"/>
      <c r="K645" s="240"/>
      <c r="L645" s="297"/>
      <c r="M645" s="297"/>
      <c r="N645" s="297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0"/>
      <c r="BN645" s="240"/>
      <c r="BO645" s="240"/>
      <c r="BP645" s="240"/>
      <c r="BQ645" s="240"/>
      <c r="BR645" s="240"/>
      <c r="BS645" s="297"/>
      <c r="BT645" s="240"/>
      <c r="BU645" s="240"/>
      <c r="BV645" s="240"/>
      <c r="BW645" s="240"/>
      <c r="BX645" s="240"/>
      <c r="BY645" s="240"/>
      <c r="BZ645" s="240"/>
      <c r="CA645" s="240"/>
      <c r="CB645" s="240"/>
      <c r="CC645" s="240"/>
      <c r="CD645" s="240"/>
      <c r="CE645" s="240"/>
      <c r="CF645" s="240"/>
      <c r="CG645" s="240"/>
      <c r="CH645" s="240"/>
      <c r="CI645" s="240"/>
      <c r="CJ645" s="240"/>
      <c r="CK645" s="240"/>
      <c r="CL645" s="240"/>
      <c r="CM645" s="240"/>
      <c r="CN645" s="240"/>
      <c r="CO645" s="240"/>
      <c r="CP645" s="240"/>
      <c r="CQ645" s="240"/>
      <c r="CR645" s="240"/>
      <c r="CS645" s="240"/>
      <c r="CT645" s="240"/>
      <c r="CU645" s="240"/>
      <c r="CV645" s="240"/>
      <c r="CW645" s="240"/>
      <c r="CX645" s="240"/>
      <c r="CY645" s="240"/>
      <c r="CZ645" s="240"/>
      <c r="DA645" s="240"/>
      <c r="DB645" s="240"/>
      <c r="DC645" s="240"/>
      <c r="DD645" s="240"/>
      <c r="DE645" s="240"/>
      <c r="DF645" s="240"/>
      <c r="DG645" s="240"/>
      <c r="DH645" s="240"/>
      <c r="DI645" s="240"/>
      <c r="DJ645" s="240"/>
      <c r="DK645" s="240"/>
      <c r="DL645" s="240"/>
      <c r="DM645" s="240"/>
      <c r="DN645" s="240"/>
      <c r="DO645" s="240"/>
      <c r="DP645" s="240"/>
      <c r="DQ645" s="240"/>
      <c r="DR645" s="240"/>
      <c r="DS645" s="240"/>
      <c r="DT645" s="240"/>
      <c r="DU645" s="240"/>
      <c r="DV645" s="240"/>
      <c r="DW645" s="240"/>
      <c r="DX645" s="240"/>
      <c r="DY645" s="240"/>
      <c r="DZ645" s="240"/>
      <c r="EA645" s="240"/>
      <c r="EB645" s="240"/>
      <c r="EC645" s="240"/>
      <c r="ED645" s="240"/>
      <c r="EE645" s="240"/>
      <c r="EF645" s="240"/>
      <c r="EG645" s="240"/>
      <c r="EH645" s="240"/>
      <c r="EI645" s="240"/>
      <c r="EJ645" s="240"/>
      <c r="EK645" s="240"/>
      <c r="EL645" s="359"/>
      <c r="EM645" s="245"/>
      <c r="EN645" s="245"/>
      <c r="EO645" s="245"/>
      <c r="EP645" s="245"/>
      <c r="EQ645" s="254"/>
      <c r="ER645" s="240"/>
      <c r="ES645" s="240"/>
      <c r="ET645" s="240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193"/>
    </row>
    <row r="646" spans="1:189" s="243" customFormat="1" ht="11.45" hidden="1" customHeight="1">
      <c r="B646" s="244"/>
      <c r="C646" s="240"/>
      <c r="D646" s="240" t="s">
        <v>674</v>
      </c>
      <c r="E646" s="240"/>
      <c r="F646" s="240"/>
      <c r="G646" s="240" t="s">
        <v>750</v>
      </c>
      <c r="H646" s="240"/>
      <c r="I646" s="240"/>
      <c r="J646" s="240"/>
      <c r="K646" s="240"/>
      <c r="L646" s="297"/>
      <c r="M646" s="297"/>
      <c r="N646" s="297"/>
      <c r="O646" s="240"/>
      <c r="P646" s="240" t="s">
        <v>698</v>
      </c>
      <c r="Q646" s="240"/>
      <c r="R646" s="240"/>
      <c r="S646" s="240"/>
      <c r="T646" s="240"/>
      <c r="U646" s="240" t="s">
        <v>1329</v>
      </c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0"/>
      <c r="BN646" s="240"/>
      <c r="BO646" s="240"/>
      <c r="BP646" s="240"/>
      <c r="BQ646" s="240"/>
      <c r="BR646" s="240"/>
      <c r="BS646" s="297"/>
      <c r="BT646" s="240"/>
      <c r="BU646" s="240"/>
      <c r="BV646" s="240"/>
      <c r="BW646" s="240"/>
      <c r="BX646" s="240"/>
      <c r="BY646" s="240"/>
      <c r="BZ646" s="240"/>
      <c r="CA646" s="240"/>
      <c r="CB646" s="240"/>
      <c r="CC646" s="240"/>
      <c r="CD646" s="240"/>
      <c r="CE646" s="240"/>
      <c r="CF646" s="240"/>
      <c r="CG646" s="240"/>
      <c r="CH646" s="240"/>
      <c r="CI646" s="240"/>
      <c r="CJ646" s="240"/>
      <c r="CK646" s="240"/>
      <c r="CL646" s="240"/>
      <c r="CM646" s="240"/>
      <c r="CN646" s="240"/>
      <c r="CO646" s="240"/>
      <c r="CP646" s="240"/>
      <c r="CQ646" s="240"/>
      <c r="CR646" s="240"/>
      <c r="CS646" s="240"/>
      <c r="CT646" s="240"/>
      <c r="CU646" s="240"/>
      <c r="CV646" s="240"/>
      <c r="CW646" s="240"/>
      <c r="CX646" s="240"/>
      <c r="CY646" s="240"/>
      <c r="CZ646" s="240"/>
      <c r="DA646" s="240"/>
      <c r="DB646" s="240"/>
      <c r="DC646" s="240"/>
      <c r="DD646" s="240"/>
      <c r="DE646" s="240"/>
      <c r="DF646" s="240"/>
      <c r="DG646" s="240"/>
      <c r="DH646" s="240"/>
      <c r="DI646" s="240"/>
      <c r="DJ646" s="240"/>
      <c r="DK646" s="240"/>
      <c r="DL646" s="240"/>
      <c r="DM646" s="240"/>
      <c r="DN646" s="240"/>
      <c r="DO646" s="240"/>
      <c r="DP646" s="240"/>
      <c r="DQ646" s="240"/>
      <c r="DR646" s="240"/>
      <c r="DS646" s="240"/>
      <c r="DT646" s="240"/>
      <c r="DU646" s="240"/>
      <c r="DV646" s="240"/>
      <c r="DW646" s="240"/>
      <c r="DX646" s="240"/>
      <c r="DY646" s="240"/>
      <c r="DZ646" s="240"/>
      <c r="EA646" s="240"/>
      <c r="EB646" s="240"/>
      <c r="EC646" s="240"/>
      <c r="ED646" s="240"/>
      <c r="EE646" s="240"/>
      <c r="EF646" s="240"/>
      <c r="EG646" s="240"/>
      <c r="EH646" s="240"/>
      <c r="EI646" s="240"/>
      <c r="EJ646" s="240"/>
      <c r="EK646" s="240"/>
      <c r="EL646" s="359"/>
      <c r="EM646" s="245"/>
      <c r="EN646" s="245"/>
      <c r="EO646" s="245"/>
      <c r="EP646" s="245"/>
      <c r="EQ646" s="254"/>
      <c r="ER646" s="240"/>
      <c r="ES646" s="240"/>
      <c r="ET646" s="240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193"/>
    </row>
    <row r="647" spans="1:189" s="243" customFormat="1" ht="11.45" hidden="1" customHeight="1">
      <c r="B647" s="244"/>
      <c r="C647" s="240"/>
      <c r="D647" s="240"/>
      <c r="E647" s="240" t="s">
        <v>685</v>
      </c>
      <c r="F647" s="240"/>
      <c r="G647" s="240" t="s">
        <v>686</v>
      </c>
      <c r="H647" s="240"/>
      <c r="I647" s="240" t="s">
        <v>699</v>
      </c>
      <c r="J647" s="240"/>
      <c r="K647" s="240"/>
      <c r="L647" s="297" t="s">
        <v>700</v>
      </c>
      <c r="M647" s="297"/>
      <c r="N647" s="297"/>
      <c r="O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0"/>
      <c r="BN647" s="240"/>
      <c r="BO647" s="240"/>
      <c r="BP647" s="240"/>
      <c r="BQ647" s="240"/>
      <c r="BR647" s="240"/>
      <c r="BS647" s="297"/>
      <c r="BT647" s="240"/>
      <c r="BU647" s="240"/>
      <c r="BV647" s="240"/>
      <c r="BW647" s="240"/>
      <c r="BX647" s="240"/>
      <c r="BY647" s="240"/>
      <c r="BZ647" s="240"/>
      <c r="CA647" s="240"/>
      <c r="CB647" s="240"/>
      <c r="CC647" s="240"/>
      <c r="CD647" s="240"/>
      <c r="CE647" s="240"/>
      <c r="CF647" s="240"/>
      <c r="CG647" s="240"/>
      <c r="CH647" s="240"/>
      <c r="CI647" s="240"/>
      <c r="CJ647" s="240"/>
      <c r="CK647" s="240"/>
      <c r="CL647" s="240"/>
      <c r="CM647" s="240"/>
      <c r="CN647" s="240"/>
      <c r="CO647" s="240"/>
      <c r="CP647" s="240"/>
      <c r="CQ647" s="240"/>
      <c r="CR647" s="240"/>
      <c r="CS647" s="240"/>
      <c r="CT647" s="240"/>
      <c r="CU647" s="240"/>
      <c r="CV647" s="240"/>
      <c r="CW647" s="240"/>
      <c r="CX647" s="240"/>
      <c r="CY647" s="240"/>
      <c r="CZ647" s="240"/>
      <c r="DA647" s="240"/>
      <c r="DB647" s="240"/>
      <c r="DC647" s="240"/>
      <c r="DD647" s="240"/>
      <c r="DE647" s="240"/>
      <c r="DF647" s="240"/>
      <c r="DG647" s="240"/>
      <c r="DH647" s="240"/>
      <c r="DI647" s="240"/>
      <c r="DJ647" s="240"/>
      <c r="DK647" s="240"/>
      <c r="DL647" s="240"/>
      <c r="DM647" s="240"/>
      <c r="DN647" s="240"/>
      <c r="DO647" s="240"/>
      <c r="DP647" s="240"/>
      <c r="DQ647" s="240"/>
      <c r="DR647" s="240"/>
      <c r="DS647" s="240"/>
      <c r="DT647" s="240"/>
      <c r="DU647" s="240"/>
      <c r="DV647" s="240"/>
      <c r="DW647" s="240"/>
      <c r="DX647" s="240"/>
      <c r="DY647" s="240"/>
      <c r="DZ647" s="240"/>
      <c r="EA647" s="240"/>
      <c r="EB647" s="240"/>
      <c r="EC647" s="240"/>
      <c r="ED647" s="240"/>
      <c r="EE647" s="240"/>
      <c r="EF647" s="240"/>
      <c r="EG647" s="240"/>
      <c r="EH647" s="240"/>
      <c r="EI647" s="240"/>
      <c r="EJ647" s="240"/>
      <c r="EK647" s="240"/>
      <c r="EL647" s="359"/>
      <c r="EM647" s="245"/>
      <c r="EN647" s="245"/>
      <c r="EO647" s="245"/>
      <c r="EP647" s="245"/>
      <c r="EQ647" s="254"/>
      <c r="ER647" s="240"/>
      <c r="ES647" s="240"/>
      <c r="ET647" s="240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193"/>
    </row>
    <row r="648" spans="1:189" s="243" customFormat="1" ht="11.45" hidden="1" customHeight="1">
      <c r="B648" s="244"/>
      <c r="C648" s="240"/>
      <c r="D648" s="240"/>
      <c r="E648" s="240"/>
      <c r="F648" s="240"/>
      <c r="G648" s="240" t="s">
        <v>701</v>
      </c>
      <c r="H648" s="240"/>
      <c r="I648" s="240"/>
      <c r="J648" s="240"/>
      <c r="K648" s="240"/>
      <c r="L648" s="297" t="s">
        <v>702</v>
      </c>
      <c r="M648" s="297"/>
      <c r="N648" s="297"/>
      <c r="O648" s="240"/>
      <c r="P648" s="240"/>
      <c r="Q648" s="240"/>
      <c r="R648" s="240"/>
      <c r="S648" s="240" t="s">
        <v>132</v>
      </c>
      <c r="T648" s="240" t="str">
        <f>TEXT(500,"#,##0.#######")</f>
        <v>500.</v>
      </c>
      <c r="U648" s="240"/>
      <c r="V648" s="240"/>
      <c r="W648" s="240" t="s">
        <v>90</v>
      </c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0"/>
      <c r="BN648" s="240"/>
      <c r="BO648" s="240"/>
      <c r="BP648" s="240"/>
      <c r="BQ648" s="240"/>
      <c r="BR648" s="240"/>
      <c r="BS648" s="297"/>
      <c r="BT648" s="240"/>
      <c r="BU648" s="240"/>
      <c r="BV648" s="240"/>
      <c r="BW648" s="240"/>
      <c r="BX648" s="240"/>
      <c r="BY648" s="240"/>
      <c r="BZ648" s="240"/>
      <c r="CA648" s="240"/>
      <c r="CB648" s="240"/>
      <c r="CC648" s="240"/>
      <c r="CD648" s="240"/>
      <c r="CE648" s="240"/>
      <c r="CF648" s="240"/>
      <c r="CG648" s="240"/>
      <c r="CH648" s="240"/>
      <c r="CI648" s="240"/>
      <c r="CJ648" s="240"/>
      <c r="CK648" s="240"/>
      <c r="CL648" s="240"/>
      <c r="CM648" s="240"/>
      <c r="CN648" s="240"/>
      <c r="CO648" s="240"/>
      <c r="CP648" s="240"/>
      <c r="CQ648" s="240"/>
      <c r="CR648" s="240"/>
      <c r="CS648" s="240"/>
      <c r="CT648" s="240"/>
      <c r="CU648" s="240"/>
      <c r="CV648" s="240"/>
      <c r="CW648" s="240"/>
      <c r="CX648" s="240"/>
      <c r="CY648" s="240"/>
      <c r="CZ648" s="240"/>
      <c r="DA648" s="240"/>
      <c r="DB648" s="240"/>
      <c r="DC648" s="240"/>
      <c r="DD648" s="240"/>
      <c r="DE648" s="240"/>
      <c r="DF648" s="240"/>
      <c r="DG648" s="240"/>
      <c r="DH648" s="240"/>
      <c r="DI648" s="240"/>
      <c r="DJ648" s="240"/>
      <c r="DK648" s="240"/>
      <c r="DL648" s="240"/>
      <c r="DM648" s="240"/>
      <c r="DN648" s="240"/>
      <c r="DO648" s="240"/>
      <c r="DP648" s="240"/>
      <c r="DQ648" s="240"/>
      <c r="DR648" s="240"/>
      <c r="DS648" s="240"/>
      <c r="DT648" s="240"/>
      <c r="DU648" s="240"/>
      <c r="DV648" s="240"/>
      <c r="DW648" s="240"/>
      <c r="DX648" s="240"/>
      <c r="DY648" s="240"/>
      <c r="DZ648" s="240"/>
      <c r="EA648" s="240"/>
      <c r="EB648" s="240"/>
      <c r="EC648" s="240"/>
      <c r="ED648" s="240"/>
      <c r="EE648" s="240"/>
      <c r="EF648" s="240"/>
      <c r="EG648" s="240"/>
      <c r="EH648" s="240"/>
      <c r="EI648" s="240"/>
      <c r="EJ648" s="240"/>
      <c r="EK648" s="240"/>
      <c r="EL648" s="359"/>
      <c r="EM648" s="245"/>
      <c r="EN648" s="245"/>
      <c r="EO648" s="245"/>
      <c r="EP648" s="245"/>
      <c r="EQ648" s="254"/>
      <c r="ER648" s="240"/>
      <c r="ES648" s="240"/>
      <c r="ET648" s="240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193"/>
    </row>
    <row r="649" spans="1:189" s="243" customFormat="1" ht="11.45" hidden="1" customHeight="1">
      <c r="B649" s="244"/>
      <c r="C649" s="240"/>
      <c r="D649" s="240"/>
      <c r="E649" s="240"/>
      <c r="F649" s="240"/>
      <c r="G649" s="240"/>
      <c r="H649" s="240"/>
      <c r="I649" s="240"/>
      <c r="J649" s="240"/>
      <c r="K649" s="240"/>
      <c r="L649" s="297"/>
      <c r="M649" s="297"/>
      <c r="N649" s="297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0"/>
      <c r="BN649" s="240"/>
      <c r="BO649" s="240"/>
      <c r="BP649" s="240"/>
      <c r="BQ649" s="240"/>
      <c r="BR649" s="240"/>
      <c r="BS649" s="297"/>
      <c r="BT649" s="240"/>
      <c r="BU649" s="240"/>
      <c r="BV649" s="240"/>
      <c r="BW649" s="240"/>
      <c r="BX649" s="240"/>
      <c r="BY649" s="240"/>
      <c r="BZ649" s="240"/>
      <c r="CA649" s="240"/>
      <c r="CB649" s="240"/>
      <c r="CC649" s="240"/>
      <c r="CD649" s="240"/>
      <c r="CE649" s="240"/>
      <c r="CF649" s="240"/>
      <c r="CG649" s="240"/>
      <c r="CH649" s="240"/>
      <c r="CI649" s="240"/>
      <c r="CJ649" s="240"/>
      <c r="CK649" s="240"/>
      <c r="CL649" s="240"/>
      <c r="CM649" s="240"/>
      <c r="CN649" s="240"/>
      <c r="CO649" s="240"/>
      <c r="CP649" s="240"/>
      <c r="CQ649" s="240"/>
      <c r="CR649" s="240"/>
      <c r="CS649" s="240"/>
      <c r="CT649" s="240"/>
      <c r="CU649" s="240"/>
      <c r="CV649" s="240"/>
      <c r="CW649" s="240"/>
      <c r="CX649" s="240"/>
      <c r="CY649" s="240"/>
      <c r="CZ649" s="240"/>
      <c r="DA649" s="240"/>
      <c r="DB649" s="240"/>
      <c r="DC649" s="240"/>
      <c r="DD649" s="240"/>
      <c r="DE649" s="240"/>
      <c r="DF649" s="240"/>
      <c r="DG649" s="240"/>
      <c r="DH649" s="240"/>
      <c r="DI649" s="240"/>
      <c r="DJ649" s="240"/>
      <c r="DK649" s="240"/>
      <c r="DL649" s="240"/>
      <c r="DM649" s="240"/>
      <c r="DN649" s="240"/>
      <c r="DO649" s="240"/>
      <c r="DP649" s="240"/>
      <c r="DQ649" s="240"/>
      <c r="DR649" s="240"/>
      <c r="DS649" s="240"/>
      <c r="DT649" s="240"/>
      <c r="DU649" s="240"/>
      <c r="DV649" s="240"/>
      <c r="DW649" s="240"/>
      <c r="DX649" s="240"/>
      <c r="DY649" s="240"/>
      <c r="DZ649" s="240"/>
      <c r="EA649" s="240"/>
      <c r="EB649" s="240"/>
      <c r="EC649" s="240"/>
      <c r="ED649" s="240"/>
      <c r="EE649" s="240"/>
      <c r="EF649" s="240"/>
      <c r="EG649" s="240"/>
      <c r="EH649" s="240"/>
      <c r="EI649" s="240"/>
      <c r="EJ649" s="240"/>
      <c r="EK649" s="240"/>
      <c r="EL649" s="359"/>
      <c r="EM649" s="245"/>
      <c r="EN649" s="245"/>
      <c r="EO649" s="245"/>
      <c r="EP649" s="245"/>
      <c r="EQ649" s="254"/>
      <c r="ER649" s="240"/>
      <c r="ES649" s="240"/>
      <c r="ET649" s="240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193"/>
    </row>
    <row r="650" spans="1:189" s="243" customFormat="1" ht="11.45" hidden="1" customHeight="1">
      <c r="B650" s="244"/>
      <c r="C650" s="240"/>
      <c r="D650" s="240"/>
      <c r="E650" s="240"/>
      <c r="F650" s="240"/>
      <c r="G650" s="240" t="s">
        <v>687</v>
      </c>
      <c r="H650" s="240"/>
      <c r="I650" s="240" t="s">
        <v>134</v>
      </c>
      <c r="J650" s="240"/>
      <c r="K650" s="240" t="str">
        <f>TEXT(T648,"#,##0.#######")</f>
        <v>500.</v>
      </c>
      <c r="L650" s="297"/>
      <c r="M650" s="297"/>
      <c r="N650" s="297" t="s">
        <v>90</v>
      </c>
      <c r="O650" s="240"/>
      <c r="P650" s="240" t="s">
        <v>683</v>
      </c>
      <c r="Q650" s="240"/>
      <c r="R650" s="240"/>
      <c r="S650" s="240" t="str">
        <f>TEXT(8,"#,##0.#######")</f>
        <v>8.</v>
      </c>
      <c r="T650" s="240" t="s">
        <v>618</v>
      </c>
      <c r="U650" s="240"/>
      <c r="V650" s="240"/>
      <c r="W650" s="240" t="s">
        <v>134</v>
      </c>
      <c r="X650" s="240"/>
      <c r="Y650" s="240" t="str">
        <f>TEXT(ROUND(K650/S650,2),"#,##0.#######")</f>
        <v>62.5</v>
      </c>
      <c r="Z650" s="240"/>
      <c r="AA650" s="240"/>
      <c r="AB650" s="240"/>
      <c r="AC650" s="240"/>
      <c r="AD650" s="240" t="s">
        <v>90</v>
      </c>
      <c r="AE650" s="240" t="s">
        <v>139</v>
      </c>
      <c r="AF650" s="240" t="s">
        <v>618</v>
      </c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0"/>
      <c r="BN650" s="240"/>
      <c r="BO650" s="240"/>
      <c r="BP650" s="240"/>
      <c r="BQ650" s="240"/>
      <c r="BR650" s="240"/>
      <c r="BS650" s="297"/>
      <c r="BT650" s="240"/>
      <c r="BU650" s="240"/>
      <c r="BV650" s="240"/>
      <c r="BW650" s="240"/>
      <c r="BX650" s="240"/>
      <c r="BY650" s="240"/>
      <c r="BZ650" s="240"/>
      <c r="CA650" s="240"/>
      <c r="CB650" s="240"/>
      <c r="CC650" s="240"/>
      <c r="CD650" s="240"/>
      <c r="CE650" s="240"/>
      <c r="CF650" s="240"/>
      <c r="CG650" s="240"/>
      <c r="CH650" s="240"/>
      <c r="CI650" s="240"/>
      <c r="CJ650" s="240"/>
      <c r="CK650" s="240"/>
      <c r="CL650" s="240"/>
      <c r="CM650" s="240"/>
      <c r="CN650" s="240"/>
      <c r="CO650" s="240"/>
      <c r="CP650" s="240"/>
      <c r="CQ650" s="240"/>
      <c r="CR650" s="240"/>
      <c r="CS650" s="240"/>
      <c r="CT650" s="240"/>
      <c r="CU650" s="240"/>
      <c r="CV650" s="240"/>
      <c r="CW650" s="240"/>
      <c r="CX650" s="240"/>
      <c r="CY650" s="240"/>
      <c r="CZ650" s="240"/>
      <c r="DA650" s="240"/>
      <c r="DB650" s="240"/>
      <c r="DC650" s="240"/>
      <c r="DD650" s="240"/>
      <c r="DE650" s="240"/>
      <c r="DF650" s="240"/>
      <c r="DG650" s="240"/>
      <c r="DH650" s="240"/>
      <c r="DI650" s="240"/>
      <c r="DJ650" s="240"/>
      <c r="DK650" s="240"/>
      <c r="DL650" s="240"/>
      <c r="DM650" s="240"/>
      <c r="DN650" s="240"/>
      <c r="DO650" s="240"/>
      <c r="DP650" s="240"/>
      <c r="DQ650" s="240"/>
      <c r="DR650" s="240"/>
      <c r="DS650" s="240"/>
      <c r="DT650" s="240"/>
      <c r="DU650" s="240"/>
      <c r="DV650" s="240"/>
      <c r="DW650" s="240"/>
      <c r="DX650" s="240"/>
      <c r="DY650" s="240"/>
      <c r="DZ650" s="240"/>
      <c r="EA650" s="240"/>
      <c r="EB650" s="240"/>
      <c r="EC650" s="240"/>
      <c r="ED650" s="240"/>
      <c r="EE650" s="240"/>
      <c r="EF650" s="240"/>
      <c r="EG650" s="240"/>
      <c r="EH650" s="240"/>
      <c r="EI650" s="240"/>
      <c r="EJ650" s="240"/>
      <c r="EK650" s="240"/>
      <c r="EL650" s="359"/>
      <c r="EM650" s="245"/>
      <c r="EN650" s="245"/>
      <c r="EO650" s="245"/>
      <c r="EP650" s="245"/>
      <c r="EQ650" s="254"/>
      <c r="ER650" s="240"/>
      <c r="ES650" s="240"/>
      <c r="ET650" s="240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193"/>
    </row>
    <row r="651" spans="1:189" s="243" customFormat="1" ht="11.45" hidden="1" customHeight="1">
      <c r="B651" s="244"/>
      <c r="C651" s="240"/>
      <c r="D651" s="240"/>
      <c r="E651" s="240"/>
      <c r="F651" s="240"/>
      <c r="G651" s="240"/>
      <c r="H651" s="240"/>
      <c r="I651" s="240"/>
      <c r="J651" s="240"/>
      <c r="K651" s="240"/>
      <c r="L651" s="297"/>
      <c r="M651" s="297"/>
      <c r="N651" s="297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0"/>
      <c r="BN651" s="240"/>
      <c r="BO651" s="240"/>
      <c r="BP651" s="240"/>
      <c r="BQ651" s="240"/>
      <c r="BR651" s="240"/>
      <c r="BS651" s="297"/>
      <c r="BT651" s="240"/>
      <c r="BU651" s="240"/>
      <c r="BV651" s="240"/>
      <c r="BW651" s="240"/>
      <c r="BX651" s="240"/>
      <c r="BY651" s="240"/>
      <c r="BZ651" s="240"/>
      <c r="CA651" s="240"/>
      <c r="CB651" s="240"/>
      <c r="CC651" s="240"/>
      <c r="CD651" s="240"/>
      <c r="CE651" s="240"/>
      <c r="CF651" s="240"/>
      <c r="CG651" s="240"/>
      <c r="CH651" s="240"/>
      <c r="CI651" s="240"/>
      <c r="CJ651" s="240"/>
      <c r="CK651" s="240"/>
      <c r="CL651" s="240"/>
      <c r="CM651" s="240"/>
      <c r="CN651" s="240"/>
      <c r="CO651" s="240"/>
      <c r="CP651" s="240"/>
      <c r="CQ651" s="240"/>
      <c r="CR651" s="240"/>
      <c r="CS651" s="240"/>
      <c r="CT651" s="240"/>
      <c r="CU651" s="240"/>
      <c r="CV651" s="240"/>
      <c r="CW651" s="240"/>
      <c r="CX651" s="240"/>
      <c r="CY651" s="240"/>
      <c r="CZ651" s="240"/>
      <c r="DA651" s="240"/>
      <c r="DB651" s="240"/>
      <c r="DC651" s="240"/>
      <c r="DD651" s="240"/>
      <c r="DE651" s="240"/>
      <c r="DF651" s="240"/>
      <c r="DG651" s="240"/>
      <c r="DH651" s="240"/>
      <c r="DI651" s="240"/>
      <c r="DJ651" s="240"/>
      <c r="DK651" s="240"/>
      <c r="DL651" s="240"/>
      <c r="DM651" s="240"/>
      <c r="DN651" s="240"/>
      <c r="DO651" s="240"/>
      <c r="DP651" s="240"/>
      <c r="DQ651" s="240"/>
      <c r="DR651" s="240"/>
      <c r="DS651" s="240"/>
      <c r="DT651" s="240"/>
      <c r="DU651" s="240"/>
      <c r="DV651" s="240"/>
      <c r="DW651" s="240"/>
      <c r="DX651" s="240"/>
      <c r="DY651" s="240"/>
      <c r="DZ651" s="240"/>
      <c r="EA651" s="240"/>
      <c r="EB651" s="240"/>
      <c r="EC651" s="240"/>
      <c r="ED651" s="240"/>
      <c r="EE651" s="240"/>
      <c r="EF651" s="240"/>
      <c r="EG651" s="240"/>
      <c r="EH651" s="240"/>
      <c r="EI651" s="240"/>
      <c r="EJ651" s="240"/>
      <c r="EK651" s="240"/>
      <c r="EL651" s="359"/>
      <c r="EM651" s="245"/>
      <c r="EN651" s="245"/>
      <c r="EO651" s="245"/>
      <c r="EP651" s="245"/>
      <c r="EQ651" s="254"/>
      <c r="ER651" s="240"/>
      <c r="ES651" s="240"/>
      <c r="ET651" s="240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193"/>
    </row>
    <row r="652" spans="1:189" s="243" customFormat="1" ht="11.45" hidden="1" customHeight="1">
      <c r="B652" s="244"/>
      <c r="C652" s="240"/>
      <c r="D652" s="240"/>
      <c r="E652" s="240"/>
      <c r="F652" s="240"/>
      <c r="G652" s="240" t="s">
        <v>616</v>
      </c>
      <c r="H652" s="240"/>
      <c r="I652" s="240"/>
      <c r="J652" s="240"/>
      <c r="K652" s="240"/>
      <c r="L652" s="297"/>
      <c r="M652" s="297"/>
      <c r="N652" s="297" t="s">
        <v>132</v>
      </c>
      <c r="O652" s="240"/>
      <c r="P652" s="1775" t="e">
        <f>토목기계경비!$J$105</f>
        <v>#REF!</v>
      </c>
      <c r="Q652" s="1775"/>
      <c r="R652" s="1775"/>
      <c r="S652" s="1775"/>
      <c r="T652" s="1775"/>
      <c r="U652" s="240"/>
      <c r="V652" s="240" t="s">
        <v>683</v>
      </c>
      <c r="W652" s="240"/>
      <c r="X652" s="240"/>
      <c r="Y652" s="240" t="str">
        <f>TEXT(Y650,"#,##0.#######")</f>
        <v>62.5</v>
      </c>
      <c r="Z652" s="240"/>
      <c r="AA652" s="240"/>
      <c r="AB652" s="240" t="s">
        <v>134</v>
      </c>
      <c r="AC652" s="240"/>
      <c r="AD652" s="240" t="e">
        <f>TEXT(TRUNC(P652/Y650,1),"#,##0.#")</f>
        <v>#REF!</v>
      </c>
      <c r="AE652" s="240"/>
      <c r="AF652" s="240"/>
      <c r="AG652" s="240"/>
      <c r="AH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0"/>
      <c r="BN652" s="240"/>
      <c r="BO652" s="240"/>
      <c r="BP652" s="240"/>
      <c r="BQ652" s="240"/>
      <c r="BR652" s="240"/>
      <c r="BS652" s="297"/>
      <c r="BT652" s="240"/>
      <c r="BU652" s="240"/>
      <c r="BV652" s="240"/>
      <c r="BW652" s="240"/>
      <c r="BX652" s="240"/>
      <c r="BY652" s="240"/>
      <c r="BZ652" s="240"/>
      <c r="CA652" s="240"/>
      <c r="CB652" s="240"/>
      <c r="CC652" s="240"/>
      <c r="CD652" s="240"/>
      <c r="CE652" s="240"/>
      <c r="CF652" s="240"/>
      <c r="CG652" s="240"/>
      <c r="CH652" s="240"/>
      <c r="CI652" s="240"/>
      <c r="CJ652" s="240"/>
      <c r="CK652" s="240"/>
      <c r="CL652" s="240"/>
      <c r="CM652" s="240"/>
      <c r="CN652" s="240"/>
      <c r="CO652" s="240"/>
      <c r="CP652" s="240"/>
      <c r="CQ652" s="240"/>
      <c r="CR652" s="240"/>
      <c r="CS652" s="240"/>
      <c r="CT652" s="240"/>
      <c r="CU652" s="240"/>
      <c r="CV652" s="240"/>
      <c r="CW652" s="240"/>
      <c r="CX652" s="240"/>
      <c r="CY652" s="240"/>
      <c r="CZ652" s="240"/>
      <c r="DA652" s="240"/>
      <c r="DB652" s="240"/>
      <c r="DC652" s="240"/>
      <c r="DD652" s="240"/>
      <c r="DE652" s="240"/>
      <c r="DF652" s="240"/>
      <c r="DG652" s="240"/>
      <c r="DH652" s="240"/>
      <c r="DI652" s="240"/>
      <c r="DJ652" s="240"/>
      <c r="DK652" s="240"/>
      <c r="DL652" s="240"/>
      <c r="DM652" s="240"/>
      <c r="DN652" s="240"/>
      <c r="DO652" s="240"/>
      <c r="DP652" s="240"/>
      <c r="DQ652" s="240"/>
      <c r="DR652" s="240"/>
      <c r="DS652" s="240"/>
      <c r="DT652" s="240"/>
      <c r="DU652" s="240"/>
      <c r="DV652" s="240"/>
      <c r="DW652" s="240"/>
      <c r="DX652" s="240"/>
      <c r="DY652" s="240"/>
      <c r="DZ652" s="240"/>
      <c r="EA652" s="240"/>
      <c r="EB652" s="240"/>
      <c r="EC652" s="240"/>
      <c r="ED652" s="240"/>
      <c r="EE652" s="240"/>
      <c r="EF652" s="240"/>
      <c r="EG652" s="240"/>
      <c r="EH652" s="240"/>
      <c r="EI652" s="240"/>
      <c r="EJ652" s="240"/>
      <c r="EK652" s="240"/>
      <c r="EL652" s="359"/>
      <c r="EM652" s="245"/>
      <c r="EN652" s="245"/>
      <c r="EO652" s="245"/>
      <c r="EP652" s="245"/>
      <c r="EQ652" s="254"/>
      <c r="ER652" s="240"/>
      <c r="ES652" s="240"/>
      <c r="ET652" s="240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193"/>
    </row>
    <row r="653" spans="1:189" s="243" customFormat="1" ht="11.45" hidden="1" customHeight="1">
      <c r="B653" s="244"/>
      <c r="C653" s="240"/>
      <c r="D653" s="240"/>
      <c r="E653" s="240"/>
      <c r="F653" s="240"/>
      <c r="G653" s="240" t="s">
        <v>617</v>
      </c>
      <c r="H653" s="240"/>
      <c r="I653" s="240"/>
      <c r="J653" s="240"/>
      <c r="K653" s="240"/>
      <c r="L653" s="297"/>
      <c r="M653" s="297"/>
      <c r="N653" s="297" t="s">
        <v>132</v>
      </c>
      <c r="O653" s="240"/>
      <c r="P653" s="1775" t="e">
        <f>토목기계경비!$K$105</f>
        <v>#REF!</v>
      </c>
      <c r="Q653" s="1775"/>
      <c r="R653" s="1775"/>
      <c r="S653" s="1775"/>
      <c r="T653" s="1775"/>
      <c r="U653" s="240"/>
      <c r="V653" s="240" t="s">
        <v>683</v>
      </c>
      <c r="W653" s="240"/>
      <c r="X653" s="240"/>
      <c r="Y653" s="240" t="str">
        <f>TEXT(Y650,"#,##0.#######")</f>
        <v>62.5</v>
      </c>
      <c r="Z653" s="240"/>
      <c r="AA653" s="240"/>
      <c r="AB653" s="240" t="s">
        <v>134</v>
      </c>
      <c r="AC653" s="240"/>
      <c r="AD653" s="240" t="e">
        <f>TEXT(TRUNC(P653/Y650,1),"#,##0.#")</f>
        <v>#REF!</v>
      </c>
      <c r="AE653" s="240"/>
      <c r="AF653" s="240"/>
      <c r="AG653" s="240"/>
      <c r="AH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0"/>
      <c r="BN653" s="240"/>
      <c r="BO653" s="240"/>
      <c r="BP653" s="240"/>
      <c r="BQ653" s="240"/>
      <c r="BR653" s="240"/>
      <c r="BS653" s="297"/>
      <c r="BT653" s="240"/>
      <c r="BU653" s="240"/>
      <c r="BV653" s="240"/>
      <c r="BW653" s="240"/>
      <c r="BX653" s="240"/>
      <c r="BY653" s="240"/>
      <c r="BZ653" s="240"/>
      <c r="CA653" s="240"/>
      <c r="CB653" s="240"/>
      <c r="CC653" s="240"/>
      <c r="CD653" s="240"/>
      <c r="CE653" s="240"/>
      <c r="CF653" s="240"/>
      <c r="CG653" s="240"/>
      <c r="CH653" s="240"/>
      <c r="CI653" s="240"/>
      <c r="CJ653" s="240"/>
      <c r="CK653" s="240"/>
      <c r="CL653" s="240"/>
      <c r="CM653" s="240"/>
      <c r="CN653" s="240"/>
      <c r="CO653" s="240"/>
      <c r="CP653" s="240"/>
      <c r="CQ653" s="240"/>
      <c r="CR653" s="240"/>
      <c r="CS653" s="240"/>
      <c r="CT653" s="240"/>
      <c r="CU653" s="240"/>
      <c r="CV653" s="240"/>
      <c r="CW653" s="240"/>
      <c r="CX653" s="240"/>
      <c r="CY653" s="240"/>
      <c r="CZ653" s="240"/>
      <c r="DA653" s="240"/>
      <c r="DB653" s="240"/>
      <c r="DC653" s="240"/>
      <c r="DD653" s="240"/>
      <c r="DE653" s="240"/>
      <c r="DF653" s="240"/>
      <c r="DG653" s="240"/>
      <c r="DH653" s="240"/>
      <c r="DI653" s="240"/>
      <c r="DJ653" s="240"/>
      <c r="DK653" s="240"/>
      <c r="DL653" s="240"/>
      <c r="DM653" s="240"/>
      <c r="DN653" s="240"/>
      <c r="DO653" s="240"/>
      <c r="DP653" s="240"/>
      <c r="DQ653" s="240"/>
      <c r="DR653" s="240"/>
      <c r="DS653" s="240"/>
      <c r="DT653" s="240"/>
      <c r="DU653" s="240"/>
      <c r="DV653" s="240"/>
      <c r="DW653" s="240"/>
      <c r="DX653" s="240"/>
      <c r="DY653" s="240"/>
      <c r="DZ653" s="240"/>
      <c r="EA653" s="240"/>
      <c r="EB653" s="240"/>
      <c r="EC653" s="240"/>
      <c r="ED653" s="240"/>
      <c r="EE653" s="240"/>
      <c r="EF653" s="240"/>
      <c r="EG653" s="240"/>
      <c r="EH653" s="240"/>
      <c r="EI653" s="240"/>
      <c r="EJ653" s="240"/>
      <c r="EK653" s="240"/>
      <c r="EL653" s="359"/>
      <c r="EM653" s="245"/>
      <c r="EN653" s="245"/>
      <c r="EO653" s="245"/>
      <c r="EP653" s="245"/>
      <c r="EQ653" s="254"/>
      <c r="ER653" s="240"/>
      <c r="ES653" s="240"/>
      <c r="ET653" s="240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193"/>
    </row>
    <row r="654" spans="1:189" s="243" customFormat="1" ht="11.45" hidden="1" customHeight="1">
      <c r="B654" s="244"/>
      <c r="C654" s="240"/>
      <c r="D654" s="240"/>
      <c r="E654" s="240"/>
      <c r="F654" s="240"/>
      <c r="G654" s="240" t="s">
        <v>679</v>
      </c>
      <c r="H654" s="240"/>
      <c r="I654" s="240"/>
      <c r="J654" s="240"/>
      <c r="K654" s="240" t="s">
        <v>680</v>
      </c>
      <c r="L654" s="297"/>
      <c r="M654" s="297"/>
      <c r="N654" s="297" t="s">
        <v>132</v>
      </c>
      <c r="O654" s="240"/>
      <c r="P654" s="1775">
        <f>토목기계경비!$L$105</f>
        <v>1777</v>
      </c>
      <c r="Q654" s="1775"/>
      <c r="R654" s="1775"/>
      <c r="S654" s="1775"/>
      <c r="T654" s="1775"/>
      <c r="U654" s="240"/>
      <c r="V654" s="240" t="s">
        <v>683</v>
      </c>
      <c r="W654" s="240"/>
      <c r="X654" s="240"/>
      <c r="Y654" s="240" t="str">
        <f>TEXT(Y650,"#,##0.#######")</f>
        <v>62.5</v>
      </c>
      <c r="Z654" s="240"/>
      <c r="AA654" s="240"/>
      <c r="AB654" s="240" t="s">
        <v>134</v>
      </c>
      <c r="AC654" s="240"/>
      <c r="AD654" s="240" t="str">
        <f>TEXT(TRUNC(P654/Y650,1),"#,##0.#")</f>
        <v>28.4</v>
      </c>
      <c r="AE654" s="240"/>
      <c r="AF654" s="240"/>
      <c r="AG654" s="240"/>
      <c r="AH654" s="240"/>
      <c r="AI654" s="240"/>
      <c r="AK654" s="240"/>
      <c r="AL654" s="240"/>
      <c r="AM654" s="240"/>
      <c r="AN654" s="240"/>
      <c r="AO654" s="240"/>
      <c r="AP654" s="240"/>
      <c r="AQ654" s="240"/>
      <c r="AR654" s="240"/>
      <c r="AS654" s="240"/>
      <c r="AT654" s="240"/>
      <c r="AU654" s="240"/>
      <c r="AV654" s="240"/>
      <c r="AW654" s="240"/>
      <c r="AX654" s="240"/>
      <c r="AY654" s="240"/>
      <c r="AZ654" s="240"/>
      <c r="BA654" s="240"/>
      <c r="BB654" s="240"/>
      <c r="BC654" s="240"/>
      <c r="BD654" s="240"/>
      <c r="BE654" s="240"/>
      <c r="BF654" s="240"/>
      <c r="BG654" s="240"/>
      <c r="BH654" s="240"/>
      <c r="BI654" s="240"/>
      <c r="BJ654" s="240"/>
      <c r="BK654" s="240"/>
      <c r="BL654" s="240"/>
      <c r="BM654" s="240"/>
      <c r="BN654" s="240"/>
      <c r="BO654" s="240"/>
      <c r="BP654" s="240"/>
      <c r="BQ654" s="240"/>
      <c r="BR654" s="240"/>
      <c r="BS654" s="297"/>
      <c r="BT654" s="240"/>
      <c r="BU654" s="240"/>
      <c r="BV654" s="240"/>
      <c r="BW654" s="240"/>
      <c r="BX654" s="240"/>
      <c r="BY654" s="240"/>
      <c r="BZ654" s="240"/>
      <c r="CA654" s="240"/>
      <c r="CB654" s="240"/>
      <c r="CC654" s="240"/>
      <c r="CD654" s="240"/>
      <c r="CE654" s="240"/>
      <c r="CF654" s="240"/>
      <c r="CG654" s="240"/>
      <c r="CH654" s="240"/>
      <c r="CI654" s="240"/>
      <c r="CJ654" s="240"/>
      <c r="CK654" s="240"/>
      <c r="CL654" s="240"/>
      <c r="CM654" s="240"/>
      <c r="CN654" s="240"/>
      <c r="CO654" s="240"/>
      <c r="CP654" s="240"/>
      <c r="CQ654" s="240"/>
      <c r="CR654" s="240"/>
      <c r="CS654" s="240"/>
      <c r="CT654" s="240"/>
      <c r="CU654" s="240"/>
      <c r="CV654" s="240"/>
      <c r="CW654" s="240"/>
      <c r="CX654" s="240"/>
      <c r="CY654" s="240"/>
      <c r="CZ654" s="240"/>
      <c r="DA654" s="240"/>
      <c r="DB654" s="240"/>
      <c r="DC654" s="240"/>
      <c r="DD654" s="240"/>
      <c r="DE654" s="240"/>
      <c r="DF654" s="240"/>
      <c r="DG654" s="240"/>
      <c r="DH654" s="240"/>
      <c r="DI654" s="240"/>
      <c r="DJ654" s="240"/>
      <c r="DK654" s="240"/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0"/>
      <c r="DW654" s="240"/>
      <c r="DX654" s="240"/>
      <c r="DY654" s="240"/>
      <c r="DZ654" s="240"/>
      <c r="EA654" s="240"/>
      <c r="EB654" s="240"/>
      <c r="EC654" s="240"/>
      <c r="ED654" s="240"/>
      <c r="EE654" s="240"/>
      <c r="EF654" s="240"/>
      <c r="EG654" s="240"/>
      <c r="EH654" s="240"/>
      <c r="EI654" s="240"/>
      <c r="EJ654" s="240"/>
      <c r="EK654" s="240"/>
      <c r="EL654" s="359"/>
      <c r="EM654" s="245"/>
      <c r="EN654" s="245"/>
      <c r="EO654" s="245"/>
      <c r="EP654" s="245"/>
      <c r="EQ654" s="254"/>
      <c r="ER654" s="240"/>
      <c r="ES654" s="240"/>
      <c r="ET654" s="240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193"/>
    </row>
    <row r="655" spans="1:189" s="243" customFormat="1" ht="11.45" hidden="1" customHeight="1">
      <c r="B655" s="244"/>
      <c r="C655" s="240"/>
      <c r="D655" s="240"/>
      <c r="E655" s="240"/>
      <c r="F655" s="240"/>
      <c r="G655" s="240" t="s">
        <v>688</v>
      </c>
      <c r="H655" s="240"/>
      <c r="I655" s="240"/>
      <c r="J655" s="240"/>
      <c r="K655" s="240" t="s">
        <v>96</v>
      </c>
      <c r="L655" s="297"/>
      <c r="M655" s="297"/>
      <c r="N655" s="297" t="s">
        <v>132</v>
      </c>
      <c r="O655" s="240"/>
      <c r="P655" s="240" t="e">
        <f>TEXT(AD652+AD653+AD654,"#,##0.#######")</f>
        <v>#REF!</v>
      </c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F655" s="240"/>
      <c r="AG655" s="240"/>
      <c r="AH655" s="240"/>
      <c r="AI655" s="240"/>
      <c r="AJ655" s="240"/>
      <c r="AK655" s="240"/>
      <c r="AL655" s="240"/>
      <c r="AM655" s="240"/>
      <c r="AN655" s="240"/>
      <c r="AO655" s="240"/>
      <c r="AP655" s="240"/>
      <c r="AQ655" s="240"/>
      <c r="AR655" s="240"/>
      <c r="AS655" s="240"/>
      <c r="AT655" s="240"/>
      <c r="AU655" s="240"/>
      <c r="AV655" s="240"/>
      <c r="AW655" s="240"/>
      <c r="AX655" s="240"/>
      <c r="AY655" s="240"/>
      <c r="AZ655" s="240"/>
      <c r="BA655" s="240"/>
      <c r="BB655" s="240"/>
      <c r="BC655" s="240"/>
      <c r="BD655" s="240"/>
      <c r="BE655" s="240"/>
      <c r="BF655" s="240"/>
      <c r="BG655" s="240"/>
      <c r="BH655" s="240"/>
      <c r="BI655" s="240"/>
      <c r="BJ655" s="240"/>
      <c r="BK655" s="240"/>
      <c r="BL655" s="240"/>
      <c r="BM655" s="240"/>
      <c r="BN655" s="240"/>
      <c r="BO655" s="240"/>
      <c r="BP655" s="240"/>
      <c r="BQ655" s="240"/>
      <c r="BR655" s="240"/>
      <c r="BS655" s="297"/>
      <c r="BT655" s="240"/>
      <c r="BU655" s="240"/>
      <c r="BV655" s="240"/>
      <c r="BW655" s="240"/>
      <c r="BX655" s="240"/>
      <c r="BY655" s="240"/>
      <c r="BZ655" s="240"/>
      <c r="CA655" s="240"/>
      <c r="CB655" s="240"/>
      <c r="CC655" s="240"/>
      <c r="CD655" s="240"/>
      <c r="CE655" s="240"/>
      <c r="CF655" s="240"/>
      <c r="CG655" s="240"/>
      <c r="CH655" s="240"/>
      <c r="CI655" s="240"/>
      <c r="CJ655" s="240"/>
      <c r="CK655" s="240"/>
      <c r="CL655" s="240"/>
      <c r="CM655" s="240"/>
      <c r="CN655" s="240"/>
      <c r="CO655" s="240"/>
      <c r="CP655" s="240"/>
      <c r="CQ655" s="240"/>
      <c r="CR655" s="240"/>
      <c r="CS655" s="240"/>
      <c r="CT655" s="240"/>
      <c r="CU655" s="240"/>
      <c r="CV655" s="240"/>
      <c r="CW655" s="240"/>
      <c r="CX655" s="240"/>
      <c r="CY655" s="240"/>
      <c r="CZ655" s="240"/>
      <c r="DA655" s="240"/>
      <c r="DB655" s="240"/>
      <c r="DC655" s="240"/>
      <c r="DD655" s="240"/>
      <c r="DE655" s="240"/>
      <c r="DF655" s="240"/>
      <c r="DG655" s="240"/>
      <c r="DH655" s="240"/>
      <c r="DI655" s="240"/>
      <c r="DJ655" s="240"/>
      <c r="DK655" s="240"/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0"/>
      <c r="DW655" s="240"/>
      <c r="DX655" s="240"/>
      <c r="DY655" s="240"/>
      <c r="DZ655" s="240"/>
      <c r="EA655" s="240"/>
      <c r="EB655" s="240"/>
      <c r="EC655" s="240"/>
      <c r="ED655" s="240"/>
      <c r="EE655" s="240"/>
      <c r="EF655" s="240"/>
      <c r="EG655" s="240"/>
      <c r="EH655" s="240"/>
      <c r="EI655" s="240"/>
      <c r="EJ655" s="240"/>
      <c r="EK655" s="240"/>
      <c r="EL655" s="359"/>
      <c r="EM655" s="245" t="e">
        <f>EN655+EO655+EP655</f>
        <v>#REF!</v>
      </c>
      <c r="EN655" s="245" t="e">
        <f>TEXT(AD652,"#,###.0")</f>
        <v>#REF!</v>
      </c>
      <c r="EO655" s="245" t="e">
        <f>TEXT(AD653,"#,###.0")</f>
        <v>#REF!</v>
      </c>
      <c r="EP655" s="245" t="str">
        <f>TEXT(AD654,"#,###.0")</f>
        <v>28.4</v>
      </c>
      <c r="EQ655" s="254"/>
      <c r="ER655" s="240"/>
      <c r="ES655" s="240"/>
      <c r="ET655" s="240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193"/>
    </row>
    <row r="656" spans="1:189" s="243" customFormat="1" ht="11.45" hidden="1" customHeight="1">
      <c r="B656" s="244"/>
      <c r="C656" s="240"/>
      <c r="D656" s="240"/>
      <c r="E656" s="240"/>
      <c r="F656" s="240"/>
      <c r="G656" s="240"/>
      <c r="H656" s="240"/>
      <c r="I656" s="240"/>
      <c r="J656" s="240"/>
      <c r="K656" s="240"/>
      <c r="L656" s="297"/>
      <c r="M656" s="297"/>
      <c r="N656" s="297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F656" s="240"/>
      <c r="AG656" s="240"/>
      <c r="AH656" s="240"/>
      <c r="AI656" s="240"/>
      <c r="AJ656" s="240"/>
      <c r="AK656" s="240"/>
      <c r="AL656" s="240"/>
      <c r="AM656" s="240"/>
      <c r="AN656" s="240"/>
      <c r="AO656" s="240"/>
      <c r="AP656" s="240"/>
      <c r="AQ656" s="240"/>
      <c r="AR656" s="240"/>
      <c r="AS656" s="240"/>
      <c r="AT656" s="240"/>
      <c r="AU656" s="240"/>
      <c r="AV656" s="240"/>
      <c r="AW656" s="240"/>
      <c r="AX656" s="240"/>
      <c r="AY656" s="240"/>
      <c r="AZ656" s="240"/>
      <c r="BA656" s="240"/>
      <c r="BB656" s="240"/>
      <c r="BC656" s="240"/>
      <c r="BD656" s="240"/>
      <c r="BE656" s="240"/>
      <c r="BF656" s="240"/>
      <c r="BG656" s="240"/>
      <c r="BH656" s="240"/>
      <c r="BI656" s="240"/>
      <c r="BJ656" s="240"/>
      <c r="BK656" s="240"/>
      <c r="BL656" s="240"/>
      <c r="BM656" s="240"/>
      <c r="BN656" s="240"/>
      <c r="BO656" s="240"/>
      <c r="BP656" s="240"/>
      <c r="BQ656" s="240"/>
      <c r="BR656" s="240"/>
      <c r="BS656" s="297"/>
      <c r="BT656" s="240"/>
      <c r="BU656" s="240"/>
      <c r="BV656" s="240"/>
      <c r="BW656" s="240"/>
      <c r="BX656" s="240"/>
      <c r="BY656" s="240"/>
      <c r="BZ656" s="240"/>
      <c r="CA656" s="240"/>
      <c r="CB656" s="240"/>
      <c r="CC656" s="240"/>
      <c r="CD656" s="240"/>
      <c r="CE656" s="240"/>
      <c r="CF656" s="240"/>
      <c r="CG656" s="240"/>
      <c r="CH656" s="240"/>
      <c r="CI656" s="240"/>
      <c r="CJ656" s="240"/>
      <c r="CK656" s="240"/>
      <c r="CL656" s="240"/>
      <c r="CM656" s="240"/>
      <c r="CN656" s="240"/>
      <c r="CO656" s="240"/>
      <c r="CP656" s="240"/>
      <c r="CQ656" s="240"/>
      <c r="CR656" s="240"/>
      <c r="CS656" s="240"/>
      <c r="CT656" s="240"/>
      <c r="CU656" s="240"/>
      <c r="CV656" s="240"/>
      <c r="CW656" s="240"/>
      <c r="CX656" s="240"/>
      <c r="CY656" s="240"/>
      <c r="CZ656" s="240"/>
      <c r="DA656" s="240"/>
      <c r="DB656" s="240"/>
      <c r="DC656" s="240"/>
      <c r="DD656" s="240"/>
      <c r="DE656" s="240"/>
      <c r="DF656" s="240"/>
      <c r="DG656" s="240"/>
      <c r="DH656" s="240"/>
      <c r="DI656" s="240"/>
      <c r="DJ656" s="240"/>
      <c r="DK656" s="240"/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0"/>
      <c r="DW656" s="240"/>
      <c r="DX656" s="240"/>
      <c r="DY656" s="240"/>
      <c r="DZ656" s="240"/>
      <c r="EA656" s="240"/>
      <c r="EB656" s="240"/>
      <c r="EC656" s="240"/>
      <c r="ED656" s="240"/>
      <c r="EE656" s="240"/>
      <c r="EF656" s="240"/>
      <c r="EG656" s="240"/>
      <c r="EH656" s="240"/>
      <c r="EI656" s="240"/>
      <c r="EJ656" s="240"/>
      <c r="EK656" s="240"/>
      <c r="EL656" s="359"/>
      <c r="EM656" s="245"/>
      <c r="EN656" s="245"/>
      <c r="EO656" s="245"/>
      <c r="EP656" s="245"/>
      <c r="EQ656" s="254"/>
      <c r="ER656" s="240"/>
      <c r="ES656" s="240"/>
      <c r="ET656" s="240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193"/>
    </row>
    <row r="657" spans="2:189" s="243" customFormat="1" ht="11.45" hidden="1" customHeight="1">
      <c r="B657" s="343"/>
      <c r="C657" s="240"/>
      <c r="D657" s="240"/>
      <c r="E657" s="240" t="s">
        <v>689</v>
      </c>
      <c r="F657" s="240"/>
      <c r="G657" s="240" t="s">
        <v>686</v>
      </c>
      <c r="H657" s="240"/>
      <c r="I657" s="240" t="s">
        <v>1330</v>
      </c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 t="s">
        <v>1331</v>
      </c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0"/>
      <c r="AO657" s="240"/>
      <c r="AP657" s="240"/>
      <c r="AQ657" s="240"/>
      <c r="AR657" s="240"/>
      <c r="AS657" s="240"/>
      <c r="AT657" s="240"/>
      <c r="AU657" s="240"/>
      <c r="AW657" s="240"/>
      <c r="AX657" s="240"/>
      <c r="AY657" s="240"/>
      <c r="AZ657" s="240"/>
      <c r="BA657" s="240"/>
      <c r="BB657" s="240"/>
      <c r="BC657" s="240"/>
      <c r="BD657" s="240"/>
      <c r="BE657" s="240"/>
      <c r="BF657" s="240"/>
      <c r="BG657" s="240"/>
      <c r="BH657" s="240"/>
      <c r="BI657" s="240"/>
      <c r="BJ657" s="240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240"/>
      <c r="BW657" s="240"/>
      <c r="BX657" s="240"/>
      <c r="BY657" s="240"/>
      <c r="BZ657" s="240"/>
      <c r="CA657" s="240"/>
      <c r="CB657" s="240"/>
      <c r="CC657" s="240"/>
      <c r="CD657" s="240"/>
      <c r="CE657" s="240"/>
      <c r="CF657" s="240"/>
      <c r="CG657" s="240"/>
      <c r="CH657" s="240"/>
      <c r="CI657" s="240"/>
      <c r="CJ657" s="240"/>
      <c r="CK657" s="240"/>
      <c r="CL657" s="240"/>
      <c r="CM657" s="240"/>
      <c r="CN657" s="240"/>
      <c r="CO657" s="240"/>
      <c r="CP657" s="240"/>
      <c r="CQ657" s="240"/>
      <c r="CR657" s="240"/>
      <c r="CS657" s="240"/>
      <c r="CT657" s="240"/>
      <c r="CU657" s="240"/>
      <c r="CV657" s="240"/>
      <c r="CW657" s="240"/>
      <c r="CX657" s="240"/>
      <c r="CY657" s="240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345"/>
      <c r="EM657" s="245"/>
      <c r="EN657" s="245"/>
      <c r="EO657" s="245"/>
      <c r="EP657" s="245"/>
      <c r="EQ657" s="254"/>
      <c r="ER657" s="851"/>
      <c r="ES657" s="851"/>
      <c r="ET657" s="852"/>
      <c r="EU657" s="852"/>
      <c r="EV657" s="852"/>
      <c r="EW657" s="852"/>
      <c r="EX657" s="852"/>
      <c r="EY657" s="852"/>
      <c r="EZ657" s="852"/>
      <c r="FA657" s="852"/>
      <c r="FB657" s="852"/>
      <c r="FC657" s="852"/>
      <c r="FD657" s="852"/>
      <c r="FE657" s="852"/>
      <c r="FF657" s="852"/>
      <c r="FG657" s="852"/>
      <c r="FH657" s="852"/>
      <c r="FI657" s="852"/>
      <c r="FJ657" s="852"/>
      <c r="FK657" s="852"/>
      <c r="FL657" s="852"/>
      <c r="FM657" s="852"/>
      <c r="FN657" s="852"/>
      <c r="FO657" s="852"/>
      <c r="FP657" s="852"/>
      <c r="FQ657" s="852"/>
      <c r="FR657" s="852"/>
      <c r="FS657" s="852"/>
      <c r="FT657" s="852"/>
      <c r="FU657" s="852"/>
      <c r="FV657" s="852"/>
      <c r="FW657" s="852"/>
      <c r="FX657" s="852"/>
      <c r="FY657" s="852"/>
      <c r="FZ657" s="852"/>
      <c r="GA657" s="852"/>
      <c r="GB657" s="852"/>
      <c r="GC657" s="852"/>
      <c r="GD657" s="852"/>
      <c r="GE657" s="852"/>
      <c r="GF657" s="852"/>
      <c r="GG657" s="193"/>
    </row>
    <row r="658" spans="2:189" s="243" customFormat="1" ht="11.45" hidden="1" customHeight="1">
      <c r="B658" s="343"/>
      <c r="C658" s="240"/>
      <c r="D658" s="240"/>
      <c r="E658" s="240"/>
      <c r="F658" s="240"/>
      <c r="G658" s="240" t="s">
        <v>616</v>
      </c>
      <c r="H658" s="240"/>
      <c r="I658" s="240"/>
      <c r="J658" s="240"/>
      <c r="K658" s="240"/>
      <c r="L658" s="240"/>
      <c r="M658" s="240"/>
      <c r="N658" s="240" t="s">
        <v>132</v>
      </c>
      <c r="O658" s="240"/>
      <c r="P658" s="1775" t="e">
        <f>#REF!</f>
        <v>#REF!</v>
      </c>
      <c r="Q658" s="1775"/>
      <c r="R658" s="1775"/>
      <c r="S658" s="1775"/>
      <c r="T658" s="1775"/>
      <c r="U658" s="240"/>
      <c r="V658" s="240" t="s">
        <v>683</v>
      </c>
      <c r="W658" s="240"/>
      <c r="X658" s="240"/>
      <c r="Y658" s="240" t="str">
        <f>TEXT(Y650,"#,##0.#######")</f>
        <v>62.5</v>
      </c>
      <c r="Z658" s="240"/>
      <c r="AA658" s="240"/>
      <c r="AB658" s="240"/>
      <c r="AC658" s="240" t="s">
        <v>652</v>
      </c>
      <c r="AF658" s="240" t="str">
        <f>TEXT(0.5,"#,##0.#######")</f>
        <v>0.5</v>
      </c>
      <c r="AG658" s="240"/>
      <c r="AH658" s="240"/>
      <c r="AI658" s="240" t="s">
        <v>556</v>
      </c>
      <c r="AJ658" s="240"/>
      <c r="AK658" s="240"/>
      <c r="AL658" s="240" t="s">
        <v>134</v>
      </c>
      <c r="AM658" s="240"/>
      <c r="AN658" s="240" t="e">
        <f>TEXT(TRUNC(P658/Y650,1),"#,##0.#")</f>
        <v>#REF!</v>
      </c>
      <c r="AO658" s="240"/>
      <c r="AP658" s="240"/>
      <c r="AQ658" s="240"/>
      <c r="AR658" s="240"/>
      <c r="AS658" s="240"/>
      <c r="AT658" s="240"/>
      <c r="AV658" s="240"/>
      <c r="AZ658" s="240"/>
      <c r="BA658" s="240"/>
      <c r="BB658" s="240"/>
      <c r="BC658" s="240"/>
      <c r="BD658" s="240"/>
      <c r="BE658" s="240"/>
      <c r="BF658" s="240"/>
      <c r="BG658" s="240"/>
      <c r="BH658" s="240"/>
      <c r="BI658" s="240"/>
      <c r="BJ658" s="240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240"/>
      <c r="BW658" s="240"/>
      <c r="BX658" s="240"/>
      <c r="BY658" s="240"/>
      <c r="BZ658" s="240"/>
      <c r="CA658" s="240"/>
      <c r="CB658" s="240"/>
      <c r="CC658" s="240"/>
      <c r="CD658" s="240"/>
      <c r="CE658" s="240"/>
      <c r="CF658" s="240"/>
      <c r="CG658" s="240"/>
      <c r="CH658" s="240"/>
      <c r="CI658" s="240"/>
      <c r="CJ658" s="240"/>
      <c r="CK658" s="240"/>
      <c r="CL658" s="240"/>
      <c r="CM658" s="240"/>
      <c r="CN658" s="240"/>
      <c r="CO658" s="240"/>
      <c r="CP658" s="240"/>
      <c r="CQ658" s="240"/>
      <c r="CR658" s="240"/>
      <c r="CS658" s="240"/>
      <c r="CT658" s="240"/>
      <c r="CU658" s="240"/>
      <c r="CV658" s="240"/>
      <c r="CW658" s="240"/>
      <c r="CX658" s="240"/>
      <c r="CY658" s="240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345"/>
      <c r="EM658" s="245"/>
      <c r="EN658" s="245"/>
      <c r="EO658" s="245"/>
      <c r="EP658" s="245"/>
      <c r="EQ658" s="254"/>
      <c r="ER658" s="240"/>
      <c r="ES658" s="240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193"/>
    </row>
    <row r="659" spans="2:189" s="243" customFormat="1" ht="11.45" hidden="1" customHeight="1">
      <c r="B659" s="343"/>
      <c r="C659" s="240"/>
      <c r="D659" s="240"/>
      <c r="E659" s="240"/>
      <c r="F659" s="240"/>
      <c r="G659" s="240" t="s">
        <v>617</v>
      </c>
      <c r="H659" s="240"/>
      <c r="I659" s="240"/>
      <c r="J659" s="240"/>
      <c r="K659" s="240"/>
      <c r="L659" s="240"/>
      <c r="M659" s="240"/>
      <c r="N659" s="240" t="s">
        <v>132</v>
      </c>
      <c r="O659" s="240"/>
      <c r="P659" s="1775" t="e">
        <f>#REF!</f>
        <v>#REF!</v>
      </c>
      <c r="Q659" s="1775"/>
      <c r="R659" s="1775"/>
      <c r="S659" s="1775"/>
      <c r="T659" s="1775"/>
      <c r="U659" s="240"/>
      <c r="V659" s="240" t="s">
        <v>683</v>
      </c>
      <c r="W659" s="240"/>
      <c r="X659" s="240"/>
      <c r="Y659" s="240" t="str">
        <f>TEXT(Y650,"#,##0.#######")</f>
        <v>62.5</v>
      </c>
      <c r="Z659" s="240"/>
      <c r="AA659" s="240"/>
      <c r="AB659" s="240"/>
      <c r="AC659" s="240" t="s">
        <v>652</v>
      </c>
      <c r="AF659" s="240" t="str">
        <f>TEXT(0.5,"#,##0.#######")</f>
        <v>0.5</v>
      </c>
      <c r="AG659" s="240"/>
      <c r="AH659" s="240"/>
      <c r="AI659" s="240" t="s">
        <v>556</v>
      </c>
      <c r="AJ659" s="240"/>
      <c r="AK659" s="240"/>
      <c r="AL659" s="240" t="s">
        <v>134</v>
      </c>
      <c r="AM659" s="240"/>
      <c r="AN659" s="240" t="e">
        <f>TEXT(TRUNC(P659/Y650/2,1),"#,##0.#")</f>
        <v>#REF!</v>
      </c>
      <c r="AO659" s="240"/>
      <c r="AP659" s="240"/>
      <c r="AQ659" s="240"/>
      <c r="AR659" s="240"/>
      <c r="AS659" s="240"/>
      <c r="AT659" s="240"/>
      <c r="AV659" s="240"/>
      <c r="AZ659" s="240"/>
      <c r="BA659" s="240"/>
      <c r="BB659" s="240"/>
      <c r="BC659" s="240"/>
      <c r="BD659" s="240"/>
      <c r="BE659" s="240"/>
      <c r="BF659" s="240"/>
      <c r="BG659" s="240"/>
      <c r="BH659" s="240"/>
      <c r="BI659" s="240"/>
      <c r="BJ659" s="240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240"/>
      <c r="BW659" s="240"/>
      <c r="BX659" s="240"/>
      <c r="BY659" s="240"/>
      <c r="BZ659" s="240"/>
      <c r="CA659" s="240"/>
      <c r="CB659" s="240"/>
      <c r="CC659" s="240"/>
      <c r="CD659" s="240"/>
      <c r="CE659" s="240"/>
      <c r="CF659" s="240"/>
      <c r="CG659" s="240"/>
      <c r="CH659" s="240"/>
      <c r="CI659" s="240"/>
      <c r="CJ659" s="240"/>
      <c r="CK659" s="240"/>
      <c r="CL659" s="240"/>
      <c r="CM659" s="240"/>
      <c r="CN659" s="240"/>
      <c r="CO659" s="240"/>
      <c r="CP659" s="240"/>
      <c r="CQ659" s="240"/>
      <c r="CR659" s="240"/>
      <c r="CS659" s="240"/>
      <c r="CT659" s="240"/>
      <c r="CU659" s="240"/>
      <c r="CV659" s="240"/>
      <c r="CW659" s="240"/>
      <c r="CX659" s="240"/>
      <c r="CY659" s="240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345"/>
      <c r="EM659" s="245"/>
      <c r="EN659" s="245"/>
      <c r="EO659" s="245"/>
      <c r="EP659" s="245"/>
      <c r="EQ659" s="254"/>
      <c r="ER659" s="240"/>
      <c r="ES659" s="240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193"/>
    </row>
    <row r="660" spans="2:189" s="243" customFormat="1" ht="11.45" hidden="1" customHeight="1">
      <c r="B660" s="343"/>
      <c r="C660" s="240"/>
      <c r="D660" s="240"/>
      <c r="E660" s="240"/>
      <c r="F660" s="240"/>
      <c r="G660" s="240" t="s">
        <v>679</v>
      </c>
      <c r="H660" s="240"/>
      <c r="I660" s="240" t="s">
        <v>680</v>
      </c>
      <c r="J660" s="240"/>
      <c r="K660" s="240"/>
      <c r="L660" s="240"/>
      <c r="M660" s="240"/>
      <c r="N660" s="240" t="s">
        <v>132</v>
      </c>
      <c r="O660" s="240"/>
      <c r="P660" s="1775" t="e">
        <f>#REF!</f>
        <v>#REF!</v>
      </c>
      <c r="Q660" s="1775"/>
      <c r="R660" s="1775"/>
      <c r="S660" s="1775"/>
      <c r="T660" s="1775"/>
      <c r="U660" s="240"/>
      <c r="V660" s="240" t="s">
        <v>683</v>
      </c>
      <c r="W660" s="240"/>
      <c r="X660" s="240"/>
      <c r="Y660" s="240" t="str">
        <f>TEXT(Y650,"#,##0.#######")</f>
        <v>62.5</v>
      </c>
      <c r="Z660" s="240"/>
      <c r="AA660" s="240"/>
      <c r="AB660" s="240"/>
      <c r="AC660" s="240" t="s">
        <v>652</v>
      </c>
      <c r="AF660" s="240" t="str">
        <f>TEXT(0.5,"#,##0.#######")</f>
        <v>0.5</v>
      </c>
      <c r="AG660" s="240"/>
      <c r="AH660" s="240"/>
      <c r="AI660" s="240" t="s">
        <v>556</v>
      </c>
      <c r="AJ660" s="240"/>
      <c r="AK660" s="240"/>
      <c r="AL660" s="240" t="s">
        <v>134</v>
      </c>
      <c r="AM660" s="240"/>
      <c r="AN660" s="240" t="e">
        <f>TEXT(TRUNC(P660/Y650/2,1),"#,##0.#")</f>
        <v>#REF!</v>
      </c>
      <c r="AO660" s="240"/>
      <c r="AP660" s="240"/>
      <c r="AQ660" s="240"/>
      <c r="AR660" s="240"/>
      <c r="AS660" s="240"/>
      <c r="AT660" s="240"/>
      <c r="AV660" s="240"/>
      <c r="AZ660" s="240"/>
      <c r="BA660" s="240"/>
      <c r="BB660" s="240"/>
      <c r="BC660" s="240"/>
      <c r="BD660" s="240"/>
      <c r="BE660" s="240"/>
      <c r="BF660" s="240"/>
      <c r="BG660" s="240"/>
      <c r="BH660" s="240"/>
      <c r="BI660" s="240"/>
      <c r="BJ660" s="240"/>
      <c r="BK660" s="240"/>
      <c r="BL660" s="240"/>
      <c r="BM660" s="240"/>
      <c r="BN660" s="240"/>
      <c r="BO660" s="240"/>
      <c r="BP660" s="240"/>
      <c r="BQ660" s="240"/>
      <c r="BR660" s="240"/>
      <c r="BS660" s="240"/>
      <c r="BT660" s="240"/>
      <c r="BU660" s="240"/>
      <c r="BV660" s="240"/>
      <c r="BW660" s="240"/>
      <c r="BX660" s="240"/>
      <c r="BY660" s="240"/>
      <c r="BZ660" s="240"/>
      <c r="CA660" s="240"/>
      <c r="CB660" s="240"/>
      <c r="CC660" s="240"/>
      <c r="CD660" s="240"/>
      <c r="CE660" s="240"/>
      <c r="CF660" s="240"/>
      <c r="CG660" s="240"/>
      <c r="CH660" s="240"/>
      <c r="CI660" s="240"/>
      <c r="CJ660" s="240"/>
      <c r="CK660" s="240"/>
      <c r="CL660" s="240"/>
      <c r="CM660" s="240"/>
      <c r="CN660" s="240"/>
      <c r="CO660" s="240"/>
      <c r="CP660" s="240"/>
      <c r="CQ660" s="240"/>
      <c r="CR660" s="240"/>
      <c r="CS660" s="240"/>
      <c r="CT660" s="240"/>
      <c r="CU660" s="240"/>
      <c r="CV660" s="240"/>
      <c r="CW660" s="240"/>
      <c r="CX660" s="240"/>
      <c r="CY660" s="240"/>
      <c r="CZ660" s="241"/>
      <c r="DA660" s="241"/>
      <c r="DB660" s="241"/>
      <c r="DC660" s="241"/>
      <c r="DD660" s="241"/>
      <c r="DE660" s="241"/>
      <c r="DF660" s="241"/>
      <c r="DG660" s="241"/>
      <c r="DH660" s="241"/>
      <c r="DI660" s="241"/>
      <c r="DJ660" s="241"/>
      <c r="DK660" s="241"/>
      <c r="DL660" s="241"/>
      <c r="DM660" s="241"/>
      <c r="DN660" s="241"/>
      <c r="DO660" s="241"/>
      <c r="DP660" s="241"/>
      <c r="DQ660" s="241"/>
      <c r="DR660" s="241"/>
      <c r="DS660" s="241"/>
      <c r="DT660" s="241"/>
      <c r="DU660" s="241"/>
      <c r="DV660" s="241"/>
      <c r="DW660" s="241"/>
      <c r="DX660" s="241"/>
      <c r="DY660" s="241"/>
      <c r="DZ660" s="241"/>
      <c r="EA660" s="241"/>
      <c r="EB660" s="241"/>
      <c r="EC660" s="241"/>
      <c r="ED660" s="241"/>
      <c r="EE660" s="241"/>
      <c r="EF660" s="241"/>
      <c r="EG660" s="241"/>
      <c r="EH660" s="241"/>
      <c r="EI660" s="241"/>
      <c r="EJ660" s="241"/>
      <c r="EK660" s="241"/>
      <c r="EL660" s="345"/>
      <c r="EM660" s="245"/>
      <c r="EN660" s="245"/>
      <c r="EO660" s="245"/>
      <c r="EP660" s="245"/>
      <c r="EQ660" s="254"/>
      <c r="ER660" s="240"/>
      <c r="ES660" s="240"/>
      <c r="ET660" s="241"/>
      <c r="EU660" s="241"/>
      <c r="EV660" s="241"/>
      <c r="EW660" s="241"/>
      <c r="EX660" s="241"/>
      <c r="EY660" s="241"/>
      <c r="EZ660" s="241"/>
      <c r="FA660" s="241"/>
      <c r="FB660" s="241"/>
      <c r="FC660" s="241"/>
      <c r="FD660" s="241"/>
      <c r="FE660" s="241"/>
      <c r="FF660" s="241"/>
      <c r="FG660" s="241"/>
      <c r="FH660" s="241"/>
      <c r="FI660" s="241"/>
      <c r="FJ660" s="241"/>
      <c r="FK660" s="241"/>
      <c r="FL660" s="241"/>
      <c r="FM660" s="241"/>
      <c r="FN660" s="241"/>
      <c r="FO660" s="241"/>
      <c r="FP660" s="241"/>
      <c r="FQ660" s="241"/>
      <c r="FR660" s="241"/>
      <c r="FS660" s="241"/>
      <c r="FT660" s="241"/>
      <c r="FU660" s="241"/>
      <c r="FV660" s="241"/>
      <c r="FW660" s="241"/>
      <c r="FX660" s="241"/>
      <c r="FY660" s="241"/>
      <c r="FZ660" s="241"/>
      <c r="GA660" s="241"/>
      <c r="GB660" s="241"/>
      <c r="GC660" s="241"/>
      <c r="GD660" s="241"/>
      <c r="GE660" s="241"/>
      <c r="GF660" s="241"/>
      <c r="GG660" s="193"/>
    </row>
    <row r="661" spans="2:189" s="243" customFormat="1" ht="11.45" hidden="1" customHeight="1">
      <c r="B661" s="343"/>
      <c r="C661" s="240"/>
      <c r="D661" s="240"/>
      <c r="E661" s="240"/>
      <c r="F661" s="240"/>
      <c r="G661" s="240" t="s">
        <v>688</v>
      </c>
      <c r="H661" s="240"/>
      <c r="I661" s="240" t="s">
        <v>96</v>
      </c>
      <c r="J661" s="240"/>
      <c r="K661" s="240"/>
      <c r="L661" s="240"/>
      <c r="M661" s="240"/>
      <c r="N661" s="240" t="s">
        <v>132</v>
      </c>
      <c r="O661" s="240"/>
      <c r="P661" s="240" t="e">
        <f>TEXT(AN658+AN659+AN660,"#,##0.#######")</f>
        <v>#REF!</v>
      </c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0"/>
      <c r="AO661" s="240"/>
      <c r="AP661" s="240"/>
      <c r="AQ661" s="240"/>
      <c r="AR661" s="240"/>
      <c r="AT661" s="240"/>
      <c r="AU661" s="240"/>
      <c r="AV661" s="240"/>
      <c r="AZ661" s="240"/>
      <c r="BA661" s="240"/>
      <c r="BB661" s="240"/>
      <c r="BC661" s="240"/>
      <c r="BD661" s="240"/>
      <c r="BE661" s="240"/>
      <c r="BF661" s="240"/>
      <c r="BG661" s="240"/>
      <c r="BH661" s="240"/>
      <c r="BI661" s="240"/>
      <c r="BJ661" s="240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240"/>
      <c r="BW661" s="240"/>
      <c r="BX661" s="240"/>
      <c r="BY661" s="240"/>
      <c r="BZ661" s="240"/>
      <c r="CA661" s="240"/>
      <c r="CB661" s="240"/>
      <c r="CC661" s="240"/>
      <c r="CD661" s="240"/>
      <c r="CE661" s="240"/>
      <c r="CF661" s="240"/>
      <c r="CG661" s="240"/>
      <c r="CH661" s="240"/>
      <c r="CI661" s="240"/>
      <c r="CJ661" s="240"/>
      <c r="CK661" s="240"/>
      <c r="CL661" s="240"/>
      <c r="CM661" s="240"/>
      <c r="CN661" s="240"/>
      <c r="CO661" s="240"/>
      <c r="CP661" s="240"/>
      <c r="CQ661" s="240"/>
      <c r="CR661" s="240"/>
      <c r="CS661" s="240"/>
      <c r="CT661" s="240"/>
      <c r="CU661" s="240"/>
      <c r="CV661" s="240"/>
      <c r="CW661" s="240"/>
      <c r="CX661" s="240"/>
      <c r="CY661" s="240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345"/>
      <c r="EM661" s="245" t="e">
        <f>EN661+EO661+EP661</f>
        <v>#REF!</v>
      </c>
      <c r="EN661" s="245" t="e">
        <f>TEXT(AN658,"#,###.0")</f>
        <v>#REF!</v>
      </c>
      <c r="EO661" s="245" t="e">
        <f>TEXT(AN659,"#,###.0")</f>
        <v>#REF!</v>
      </c>
      <c r="EP661" s="245" t="e">
        <f>TEXT(AN660,"#,###.0")</f>
        <v>#REF!</v>
      </c>
      <c r="EQ661" s="254"/>
      <c r="ER661" s="240"/>
      <c r="ES661" s="240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193"/>
    </row>
    <row r="662" spans="2:189" s="243" customFormat="1" ht="11.45" hidden="1" customHeight="1">
      <c r="B662" s="244"/>
      <c r="C662" s="240"/>
      <c r="D662" s="240"/>
      <c r="E662" s="240"/>
      <c r="F662" s="240"/>
      <c r="G662" s="240"/>
      <c r="H662" s="240"/>
      <c r="I662" s="240"/>
      <c r="J662" s="240"/>
      <c r="K662" s="240"/>
      <c r="L662" s="297"/>
      <c r="M662" s="297"/>
      <c r="N662" s="297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0"/>
      <c r="BN662" s="240"/>
      <c r="BO662" s="240"/>
      <c r="BP662" s="240"/>
      <c r="BQ662" s="240"/>
      <c r="BR662" s="240"/>
      <c r="BS662" s="297"/>
      <c r="BT662" s="240"/>
      <c r="BU662" s="240"/>
      <c r="BV662" s="240"/>
      <c r="BW662" s="240"/>
      <c r="BX662" s="240"/>
      <c r="BY662" s="240"/>
      <c r="BZ662" s="240"/>
      <c r="CA662" s="240"/>
      <c r="CB662" s="240"/>
      <c r="CC662" s="240"/>
      <c r="CD662" s="240"/>
      <c r="CE662" s="240"/>
      <c r="CF662" s="240"/>
      <c r="CG662" s="240"/>
      <c r="CH662" s="240"/>
      <c r="CI662" s="240"/>
      <c r="CJ662" s="240"/>
      <c r="CK662" s="240"/>
      <c r="CL662" s="240"/>
      <c r="CM662" s="240"/>
      <c r="CN662" s="240"/>
      <c r="CO662" s="240"/>
      <c r="CP662" s="240"/>
      <c r="CQ662" s="240"/>
      <c r="CR662" s="240"/>
      <c r="CS662" s="240"/>
      <c r="CT662" s="240"/>
      <c r="CU662" s="240"/>
      <c r="CV662" s="240"/>
      <c r="CW662" s="240"/>
      <c r="CX662" s="240"/>
      <c r="CY662" s="240"/>
      <c r="CZ662" s="240"/>
      <c r="DA662" s="240"/>
      <c r="DB662" s="240"/>
      <c r="DC662" s="240"/>
      <c r="DD662" s="240"/>
      <c r="DE662" s="240"/>
      <c r="DF662" s="240"/>
      <c r="DG662" s="240"/>
      <c r="DH662" s="240"/>
      <c r="DI662" s="240"/>
      <c r="DJ662" s="240"/>
      <c r="DK662" s="240"/>
      <c r="DL662" s="240"/>
      <c r="DM662" s="240"/>
      <c r="DN662" s="240"/>
      <c r="DO662" s="240"/>
      <c r="DP662" s="240"/>
      <c r="DQ662" s="240"/>
      <c r="DR662" s="240"/>
      <c r="DS662" s="240"/>
      <c r="DT662" s="240"/>
      <c r="DU662" s="240"/>
      <c r="DV662" s="240"/>
      <c r="DW662" s="240"/>
      <c r="DX662" s="240"/>
      <c r="DY662" s="240"/>
      <c r="DZ662" s="240"/>
      <c r="EA662" s="240"/>
      <c r="EB662" s="240"/>
      <c r="EC662" s="240"/>
      <c r="ED662" s="240"/>
      <c r="EE662" s="240"/>
      <c r="EF662" s="240"/>
      <c r="EG662" s="240"/>
      <c r="EH662" s="240"/>
      <c r="EI662" s="240"/>
      <c r="EJ662" s="240"/>
      <c r="EK662" s="240"/>
      <c r="EL662" s="359"/>
      <c r="EM662" s="245"/>
      <c r="EN662" s="245"/>
      <c r="EO662" s="245"/>
      <c r="EP662" s="245"/>
      <c r="EQ662" s="254"/>
      <c r="ER662" s="240"/>
      <c r="ES662" s="240"/>
      <c r="ET662" s="240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193"/>
    </row>
    <row r="663" spans="2:189" s="243" customFormat="1" ht="11.45" hidden="1" customHeight="1">
      <c r="B663" s="244"/>
      <c r="C663" s="240"/>
      <c r="D663" s="240"/>
      <c r="E663" s="240" t="s">
        <v>690</v>
      </c>
      <c r="F663" s="240"/>
      <c r="G663" s="240" t="s">
        <v>686</v>
      </c>
      <c r="H663" s="240"/>
      <c r="I663" s="240" t="s">
        <v>1332</v>
      </c>
      <c r="J663" s="240"/>
      <c r="K663" s="240"/>
      <c r="L663" s="297"/>
      <c r="M663" s="297"/>
      <c r="N663" s="297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97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0"/>
      <c r="DW663" s="240"/>
      <c r="DX663" s="240"/>
      <c r="DY663" s="240"/>
      <c r="DZ663" s="240"/>
      <c r="EA663" s="240"/>
      <c r="EB663" s="240"/>
      <c r="EC663" s="240"/>
      <c r="ED663" s="240"/>
      <c r="EE663" s="240"/>
      <c r="EF663" s="240"/>
      <c r="EG663" s="240"/>
      <c r="EH663" s="240"/>
      <c r="EI663" s="240"/>
      <c r="EJ663" s="240"/>
      <c r="EK663" s="240"/>
      <c r="EL663" s="359"/>
      <c r="EM663" s="245"/>
      <c r="EN663" s="245"/>
      <c r="EO663" s="245"/>
      <c r="EP663" s="245"/>
      <c r="EQ663" s="254"/>
      <c r="ER663" s="240"/>
      <c r="ES663" s="240"/>
      <c r="ET663" s="240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193"/>
    </row>
    <row r="664" spans="2:189" s="243" customFormat="1" ht="11.45" hidden="1" customHeight="1">
      <c r="B664" s="244"/>
      <c r="C664" s="240"/>
      <c r="D664" s="240"/>
      <c r="E664" s="240"/>
      <c r="F664" s="240"/>
      <c r="G664" s="240" t="s">
        <v>703</v>
      </c>
      <c r="H664" s="240"/>
      <c r="I664" s="240"/>
      <c r="J664" s="240"/>
      <c r="K664" s="240"/>
      <c r="L664" s="297"/>
      <c r="M664" s="297"/>
      <c r="N664" s="297" t="s">
        <v>704</v>
      </c>
      <c r="O664" s="240"/>
      <c r="P664" s="240"/>
      <c r="R664" s="240"/>
      <c r="S664" s="240"/>
      <c r="T664" s="240"/>
      <c r="U664" s="240"/>
      <c r="V664" s="240"/>
      <c r="W664" s="240" t="str">
        <f>TEXT(169800,"#,##0.#######")</f>
        <v>169,800.</v>
      </c>
      <c r="X664" s="240"/>
      <c r="Y664" s="240"/>
      <c r="Z664" s="240"/>
      <c r="AA664" s="240"/>
      <c r="AB664" s="240"/>
      <c r="AC664" s="240" t="s">
        <v>652</v>
      </c>
      <c r="AD664" s="240"/>
      <c r="AE664" s="240"/>
      <c r="AF664" s="240" t="str">
        <f>TEXT(0.27,"#,##0.#######")</f>
        <v>0.27</v>
      </c>
      <c r="AG664" s="240"/>
      <c r="AH664" s="240"/>
      <c r="AI664" s="240" t="s">
        <v>87</v>
      </c>
      <c r="AJ664" s="240"/>
      <c r="AK664" s="240" t="s">
        <v>683</v>
      </c>
      <c r="AL664" s="240"/>
      <c r="AM664" s="240" t="str">
        <f>TEXT(100,"#,##0.#######")</f>
        <v>100.</v>
      </c>
      <c r="AN664" s="240"/>
      <c r="AO664" s="240"/>
      <c r="AP664" s="240" t="s">
        <v>90</v>
      </c>
      <c r="AQ664" s="240"/>
      <c r="AR664" s="240" t="s">
        <v>134</v>
      </c>
      <c r="AS664" s="240"/>
      <c r="AT664" s="240" t="str">
        <f>TEXT(TRUNC(W664*AF664/AM664,1),"#,##0.#")</f>
        <v>458.4</v>
      </c>
      <c r="AU664" s="240"/>
      <c r="AV664" s="240"/>
      <c r="AW664" s="240"/>
      <c r="AX664" s="240"/>
      <c r="AZ664" s="240"/>
      <c r="BA664" s="240"/>
      <c r="BC664" s="240"/>
      <c r="BD664" s="240"/>
      <c r="BF664" s="240"/>
      <c r="BG664" s="240"/>
      <c r="BH664" s="240"/>
      <c r="BJ664" s="240"/>
      <c r="BK664" s="240"/>
      <c r="BL664" s="240"/>
      <c r="BM664" s="240"/>
      <c r="BN664" s="240"/>
      <c r="BO664" s="240"/>
      <c r="BP664" s="240"/>
      <c r="BQ664" s="240"/>
      <c r="BR664" s="240"/>
      <c r="BS664" s="297"/>
      <c r="BT664" s="240"/>
      <c r="BU664" s="240"/>
      <c r="BV664" s="240"/>
      <c r="BW664" s="240"/>
      <c r="BX664" s="240"/>
      <c r="BY664" s="240"/>
      <c r="BZ664" s="240"/>
      <c r="CA664" s="240"/>
      <c r="CB664" s="240"/>
      <c r="CC664" s="240"/>
      <c r="CD664" s="240"/>
      <c r="CE664" s="240"/>
      <c r="CF664" s="240"/>
      <c r="CG664" s="240"/>
      <c r="CH664" s="240"/>
      <c r="CI664" s="240"/>
      <c r="CJ664" s="240"/>
      <c r="CK664" s="240"/>
      <c r="CL664" s="240"/>
      <c r="CM664" s="240"/>
      <c r="CN664" s="240"/>
      <c r="CO664" s="240"/>
      <c r="CP664" s="240"/>
      <c r="CQ664" s="240"/>
      <c r="CR664" s="240"/>
      <c r="CS664" s="240"/>
      <c r="CT664" s="240"/>
      <c r="CU664" s="240"/>
      <c r="CV664" s="240"/>
      <c r="CW664" s="240"/>
      <c r="CX664" s="240"/>
      <c r="CY664" s="240"/>
      <c r="CZ664" s="240"/>
      <c r="DA664" s="240"/>
      <c r="DB664" s="240"/>
      <c r="DC664" s="240"/>
      <c r="DD664" s="240"/>
      <c r="DE664" s="240"/>
      <c r="DF664" s="240"/>
      <c r="DG664" s="240"/>
      <c r="DH664" s="240"/>
      <c r="DI664" s="240"/>
      <c r="DJ664" s="240"/>
      <c r="DK664" s="240"/>
      <c r="DL664" s="240"/>
      <c r="DM664" s="240"/>
      <c r="DN664" s="240"/>
      <c r="DO664" s="240"/>
      <c r="DP664" s="240"/>
      <c r="DQ664" s="240"/>
      <c r="DR664" s="240"/>
      <c r="DS664" s="240"/>
      <c r="DT664" s="240"/>
      <c r="DU664" s="240"/>
      <c r="DV664" s="240"/>
      <c r="DW664" s="240"/>
      <c r="DX664" s="240"/>
      <c r="DY664" s="240"/>
      <c r="DZ664" s="240"/>
      <c r="EA664" s="240"/>
      <c r="EB664" s="240"/>
      <c r="EC664" s="240"/>
      <c r="ED664" s="240"/>
      <c r="EE664" s="240"/>
      <c r="EF664" s="240"/>
      <c r="EG664" s="240"/>
      <c r="EH664" s="240"/>
      <c r="EI664" s="240"/>
      <c r="EJ664" s="240"/>
      <c r="EK664" s="240"/>
      <c r="EL664" s="359"/>
      <c r="EM664" s="245"/>
      <c r="EN664" s="245"/>
      <c r="EO664" s="245"/>
      <c r="EP664" s="245"/>
      <c r="EQ664" s="254"/>
      <c r="ER664" s="240"/>
      <c r="ES664" s="240"/>
      <c r="ET664" s="240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193"/>
    </row>
    <row r="665" spans="2:189" s="243" customFormat="1" ht="11.25" hidden="1" customHeight="1">
      <c r="B665" s="343"/>
      <c r="C665" s="240"/>
      <c r="D665" s="240"/>
      <c r="E665" s="240"/>
      <c r="F665" s="240"/>
      <c r="G665" s="240"/>
      <c r="H665" s="240" t="s">
        <v>706</v>
      </c>
      <c r="I665" s="240"/>
      <c r="J665" s="240"/>
      <c r="K665" s="240"/>
      <c r="L665" s="240"/>
      <c r="M665" s="1774" t="e">
        <f>VLOOKUP(H665,#REF!,10,FALSE)</f>
        <v>#REF!</v>
      </c>
      <c r="N665" s="1774"/>
      <c r="O665" s="1774"/>
      <c r="P665" s="1774"/>
      <c r="Q665" s="1774"/>
      <c r="R665" s="1774"/>
      <c r="S665" s="240"/>
      <c r="T665" s="240" t="s">
        <v>652</v>
      </c>
      <c r="U665" s="240"/>
      <c r="V665" s="240"/>
      <c r="W665" s="240" t="str">
        <f>TEXT(2000,"#,##0.#######")</f>
        <v>2,000.</v>
      </c>
      <c r="X665" s="240"/>
      <c r="Y665" s="240"/>
      <c r="Z665" s="240"/>
      <c r="AA665" s="240" t="s">
        <v>369</v>
      </c>
      <c r="AB665" s="240"/>
      <c r="AC665" s="240"/>
      <c r="AD665" s="240" t="s">
        <v>683</v>
      </c>
      <c r="AE665" s="240"/>
      <c r="AF665" s="240"/>
      <c r="AG665" s="240" t="str">
        <f>TEXT(100,"#,##0.#######")</f>
        <v>100.</v>
      </c>
      <c r="AH665" s="240"/>
      <c r="AI665" s="240"/>
      <c r="AJ665" s="240" t="s">
        <v>90</v>
      </c>
      <c r="AK665" s="240"/>
      <c r="AL665" s="240" t="s">
        <v>134</v>
      </c>
      <c r="AM665" s="240"/>
      <c r="AN665" s="240" t="e">
        <f>TEXT(TRUNC(M665*W665/AG665,1),"#,##0.#")</f>
        <v>#REF!</v>
      </c>
      <c r="AO665" s="240"/>
      <c r="AP665" s="240"/>
      <c r="AQ665" s="240"/>
      <c r="AR665" s="240"/>
      <c r="AS665" s="240"/>
      <c r="AT665" s="240"/>
      <c r="AU665" s="240"/>
      <c r="AV665" s="240"/>
      <c r="AW665" s="240"/>
      <c r="AX665" s="240"/>
      <c r="AY665" s="240"/>
      <c r="AZ665" s="240"/>
      <c r="BA665" s="240"/>
      <c r="BB665" s="240"/>
      <c r="BC665" s="240"/>
      <c r="BD665" s="240"/>
      <c r="BE665" s="240"/>
      <c r="BF665" s="240"/>
      <c r="BG665" s="240"/>
      <c r="BH665" s="240"/>
      <c r="BL665" s="240"/>
      <c r="BM665" s="240"/>
      <c r="BN665" s="240"/>
      <c r="BO665" s="240"/>
      <c r="BP665" s="240"/>
      <c r="BQ665" s="240"/>
      <c r="BR665" s="240"/>
      <c r="BS665" s="240"/>
      <c r="BT665" s="240"/>
      <c r="BU665" s="240"/>
      <c r="BV665" s="240"/>
      <c r="BW665" s="240"/>
      <c r="BX665" s="240"/>
      <c r="BY665" s="240"/>
      <c r="BZ665" s="240"/>
      <c r="CA665" s="240"/>
      <c r="CB665" s="240"/>
      <c r="CC665" s="240"/>
      <c r="CD665" s="240"/>
      <c r="CE665" s="240"/>
      <c r="CF665" s="240"/>
      <c r="CG665" s="240"/>
      <c r="CH665" s="240"/>
      <c r="CI665" s="240"/>
      <c r="CJ665" s="240"/>
      <c r="CK665" s="240"/>
      <c r="CL665" s="240"/>
      <c r="CM665" s="240"/>
      <c r="CN665" s="240"/>
      <c r="CO665" s="240"/>
      <c r="CP665" s="240"/>
      <c r="CQ665" s="240"/>
      <c r="CR665" s="240"/>
      <c r="CS665" s="240"/>
      <c r="CT665" s="240"/>
      <c r="CU665" s="240"/>
      <c r="CV665" s="240"/>
      <c r="CW665" s="240"/>
      <c r="CX665" s="240"/>
      <c r="CY665" s="240"/>
      <c r="CZ665" s="241"/>
      <c r="DA665" s="241"/>
      <c r="DB665" s="241"/>
      <c r="DC665" s="241"/>
      <c r="DD665" s="241"/>
      <c r="DE665" s="241"/>
      <c r="DF665" s="241"/>
      <c r="DG665" s="241"/>
      <c r="DH665" s="241"/>
      <c r="DI665" s="241"/>
      <c r="DJ665" s="241"/>
      <c r="DK665" s="241"/>
      <c r="DL665" s="241"/>
      <c r="DM665" s="241"/>
      <c r="DN665" s="241"/>
      <c r="DO665" s="241"/>
      <c r="DP665" s="241"/>
      <c r="DQ665" s="241"/>
      <c r="DR665" s="241"/>
      <c r="DS665" s="241"/>
      <c r="DT665" s="241"/>
      <c r="DU665" s="241"/>
      <c r="DV665" s="241"/>
      <c r="DW665" s="241"/>
      <c r="DX665" s="241"/>
      <c r="DY665" s="241"/>
      <c r="DZ665" s="241"/>
      <c r="EA665" s="241"/>
      <c r="EB665" s="241"/>
      <c r="EC665" s="241"/>
      <c r="ED665" s="241"/>
      <c r="EE665" s="241"/>
      <c r="EF665" s="241"/>
      <c r="EG665" s="241"/>
      <c r="EH665" s="241"/>
      <c r="EI665" s="241"/>
      <c r="EJ665" s="241"/>
      <c r="EK665" s="241"/>
      <c r="EL665" s="345"/>
      <c r="EM665" s="245"/>
      <c r="EN665" s="245"/>
      <c r="EO665" s="245"/>
      <c r="EP665" s="245"/>
      <c r="EQ665" s="351"/>
    </row>
    <row r="666" spans="2:189" s="243" customFormat="1" ht="11.45" hidden="1" customHeight="1">
      <c r="B666" s="343"/>
      <c r="C666" s="240"/>
      <c r="D666" s="240"/>
      <c r="E666" s="240"/>
      <c r="F666" s="240"/>
      <c r="G666" s="240" t="s">
        <v>688</v>
      </c>
      <c r="H666" s="240"/>
      <c r="I666" s="240" t="s">
        <v>96</v>
      </c>
      <c r="J666" s="240"/>
      <c r="K666" s="240"/>
      <c r="L666" s="240"/>
      <c r="M666" s="240"/>
      <c r="N666" s="240" t="s">
        <v>132</v>
      </c>
      <c r="O666" s="240"/>
      <c r="P666" s="240" t="e">
        <f>TEXT(AT664+AN665,"#,##0.#######")</f>
        <v>#REF!</v>
      </c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T666" s="240"/>
      <c r="AU666" s="240"/>
      <c r="AV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345"/>
      <c r="EM666" s="245" t="e">
        <f>EN666+EO666+EP666</f>
        <v>#REF!</v>
      </c>
      <c r="EN666" s="234"/>
      <c r="EO666" s="234" t="e">
        <f>P666</f>
        <v>#REF!</v>
      </c>
      <c r="EP666" s="234"/>
      <c r="EQ666" s="254"/>
      <c r="ER666" s="240"/>
      <c r="ES666" s="240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193"/>
    </row>
    <row r="667" spans="2:189" s="243" customFormat="1" ht="11.45" hidden="1" customHeight="1">
      <c r="B667" s="244"/>
      <c r="C667" s="240"/>
      <c r="D667" s="240"/>
      <c r="E667" s="240"/>
      <c r="F667" s="240"/>
      <c r="G667" s="240"/>
      <c r="H667" s="240"/>
      <c r="I667" s="240"/>
      <c r="J667" s="240"/>
      <c r="K667" s="240"/>
      <c r="L667" s="297"/>
      <c r="M667" s="297"/>
      <c r="N667" s="297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97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0"/>
      <c r="DW667" s="240"/>
      <c r="DX667" s="240"/>
      <c r="DY667" s="240"/>
      <c r="DZ667" s="240"/>
      <c r="EA667" s="240"/>
      <c r="EB667" s="240"/>
      <c r="EC667" s="240"/>
      <c r="ED667" s="240"/>
      <c r="EE667" s="240"/>
      <c r="EF667" s="240"/>
      <c r="EG667" s="240"/>
      <c r="EH667" s="240"/>
      <c r="EI667" s="240"/>
      <c r="EJ667" s="240"/>
      <c r="EK667" s="240"/>
      <c r="EL667" s="359"/>
      <c r="EM667" s="245"/>
      <c r="EN667" s="245"/>
      <c r="EO667" s="245"/>
      <c r="EP667" s="245"/>
      <c r="EQ667" s="254"/>
      <c r="ER667" s="240"/>
      <c r="ES667" s="240"/>
      <c r="ET667" s="240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193"/>
    </row>
    <row r="668" spans="2:189" s="243" customFormat="1" ht="11.45" hidden="1" customHeight="1">
      <c r="B668" s="244"/>
      <c r="C668" s="240"/>
      <c r="D668" s="240"/>
      <c r="E668" s="240" t="s">
        <v>697</v>
      </c>
      <c r="F668" s="240"/>
      <c r="G668" s="240" t="s">
        <v>686</v>
      </c>
      <c r="H668" s="240"/>
      <c r="I668" s="240" t="s">
        <v>616</v>
      </c>
      <c r="J668" s="240"/>
      <c r="K668" s="240"/>
      <c r="L668" s="297"/>
      <c r="M668" s="297"/>
      <c r="N668" s="297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97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0"/>
      <c r="DW668" s="240"/>
      <c r="DX668" s="240"/>
      <c r="DY668" s="240"/>
      <c r="DZ668" s="240"/>
      <c r="EA668" s="240"/>
      <c r="EB668" s="240"/>
      <c r="EC668" s="240"/>
      <c r="ED668" s="240"/>
      <c r="EE668" s="240"/>
      <c r="EF668" s="240"/>
      <c r="EG668" s="240"/>
      <c r="EH668" s="240"/>
      <c r="EI668" s="240"/>
      <c r="EJ668" s="240"/>
      <c r="EK668" s="240"/>
      <c r="EL668" s="359"/>
      <c r="EM668" s="245"/>
      <c r="EN668" s="245"/>
      <c r="EO668" s="245"/>
      <c r="EP668" s="245"/>
      <c r="EQ668" s="254"/>
      <c r="ER668" s="240"/>
      <c r="ES668" s="240"/>
      <c r="ET668" s="240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193"/>
    </row>
    <row r="669" spans="2:189" s="243" customFormat="1" ht="11.45" hidden="1" customHeight="1">
      <c r="B669" s="244"/>
      <c r="C669" s="240"/>
      <c r="D669" s="240"/>
      <c r="E669" s="240"/>
      <c r="F669" s="240"/>
      <c r="G669" s="240" t="s">
        <v>1333</v>
      </c>
      <c r="H669" s="240"/>
      <c r="I669" s="240"/>
      <c r="J669" s="240"/>
      <c r="K669" s="240"/>
      <c r="L669" s="297"/>
      <c r="M669" s="297"/>
      <c r="N669" s="297"/>
      <c r="O669" s="240" t="s">
        <v>132</v>
      </c>
      <c r="P669" s="240"/>
      <c r="Q669" s="1774">
        <f>VLOOKUP($G669,노임단가!$A:$B,2,FALSE)</f>
        <v>197450</v>
      </c>
      <c r="R669" s="1774"/>
      <c r="S669" s="1774"/>
      <c r="T669" s="1774"/>
      <c r="U669" s="1774"/>
      <c r="V669" s="1774"/>
      <c r="W669" s="240" t="s">
        <v>652</v>
      </c>
      <c r="X669" s="240"/>
      <c r="Y669" s="240" t="str">
        <f>TEXT(1,"#,##0.#######")</f>
        <v>1.</v>
      </c>
      <c r="Z669" s="240"/>
      <c r="AA669" s="240" t="s">
        <v>102</v>
      </c>
      <c r="AC669" s="240" t="s">
        <v>683</v>
      </c>
      <c r="AE669" s="240" t="str">
        <f>TEXT(T648,"#,##0.#######")</f>
        <v>500.</v>
      </c>
      <c r="AF669" s="240"/>
      <c r="AH669" s="240" t="s">
        <v>90</v>
      </c>
      <c r="AI669" s="240"/>
      <c r="AJ669" s="240" t="s">
        <v>134</v>
      </c>
      <c r="AK669" s="240"/>
      <c r="AL669" s="240" t="str">
        <f>TEXT(TRUNC(Q669*Y669/AE669,1),"#,##0.#")</f>
        <v>394.9</v>
      </c>
      <c r="AN669" s="240"/>
      <c r="AO669" s="240"/>
      <c r="AQ669" s="240"/>
      <c r="AS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97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0"/>
      <c r="DW669" s="240"/>
      <c r="DX669" s="240"/>
      <c r="DY669" s="240"/>
      <c r="DZ669" s="240"/>
      <c r="EA669" s="240"/>
      <c r="EB669" s="240"/>
      <c r="EC669" s="240"/>
      <c r="ED669" s="240"/>
      <c r="EE669" s="240"/>
      <c r="EF669" s="240"/>
      <c r="EG669" s="240"/>
      <c r="EH669" s="240"/>
      <c r="EI669" s="240"/>
      <c r="EJ669" s="240"/>
      <c r="EK669" s="240"/>
      <c r="EL669" s="359"/>
      <c r="EM669" s="245"/>
      <c r="EN669" s="245"/>
      <c r="EO669" s="245"/>
      <c r="EP669" s="245"/>
      <c r="EQ669" s="254"/>
      <c r="ER669" s="240"/>
      <c r="ES669" s="240"/>
      <c r="ET669" s="240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193"/>
    </row>
    <row r="670" spans="2:189" s="243" customFormat="1" ht="11.45" hidden="1" customHeight="1">
      <c r="B670" s="244"/>
      <c r="C670" s="240"/>
      <c r="D670" s="240"/>
      <c r="E670" s="240"/>
      <c r="F670" s="240"/>
      <c r="G670" s="240" t="s">
        <v>103</v>
      </c>
      <c r="H670" s="240"/>
      <c r="I670" s="240"/>
      <c r="J670" s="240"/>
      <c r="K670" s="240"/>
      <c r="L670" s="297"/>
      <c r="M670" s="297"/>
      <c r="N670" s="297"/>
      <c r="O670" s="240" t="s">
        <v>132</v>
      </c>
      <c r="P670" s="240"/>
      <c r="Q670" s="1774">
        <f>VLOOKUP($G670,노임단가!$A:$B,2,FALSE)</f>
        <v>157068</v>
      </c>
      <c r="R670" s="1774"/>
      <c r="S670" s="1774"/>
      <c r="T670" s="1774"/>
      <c r="U670" s="1774"/>
      <c r="V670" s="1774"/>
      <c r="W670" s="240" t="s">
        <v>652</v>
      </c>
      <c r="X670" s="240"/>
      <c r="Y670" s="240" t="str">
        <f>TEXT(1,"#,##0.#######")</f>
        <v>1.</v>
      </c>
      <c r="Z670" s="240"/>
      <c r="AA670" s="240" t="s">
        <v>102</v>
      </c>
      <c r="AC670" s="240" t="s">
        <v>683</v>
      </c>
      <c r="AE670" s="240" t="str">
        <f>TEXT(T648,"#,##0.#######")</f>
        <v>500.</v>
      </c>
      <c r="AF670" s="240"/>
      <c r="AH670" s="240" t="s">
        <v>90</v>
      </c>
      <c r="AI670" s="240"/>
      <c r="AJ670" s="240" t="s">
        <v>134</v>
      </c>
      <c r="AK670" s="240"/>
      <c r="AL670" s="240" t="str">
        <f>TEXT(TRUNC(Q670*Y670/AE670,1),"#,##0.#")</f>
        <v>314.1</v>
      </c>
      <c r="AN670" s="240"/>
      <c r="AO670" s="240"/>
      <c r="AQ670" s="240"/>
      <c r="AS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97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0"/>
      <c r="DW670" s="240"/>
      <c r="DX670" s="240"/>
      <c r="DY670" s="240"/>
      <c r="DZ670" s="240"/>
      <c r="EA670" s="240"/>
      <c r="EB670" s="240"/>
      <c r="EC670" s="240"/>
      <c r="ED670" s="240"/>
      <c r="EE670" s="240"/>
      <c r="EF670" s="240"/>
      <c r="EG670" s="240"/>
      <c r="EH670" s="240"/>
      <c r="EI670" s="240"/>
      <c r="EJ670" s="240"/>
      <c r="EK670" s="240"/>
      <c r="EL670" s="359"/>
      <c r="EM670" s="245"/>
      <c r="EN670" s="245"/>
      <c r="EO670" s="245"/>
      <c r="EP670" s="245"/>
      <c r="EQ670" s="254"/>
      <c r="ER670" s="240"/>
      <c r="ES670" s="240"/>
      <c r="ET670" s="240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193"/>
    </row>
    <row r="671" spans="2:189" ht="11.45" hidden="1" customHeight="1">
      <c r="B671" s="228"/>
      <c r="C671" s="229"/>
      <c r="D671" s="229"/>
      <c r="E671" s="229"/>
      <c r="F671" s="229"/>
      <c r="G671" s="229" t="s">
        <v>684</v>
      </c>
      <c r="H671" s="229"/>
      <c r="I671" s="229"/>
      <c r="J671" s="229"/>
      <c r="K671" s="229"/>
      <c r="L671" s="226"/>
      <c r="M671" s="226"/>
      <c r="N671" s="226"/>
      <c r="O671" s="229" t="s">
        <v>132</v>
      </c>
      <c r="P671" s="229"/>
      <c r="Q671" s="296" t="str">
        <f>TEXT(TRUNC(AL669+AL670,1),"#,##0.#######")</f>
        <v>709.</v>
      </c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  <c r="AH671" s="229"/>
      <c r="AI671" s="229"/>
      <c r="AJ671" s="229"/>
      <c r="AK671" s="229"/>
      <c r="AL671" s="229"/>
      <c r="AM671" s="229"/>
      <c r="AN671" s="229"/>
      <c r="AO671" s="229"/>
      <c r="AP671" s="229"/>
      <c r="AQ671" s="229"/>
      <c r="AR671" s="229"/>
      <c r="AS671" s="229"/>
      <c r="AT671" s="229"/>
      <c r="AU671" s="229"/>
      <c r="AV671" s="229"/>
      <c r="AW671" s="229"/>
      <c r="AX671" s="229"/>
      <c r="AY671" s="229"/>
      <c r="AZ671" s="229"/>
      <c r="BA671" s="229"/>
      <c r="BB671" s="229"/>
      <c r="BC671" s="229"/>
      <c r="BD671" s="229"/>
      <c r="BE671" s="229"/>
      <c r="BF671" s="229"/>
      <c r="BG671" s="229"/>
      <c r="BH671" s="229"/>
      <c r="BI671" s="229"/>
      <c r="BJ671" s="229"/>
      <c r="BK671" s="229"/>
      <c r="BL671" s="229"/>
      <c r="BM671" s="229"/>
      <c r="BN671" s="229"/>
      <c r="BO671" s="229"/>
      <c r="BP671" s="229"/>
      <c r="BQ671" s="229"/>
      <c r="BR671" s="229"/>
      <c r="BS671" s="296"/>
      <c r="BT671" s="229"/>
      <c r="BU671" s="229"/>
      <c r="BV671" s="229"/>
      <c r="BW671" s="229"/>
      <c r="BX671" s="229"/>
      <c r="BY671" s="229"/>
      <c r="BZ671" s="229"/>
      <c r="CA671" s="229"/>
      <c r="CB671" s="229"/>
      <c r="CC671" s="229"/>
      <c r="CD671" s="229"/>
      <c r="CE671" s="229"/>
      <c r="CF671" s="229"/>
      <c r="CG671" s="229"/>
      <c r="CH671" s="229"/>
      <c r="CI671" s="229"/>
      <c r="CJ671" s="229"/>
      <c r="CK671" s="229"/>
      <c r="CL671" s="229"/>
      <c r="CM671" s="229"/>
      <c r="CN671" s="229"/>
      <c r="CO671" s="229"/>
      <c r="CP671" s="229"/>
      <c r="CQ671" s="229"/>
      <c r="CR671" s="229"/>
      <c r="CS671" s="229"/>
      <c r="CT671" s="229"/>
      <c r="CU671" s="229"/>
      <c r="CV671" s="229"/>
      <c r="CW671" s="229"/>
      <c r="CX671" s="229"/>
      <c r="CY671" s="229"/>
      <c r="CZ671" s="229"/>
      <c r="DA671" s="229"/>
      <c r="DB671" s="229"/>
      <c r="DC671" s="229"/>
      <c r="DD671" s="229"/>
      <c r="DE671" s="229"/>
      <c r="DF671" s="229"/>
      <c r="DG671" s="229"/>
      <c r="DH671" s="229"/>
      <c r="DI671" s="229"/>
      <c r="DJ671" s="229"/>
      <c r="DK671" s="229"/>
      <c r="DL671" s="229"/>
      <c r="DM671" s="229"/>
      <c r="DN671" s="229"/>
      <c r="DO671" s="229"/>
      <c r="DP671" s="229"/>
      <c r="DQ671" s="229"/>
      <c r="DR671" s="229"/>
      <c r="DS671" s="229"/>
      <c r="DT671" s="229"/>
      <c r="DU671" s="229"/>
      <c r="DV671" s="229"/>
      <c r="DW671" s="229"/>
      <c r="DX671" s="229"/>
      <c r="DY671" s="229"/>
      <c r="DZ671" s="229"/>
      <c r="EA671" s="229"/>
      <c r="EB671" s="229"/>
      <c r="EC671" s="229"/>
      <c r="ED671" s="229"/>
      <c r="EE671" s="229"/>
      <c r="EF671" s="229"/>
      <c r="EG671" s="229"/>
      <c r="EH671" s="229"/>
      <c r="EI671" s="229"/>
      <c r="EJ671" s="229"/>
      <c r="EK671" s="229"/>
      <c r="EL671" s="305"/>
      <c r="EM671" s="245">
        <f>EN671+EO671+EP671</f>
        <v>709</v>
      </c>
      <c r="EN671" s="234" t="str">
        <f>Q671</f>
        <v>709.</v>
      </c>
      <c r="EO671" s="234"/>
      <c r="EP671" s="234"/>
      <c r="EQ671" s="233"/>
    </row>
    <row r="672" spans="2:189" s="243" customFormat="1" ht="11.45" hidden="1" customHeight="1">
      <c r="B672" s="244"/>
      <c r="C672" s="240"/>
      <c r="D672" s="240"/>
      <c r="E672" s="240"/>
      <c r="F672" s="240"/>
      <c r="G672" s="240"/>
      <c r="H672" s="240"/>
      <c r="I672" s="240"/>
      <c r="J672" s="240"/>
      <c r="K672" s="240"/>
      <c r="L672" s="297"/>
      <c r="M672" s="297"/>
      <c r="N672" s="297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97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0"/>
      <c r="DW672" s="240"/>
      <c r="DX672" s="240"/>
      <c r="DY672" s="240"/>
      <c r="DZ672" s="240"/>
      <c r="EA672" s="240"/>
      <c r="EB672" s="240"/>
      <c r="EC672" s="240"/>
      <c r="ED672" s="240"/>
      <c r="EE672" s="240"/>
      <c r="EF672" s="240"/>
      <c r="EG672" s="240"/>
      <c r="EH672" s="240"/>
      <c r="EI672" s="240"/>
      <c r="EJ672" s="240"/>
      <c r="EK672" s="240"/>
      <c r="EL672" s="359"/>
      <c r="EM672" s="245"/>
      <c r="EN672" s="245"/>
      <c r="EO672" s="245"/>
      <c r="EP672" s="245"/>
      <c r="EQ672" s="254"/>
      <c r="ER672" s="851"/>
      <c r="ES672" s="851"/>
      <c r="ET672" s="851"/>
      <c r="EU672" s="852"/>
      <c r="EV672" s="852"/>
      <c r="EW672" s="852"/>
      <c r="EX672" s="852"/>
      <c r="EY672" s="852"/>
      <c r="EZ672" s="852"/>
      <c r="FA672" s="852"/>
      <c r="FB672" s="852"/>
      <c r="FC672" s="852"/>
      <c r="FD672" s="852"/>
      <c r="FE672" s="852"/>
      <c r="FF672" s="852"/>
      <c r="FG672" s="852"/>
      <c r="FH672" s="852"/>
      <c r="FI672" s="852"/>
      <c r="FJ672" s="852"/>
      <c r="FK672" s="852"/>
      <c r="FL672" s="852"/>
      <c r="FM672" s="852"/>
      <c r="FN672" s="852"/>
      <c r="FO672" s="852"/>
      <c r="FP672" s="852"/>
      <c r="FQ672" s="852"/>
      <c r="FR672" s="852"/>
      <c r="FS672" s="852"/>
      <c r="FT672" s="852"/>
      <c r="FU672" s="852"/>
      <c r="FV672" s="852"/>
      <c r="FW672" s="852"/>
      <c r="FX672" s="852"/>
      <c r="FY672" s="852"/>
      <c r="FZ672" s="852"/>
      <c r="GA672" s="852"/>
      <c r="GB672" s="852"/>
      <c r="GC672" s="852"/>
      <c r="GD672" s="852"/>
      <c r="GE672" s="852"/>
      <c r="GF672" s="852"/>
      <c r="GG672" s="193"/>
    </row>
    <row r="673" spans="2:189" s="243" customFormat="1" ht="11.45" hidden="1" customHeight="1">
      <c r="B673" s="244"/>
      <c r="C673" s="240"/>
      <c r="D673" s="240"/>
      <c r="E673" s="240" t="s">
        <v>1334</v>
      </c>
      <c r="F673" s="240"/>
      <c r="G673" s="240" t="s">
        <v>686</v>
      </c>
      <c r="H673" s="240"/>
      <c r="I673" s="240" t="s">
        <v>688</v>
      </c>
      <c r="J673" s="240"/>
      <c r="K673" s="240"/>
      <c r="L673" s="297"/>
      <c r="M673" s="297" t="s">
        <v>96</v>
      </c>
      <c r="N673" s="297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  <c r="AA673" s="240"/>
      <c r="AB673" s="240"/>
      <c r="AC673" s="240"/>
      <c r="AD673" s="240"/>
      <c r="AE673" s="240"/>
      <c r="AF673" s="240"/>
      <c r="AG673" s="240"/>
      <c r="AH673" s="240"/>
      <c r="AI673" s="240"/>
      <c r="AJ673" s="240"/>
      <c r="AK673" s="240"/>
      <c r="AL673" s="240"/>
      <c r="AM673" s="240"/>
      <c r="AN673" s="240"/>
      <c r="AO673" s="240"/>
      <c r="AP673" s="240"/>
      <c r="AQ673" s="240"/>
      <c r="AR673" s="240"/>
      <c r="AS673" s="240"/>
      <c r="AT673" s="240"/>
      <c r="AU673" s="240"/>
      <c r="AV673" s="240"/>
      <c r="AW673" s="240"/>
      <c r="AX673" s="240"/>
      <c r="AY673" s="240"/>
      <c r="AZ673" s="240"/>
      <c r="BA673" s="240"/>
      <c r="BB673" s="240"/>
      <c r="BC673" s="240"/>
      <c r="BD673" s="240"/>
      <c r="BE673" s="240"/>
      <c r="BF673" s="240"/>
      <c r="BG673" s="240"/>
      <c r="BH673" s="240"/>
      <c r="BI673" s="240"/>
      <c r="BJ673" s="240"/>
      <c r="BK673" s="240"/>
      <c r="BL673" s="240"/>
      <c r="BM673" s="240"/>
      <c r="BN673" s="240"/>
      <c r="BO673" s="240"/>
      <c r="BP673" s="240"/>
      <c r="BQ673" s="240"/>
      <c r="BR673" s="240"/>
      <c r="BS673" s="297"/>
      <c r="BT673" s="240"/>
      <c r="BU673" s="240"/>
      <c r="BV673" s="240"/>
      <c r="BW673" s="240"/>
      <c r="BX673" s="240"/>
      <c r="BY673" s="240"/>
      <c r="BZ673" s="240"/>
      <c r="CA673" s="240"/>
      <c r="CB673" s="240"/>
      <c r="CC673" s="240"/>
      <c r="CD673" s="240"/>
      <c r="CE673" s="240"/>
      <c r="CF673" s="240"/>
      <c r="CG673" s="240"/>
      <c r="CH673" s="240"/>
      <c r="CI673" s="240"/>
      <c r="CJ673" s="240"/>
      <c r="CK673" s="240"/>
      <c r="CL673" s="240"/>
      <c r="CM673" s="240"/>
      <c r="CN673" s="240"/>
      <c r="CO673" s="240"/>
      <c r="CP673" s="240"/>
      <c r="CQ673" s="240"/>
      <c r="CR673" s="240"/>
      <c r="CS673" s="240"/>
      <c r="CT673" s="240"/>
      <c r="CU673" s="240"/>
      <c r="CV673" s="240"/>
      <c r="CW673" s="240"/>
      <c r="CX673" s="240"/>
      <c r="CY673" s="240"/>
      <c r="CZ673" s="240"/>
      <c r="DA673" s="240"/>
      <c r="DB673" s="240"/>
      <c r="DC673" s="240"/>
      <c r="DD673" s="240"/>
      <c r="DE673" s="240"/>
      <c r="DF673" s="240"/>
      <c r="DG673" s="240"/>
      <c r="DH673" s="240"/>
      <c r="DI673" s="240"/>
      <c r="DJ673" s="240"/>
      <c r="DK673" s="240"/>
      <c r="DL673" s="240"/>
      <c r="DM673" s="240"/>
      <c r="DN673" s="240"/>
      <c r="DO673" s="240"/>
      <c r="DP673" s="240"/>
      <c r="DQ673" s="240"/>
      <c r="DR673" s="240"/>
      <c r="DS673" s="240"/>
      <c r="DT673" s="240"/>
      <c r="DU673" s="240"/>
      <c r="DV673" s="240"/>
      <c r="DW673" s="240"/>
      <c r="DX673" s="240"/>
      <c r="DY673" s="240"/>
      <c r="DZ673" s="240"/>
      <c r="EA673" s="240"/>
      <c r="EB673" s="240"/>
      <c r="EC673" s="240"/>
      <c r="ED673" s="240"/>
      <c r="EE673" s="240"/>
      <c r="EF673" s="240"/>
      <c r="EG673" s="240"/>
      <c r="EH673" s="240"/>
      <c r="EI673" s="240"/>
      <c r="EJ673" s="240"/>
      <c r="EK673" s="240"/>
      <c r="EL673" s="359"/>
      <c r="EM673" s="245"/>
      <c r="EN673" s="245"/>
      <c r="EO673" s="245"/>
      <c r="EP673" s="245"/>
      <c r="EQ673" s="254"/>
      <c r="ER673" s="240"/>
      <c r="ES673" s="240"/>
      <c r="ET673" s="240"/>
      <c r="EU673" s="241"/>
      <c r="EV673" s="241"/>
      <c r="EW673" s="241"/>
      <c r="EX673" s="241"/>
      <c r="EY673" s="241"/>
      <c r="EZ673" s="241"/>
      <c r="FA673" s="241"/>
      <c r="FB673" s="241"/>
      <c r="FC673" s="241"/>
      <c r="FD673" s="241"/>
      <c r="FE673" s="241"/>
      <c r="FF673" s="241"/>
      <c r="FG673" s="241"/>
      <c r="FH673" s="241"/>
      <c r="FI673" s="241"/>
      <c r="FJ673" s="241"/>
      <c r="FK673" s="241"/>
      <c r="FL673" s="241"/>
      <c r="FM673" s="241"/>
      <c r="FN673" s="241"/>
      <c r="FO673" s="241"/>
      <c r="FP673" s="241"/>
      <c r="FQ673" s="241"/>
      <c r="FR673" s="241"/>
      <c r="FS673" s="241"/>
      <c r="FT673" s="241"/>
      <c r="FU673" s="241"/>
      <c r="FV673" s="241"/>
      <c r="FW673" s="241"/>
      <c r="FX673" s="241"/>
      <c r="FY673" s="241"/>
      <c r="FZ673" s="241"/>
      <c r="GA673" s="241"/>
      <c r="GB673" s="241"/>
      <c r="GC673" s="241"/>
      <c r="GD673" s="241"/>
      <c r="GE673" s="241"/>
      <c r="GF673" s="241"/>
      <c r="GG673" s="193"/>
    </row>
    <row r="674" spans="2:189" s="243" customFormat="1" ht="11.45" hidden="1" customHeight="1">
      <c r="B674" s="244"/>
      <c r="C674" s="240"/>
      <c r="D674" s="240"/>
      <c r="E674" s="240"/>
      <c r="F674" s="240"/>
      <c r="G674" s="240"/>
      <c r="H674" s="240" t="s">
        <v>616</v>
      </c>
      <c r="I674" s="240"/>
      <c r="J674" s="240"/>
      <c r="K674" s="240"/>
      <c r="L674" s="297"/>
      <c r="M674" s="297"/>
      <c r="N674" s="297"/>
      <c r="O674" s="240" t="s">
        <v>132</v>
      </c>
      <c r="P674" s="240"/>
      <c r="Q674" s="240" t="e">
        <f>TEXT(EN655,"#,###.##")</f>
        <v>#REF!</v>
      </c>
      <c r="R674" s="240"/>
      <c r="S674" s="240"/>
      <c r="T674" s="240"/>
      <c r="U674" s="240"/>
      <c r="V674" s="240"/>
      <c r="W674" s="240" t="s">
        <v>130</v>
      </c>
      <c r="X674" s="240"/>
      <c r="Y674" s="240" t="e">
        <f>TEXT(EN661,"#,###.##")</f>
        <v>#REF!</v>
      </c>
      <c r="Z674" s="240"/>
      <c r="AA674" s="240"/>
      <c r="AD674" s="240" t="s">
        <v>130</v>
      </c>
      <c r="AE674" s="240"/>
      <c r="AF674" s="240" t="str">
        <f>TEXT(EN671,"#,###.##")</f>
        <v>709.</v>
      </c>
      <c r="AG674" s="240"/>
      <c r="AH674" s="240"/>
      <c r="AI674" s="240"/>
      <c r="AJ674" s="240"/>
      <c r="AK674" s="240"/>
      <c r="AL674" s="240" t="s">
        <v>134</v>
      </c>
      <c r="AM674" s="240"/>
      <c r="AN674" s="240"/>
      <c r="AO674" s="240" t="e">
        <f>TEXT(TRUNC(EN655+EN661+EN671,1),"#,##0.#")</f>
        <v>#REF!</v>
      </c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97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0"/>
      <c r="DW674" s="240"/>
      <c r="DX674" s="240"/>
      <c r="DY674" s="240"/>
      <c r="DZ674" s="240"/>
      <c r="EA674" s="240"/>
      <c r="EB674" s="240"/>
      <c r="EC674" s="240"/>
      <c r="ED674" s="240"/>
      <c r="EE674" s="240"/>
      <c r="EF674" s="240"/>
      <c r="EG674" s="240"/>
      <c r="EH674" s="240"/>
      <c r="EI674" s="240"/>
      <c r="EJ674" s="240"/>
      <c r="EK674" s="240"/>
      <c r="EL674" s="359"/>
      <c r="EM674" s="245"/>
      <c r="EN674" s="245"/>
      <c r="EO674" s="245"/>
      <c r="EP674" s="245"/>
      <c r="EQ674" s="254"/>
      <c r="ER674" s="240"/>
      <c r="ES674" s="240"/>
      <c r="ET674" s="240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193"/>
    </row>
    <row r="675" spans="2:189" s="243" customFormat="1" ht="11.45" hidden="1" customHeight="1">
      <c r="B675" s="244"/>
      <c r="C675" s="240"/>
      <c r="D675" s="240"/>
      <c r="E675" s="240"/>
      <c r="F675" s="240"/>
      <c r="G675" s="240"/>
      <c r="H675" s="240" t="s">
        <v>617</v>
      </c>
      <c r="I675" s="240"/>
      <c r="J675" s="240"/>
      <c r="K675" s="240"/>
      <c r="L675" s="297"/>
      <c r="M675" s="297"/>
      <c r="N675" s="297"/>
      <c r="O675" s="240" t="s">
        <v>132</v>
      </c>
      <c r="P675" s="240"/>
      <c r="Q675" s="240" t="e">
        <f>TEXT(EO655,"#,###.##")</f>
        <v>#REF!</v>
      </c>
      <c r="R675" s="240"/>
      <c r="S675" s="240"/>
      <c r="T675" s="240"/>
      <c r="U675" s="240"/>
      <c r="V675" s="240"/>
      <c r="W675" s="240" t="s">
        <v>130</v>
      </c>
      <c r="X675" s="240"/>
      <c r="Y675" s="240" t="e">
        <f>TEXT(EO661,"#,###.##")</f>
        <v>#REF!</v>
      </c>
      <c r="Z675" s="240"/>
      <c r="AA675" s="240"/>
      <c r="AB675" s="240"/>
      <c r="AC675" s="240"/>
      <c r="AD675" s="240" t="s">
        <v>130</v>
      </c>
      <c r="AE675" s="240"/>
      <c r="AF675" s="240" t="e">
        <f>TEXT(EO666,"#,###.##")</f>
        <v>#REF!</v>
      </c>
      <c r="AG675" s="240"/>
      <c r="AH675" s="240"/>
      <c r="AL675" s="240" t="s">
        <v>134</v>
      </c>
      <c r="AM675" s="240"/>
      <c r="AN675" s="240"/>
      <c r="AO675" s="240" t="e">
        <f>TEXT(TRUNC(EO655+EO661+EO666,1),"#,##0.#")</f>
        <v>#REF!</v>
      </c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97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0"/>
      <c r="DW675" s="240"/>
      <c r="DX675" s="240"/>
      <c r="DY675" s="240"/>
      <c r="DZ675" s="240"/>
      <c r="EA675" s="240"/>
      <c r="EB675" s="240"/>
      <c r="EC675" s="240"/>
      <c r="ED675" s="240"/>
      <c r="EE675" s="240"/>
      <c r="EF675" s="240"/>
      <c r="EG675" s="240"/>
      <c r="EH675" s="240"/>
      <c r="EI675" s="240"/>
      <c r="EJ675" s="240"/>
      <c r="EK675" s="240"/>
      <c r="EL675" s="359"/>
      <c r="EM675" s="245"/>
      <c r="EN675" s="245"/>
      <c r="EO675" s="245"/>
      <c r="EP675" s="245"/>
      <c r="EQ675" s="254"/>
      <c r="ER675" s="240"/>
      <c r="ES675" s="240"/>
      <c r="ET675" s="240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193"/>
    </row>
    <row r="676" spans="2:189" s="243" customFormat="1" ht="11.45" hidden="1" customHeight="1">
      <c r="B676" s="244"/>
      <c r="C676" s="240"/>
      <c r="D676" s="240"/>
      <c r="E676" s="240"/>
      <c r="F676" s="240"/>
      <c r="G676" s="240"/>
      <c r="H676" s="240" t="s">
        <v>679</v>
      </c>
      <c r="I676" s="240"/>
      <c r="J676" s="240"/>
      <c r="K676" s="240"/>
      <c r="L676" s="297" t="s">
        <v>680</v>
      </c>
      <c r="M676" s="297"/>
      <c r="N676" s="297"/>
      <c r="O676" s="240" t="s">
        <v>132</v>
      </c>
      <c r="P676" s="240"/>
      <c r="Q676" s="240" t="str">
        <f>EP655</f>
        <v>28.4</v>
      </c>
      <c r="R676" s="240"/>
      <c r="S676" s="240"/>
      <c r="T676" s="240"/>
      <c r="U676" s="240"/>
      <c r="V676" s="240" t="s">
        <v>130</v>
      </c>
      <c r="W676" s="240"/>
      <c r="X676" s="240" t="e">
        <f>TEXT(EP661,"#,###.##")</f>
        <v>#REF!</v>
      </c>
      <c r="Y676" s="240"/>
      <c r="Z676" s="240"/>
      <c r="AD676" s="240" t="s">
        <v>134</v>
      </c>
      <c r="AE676" s="240"/>
      <c r="AF676" s="240"/>
      <c r="AG676" s="240" t="e">
        <f>TEXT(TRUNC(EP655+EP661,1),"#,##0.#")</f>
        <v>#REF!</v>
      </c>
      <c r="AH676" s="240"/>
      <c r="AI676" s="240"/>
      <c r="AJ676" s="240"/>
      <c r="AK676" s="240"/>
      <c r="AL676" s="240"/>
      <c r="AM676" s="240"/>
      <c r="AN676" s="240"/>
      <c r="AO676" s="240"/>
      <c r="AP676" s="240"/>
      <c r="AQ676" s="240"/>
      <c r="AR676" s="240"/>
      <c r="AS676" s="240"/>
      <c r="AT676" s="240"/>
      <c r="AU676" s="240"/>
      <c r="AV676" s="240"/>
      <c r="AW676" s="240"/>
      <c r="AX676" s="240"/>
      <c r="AY676" s="240"/>
      <c r="AZ676" s="240"/>
      <c r="BA676" s="240"/>
      <c r="BB676" s="240"/>
      <c r="BC676" s="240"/>
      <c r="BD676" s="240"/>
      <c r="BE676" s="240"/>
      <c r="BF676" s="240"/>
      <c r="BG676" s="240"/>
      <c r="BH676" s="240"/>
      <c r="BI676" s="240"/>
      <c r="BJ676" s="240"/>
      <c r="BK676" s="240"/>
      <c r="BL676" s="240"/>
      <c r="BM676" s="240"/>
      <c r="BN676" s="240"/>
      <c r="BO676" s="240"/>
      <c r="BP676" s="240"/>
      <c r="BQ676" s="240"/>
      <c r="BR676" s="240"/>
      <c r="BS676" s="297"/>
      <c r="BT676" s="240"/>
      <c r="BU676" s="240"/>
      <c r="BV676" s="240"/>
      <c r="BW676" s="240"/>
      <c r="BX676" s="240"/>
      <c r="BY676" s="240"/>
      <c r="BZ676" s="240"/>
      <c r="CA676" s="240"/>
      <c r="CB676" s="240"/>
      <c r="CC676" s="240"/>
      <c r="CD676" s="240"/>
      <c r="CE676" s="240"/>
      <c r="CF676" s="240"/>
      <c r="CG676" s="240"/>
      <c r="CH676" s="240"/>
      <c r="CI676" s="240"/>
      <c r="CJ676" s="240"/>
      <c r="CK676" s="240"/>
      <c r="CL676" s="240"/>
      <c r="CM676" s="240"/>
      <c r="CN676" s="240"/>
      <c r="CO676" s="240"/>
      <c r="CP676" s="240"/>
      <c r="CQ676" s="240"/>
      <c r="CR676" s="240"/>
      <c r="CS676" s="240"/>
      <c r="CT676" s="240"/>
      <c r="CU676" s="240"/>
      <c r="CV676" s="240"/>
      <c r="CW676" s="240"/>
      <c r="CX676" s="240"/>
      <c r="CY676" s="240"/>
      <c r="CZ676" s="240"/>
      <c r="DA676" s="240"/>
      <c r="DB676" s="240"/>
      <c r="DC676" s="240"/>
      <c r="DD676" s="240"/>
      <c r="DE676" s="240"/>
      <c r="DF676" s="240"/>
      <c r="DG676" s="240"/>
      <c r="DH676" s="240"/>
      <c r="DI676" s="240"/>
      <c r="DJ676" s="240"/>
      <c r="DK676" s="240"/>
      <c r="DL676" s="240"/>
      <c r="DM676" s="240"/>
      <c r="DN676" s="240"/>
      <c r="DO676" s="240"/>
      <c r="DP676" s="240"/>
      <c r="DQ676" s="240"/>
      <c r="DR676" s="240"/>
      <c r="DS676" s="240"/>
      <c r="DT676" s="240"/>
      <c r="DU676" s="240"/>
      <c r="DV676" s="240"/>
      <c r="DW676" s="240"/>
      <c r="DX676" s="240"/>
      <c r="DY676" s="240"/>
      <c r="DZ676" s="240"/>
      <c r="EA676" s="240"/>
      <c r="EB676" s="240"/>
      <c r="EC676" s="240"/>
      <c r="ED676" s="240"/>
      <c r="EE676" s="240"/>
      <c r="EF676" s="240"/>
      <c r="EG676" s="240"/>
      <c r="EH676" s="240"/>
      <c r="EI676" s="240"/>
      <c r="EJ676" s="240"/>
      <c r="EK676" s="240"/>
      <c r="EL676" s="359"/>
      <c r="EM676" s="245"/>
      <c r="EN676" s="245"/>
      <c r="EO676" s="245"/>
      <c r="EP676" s="245"/>
      <c r="EQ676" s="254"/>
      <c r="ER676" s="240"/>
      <c r="ES676" s="240"/>
      <c r="ET676" s="240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193"/>
    </row>
    <row r="677" spans="2:189" s="243" customFormat="1" ht="11.25" hidden="1" customHeight="1">
      <c r="B677" s="244"/>
      <c r="C677" s="240"/>
      <c r="D677" s="240"/>
      <c r="E677" s="240"/>
      <c r="F677" s="240"/>
      <c r="G677" s="240"/>
      <c r="H677" s="240"/>
      <c r="I677" s="240"/>
      <c r="J677" s="240" t="s">
        <v>96</v>
      </c>
      <c r="K677" s="240"/>
      <c r="L677" s="297"/>
      <c r="M677" s="297"/>
      <c r="N677" s="297"/>
      <c r="O677" s="240" t="s">
        <v>132</v>
      </c>
      <c r="P677" s="240"/>
      <c r="Q677" s="240"/>
      <c r="R677" s="240" t="e">
        <f>TEXT(AO674+AO675+AG676,"#,##0.#######")</f>
        <v>#REF!</v>
      </c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97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0"/>
      <c r="DW677" s="240"/>
      <c r="DX677" s="240"/>
      <c r="DY677" s="240"/>
      <c r="DZ677" s="240"/>
      <c r="EA677" s="240"/>
      <c r="EB677" s="240"/>
      <c r="EC677" s="240"/>
      <c r="ED677" s="240"/>
      <c r="EE677" s="240"/>
      <c r="EF677" s="240"/>
      <c r="EG677" s="240"/>
      <c r="EH677" s="240"/>
      <c r="EI677" s="240"/>
      <c r="EJ677" s="240"/>
      <c r="EK677" s="240"/>
      <c r="EL677" s="359"/>
      <c r="EM677" s="245" t="e">
        <f>EN677+EO677+EP677</f>
        <v>#REF!</v>
      </c>
      <c r="EN677" s="245" t="e">
        <f>TEXT(AO674,"#,###.0")</f>
        <v>#REF!</v>
      </c>
      <c r="EO677" s="245" t="e">
        <f>TEXT(AO675,"#,###.0")</f>
        <v>#REF!</v>
      </c>
      <c r="EP677" s="245" t="e">
        <f>TEXT(AG676,"#,###.0")</f>
        <v>#REF!</v>
      </c>
      <c r="EQ677" s="254"/>
      <c r="ER677" s="240"/>
      <c r="ES677" s="240"/>
      <c r="ET677" s="240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193"/>
    </row>
    <row r="678" spans="2:189" s="243" customFormat="1" ht="11.25" hidden="1" customHeight="1">
      <c r="B678" s="244"/>
      <c r="C678" s="240"/>
      <c r="D678" s="240"/>
      <c r="E678" s="240"/>
      <c r="F678" s="240"/>
      <c r="G678" s="240"/>
      <c r="H678" s="240"/>
      <c r="I678" s="240"/>
      <c r="J678" s="240"/>
      <c r="K678" s="240"/>
      <c r="L678" s="297"/>
      <c r="M678" s="297"/>
      <c r="N678" s="297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97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0"/>
      <c r="DW678" s="240"/>
      <c r="DX678" s="240"/>
      <c r="DY678" s="240"/>
      <c r="DZ678" s="240"/>
      <c r="EA678" s="240"/>
      <c r="EB678" s="240"/>
      <c r="EC678" s="240"/>
      <c r="ED678" s="240"/>
      <c r="EE678" s="240"/>
      <c r="EF678" s="240"/>
      <c r="EG678" s="240"/>
      <c r="EH678" s="240"/>
      <c r="EI678" s="240"/>
      <c r="EJ678" s="240"/>
      <c r="EK678" s="240"/>
      <c r="EL678" s="359"/>
      <c r="EM678" s="245"/>
      <c r="EN678" s="245"/>
      <c r="EO678" s="245"/>
      <c r="EP678" s="245"/>
      <c r="EQ678" s="254"/>
      <c r="ER678" s="240"/>
      <c r="ES678" s="240"/>
      <c r="ET678" s="240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193"/>
    </row>
    <row r="679" spans="2:189" s="243" customFormat="1" ht="11.25" hidden="1" customHeight="1">
      <c r="B679" s="244"/>
      <c r="C679" s="240"/>
      <c r="D679" s="240"/>
      <c r="E679" s="240"/>
      <c r="F679" s="240"/>
      <c r="G679" s="240"/>
      <c r="H679" s="240"/>
      <c r="I679" s="240"/>
      <c r="J679" s="240"/>
      <c r="K679" s="240"/>
      <c r="L679" s="297"/>
      <c r="M679" s="297"/>
      <c r="N679" s="297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  <c r="AA679" s="240"/>
      <c r="AB679" s="240"/>
      <c r="AC679" s="240"/>
      <c r="AD679" s="240"/>
      <c r="AE679" s="240"/>
      <c r="AF679" s="240"/>
      <c r="AG679" s="240"/>
      <c r="AH679" s="240"/>
      <c r="AI679" s="240"/>
      <c r="AJ679" s="240"/>
      <c r="AK679" s="240"/>
      <c r="AL679" s="240"/>
      <c r="AM679" s="240"/>
      <c r="AN679" s="240"/>
      <c r="AO679" s="240"/>
      <c r="AP679" s="240"/>
      <c r="AQ679" s="240"/>
      <c r="AR679" s="240"/>
      <c r="AS679" s="240"/>
      <c r="AT679" s="240"/>
      <c r="AU679" s="240"/>
      <c r="AV679" s="240"/>
      <c r="AW679" s="240"/>
      <c r="AX679" s="240"/>
      <c r="AY679" s="240"/>
      <c r="AZ679" s="240"/>
      <c r="BA679" s="240"/>
      <c r="BB679" s="240"/>
      <c r="BC679" s="240"/>
      <c r="BD679" s="240"/>
      <c r="BE679" s="240"/>
      <c r="BF679" s="240"/>
      <c r="BG679" s="240"/>
      <c r="BH679" s="240"/>
      <c r="BI679" s="240"/>
      <c r="BJ679" s="240"/>
      <c r="BK679" s="240"/>
      <c r="BL679" s="240"/>
      <c r="BM679" s="240"/>
      <c r="BN679" s="240"/>
      <c r="BO679" s="240"/>
      <c r="BP679" s="240"/>
      <c r="BQ679" s="240"/>
      <c r="BR679" s="240"/>
      <c r="BS679" s="297"/>
      <c r="BT679" s="240"/>
      <c r="BU679" s="240"/>
      <c r="BV679" s="240"/>
      <c r="BW679" s="240"/>
      <c r="BX679" s="240"/>
      <c r="BY679" s="240"/>
      <c r="BZ679" s="240"/>
      <c r="CA679" s="240"/>
      <c r="CB679" s="240"/>
      <c r="CC679" s="240"/>
      <c r="CD679" s="240"/>
      <c r="CE679" s="240"/>
      <c r="CF679" s="240"/>
      <c r="CG679" s="240"/>
      <c r="CH679" s="240"/>
      <c r="CI679" s="240"/>
      <c r="CJ679" s="240"/>
      <c r="CK679" s="240"/>
      <c r="CL679" s="240"/>
      <c r="CM679" s="240"/>
      <c r="CN679" s="240"/>
      <c r="CO679" s="240"/>
      <c r="CP679" s="240"/>
      <c r="CQ679" s="240"/>
      <c r="CR679" s="240"/>
      <c r="CS679" s="240"/>
      <c r="CT679" s="240"/>
      <c r="CU679" s="240"/>
      <c r="CV679" s="240"/>
      <c r="CW679" s="240"/>
      <c r="CX679" s="240"/>
      <c r="CY679" s="240"/>
      <c r="CZ679" s="240"/>
      <c r="DA679" s="240"/>
      <c r="DB679" s="240"/>
      <c r="DC679" s="240"/>
      <c r="DD679" s="240"/>
      <c r="DE679" s="240"/>
      <c r="DF679" s="240"/>
      <c r="DG679" s="240"/>
      <c r="DH679" s="240"/>
      <c r="DI679" s="240"/>
      <c r="DJ679" s="240"/>
      <c r="DK679" s="240"/>
      <c r="DL679" s="240"/>
      <c r="DM679" s="240"/>
      <c r="DN679" s="240"/>
      <c r="DO679" s="240"/>
      <c r="DP679" s="240"/>
      <c r="DQ679" s="240"/>
      <c r="DR679" s="240"/>
      <c r="DS679" s="240"/>
      <c r="DT679" s="240"/>
      <c r="DU679" s="240"/>
      <c r="DV679" s="240"/>
      <c r="DW679" s="240"/>
      <c r="DX679" s="240"/>
      <c r="DY679" s="240"/>
      <c r="DZ679" s="240"/>
      <c r="EA679" s="240"/>
      <c r="EB679" s="240"/>
      <c r="EC679" s="240"/>
      <c r="ED679" s="240"/>
      <c r="EE679" s="240"/>
      <c r="EF679" s="240"/>
      <c r="EG679" s="240"/>
      <c r="EH679" s="240"/>
      <c r="EI679" s="240"/>
      <c r="EJ679" s="240"/>
      <c r="EK679" s="240"/>
      <c r="EL679" s="359"/>
      <c r="EM679" s="245"/>
      <c r="EN679" s="245"/>
      <c r="EO679" s="245"/>
      <c r="EP679" s="245"/>
      <c r="EQ679" s="254"/>
      <c r="ER679" s="240"/>
      <c r="ES679" s="240"/>
      <c r="ET679" s="240"/>
      <c r="EU679" s="241"/>
      <c r="EV679" s="241"/>
      <c r="EW679" s="241"/>
      <c r="EX679" s="241"/>
      <c r="EY679" s="241"/>
      <c r="EZ679" s="241"/>
      <c r="FA679" s="241"/>
      <c r="FB679" s="241"/>
      <c r="FC679" s="241"/>
      <c r="FD679" s="241"/>
      <c r="FE679" s="241"/>
      <c r="FF679" s="241"/>
      <c r="FG679" s="241"/>
      <c r="FH679" s="241"/>
      <c r="FI679" s="241"/>
      <c r="FJ679" s="241"/>
      <c r="FK679" s="241"/>
      <c r="FL679" s="241"/>
      <c r="FM679" s="241"/>
      <c r="FN679" s="241"/>
      <c r="FO679" s="241"/>
      <c r="FP679" s="241"/>
      <c r="FQ679" s="241"/>
      <c r="FR679" s="241"/>
      <c r="FS679" s="241"/>
      <c r="FT679" s="241"/>
      <c r="FU679" s="241"/>
      <c r="FV679" s="241"/>
      <c r="FW679" s="241"/>
      <c r="FX679" s="241"/>
      <c r="FY679" s="241"/>
      <c r="FZ679" s="241"/>
      <c r="GA679" s="241"/>
      <c r="GB679" s="241"/>
      <c r="GC679" s="241"/>
      <c r="GD679" s="241"/>
      <c r="GE679" s="241"/>
      <c r="GF679" s="241"/>
      <c r="GG679" s="193"/>
    </row>
    <row r="680" spans="2:189" s="243" customFormat="1" ht="11.25" hidden="1" customHeight="1">
      <c r="B680" s="244"/>
      <c r="C680" s="240"/>
      <c r="D680" s="240"/>
      <c r="E680" s="240"/>
      <c r="F680" s="240"/>
      <c r="G680" s="240"/>
      <c r="H680" s="240"/>
      <c r="I680" s="240"/>
      <c r="J680" s="240"/>
      <c r="K680" s="240"/>
      <c r="L680" s="297"/>
      <c r="M680" s="297"/>
      <c r="N680" s="297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97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0"/>
      <c r="DW680" s="240"/>
      <c r="DX680" s="240"/>
      <c r="DY680" s="240"/>
      <c r="DZ680" s="240"/>
      <c r="EA680" s="240"/>
      <c r="EB680" s="240"/>
      <c r="EC680" s="240"/>
      <c r="ED680" s="240"/>
      <c r="EE680" s="240"/>
      <c r="EF680" s="240"/>
      <c r="EG680" s="240"/>
      <c r="EH680" s="240"/>
      <c r="EI680" s="240"/>
      <c r="EJ680" s="240"/>
      <c r="EK680" s="240"/>
      <c r="EL680" s="359"/>
      <c r="EM680" s="245"/>
      <c r="EN680" s="245"/>
      <c r="EO680" s="245"/>
      <c r="EP680" s="245"/>
      <c r="EQ680" s="254"/>
      <c r="ER680" s="240"/>
      <c r="ES680" s="240"/>
      <c r="ET680" s="240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193"/>
    </row>
    <row r="681" spans="2:189" s="243" customFormat="1" ht="11.25" hidden="1" customHeight="1">
      <c r="B681" s="244"/>
      <c r="C681" s="240"/>
      <c r="D681" s="240"/>
      <c r="E681" s="240"/>
      <c r="F681" s="240"/>
      <c r="G681" s="240"/>
      <c r="H681" s="240"/>
      <c r="I681" s="240"/>
      <c r="J681" s="240"/>
      <c r="K681" s="240"/>
      <c r="L681" s="297"/>
      <c r="M681" s="297"/>
      <c r="N681" s="297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97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0"/>
      <c r="DW681" s="240"/>
      <c r="DX681" s="240"/>
      <c r="DY681" s="240"/>
      <c r="DZ681" s="240"/>
      <c r="EA681" s="240"/>
      <c r="EB681" s="240"/>
      <c r="EC681" s="240"/>
      <c r="ED681" s="240"/>
      <c r="EE681" s="240"/>
      <c r="EF681" s="240"/>
      <c r="EG681" s="240"/>
      <c r="EH681" s="240"/>
      <c r="EI681" s="240"/>
      <c r="EJ681" s="240"/>
      <c r="EK681" s="240"/>
      <c r="EL681" s="359"/>
      <c r="EM681" s="245"/>
      <c r="EN681" s="245"/>
      <c r="EO681" s="245"/>
      <c r="EP681" s="245"/>
      <c r="EQ681" s="254"/>
      <c r="ER681" s="240"/>
      <c r="ES681" s="240"/>
      <c r="ET681" s="240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193"/>
    </row>
    <row r="682" spans="2:189" s="243" customFormat="1" ht="11.25" hidden="1" customHeight="1">
      <c r="B682" s="244"/>
      <c r="C682" s="240"/>
      <c r="D682" s="240"/>
      <c r="E682" s="240"/>
      <c r="F682" s="240"/>
      <c r="G682" s="240"/>
      <c r="H682" s="240"/>
      <c r="I682" s="240"/>
      <c r="J682" s="240"/>
      <c r="K682" s="240"/>
      <c r="L682" s="297"/>
      <c r="M682" s="297"/>
      <c r="N682" s="297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97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0"/>
      <c r="DW682" s="240"/>
      <c r="DX682" s="240"/>
      <c r="DY682" s="240"/>
      <c r="DZ682" s="240"/>
      <c r="EA682" s="240"/>
      <c r="EB682" s="240"/>
      <c r="EC682" s="240"/>
      <c r="ED682" s="240"/>
      <c r="EE682" s="240"/>
      <c r="EF682" s="240"/>
      <c r="EG682" s="240"/>
      <c r="EH682" s="240"/>
      <c r="EI682" s="240"/>
      <c r="EJ682" s="240"/>
      <c r="EK682" s="240"/>
      <c r="EL682" s="359"/>
      <c r="EM682" s="245"/>
      <c r="EN682" s="245"/>
      <c r="EO682" s="245"/>
      <c r="EP682" s="245"/>
      <c r="EQ682" s="254"/>
      <c r="ER682" s="240"/>
      <c r="ES682" s="240"/>
      <c r="ET682" s="240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193"/>
    </row>
    <row r="683" spans="2:189" s="243" customFormat="1" ht="11.25" hidden="1" customHeight="1">
      <c r="B683" s="244"/>
      <c r="C683" s="240"/>
      <c r="D683" s="240"/>
      <c r="E683" s="240"/>
      <c r="F683" s="240"/>
      <c r="G683" s="240"/>
      <c r="H683" s="240"/>
      <c r="I683" s="240"/>
      <c r="J683" s="240"/>
      <c r="K683" s="240"/>
      <c r="L683" s="297"/>
      <c r="M683" s="297"/>
      <c r="N683" s="297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97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0"/>
      <c r="DW683" s="240"/>
      <c r="DX683" s="240"/>
      <c r="DY683" s="240"/>
      <c r="DZ683" s="240"/>
      <c r="EA683" s="240"/>
      <c r="EB683" s="240"/>
      <c r="EC683" s="240"/>
      <c r="ED683" s="240"/>
      <c r="EE683" s="240"/>
      <c r="EF683" s="240"/>
      <c r="EG683" s="240"/>
      <c r="EH683" s="240"/>
      <c r="EI683" s="240"/>
      <c r="EJ683" s="240"/>
      <c r="EK683" s="240"/>
      <c r="EL683" s="359"/>
      <c r="EM683" s="245"/>
      <c r="EN683" s="245"/>
      <c r="EO683" s="245"/>
      <c r="EP683" s="245"/>
      <c r="EQ683" s="254"/>
      <c r="ER683" s="240"/>
      <c r="ES683" s="240"/>
      <c r="ET683" s="240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193"/>
    </row>
    <row r="684" spans="2:189" s="243" customFormat="1" ht="11.25" hidden="1" customHeight="1">
      <c r="B684" s="244"/>
      <c r="C684" s="240"/>
      <c r="D684" s="240"/>
      <c r="E684" s="240"/>
      <c r="F684" s="240"/>
      <c r="G684" s="240"/>
      <c r="H684" s="240"/>
      <c r="I684" s="240"/>
      <c r="J684" s="240"/>
      <c r="K684" s="240"/>
      <c r="L684" s="297"/>
      <c r="M684" s="297"/>
      <c r="N684" s="297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97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0"/>
      <c r="DW684" s="240"/>
      <c r="DX684" s="240"/>
      <c r="DY684" s="240"/>
      <c r="DZ684" s="240"/>
      <c r="EA684" s="240"/>
      <c r="EB684" s="240"/>
      <c r="EC684" s="240"/>
      <c r="ED684" s="240"/>
      <c r="EE684" s="240"/>
      <c r="EF684" s="240"/>
      <c r="EG684" s="240"/>
      <c r="EH684" s="240"/>
      <c r="EI684" s="240"/>
      <c r="EJ684" s="240"/>
      <c r="EK684" s="240"/>
      <c r="EL684" s="359"/>
      <c r="EM684" s="245"/>
      <c r="EN684" s="245"/>
      <c r="EO684" s="245"/>
      <c r="EP684" s="245"/>
      <c r="EQ684" s="254"/>
      <c r="ER684" s="240"/>
      <c r="ES684" s="240"/>
      <c r="ET684" s="240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193"/>
    </row>
    <row r="685" spans="2:189" s="243" customFormat="1" ht="11.25" hidden="1" customHeight="1">
      <c r="B685" s="244"/>
      <c r="C685" s="240"/>
      <c r="D685" s="240"/>
      <c r="E685" s="240"/>
      <c r="F685" s="240"/>
      <c r="G685" s="240"/>
      <c r="H685" s="240"/>
      <c r="I685" s="240"/>
      <c r="J685" s="240"/>
      <c r="K685" s="240"/>
      <c r="L685" s="297"/>
      <c r="M685" s="297"/>
      <c r="N685" s="297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97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0"/>
      <c r="DW685" s="240"/>
      <c r="DX685" s="240"/>
      <c r="DY685" s="240"/>
      <c r="DZ685" s="240"/>
      <c r="EA685" s="240"/>
      <c r="EB685" s="240"/>
      <c r="EC685" s="240"/>
      <c r="ED685" s="240"/>
      <c r="EE685" s="240"/>
      <c r="EF685" s="240"/>
      <c r="EG685" s="240"/>
      <c r="EH685" s="240"/>
      <c r="EI685" s="240"/>
      <c r="EJ685" s="240"/>
      <c r="EK685" s="240"/>
      <c r="EL685" s="359"/>
      <c r="EM685" s="245"/>
      <c r="EN685" s="245"/>
      <c r="EO685" s="245"/>
      <c r="EP685" s="245"/>
      <c r="EQ685" s="254"/>
      <c r="ER685" s="240"/>
      <c r="ES685" s="240"/>
      <c r="ET685" s="240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193"/>
    </row>
    <row r="686" spans="2:189" s="243" customFormat="1" ht="11.25" hidden="1" customHeight="1">
      <c r="B686" s="244"/>
      <c r="C686" s="240"/>
      <c r="D686" s="240"/>
      <c r="E686" s="240"/>
      <c r="F686" s="240"/>
      <c r="G686" s="240"/>
      <c r="H686" s="240"/>
      <c r="I686" s="240"/>
      <c r="J686" s="240"/>
      <c r="K686" s="240"/>
      <c r="L686" s="297"/>
      <c r="M686" s="297"/>
      <c r="N686" s="297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97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0"/>
      <c r="DW686" s="240"/>
      <c r="DX686" s="240"/>
      <c r="DY686" s="240"/>
      <c r="DZ686" s="240"/>
      <c r="EA686" s="240"/>
      <c r="EB686" s="240"/>
      <c r="EC686" s="240"/>
      <c r="ED686" s="240"/>
      <c r="EE686" s="240"/>
      <c r="EF686" s="240"/>
      <c r="EG686" s="240"/>
      <c r="EH686" s="240"/>
      <c r="EI686" s="240"/>
      <c r="EJ686" s="240"/>
      <c r="EK686" s="240"/>
      <c r="EL686" s="359"/>
      <c r="EM686" s="245"/>
      <c r="EN686" s="245"/>
      <c r="EO686" s="245"/>
      <c r="EP686" s="245"/>
      <c r="EQ686" s="254"/>
      <c r="ER686" s="240"/>
      <c r="ES686" s="240"/>
      <c r="ET686" s="240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193"/>
    </row>
    <row r="687" spans="2:189" s="243" customFormat="1" ht="11.25" hidden="1" customHeight="1">
      <c r="B687" s="244"/>
      <c r="C687" s="240"/>
      <c r="D687" s="240"/>
      <c r="E687" s="240"/>
      <c r="F687" s="240"/>
      <c r="G687" s="240"/>
      <c r="H687" s="240"/>
      <c r="I687" s="240"/>
      <c r="J687" s="240"/>
      <c r="K687" s="240"/>
      <c r="L687" s="297"/>
      <c r="M687" s="297"/>
      <c r="N687" s="297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97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0"/>
      <c r="DW687" s="240"/>
      <c r="DX687" s="240"/>
      <c r="DY687" s="240"/>
      <c r="DZ687" s="240"/>
      <c r="EA687" s="240"/>
      <c r="EB687" s="240"/>
      <c r="EC687" s="240"/>
      <c r="ED687" s="240"/>
      <c r="EE687" s="240"/>
      <c r="EF687" s="240"/>
      <c r="EG687" s="240"/>
      <c r="EH687" s="240"/>
      <c r="EI687" s="240"/>
      <c r="EJ687" s="240"/>
      <c r="EK687" s="240"/>
      <c r="EL687" s="359"/>
      <c r="EM687" s="245"/>
      <c r="EN687" s="245"/>
      <c r="EO687" s="245"/>
      <c r="EP687" s="245"/>
      <c r="EQ687" s="254"/>
      <c r="ER687" s="240"/>
      <c r="ES687" s="240"/>
      <c r="ET687" s="240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193"/>
    </row>
    <row r="688" spans="2:189" s="243" customFormat="1" ht="11.25" hidden="1" customHeight="1">
      <c r="B688" s="244"/>
      <c r="C688" s="240"/>
      <c r="D688" s="240"/>
      <c r="E688" s="240"/>
      <c r="F688" s="240"/>
      <c r="G688" s="240"/>
      <c r="H688" s="240"/>
      <c r="I688" s="240"/>
      <c r="J688" s="240"/>
      <c r="K688" s="240"/>
      <c r="L688" s="297"/>
      <c r="M688" s="297"/>
      <c r="N688" s="297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97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0"/>
      <c r="DW688" s="240"/>
      <c r="DX688" s="240"/>
      <c r="DY688" s="240"/>
      <c r="DZ688" s="240"/>
      <c r="EA688" s="240"/>
      <c r="EB688" s="240"/>
      <c r="EC688" s="240"/>
      <c r="ED688" s="240"/>
      <c r="EE688" s="240"/>
      <c r="EF688" s="240"/>
      <c r="EG688" s="240"/>
      <c r="EH688" s="240"/>
      <c r="EI688" s="240"/>
      <c r="EJ688" s="240"/>
      <c r="EK688" s="240"/>
      <c r="EL688" s="359"/>
      <c r="EM688" s="245"/>
      <c r="EN688" s="245"/>
      <c r="EO688" s="245"/>
      <c r="EP688" s="245"/>
      <c r="EQ688" s="254"/>
      <c r="ER688" s="240"/>
      <c r="ES688" s="240"/>
      <c r="ET688" s="240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193"/>
    </row>
    <row r="689" spans="2:189" s="243" customFormat="1" ht="11.25" hidden="1" customHeight="1">
      <c r="B689" s="244"/>
      <c r="C689" s="240"/>
      <c r="D689" s="240"/>
      <c r="E689" s="240"/>
      <c r="F689" s="240"/>
      <c r="G689" s="240"/>
      <c r="H689" s="240"/>
      <c r="I689" s="240"/>
      <c r="J689" s="240"/>
      <c r="K689" s="240"/>
      <c r="L689" s="297"/>
      <c r="M689" s="297"/>
      <c r="N689" s="297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97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0"/>
      <c r="DW689" s="240"/>
      <c r="DX689" s="240"/>
      <c r="DY689" s="240"/>
      <c r="DZ689" s="240"/>
      <c r="EA689" s="240"/>
      <c r="EB689" s="240"/>
      <c r="EC689" s="240"/>
      <c r="ED689" s="240"/>
      <c r="EE689" s="240"/>
      <c r="EF689" s="240"/>
      <c r="EG689" s="240"/>
      <c r="EH689" s="240"/>
      <c r="EI689" s="240"/>
      <c r="EJ689" s="240"/>
      <c r="EK689" s="240"/>
      <c r="EL689" s="359"/>
      <c r="EM689" s="245"/>
      <c r="EN689" s="245"/>
      <c r="EO689" s="245"/>
      <c r="EP689" s="245"/>
      <c r="EQ689" s="254"/>
      <c r="ER689" s="240"/>
      <c r="ES689" s="240"/>
      <c r="ET689" s="240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193"/>
    </row>
    <row r="690" spans="2:189" s="243" customFormat="1" ht="11.25" hidden="1" customHeight="1">
      <c r="B690" s="244"/>
      <c r="C690" s="240"/>
      <c r="D690" s="240"/>
      <c r="E690" s="240"/>
      <c r="F690" s="240"/>
      <c r="G690" s="240"/>
      <c r="H690" s="240"/>
      <c r="I690" s="240"/>
      <c r="J690" s="240"/>
      <c r="K690" s="240"/>
      <c r="L690" s="297"/>
      <c r="M690" s="297"/>
      <c r="N690" s="297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97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0"/>
      <c r="DW690" s="240"/>
      <c r="DX690" s="240"/>
      <c r="DY690" s="240"/>
      <c r="DZ690" s="240"/>
      <c r="EA690" s="240"/>
      <c r="EB690" s="240"/>
      <c r="EC690" s="240"/>
      <c r="ED690" s="240"/>
      <c r="EE690" s="240"/>
      <c r="EF690" s="240"/>
      <c r="EG690" s="240"/>
      <c r="EH690" s="240"/>
      <c r="EI690" s="240"/>
      <c r="EJ690" s="240"/>
      <c r="EK690" s="240"/>
      <c r="EL690" s="359"/>
      <c r="EM690" s="245"/>
      <c r="EN690" s="245"/>
      <c r="EO690" s="245"/>
      <c r="EP690" s="245"/>
      <c r="EQ690" s="254"/>
      <c r="ER690" s="240"/>
      <c r="ES690" s="240"/>
      <c r="ET690" s="240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193"/>
    </row>
    <row r="691" spans="2:189" s="243" customFormat="1" ht="11.45" hidden="1" customHeight="1">
      <c r="B691" s="853"/>
      <c r="C691" s="851"/>
      <c r="D691" s="851"/>
      <c r="E691" s="851"/>
      <c r="F691" s="851"/>
      <c r="G691" s="851"/>
      <c r="H691" s="851"/>
      <c r="I691" s="851"/>
      <c r="J691" s="851"/>
      <c r="K691" s="851"/>
      <c r="L691" s="854"/>
      <c r="M691" s="854"/>
      <c r="N691" s="854"/>
      <c r="O691" s="851"/>
      <c r="P691" s="851"/>
      <c r="Q691" s="851"/>
      <c r="R691" s="851"/>
      <c r="S691" s="851"/>
      <c r="T691" s="851"/>
      <c r="U691" s="851"/>
      <c r="V691" s="851"/>
      <c r="W691" s="851"/>
      <c r="X691" s="851"/>
      <c r="Y691" s="851"/>
      <c r="Z691" s="851"/>
      <c r="AA691" s="851"/>
      <c r="AB691" s="851"/>
      <c r="AC691" s="851"/>
      <c r="AD691" s="851"/>
      <c r="AE691" s="851"/>
      <c r="AF691" s="851"/>
      <c r="AG691" s="851"/>
      <c r="AH691" s="851"/>
      <c r="AI691" s="851"/>
      <c r="AJ691" s="851"/>
      <c r="AK691" s="851"/>
      <c r="AL691" s="851"/>
      <c r="AM691" s="851"/>
      <c r="AN691" s="851"/>
      <c r="AO691" s="851"/>
      <c r="AP691" s="851"/>
      <c r="AQ691" s="851"/>
      <c r="AR691" s="851"/>
      <c r="AS691" s="851"/>
      <c r="AT691" s="851"/>
      <c r="AU691" s="851"/>
      <c r="AV691" s="851"/>
      <c r="AW691" s="851"/>
      <c r="AX691" s="851"/>
      <c r="AY691" s="851"/>
      <c r="AZ691" s="851"/>
      <c r="BA691" s="851"/>
      <c r="BB691" s="851"/>
      <c r="BC691" s="851"/>
      <c r="BD691" s="851"/>
      <c r="BE691" s="851"/>
      <c r="BF691" s="851"/>
      <c r="BG691" s="851"/>
      <c r="BH691" s="851"/>
      <c r="BI691" s="851"/>
      <c r="BJ691" s="851"/>
      <c r="BK691" s="851"/>
      <c r="BL691" s="851"/>
      <c r="BM691" s="851"/>
      <c r="BN691" s="851"/>
      <c r="BO691" s="851"/>
      <c r="BP691" s="851"/>
      <c r="BQ691" s="851"/>
      <c r="BR691" s="851"/>
      <c r="BS691" s="854"/>
      <c r="BT691" s="851"/>
      <c r="BU691" s="851"/>
      <c r="BV691" s="851"/>
      <c r="BW691" s="851"/>
      <c r="BX691" s="851"/>
      <c r="BY691" s="851"/>
      <c r="BZ691" s="851"/>
      <c r="CA691" s="851"/>
      <c r="CB691" s="851"/>
      <c r="CC691" s="851"/>
      <c r="CD691" s="851"/>
      <c r="CE691" s="851"/>
      <c r="CF691" s="851"/>
      <c r="CG691" s="851"/>
      <c r="CH691" s="851"/>
      <c r="CI691" s="851"/>
      <c r="CJ691" s="851"/>
      <c r="CK691" s="851"/>
      <c r="CL691" s="851"/>
      <c r="CM691" s="851"/>
      <c r="CN691" s="851"/>
      <c r="CO691" s="851"/>
      <c r="CP691" s="851"/>
      <c r="CQ691" s="851"/>
      <c r="CR691" s="851"/>
      <c r="CS691" s="851"/>
      <c r="CT691" s="851"/>
      <c r="CU691" s="851"/>
      <c r="CV691" s="851"/>
      <c r="CW691" s="851"/>
      <c r="CX691" s="851"/>
      <c r="CY691" s="851"/>
      <c r="CZ691" s="851"/>
      <c r="DA691" s="851"/>
      <c r="DB691" s="851"/>
      <c r="DC691" s="851"/>
      <c r="DD691" s="851"/>
      <c r="DE691" s="851"/>
      <c r="DF691" s="851"/>
      <c r="DG691" s="851"/>
      <c r="DH691" s="851"/>
      <c r="DI691" s="851"/>
      <c r="DJ691" s="851"/>
      <c r="DK691" s="851"/>
      <c r="DL691" s="851"/>
      <c r="DM691" s="851"/>
      <c r="DN691" s="851"/>
      <c r="DO691" s="851"/>
      <c r="DP691" s="851"/>
      <c r="DQ691" s="851"/>
      <c r="DR691" s="851"/>
      <c r="DS691" s="851"/>
      <c r="DT691" s="851"/>
      <c r="DU691" s="851"/>
      <c r="DV691" s="851"/>
      <c r="DW691" s="851"/>
      <c r="DX691" s="851"/>
      <c r="DY691" s="851"/>
      <c r="DZ691" s="851"/>
      <c r="EA691" s="851"/>
      <c r="EB691" s="851"/>
      <c r="EC691" s="851"/>
      <c r="ED691" s="851"/>
      <c r="EE691" s="851"/>
      <c r="EF691" s="851"/>
      <c r="EG691" s="851"/>
      <c r="EH691" s="851"/>
      <c r="EI691" s="851"/>
      <c r="EJ691" s="851"/>
      <c r="EK691" s="851"/>
      <c r="EL691" s="855"/>
      <c r="EM691" s="249"/>
      <c r="EN691" s="249"/>
      <c r="EO691" s="249"/>
      <c r="EP691" s="249"/>
      <c r="EQ691" s="260"/>
      <c r="ER691" s="240"/>
      <c r="ES691" s="240"/>
      <c r="ET691" s="240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193"/>
    </row>
    <row r="692" spans="2:189" s="243" customFormat="1" ht="11.45" hidden="1" customHeight="1">
      <c r="B692" s="856"/>
      <c r="C692" s="857"/>
      <c r="D692" s="857" t="s">
        <v>675</v>
      </c>
      <c r="E692" s="857"/>
      <c r="F692" s="857"/>
      <c r="G692" s="857" t="s">
        <v>705</v>
      </c>
      <c r="H692" s="857"/>
      <c r="I692" s="857"/>
      <c r="J692" s="857"/>
      <c r="K692" s="857"/>
      <c r="L692" s="858"/>
      <c r="M692" s="858" t="s">
        <v>147</v>
      </c>
      <c r="N692" s="858" t="s">
        <v>706</v>
      </c>
      <c r="O692" s="857"/>
      <c r="P692" s="857"/>
      <c r="Q692" s="857" t="s">
        <v>549</v>
      </c>
      <c r="R692" s="857"/>
      <c r="S692" s="857" t="s">
        <v>707</v>
      </c>
      <c r="T692" s="857"/>
      <c r="U692" s="857"/>
      <c r="V692" s="857"/>
      <c r="W692" s="857"/>
      <c r="X692" s="857"/>
      <c r="Y692" s="857" t="s">
        <v>148</v>
      </c>
      <c r="Z692" s="857"/>
      <c r="AA692" s="857" t="s">
        <v>132</v>
      </c>
      <c r="AB692" s="857"/>
      <c r="AC692" s="857" t="s">
        <v>708</v>
      </c>
      <c r="AD692" s="857"/>
      <c r="AE692" s="857"/>
      <c r="AF692" s="857"/>
      <c r="AG692" s="857" t="s">
        <v>709</v>
      </c>
      <c r="AH692" s="857"/>
      <c r="AI692" s="857"/>
      <c r="AJ692" s="857"/>
      <c r="AK692" s="857"/>
      <c r="AL692" s="859"/>
      <c r="AM692" s="857"/>
      <c r="AN692" s="857"/>
      <c r="AO692" s="857"/>
      <c r="AP692" s="857"/>
      <c r="AQ692" s="857"/>
      <c r="AR692" s="857"/>
      <c r="AS692" s="857"/>
      <c r="AT692" s="857"/>
      <c r="AU692" s="857"/>
      <c r="AV692" s="857"/>
      <c r="AW692" s="857"/>
      <c r="AX692" s="857"/>
      <c r="AY692" s="857"/>
      <c r="AZ692" s="857"/>
      <c r="BA692" s="857"/>
      <c r="BB692" s="857"/>
      <c r="BC692" s="857"/>
      <c r="BD692" s="857"/>
      <c r="BE692" s="857"/>
      <c r="BF692" s="857"/>
      <c r="BG692" s="857"/>
      <c r="BH692" s="857"/>
      <c r="BI692" s="857"/>
      <c r="BJ692" s="857"/>
      <c r="BK692" s="857"/>
      <c r="BL692" s="857"/>
      <c r="BM692" s="857"/>
      <c r="BN692" s="857"/>
      <c r="BO692" s="857"/>
      <c r="BP692" s="857"/>
      <c r="BQ692" s="857"/>
      <c r="BR692" s="857"/>
      <c r="BS692" s="858"/>
      <c r="BT692" s="857"/>
      <c r="BU692" s="857"/>
      <c r="BV692" s="857"/>
      <c r="BW692" s="857"/>
      <c r="BX692" s="857"/>
      <c r="BY692" s="857"/>
      <c r="BZ692" s="857"/>
      <c r="CA692" s="857"/>
      <c r="CB692" s="857"/>
      <c r="CC692" s="857"/>
      <c r="CD692" s="857"/>
      <c r="CE692" s="857"/>
      <c r="CF692" s="857"/>
      <c r="CG692" s="857"/>
      <c r="CH692" s="857"/>
      <c r="CI692" s="857"/>
      <c r="CJ692" s="857"/>
      <c r="CK692" s="857"/>
      <c r="CL692" s="857"/>
      <c r="CM692" s="857"/>
      <c r="CN692" s="857"/>
      <c r="CO692" s="857"/>
      <c r="CP692" s="857"/>
      <c r="CQ692" s="857"/>
      <c r="CR692" s="857"/>
      <c r="CS692" s="857"/>
      <c r="CT692" s="857"/>
      <c r="CU692" s="857"/>
      <c r="CV692" s="857"/>
      <c r="CW692" s="857"/>
      <c r="CX692" s="857"/>
      <c r="CY692" s="857"/>
      <c r="CZ692" s="857"/>
      <c r="DA692" s="857"/>
      <c r="DB692" s="857"/>
      <c r="DC692" s="857"/>
      <c r="DD692" s="857"/>
      <c r="DE692" s="857"/>
      <c r="DF692" s="857"/>
      <c r="DG692" s="857"/>
      <c r="DH692" s="857"/>
      <c r="DI692" s="857"/>
      <c r="DJ692" s="857"/>
      <c r="DK692" s="857"/>
      <c r="DL692" s="857"/>
      <c r="DM692" s="857"/>
      <c r="DN692" s="857"/>
      <c r="DO692" s="857"/>
      <c r="DP692" s="857"/>
      <c r="DQ692" s="857"/>
      <c r="DR692" s="857"/>
      <c r="DS692" s="857"/>
      <c r="DT692" s="857"/>
      <c r="DU692" s="857"/>
      <c r="DV692" s="857"/>
      <c r="DW692" s="857"/>
      <c r="DX692" s="857"/>
      <c r="DY692" s="857"/>
      <c r="DZ692" s="857"/>
      <c r="EA692" s="857"/>
      <c r="EB692" s="857"/>
      <c r="EC692" s="857"/>
      <c r="ED692" s="857"/>
      <c r="EE692" s="857"/>
      <c r="EF692" s="857"/>
      <c r="EG692" s="857"/>
      <c r="EH692" s="857"/>
      <c r="EI692" s="857"/>
      <c r="EJ692" s="857"/>
      <c r="EK692" s="857"/>
      <c r="EL692" s="860"/>
      <c r="EM692" s="861"/>
      <c r="EN692" s="861"/>
      <c r="EO692" s="861"/>
      <c r="EP692" s="861"/>
      <c r="EQ692" s="862"/>
      <c r="ER692" s="240"/>
      <c r="ES692" s="240"/>
      <c r="ET692" s="240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193"/>
    </row>
    <row r="693" spans="2:189" s="243" customFormat="1" ht="11.45" hidden="1" customHeight="1">
      <c r="B693" s="244"/>
      <c r="C693" s="240"/>
      <c r="D693" s="240"/>
      <c r="E693" s="240"/>
      <c r="F693" s="240"/>
      <c r="G693" s="240" t="s">
        <v>710</v>
      </c>
      <c r="H693" s="240"/>
      <c r="I693" s="240" t="s">
        <v>134</v>
      </c>
      <c r="J693" s="240"/>
      <c r="K693" s="240" t="str">
        <f>TEXT(1,"#,##0.#######")</f>
        <v>1.</v>
      </c>
      <c r="L693" s="297"/>
      <c r="M693" s="297"/>
      <c r="N693" s="297" t="s">
        <v>621</v>
      </c>
      <c r="O693" s="240"/>
      <c r="P693" s="240"/>
      <c r="Q693" s="240"/>
      <c r="R693" s="240"/>
      <c r="S693" s="240"/>
      <c r="T693" s="240"/>
      <c r="U693" s="240" t="s">
        <v>711</v>
      </c>
      <c r="V693" s="240"/>
      <c r="W693" s="240" t="s">
        <v>134</v>
      </c>
      <c r="X693" s="240"/>
      <c r="Y693" s="240" t="str">
        <f>TEXT(20,"#,##0.#######")</f>
        <v>20.</v>
      </c>
      <c r="Z693" s="240"/>
      <c r="AA693" s="240" t="s">
        <v>621</v>
      </c>
      <c r="AB693" s="240"/>
      <c r="AC693" s="240" t="s">
        <v>139</v>
      </c>
      <c r="AD693" s="240" t="s">
        <v>618</v>
      </c>
      <c r="AE693" s="240"/>
      <c r="AF693" s="240"/>
      <c r="AG693" s="240"/>
      <c r="AH693" s="240"/>
      <c r="AI693" s="240"/>
      <c r="AJ693" s="240"/>
      <c r="AK693" s="240"/>
      <c r="AL693" s="240" t="s">
        <v>692</v>
      </c>
      <c r="AM693" s="240"/>
      <c r="AN693" s="240" t="s">
        <v>134</v>
      </c>
      <c r="AO693" s="240"/>
      <c r="AP693" s="240" t="str">
        <f>TEXT(0.9,"#,##0.#######")</f>
        <v>0.9</v>
      </c>
      <c r="AQ693" s="240"/>
      <c r="AR693" s="240"/>
      <c r="AS693" s="240"/>
      <c r="AT693" s="240"/>
      <c r="AU693" s="240"/>
      <c r="AV693" s="240"/>
      <c r="AW693" s="240"/>
      <c r="AX693" s="240"/>
      <c r="AY693" s="240"/>
      <c r="AZ693" s="240"/>
      <c r="BA693" s="240"/>
      <c r="BB693" s="240"/>
      <c r="BC693" s="240"/>
      <c r="BD693" s="240"/>
      <c r="BE693" s="240"/>
      <c r="BF693" s="240"/>
      <c r="BG693" s="240"/>
      <c r="BH693" s="240"/>
      <c r="BI693" s="240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97"/>
      <c r="BT693" s="240"/>
      <c r="BU693" s="240"/>
      <c r="BV693" s="240"/>
      <c r="BW693" s="240"/>
      <c r="BX693" s="240"/>
      <c r="BY693" s="240"/>
      <c r="BZ693" s="240"/>
      <c r="CA693" s="240"/>
      <c r="CB693" s="240"/>
      <c r="CC693" s="240"/>
      <c r="CD693" s="240"/>
      <c r="CE693" s="240"/>
      <c r="CF693" s="240"/>
      <c r="CG693" s="240"/>
      <c r="CH693" s="240"/>
      <c r="CI693" s="240"/>
      <c r="CJ693" s="240"/>
      <c r="CK693" s="240"/>
      <c r="CL693" s="240"/>
      <c r="CM693" s="240"/>
      <c r="CN693" s="240"/>
      <c r="CO693" s="240"/>
      <c r="CP693" s="240"/>
      <c r="CQ693" s="240"/>
      <c r="CR693" s="240"/>
      <c r="CS693" s="240"/>
      <c r="CT693" s="240"/>
      <c r="CU693" s="240"/>
      <c r="CV693" s="240"/>
      <c r="CW693" s="240"/>
      <c r="CX693" s="240"/>
      <c r="CY693" s="240"/>
      <c r="CZ693" s="240"/>
      <c r="DA693" s="240"/>
      <c r="DB693" s="240"/>
      <c r="DC693" s="240"/>
      <c r="DD693" s="240"/>
      <c r="DE693" s="240"/>
      <c r="DF693" s="240"/>
      <c r="DG693" s="240"/>
      <c r="DH693" s="240"/>
      <c r="DI693" s="240"/>
      <c r="DJ693" s="240"/>
      <c r="DK693" s="240"/>
      <c r="DL693" s="240"/>
      <c r="DM693" s="240"/>
      <c r="DN693" s="240"/>
      <c r="DO693" s="240"/>
      <c r="DP693" s="240"/>
      <c r="DQ693" s="240"/>
      <c r="DR693" s="240"/>
      <c r="DS693" s="240"/>
      <c r="DT693" s="240"/>
      <c r="DU693" s="240"/>
      <c r="DV693" s="240"/>
      <c r="DW693" s="240"/>
      <c r="DX693" s="240"/>
      <c r="DY693" s="240"/>
      <c r="DZ693" s="240"/>
      <c r="EA693" s="240"/>
      <c r="EB693" s="240"/>
      <c r="EC693" s="240"/>
      <c r="ED693" s="240"/>
      <c r="EE693" s="240"/>
      <c r="EF693" s="240"/>
      <c r="EG693" s="240"/>
      <c r="EH693" s="240"/>
      <c r="EI693" s="240"/>
      <c r="EJ693" s="240"/>
      <c r="EK693" s="240"/>
      <c r="EL693" s="359"/>
      <c r="EM693" s="245"/>
      <c r="EN693" s="245"/>
      <c r="EO693" s="245"/>
      <c r="EP693" s="245"/>
      <c r="EQ693" s="254"/>
      <c r="ER693" s="240"/>
      <c r="ES693" s="240"/>
      <c r="ET693" s="240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193"/>
    </row>
    <row r="694" spans="2:189" s="243" customFormat="1" ht="11.45" hidden="1" customHeight="1">
      <c r="B694" s="244"/>
      <c r="C694" s="240"/>
      <c r="D694" s="240"/>
      <c r="E694" s="240"/>
      <c r="F694" s="240"/>
      <c r="G694" s="240" t="s">
        <v>712</v>
      </c>
      <c r="H694" s="240"/>
      <c r="I694" s="240"/>
      <c r="J694" s="240" t="s">
        <v>134</v>
      </c>
      <c r="K694" s="240"/>
      <c r="L694" s="297" t="str">
        <f>TEXT(5,"#,##0.#######")</f>
        <v>5.</v>
      </c>
      <c r="M694" s="297" t="s">
        <v>713</v>
      </c>
      <c r="N694" s="297"/>
      <c r="O694" s="240" t="s">
        <v>147</v>
      </c>
      <c r="P694" s="240" t="s">
        <v>714</v>
      </c>
      <c r="Q694" s="240"/>
      <c r="R694" s="240"/>
      <c r="S694" s="240"/>
      <c r="T694" s="240" t="s">
        <v>148</v>
      </c>
      <c r="U694" s="240"/>
      <c r="V694" s="240"/>
      <c r="W694" s="240"/>
      <c r="X694" s="240"/>
      <c r="Y694" s="240" t="s">
        <v>715</v>
      </c>
      <c r="Z694" s="240"/>
      <c r="AA694" s="240"/>
      <c r="AB694" s="240" t="s">
        <v>134</v>
      </c>
      <c r="AC694" s="240"/>
      <c r="AD694" s="240" t="str">
        <f>TEXT(10,"#,##0.#######")</f>
        <v>10.</v>
      </c>
      <c r="AE694" s="240"/>
      <c r="AF694" s="240" t="s">
        <v>713</v>
      </c>
      <c r="AG694" s="240"/>
      <c r="AH694" s="240" t="s">
        <v>147</v>
      </c>
      <c r="AI694" s="240" t="s">
        <v>716</v>
      </c>
      <c r="AJ694" s="240"/>
      <c r="AK694" s="240"/>
      <c r="AL694" s="240"/>
      <c r="AM694" s="240" t="s">
        <v>148</v>
      </c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  <c r="BC694" s="240"/>
      <c r="BD694" s="240"/>
      <c r="BE694" s="240"/>
      <c r="BF694" s="240"/>
      <c r="BG694" s="240"/>
      <c r="BH694" s="240"/>
      <c r="BI694" s="240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97"/>
      <c r="BT694" s="240"/>
      <c r="BU694" s="240"/>
      <c r="BV694" s="240"/>
      <c r="BW694" s="240"/>
      <c r="BX694" s="240"/>
      <c r="BY694" s="240"/>
      <c r="BZ694" s="240"/>
      <c r="CA694" s="240"/>
      <c r="CB694" s="240"/>
      <c r="CC694" s="240"/>
      <c r="CD694" s="240"/>
      <c r="CE694" s="240"/>
      <c r="CF694" s="240"/>
      <c r="CG694" s="240"/>
      <c r="CH694" s="240"/>
      <c r="CI694" s="240"/>
      <c r="CJ694" s="240"/>
      <c r="CK694" s="240"/>
      <c r="CL694" s="240"/>
      <c r="CM694" s="240"/>
      <c r="CN694" s="240"/>
      <c r="CO694" s="240"/>
      <c r="CP694" s="240"/>
      <c r="CQ694" s="240"/>
      <c r="CR694" s="240"/>
      <c r="CS694" s="240"/>
      <c r="CT694" s="240"/>
      <c r="CU694" s="240"/>
      <c r="CV694" s="240"/>
      <c r="CW694" s="240"/>
      <c r="CX694" s="240"/>
      <c r="CY694" s="240"/>
      <c r="CZ694" s="240"/>
      <c r="DA694" s="240"/>
      <c r="DB694" s="240"/>
      <c r="DC694" s="240"/>
      <c r="DD694" s="240"/>
      <c r="DE694" s="240"/>
      <c r="DF694" s="240"/>
      <c r="DG694" s="240"/>
      <c r="DH694" s="240"/>
      <c r="DI694" s="240"/>
      <c r="DJ694" s="240"/>
      <c r="DK694" s="240"/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0"/>
      <c r="DW694" s="240"/>
      <c r="DX694" s="240"/>
      <c r="DY694" s="240"/>
      <c r="DZ694" s="240"/>
      <c r="EA694" s="240"/>
      <c r="EB694" s="240"/>
      <c r="EC694" s="240"/>
      <c r="ED694" s="240"/>
      <c r="EE694" s="240"/>
      <c r="EF694" s="240"/>
      <c r="EG694" s="240"/>
      <c r="EH694" s="240"/>
      <c r="EI694" s="240"/>
      <c r="EJ694" s="240"/>
      <c r="EK694" s="240"/>
      <c r="EL694" s="359"/>
      <c r="EM694" s="245"/>
      <c r="EN694" s="245"/>
      <c r="EO694" s="245"/>
      <c r="EP694" s="245"/>
      <c r="EQ694" s="254"/>
      <c r="ER694" s="240"/>
      <c r="ES694" s="240"/>
      <c r="ET694" s="240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193"/>
    </row>
    <row r="695" spans="2:189" s="243" customFormat="1" ht="11.45" hidden="1" customHeight="1">
      <c r="B695" s="244"/>
      <c r="C695" s="240"/>
      <c r="D695" s="240"/>
      <c r="E695" s="240"/>
      <c r="F695" s="240"/>
      <c r="G695" s="240" t="s">
        <v>717</v>
      </c>
      <c r="H695" s="240"/>
      <c r="I695" s="240"/>
      <c r="J695" s="240" t="s">
        <v>134</v>
      </c>
      <c r="K695" s="240"/>
      <c r="L695" s="297" t="str">
        <f>TEXT(5,"#,##0.#######")</f>
        <v>5.</v>
      </c>
      <c r="M695" s="297" t="s">
        <v>713</v>
      </c>
      <c r="N695" s="297"/>
      <c r="O695" s="240" t="s">
        <v>147</v>
      </c>
      <c r="P695" s="240" t="s">
        <v>718</v>
      </c>
      <c r="Q695" s="240"/>
      <c r="R695" s="240"/>
      <c r="S695" s="240"/>
      <c r="T695" s="240" t="s">
        <v>148</v>
      </c>
      <c r="U695" s="240"/>
      <c r="V695" s="240"/>
      <c r="W695" s="240"/>
      <c r="X695" s="240"/>
      <c r="Y695" s="240" t="s">
        <v>719</v>
      </c>
      <c r="Z695" s="240"/>
      <c r="AA695" s="240"/>
      <c r="AB695" s="240" t="s">
        <v>134</v>
      </c>
      <c r="AC695" s="240"/>
      <c r="AD695" s="240" t="str">
        <f>TEXT(20,"#,##0.#######")</f>
        <v>20.</v>
      </c>
      <c r="AE695" s="240"/>
      <c r="AF695" s="240" t="s">
        <v>713</v>
      </c>
      <c r="AG695" s="240"/>
      <c r="AH695" s="240" t="s">
        <v>147</v>
      </c>
      <c r="AI695" s="240" t="s">
        <v>720</v>
      </c>
      <c r="AJ695" s="240"/>
      <c r="AK695" s="240"/>
      <c r="AL695" s="240"/>
      <c r="AM695" s="240" t="s">
        <v>148</v>
      </c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  <c r="BC695" s="240"/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97"/>
      <c r="BT695" s="240"/>
      <c r="BU695" s="240"/>
      <c r="BV695" s="240"/>
      <c r="BW695" s="240"/>
      <c r="BX695" s="240"/>
      <c r="BY695" s="240"/>
      <c r="BZ695" s="240"/>
      <c r="CA695" s="240"/>
      <c r="CB695" s="240"/>
      <c r="CC695" s="240"/>
      <c r="CD695" s="240"/>
      <c r="CE695" s="240"/>
      <c r="CF695" s="240"/>
      <c r="CG695" s="240"/>
      <c r="CH695" s="240"/>
      <c r="CI695" s="240"/>
      <c r="CJ695" s="240"/>
      <c r="CK695" s="240"/>
      <c r="CL695" s="240"/>
      <c r="CM695" s="240"/>
      <c r="CN695" s="240"/>
      <c r="CO695" s="240"/>
      <c r="CP695" s="240"/>
      <c r="CQ695" s="240"/>
      <c r="CR695" s="240"/>
      <c r="CS695" s="240"/>
      <c r="CT695" s="240"/>
      <c r="CU695" s="240"/>
      <c r="CV695" s="240"/>
      <c r="CW695" s="240"/>
      <c r="CX695" s="240"/>
      <c r="CY695" s="240"/>
      <c r="CZ695" s="240"/>
      <c r="DA695" s="240"/>
      <c r="DB695" s="240"/>
      <c r="DC695" s="240"/>
      <c r="DD695" s="240"/>
      <c r="DE695" s="240"/>
      <c r="DF695" s="240"/>
      <c r="DG695" s="240"/>
      <c r="DH695" s="240"/>
      <c r="DI695" s="240"/>
      <c r="DJ695" s="240"/>
      <c r="DK695" s="240"/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0"/>
      <c r="DW695" s="240"/>
      <c r="DX695" s="240"/>
      <c r="DY695" s="240"/>
      <c r="DZ695" s="240"/>
      <c r="EA695" s="240"/>
      <c r="EB695" s="240"/>
      <c r="EC695" s="240"/>
      <c r="ED695" s="240"/>
      <c r="EE695" s="240"/>
      <c r="EF695" s="240"/>
      <c r="EG695" s="240"/>
      <c r="EH695" s="240"/>
      <c r="EI695" s="240"/>
      <c r="EJ695" s="240"/>
      <c r="EK695" s="240"/>
      <c r="EL695" s="359"/>
      <c r="EM695" s="245"/>
      <c r="EN695" s="245"/>
      <c r="EO695" s="245"/>
      <c r="EP695" s="245"/>
      <c r="EQ695" s="254"/>
      <c r="ER695" s="240"/>
      <c r="ES695" s="240"/>
      <c r="ET695" s="240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193"/>
    </row>
    <row r="696" spans="2:189" s="243" customFormat="1" ht="11.45" hidden="1" customHeight="1">
      <c r="B696" s="244"/>
      <c r="C696" s="240"/>
      <c r="D696" s="240"/>
      <c r="E696" s="240"/>
      <c r="F696" s="240"/>
      <c r="G696" s="240" t="s">
        <v>721</v>
      </c>
      <c r="H696" s="240"/>
      <c r="I696" s="240"/>
      <c r="J696" s="240" t="s">
        <v>134</v>
      </c>
      <c r="K696" s="240"/>
      <c r="L696" s="297" t="s">
        <v>147</v>
      </c>
      <c r="M696" s="297" t="s">
        <v>710</v>
      </c>
      <c r="N696" s="297"/>
      <c r="O696" s="240" t="s">
        <v>139</v>
      </c>
      <c r="P696" s="240"/>
      <c r="Q696" s="240" t="s">
        <v>711</v>
      </c>
      <c r="R696" s="240" t="s">
        <v>148</v>
      </c>
      <c r="S696" s="240" t="s">
        <v>652</v>
      </c>
      <c r="T696" s="240"/>
      <c r="U696" s="240" t="str">
        <f>TEXT(2,"#,##0.#######")</f>
        <v>2.</v>
      </c>
      <c r="V696" s="240" t="s">
        <v>652</v>
      </c>
      <c r="W696" s="240"/>
      <c r="X696" s="240" t="str">
        <f>TEXT(60,"#,##0.#######")</f>
        <v>60.</v>
      </c>
      <c r="Y696" s="240"/>
      <c r="Z696" s="240"/>
      <c r="AA696" s="240" t="s">
        <v>134</v>
      </c>
      <c r="AB696" s="240"/>
      <c r="AC696" s="240" t="s">
        <v>147</v>
      </c>
      <c r="AD696" s="240" t="str">
        <f>TEXT(K693,"#,##0.#######")</f>
        <v>1.</v>
      </c>
      <c r="AE696" s="240"/>
      <c r="AF696" s="240" t="s">
        <v>139</v>
      </c>
      <c r="AG696" s="240"/>
      <c r="AH696" s="240" t="str">
        <f>TEXT(Y693,"#,##0.#######")</f>
        <v>20.</v>
      </c>
      <c r="AI696" s="240"/>
      <c r="AJ696" s="240" t="s">
        <v>148</v>
      </c>
      <c r="AK696" s="240" t="s">
        <v>652</v>
      </c>
      <c r="AL696" s="240"/>
      <c r="AM696" s="240" t="str">
        <f>TEXT(U696,"#,##0.#######")</f>
        <v>2.</v>
      </c>
      <c r="AN696" s="240" t="s">
        <v>652</v>
      </c>
      <c r="AO696" s="240"/>
      <c r="AP696" s="240" t="str">
        <f>TEXT(X696,"#,##0.#######")</f>
        <v>60.</v>
      </c>
      <c r="AQ696" s="240"/>
      <c r="AR696" s="240"/>
      <c r="AS696" s="240" t="s">
        <v>134</v>
      </c>
      <c r="AT696" s="240"/>
      <c r="AU696" s="240" t="str">
        <f>TEXT(ROUND((K693/Y693)*U696*X696,2),"#,##0.#######")</f>
        <v>6.</v>
      </c>
      <c r="AV696" s="240"/>
      <c r="AW696" s="240"/>
      <c r="AX696" s="240"/>
      <c r="AY696" s="240" t="s">
        <v>713</v>
      </c>
      <c r="AZ696" s="240"/>
      <c r="BA696" s="240"/>
      <c r="BB696" s="240"/>
      <c r="BC696" s="240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97"/>
      <c r="BT696" s="240"/>
      <c r="BU696" s="240"/>
      <c r="BV696" s="240"/>
      <c r="BW696" s="240"/>
      <c r="BX696" s="240"/>
      <c r="BY696" s="240"/>
      <c r="BZ696" s="240"/>
      <c r="CA696" s="240"/>
      <c r="CB696" s="240"/>
      <c r="CC696" s="240"/>
      <c r="CD696" s="240"/>
      <c r="CE696" s="240"/>
      <c r="CF696" s="240"/>
      <c r="CG696" s="240"/>
      <c r="CH696" s="240"/>
      <c r="CI696" s="240"/>
      <c r="CJ696" s="240"/>
      <c r="CK696" s="240"/>
      <c r="CL696" s="240"/>
      <c r="CM696" s="240"/>
      <c r="CN696" s="240"/>
      <c r="CO696" s="240"/>
      <c r="CP696" s="240"/>
      <c r="CQ696" s="240"/>
      <c r="CR696" s="240"/>
      <c r="CS696" s="240"/>
      <c r="CT696" s="240"/>
      <c r="CU696" s="240"/>
      <c r="CV696" s="240"/>
      <c r="CW696" s="240"/>
      <c r="CX696" s="240"/>
      <c r="CY696" s="240"/>
      <c r="CZ696" s="240"/>
      <c r="DA696" s="240"/>
      <c r="DB696" s="240"/>
      <c r="DC696" s="240"/>
      <c r="DD696" s="240"/>
      <c r="DE696" s="240"/>
      <c r="DF696" s="240"/>
      <c r="DG696" s="240"/>
      <c r="DH696" s="240"/>
      <c r="DI696" s="240"/>
      <c r="DJ696" s="240"/>
      <c r="DK696" s="240"/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0"/>
      <c r="DW696" s="240"/>
      <c r="DX696" s="240"/>
      <c r="DY696" s="240"/>
      <c r="DZ696" s="240"/>
      <c r="EA696" s="240"/>
      <c r="EB696" s="240"/>
      <c r="EC696" s="240"/>
      <c r="ED696" s="240"/>
      <c r="EE696" s="240"/>
      <c r="EF696" s="240"/>
      <c r="EG696" s="240"/>
      <c r="EH696" s="240"/>
      <c r="EI696" s="240"/>
      <c r="EJ696" s="240"/>
      <c r="EK696" s="240"/>
      <c r="EL696" s="359"/>
      <c r="EM696" s="245"/>
      <c r="EN696" s="245"/>
      <c r="EO696" s="245"/>
      <c r="EP696" s="245"/>
      <c r="EQ696" s="254"/>
      <c r="ER696" s="240"/>
      <c r="ES696" s="240"/>
      <c r="ET696" s="240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193"/>
    </row>
    <row r="697" spans="2:189" s="243" customFormat="1" ht="11.45" hidden="1" customHeight="1">
      <c r="B697" s="244"/>
      <c r="C697" s="240"/>
      <c r="D697" s="240"/>
      <c r="E697" s="240"/>
      <c r="F697" s="240"/>
      <c r="G697" s="240" t="s">
        <v>693</v>
      </c>
      <c r="H697" s="240"/>
      <c r="I697" s="240"/>
      <c r="J697" s="240" t="s">
        <v>134</v>
      </c>
      <c r="K697" s="240"/>
      <c r="L697" s="297" t="s">
        <v>712</v>
      </c>
      <c r="M697" s="297"/>
      <c r="N697" s="297"/>
      <c r="O697" s="240" t="s">
        <v>130</v>
      </c>
      <c r="P697" s="240"/>
      <c r="Q697" s="240" t="s">
        <v>721</v>
      </c>
      <c r="R697" s="240"/>
      <c r="S697" s="240"/>
      <c r="T697" s="240" t="s">
        <v>130</v>
      </c>
      <c r="U697" s="240"/>
      <c r="V697" s="240" t="s">
        <v>715</v>
      </c>
      <c r="W697" s="240"/>
      <c r="X697" s="240"/>
      <c r="Y697" s="240" t="s">
        <v>130</v>
      </c>
      <c r="Z697" s="240"/>
      <c r="AA697" s="240" t="s">
        <v>717</v>
      </c>
      <c r="AB697" s="240"/>
      <c r="AC697" s="240"/>
      <c r="AD697" s="240" t="s">
        <v>130</v>
      </c>
      <c r="AE697" s="240"/>
      <c r="AF697" s="240" t="s">
        <v>719</v>
      </c>
      <c r="AG697" s="240"/>
      <c r="AH697" s="240"/>
      <c r="AI697" s="240" t="s">
        <v>134</v>
      </c>
      <c r="AJ697" s="240"/>
      <c r="AK697" s="240" t="str">
        <f>TEXT(L694,"#,##0.#######")</f>
        <v>5.</v>
      </c>
      <c r="AL697" s="240"/>
      <c r="AM697" s="240" t="s">
        <v>130</v>
      </c>
      <c r="AN697" s="240"/>
      <c r="AO697" s="240" t="str">
        <f>TEXT(AU696,"#,##0.#######")</f>
        <v>6.</v>
      </c>
      <c r="AP697" s="240"/>
      <c r="AQ697" s="240" t="s">
        <v>130</v>
      </c>
      <c r="AR697" s="240"/>
      <c r="AS697" s="240" t="str">
        <f>TEXT(AD694,"#,##0.#######")</f>
        <v>10.</v>
      </c>
      <c r="AT697" s="240"/>
      <c r="AU697" s="240"/>
      <c r="AV697" s="240" t="s">
        <v>130</v>
      </c>
      <c r="AW697" s="240"/>
      <c r="AX697" s="240" t="str">
        <f>TEXT(L695,"#,##0.#######")</f>
        <v>5.</v>
      </c>
      <c r="AY697" s="240"/>
      <c r="AZ697" s="240" t="s">
        <v>130</v>
      </c>
      <c r="BA697" s="240"/>
      <c r="BB697" s="240" t="str">
        <f>TEXT(AD695,"#,##0.#######")</f>
        <v>20.</v>
      </c>
      <c r="BC697" s="240"/>
      <c r="BD697" s="240"/>
      <c r="BE697" s="240" t="s">
        <v>134</v>
      </c>
      <c r="BF697" s="240"/>
      <c r="BG697" s="240" t="str">
        <f>TEXT(ROUND(L694+AU696+AD694+L695+AD695,2),"#,##0.#######")</f>
        <v>46.</v>
      </c>
      <c r="BH697" s="240"/>
      <c r="BI697" s="240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97"/>
      <c r="BT697" s="240"/>
      <c r="BU697" s="240"/>
      <c r="BV697" s="240"/>
      <c r="BW697" s="240"/>
      <c r="BX697" s="240"/>
      <c r="BY697" s="240"/>
      <c r="BZ697" s="240"/>
      <c r="CA697" s="240"/>
      <c r="CB697" s="240"/>
      <c r="CC697" s="240"/>
      <c r="CD697" s="240"/>
      <c r="CE697" s="240"/>
      <c r="CF697" s="240"/>
      <c r="CG697" s="240"/>
      <c r="CH697" s="240"/>
      <c r="CI697" s="240"/>
      <c r="CJ697" s="240"/>
      <c r="CK697" s="240"/>
      <c r="CL697" s="240"/>
      <c r="CM697" s="240"/>
      <c r="CN697" s="240"/>
      <c r="CO697" s="240"/>
      <c r="CP697" s="240"/>
      <c r="CQ697" s="240"/>
      <c r="CR697" s="240"/>
      <c r="CS697" s="240"/>
      <c r="CT697" s="240"/>
      <c r="CU697" s="240"/>
      <c r="CV697" s="240"/>
      <c r="CW697" s="240"/>
      <c r="CX697" s="240"/>
      <c r="CY697" s="240"/>
      <c r="CZ697" s="240"/>
      <c r="DA697" s="240"/>
      <c r="DB697" s="240"/>
      <c r="DC697" s="240"/>
      <c r="DD697" s="240"/>
      <c r="DE697" s="240"/>
      <c r="DF697" s="240"/>
      <c r="DG697" s="240"/>
      <c r="DH697" s="240"/>
      <c r="DI697" s="240"/>
      <c r="DJ697" s="240"/>
      <c r="DK697" s="240"/>
      <c r="DL697" s="240"/>
      <c r="DM697" s="240"/>
      <c r="DN697" s="240"/>
      <c r="DO697" s="240"/>
      <c r="DP697" s="240"/>
      <c r="DQ697" s="240"/>
      <c r="DR697" s="240"/>
      <c r="DS697" s="240"/>
      <c r="DT697" s="240"/>
      <c r="DU697" s="240"/>
      <c r="DV697" s="240"/>
      <c r="DW697" s="240"/>
      <c r="DX697" s="240"/>
      <c r="DY697" s="240"/>
      <c r="DZ697" s="240"/>
      <c r="EA697" s="240"/>
      <c r="EB697" s="240"/>
      <c r="EC697" s="240"/>
      <c r="ED697" s="240"/>
      <c r="EE697" s="240"/>
      <c r="EF697" s="240"/>
      <c r="EG697" s="240"/>
      <c r="EH697" s="240"/>
      <c r="EI697" s="240"/>
      <c r="EJ697" s="240"/>
      <c r="EK697" s="240"/>
      <c r="EL697" s="359"/>
      <c r="EM697" s="245"/>
      <c r="EN697" s="245"/>
      <c r="EO697" s="245"/>
      <c r="EP697" s="245"/>
      <c r="EQ697" s="254"/>
      <c r="ER697" s="240"/>
      <c r="ES697" s="240"/>
      <c r="ET697" s="240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193"/>
    </row>
    <row r="698" spans="2:189" s="243" customFormat="1" ht="11.45" hidden="1" customHeight="1">
      <c r="B698" s="244"/>
      <c r="C698" s="240"/>
      <c r="D698" s="240"/>
      <c r="E698" s="240"/>
      <c r="F698" s="240"/>
      <c r="G698" s="240" t="s">
        <v>722</v>
      </c>
      <c r="H698" s="240"/>
      <c r="I698" s="240"/>
      <c r="J698" s="240" t="s">
        <v>134</v>
      </c>
      <c r="K698" s="240"/>
      <c r="L698" s="297" t="s">
        <v>147</v>
      </c>
      <c r="M698" s="297" t="s">
        <v>693</v>
      </c>
      <c r="N698" s="297"/>
      <c r="O698" s="240" t="s">
        <v>131</v>
      </c>
      <c r="P698" s="240" t="s">
        <v>715</v>
      </c>
      <c r="Q698" s="240"/>
      <c r="R698" s="240" t="s">
        <v>148</v>
      </c>
      <c r="S698" s="240"/>
      <c r="T698" s="240" t="s">
        <v>139</v>
      </c>
      <c r="U698" s="240"/>
      <c r="V698" s="240" t="s">
        <v>693</v>
      </c>
      <c r="W698" s="240"/>
      <c r="X698" s="240"/>
      <c r="Y698" s="240" t="s">
        <v>134</v>
      </c>
      <c r="Z698" s="240"/>
      <c r="AA698" s="240" t="s">
        <v>147</v>
      </c>
      <c r="AB698" s="240" t="str">
        <f>TEXT(BG697,"#,##0.#######")</f>
        <v>46.</v>
      </c>
      <c r="AC698" s="240"/>
      <c r="AD698" s="240" t="s">
        <v>131</v>
      </c>
      <c r="AE698" s="240" t="str">
        <f>TEXT(AD694,"#,##0.#######")</f>
        <v>10.</v>
      </c>
      <c r="AF698" s="240"/>
      <c r="AG698" s="240" t="s">
        <v>148</v>
      </c>
      <c r="AH698" s="240"/>
      <c r="AI698" s="240" t="s">
        <v>139</v>
      </c>
      <c r="AJ698" s="240"/>
      <c r="AK698" s="240" t="str">
        <f>TEXT(BG697,"#,##0.#######")</f>
        <v>46.</v>
      </c>
      <c r="AL698" s="240"/>
      <c r="AM698" s="240"/>
      <c r="AN698" s="240" t="s">
        <v>134</v>
      </c>
      <c r="AO698" s="240"/>
      <c r="AP698" s="240" t="str">
        <f>TEXT(ROUND((BG697-AD694)/BG697,2),"#,##0.#######")</f>
        <v>0.78</v>
      </c>
      <c r="AQ698" s="240"/>
      <c r="AR698" s="240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  <c r="BC698" s="240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97"/>
      <c r="BT698" s="240"/>
      <c r="BU698" s="240"/>
      <c r="BV698" s="240"/>
      <c r="BW698" s="240"/>
      <c r="BX698" s="240"/>
      <c r="BY698" s="240"/>
      <c r="BZ698" s="240"/>
      <c r="CA698" s="240"/>
      <c r="CB698" s="240"/>
      <c r="CC698" s="240"/>
      <c r="CD698" s="240"/>
      <c r="CE698" s="240"/>
      <c r="CF698" s="240"/>
      <c r="CG698" s="240"/>
      <c r="CH698" s="240"/>
      <c r="CI698" s="240"/>
      <c r="CJ698" s="240"/>
      <c r="CK698" s="240"/>
      <c r="CL698" s="240"/>
      <c r="CM698" s="240"/>
      <c r="CN698" s="240"/>
      <c r="CO698" s="240"/>
      <c r="CP698" s="240"/>
      <c r="CQ698" s="240"/>
      <c r="CR698" s="240"/>
      <c r="CS698" s="240"/>
      <c r="CT698" s="240"/>
      <c r="CU698" s="240"/>
      <c r="CV698" s="240"/>
      <c r="CW698" s="240"/>
      <c r="CX698" s="240"/>
      <c r="CY698" s="240"/>
      <c r="CZ698" s="240"/>
      <c r="DA698" s="240"/>
      <c r="DB698" s="240"/>
      <c r="DC698" s="240"/>
      <c r="DD698" s="240"/>
      <c r="DE698" s="240"/>
      <c r="DF698" s="240"/>
      <c r="DG698" s="240"/>
      <c r="DH698" s="240"/>
      <c r="DI698" s="240"/>
      <c r="DJ698" s="240"/>
      <c r="DK698" s="240"/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0"/>
      <c r="DW698" s="240"/>
      <c r="DX698" s="240"/>
      <c r="DY698" s="240"/>
      <c r="DZ698" s="240"/>
      <c r="EA698" s="240"/>
      <c r="EB698" s="240"/>
      <c r="EC698" s="240"/>
      <c r="ED698" s="240"/>
      <c r="EE698" s="240"/>
      <c r="EF698" s="240"/>
      <c r="EG698" s="240"/>
      <c r="EH698" s="240"/>
      <c r="EI698" s="240"/>
      <c r="EJ698" s="240"/>
      <c r="EK698" s="240"/>
      <c r="EL698" s="359"/>
      <c r="EM698" s="245"/>
      <c r="EN698" s="245"/>
      <c r="EO698" s="245"/>
      <c r="EP698" s="245"/>
      <c r="EQ698" s="254"/>
      <c r="ER698" s="240"/>
      <c r="ES698" s="240"/>
      <c r="ET698" s="240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193"/>
    </row>
    <row r="699" spans="2:189" s="243" customFormat="1" ht="11.45" hidden="1" customHeight="1">
      <c r="B699" s="244"/>
      <c r="C699" s="240"/>
      <c r="D699" s="240"/>
      <c r="E699" s="240"/>
      <c r="F699" s="240"/>
      <c r="G699" s="240"/>
      <c r="H699" s="240"/>
      <c r="I699" s="240"/>
      <c r="J699" s="240"/>
      <c r="K699" s="240"/>
      <c r="L699" s="297"/>
      <c r="M699" s="297"/>
      <c r="N699" s="297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97"/>
      <c r="BT699" s="240"/>
      <c r="BU699" s="240"/>
      <c r="BV699" s="240"/>
      <c r="BW699" s="240"/>
      <c r="BX699" s="240"/>
      <c r="BY699" s="240"/>
      <c r="BZ699" s="240"/>
      <c r="CA699" s="240"/>
      <c r="CB699" s="240"/>
      <c r="CC699" s="240"/>
      <c r="CD699" s="240"/>
      <c r="CE699" s="240"/>
      <c r="CF699" s="240"/>
      <c r="CG699" s="240"/>
      <c r="CH699" s="240"/>
      <c r="CI699" s="240"/>
      <c r="CJ699" s="240"/>
      <c r="CK699" s="240"/>
      <c r="CL699" s="240"/>
      <c r="CM699" s="240"/>
      <c r="CN699" s="240"/>
      <c r="CO699" s="240"/>
      <c r="CP699" s="240"/>
      <c r="CQ699" s="240"/>
      <c r="CR699" s="240"/>
      <c r="CS699" s="240"/>
      <c r="CT699" s="240"/>
      <c r="CU699" s="240"/>
      <c r="CV699" s="240"/>
      <c r="CW699" s="240"/>
      <c r="CX699" s="240"/>
      <c r="CY699" s="240"/>
      <c r="CZ699" s="240"/>
      <c r="DA699" s="240"/>
      <c r="DB699" s="240"/>
      <c r="DC699" s="240"/>
      <c r="DD699" s="240"/>
      <c r="DE699" s="240"/>
      <c r="DF699" s="240"/>
      <c r="DG699" s="240"/>
      <c r="DH699" s="240"/>
      <c r="DI699" s="240"/>
      <c r="DJ699" s="240"/>
      <c r="DK699" s="240"/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0"/>
      <c r="DW699" s="240"/>
      <c r="DX699" s="240"/>
      <c r="DY699" s="240"/>
      <c r="DZ699" s="240"/>
      <c r="EA699" s="240"/>
      <c r="EB699" s="240"/>
      <c r="EC699" s="240"/>
      <c r="ED699" s="240"/>
      <c r="EE699" s="240"/>
      <c r="EF699" s="240"/>
      <c r="EG699" s="240"/>
      <c r="EH699" s="240"/>
      <c r="EI699" s="240"/>
      <c r="EJ699" s="240"/>
      <c r="EK699" s="240"/>
      <c r="EL699" s="359"/>
      <c r="EM699" s="245"/>
      <c r="EN699" s="245"/>
      <c r="EO699" s="245"/>
      <c r="EP699" s="245"/>
      <c r="EQ699" s="254"/>
      <c r="ER699" s="240"/>
      <c r="ES699" s="240"/>
      <c r="ET699" s="240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193"/>
    </row>
    <row r="700" spans="2:189" s="243" customFormat="1" ht="11.45" hidden="1" customHeight="1">
      <c r="B700" s="244"/>
      <c r="C700" s="240"/>
      <c r="D700" s="240"/>
      <c r="E700" s="240"/>
      <c r="F700" s="240"/>
      <c r="G700" s="240"/>
      <c r="H700" s="240"/>
      <c r="I700" s="240"/>
      <c r="J700" s="240"/>
      <c r="K700" s="240"/>
      <c r="L700" s="297" t="str">
        <f>TEXT(60,"#,##0.#######")</f>
        <v>60.</v>
      </c>
      <c r="M700" s="297"/>
      <c r="N700" s="297"/>
      <c r="O700" s="240" t="s">
        <v>652</v>
      </c>
      <c r="P700" s="240"/>
      <c r="Q700" s="240"/>
      <c r="R700" s="240" t="str">
        <f>TEXT(5500,"#,##0.#######")</f>
        <v>5,500.</v>
      </c>
      <c r="S700" s="240"/>
      <c r="T700" s="240"/>
      <c r="U700" s="240"/>
      <c r="V700" s="240"/>
      <c r="W700" s="240"/>
      <c r="X700" s="240" t="s">
        <v>652</v>
      </c>
      <c r="Y700" s="240"/>
      <c r="Z700" s="240"/>
      <c r="AA700" s="240" t="s">
        <v>692</v>
      </c>
      <c r="AB700" s="240"/>
      <c r="AC700" s="240"/>
      <c r="AD700" s="240"/>
      <c r="AE700" s="240"/>
      <c r="AF700" s="240"/>
      <c r="AG700" s="240"/>
      <c r="AH700" s="240"/>
      <c r="AI700" s="240" t="str">
        <f>TEXT(L700,"#,##0.#######")</f>
        <v>60.</v>
      </c>
      <c r="AJ700" s="240"/>
      <c r="AK700" s="240"/>
      <c r="AL700" s="240" t="s">
        <v>652</v>
      </c>
      <c r="AM700" s="240"/>
      <c r="AN700" s="240"/>
      <c r="AO700" s="240" t="str">
        <f>TEXT(R700,"#,##0.#######")</f>
        <v>5,500.</v>
      </c>
      <c r="AP700" s="240"/>
      <c r="AQ700" s="240"/>
      <c r="AR700" s="240"/>
      <c r="AS700" s="240"/>
      <c r="AT700" s="240"/>
      <c r="AU700" s="240" t="s">
        <v>652</v>
      </c>
      <c r="AV700" s="240"/>
      <c r="AW700" s="240"/>
      <c r="AX700" s="240" t="str">
        <f>TEXT(AP693,"#,##0.#######")</f>
        <v>0.9</v>
      </c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97"/>
      <c r="BT700" s="240"/>
      <c r="BU700" s="240"/>
      <c r="BV700" s="240"/>
      <c r="BW700" s="240"/>
      <c r="BX700" s="240"/>
      <c r="BY700" s="240"/>
      <c r="BZ700" s="240"/>
      <c r="CA700" s="240"/>
      <c r="CB700" s="240"/>
      <c r="CC700" s="240"/>
      <c r="CD700" s="240"/>
      <c r="CE700" s="240"/>
      <c r="CF700" s="240"/>
      <c r="CG700" s="240"/>
      <c r="CH700" s="240"/>
      <c r="CI700" s="240"/>
      <c r="CJ700" s="240"/>
      <c r="CK700" s="240"/>
      <c r="CL700" s="240"/>
      <c r="CM700" s="240"/>
      <c r="CN700" s="240"/>
      <c r="CO700" s="240"/>
      <c r="CP700" s="240"/>
      <c r="CQ700" s="240"/>
      <c r="CR700" s="240"/>
      <c r="CS700" s="240"/>
      <c r="CT700" s="240"/>
      <c r="CU700" s="240"/>
      <c r="CV700" s="240"/>
      <c r="CW700" s="240"/>
      <c r="CX700" s="240"/>
      <c r="CY700" s="240"/>
      <c r="CZ700" s="240"/>
      <c r="DA700" s="240"/>
      <c r="DB700" s="240"/>
      <c r="DC700" s="240"/>
      <c r="DD700" s="240"/>
      <c r="DE700" s="240"/>
      <c r="DF700" s="240"/>
      <c r="DG700" s="240"/>
      <c r="DH700" s="240"/>
      <c r="DI700" s="240"/>
      <c r="DJ700" s="240"/>
      <c r="DK700" s="240"/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0"/>
      <c r="DW700" s="240"/>
      <c r="DX700" s="240"/>
      <c r="DY700" s="240"/>
      <c r="DZ700" s="240"/>
      <c r="EA700" s="240"/>
      <c r="EB700" s="240"/>
      <c r="EC700" s="240"/>
      <c r="ED700" s="240"/>
      <c r="EE700" s="240"/>
      <c r="EF700" s="240"/>
      <c r="EG700" s="240"/>
      <c r="EH700" s="240"/>
      <c r="EI700" s="240"/>
      <c r="EJ700" s="240"/>
      <c r="EK700" s="240"/>
      <c r="EL700" s="359"/>
      <c r="EM700" s="245"/>
      <c r="EN700" s="245"/>
      <c r="EO700" s="245"/>
      <c r="EP700" s="245"/>
      <c r="EQ700" s="254"/>
      <c r="ER700" s="240"/>
      <c r="ES700" s="240"/>
      <c r="ET700" s="240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193"/>
    </row>
    <row r="701" spans="2:189" s="243" customFormat="1" ht="11.45" hidden="1" customHeight="1">
      <c r="B701" s="244"/>
      <c r="C701" s="240"/>
      <c r="D701" s="240"/>
      <c r="E701" s="240"/>
      <c r="F701" s="240"/>
      <c r="G701" s="240" t="s">
        <v>687</v>
      </c>
      <c r="H701" s="240"/>
      <c r="I701" s="240" t="s">
        <v>134</v>
      </c>
      <c r="J701" s="240"/>
      <c r="K701" s="240" t="s">
        <v>694</v>
      </c>
      <c r="L701" s="297"/>
      <c r="M701" s="297" t="s">
        <v>694</v>
      </c>
      <c r="N701" s="297"/>
      <c r="O701" s="240" t="s">
        <v>694</v>
      </c>
      <c r="P701" s="240"/>
      <c r="Q701" s="240" t="s">
        <v>694</v>
      </c>
      <c r="R701" s="240"/>
      <c r="S701" s="240" t="s">
        <v>694</v>
      </c>
      <c r="T701" s="240"/>
      <c r="U701" s="240" t="s">
        <v>694</v>
      </c>
      <c r="V701" s="240"/>
      <c r="W701" s="240" t="s">
        <v>694</v>
      </c>
      <c r="X701" s="240"/>
      <c r="Y701" s="240" t="s">
        <v>694</v>
      </c>
      <c r="Z701" s="240"/>
      <c r="AA701" s="240" t="s">
        <v>694</v>
      </c>
      <c r="AB701" s="240"/>
      <c r="AC701" s="240" t="s">
        <v>694</v>
      </c>
      <c r="AD701" s="240"/>
      <c r="AE701" s="240"/>
      <c r="AF701" s="240" t="s">
        <v>134</v>
      </c>
      <c r="AG701" s="240"/>
      <c r="AH701" s="240" t="s">
        <v>694</v>
      </c>
      <c r="AI701" s="240"/>
      <c r="AJ701" s="240" t="s">
        <v>694</v>
      </c>
      <c r="AK701" s="240"/>
      <c r="AL701" s="240" t="s">
        <v>694</v>
      </c>
      <c r="AM701" s="240"/>
      <c r="AN701" s="240" t="s">
        <v>694</v>
      </c>
      <c r="AO701" s="240"/>
      <c r="AP701" s="240" t="s">
        <v>694</v>
      </c>
      <c r="AQ701" s="240"/>
      <c r="AR701" s="240" t="s">
        <v>694</v>
      </c>
      <c r="AS701" s="240"/>
      <c r="AT701" s="240" t="s">
        <v>694</v>
      </c>
      <c r="AU701" s="240"/>
      <c r="AV701" s="240" t="s">
        <v>694</v>
      </c>
      <c r="AW701" s="240"/>
      <c r="AX701" s="240" t="s">
        <v>694</v>
      </c>
      <c r="AY701" s="240"/>
      <c r="AZ701" s="240" t="s">
        <v>694</v>
      </c>
      <c r="BA701" s="240"/>
      <c r="BB701" s="240"/>
      <c r="BC701" s="240" t="s">
        <v>134</v>
      </c>
      <c r="BD701" s="240"/>
      <c r="BE701" s="240" t="str">
        <f>TEXT(ROUND((60*5500*AP693)/(BG697),2),"#,##0.#######")</f>
        <v>6,456.52</v>
      </c>
      <c r="BF701" s="240"/>
      <c r="BG701" s="240"/>
      <c r="BH701" s="240"/>
      <c r="BI701" s="240"/>
      <c r="BJ701" s="240" t="s">
        <v>369</v>
      </c>
      <c r="BK701" s="240" t="s">
        <v>139</v>
      </c>
      <c r="BL701" s="240" t="s">
        <v>618</v>
      </c>
      <c r="BM701" s="240"/>
      <c r="BN701" s="240"/>
      <c r="BO701" s="240"/>
      <c r="BQ701" s="240"/>
      <c r="BS701" s="307"/>
      <c r="BT701" s="240"/>
      <c r="BU701" s="240"/>
      <c r="BV701" s="240"/>
      <c r="BW701" s="240"/>
      <c r="BX701" s="240"/>
      <c r="BY701" s="240"/>
      <c r="BZ701" s="240"/>
      <c r="CA701" s="240"/>
      <c r="CB701" s="240"/>
      <c r="CC701" s="240"/>
      <c r="CD701" s="240"/>
      <c r="CE701" s="240"/>
      <c r="CF701" s="240"/>
      <c r="CG701" s="240"/>
      <c r="CH701" s="240"/>
      <c r="CI701" s="240"/>
      <c r="CJ701" s="240"/>
      <c r="CK701" s="240"/>
      <c r="CL701" s="240"/>
      <c r="CM701" s="240"/>
      <c r="CN701" s="240"/>
      <c r="CO701" s="240"/>
      <c r="CP701" s="240"/>
      <c r="CQ701" s="240"/>
      <c r="CR701" s="240"/>
      <c r="CS701" s="240"/>
      <c r="CT701" s="240"/>
      <c r="CU701" s="240"/>
      <c r="CV701" s="240"/>
      <c r="CW701" s="240"/>
      <c r="CX701" s="240"/>
      <c r="CY701" s="240"/>
      <c r="CZ701" s="240"/>
      <c r="DA701" s="240"/>
      <c r="DB701" s="240"/>
      <c r="DC701" s="240"/>
      <c r="DD701" s="240"/>
      <c r="DE701" s="240"/>
      <c r="DF701" s="240"/>
      <c r="DG701" s="240"/>
      <c r="DH701" s="240"/>
      <c r="DI701" s="240"/>
      <c r="DJ701" s="240"/>
      <c r="DK701" s="240"/>
      <c r="DL701" s="240"/>
      <c r="DM701" s="240"/>
      <c r="DN701" s="240"/>
      <c r="DO701" s="240"/>
      <c r="DP701" s="240"/>
      <c r="DQ701" s="240"/>
      <c r="DR701" s="240"/>
      <c r="DS701" s="240"/>
      <c r="DT701" s="240"/>
      <c r="DU701" s="240"/>
      <c r="DV701" s="240"/>
      <c r="DW701" s="240"/>
      <c r="DX701" s="240"/>
      <c r="DY701" s="240"/>
      <c r="DZ701" s="240"/>
      <c r="EA701" s="240"/>
      <c r="EB701" s="240"/>
      <c r="EC701" s="240"/>
      <c r="ED701" s="240"/>
      <c r="EE701" s="240"/>
      <c r="EF701" s="240"/>
      <c r="EG701" s="240"/>
      <c r="EH701" s="240"/>
      <c r="EI701" s="240"/>
      <c r="EJ701" s="240"/>
      <c r="EK701" s="240"/>
      <c r="EL701" s="359"/>
      <c r="EM701" s="245"/>
      <c r="EN701" s="245"/>
      <c r="EO701" s="245"/>
      <c r="EP701" s="245"/>
      <c r="EQ701" s="254"/>
      <c r="ER701" s="240"/>
      <c r="ES701" s="240"/>
      <c r="ET701" s="240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193"/>
    </row>
    <row r="702" spans="2:189" s="243" customFormat="1" ht="11.45" hidden="1" customHeight="1">
      <c r="B702" s="244"/>
      <c r="C702" s="240"/>
      <c r="D702" s="240"/>
      <c r="E702" s="240"/>
      <c r="F702" s="240"/>
      <c r="G702" s="240"/>
      <c r="H702" s="240"/>
      <c r="I702" s="240"/>
      <c r="J702" s="240"/>
      <c r="K702" s="240"/>
      <c r="L702" s="297"/>
      <c r="M702" s="297"/>
      <c r="N702" s="297"/>
      <c r="O702" s="240"/>
      <c r="P702" s="240"/>
      <c r="Q702" s="240" t="s">
        <v>693</v>
      </c>
      <c r="R702" s="240"/>
      <c r="S702" s="240"/>
      <c r="T702" s="240"/>
      <c r="U702" s="240"/>
      <c r="V702" s="240"/>
      <c r="W702" s="240"/>
      <c r="X702" s="240"/>
      <c r="Y702" s="240"/>
      <c r="Z702" s="240"/>
      <c r="AA702" s="240"/>
      <c r="AB702" s="240"/>
      <c r="AC702" s="240"/>
      <c r="AD702" s="240"/>
      <c r="AE702" s="240"/>
      <c r="AF702" s="240"/>
      <c r="AG702" s="240"/>
      <c r="AH702" s="240"/>
      <c r="AI702" s="240"/>
      <c r="AJ702" s="240"/>
      <c r="AK702" s="240"/>
      <c r="AL702" s="240"/>
      <c r="AM702" s="240"/>
      <c r="AN702" s="240"/>
      <c r="AO702" s="240"/>
      <c r="AP702" s="240"/>
      <c r="AQ702" s="240" t="str">
        <f>TEXT(BG697,"#,##0.#######")</f>
        <v>46.</v>
      </c>
      <c r="AR702" s="240"/>
      <c r="AS702" s="240"/>
      <c r="AT702" s="240"/>
      <c r="AU702" s="240"/>
      <c r="AV702" s="240"/>
      <c r="AW702" s="240"/>
      <c r="AX702" s="240"/>
      <c r="AY702" s="240"/>
      <c r="AZ702" s="240"/>
      <c r="BA702" s="240"/>
      <c r="BB702" s="240"/>
      <c r="BC702" s="240"/>
      <c r="BD702" s="240"/>
      <c r="BE702" s="240"/>
      <c r="BF702" s="240"/>
      <c r="BG702" s="240"/>
      <c r="BH702" s="240"/>
      <c r="BI702" s="240"/>
      <c r="BJ702" s="240"/>
      <c r="BK702" s="240"/>
      <c r="BL702" s="240"/>
      <c r="BM702" s="240"/>
      <c r="BN702" s="240"/>
      <c r="BO702" s="240"/>
      <c r="BP702" s="240"/>
      <c r="BQ702" s="240"/>
      <c r="BR702" s="240"/>
      <c r="BS702" s="297"/>
      <c r="BT702" s="240"/>
      <c r="BU702" s="240"/>
      <c r="BV702" s="240"/>
      <c r="BW702" s="240"/>
      <c r="BX702" s="240"/>
      <c r="BY702" s="240"/>
      <c r="BZ702" s="240"/>
      <c r="CA702" s="240"/>
      <c r="CB702" s="240"/>
      <c r="CC702" s="240"/>
      <c r="CD702" s="240"/>
      <c r="CE702" s="240"/>
      <c r="CF702" s="240"/>
      <c r="CG702" s="240"/>
      <c r="CH702" s="240"/>
      <c r="CI702" s="240"/>
      <c r="CJ702" s="240"/>
      <c r="CK702" s="240"/>
      <c r="CL702" s="240"/>
      <c r="CM702" s="240"/>
      <c r="CN702" s="240"/>
      <c r="CO702" s="240"/>
      <c r="CP702" s="240"/>
      <c r="CQ702" s="240"/>
      <c r="CR702" s="240"/>
      <c r="CS702" s="240"/>
      <c r="CT702" s="240"/>
      <c r="CU702" s="240"/>
      <c r="CV702" s="240"/>
      <c r="CW702" s="240"/>
      <c r="CX702" s="240"/>
      <c r="CY702" s="240"/>
      <c r="CZ702" s="240"/>
      <c r="DA702" s="240"/>
      <c r="DB702" s="240"/>
      <c r="DC702" s="240"/>
      <c r="DD702" s="240"/>
      <c r="DE702" s="240"/>
      <c r="DF702" s="240"/>
      <c r="DG702" s="240"/>
      <c r="DH702" s="240"/>
      <c r="DI702" s="240"/>
      <c r="DJ702" s="240"/>
      <c r="DK702" s="240"/>
      <c r="DL702" s="240"/>
      <c r="DM702" s="240"/>
      <c r="DN702" s="240"/>
      <c r="DO702" s="240"/>
      <c r="DP702" s="240"/>
      <c r="DQ702" s="240"/>
      <c r="DR702" s="240"/>
      <c r="DS702" s="240"/>
      <c r="DT702" s="240"/>
      <c r="DU702" s="240"/>
      <c r="DV702" s="240"/>
      <c r="DW702" s="240"/>
      <c r="DX702" s="240"/>
      <c r="DY702" s="240"/>
      <c r="DZ702" s="240"/>
      <c r="EA702" s="240"/>
      <c r="EB702" s="240"/>
      <c r="EC702" s="240"/>
      <c r="ED702" s="240"/>
      <c r="EE702" s="240"/>
      <c r="EF702" s="240"/>
      <c r="EG702" s="240"/>
      <c r="EH702" s="240"/>
      <c r="EI702" s="240"/>
      <c r="EJ702" s="240"/>
      <c r="EK702" s="240"/>
      <c r="EL702" s="359"/>
      <c r="EM702" s="245"/>
      <c r="EN702" s="245"/>
      <c r="EO702" s="245"/>
      <c r="EP702" s="245"/>
      <c r="EQ702" s="254"/>
      <c r="ER702" s="240"/>
      <c r="ES702" s="240"/>
      <c r="ET702" s="240"/>
      <c r="EU702" s="241"/>
      <c r="EV702" s="241"/>
      <c r="EW702" s="241"/>
      <c r="EX702" s="241"/>
      <c r="EY702" s="241"/>
      <c r="EZ702" s="241"/>
      <c r="FA702" s="241"/>
      <c r="FB702" s="241"/>
      <c r="FC702" s="241"/>
      <c r="FD702" s="241"/>
      <c r="FE702" s="241"/>
      <c r="FF702" s="241"/>
      <c r="FG702" s="241"/>
      <c r="FH702" s="241"/>
      <c r="FI702" s="241"/>
      <c r="FJ702" s="241"/>
      <c r="FK702" s="241"/>
      <c r="FL702" s="241"/>
      <c r="FM702" s="241"/>
      <c r="FN702" s="241"/>
      <c r="FO702" s="241"/>
      <c r="FP702" s="241"/>
      <c r="FQ702" s="241"/>
      <c r="FR702" s="241"/>
      <c r="FS702" s="241"/>
      <c r="FT702" s="241"/>
      <c r="FU702" s="241"/>
      <c r="FV702" s="241"/>
      <c r="FW702" s="241"/>
      <c r="FX702" s="241"/>
      <c r="FY702" s="241"/>
      <c r="FZ702" s="241"/>
      <c r="GA702" s="241"/>
      <c r="GB702" s="241"/>
      <c r="GC702" s="241"/>
      <c r="GD702" s="241"/>
      <c r="GE702" s="241"/>
      <c r="GF702" s="241"/>
      <c r="GG702" s="193"/>
    </row>
    <row r="703" spans="2:189" s="243" customFormat="1" ht="11.45" hidden="1" customHeight="1">
      <c r="B703" s="244"/>
      <c r="C703" s="240"/>
      <c r="D703" s="240"/>
      <c r="E703" s="240"/>
      <c r="F703" s="240"/>
      <c r="G703" s="240"/>
      <c r="H703" s="240"/>
      <c r="I703" s="240"/>
      <c r="J703" s="240"/>
      <c r="K703" s="240"/>
      <c r="L703" s="297"/>
      <c r="M703" s="297"/>
      <c r="N703" s="297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97"/>
      <c r="BT703" s="240"/>
      <c r="BU703" s="240"/>
      <c r="BV703" s="240"/>
      <c r="BW703" s="240"/>
      <c r="BX703" s="240"/>
      <c r="BY703" s="240"/>
      <c r="BZ703" s="240"/>
      <c r="CA703" s="240"/>
      <c r="CB703" s="240"/>
      <c r="CC703" s="240"/>
      <c r="CD703" s="240"/>
      <c r="CE703" s="240"/>
      <c r="CF703" s="240"/>
      <c r="CG703" s="240"/>
      <c r="CH703" s="240"/>
      <c r="CI703" s="240"/>
      <c r="CJ703" s="240"/>
      <c r="CK703" s="240"/>
      <c r="CL703" s="240"/>
      <c r="CM703" s="240"/>
      <c r="CN703" s="240"/>
      <c r="CO703" s="240"/>
      <c r="CP703" s="240"/>
      <c r="CQ703" s="240"/>
      <c r="CR703" s="240"/>
      <c r="CS703" s="240"/>
      <c r="CT703" s="240"/>
      <c r="CU703" s="240"/>
      <c r="CV703" s="240"/>
      <c r="CW703" s="240"/>
      <c r="CX703" s="240"/>
      <c r="CY703" s="240"/>
      <c r="CZ703" s="240"/>
      <c r="DA703" s="240"/>
      <c r="DB703" s="240"/>
      <c r="DC703" s="240"/>
      <c r="DD703" s="240"/>
      <c r="DE703" s="240"/>
      <c r="DF703" s="240"/>
      <c r="DG703" s="240"/>
      <c r="DH703" s="240"/>
      <c r="DI703" s="240"/>
      <c r="DJ703" s="240"/>
      <c r="DK703" s="240"/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0"/>
      <c r="DW703" s="240"/>
      <c r="DX703" s="240"/>
      <c r="DY703" s="240"/>
      <c r="DZ703" s="240"/>
      <c r="EA703" s="240"/>
      <c r="EB703" s="240"/>
      <c r="EC703" s="240"/>
      <c r="ED703" s="240"/>
      <c r="EE703" s="240"/>
      <c r="EF703" s="240"/>
      <c r="EG703" s="240"/>
      <c r="EH703" s="240"/>
      <c r="EI703" s="240"/>
      <c r="EJ703" s="240"/>
      <c r="EK703" s="240"/>
      <c r="EL703" s="359"/>
      <c r="EM703" s="245"/>
      <c r="EN703" s="245"/>
      <c r="EO703" s="245"/>
      <c r="EP703" s="245"/>
      <c r="EQ703" s="254"/>
      <c r="ER703" s="240"/>
      <c r="ES703" s="240"/>
      <c r="ET703" s="240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193"/>
    </row>
    <row r="704" spans="2:189" s="243" customFormat="1" ht="11.45" hidden="1" customHeight="1">
      <c r="B704" s="244"/>
      <c r="C704" s="240"/>
      <c r="D704" s="240"/>
      <c r="E704" s="240"/>
      <c r="F704" s="240"/>
      <c r="G704" s="240" t="s">
        <v>616</v>
      </c>
      <c r="H704" s="240"/>
      <c r="I704" s="240"/>
      <c r="J704" s="240"/>
      <c r="K704" s="240" t="s">
        <v>132</v>
      </c>
      <c r="L704" s="297"/>
      <c r="M704" s="1775" t="e">
        <f>토목기계경비!$J$112</f>
        <v>#REF!</v>
      </c>
      <c r="N704" s="1775"/>
      <c r="O704" s="1775"/>
      <c r="P704" s="1775"/>
      <c r="Q704" s="1775"/>
      <c r="R704" s="240"/>
      <c r="S704" s="240" t="s">
        <v>683</v>
      </c>
      <c r="T704" s="240"/>
      <c r="U704" s="240"/>
      <c r="V704" s="240" t="str">
        <f>TEXT(BE701,"#,##0.#######")</f>
        <v>6,456.52</v>
      </c>
      <c r="W704" s="240"/>
      <c r="X704" s="240"/>
      <c r="Y704" s="240"/>
      <c r="Z704" s="240"/>
      <c r="AA704" s="240"/>
      <c r="AB704" s="240" t="s">
        <v>652</v>
      </c>
      <c r="AC704" s="240"/>
      <c r="AD704" s="240"/>
      <c r="AE704" s="240" t="str">
        <f>TEXT(20,"#,##0.#######")</f>
        <v>20.</v>
      </c>
      <c r="AF704" s="240"/>
      <c r="AG704" s="240" t="s">
        <v>369</v>
      </c>
      <c r="AH704" s="240"/>
      <c r="AI704" s="240"/>
      <c r="AJ704" s="240" t="s">
        <v>134</v>
      </c>
      <c r="AK704" s="240"/>
      <c r="AL704" s="240" t="e">
        <f>TEXT(TRUNC(M704/BE701*AE704,1),"#,##0.#")</f>
        <v>#REF!</v>
      </c>
      <c r="AM704" s="240"/>
      <c r="AN704" s="240"/>
      <c r="AP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97"/>
      <c r="BT704" s="240"/>
      <c r="BU704" s="240"/>
      <c r="BV704" s="240"/>
      <c r="BW704" s="240"/>
      <c r="BX704" s="240"/>
      <c r="BY704" s="240"/>
      <c r="BZ704" s="240"/>
      <c r="CA704" s="240"/>
      <c r="CB704" s="240"/>
      <c r="CC704" s="240"/>
      <c r="CD704" s="240"/>
      <c r="CE704" s="240"/>
      <c r="CF704" s="240"/>
      <c r="CG704" s="240"/>
      <c r="CH704" s="240"/>
      <c r="CI704" s="240"/>
      <c r="CJ704" s="240"/>
      <c r="CK704" s="240"/>
      <c r="CL704" s="240"/>
      <c r="CM704" s="240"/>
      <c r="CN704" s="240"/>
      <c r="CO704" s="240"/>
      <c r="CP704" s="240"/>
      <c r="CQ704" s="240"/>
      <c r="CR704" s="240"/>
      <c r="CS704" s="240"/>
      <c r="CT704" s="240"/>
      <c r="CU704" s="240"/>
      <c r="CV704" s="240"/>
      <c r="CW704" s="240"/>
      <c r="CX704" s="240"/>
      <c r="CY704" s="240"/>
      <c r="CZ704" s="240"/>
      <c r="DA704" s="240"/>
      <c r="DB704" s="240"/>
      <c r="DC704" s="240"/>
      <c r="DD704" s="240"/>
      <c r="DE704" s="240"/>
      <c r="DF704" s="240"/>
      <c r="DG704" s="240"/>
      <c r="DH704" s="240"/>
      <c r="DI704" s="240"/>
      <c r="DJ704" s="240"/>
      <c r="DK704" s="240"/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0"/>
      <c r="DW704" s="240"/>
      <c r="DX704" s="240"/>
      <c r="DY704" s="240"/>
      <c r="DZ704" s="240"/>
      <c r="EA704" s="240"/>
      <c r="EB704" s="240"/>
      <c r="EC704" s="240"/>
      <c r="ED704" s="240"/>
      <c r="EE704" s="240"/>
      <c r="EF704" s="240"/>
      <c r="EG704" s="240"/>
      <c r="EH704" s="240"/>
      <c r="EI704" s="240"/>
      <c r="EJ704" s="240"/>
      <c r="EK704" s="240"/>
      <c r="EL704" s="359"/>
      <c r="EM704" s="245"/>
      <c r="EN704" s="245"/>
      <c r="EO704" s="245"/>
      <c r="EP704" s="245"/>
      <c r="EQ704" s="254"/>
      <c r="ER704" s="240"/>
      <c r="ES704" s="240"/>
      <c r="ET704" s="240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193"/>
    </row>
    <row r="705" spans="2:189" s="243" customFormat="1" ht="11.45" hidden="1" customHeight="1">
      <c r="B705" s="244"/>
      <c r="C705" s="240"/>
      <c r="D705" s="240"/>
      <c r="E705" s="240"/>
      <c r="F705" s="240"/>
      <c r="G705" s="240" t="s">
        <v>617</v>
      </c>
      <c r="H705" s="240"/>
      <c r="I705" s="240"/>
      <c r="J705" s="240"/>
      <c r="K705" s="240" t="s">
        <v>132</v>
      </c>
      <c r="L705" s="297"/>
      <c r="M705" s="1775" t="e">
        <f>토목기계경비!$K$112</f>
        <v>#REF!</v>
      </c>
      <c r="N705" s="1775"/>
      <c r="O705" s="1775"/>
      <c r="P705" s="1775"/>
      <c r="Q705" s="1775"/>
      <c r="R705" s="240"/>
      <c r="S705" s="240" t="s">
        <v>683</v>
      </c>
      <c r="T705" s="240"/>
      <c r="U705" s="240"/>
      <c r="V705" s="240" t="str">
        <f>TEXT(6456.52,"#,##0.#######")</f>
        <v>6,456.52</v>
      </c>
      <c r="W705" s="240"/>
      <c r="X705" s="240"/>
      <c r="Y705" s="240"/>
      <c r="Z705" s="240"/>
      <c r="AA705" s="240"/>
      <c r="AB705" s="240" t="s">
        <v>652</v>
      </c>
      <c r="AC705" s="240"/>
      <c r="AD705" s="240"/>
      <c r="AE705" s="240" t="str">
        <f>TEXT(20,"#,##0.#######")</f>
        <v>20.</v>
      </c>
      <c r="AF705" s="240"/>
      <c r="AG705" s="240" t="s">
        <v>369</v>
      </c>
      <c r="AH705" s="240"/>
      <c r="AI705" s="240"/>
      <c r="AJ705" s="240" t="s">
        <v>652</v>
      </c>
      <c r="AK705" s="240"/>
      <c r="AL705" s="240" t="s">
        <v>722</v>
      </c>
      <c r="AM705" s="240"/>
      <c r="AN705" s="240"/>
      <c r="AO705" s="240" t="s">
        <v>134</v>
      </c>
      <c r="AQ705" s="240" t="e">
        <f>TEXT(M705,"#,##0.#######")</f>
        <v>#REF!</v>
      </c>
      <c r="AR705" s="240"/>
      <c r="AS705" s="240"/>
      <c r="AU705" s="240"/>
      <c r="AV705" s="240" t="s">
        <v>683</v>
      </c>
      <c r="AW705" s="240"/>
      <c r="AX705" s="240" t="str">
        <f>TEXT(6456.52,"#,##0.#######")</f>
        <v>6,456.52</v>
      </c>
      <c r="AY705" s="240"/>
      <c r="AZ705" s="240"/>
      <c r="BA705" s="240"/>
      <c r="BB705" s="240"/>
      <c r="BD705" s="240" t="s">
        <v>652</v>
      </c>
      <c r="BE705" s="240"/>
      <c r="BF705" s="297" t="str">
        <f>TEXT(AE705,"#,##0.#######")</f>
        <v>20.</v>
      </c>
      <c r="BG705" s="240"/>
      <c r="BH705" s="240" t="s">
        <v>652</v>
      </c>
      <c r="BI705" s="240"/>
      <c r="BJ705" s="240" t="str">
        <f>TEXT(AP698,"#,##0.#######")</f>
        <v>0.78</v>
      </c>
      <c r="BK705" s="240"/>
      <c r="BL705" s="240"/>
      <c r="BM705" s="240" t="s">
        <v>134</v>
      </c>
      <c r="BN705" s="240" t="e">
        <f>TEXT(TRUNC(M705/6456.52*AE705*AP698,1),"#,##0.#")</f>
        <v>#REF!</v>
      </c>
      <c r="BO705" s="240"/>
      <c r="BP705" s="240"/>
      <c r="BQ705" s="240"/>
      <c r="BR705" s="240"/>
      <c r="BS705" s="307"/>
      <c r="BT705" s="240"/>
      <c r="BV705" s="240"/>
      <c r="BX705" s="240"/>
      <c r="BY705" s="240"/>
      <c r="BZ705" s="240"/>
      <c r="CA705" s="240"/>
      <c r="CC705" s="240"/>
      <c r="CE705" s="240"/>
      <c r="CF705" s="240"/>
      <c r="CG705" s="240"/>
      <c r="CH705" s="240"/>
      <c r="CI705" s="240"/>
      <c r="CJ705" s="240"/>
      <c r="CK705" s="240"/>
      <c r="CL705" s="240"/>
      <c r="CM705" s="240"/>
      <c r="CN705" s="240"/>
      <c r="CO705" s="240"/>
      <c r="CP705" s="240"/>
      <c r="CQ705" s="240"/>
      <c r="CR705" s="240"/>
      <c r="CS705" s="240"/>
      <c r="CT705" s="240"/>
      <c r="CU705" s="240"/>
      <c r="CV705" s="240"/>
      <c r="CW705" s="240"/>
      <c r="CX705" s="240"/>
      <c r="CY705" s="240"/>
      <c r="CZ705" s="240"/>
      <c r="DA705" s="240"/>
      <c r="DB705" s="240"/>
      <c r="DC705" s="240"/>
      <c r="DD705" s="240"/>
      <c r="DE705" s="240"/>
      <c r="DF705" s="240"/>
      <c r="DG705" s="240"/>
      <c r="DH705" s="240"/>
      <c r="DI705" s="240"/>
      <c r="DJ705" s="240"/>
      <c r="DK705" s="240"/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0"/>
      <c r="DW705" s="240"/>
      <c r="DX705" s="240"/>
      <c r="DY705" s="240"/>
      <c r="DZ705" s="240"/>
      <c r="EA705" s="240"/>
      <c r="EB705" s="240"/>
      <c r="EC705" s="240"/>
      <c r="ED705" s="240"/>
      <c r="EE705" s="240"/>
      <c r="EF705" s="240"/>
      <c r="EG705" s="240"/>
      <c r="EH705" s="240"/>
      <c r="EI705" s="240"/>
      <c r="EJ705" s="240"/>
      <c r="EK705" s="240"/>
      <c r="EL705" s="359"/>
      <c r="EM705" s="245"/>
      <c r="EN705" s="245"/>
      <c r="EO705" s="245"/>
      <c r="EP705" s="245"/>
      <c r="EQ705" s="254"/>
      <c r="ER705" s="240"/>
      <c r="ES705" s="240"/>
      <c r="ET705" s="240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193"/>
    </row>
    <row r="706" spans="2:189" s="243" customFormat="1" ht="11.45" hidden="1" customHeight="1">
      <c r="B706" s="244"/>
      <c r="C706" s="240"/>
      <c r="D706" s="240"/>
      <c r="E706" s="240"/>
      <c r="F706" s="240"/>
      <c r="G706" s="240" t="s">
        <v>679</v>
      </c>
      <c r="H706" s="240"/>
      <c r="I706" s="240" t="s">
        <v>680</v>
      </c>
      <c r="J706" s="240"/>
      <c r="K706" s="240" t="s">
        <v>132</v>
      </c>
      <c r="L706" s="297"/>
      <c r="M706" s="1775">
        <f>토목기계경비!$L$112</f>
        <v>8908</v>
      </c>
      <c r="N706" s="1775"/>
      <c r="O706" s="1775"/>
      <c r="P706" s="1775"/>
      <c r="Q706" s="1775"/>
      <c r="R706" s="240"/>
      <c r="S706" s="240" t="s">
        <v>683</v>
      </c>
      <c r="T706" s="240"/>
      <c r="U706" s="240"/>
      <c r="V706" s="240" t="str">
        <f>TEXT(BE701,"#,##0.#######")</f>
        <v>6,456.52</v>
      </c>
      <c r="W706" s="240"/>
      <c r="X706" s="240"/>
      <c r="Y706" s="240"/>
      <c r="Z706" s="240"/>
      <c r="AA706" s="240"/>
      <c r="AB706" s="240" t="s">
        <v>652</v>
      </c>
      <c r="AC706" s="240"/>
      <c r="AD706" s="240"/>
      <c r="AE706" s="240" t="str">
        <f>TEXT(20,"#,##0.#######")</f>
        <v>20.</v>
      </c>
      <c r="AF706" s="240"/>
      <c r="AG706" s="240" t="s">
        <v>369</v>
      </c>
      <c r="AH706" s="240"/>
      <c r="AI706" s="240"/>
      <c r="AJ706" s="240" t="s">
        <v>134</v>
      </c>
      <c r="AK706" s="240"/>
      <c r="AL706" s="240" t="str">
        <f>TEXT(TRUNC(M706/BE701*AE706,1),"#,##0.#")</f>
        <v>27.5</v>
      </c>
      <c r="AM706" s="240"/>
      <c r="AN706" s="240"/>
      <c r="AO706" s="240"/>
      <c r="AQ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0"/>
      <c r="BN706" s="240"/>
      <c r="BO706" s="240"/>
      <c r="BQ706" s="240"/>
      <c r="BR706" s="240"/>
      <c r="BS706" s="297"/>
      <c r="BT706" s="240"/>
      <c r="BU706" s="240"/>
      <c r="BV706" s="240"/>
      <c r="BW706" s="240"/>
      <c r="BX706" s="240"/>
      <c r="BY706" s="240"/>
      <c r="BZ706" s="240"/>
      <c r="CA706" s="240"/>
      <c r="CB706" s="240"/>
      <c r="CC706" s="240"/>
      <c r="CD706" s="240"/>
      <c r="CE706" s="240"/>
      <c r="CF706" s="240"/>
      <c r="CG706" s="240"/>
      <c r="CH706" s="240"/>
      <c r="CI706" s="240"/>
      <c r="CJ706" s="240"/>
      <c r="CK706" s="240"/>
      <c r="CL706" s="240"/>
      <c r="CM706" s="240"/>
      <c r="CN706" s="240"/>
      <c r="CO706" s="240"/>
      <c r="CP706" s="240"/>
      <c r="CQ706" s="240"/>
      <c r="CR706" s="240"/>
      <c r="CS706" s="240"/>
      <c r="CT706" s="240"/>
      <c r="CU706" s="240"/>
      <c r="CV706" s="240"/>
      <c r="CW706" s="240"/>
      <c r="CX706" s="240"/>
      <c r="CY706" s="240"/>
      <c r="CZ706" s="240"/>
      <c r="DA706" s="240"/>
      <c r="DB706" s="240"/>
      <c r="DC706" s="240"/>
      <c r="DD706" s="240"/>
      <c r="DE706" s="240"/>
      <c r="DF706" s="240"/>
      <c r="DG706" s="240"/>
      <c r="DH706" s="240"/>
      <c r="DI706" s="240"/>
      <c r="DJ706" s="240"/>
      <c r="DK706" s="240"/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0"/>
      <c r="DW706" s="240"/>
      <c r="DX706" s="240"/>
      <c r="DY706" s="240"/>
      <c r="DZ706" s="240"/>
      <c r="EA706" s="240"/>
      <c r="EB706" s="240"/>
      <c r="EC706" s="240"/>
      <c r="ED706" s="240"/>
      <c r="EE706" s="240"/>
      <c r="EF706" s="240"/>
      <c r="EG706" s="240"/>
      <c r="EH706" s="240"/>
      <c r="EI706" s="240"/>
      <c r="EJ706" s="240"/>
      <c r="EK706" s="240"/>
      <c r="EL706" s="359"/>
      <c r="EM706" s="245"/>
      <c r="EN706" s="245"/>
      <c r="EO706" s="245"/>
      <c r="EP706" s="245"/>
      <c r="EQ706" s="254"/>
      <c r="ER706" s="240"/>
      <c r="ES706" s="240"/>
      <c r="ET706" s="240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193"/>
    </row>
    <row r="707" spans="2:189" s="243" customFormat="1" ht="11.45" hidden="1" customHeight="1">
      <c r="B707" s="244"/>
      <c r="C707" s="240"/>
      <c r="D707" s="240"/>
      <c r="E707" s="240"/>
      <c r="F707" s="240"/>
      <c r="G707" s="240" t="s">
        <v>688</v>
      </c>
      <c r="H707" s="240"/>
      <c r="I707" s="240" t="s">
        <v>96</v>
      </c>
      <c r="J707" s="240"/>
      <c r="K707" s="240" t="s">
        <v>132</v>
      </c>
      <c r="L707" s="297"/>
      <c r="M707" s="297" t="e">
        <f>TEXT(AL704+BN705+AL706,"#,##0.#######")</f>
        <v>#REF!</v>
      </c>
      <c r="N707" s="297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  <c r="AA707" s="240"/>
      <c r="AB707" s="240"/>
      <c r="AC707" s="240"/>
      <c r="AD707" s="240"/>
      <c r="AE707" s="240"/>
      <c r="AF707" s="240"/>
      <c r="AG707" s="240"/>
      <c r="AH707" s="240"/>
      <c r="AI707" s="240"/>
      <c r="AJ707" s="240"/>
      <c r="AK707" s="240"/>
      <c r="AL707" s="240"/>
      <c r="AN707" s="240"/>
      <c r="AO707" s="240"/>
      <c r="AP707" s="240"/>
      <c r="AQ707" s="240"/>
      <c r="AR707" s="240"/>
      <c r="AS707" s="240"/>
      <c r="AT707" s="240"/>
      <c r="AU707" s="240"/>
      <c r="AV707" s="240"/>
      <c r="AW707" s="240"/>
      <c r="AX707" s="240"/>
      <c r="AY707" s="240"/>
      <c r="AZ707" s="240"/>
      <c r="BA707" s="240"/>
      <c r="BB707" s="240"/>
      <c r="BC707" s="240"/>
      <c r="BD707" s="240"/>
      <c r="BE707" s="240"/>
      <c r="BF707" s="240"/>
      <c r="BG707" s="240"/>
      <c r="BH707" s="240"/>
      <c r="BI707" s="240"/>
      <c r="BJ707" s="240"/>
      <c r="BK707" s="240"/>
      <c r="BL707" s="240"/>
      <c r="BM707" s="240"/>
      <c r="BN707" s="240"/>
      <c r="BO707" s="240"/>
      <c r="BQ707" s="240"/>
      <c r="BR707" s="240"/>
      <c r="BS707" s="297"/>
      <c r="BT707" s="240"/>
      <c r="BU707" s="240"/>
      <c r="BV707" s="240"/>
      <c r="BW707" s="240"/>
      <c r="BX707" s="240"/>
      <c r="BY707" s="240"/>
      <c r="BZ707" s="240"/>
      <c r="CA707" s="240"/>
      <c r="CB707" s="240"/>
      <c r="CC707" s="240"/>
      <c r="CD707" s="240"/>
      <c r="CE707" s="240"/>
      <c r="CF707" s="240"/>
      <c r="CG707" s="240"/>
      <c r="CH707" s="240"/>
      <c r="CI707" s="240"/>
      <c r="CJ707" s="240"/>
      <c r="CK707" s="240"/>
      <c r="CL707" s="240"/>
      <c r="CM707" s="240"/>
      <c r="CN707" s="240"/>
      <c r="CO707" s="240"/>
      <c r="CP707" s="240"/>
      <c r="CQ707" s="240"/>
      <c r="CR707" s="240"/>
      <c r="CS707" s="240"/>
      <c r="CT707" s="240"/>
      <c r="CU707" s="240"/>
      <c r="CV707" s="240"/>
      <c r="CW707" s="240"/>
      <c r="CX707" s="240"/>
      <c r="CY707" s="240"/>
      <c r="CZ707" s="240"/>
      <c r="DA707" s="240"/>
      <c r="DB707" s="240"/>
      <c r="DC707" s="240"/>
      <c r="DD707" s="240"/>
      <c r="DE707" s="240"/>
      <c r="DF707" s="240"/>
      <c r="DG707" s="240"/>
      <c r="DH707" s="240"/>
      <c r="DI707" s="240"/>
      <c r="DJ707" s="240"/>
      <c r="DK707" s="240"/>
      <c r="DL707" s="240"/>
      <c r="DM707" s="240"/>
      <c r="DN707" s="240"/>
      <c r="DO707" s="240"/>
      <c r="DP707" s="240"/>
      <c r="DQ707" s="240"/>
      <c r="DR707" s="240"/>
      <c r="DS707" s="240"/>
      <c r="DT707" s="240"/>
      <c r="DU707" s="240"/>
      <c r="DV707" s="240"/>
      <c r="DW707" s="240"/>
      <c r="DX707" s="240"/>
      <c r="DY707" s="240"/>
      <c r="DZ707" s="240"/>
      <c r="EA707" s="240"/>
      <c r="EB707" s="240"/>
      <c r="EC707" s="240"/>
      <c r="ED707" s="240"/>
      <c r="EE707" s="240"/>
      <c r="EF707" s="240"/>
      <c r="EG707" s="240"/>
      <c r="EH707" s="240"/>
      <c r="EI707" s="240"/>
      <c r="EJ707" s="240"/>
      <c r="EK707" s="240"/>
      <c r="EL707" s="359"/>
      <c r="EM707" s="245" t="e">
        <f>EN707+EO707+EP707</f>
        <v>#REF!</v>
      </c>
      <c r="EN707" s="245" t="e">
        <f>TEXT(AL704,"#,###.0")</f>
        <v>#REF!</v>
      </c>
      <c r="EO707" s="245" t="e">
        <f>TEXT(BN705,"#,###.0")</f>
        <v>#REF!</v>
      </c>
      <c r="EP707" s="245" t="str">
        <f>TEXT(AL706,"#,###.0")</f>
        <v>27.5</v>
      </c>
      <c r="EQ707" s="254"/>
      <c r="ER707" s="240"/>
      <c r="ES707" s="240"/>
      <c r="ET707" s="240"/>
      <c r="EU707" s="241"/>
      <c r="EV707" s="241"/>
      <c r="EW707" s="241"/>
      <c r="EX707" s="241"/>
      <c r="EY707" s="241"/>
      <c r="EZ707" s="241"/>
      <c r="FA707" s="241"/>
      <c r="FB707" s="241"/>
      <c r="FC707" s="241"/>
      <c r="FD707" s="241"/>
      <c r="FE707" s="241"/>
      <c r="FF707" s="241"/>
      <c r="FG707" s="241"/>
      <c r="FH707" s="241"/>
      <c r="FI707" s="241"/>
      <c r="FJ707" s="241"/>
      <c r="FK707" s="241"/>
      <c r="FL707" s="241"/>
      <c r="FM707" s="241"/>
      <c r="FN707" s="241"/>
      <c r="FO707" s="241"/>
      <c r="FP707" s="241"/>
      <c r="FQ707" s="241"/>
      <c r="FR707" s="241"/>
      <c r="FS707" s="241"/>
      <c r="FT707" s="241"/>
      <c r="FU707" s="241"/>
      <c r="FV707" s="241"/>
      <c r="FW707" s="241"/>
      <c r="FX707" s="241"/>
      <c r="FY707" s="241"/>
      <c r="FZ707" s="241"/>
      <c r="GA707" s="241"/>
      <c r="GB707" s="241"/>
      <c r="GC707" s="241"/>
      <c r="GD707" s="241"/>
      <c r="GE707" s="241"/>
      <c r="GF707" s="241"/>
      <c r="GG707" s="193"/>
    </row>
    <row r="708" spans="2:189" s="243" customFormat="1" ht="11.45" hidden="1" customHeight="1">
      <c r="B708" s="244"/>
      <c r="C708" s="240"/>
      <c r="D708" s="240"/>
      <c r="E708" s="240"/>
      <c r="F708" s="240"/>
      <c r="G708" s="240"/>
      <c r="H708" s="240"/>
      <c r="I708" s="240"/>
      <c r="J708" s="240"/>
      <c r="K708" s="240"/>
      <c r="L708" s="297"/>
      <c r="M708" s="297"/>
      <c r="N708" s="297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0"/>
      <c r="AO708" s="240"/>
      <c r="AP708" s="240"/>
      <c r="AQ708" s="240"/>
      <c r="AR708" s="240"/>
      <c r="AS708" s="240"/>
      <c r="AT708" s="240"/>
      <c r="AU708" s="240"/>
      <c r="AV708" s="240"/>
      <c r="AW708" s="240"/>
      <c r="AX708" s="240"/>
      <c r="AY708" s="240"/>
      <c r="AZ708" s="240"/>
      <c r="BA708" s="240"/>
      <c r="BB708" s="240"/>
      <c r="BC708" s="240"/>
      <c r="BD708" s="240"/>
      <c r="BE708" s="240"/>
      <c r="BF708" s="240"/>
      <c r="BG708" s="240"/>
      <c r="BH708" s="240"/>
      <c r="BI708" s="240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97"/>
      <c r="BT708" s="240"/>
      <c r="BU708" s="240"/>
      <c r="BV708" s="240"/>
      <c r="BW708" s="240"/>
      <c r="BX708" s="240"/>
      <c r="BY708" s="240"/>
      <c r="BZ708" s="240"/>
      <c r="CA708" s="240"/>
      <c r="CB708" s="240"/>
      <c r="CC708" s="240"/>
      <c r="CD708" s="240"/>
      <c r="CE708" s="240"/>
      <c r="CF708" s="240"/>
      <c r="CG708" s="240"/>
      <c r="CH708" s="240"/>
      <c r="CI708" s="240"/>
      <c r="CJ708" s="240"/>
      <c r="CK708" s="240"/>
      <c r="CL708" s="240"/>
      <c r="CM708" s="240"/>
      <c r="CN708" s="240"/>
      <c r="CO708" s="240"/>
      <c r="CP708" s="240"/>
      <c r="CQ708" s="240"/>
      <c r="CR708" s="240"/>
      <c r="CS708" s="240"/>
      <c r="CT708" s="240"/>
      <c r="CU708" s="240"/>
      <c r="CV708" s="240"/>
      <c r="CW708" s="240"/>
      <c r="CX708" s="240"/>
      <c r="CY708" s="240"/>
      <c r="CZ708" s="240"/>
      <c r="DA708" s="240"/>
      <c r="DB708" s="240"/>
      <c r="DC708" s="240"/>
      <c r="DD708" s="240"/>
      <c r="DE708" s="240"/>
      <c r="DF708" s="240"/>
      <c r="DG708" s="240"/>
      <c r="DH708" s="240"/>
      <c r="DI708" s="240"/>
      <c r="DJ708" s="240"/>
      <c r="DK708" s="240"/>
      <c r="DL708" s="240"/>
      <c r="DM708" s="240"/>
      <c r="DN708" s="240"/>
      <c r="DO708" s="240"/>
      <c r="DP708" s="240"/>
      <c r="DQ708" s="240"/>
      <c r="DR708" s="240"/>
      <c r="DS708" s="240"/>
      <c r="DT708" s="240"/>
      <c r="DU708" s="240"/>
      <c r="DV708" s="240"/>
      <c r="DW708" s="240"/>
      <c r="DX708" s="240"/>
      <c r="DY708" s="240"/>
      <c r="DZ708" s="240"/>
      <c r="EA708" s="240"/>
      <c r="EB708" s="240"/>
      <c r="EC708" s="240"/>
      <c r="ED708" s="240"/>
      <c r="EE708" s="240"/>
      <c r="EF708" s="240"/>
      <c r="EG708" s="240"/>
      <c r="EH708" s="240"/>
      <c r="EI708" s="240"/>
      <c r="EJ708" s="240"/>
      <c r="EK708" s="240"/>
      <c r="EL708" s="359"/>
      <c r="EM708" s="245"/>
      <c r="EN708" s="245"/>
      <c r="EO708" s="245"/>
      <c r="EP708" s="245"/>
      <c r="EQ708" s="254"/>
      <c r="ER708" s="240"/>
      <c r="ES708" s="240"/>
      <c r="ET708" s="240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193"/>
    </row>
    <row r="709" spans="2:189" s="243" customFormat="1" ht="11.45" hidden="1" customHeight="1">
      <c r="B709" s="244"/>
      <c r="C709" s="240"/>
      <c r="D709" s="240" t="s">
        <v>677</v>
      </c>
      <c r="E709" s="240"/>
      <c r="F709" s="240"/>
      <c r="G709" s="240" t="s">
        <v>678</v>
      </c>
      <c r="H709" s="240"/>
      <c r="I709" s="240"/>
      <c r="J709" s="240"/>
      <c r="K709" s="240" t="s">
        <v>96</v>
      </c>
      <c r="L709" s="297"/>
      <c r="M709" s="297"/>
      <c r="N709" s="297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0"/>
      <c r="AO709" s="240"/>
      <c r="AP709" s="240"/>
      <c r="AQ709" s="240"/>
      <c r="AR709" s="240"/>
      <c r="AS709" s="240"/>
      <c r="AT709" s="240"/>
      <c r="AU709" s="240"/>
      <c r="AV709" s="240"/>
      <c r="AW709" s="240"/>
      <c r="AX709" s="240"/>
      <c r="AY709" s="240"/>
      <c r="AZ709" s="240"/>
      <c r="BA709" s="240"/>
      <c r="BB709" s="240"/>
      <c r="BC709" s="240"/>
      <c r="BD709" s="240"/>
      <c r="BE709" s="240"/>
      <c r="BF709" s="240"/>
      <c r="BG709" s="240"/>
      <c r="BH709" s="240"/>
      <c r="BI709" s="240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97"/>
      <c r="BT709" s="240"/>
      <c r="BU709" s="240"/>
      <c r="BV709" s="240"/>
      <c r="BW709" s="240"/>
      <c r="BX709" s="240"/>
      <c r="BY709" s="240"/>
      <c r="BZ709" s="240"/>
      <c r="CA709" s="240"/>
      <c r="CB709" s="240"/>
      <c r="CC709" s="240"/>
      <c r="CD709" s="240"/>
      <c r="CE709" s="240"/>
      <c r="CF709" s="240"/>
      <c r="CG709" s="240"/>
      <c r="CH709" s="240"/>
      <c r="CI709" s="240"/>
      <c r="CJ709" s="240"/>
      <c r="CK709" s="240"/>
      <c r="CL709" s="240"/>
      <c r="CM709" s="240"/>
      <c r="CN709" s="240"/>
      <c r="CO709" s="240"/>
      <c r="CP709" s="240"/>
      <c r="CQ709" s="240"/>
      <c r="CR709" s="240"/>
      <c r="CS709" s="240"/>
      <c r="CT709" s="240"/>
      <c r="CU709" s="240"/>
      <c r="CV709" s="240"/>
      <c r="CW709" s="240"/>
      <c r="CX709" s="240"/>
      <c r="CY709" s="240"/>
      <c r="CZ709" s="240"/>
      <c r="DA709" s="240"/>
      <c r="DB709" s="240"/>
      <c r="DC709" s="240"/>
      <c r="DD709" s="240"/>
      <c r="DE709" s="240"/>
      <c r="DF709" s="240"/>
      <c r="DG709" s="240"/>
      <c r="DH709" s="240"/>
      <c r="DI709" s="240"/>
      <c r="DJ709" s="240"/>
      <c r="DK709" s="240"/>
      <c r="DL709" s="240"/>
      <c r="DM709" s="240"/>
      <c r="DN709" s="240"/>
      <c r="DO709" s="240"/>
      <c r="DP709" s="240"/>
      <c r="DQ709" s="240"/>
      <c r="DR709" s="240"/>
      <c r="DS709" s="240"/>
      <c r="DT709" s="240"/>
      <c r="DU709" s="240"/>
      <c r="DV709" s="240"/>
      <c r="DW709" s="240"/>
      <c r="DX709" s="240"/>
      <c r="DY709" s="240"/>
      <c r="DZ709" s="240"/>
      <c r="EA709" s="240"/>
      <c r="EB709" s="240"/>
      <c r="EC709" s="240"/>
      <c r="ED709" s="240"/>
      <c r="EE709" s="240"/>
      <c r="EF709" s="240"/>
      <c r="EG709" s="240"/>
      <c r="EH709" s="240"/>
      <c r="EI709" s="240"/>
      <c r="EJ709" s="240"/>
      <c r="EK709" s="240"/>
      <c r="EL709" s="359"/>
      <c r="EM709" s="245"/>
      <c r="EN709" s="245"/>
      <c r="EO709" s="245"/>
      <c r="EP709" s="245"/>
      <c r="EQ709" s="254"/>
      <c r="ER709" s="240"/>
      <c r="ES709" s="240"/>
      <c r="ET709" s="240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193"/>
    </row>
    <row r="710" spans="2:189" s="243" customFormat="1" ht="11.45" hidden="1" customHeight="1">
      <c r="B710" s="244"/>
      <c r="C710" s="240"/>
      <c r="D710" s="240"/>
      <c r="E710" s="240"/>
      <c r="F710" s="240"/>
      <c r="G710" s="240"/>
      <c r="H710" s="240" t="s">
        <v>616</v>
      </c>
      <c r="I710" s="240"/>
      <c r="J710" s="240"/>
      <c r="K710" s="240"/>
      <c r="L710" s="297"/>
      <c r="M710" s="297"/>
      <c r="N710" s="297"/>
      <c r="O710" s="240" t="s">
        <v>132</v>
      </c>
      <c r="P710" s="240"/>
      <c r="Q710" s="240" t="e">
        <f>TEXT(EN677,"#,###.##")</f>
        <v>#REF!</v>
      </c>
      <c r="R710" s="240"/>
      <c r="S710" s="240"/>
      <c r="T710" s="240"/>
      <c r="U710" s="240"/>
      <c r="V710" s="240" t="s">
        <v>130</v>
      </c>
      <c r="W710" s="240"/>
      <c r="X710" s="240" t="e">
        <f>TEXT(EN707,"#,###.##")</f>
        <v>#REF!</v>
      </c>
      <c r="Y710" s="240"/>
      <c r="Z710" s="240"/>
      <c r="AB710" s="240" t="s">
        <v>134</v>
      </c>
      <c r="AC710" s="240"/>
      <c r="AD710" s="240" t="e">
        <f>TEXT(TRUNC(EN677+EN707,0),"#,##0")</f>
        <v>#REF!</v>
      </c>
      <c r="AE710" s="240"/>
      <c r="AF710" s="240"/>
      <c r="AH710" s="240"/>
      <c r="AI710" s="240"/>
      <c r="AJ710" s="240"/>
      <c r="AK710" s="240"/>
      <c r="AL710" s="240"/>
      <c r="AM710" s="240"/>
      <c r="AN710" s="240"/>
      <c r="AO710" s="240"/>
      <c r="AP710" s="240"/>
      <c r="AQ710" s="240"/>
      <c r="AR710" s="240"/>
      <c r="AS710" s="240"/>
      <c r="AT710" s="240"/>
      <c r="AU710" s="240"/>
      <c r="AV710" s="240"/>
      <c r="AW710" s="240"/>
      <c r="AX710" s="240"/>
      <c r="AY710" s="240"/>
      <c r="AZ710" s="240"/>
      <c r="BA710" s="240"/>
      <c r="BB710" s="240"/>
      <c r="BC710" s="240"/>
      <c r="BD710" s="240"/>
      <c r="BE710" s="240"/>
      <c r="BF710" s="240"/>
      <c r="BG710" s="240"/>
      <c r="BH710" s="240"/>
      <c r="BI710" s="240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97"/>
      <c r="BT710" s="240"/>
      <c r="BU710" s="240"/>
      <c r="BV710" s="240"/>
      <c r="BW710" s="240"/>
      <c r="BX710" s="240"/>
      <c r="BY710" s="240"/>
      <c r="BZ710" s="240"/>
      <c r="CA710" s="240"/>
      <c r="CB710" s="240"/>
      <c r="CC710" s="240"/>
      <c r="CD710" s="240"/>
      <c r="CE710" s="240"/>
      <c r="CF710" s="240"/>
      <c r="CG710" s="240"/>
      <c r="CH710" s="240"/>
      <c r="CI710" s="240"/>
      <c r="CJ710" s="240"/>
      <c r="CK710" s="240"/>
      <c r="CL710" s="240"/>
      <c r="CM710" s="240"/>
      <c r="CN710" s="240"/>
      <c r="CO710" s="240"/>
      <c r="CP710" s="240"/>
      <c r="CQ710" s="240"/>
      <c r="CR710" s="240"/>
      <c r="CS710" s="240"/>
      <c r="CT710" s="240"/>
      <c r="CU710" s="240"/>
      <c r="CV710" s="240"/>
      <c r="CW710" s="240"/>
      <c r="CX710" s="240"/>
      <c r="CY710" s="240"/>
      <c r="CZ710" s="240"/>
      <c r="DA710" s="240"/>
      <c r="DB710" s="240"/>
      <c r="DC710" s="240"/>
      <c r="DD710" s="240"/>
      <c r="DE710" s="240"/>
      <c r="DF710" s="240"/>
      <c r="DG710" s="240"/>
      <c r="DH710" s="240"/>
      <c r="DI710" s="240"/>
      <c r="DJ710" s="240"/>
      <c r="DK710" s="240"/>
      <c r="DL710" s="240"/>
      <c r="DM710" s="240"/>
      <c r="DN710" s="240"/>
      <c r="DO710" s="240"/>
      <c r="DP710" s="240"/>
      <c r="DQ710" s="240"/>
      <c r="DR710" s="240"/>
      <c r="DS710" s="240"/>
      <c r="DT710" s="240"/>
      <c r="DU710" s="240"/>
      <c r="DV710" s="240"/>
      <c r="DW710" s="240"/>
      <c r="DX710" s="240"/>
      <c r="DY710" s="240"/>
      <c r="DZ710" s="240"/>
      <c r="EA710" s="240"/>
      <c r="EB710" s="240"/>
      <c r="EC710" s="240"/>
      <c r="ED710" s="240"/>
      <c r="EE710" s="240"/>
      <c r="EF710" s="240"/>
      <c r="EG710" s="240"/>
      <c r="EH710" s="240"/>
      <c r="EI710" s="240"/>
      <c r="EJ710" s="240"/>
      <c r="EK710" s="240"/>
      <c r="EL710" s="359"/>
      <c r="EM710" s="245"/>
      <c r="EN710" s="245"/>
      <c r="EO710" s="245"/>
      <c r="EP710" s="245"/>
      <c r="EQ710" s="254"/>
      <c r="ER710" s="240"/>
      <c r="ES710" s="240"/>
      <c r="ET710" s="240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193"/>
    </row>
    <row r="711" spans="2:189" s="243" customFormat="1" ht="11.45" hidden="1" customHeight="1">
      <c r="B711" s="244"/>
      <c r="C711" s="240"/>
      <c r="D711" s="240"/>
      <c r="E711" s="240"/>
      <c r="F711" s="240"/>
      <c r="G711" s="240"/>
      <c r="H711" s="240" t="s">
        <v>617</v>
      </c>
      <c r="I711" s="240"/>
      <c r="J711" s="240"/>
      <c r="K711" s="240"/>
      <c r="L711" s="297"/>
      <c r="M711" s="297"/>
      <c r="N711" s="297"/>
      <c r="O711" s="240" t="s">
        <v>132</v>
      </c>
      <c r="P711" s="240"/>
      <c r="Q711" s="240" t="e">
        <f>TEXT(EO677,"#,###.##")</f>
        <v>#REF!</v>
      </c>
      <c r="R711" s="240"/>
      <c r="S711" s="240"/>
      <c r="T711" s="240"/>
      <c r="U711" s="240"/>
      <c r="V711" s="240" t="s">
        <v>130</v>
      </c>
      <c r="W711" s="240"/>
      <c r="X711" s="240" t="e">
        <f>TEXT(EO707,"#,###.##")</f>
        <v>#REF!</v>
      </c>
      <c r="Z711" s="240"/>
      <c r="AA711" s="240"/>
      <c r="AB711" s="240" t="s">
        <v>134</v>
      </c>
      <c r="AC711" s="240"/>
      <c r="AD711" s="240" t="e">
        <f>TEXT(TRUNC(EO677+EO707,0),"#,##0")</f>
        <v>#REF!</v>
      </c>
      <c r="AF711" s="240"/>
      <c r="AG711" s="240"/>
      <c r="AH711" s="240"/>
      <c r="AI711" s="240"/>
      <c r="AJ711" s="240"/>
      <c r="AK711" s="240"/>
      <c r="AL711" s="240"/>
      <c r="AM711" s="240"/>
      <c r="AN711" s="240"/>
      <c r="AO711" s="240"/>
      <c r="AP711" s="240"/>
      <c r="AQ711" s="240"/>
      <c r="AR711" s="240"/>
      <c r="AS711" s="240"/>
      <c r="AT711" s="240"/>
      <c r="AU711" s="240"/>
      <c r="AV711" s="240"/>
      <c r="AW711" s="240"/>
      <c r="AX711" s="240"/>
      <c r="AY711" s="240"/>
      <c r="AZ711" s="240"/>
      <c r="BA711" s="240"/>
      <c r="BB711" s="240"/>
      <c r="BC711" s="240"/>
      <c r="BD711" s="240"/>
      <c r="BE711" s="240"/>
      <c r="BF711" s="240"/>
      <c r="BG711" s="240"/>
      <c r="BH711" s="240"/>
      <c r="BI711" s="240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97"/>
      <c r="BT711" s="240"/>
      <c r="BU711" s="240"/>
      <c r="BV711" s="240"/>
      <c r="BW711" s="240"/>
      <c r="BX711" s="240"/>
      <c r="BY711" s="240"/>
      <c r="BZ711" s="240"/>
      <c r="CA711" s="240"/>
      <c r="CB711" s="240"/>
      <c r="CC711" s="240"/>
      <c r="CD711" s="240"/>
      <c r="CE711" s="240"/>
      <c r="CF711" s="240"/>
      <c r="CG711" s="240"/>
      <c r="CH711" s="240"/>
      <c r="CI711" s="240"/>
      <c r="CJ711" s="240"/>
      <c r="CK711" s="240"/>
      <c r="CL711" s="240"/>
      <c r="CM711" s="240"/>
      <c r="CN711" s="240"/>
      <c r="CO711" s="240"/>
      <c r="CP711" s="240"/>
      <c r="CQ711" s="240"/>
      <c r="CR711" s="240"/>
      <c r="CS711" s="240"/>
      <c r="CT711" s="240"/>
      <c r="CU711" s="240"/>
      <c r="CV711" s="240"/>
      <c r="CW711" s="240"/>
      <c r="CX711" s="240"/>
      <c r="CY711" s="240"/>
      <c r="CZ711" s="240"/>
      <c r="DA711" s="240"/>
      <c r="DB711" s="240"/>
      <c r="DC711" s="240"/>
      <c r="DD711" s="240"/>
      <c r="DE711" s="240"/>
      <c r="DF711" s="240"/>
      <c r="DG711" s="240"/>
      <c r="DH711" s="240"/>
      <c r="DI711" s="240"/>
      <c r="DJ711" s="240"/>
      <c r="DK711" s="240"/>
      <c r="DL711" s="240"/>
      <c r="DM711" s="240"/>
      <c r="DN711" s="240"/>
      <c r="DO711" s="240"/>
      <c r="DP711" s="240"/>
      <c r="DQ711" s="240"/>
      <c r="DR711" s="240"/>
      <c r="DS711" s="240"/>
      <c r="DT711" s="240"/>
      <c r="DU711" s="240"/>
      <c r="DV711" s="240"/>
      <c r="DW711" s="240"/>
      <c r="DX711" s="240"/>
      <c r="DY711" s="240"/>
      <c r="DZ711" s="240"/>
      <c r="EA711" s="240"/>
      <c r="EB711" s="240"/>
      <c r="EC711" s="240"/>
      <c r="ED711" s="240"/>
      <c r="EE711" s="240"/>
      <c r="EF711" s="240"/>
      <c r="EG711" s="240"/>
      <c r="EH711" s="240"/>
      <c r="EI711" s="240"/>
      <c r="EJ711" s="240"/>
      <c r="EK711" s="240"/>
      <c r="EL711" s="359"/>
      <c r="EM711" s="245"/>
      <c r="EN711" s="245"/>
      <c r="EO711" s="245"/>
      <c r="EP711" s="245"/>
      <c r="EQ711" s="254"/>
      <c r="ER711" s="240"/>
      <c r="ES711" s="240"/>
      <c r="ET711" s="240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193"/>
    </row>
    <row r="712" spans="2:189" s="243" customFormat="1" ht="11.45" hidden="1" customHeight="1">
      <c r="B712" s="244"/>
      <c r="C712" s="240"/>
      <c r="D712" s="240"/>
      <c r="E712" s="240"/>
      <c r="F712" s="240"/>
      <c r="G712" s="240"/>
      <c r="H712" s="240" t="s">
        <v>679</v>
      </c>
      <c r="I712" s="240"/>
      <c r="J712" s="297" t="s">
        <v>680</v>
      </c>
      <c r="K712" s="240"/>
      <c r="L712" s="307"/>
      <c r="M712" s="297"/>
      <c r="N712" s="297"/>
      <c r="O712" s="240" t="s">
        <v>132</v>
      </c>
      <c r="P712" s="240"/>
      <c r="Q712" s="240" t="e">
        <f>TEXT(EP677,"#,###.##")</f>
        <v>#REF!</v>
      </c>
      <c r="R712" s="240"/>
      <c r="S712" s="240"/>
      <c r="T712" s="240"/>
      <c r="U712" s="240"/>
      <c r="V712" s="240" t="s">
        <v>130</v>
      </c>
      <c r="W712" s="240"/>
      <c r="X712" s="240" t="str">
        <f>TEXT(EP707,"#,###.##")</f>
        <v>27.5</v>
      </c>
      <c r="Y712" s="240"/>
      <c r="Z712" s="240"/>
      <c r="AA712" s="240"/>
      <c r="AB712" s="240" t="s">
        <v>134</v>
      </c>
      <c r="AC712" s="240"/>
      <c r="AD712" s="240" t="e">
        <f>TEXT(TRUNC(EP677+EP707,0),"#,##0")</f>
        <v>#REF!</v>
      </c>
      <c r="AE712" s="240"/>
      <c r="AG712" s="240"/>
      <c r="AH712" s="240"/>
      <c r="AI712" s="240"/>
      <c r="AJ712" s="240"/>
      <c r="AK712" s="240"/>
      <c r="AL712" s="240"/>
      <c r="AM712" s="240"/>
      <c r="AN712" s="240"/>
      <c r="AO712" s="240"/>
      <c r="AP712" s="240"/>
      <c r="AQ712" s="240"/>
      <c r="AR712" s="240"/>
      <c r="AS712" s="240"/>
      <c r="AT712" s="240"/>
      <c r="AU712" s="240"/>
      <c r="AV712" s="240"/>
      <c r="AW712" s="240"/>
      <c r="AX712" s="240"/>
      <c r="AY712" s="240"/>
      <c r="AZ712" s="240"/>
      <c r="BA712" s="240"/>
      <c r="BB712" s="240"/>
      <c r="BC712" s="240"/>
      <c r="BD712" s="240"/>
      <c r="BE712" s="240"/>
      <c r="BF712" s="240"/>
      <c r="BG712" s="240"/>
      <c r="BH712" s="240"/>
      <c r="BI712" s="240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97"/>
      <c r="BT712" s="240"/>
      <c r="BU712" s="240"/>
      <c r="BV712" s="240"/>
      <c r="BW712" s="240"/>
      <c r="BX712" s="240"/>
      <c r="BY712" s="240"/>
      <c r="BZ712" s="240"/>
      <c r="CA712" s="240"/>
      <c r="CB712" s="240"/>
      <c r="CC712" s="240"/>
      <c r="CD712" s="240"/>
      <c r="CE712" s="240"/>
      <c r="CF712" s="240"/>
      <c r="CG712" s="240"/>
      <c r="CH712" s="240"/>
      <c r="CI712" s="240"/>
      <c r="CJ712" s="240"/>
      <c r="CK712" s="240"/>
      <c r="CL712" s="240"/>
      <c r="CM712" s="240"/>
      <c r="CN712" s="240"/>
      <c r="CO712" s="240"/>
      <c r="CP712" s="240"/>
      <c r="CQ712" s="240"/>
      <c r="CR712" s="240"/>
      <c r="CS712" s="240"/>
      <c r="CT712" s="240"/>
      <c r="CU712" s="240"/>
      <c r="CV712" s="240"/>
      <c r="CW712" s="240"/>
      <c r="CX712" s="240"/>
      <c r="CY712" s="240"/>
      <c r="CZ712" s="240"/>
      <c r="DA712" s="240"/>
      <c r="DB712" s="240"/>
      <c r="DC712" s="240"/>
      <c r="DD712" s="240"/>
      <c r="DE712" s="240"/>
      <c r="DF712" s="240"/>
      <c r="DG712" s="240"/>
      <c r="DH712" s="240"/>
      <c r="DI712" s="240"/>
      <c r="DJ712" s="240"/>
      <c r="DK712" s="240"/>
      <c r="DL712" s="240"/>
      <c r="DM712" s="240"/>
      <c r="DN712" s="240"/>
      <c r="DO712" s="240"/>
      <c r="DP712" s="240"/>
      <c r="DQ712" s="240"/>
      <c r="DR712" s="240"/>
      <c r="DS712" s="240"/>
      <c r="DT712" s="240"/>
      <c r="DU712" s="240"/>
      <c r="DV712" s="240"/>
      <c r="DW712" s="240"/>
      <c r="DX712" s="240"/>
      <c r="DY712" s="240"/>
      <c r="DZ712" s="240"/>
      <c r="EA712" s="240"/>
      <c r="EB712" s="240"/>
      <c r="EC712" s="240"/>
      <c r="ED712" s="240"/>
      <c r="EE712" s="240"/>
      <c r="EF712" s="240"/>
      <c r="EG712" s="240"/>
      <c r="EH712" s="240"/>
      <c r="EI712" s="240"/>
      <c r="EJ712" s="240"/>
      <c r="EK712" s="240"/>
      <c r="EL712" s="359"/>
      <c r="EM712" s="245"/>
      <c r="EN712" s="245"/>
      <c r="EO712" s="245"/>
      <c r="EP712" s="245"/>
      <c r="EQ712" s="254"/>
      <c r="ER712" s="240"/>
      <c r="ES712" s="240"/>
      <c r="ET712" s="240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193"/>
    </row>
    <row r="713" spans="2:189" s="243" customFormat="1" ht="11.45" hidden="1" customHeight="1">
      <c r="B713" s="244"/>
      <c r="C713" s="240"/>
      <c r="D713" s="240"/>
      <c r="E713" s="240"/>
      <c r="F713" s="240"/>
      <c r="G713" s="240"/>
      <c r="H713" s="240"/>
      <c r="I713" s="240"/>
      <c r="J713" s="240" t="s">
        <v>96</v>
      </c>
      <c r="K713" s="240"/>
      <c r="L713" s="297"/>
      <c r="M713" s="297"/>
      <c r="N713" s="297"/>
      <c r="O713" s="240" t="s">
        <v>132</v>
      </c>
      <c r="P713" s="240"/>
      <c r="Q713" s="240" t="e">
        <f>TEXT(AD710+AD711+AD712,"#,##0")</f>
        <v>#REF!</v>
      </c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0"/>
      <c r="AO713" s="240"/>
      <c r="AP713" s="240"/>
      <c r="AQ713" s="240"/>
      <c r="AR713" s="240"/>
      <c r="AS713" s="240"/>
      <c r="AT713" s="240"/>
      <c r="AU713" s="240"/>
      <c r="AV713" s="240"/>
      <c r="AW713" s="240"/>
      <c r="AX713" s="240"/>
      <c r="AY713" s="240"/>
      <c r="AZ713" s="240"/>
      <c r="BA713" s="240"/>
      <c r="BB713" s="240"/>
      <c r="BC713" s="240"/>
      <c r="BD713" s="240"/>
      <c r="BE713" s="240"/>
      <c r="BF713" s="240"/>
      <c r="BG713" s="240"/>
      <c r="BH713" s="240"/>
      <c r="BI713" s="240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97"/>
      <c r="BT713" s="240"/>
      <c r="BU713" s="240"/>
      <c r="BV713" s="240"/>
      <c r="BW713" s="240"/>
      <c r="BX713" s="240"/>
      <c r="BY713" s="240"/>
      <c r="BZ713" s="240"/>
      <c r="CA713" s="240"/>
      <c r="CB713" s="240"/>
      <c r="CC713" s="240"/>
      <c r="CD713" s="240"/>
      <c r="CE713" s="240"/>
      <c r="CF713" s="240"/>
      <c r="CG713" s="240"/>
      <c r="CH713" s="240"/>
      <c r="CI713" s="240"/>
      <c r="CJ713" s="240"/>
      <c r="CK713" s="240"/>
      <c r="CL713" s="240"/>
      <c r="CM713" s="240"/>
      <c r="CN713" s="240"/>
      <c r="CO713" s="240"/>
      <c r="CP713" s="240"/>
      <c r="CQ713" s="240"/>
      <c r="CR713" s="240"/>
      <c r="CS713" s="240"/>
      <c r="CT713" s="240"/>
      <c r="CU713" s="240"/>
      <c r="CV713" s="240"/>
      <c r="CW713" s="240"/>
      <c r="CX713" s="240"/>
      <c r="CY713" s="240"/>
      <c r="CZ713" s="240"/>
      <c r="DA713" s="240"/>
      <c r="DB713" s="240"/>
      <c r="DC713" s="240"/>
      <c r="DD713" s="240"/>
      <c r="DE713" s="240"/>
      <c r="DF713" s="240"/>
      <c r="DG713" s="240"/>
      <c r="DH713" s="240"/>
      <c r="DI713" s="240"/>
      <c r="DJ713" s="240"/>
      <c r="DK713" s="240"/>
      <c r="DL713" s="240"/>
      <c r="DM713" s="240"/>
      <c r="DN713" s="240"/>
      <c r="DO713" s="240"/>
      <c r="DP713" s="240"/>
      <c r="DQ713" s="240"/>
      <c r="DR713" s="240"/>
      <c r="DS713" s="240"/>
      <c r="DT713" s="240"/>
      <c r="DU713" s="240"/>
      <c r="DV713" s="240"/>
      <c r="DW713" s="240"/>
      <c r="DX713" s="240"/>
      <c r="DY713" s="240"/>
      <c r="DZ713" s="240"/>
      <c r="EA713" s="240"/>
      <c r="EB713" s="240"/>
      <c r="EC713" s="240"/>
      <c r="ED713" s="240"/>
      <c r="EE713" s="240"/>
      <c r="EF713" s="240"/>
      <c r="EG713" s="240"/>
      <c r="EH713" s="240"/>
      <c r="EI713" s="240"/>
      <c r="EJ713" s="240"/>
      <c r="EK713" s="240"/>
      <c r="EL713" s="359"/>
      <c r="EM713" s="250" t="e">
        <f>EN713+EO713+EP713</f>
        <v>#REF!</v>
      </c>
      <c r="EN713" s="245" t="e">
        <f>TEXT(AD710,"#,##0")</f>
        <v>#REF!</v>
      </c>
      <c r="EO713" s="245" t="e">
        <f>TEXT(AD711,"#,##0")</f>
        <v>#REF!</v>
      </c>
      <c r="EP713" s="245" t="e">
        <f>TEXT(AD712,"#,##0")</f>
        <v>#REF!</v>
      </c>
      <c r="EQ713" s="254"/>
      <c r="ER713" s="240"/>
      <c r="ES713" s="240"/>
      <c r="ET713" s="240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193"/>
    </row>
    <row r="714" spans="2:189" s="243" customFormat="1" ht="11.45" hidden="1" customHeight="1">
      <c r="B714" s="244"/>
      <c r="C714" s="240"/>
      <c r="D714" s="240"/>
      <c r="E714" s="240"/>
      <c r="F714" s="240"/>
      <c r="G714" s="240"/>
      <c r="H714" s="240"/>
      <c r="I714" s="240"/>
      <c r="J714" s="240"/>
      <c r="K714" s="240"/>
      <c r="L714" s="297"/>
      <c r="M714" s="297"/>
      <c r="N714" s="297"/>
      <c r="O714" s="240"/>
      <c r="P714" s="240"/>
      <c r="Q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  <c r="BC714" s="240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97"/>
      <c r="BT714" s="240"/>
      <c r="BU714" s="240"/>
      <c r="BV714" s="240"/>
      <c r="BW714" s="240"/>
      <c r="BX714" s="240"/>
      <c r="BY714" s="240"/>
      <c r="BZ714" s="240"/>
      <c r="CA714" s="240"/>
      <c r="CB714" s="240"/>
      <c r="CC714" s="240"/>
      <c r="CD714" s="240"/>
      <c r="CE714" s="240"/>
      <c r="CF714" s="240"/>
      <c r="CG714" s="240"/>
      <c r="CH714" s="240"/>
      <c r="CI714" s="240"/>
      <c r="CJ714" s="240"/>
      <c r="CK714" s="240"/>
      <c r="CL714" s="240"/>
      <c r="CM714" s="240"/>
      <c r="CN714" s="240"/>
      <c r="CO714" s="240"/>
      <c r="CP714" s="240"/>
      <c r="CQ714" s="240"/>
      <c r="CR714" s="240"/>
      <c r="CS714" s="240"/>
      <c r="CT714" s="240"/>
      <c r="CU714" s="240"/>
      <c r="CV714" s="240"/>
      <c r="CW714" s="240"/>
      <c r="CX714" s="240"/>
      <c r="CY714" s="240"/>
      <c r="CZ714" s="240"/>
      <c r="DA714" s="240"/>
      <c r="DB714" s="240"/>
      <c r="DC714" s="240"/>
      <c r="DD714" s="240"/>
      <c r="DE714" s="240"/>
      <c r="DF714" s="240"/>
      <c r="DG714" s="240"/>
      <c r="DH714" s="240"/>
      <c r="DI714" s="240"/>
      <c r="DJ714" s="240"/>
      <c r="DK714" s="240"/>
      <c r="DL714" s="240"/>
      <c r="DM714" s="240"/>
      <c r="DN714" s="240"/>
      <c r="DO714" s="240"/>
      <c r="DP714" s="240"/>
      <c r="DQ714" s="240"/>
      <c r="DR714" s="240"/>
      <c r="DS714" s="240"/>
      <c r="DT714" s="240"/>
      <c r="DU714" s="240"/>
      <c r="DV714" s="240"/>
      <c r="DW714" s="240"/>
      <c r="DX714" s="240"/>
      <c r="DY714" s="240"/>
      <c r="DZ714" s="240"/>
      <c r="EA714" s="240"/>
      <c r="EB714" s="240"/>
      <c r="EC714" s="240"/>
      <c r="ED714" s="240"/>
      <c r="EE714" s="240"/>
      <c r="EF714" s="240"/>
      <c r="EG714" s="240"/>
      <c r="EH714" s="240"/>
      <c r="EI714" s="240"/>
      <c r="EJ714" s="240"/>
      <c r="EK714" s="240"/>
      <c r="EL714" s="359"/>
      <c r="EM714" s="250"/>
      <c r="EN714" s="245"/>
      <c r="EO714" s="245"/>
      <c r="EP714" s="245"/>
      <c r="EQ714" s="254"/>
      <c r="ER714" s="240"/>
      <c r="ES714" s="240"/>
      <c r="ET714" s="240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193"/>
    </row>
    <row r="715" spans="2:189" s="243" customFormat="1" ht="11.45" hidden="1" customHeight="1">
      <c r="B715" s="244"/>
      <c r="C715" s="240"/>
      <c r="D715" s="240"/>
      <c r="E715" s="240"/>
      <c r="F715" s="240"/>
      <c r="G715" s="240"/>
      <c r="H715" s="240"/>
      <c r="I715" s="240"/>
      <c r="J715" s="240"/>
      <c r="K715" s="240"/>
      <c r="L715" s="297"/>
      <c r="M715" s="297"/>
      <c r="N715" s="297"/>
      <c r="O715" s="240"/>
      <c r="P715" s="240"/>
      <c r="Q715" s="240"/>
      <c r="S715" s="240"/>
      <c r="T715" s="240"/>
      <c r="U715" s="240"/>
      <c r="V715" s="240"/>
      <c r="W715" s="240"/>
      <c r="X715" s="240"/>
      <c r="Y715" s="240"/>
      <c r="Z715" s="240"/>
      <c r="AA715" s="240"/>
      <c r="AB715" s="240"/>
      <c r="AC715" s="240"/>
      <c r="AD715" s="240"/>
      <c r="AE715" s="240"/>
      <c r="AF715" s="240"/>
      <c r="AG715" s="240"/>
      <c r="AH715" s="240"/>
      <c r="AI715" s="240"/>
      <c r="AJ715" s="240"/>
      <c r="AK715" s="240"/>
      <c r="AL715" s="240"/>
      <c r="AM715" s="240"/>
      <c r="AN715" s="240"/>
      <c r="AO715" s="240"/>
      <c r="AP715" s="240"/>
      <c r="AQ715" s="240"/>
      <c r="AR715" s="240"/>
      <c r="AS715" s="240"/>
      <c r="AT715" s="240"/>
      <c r="AU715" s="240"/>
      <c r="AV715" s="240"/>
      <c r="AW715" s="240"/>
      <c r="AX715" s="240"/>
      <c r="AY715" s="240"/>
      <c r="AZ715" s="240"/>
      <c r="BA715" s="240"/>
      <c r="BB715" s="240"/>
      <c r="BC715" s="240"/>
      <c r="BD715" s="240"/>
      <c r="BE715" s="240"/>
      <c r="BF715" s="240"/>
      <c r="BG715" s="240"/>
      <c r="BH715" s="240"/>
      <c r="BI715" s="240"/>
      <c r="BJ715" s="240"/>
      <c r="BK715" s="240"/>
      <c r="BL715" s="240"/>
      <c r="BM715" s="240"/>
      <c r="BN715" s="240"/>
      <c r="BO715" s="240"/>
      <c r="BP715" s="240"/>
      <c r="BQ715" s="240"/>
      <c r="BR715" s="240"/>
      <c r="BS715" s="297"/>
      <c r="BT715" s="240"/>
      <c r="BU715" s="240"/>
      <c r="BV715" s="240"/>
      <c r="BW715" s="240"/>
      <c r="BX715" s="240"/>
      <c r="BY715" s="240"/>
      <c r="BZ715" s="240"/>
      <c r="CA715" s="240"/>
      <c r="CB715" s="240"/>
      <c r="CC715" s="240"/>
      <c r="CD715" s="240"/>
      <c r="CE715" s="240"/>
      <c r="CF715" s="240"/>
      <c r="CG715" s="240"/>
      <c r="CH715" s="240"/>
      <c r="CI715" s="240"/>
      <c r="CJ715" s="240"/>
      <c r="CK715" s="240"/>
      <c r="CL715" s="240"/>
      <c r="CM715" s="240"/>
      <c r="CN715" s="240"/>
      <c r="CO715" s="240"/>
      <c r="CP715" s="240"/>
      <c r="CQ715" s="240"/>
      <c r="CR715" s="240"/>
      <c r="CS715" s="240"/>
      <c r="CT715" s="240"/>
      <c r="CU715" s="240"/>
      <c r="CV715" s="240"/>
      <c r="CW715" s="240"/>
      <c r="CX715" s="240"/>
      <c r="CY715" s="240"/>
      <c r="CZ715" s="240"/>
      <c r="DA715" s="240"/>
      <c r="DB715" s="240"/>
      <c r="DC715" s="240"/>
      <c r="DD715" s="240"/>
      <c r="DE715" s="240"/>
      <c r="DF715" s="240"/>
      <c r="DG715" s="240"/>
      <c r="DH715" s="240"/>
      <c r="DI715" s="240"/>
      <c r="DJ715" s="240"/>
      <c r="DK715" s="240"/>
      <c r="DL715" s="240"/>
      <c r="DM715" s="240"/>
      <c r="DN715" s="240"/>
      <c r="DO715" s="240"/>
      <c r="DP715" s="240"/>
      <c r="DQ715" s="240"/>
      <c r="DR715" s="240"/>
      <c r="DS715" s="240"/>
      <c r="DT715" s="240"/>
      <c r="DU715" s="240"/>
      <c r="DV715" s="240"/>
      <c r="DW715" s="240"/>
      <c r="DX715" s="240"/>
      <c r="DY715" s="240"/>
      <c r="DZ715" s="240"/>
      <c r="EA715" s="240"/>
      <c r="EB715" s="240"/>
      <c r="EC715" s="240"/>
      <c r="ED715" s="240"/>
      <c r="EE715" s="240"/>
      <c r="EF715" s="240"/>
      <c r="EG715" s="240"/>
      <c r="EH715" s="240"/>
      <c r="EI715" s="240"/>
      <c r="EJ715" s="240"/>
      <c r="EK715" s="240"/>
      <c r="EL715" s="359"/>
      <c r="EM715" s="250"/>
      <c r="EN715" s="245"/>
      <c r="EO715" s="245"/>
      <c r="EP715" s="245"/>
      <c r="EQ715" s="254"/>
      <c r="ER715" s="240"/>
      <c r="ES715" s="240"/>
      <c r="ET715" s="240"/>
      <c r="EU715" s="241"/>
      <c r="EV715" s="241"/>
      <c r="EW715" s="241"/>
      <c r="EX715" s="241"/>
      <c r="EY715" s="241"/>
      <c r="EZ715" s="241"/>
      <c r="FA715" s="241"/>
      <c r="FB715" s="241"/>
      <c r="FC715" s="241"/>
      <c r="FD715" s="241"/>
      <c r="FE715" s="241"/>
      <c r="FF715" s="241"/>
      <c r="FG715" s="241"/>
      <c r="FH715" s="241"/>
      <c r="FI715" s="241"/>
      <c r="FJ715" s="241"/>
      <c r="FK715" s="241"/>
      <c r="FL715" s="241"/>
      <c r="FM715" s="241"/>
      <c r="FN715" s="241"/>
      <c r="FO715" s="241"/>
      <c r="FP715" s="241"/>
      <c r="FQ715" s="241"/>
      <c r="FR715" s="241"/>
      <c r="FS715" s="241"/>
      <c r="FT715" s="241"/>
      <c r="FU715" s="241"/>
      <c r="FV715" s="241"/>
      <c r="FW715" s="241"/>
      <c r="FX715" s="241"/>
      <c r="FY715" s="241"/>
      <c r="FZ715" s="241"/>
      <c r="GA715" s="241"/>
      <c r="GB715" s="241"/>
      <c r="GC715" s="241"/>
      <c r="GD715" s="241"/>
      <c r="GE715" s="241"/>
      <c r="GF715" s="241"/>
      <c r="GG715" s="193"/>
    </row>
    <row r="716" spans="2:189" s="243" customFormat="1" ht="11.45" hidden="1" customHeight="1">
      <c r="B716" s="244"/>
      <c r="C716" s="240"/>
      <c r="D716" s="240"/>
      <c r="E716" s="240"/>
      <c r="F716" s="240"/>
      <c r="G716" s="240"/>
      <c r="H716" s="240"/>
      <c r="I716" s="240"/>
      <c r="J716" s="240"/>
      <c r="K716" s="240"/>
      <c r="L716" s="297"/>
      <c r="M716" s="297"/>
      <c r="N716" s="297"/>
      <c r="O716" s="240"/>
      <c r="P716" s="240"/>
      <c r="Q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97"/>
      <c r="BT716" s="240"/>
      <c r="BU716" s="240"/>
      <c r="BV716" s="240"/>
      <c r="BW716" s="240"/>
      <c r="BX716" s="240"/>
      <c r="BY716" s="240"/>
      <c r="BZ716" s="240"/>
      <c r="CA716" s="240"/>
      <c r="CB716" s="240"/>
      <c r="CC716" s="240"/>
      <c r="CD716" s="240"/>
      <c r="CE716" s="240"/>
      <c r="CF716" s="240"/>
      <c r="CG716" s="240"/>
      <c r="CH716" s="240"/>
      <c r="CI716" s="240"/>
      <c r="CJ716" s="240"/>
      <c r="CK716" s="240"/>
      <c r="CL716" s="240"/>
      <c r="CM716" s="240"/>
      <c r="CN716" s="240"/>
      <c r="CO716" s="240"/>
      <c r="CP716" s="240"/>
      <c r="CQ716" s="240"/>
      <c r="CR716" s="240"/>
      <c r="CS716" s="240"/>
      <c r="CT716" s="240"/>
      <c r="CU716" s="240"/>
      <c r="CV716" s="240"/>
      <c r="CW716" s="240"/>
      <c r="CX716" s="240"/>
      <c r="CY716" s="240"/>
      <c r="CZ716" s="240"/>
      <c r="DA716" s="240"/>
      <c r="DB716" s="240"/>
      <c r="DC716" s="240"/>
      <c r="DD716" s="240"/>
      <c r="DE716" s="240"/>
      <c r="DF716" s="240"/>
      <c r="DG716" s="240"/>
      <c r="DH716" s="240"/>
      <c r="DI716" s="240"/>
      <c r="DJ716" s="240"/>
      <c r="DK716" s="240"/>
      <c r="DL716" s="240"/>
      <c r="DM716" s="240"/>
      <c r="DN716" s="240"/>
      <c r="DO716" s="240"/>
      <c r="DP716" s="240"/>
      <c r="DQ716" s="240"/>
      <c r="DR716" s="240"/>
      <c r="DS716" s="240"/>
      <c r="DT716" s="240"/>
      <c r="DU716" s="240"/>
      <c r="DV716" s="240"/>
      <c r="DW716" s="240"/>
      <c r="DX716" s="240"/>
      <c r="DY716" s="240"/>
      <c r="DZ716" s="240"/>
      <c r="EA716" s="240"/>
      <c r="EB716" s="240"/>
      <c r="EC716" s="240"/>
      <c r="ED716" s="240"/>
      <c r="EE716" s="240"/>
      <c r="EF716" s="240"/>
      <c r="EG716" s="240"/>
      <c r="EH716" s="240"/>
      <c r="EI716" s="240"/>
      <c r="EJ716" s="240"/>
      <c r="EK716" s="240"/>
      <c r="EL716" s="359"/>
      <c r="EM716" s="250"/>
      <c r="EN716" s="245"/>
      <c r="EO716" s="245"/>
      <c r="EP716" s="245"/>
      <c r="EQ716" s="254"/>
      <c r="ER716" s="240"/>
      <c r="ES716" s="240"/>
      <c r="ET716" s="240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193"/>
    </row>
    <row r="717" spans="2:189" s="243" customFormat="1" ht="11.25" hidden="1" customHeight="1">
      <c r="B717" s="244"/>
      <c r="C717" s="240"/>
      <c r="D717" s="240"/>
      <c r="E717" s="240"/>
      <c r="F717" s="240"/>
      <c r="G717" s="240"/>
      <c r="H717" s="240"/>
      <c r="I717" s="240"/>
      <c r="J717" s="240"/>
      <c r="K717" s="240"/>
      <c r="L717" s="297"/>
      <c r="M717" s="297"/>
      <c r="N717" s="297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97"/>
      <c r="BT717" s="240"/>
      <c r="BU717" s="240"/>
      <c r="BV717" s="240"/>
      <c r="BW717" s="240"/>
      <c r="BX717" s="240"/>
      <c r="BY717" s="240"/>
      <c r="BZ717" s="240"/>
      <c r="CA717" s="240"/>
      <c r="CB717" s="240"/>
      <c r="CC717" s="240"/>
      <c r="CD717" s="240"/>
      <c r="CE717" s="240"/>
      <c r="CF717" s="240"/>
      <c r="CG717" s="240"/>
      <c r="CH717" s="240"/>
      <c r="CI717" s="240"/>
      <c r="CJ717" s="240"/>
      <c r="CK717" s="240"/>
      <c r="CL717" s="240"/>
      <c r="CM717" s="240"/>
      <c r="CN717" s="240"/>
      <c r="CO717" s="240"/>
      <c r="CP717" s="240"/>
      <c r="CQ717" s="240"/>
      <c r="CR717" s="240"/>
      <c r="CS717" s="240"/>
      <c r="CT717" s="240"/>
      <c r="CU717" s="240"/>
      <c r="CV717" s="240"/>
      <c r="CW717" s="240"/>
      <c r="CX717" s="240"/>
      <c r="CY717" s="240"/>
      <c r="CZ717" s="240"/>
      <c r="DA717" s="240"/>
      <c r="DB717" s="240"/>
      <c r="DC717" s="240"/>
      <c r="DD717" s="240"/>
      <c r="DE717" s="240"/>
      <c r="DF717" s="240"/>
      <c r="DG717" s="240"/>
      <c r="DH717" s="240"/>
      <c r="DI717" s="240"/>
      <c r="DJ717" s="240"/>
      <c r="DK717" s="240"/>
      <c r="DL717" s="240"/>
      <c r="DM717" s="240"/>
      <c r="DN717" s="240"/>
      <c r="DO717" s="240"/>
      <c r="DP717" s="240"/>
      <c r="DQ717" s="240"/>
      <c r="DR717" s="240"/>
      <c r="DS717" s="240"/>
      <c r="DT717" s="240"/>
      <c r="DU717" s="240"/>
      <c r="DV717" s="240"/>
      <c r="DW717" s="240"/>
      <c r="DX717" s="240"/>
      <c r="DY717" s="240"/>
      <c r="DZ717" s="240"/>
      <c r="EA717" s="240"/>
      <c r="EB717" s="240"/>
      <c r="EC717" s="240"/>
      <c r="ED717" s="240"/>
      <c r="EE717" s="240"/>
      <c r="EF717" s="240"/>
      <c r="EG717" s="240"/>
      <c r="EH717" s="240"/>
      <c r="EI717" s="240"/>
      <c r="EJ717" s="240"/>
      <c r="EK717" s="240"/>
      <c r="EL717" s="359"/>
      <c r="EM717" s="245"/>
      <c r="EN717" s="245"/>
      <c r="EO717" s="245"/>
      <c r="EP717" s="245"/>
      <c r="EQ717" s="254"/>
      <c r="ER717" s="240"/>
      <c r="ES717" s="240"/>
      <c r="ET717" s="240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193"/>
    </row>
    <row r="718" spans="2:189" s="243" customFormat="1" ht="11.25" hidden="1" customHeight="1">
      <c r="B718" s="244"/>
      <c r="C718" s="240"/>
      <c r="D718" s="240"/>
      <c r="E718" s="240"/>
      <c r="F718" s="240"/>
      <c r="G718" s="240"/>
      <c r="H718" s="240"/>
      <c r="I718" s="240"/>
      <c r="J718" s="240"/>
      <c r="K718" s="240"/>
      <c r="L718" s="297"/>
      <c r="M718" s="297"/>
      <c r="N718" s="297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97"/>
      <c r="BT718" s="240"/>
      <c r="BU718" s="240"/>
      <c r="BV718" s="240"/>
      <c r="BW718" s="240"/>
      <c r="BX718" s="240"/>
      <c r="BY718" s="240"/>
      <c r="BZ718" s="240"/>
      <c r="CA718" s="240"/>
      <c r="CB718" s="240"/>
      <c r="CC718" s="240"/>
      <c r="CD718" s="240"/>
      <c r="CE718" s="240"/>
      <c r="CF718" s="240"/>
      <c r="CG718" s="240"/>
      <c r="CH718" s="240"/>
      <c r="CI718" s="240"/>
      <c r="CJ718" s="240"/>
      <c r="CK718" s="240"/>
      <c r="CL718" s="240"/>
      <c r="CM718" s="240"/>
      <c r="CN718" s="240"/>
      <c r="CO718" s="240"/>
      <c r="CP718" s="240"/>
      <c r="CQ718" s="240"/>
      <c r="CR718" s="240"/>
      <c r="CS718" s="240"/>
      <c r="CT718" s="240"/>
      <c r="CU718" s="240"/>
      <c r="CV718" s="240"/>
      <c r="CW718" s="240"/>
      <c r="CX718" s="240"/>
      <c r="CY718" s="240"/>
      <c r="CZ718" s="240"/>
      <c r="DA718" s="240"/>
      <c r="DB718" s="240"/>
      <c r="DC718" s="240"/>
      <c r="DD718" s="240"/>
      <c r="DE718" s="240"/>
      <c r="DF718" s="240"/>
      <c r="DG718" s="240"/>
      <c r="DH718" s="240"/>
      <c r="DI718" s="240"/>
      <c r="DJ718" s="240"/>
      <c r="DK718" s="240"/>
      <c r="DL718" s="240"/>
      <c r="DM718" s="240"/>
      <c r="DN718" s="240"/>
      <c r="DO718" s="240"/>
      <c r="DP718" s="240"/>
      <c r="DQ718" s="240"/>
      <c r="DR718" s="240"/>
      <c r="DS718" s="240"/>
      <c r="DT718" s="240"/>
      <c r="DU718" s="240"/>
      <c r="DV718" s="240"/>
      <c r="DW718" s="240"/>
      <c r="DX718" s="240"/>
      <c r="DY718" s="240"/>
      <c r="DZ718" s="240"/>
      <c r="EA718" s="240"/>
      <c r="EB718" s="240"/>
      <c r="EC718" s="240"/>
      <c r="ED718" s="240"/>
      <c r="EE718" s="240"/>
      <c r="EF718" s="240"/>
      <c r="EG718" s="240"/>
      <c r="EH718" s="240"/>
      <c r="EI718" s="240"/>
      <c r="EJ718" s="240"/>
      <c r="EK718" s="240"/>
      <c r="EL718" s="359"/>
      <c r="EM718" s="245"/>
      <c r="EN718" s="245"/>
      <c r="EO718" s="245"/>
      <c r="EP718" s="245"/>
      <c r="EQ718" s="254"/>
      <c r="ER718" s="240"/>
      <c r="ES718" s="240"/>
      <c r="ET718" s="240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193"/>
    </row>
    <row r="719" spans="2:189" s="243" customFormat="1" ht="11.25" hidden="1" customHeight="1">
      <c r="B719" s="244"/>
      <c r="C719" s="240"/>
      <c r="D719" s="240"/>
      <c r="E719" s="240"/>
      <c r="F719" s="240"/>
      <c r="G719" s="240"/>
      <c r="H719" s="240"/>
      <c r="I719" s="240"/>
      <c r="J719" s="240"/>
      <c r="K719" s="240"/>
      <c r="L719" s="297"/>
      <c r="M719" s="297"/>
      <c r="N719" s="297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97"/>
      <c r="BT719" s="240"/>
      <c r="BU719" s="240"/>
      <c r="BV719" s="240"/>
      <c r="BW719" s="240"/>
      <c r="BX719" s="240"/>
      <c r="BY719" s="240"/>
      <c r="BZ719" s="240"/>
      <c r="CA719" s="240"/>
      <c r="CB719" s="240"/>
      <c r="CC719" s="240"/>
      <c r="CD719" s="240"/>
      <c r="CE719" s="240"/>
      <c r="CF719" s="240"/>
      <c r="CG719" s="240"/>
      <c r="CH719" s="240"/>
      <c r="CI719" s="240"/>
      <c r="CJ719" s="240"/>
      <c r="CK719" s="240"/>
      <c r="CL719" s="240"/>
      <c r="CM719" s="240"/>
      <c r="CN719" s="240"/>
      <c r="CO719" s="240"/>
      <c r="CP719" s="240"/>
      <c r="CQ719" s="240"/>
      <c r="CR719" s="240"/>
      <c r="CS719" s="240"/>
      <c r="CT719" s="240"/>
      <c r="CU719" s="240"/>
      <c r="CV719" s="240"/>
      <c r="CW719" s="240"/>
      <c r="CX719" s="240"/>
      <c r="CY719" s="240"/>
      <c r="CZ719" s="240"/>
      <c r="DA719" s="240"/>
      <c r="DB719" s="240"/>
      <c r="DC719" s="240"/>
      <c r="DD719" s="240"/>
      <c r="DE719" s="240"/>
      <c r="DF719" s="240"/>
      <c r="DG719" s="240"/>
      <c r="DH719" s="240"/>
      <c r="DI719" s="240"/>
      <c r="DJ719" s="240"/>
      <c r="DK719" s="240"/>
      <c r="DL719" s="240"/>
      <c r="DM719" s="240"/>
      <c r="DN719" s="240"/>
      <c r="DO719" s="240"/>
      <c r="DP719" s="240"/>
      <c r="DQ719" s="240"/>
      <c r="DR719" s="240"/>
      <c r="DS719" s="240"/>
      <c r="DT719" s="240"/>
      <c r="DU719" s="240"/>
      <c r="DV719" s="240"/>
      <c r="DW719" s="240"/>
      <c r="DX719" s="240"/>
      <c r="DY719" s="240"/>
      <c r="DZ719" s="240"/>
      <c r="EA719" s="240"/>
      <c r="EB719" s="240"/>
      <c r="EC719" s="240"/>
      <c r="ED719" s="240"/>
      <c r="EE719" s="240"/>
      <c r="EF719" s="240"/>
      <c r="EG719" s="240"/>
      <c r="EH719" s="240"/>
      <c r="EI719" s="240"/>
      <c r="EJ719" s="240"/>
      <c r="EK719" s="240"/>
      <c r="EL719" s="359"/>
      <c r="EM719" s="245"/>
      <c r="EN719" s="245"/>
      <c r="EO719" s="245"/>
      <c r="EP719" s="245"/>
      <c r="EQ719" s="254"/>
      <c r="ER719" s="240"/>
      <c r="ES719" s="240"/>
      <c r="ET719" s="240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193"/>
    </row>
    <row r="720" spans="2:189" s="243" customFormat="1" ht="11.25" hidden="1" customHeight="1">
      <c r="B720" s="244"/>
      <c r="C720" s="240"/>
      <c r="D720" s="240"/>
      <c r="E720" s="240"/>
      <c r="F720" s="240"/>
      <c r="G720" s="240"/>
      <c r="H720" s="240"/>
      <c r="I720" s="240"/>
      <c r="J720" s="240"/>
      <c r="K720" s="240"/>
      <c r="L720" s="297"/>
      <c r="M720" s="297"/>
      <c r="N720" s="297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97"/>
      <c r="BT720" s="240"/>
      <c r="BU720" s="240"/>
      <c r="BV720" s="240"/>
      <c r="BW720" s="240"/>
      <c r="BX720" s="240"/>
      <c r="BY720" s="240"/>
      <c r="BZ720" s="240"/>
      <c r="CA720" s="240"/>
      <c r="CB720" s="240"/>
      <c r="CC720" s="240"/>
      <c r="CD720" s="240"/>
      <c r="CE720" s="240"/>
      <c r="CF720" s="240"/>
      <c r="CG720" s="240"/>
      <c r="CH720" s="240"/>
      <c r="CI720" s="240"/>
      <c r="CJ720" s="240"/>
      <c r="CK720" s="240"/>
      <c r="CL720" s="240"/>
      <c r="CM720" s="240"/>
      <c r="CN720" s="240"/>
      <c r="CO720" s="240"/>
      <c r="CP720" s="240"/>
      <c r="CQ720" s="240"/>
      <c r="CR720" s="240"/>
      <c r="CS720" s="240"/>
      <c r="CT720" s="240"/>
      <c r="CU720" s="240"/>
      <c r="CV720" s="240"/>
      <c r="CW720" s="240"/>
      <c r="CX720" s="240"/>
      <c r="CY720" s="240"/>
      <c r="CZ720" s="240"/>
      <c r="DA720" s="240"/>
      <c r="DB720" s="240"/>
      <c r="DC720" s="240"/>
      <c r="DD720" s="240"/>
      <c r="DE720" s="240"/>
      <c r="DF720" s="240"/>
      <c r="DG720" s="240"/>
      <c r="DH720" s="240"/>
      <c r="DI720" s="240"/>
      <c r="DJ720" s="240"/>
      <c r="DK720" s="240"/>
      <c r="DL720" s="240"/>
      <c r="DM720" s="240"/>
      <c r="DN720" s="240"/>
      <c r="DO720" s="240"/>
      <c r="DP720" s="240"/>
      <c r="DQ720" s="240"/>
      <c r="DR720" s="240"/>
      <c r="DS720" s="240"/>
      <c r="DT720" s="240"/>
      <c r="DU720" s="240"/>
      <c r="DV720" s="240"/>
      <c r="DW720" s="240"/>
      <c r="DX720" s="240"/>
      <c r="DY720" s="240"/>
      <c r="DZ720" s="240"/>
      <c r="EA720" s="240"/>
      <c r="EB720" s="240"/>
      <c r="EC720" s="240"/>
      <c r="ED720" s="240"/>
      <c r="EE720" s="240"/>
      <c r="EF720" s="240"/>
      <c r="EG720" s="240"/>
      <c r="EH720" s="240"/>
      <c r="EI720" s="240"/>
      <c r="EJ720" s="240"/>
      <c r="EK720" s="240"/>
      <c r="EL720" s="359"/>
      <c r="EM720" s="245"/>
      <c r="EN720" s="245"/>
      <c r="EO720" s="245"/>
      <c r="EP720" s="245"/>
      <c r="EQ720" s="254"/>
      <c r="ER720" s="240"/>
      <c r="ES720" s="240"/>
      <c r="ET720" s="240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193"/>
    </row>
    <row r="721" spans="2:189" s="243" customFormat="1" ht="11.25" hidden="1" customHeight="1">
      <c r="B721" s="244"/>
      <c r="C721" s="240"/>
      <c r="D721" s="240"/>
      <c r="E721" s="240"/>
      <c r="F721" s="240"/>
      <c r="G721" s="240"/>
      <c r="H721" s="240"/>
      <c r="I721" s="240"/>
      <c r="J721" s="240"/>
      <c r="K721" s="240"/>
      <c r="L721" s="297"/>
      <c r="M721" s="297"/>
      <c r="N721" s="297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  <c r="AA721" s="240"/>
      <c r="AB721" s="240"/>
      <c r="AC721" s="240"/>
      <c r="AD721" s="240"/>
      <c r="AE721" s="240"/>
      <c r="AF721" s="240"/>
      <c r="AG721" s="240"/>
      <c r="AH721" s="240"/>
      <c r="AI721" s="240"/>
      <c r="AJ721" s="240"/>
      <c r="AK721" s="240"/>
      <c r="AL721" s="240"/>
      <c r="AM721" s="240"/>
      <c r="AN721" s="240"/>
      <c r="AO721" s="240"/>
      <c r="AP721" s="240"/>
      <c r="AQ721" s="240"/>
      <c r="AR721" s="240"/>
      <c r="AS721" s="240"/>
      <c r="AT721" s="240"/>
      <c r="AU721" s="240"/>
      <c r="AV721" s="240"/>
      <c r="AW721" s="240"/>
      <c r="AX721" s="240"/>
      <c r="AY721" s="240"/>
      <c r="AZ721" s="240"/>
      <c r="BA721" s="240"/>
      <c r="BB721" s="240"/>
      <c r="BC721" s="240"/>
      <c r="BD721" s="240"/>
      <c r="BE721" s="240"/>
      <c r="BF721" s="240"/>
      <c r="BG721" s="240"/>
      <c r="BH721" s="240"/>
      <c r="BI721" s="240"/>
      <c r="BJ721" s="240"/>
      <c r="BK721" s="240"/>
      <c r="BL721" s="240"/>
      <c r="BM721" s="240"/>
      <c r="BN721" s="240"/>
      <c r="BO721" s="240"/>
      <c r="BP721" s="240"/>
      <c r="BQ721" s="240"/>
      <c r="BR721" s="240"/>
      <c r="BS721" s="297"/>
      <c r="BT721" s="240"/>
      <c r="BU721" s="240"/>
      <c r="BV721" s="240"/>
      <c r="BW721" s="240"/>
      <c r="BX721" s="240"/>
      <c r="BY721" s="240"/>
      <c r="BZ721" s="240"/>
      <c r="CA721" s="240"/>
      <c r="CB721" s="240"/>
      <c r="CC721" s="240"/>
      <c r="CD721" s="240"/>
      <c r="CE721" s="240"/>
      <c r="CF721" s="240"/>
      <c r="CG721" s="240"/>
      <c r="CH721" s="240"/>
      <c r="CI721" s="240"/>
      <c r="CJ721" s="240"/>
      <c r="CK721" s="240"/>
      <c r="CL721" s="240"/>
      <c r="CM721" s="240"/>
      <c r="CN721" s="240"/>
      <c r="CO721" s="240"/>
      <c r="CP721" s="240"/>
      <c r="CQ721" s="240"/>
      <c r="CR721" s="240"/>
      <c r="CS721" s="240"/>
      <c r="CT721" s="240"/>
      <c r="CU721" s="240"/>
      <c r="CV721" s="240"/>
      <c r="CW721" s="240"/>
      <c r="CX721" s="240"/>
      <c r="CY721" s="240"/>
      <c r="CZ721" s="240"/>
      <c r="DA721" s="240"/>
      <c r="DB721" s="240"/>
      <c r="DC721" s="240"/>
      <c r="DD721" s="240"/>
      <c r="DE721" s="240"/>
      <c r="DF721" s="240"/>
      <c r="DG721" s="240"/>
      <c r="DH721" s="240"/>
      <c r="DI721" s="240"/>
      <c r="DJ721" s="240"/>
      <c r="DK721" s="240"/>
      <c r="DL721" s="240"/>
      <c r="DM721" s="240"/>
      <c r="DN721" s="240"/>
      <c r="DO721" s="240"/>
      <c r="DP721" s="240"/>
      <c r="DQ721" s="240"/>
      <c r="DR721" s="240"/>
      <c r="DS721" s="240"/>
      <c r="DT721" s="240"/>
      <c r="DU721" s="240"/>
      <c r="DV721" s="240"/>
      <c r="DW721" s="240"/>
      <c r="DX721" s="240"/>
      <c r="DY721" s="240"/>
      <c r="DZ721" s="240"/>
      <c r="EA721" s="240"/>
      <c r="EB721" s="240"/>
      <c r="EC721" s="240"/>
      <c r="ED721" s="240"/>
      <c r="EE721" s="240"/>
      <c r="EF721" s="240"/>
      <c r="EG721" s="240"/>
      <c r="EH721" s="240"/>
      <c r="EI721" s="240"/>
      <c r="EJ721" s="240"/>
      <c r="EK721" s="240"/>
      <c r="EL721" s="359"/>
      <c r="EM721" s="245"/>
      <c r="EN721" s="245"/>
      <c r="EO721" s="245"/>
      <c r="EP721" s="245"/>
      <c r="EQ721" s="254"/>
      <c r="ER721" s="240"/>
      <c r="ES721" s="240"/>
      <c r="ET721" s="240"/>
      <c r="EU721" s="241"/>
      <c r="EV721" s="241"/>
      <c r="EW721" s="241"/>
      <c r="EX721" s="241"/>
      <c r="EY721" s="241"/>
      <c r="EZ721" s="241"/>
      <c r="FA721" s="241"/>
      <c r="FB721" s="241"/>
      <c r="FC721" s="241"/>
      <c r="FD721" s="241"/>
      <c r="FE721" s="241"/>
      <c r="FF721" s="241"/>
      <c r="FG721" s="241"/>
      <c r="FH721" s="241"/>
      <c r="FI721" s="241"/>
      <c r="FJ721" s="241"/>
      <c r="FK721" s="241"/>
      <c r="FL721" s="241"/>
      <c r="FM721" s="241"/>
      <c r="FN721" s="241"/>
      <c r="FO721" s="241"/>
      <c r="FP721" s="241"/>
      <c r="FQ721" s="241"/>
      <c r="FR721" s="241"/>
      <c r="FS721" s="241"/>
      <c r="FT721" s="241"/>
      <c r="FU721" s="241"/>
      <c r="FV721" s="241"/>
      <c r="FW721" s="241"/>
      <c r="FX721" s="241"/>
      <c r="FY721" s="241"/>
      <c r="FZ721" s="241"/>
      <c r="GA721" s="241"/>
      <c r="GB721" s="241"/>
      <c r="GC721" s="241"/>
      <c r="GD721" s="241"/>
      <c r="GE721" s="241"/>
      <c r="GF721" s="241"/>
      <c r="GG721" s="193"/>
    </row>
    <row r="722" spans="2:189" s="243" customFormat="1" ht="11.25" hidden="1" customHeight="1">
      <c r="B722" s="244"/>
      <c r="C722" s="240"/>
      <c r="D722" s="240"/>
      <c r="E722" s="240"/>
      <c r="F722" s="240"/>
      <c r="G722" s="240"/>
      <c r="H722" s="240"/>
      <c r="I722" s="240"/>
      <c r="J722" s="240"/>
      <c r="K722" s="240"/>
      <c r="L722" s="297"/>
      <c r="M722" s="297"/>
      <c r="N722" s="297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97"/>
      <c r="BT722" s="240"/>
      <c r="BU722" s="240"/>
      <c r="BV722" s="240"/>
      <c r="BW722" s="240"/>
      <c r="BX722" s="240"/>
      <c r="BY722" s="240"/>
      <c r="BZ722" s="240"/>
      <c r="CA722" s="240"/>
      <c r="CB722" s="240"/>
      <c r="CC722" s="240"/>
      <c r="CD722" s="240"/>
      <c r="CE722" s="240"/>
      <c r="CF722" s="240"/>
      <c r="CG722" s="240"/>
      <c r="CH722" s="240"/>
      <c r="CI722" s="240"/>
      <c r="CJ722" s="240"/>
      <c r="CK722" s="240"/>
      <c r="CL722" s="240"/>
      <c r="CM722" s="240"/>
      <c r="CN722" s="240"/>
      <c r="CO722" s="240"/>
      <c r="CP722" s="240"/>
      <c r="CQ722" s="240"/>
      <c r="CR722" s="240"/>
      <c r="CS722" s="240"/>
      <c r="CT722" s="240"/>
      <c r="CU722" s="240"/>
      <c r="CV722" s="240"/>
      <c r="CW722" s="240"/>
      <c r="CX722" s="240"/>
      <c r="CY722" s="240"/>
      <c r="CZ722" s="240"/>
      <c r="DA722" s="240"/>
      <c r="DB722" s="240"/>
      <c r="DC722" s="240"/>
      <c r="DD722" s="240"/>
      <c r="DE722" s="240"/>
      <c r="DF722" s="240"/>
      <c r="DG722" s="240"/>
      <c r="DH722" s="240"/>
      <c r="DI722" s="240"/>
      <c r="DJ722" s="240"/>
      <c r="DK722" s="240"/>
      <c r="DL722" s="240"/>
      <c r="DM722" s="240"/>
      <c r="DN722" s="240"/>
      <c r="DO722" s="240"/>
      <c r="DP722" s="240"/>
      <c r="DQ722" s="240"/>
      <c r="DR722" s="240"/>
      <c r="DS722" s="240"/>
      <c r="DT722" s="240"/>
      <c r="DU722" s="240"/>
      <c r="DV722" s="240"/>
      <c r="DW722" s="240"/>
      <c r="DX722" s="240"/>
      <c r="DY722" s="240"/>
      <c r="DZ722" s="240"/>
      <c r="EA722" s="240"/>
      <c r="EB722" s="240"/>
      <c r="EC722" s="240"/>
      <c r="ED722" s="240"/>
      <c r="EE722" s="240"/>
      <c r="EF722" s="240"/>
      <c r="EG722" s="240"/>
      <c r="EH722" s="240"/>
      <c r="EI722" s="240"/>
      <c r="EJ722" s="240"/>
      <c r="EK722" s="240"/>
      <c r="EL722" s="359"/>
      <c r="EM722" s="245"/>
      <c r="EN722" s="245"/>
      <c r="EO722" s="245"/>
      <c r="EP722" s="245"/>
      <c r="EQ722" s="254"/>
      <c r="ER722" s="240"/>
      <c r="ES722" s="240"/>
      <c r="ET722" s="240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193"/>
    </row>
    <row r="723" spans="2:189" s="243" customFormat="1" ht="11.25" hidden="1" customHeight="1">
      <c r="B723" s="244"/>
      <c r="C723" s="240"/>
      <c r="D723" s="240"/>
      <c r="E723" s="240"/>
      <c r="F723" s="240"/>
      <c r="G723" s="240"/>
      <c r="H723" s="240"/>
      <c r="I723" s="240"/>
      <c r="J723" s="240"/>
      <c r="K723" s="240"/>
      <c r="L723" s="297"/>
      <c r="M723" s="297"/>
      <c r="N723" s="297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97"/>
      <c r="BT723" s="240"/>
      <c r="BU723" s="240"/>
      <c r="BV723" s="240"/>
      <c r="BW723" s="240"/>
      <c r="BX723" s="240"/>
      <c r="BY723" s="240"/>
      <c r="BZ723" s="240"/>
      <c r="CA723" s="240"/>
      <c r="CB723" s="240"/>
      <c r="CC723" s="240"/>
      <c r="CD723" s="240"/>
      <c r="CE723" s="240"/>
      <c r="CF723" s="240"/>
      <c r="CG723" s="240"/>
      <c r="CH723" s="240"/>
      <c r="CI723" s="240"/>
      <c r="CJ723" s="240"/>
      <c r="CK723" s="240"/>
      <c r="CL723" s="240"/>
      <c r="CM723" s="240"/>
      <c r="CN723" s="240"/>
      <c r="CO723" s="240"/>
      <c r="CP723" s="240"/>
      <c r="CQ723" s="240"/>
      <c r="CR723" s="240"/>
      <c r="CS723" s="240"/>
      <c r="CT723" s="240"/>
      <c r="CU723" s="240"/>
      <c r="CV723" s="240"/>
      <c r="CW723" s="240"/>
      <c r="CX723" s="240"/>
      <c r="CY723" s="240"/>
      <c r="CZ723" s="240"/>
      <c r="DA723" s="240"/>
      <c r="DB723" s="240"/>
      <c r="DC723" s="240"/>
      <c r="DD723" s="240"/>
      <c r="DE723" s="240"/>
      <c r="DF723" s="240"/>
      <c r="DG723" s="240"/>
      <c r="DH723" s="240"/>
      <c r="DI723" s="240"/>
      <c r="DJ723" s="240"/>
      <c r="DK723" s="240"/>
      <c r="DL723" s="240"/>
      <c r="DM723" s="240"/>
      <c r="DN723" s="240"/>
      <c r="DO723" s="240"/>
      <c r="DP723" s="240"/>
      <c r="DQ723" s="240"/>
      <c r="DR723" s="240"/>
      <c r="DS723" s="240"/>
      <c r="DT723" s="240"/>
      <c r="DU723" s="240"/>
      <c r="DV723" s="240"/>
      <c r="DW723" s="240"/>
      <c r="DX723" s="240"/>
      <c r="DY723" s="240"/>
      <c r="DZ723" s="240"/>
      <c r="EA723" s="240"/>
      <c r="EB723" s="240"/>
      <c r="EC723" s="240"/>
      <c r="ED723" s="240"/>
      <c r="EE723" s="240"/>
      <c r="EF723" s="240"/>
      <c r="EG723" s="240"/>
      <c r="EH723" s="240"/>
      <c r="EI723" s="240"/>
      <c r="EJ723" s="240"/>
      <c r="EK723" s="240"/>
      <c r="EL723" s="359"/>
      <c r="EM723" s="245"/>
      <c r="EN723" s="245"/>
      <c r="EO723" s="245"/>
      <c r="EP723" s="245"/>
      <c r="EQ723" s="254"/>
      <c r="ER723" s="240"/>
      <c r="ES723" s="240"/>
      <c r="ET723" s="240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193"/>
    </row>
    <row r="724" spans="2:189" s="243" customFormat="1" ht="11.25" hidden="1" customHeight="1">
      <c r="B724" s="244"/>
      <c r="C724" s="240"/>
      <c r="D724" s="240"/>
      <c r="E724" s="240"/>
      <c r="F724" s="240"/>
      <c r="G724" s="240"/>
      <c r="H724" s="240"/>
      <c r="I724" s="240"/>
      <c r="J724" s="240"/>
      <c r="K724" s="240"/>
      <c r="L724" s="297"/>
      <c r="M724" s="297"/>
      <c r="N724" s="297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97"/>
      <c r="BT724" s="240"/>
      <c r="BU724" s="240"/>
      <c r="BV724" s="240"/>
      <c r="BW724" s="240"/>
      <c r="BX724" s="240"/>
      <c r="BY724" s="240"/>
      <c r="BZ724" s="240"/>
      <c r="CA724" s="240"/>
      <c r="CB724" s="240"/>
      <c r="CC724" s="240"/>
      <c r="CD724" s="240"/>
      <c r="CE724" s="240"/>
      <c r="CF724" s="240"/>
      <c r="CG724" s="240"/>
      <c r="CH724" s="240"/>
      <c r="CI724" s="240"/>
      <c r="CJ724" s="240"/>
      <c r="CK724" s="240"/>
      <c r="CL724" s="240"/>
      <c r="CM724" s="240"/>
      <c r="CN724" s="240"/>
      <c r="CO724" s="240"/>
      <c r="CP724" s="240"/>
      <c r="CQ724" s="240"/>
      <c r="CR724" s="240"/>
      <c r="CS724" s="240"/>
      <c r="CT724" s="240"/>
      <c r="CU724" s="240"/>
      <c r="CV724" s="240"/>
      <c r="CW724" s="240"/>
      <c r="CX724" s="240"/>
      <c r="CY724" s="240"/>
      <c r="CZ724" s="240"/>
      <c r="DA724" s="240"/>
      <c r="DB724" s="240"/>
      <c r="DC724" s="240"/>
      <c r="DD724" s="240"/>
      <c r="DE724" s="240"/>
      <c r="DF724" s="240"/>
      <c r="DG724" s="240"/>
      <c r="DH724" s="240"/>
      <c r="DI724" s="240"/>
      <c r="DJ724" s="240"/>
      <c r="DK724" s="240"/>
      <c r="DL724" s="240"/>
      <c r="DM724" s="240"/>
      <c r="DN724" s="240"/>
      <c r="DO724" s="240"/>
      <c r="DP724" s="240"/>
      <c r="DQ724" s="240"/>
      <c r="DR724" s="240"/>
      <c r="DS724" s="240"/>
      <c r="DT724" s="240"/>
      <c r="DU724" s="240"/>
      <c r="DV724" s="240"/>
      <c r="DW724" s="240"/>
      <c r="DX724" s="240"/>
      <c r="DY724" s="240"/>
      <c r="DZ724" s="240"/>
      <c r="EA724" s="240"/>
      <c r="EB724" s="240"/>
      <c r="EC724" s="240"/>
      <c r="ED724" s="240"/>
      <c r="EE724" s="240"/>
      <c r="EF724" s="240"/>
      <c r="EG724" s="240"/>
      <c r="EH724" s="240"/>
      <c r="EI724" s="240"/>
      <c r="EJ724" s="240"/>
      <c r="EK724" s="240"/>
      <c r="EL724" s="359"/>
      <c r="EM724" s="245"/>
      <c r="EN724" s="245"/>
      <c r="EO724" s="245"/>
      <c r="EP724" s="245"/>
      <c r="EQ724" s="254"/>
      <c r="ER724" s="240"/>
      <c r="ES724" s="240"/>
      <c r="ET724" s="240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193"/>
    </row>
    <row r="725" spans="2:189" s="243" customFormat="1" ht="11.25" hidden="1" customHeight="1">
      <c r="B725" s="244"/>
      <c r="C725" s="240"/>
      <c r="D725" s="240"/>
      <c r="E725" s="240"/>
      <c r="F725" s="240"/>
      <c r="G725" s="240"/>
      <c r="H725" s="240"/>
      <c r="I725" s="240"/>
      <c r="J725" s="240"/>
      <c r="K725" s="240"/>
      <c r="L725" s="297"/>
      <c r="M725" s="297"/>
      <c r="N725" s="297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97"/>
      <c r="BT725" s="240"/>
      <c r="BU725" s="240"/>
      <c r="BV725" s="240"/>
      <c r="BW725" s="240"/>
      <c r="BX725" s="240"/>
      <c r="BY725" s="240"/>
      <c r="BZ725" s="240"/>
      <c r="CA725" s="240"/>
      <c r="CB725" s="240"/>
      <c r="CC725" s="240"/>
      <c r="CD725" s="240"/>
      <c r="CE725" s="240"/>
      <c r="CF725" s="240"/>
      <c r="CG725" s="240"/>
      <c r="CH725" s="240"/>
      <c r="CI725" s="240"/>
      <c r="CJ725" s="240"/>
      <c r="CK725" s="240"/>
      <c r="CL725" s="240"/>
      <c r="CM725" s="240"/>
      <c r="CN725" s="240"/>
      <c r="CO725" s="240"/>
      <c r="CP725" s="240"/>
      <c r="CQ725" s="240"/>
      <c r="CR725" s="240"/>
      <c r="CS725" s="240"/>
      <c r="CT725" s="240"/>
      <c r="CU725" s="240"/>
      <c r="CV725" s="240"/>
      <c r="CW725" s="240"/>
      <c r="CX725" s="240"/>
      <c r="CY725" s="240"/>
      <c r="CZ725" s="240"/>
      <c r="DA725" s="240"/>
      <c r="DB725" s="240"/>
      <c r="DC725" s="240"/>
      <c r="DD725" s="240"/>
      <c r="DE725" s="240"/>
      <c r="DF725" s="240"/>
      <c r="DG725" s="240"/>
      <c r="DH725" s="240"/>
      <c r="DI725" s="240"/>
      <c r="DJ725" s="240"/>
      <c r="DK725" s="240"/>
      <c r="DL725" s="240"/>
      <c r="DM725" s="240"/>
      <c r="DN725" s="240"/>
      <c r="DO725" s="240"/>
      <c r="DP725" s="240"/>
      <c r="DQ725" s="240"/>
      <c r="DR725" s="240"/>
      <c r="DS725" s="240"/>
      <c r="DT725" s="240"/>
      <c r="DU725" s="240"/>
      <c r="DV725" s="240"/>
      <c r="DW725" s="240"/>
      <c r="DX725" s="240"/>
      <c r="DY725" s="240"/>
      <c r="DZ725" s="240"/>
      <c r="EA725" s="240"/>
      <c r="EB725" s="240"/>
      <c r="EC725" s="240"/>
      <c r="ED725" s="240"/>
      <c r="EE725" s="240"/>
      <c r="EF725" s="240"/>
      <c r="EG725" s="240"/>
      <c r="EH725" s="240"/>
      <c r="EI725" s="240"/>
      <c r="EJ725" s="240"/>
      <c r="EK725" s="240"/>
      <c r="EL725" s="359"/>
      <c r="EM725" s="245"/>
      <c r="EN725" s="245"/>
      <c r="EO725" s="245"/>
      <c r="EP725" s="245"/>
      <c r="EQ725" s="254"/>
      <c r="ER725" s="240"/>
      <c r="ES725" s="240"/>
      <c r="ET725" s="240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193"/>
    </row>
    <row r="726" spans="2:189" s="243" customFormat="1" ht="11.25" hidden="1" customHeight="1">
      <c r="B726" s="244"/>
      <c r="C726" s="240"/>
      <c r="D726" s="240"/>
      <c r="E726" s="240"/>
      <c r="F726" s="240"/>
      <c r="G726" s="240"/>
      <c r="H726" s="240"/>
      <c r="I726" s="240"/>
      <c r="J726" s="240"/>
      <c r="K726" s="240"/>
      <c r="L726" s="297"/>
      <c r="M726" s="297"/>
      <c r="N726" s="297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0"/>
      <c r="AO726" s="240"/>
      <c r="AP726" s="240"/>
      <c r="AQ726" s="240"/>
      <c r="AR726" s="240"/>
      <c r="AS726" s="240"/>
      <c r="AT726" s="240"/>
      <c r="AU726" s="240"/>
      <c r="AV726" s="240"/>
      <c r="AW726" s="240"/>
      <c r="AX726" s="240"/>
      <c r="AY726" s="240"/>
      <c r="AZ726" s="240"/>
      <c r="BA726" s="240"/>
      <c r="BB726" s="240"/>
      <c r="BC726" s="240"/>
      <c r="BD726" s="240"/>
      <c r="BE726" s="240"/>
      <c r="BF726" s="240"/>
      <c r="BG726" s="240"/>
      <c r="BH726" s="240"/>
      <c r="BI726" s="240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97"/>
      <c r="BT726" s="240"/>
      <c r="BU726" s="240"/>
      <c r="BV726" s="240"/>
      <c r="BW726" s="240"/>
      <c r="BX726" s="240"/>
      <c r="BY726" s="240"/>
      <c r="BZ726" s="240"/>
      <c r="CA726" s="240"/>
      <c r="CB726" s="240"/>
      <c r="CC726" s="240"/>
      <c r="CD726" s="240"/>
      <c r="CE726" s="240"/>
      <c r="CF726" s="240"/>
      <c r="CG726" s="240"/>
      <c r="CH726" s="240"/>
      <c r="CI726" s="240"/>
      <c r="CJ726" s="240"/>
      <c r="CK726" s="240"/>
      <c r="CL726" s="240"/>
      <c r="CM726" s="240"/>
      <c r="CN726" s="240"/>
      <c r="CO726" s="240"/>
      <c r="CP726" s="240"/>
      <c r="CQ726" s="240"/>
      <c r="CR726" s="240"/>
      <c r="CS726" s="240"/>
      <c r="CT726" s="240"/>
      <c r="CU726" s="240"/>
      <c r="CV726" s="240"/>
      <c r="CW726" s="240"/>
      <c r="CX726" s="240"/>
      <c r="CY726" s="240"/>
      <c r="CZ726" s="240"/>
      <c r="DA726" s="240"/>
      <c r="DB726" s="240"/>
      <c r="DC726" s="240"/>
      <c r="DD726" s="240"/>
      <c r="DE726" s="240"/>
      <c r="DF726" s="240"/>
      <c r="DG726" s="240"/>
      <c r="DH726" s="240"/>
      <c r="DI726" s="240"/>
      <c r="DJ726" s="240"/>
      <c r="DK726" s="240"/>
      <c r="DL726" s="240"/>
      <c r="DM726" s="240"/>
      <c r="DN726" s="240"/>
      <c r="DO726" s="240"/>
      <c r="DP726" s="240"/>
      <c r="DQ726" s="240"/>
      <c r="DR726" s="240"/>
      <c r="DS726" s="240"/>
      <c r="DT726" s="240"/>
      <c r="DU726" s="240"/>
      <c r="DV726" s="240"/>
      <c r="DW726" s="240"/>
      <c r="DX726" s="240"/>
      <c r="DY726" s="240"/>
      <c r="DZ726" s="240"/>
      <c r="EA726" s="240"/>
      <c r="EB726" s="240"/>
      <c r="EC726" s="240"/>
      <c r="ED726" s="240"/>
      <c r="EE726" s="240"/>
      <c r="EF726" s="240"/>
      <c r="EG726" s="240"/>
      <c r="EH726" s="240"/>
      <c r="EI726" s="240"/>
      <c r="EJ726" s="240"/>
      <c r="EK726" s="240"/>
      <c r="EL726" s="359"/>
      <c r="EM726" s="245"/>
      <c r="EN726" s="245"/>
      <c r="EO726" s="245"/>
      <c r="EP726" s="245"/>
      <c r="EQ726" s="254"/>
      <c r="ER726" s="240"/>
      <c r="ES726" s="240"/>
      <c r="ET726" s="240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193"/>
    </row>
    <row r="727" spans="2:189" s="243" customFormat="1" ht="11.25" hidden="1" customHeight="1">
      <c r="B727" s="244"/>
      <c r="C727" s="240"/>
      <c r="D727" s="240"/>
      <c r="E727" s="240"/>
      <c r="F727" s="240"/>
      <c r="G727" s="240"/>
      <c r="H727" s="240"/>
      <c r="I727" s="240"/>
      <c r="J727" s="240"/>
      <c r="K727" s="240"/>
      <c r="L727" s="297"/>
      <c r="M727" s="297"/>
      <c r="N727" s="297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0"/>
      <c r="AO727" s="240"/>
      <c r="AP727" s="240"/>
      <c r="AQ727" s="240"/>
      <c r="AR727" s="240"/>
      <c r="AS727" s="240"/>
      <c r="AT727" s="240"/>
      <c r="AU727" s="240"/>
      <c r="AV727" s="240"/>
      <c r="AW727" s="240"/>
      <c r="AX727" s="240"/>
      <c r="AY727" s="240"/>
      <c r="AZ727" s="240"/>
      <c r="BA727" s="240"/>
      <c r="BB727" s="240"/>
      <c r="BC727" s="240"/>
      <c r="BD727" s="240"/>
      <c r="BE727" s="240"/>
      <c r="BF727" s="240"/>
      <c r="BG727" s="240"/>
      <c r="BH727" s="240"/>
      <c r="BI727" s="240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97"/>
      <c r="BT727" s="240"/>
      <c r="BU727" s="240"/>
      <c r="BV727" s="240"/>
      <c r="BW727" s="240"/>
      <c r="BX727" s="240"/>
      <c r="BY727" s="240"/>
      <c r="BZ727" s="240"/>
      <c r="CA727" s="240"/>
      <c r="CB727" s="240"/>
      <c r="CC727" s="240"/>
      <c r="CD727" s="240"/>
      <c r="CE727" s="240"/>
      <c r="CF727" s="240"/>
      <c r="CG727" s="240"/>
      <c r="CH727" s="240"/>
      <c r="CI727" s="240"/>
      <c r="CJ727" s="240"/>
      <c r="CK727" s="240"/>
      <c r="CL727" s="240"/>
      <c r="CM727" s="240"/>
      <c r="CN727" s="240"/>
      <c r="CO727" s="240"/>
      <c r="CP727" s="240"/>
      <c r="CQ727" s="240"/>
      <c r="CR727" s="240"/>
      <c r="CS727" s="240"/>
      <c r="CT727" s="240"/>
      <c r="CU727" s="240"/>
      <c r="CV727" s="240"/>
      <c r="CW727" s="240"/>
      <c r="CX727" s="240"/>
      <c r="CY727" s="240"/>
      <c r="CZ727" s="240"/>
      <c r="DA727" s="240"/>
      <c r="DB727" s="240"/>
      <c r="DC727" s="240"/>
      <c r="DD727" s="240"/>
      <c r="DE727" s="240"/>
      <c r="DF727" s="240"/>
      <c r="DG727" s="240"/>
      <c r="DH727" s="240"/>
      <c r="DI727" s="240"/>
      <c r="DJ727" s="240"/>
      <c r="DK727" s="240"/>
      <c r="DL727" s="240"/>
      <c r="DM727" s="240"/>
      <c r="DN727" s="240"/>
      <c r="DO727" s="240"/>
      <c r="DP727" s="240"/>
      <c r="DQ727" s="240"/>
      <c r="DR727" s="240"/>
      <c r="DS727" s="240"/>
      <c r="DT727" s="240"/>
      <c r="DU727" s="240"/>
      <c r="DV727" s="240"/>
      <c r="DW727" s="240"/>
      <c r="DX727" s="240"/>
      <c r="DY727" s="240"/>
      <c r="DZ727" s="240"/>
      <c r="EA727" s="240"/>
      <c r="EB727" s="240"/>
      <c r="EC727" s="240"/>
      <c r="ED727" s="240"/>
      <c r="EE727" s="240"/>
      <c r="EF727" s="240"/>
      <c r="EG727" s="240"/>
      <c r="EH727" s="240"/>
      <c r="EI727" s="240"/>
      <c r="EJ727" s="240"/>
      <c r="EK727" s="240"/>
      <c r="EL727" s="359"/>
      <c r="EM727" s="245"/>
      <c r="EN727" s="245"/>
      <c r="EO727" s="245"/>
      <c r="EP727" s="245"/>
      <c r="EQ727" s="254"/>
      <c r="ER727" s="240"/>
      <c r="ES727" s="240"/>
      <c r="ET727" s="240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193"/>
    </row>
    <row r="728" spans="2:189" s="243" customFormat="1" ht="11.25" hidden="1" customHeight="1">
      <c r="B728" s="244"/>
      <c r="C728" s="240"/>
      <c r="D728" s="240"/>
      <c r="E728" s="240"/>
      <c r="F728" s="240"/>
      <c r="G728" s="240"/>
      <c r="H728" s="240"/>
      <c r="I728" s="240"/>
      <c r="J728" s="240"/>
      <c r="K728" s="240"/>
      <c r="L728" s="297"/>
      <c r="M728" s="297"/>
      <c r="N728" s="297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0"/>
      <c r="AO728" s="240"/>
      <c r="AP728" s="240"/>
      <c r="AQ728" s="240"/>
      <c r="AR728" s="240"/>
      <c r="AS728" s="240"/>
      <c r="AT728" s="240"/>
      <c r="AU728" s="240"/>
      <c r="AV728" s="240"/>
      <c r="AW728" s="240"/>
      <c r="AX728" s="240"/>
      <c r="AY728" s="240"/>
      <c r="AZ728" s="240"/>
      <c r="BA728" s="240"/>
      <c r="BB728" s="240"/>
      <c r="BC728" s="240"/>
      <c r="BD728" s="240"/>
      <c r="BE728" s="240"/>
      <c r="BF728" s="240"/>
      <c r="BG728" s="240"/>
      <c r="BH728" s="240"/>
      <c r="BI728" s="240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97"/>
      <c r="BT728" s="240"/>
      <c r="BU728" s="240"/>
      <c r="BV728" s="240"/>
      <c r="BW728" s="240"/>
      <c r="BX728" s="240"/>
      <c r="BY728" s="240"/>
      <c r="BZ728" s="240"/>
      <c r="CA728" s="240"/>
      <c r="CB728" s="240"/>
      <c r="CC728" s="240"/>
      <c r="CD728" s="240"/>
      <c r="CE728" s="240"/>
      <c r="CF728" s="240"/>
      <c r="CG728" s="240"/>
      <c r="CH728" s="240"/>
      <c r="CI728" s="240"/>
      <c r="CJ728" s="240"/>
      <c r="CK728" s="240"/>
      <c r="CL728" s="240"/>
      <c r="CM728" s="240"/>
      <c r="CN728" s="240"/>
      <c r="CO728" s="240"/>
      <c r="CP728" s="240"/>
      <c r="CQ728" s="240"/>
      <c r="CR728" s="240"/>
      <c r="CS728" s="240"/>
      <c r="CT728" s="240"/>
      <c r="CU728" s="240"/>
      <c r="CV728" s="240"/>
      <c r="CW728" s="240"/>
      <c r="CX728" s="240"/>
      <c r="CY728" s="240"/>
      <c r="CZ728" s="240"/>
      <c r="DA728" s="240"/>
      <c r="DB728" s="240"/>
      <c r="DC728" s="240"/>
      <c r="DD728" s="240"/>
      <c r="DE728" s="240"/>
      <c r="DF728" s="240"/>
      <c r="DG728" s="240"/>
      <c r="DH728" s="240"/>
      <c r="DI728" s="240"/>
      <c r="DJ728" s="240"/>
      <c r="DK728" s="240"/>
      <c r="DL728" s="240"/>
      <c r="DM728" s="240"/>
      <c r="DN728" s="240"/>
      <c r="DO728" s="240"/>
      <c r="DP728" s="240"/>
      <c r="DQ728" s="240"/>
      <c r="DR728" s="240"/>
      <c r="DS728" s="240"/>
      <c r="DT728" s="240"/>
      <c r="DU728" s="240"/>
      <c r="DV728" s="240"/>
      <c r="DW728" s="240"/>
      <c r="DX728" s="240"/>
      <c r="DY728" s="240"/>
      <c r="DZ728" s="240"/>
      <c r="EA728" s="240"/>
      <c r="EB728" s="240"/>
      <c r="EC728" s="240"/>
      <c r="ED728" s="240"/>
      <c r="EE728" s="240"/>
      <c r="EF728" s="240"/>
      <c r="EG728" s="240"/>
      <c r="EH728" s="240"/>
      <c r="EI728" s="240"/>
      <c r="EJ728" s="240"/>
      <c r="EK728" s="240"/>
      <c r="EL728" s="359"/>
      <c r="EM728" s="245"/>
      <c r="EN728" s="245"/>
      <c r="EO728" s="245"/>
      <c r="EP728" s="245"/>
      <c r="EQ728" s="254"/>
      <c r="ER728" s="240"/>
      <c r="ES728" s="240"/>
      <c r="ET728" s="240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193"/>
    </row>
    <row r="729" spans="2:189" s="243" customFormat="1" ht="11.25" hidden="1" customHeight="1">
      <c r="B729" s="244"/>
      <c r="C729" s="240"/>
      <c r="D729" s="240"/>
      <c r="E729" s="240"/>
      <c r="F729" s="240"/>
      <c r="G729" s="240"/>
      <c r="H729" s="240"/>
      <c r="I729" s="240"/>
      <c r="J729" s="240"/>
      <c r="K729" s="240"/>
      <c r="L729" s="297"/>
      <c r="M729" s="297"/>
      <c r="N729" s="297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0"/>
      <c r="AO729" s="240"/>
      <c r="AP729" s="240"/>
      <c r="AQ729" s="240"/>
      <c r="AR729" s="240"/>
      <c r="AS729" s="240"/>
      <c r="AT729" s="240"/>
      <c r="AU729" s="240"/>
      <c r="AV729" s="240"/>
      <c r="AW729" s="240"/>
      <c r="AX729" s="240"/>
      <c r="AY729" s="240"/>
      <c r="AZ729" s="240"/>
      <c r="BA729" s="240"/>
      <c r="BB729" s="240"/>
      <c r="BC729" s="240"/>
      <c r="BD729" s="240"/>
      <c r="BE729" s="240"/>
      <c r="BF729" s="240"/>
      <c r="BG729" s="240"/>
      <c r="BH729" s="240"/>
      <c r="BI729" s="240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97"/>
      <c r="BT729" s="240"/>
      <c r="BU729" s="240"/>
      <c r="BV729" s="240"/>
      <c r="BW729" s="240"/>
      <c r="BX729" s="240"/>
      <c r="BY729" s="240"/>
      <c r="BZ729" s="240"/>
      <c r="CA729" s="240"/>
      <c r="CB729" s="240"/>
      <c r="CC729" s="240"/>
      <c r="CD729" s="240"/>
      <c r="CE729" s="240"/>
      <c r="CF729" s="240"/>
      <c r="CG729" s="240"/>
      <c r="CH729" s="240"/>
      <c r="CI729" s="240"/>
      <c r="CJ729" s="240"/>
      <c r="CK729" s="240"/>
      <c r="CL729" s="240"/>
      <c r="CM729" s="240"/>
      <c r="CN729" s="240"/>
      <c r="CO729" s="240"/>
      <c r="CP729" s="240"/>
      <c r="CQ729" s="240"/>
      <c r="CR729" s="240"/>
      <c r="CS729" s="240"/>
      <c r="CT729" s="240"/>
      <c r="CU729" s="240"/>
      <c r="CV729" s="240"/>
      <c r="CW729" s="240"/>
      <c r="CX729" s="240"/>
      <c r="CY729" s="240"/>
      <c r="CZ729" s="240"/>
      <c r="DA729" s="240"/>
      <c r="DB729" s="240"/>
      <c r="DC729" s="240"/>
      <c r="DD729" s="240"/>
      <c r="DE729" s="240"/>
      <c r="DF729" s="240"/>
      <c r="DG729" s="240"/>
      <c r="DH729" s="240"/>
      <c r="DI729" s="240"/>
      <c r="DJ729" s="240"/>
      <c r="DK729" s="240"/>
      <c r="DL729" s="240"/>
      <c r="DM729" s="240"/>
      <c r="DN729" s="240"/>
      <c r="DO729" s="240"/>
      <c r="DP729" s="240"/>
      <c r="DQ729" s="240"/>
      <c r="DR729" s="240"/>
      <c r="DS729" s="240"/>
      <c r="DT729" s="240"/>
      <c r="DU729" s="240"/>
      <c r="DV729" s="240"/>
      <c r="DW729" s="240"/>
      <c r="DX729" s="240"/>
      <c r="DY729" s="240"/>
      <c r="DZ729" s="240"/>
      <c r="EA729" s="240"/>
      <c r="EB729" s="240"/>
      <c r="EC729" s="240"/>
      <c r="ED729" s="240"/>
      <c r="EE729" s="240"/>
      <c r="EF729" s="240"/>
      <c r="EG729" s="240"/>
      <c r="EH729" s="240"/>
      <c r="EI729" s="240"/>
      <c r="EJ729" s="240"/>
      <c r="EK729" s="240"/>
      <c r="EL729" s="359"/>
      <c r="EM729" s="245"/>
      <c r="EN729" s="245"/>
      <c r="EO729" s="245"/>
      <c r="EP729" s="245"/>
      <c r="EQ729" s="254"/>
      <c r="ER729" s="240"/>
      <c r="ES729" s="240"/>
      <c r="ET729" s="240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193"/>
    </row>
    <row r="730" spans="2:189" s="243" customFormat="1" ht="11.25" hidden="1" customHeight="1">
      <c r="B730" s="244"/>
      <c r="C730" s="240"/>
      <c r="D730" s="240"/>
      <c r="E730" s="240"/>
      <c r="F730" s="240"/>
      <c r="G730" s="240"/>
      <c r="H730" s="240"/>
      <c r="I730" s="240"/>
      <c r="J730" s="240"/>
      <c r="K730" s="240"/>
      <c r="L730" s="297"/>
      <c r="M730" s="297"/>
      <c r="N730" s="297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0"/>
      <c r="AO730" s="240"/>
      <c r="AP730" s="240"/>
      <c r="AQ730" s="240"/>
      <c r="AR730" s="240"/>
      <c r="AS730" s="240"/>
      <c r="AT730" s="240"/>
      <c r="AU730" s="240"/>
      <c r="AV730" s="240"/>
      <c r="AW730" s="240"/>
      <c r="AX730" s="240"/>
      <c r="AY730" s="240"/>
      <c r="AZ730" s="240"/>
      <c r="BA730" s="240"/>
      <c r="BB730" s="240"/>
      <c r="BC730" s="240"/>
      <c r="BD730" s="240"/>
      <c r="BE730" s="240"/>
      <c r="BF730" s="240"/>
      <c r="BG730" s="240"/>
      <c r="BH730" s="240"/>
      <c r="BI730" s="240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97"/>
      <c r="BT730" s="240"/>
      <c r="BU730" s="240"/>
      <c r="BV730" s="240"/>
      <c r="BW730" s="240"/>
      <c r="BX730" s="240"/>
      <c r="BY730" s="240"/>
      <c r="BZ730" s="240"/>
      <c r="CA730" s="240"/>
      <c r="CB730" s="240"/>
      <c r="CC730" s="240"/>
      <c r="CD730" s="240"/>
      <c r="CE730" s="240"/>
      <c r="CF730" s="240"/>
      <c r="CG730" s="240"/>
      <c r="CH730" s="240"/>
      <c r="CI730" s="240"/>
      <c r="CJ730" s="240"/>
      <c r="CK730" s="240"/>
      <c r="CL730" s="240"/>
      <c r="CM730" s="240"/>
      <c r="CN730" s="240"/>
      <c r="CO730" s="240"/>
      <c r="CP730" s="240"/>
      <c r="CQ730" s="240"/>
      <c r="CR730" s="240"/>
      <c r="CS730" s="240"/>
      <c r="CT730" s="240"/>
      <c r="CU730" s="240"/>
      <c r="CV730" s="240"/>
      <c r="CW730" s="240"/>
      <c r="CX730" s="240"/>
      <c r="CY730" s="240"/>
      <c r="CZ730" s="240"/>
      <c r="DA730" s="240"/>
      <c r="DB730" s="240"/>
      <c r="DC730" s="240"/>
      <c r="DD730" s="240"/>
      <c r="DE730" s="240"/>
      <c r="DF730" s="240"/>
      <c r="DG730" s="240"/>
      <c r="DH730" s="240"/>
      <c r="DI730" s="240"/>
      <c r="DJ730" s="240"/>
      <c r="DK730" s="240"/>
      <c r="DL730" s="240"/>
      <c r="DM730" s="240"/>
      <c r="DN730" s="240"/>
      <c r="DO730" s="240"/>
      <c r="DP730" s="240"/>
      <c r="DQ730" s="240"/>
      <c r="DR730" s="240"/>
      <c r="DS730" s="240"/>
      <c r="DT730" s="240"/>
      <c r="DU730" s="240"/>
      <c r="DV730" s="240"/>
      <c r="DW730" s="240"/>
      <c r="DX730" s="240"/>
      <c r="DY730" s="240"/>
      <c r="DZ730" s="240"/>
      <c r="EA730" s="240"/>
      <c r="EB730" s="240"/>
      <c r="EC730" s="240"/>
      <c r="ED730" s="240"/>
      <c r="EE730" s="240"/>
      <c r="EF730" s="240"/>
      <c r="EG730" s="240"/>
      <c r="EH730" s="240"/>
      <c r="EI730" s="240"/>
      <c r="EJ730" s="240"/>
      <c r="EK730" s="240"/>
      <c r="EL730" s="359"/>
      <c r="EM730" s="245"/>
      <c r="EN730" s="245"/>
      <c r="EO730" s="245"/>
      <c r="EP730" s="245"/>
      <c r="EQ730" s="254"/>
      <c r="ER730" s="240"/>
      <c r="ES730" s="240"/>
      <c r="ET730" s="240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193"/>
    </row>
    <row r="731" spans="2:189" s="243" customFormat="1" ht="11.25" hidden="1" customHeight="1">
      <c r="B731" s="244"/>
      <c r="C731" s="240"/>
      <c r="D731" s="240"/>
      <c r="E731" s="240"/>
      <c r="F731" s="240"/>
      <c r="G731" s="240"/>
      <c r="H731" s="240"/>
      <c r="I731" s="240"/>
      <c r="J731" s="240"/>
      <c r="K731" s="240"/>
      <c r="L731" s="297"/>
      <c r="M731" s="297"/>
      <c r="N731" s="297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0"/>
      <c r="AO731" s="240"/>
      <c r="AP731" s="240"/>
      <c r="AQ731" s="240"/>
      <c r="AR731" s="240"/>
      <c r="AS731" s="240"/>
      <c r="AT731" s="240"/>
      <c r="AU731" s="240"/>
      <c r="AV731" s="240"/>
      <c r="AW731" s="240"/>
      <c r="AX731" s="240"/>
      <c r="AY731" s="240"/>
      <c r="AZ731" s="240"/>
      <c r="BA731" s="240"/>
      <c r="BB731" s="240"/>
      <c r="BC731" s="240"/>
      <c r="BD731" s="240"/>
      <c r="BE731" s="240"/>
      <c r="BF731" s="240"/>
      <c r="BG731" s="240"/>
      <c r="BH731" s="240"/>
      <c r="BI731" s="240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97"/>
      <c r="BT731" s="240"/>
      <c r="BU731" s="240"/>
      <c r="BV731" s="240"/>
      <c r="BW731" s="240"/>
      <c r="BX731" s="240"/>
      <c r="BY731" s="240"/>
      <c r="BZ731" s="240"/>
      <c r="CA731" s="240"/>
      <c r="CB731" s="240"/>
      <c r="CC731" s="240"/>
      <c r="CD731" s="240"/>
      <c r="CE731" s="240"/>
      <c r="CF731" s="240"/>
      <c r="CG731" s="240"/>
      <c r="CH731" s="240"/>
      <c r="CI731" s="240"/>
      <c r="CJ731" s="240"/>
      <c r="CK731" s="240"/>
      <c r="CL731" s="240"/>
      <c r="CM731" s="240"/>
      <c r="CN731" s="240"/>
      <c r="CO731" s="240"/>
      <c r="CP731" s="240"/>
      <c r="CQ731" s="240"/>
      <c r="CR731" s="240"/>
      <c r="CS731" s="240"/>
      <c r="CT731" s="240"/>
      <c r="CU731" s="240"/>
      <c r="CV731" s="240"/>
      <c r="CW731" s="240"/>
      <c r="CX731" s="240"/>
      <c r="CY731" s="240"/>
      <c r="CZ731" s="240"/>
      <c r="DA731" s="240"/>
      <c r="DB731" s="240"/>
      <c r="DC731" s="240"/>
      <c r="DD731" s="240"/>
      <c r="DE731" s="240"/>
      <c r="DF731" s="240"/>
      <c r="DG731" s="240"/>
      <c r="DH731" s="240"/>
      <c r="DI731" s="240"/>
      <c r="DJ731" s="240"/>
      <c r="DK731" s="240"/>
      <c r="DL731" s="240"/>
      <c r="DM731" s="240"/>
      <c r="DN731" s="240"/>
      <c r="DO731" s="240"/>
      <c r="DP731" s="240"/>
      <c r="DQ731" s="240"/>
      <c r="DR731" s="240"/>
      <c r="DS731" s="240"/>
      <c r="DT731" s="240"/>
      <c r="DU731" s="240"/>
      <c r="DV731" s="240"/>
      <c r="DW731" s="240"/>
      <c r="DX731" s="240"/>
      <c r="DY731" s="240"/>
      <c r="DZ731" s="240"/>
      <c r="EA731" s="240"/>
      <c r="EB731" s="240"/>
      <c r="EC731" s="240"/>
      <c r="ED731" s="240"/>
      <c r="EE731" s="240"/>
      <c r="EF731" s="240"/>
      <c r="EG731" s="240"/>
      <c r="EH731" s="240"/>
      <c r="EI731" s="240"/>
      <c r="EJ731" s="240"/>
      <c r="EK731" s="240"/>
      <c r="EL731" s="359"/>
      <c r="EM731" s="245"/>
      <c r="EN731" s="245"/>
      <c r="EO731" s="245"/>
      <c r="EP731" s="245"/>
      <c r="EQ731" s="254"/>
      <c r="ER731" s="240"/>
      <c r="ES731" s="240"/>
      <c r="ET731" s="240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193"/>
    </row>
    <row r="732" spans="2:189" s="243" customFormat="1" ht="11.25" hidden="1" customHeight="1">
      <c r="B732" s="244"/>
      <c r="C732" s="240"/>
      <c r="D732" s="240"/>
      <c r="E732" s="240"/>
      <c r="F732" s="240"/>
      <c r="G732" s="240"/>
      <c r="H732" s="240"/>
      <c r="I732" s="240"/>
      <c r="J732" s="240"/>
      <c r="K732" s="240"/>
      <c r="L732" s="297"/>
      <c r="M732" s="297"/>
      <c r="N732" s="297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0"/>
      <c r="AO732" s="240"/>
      <c r="AP732" s="240"/>
      <c r="AQ732" s="240"/>
      <c r="AR732" s="240"/>
      <c r="AS732" s="240"/>
      <c r="AT732" s="240"/>
      <c r="AU732" s="240"/>
      <c r="AV732" s="240"/>
      <c r="AW732" s="240"/>
      <c r="AX732" s="240"/>
      <c r="AY732" s="240"/>
      <c r="AZ732" s="240"/>
      <c r="BA732" s="240"/>
      <c r="BB732" s="240"/>
      <c r="BC732" s="240"/>
      <c r="BD732" s="240"/>
      <c r="BE732" s="240"/>
      <c r="BF732" s="240"/>
      <c r="BG732" s="240"/>
      <c r="BH732" s="240"/>
      <c r="BI732" s="240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97"/>
      <c r="BT732" s="240"/>
      <c r="BU732" s="240"/>
      <c r="BV732" s="240"/>
      <c r="BW732" s="240"/>
      <c r="BX732" s="240"/>
      <c r="BY732" s="240"/>
      <c r="BZ732" s="240"/>
      <c r="CA732" s="240"/>
      <c r="CB732" s="240"/>
      <c r="CC732" s="240"/>
      <c r="CD732" s="240"/>
      <c r="CE732" s="240"/>
      <c r="CF732" s="240"/>
      <c r="CG732" s="240"/>
      <c r="CH732" s="240"/>
      <c r="CI732" s="240"/>
      <c r="CJ732" s="240"/>
      <c r="CK732" s="240"/>
      <c r="CL732" s="240"/>
      <c r="CM732" s="240"/>
      <c r="CN732" s="240"/>
      <c r="CO732" s="240"/>
      <c r="CP732" s="240"/>
      <c r="CQ732" s="240"/>
      <c r="CR732" s="240"/>
      <c r="CS732" s="240"/>
      <c r="CT732" s="240"/>
      <c r="CU732" s="240"/>
      <c r="CV732" s="240"/>
      <c r="CW732" s="240"/>
      <c r="CX732" s="240"/>
      <c r="CY732" s="240"/>
      <c r="CZ732" s="240"/>
      <c r="DA732" s="240"/>
      <c r="DB732" s="240"/>
      <c r="DC732" s="240"/>
      <c r="DD732" s="240"/>
      <c r="DE732" s="240"/>
      <c r="DF732" s="240"/>
      <c r="DG732" s="240"/>
      <c r="DH732" s="240"/>
      <c r="DI732" s="240"/>
      <c r="DJ732" s="240"/>
      <c r="DK732" s="240"/>
      <c r="DL732" s="240"/>
      <c r="DM732" s="240"/>
      <c r="DN732" s="240"/>
      <c r="DO732" s="240"/>
      <c r="DP732" s="240"/>
      <c r="DQ732" s="240"/>
      <c r="DR732" s="240"/>
      <c r="DS732" s="240"/>
      <c r="DT732" s="240"/>
      <c r="DU732" s="240"/>
      <c r="DV732" s="240"/>
      <c r="DW732" s="240"/>
      <c r="DX732" s="240"/>
      <c r="DY732" s="240"/>
      <c r="DZ732" s="240"/>
      <c r="EA732" s="240"/>
      <c r="EB732" s="240"/>
      <c r="EC732" s="240"/>
      <c r="ED732" s="240"/>
      <c r="EE732" s="240"/>
      <c r="EF732" s="240"/>
      <c r="EG732" s="240"/>
      <c r="EH732" s="240"/>
      <c r="EI732" s="240"/>
      <c r="EJ732" s="240"/>
      <c r="EK732" s="240"/>
      <c r="EL732" s="359"/>
      <c r="EM732" s="245"/>
      <c r="EN732" s="245"/>
      <c r="EO732" s="245"/>
      <c r="EP732" s="245"/>
      <c r="EQ732" s="254"/>
      <c r="ER732" s="240"/>
      <c r="ES732" s="240"/>
      <c r="ET732" s="240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193"/>
    </row>
    <row r="733" spans="2:189" s="243" customFormat="1" ht="11.25" hidden="1" customHeight="1">
      <c r="B733" s="244"/>
      <c r="C733" s="240"/>
      <c r="D733" s="240"/>
      <c r="E733" s="240"/>
      <c r="F733" s="240"/>
      <c r="G733" s="240"/>
      <c r="H733" s="240"/>
      <c r="I733" s="240"/>
      <c r="J733" s="240"/>
      <c r="K733" s="240"/>
      <c r="L733" s="297"/>
      <c r="M733" s="297"/>
      <c r="N733" s="297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0"/>
      <c r="AO733" s="240"/>
      <c r="AP733" s="240"/>
      <c r="AQ733" s="240"/>
      <c r="AR733" s="240"/>
      <c r="AS733" s="240"/>
      <c r="AT733" s="240"/>
      <c r="AU733" s="240"/>
      <c r="AV733" s="240"/>
      <c r="AW733" s="240"/>
      <c r="AX733" s="240"/>
      <c r="AY733" s="240"/>
      <c r="AZ733" s="240"/>
      <c r="BA733" s="240"/>
      <c r="BB733" s="240"/>
      <c r="BC733" s="240"/>
      <c r="BD733" s="240"/>
      <c r="BE733" s="240"/>
      <c r="BF733" s="240"/>
      <c r="BG733" s="240"/>
      <c r="BH733" s="240"/>
      <c r="BI733" s="240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97"/>
      <c r="BT733" s="240"/>
      <c r="BU733" s="240"/>
      <c r="BV733" s="240"/>
      <c r="BW733" s="240"/>
      <c r="BX733" s="240"/>
      <c r="BY733" s="240"/>
      <c r="BZ733" s="240"/>
      <c r="CA733" s="240"/>
      <c r="CB733" s="240"/>
      <c r="CC733" s="240"/>
      <c r="CD733" s="240"/>
      <c r="CE733" s="240"/>
      <c r="CF733" s="240"/>
      <c r="CG733" s="240"/>
      <c r="CH733" s="240"/>
      <c r="CI733" s="240"/>
      <c r="CJ733" s="240"/>
      <c r="CK733" s="240"/>
      <c r="CL733" s="240"/>
      <c r="CM733" s="240"/>
      <c r="CN733" s="240"/>
      <c r="CO733" s="240"/>
      <c r="CP733" s="240"/>
      <c r="CQ733" s="240"/>
      <c r="CR733" s="240"/>
      <c r="CS733" s="240"/>
      <c r="CT733" s="240"/>
      <c r="CU733" s="240"/>
      <c r="CV733" s="240"/>
      <c r="CW733" s="240"/>
      <c r="CX733" s="240"/>
      <c r="CY733" s="240"/>
      <c r="CZ733" s="240"/>
      <c r="DA733" s="240"/>
      <c r="DB733" s="240"/>
      <c r="DC733" s="240"/>
      <c r="DD733" s="240"/>
      <c r="DE733" s="240"/>
      <c r="DF733" s="240"/>
      <c r="DG733" s="240"/>
      <c r="DH733" s="240"/>
      <c r="DI733" s="240"/>
      <c r="DJ733" s="240"/>
      <c r="DK733" s="240"/>
      <c r="DL733" s="240"/>
      <c r="DM733" s="240"/>
      <c r="DN733" s="240"/>
      <c r="DO733" s="240"/>
      <c r="DP733" s="240"/>
      <c r="DQ733" s="240"/>
      <c r="DR733" s="240"/>
      <c r="DS733" s="240"/>
      <c r="DT733" s="240"/>
      <c r="DU733" s="240"/>
      <c r="DV733" s="240"/>
      <c r="DW733" s="240"/>
      <c r="DX733" s="240"/>
      <c r="DY733" s="240"/>
      <c r="DZ733" s="240"/>
      <c r="EA733" s="240"/>
      <c r="EB733" s="240"/>
      <c r="EC733" s="240"/>
      <c r="ED733" s="240"/>
      <c r="EE733" s="240"/>
      <c r="EF733" s="240"/>
      <c r="EG733" s="240"/>
      <c r="EH733" s="240"/>
      <c r="EI733" s="240"/>
      <c r="EJ733" s="240"/>
      <c r="EK733" s="240"/>
      <c r="EL733" s="359"/>
      <c r="EM733" s="245"/>
      <c r="EN733" s="245"/>
      <c r="EO733" s="245"/>
      <c r="EP733" s="245"/>
      <c r="EQ733" s="254"/>
      <c r="ER733" s="240"/>
      <c r="ES733" s="240"/>
      <c r="ET733" s="240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193"/>
    </row>
    <row r="734" spans="2:189" s="243" customFormat="1" ht="11.25" hidden="1" customHeight="1">
      <c r="B734" s="244"/>
      <c r="C734" s="240"/>
      <c r="D734" s="240"/>
      <c r="E734" s="240"/>
      <c r="F734" s="240"/>
      <c r="G734" s="240"/>
      <c r="H734" s="240"/>
      <c r="I734" s="240"/>
      <c r="J734" s="240"/>
      <c r="K734" s="240"/>
      <c r="L734" s="297"/>
      <c r="M734" s="297"/>
      <c r="N734" s="297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97"/>
      <c r="BT734" s="240"/>
      <c r="BU734" s="240"/>
      <c r="BV734" s="240"/>
      <c r="BW734" s="240"/>
      <c r="BX734" s="240"/>
      <c r="BY734" s="240"/>
      <c r="BZ734" s="240"/>
      <c r="CA734" s="240"/>
      <c r="CB734" s="240"/>
      <c r="CC734" s="240"/>
      <c r="CD734" s="240"/>
      <c r="CE734" s="240"/>
      <c r="CF734" s="240"/>
      <c r="CG734" s="240"/>
      <c r="CH734" s="240"/>
      <c r="CI734" s="240"/>
      <c r="CJ734" s="240"/>
      <c r="CK734" s="240"/>
      <c r="CL734" s="240"/>
      <c r="CM734" s="240"/>
      <c r="CN734" s="240"/>
      <c r="CO734" s="240"/>
      <c r="CP734" s="240"/>
      <c r="CQ734" s="240"/>
      <c r="CR734" s="240"/>
      <c r="CS734" s="240"/>
      <c r="CT734" s="240"/>
      <c r="CU734" s="240"/>
      <c r="CV734" s="240"/>
      <c r="CW734" s="240"/>
      <c r="CX734" s="240"/>
      <c r="CY734" s="240"/>
      <c r="CZ734" s="240"/>
      <c r="DA734" s="240"/>
      <c r="DB734" s="240"/>
      <c r="DC734" s="240"/>
      <c r="DD734" s="240"/>
      <c r="DE734" s="240"/>
      <c r="DF734" s="240"/>
      <c r="DG734" s="240"/>
      <c r="DH734" s="240"/>
      <c r="DI734" s="240"/>
      <c r="DJ734" s="240"/>
      <c r="DK734" s="240"/>
      <c r="DL734" s="240"/>
      <c r="DM734" s="240"/>
      <c r="DN734" s="240"/>
      <c r="DO734" s="240"/>
      <c r="DP734" s="240"/>
      <c r="DQ734" s="240"/>
      <c r="DR734" s="240"/>
      <c r="DS734" s="240"/>
      <c r="DT734" s="240"/>
      <c r="DU734" s="240"/>
      <c r="DV734" s="240"/>
      <c r="DW734" s="240"/>
      <c r="DX734" s="240"/>
      <c r="DY734" s="240"/>
      <c r="DZ734" s="240"/>
      <c r="EA734" s="240"/>
      <c r="EB734" s="240"/>
      <c r="EC734" s="240"/>
      <c r="ED734" s="240"/>
      <c r="EE734" s="240"/>
      <c r="EF734" s="240"/>
      <c r="EG734" s="240"/>
      <c r="EH734" s="240"/>
      <c r="EI734" s="240"/>
      <c r="EJ734" s="240"/>
      <c r="EK734" s="240"/>
      <c r="EL734" s="359"/>
      <c r="EM734" s="245"/>
      <c r="EN734" s="245"/>
      <c r="EO734" s="245"/>
      <c r="EP734" s="245"/>
      <c r="EQ734" s="254"/>
      <c r="ER734" s="240"/>
      <c r="ES734" s="240"/>
      <c r="ET734" s="240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193"/>
    </row>
    <row r="735" spans="2:189" s="243" customFormat="1" ht="11.25" hidden="1" customHeight="1">
      <c r="B735" s="244"/>
      <c r="C735" s="240"/>
      <c r="D735" s="240"/>
      <c r="E735" s="240"/>
      <c r="F735" s="240"/>
      <c r="G735" s="240"/>
      <c r="H735" s="240"/>
      <c r="I735" s="240"/>
      <c r="J735" s="240"/>
      <c r="K735" s="240"/>
      <c r="L735" s="297"/>
      <c r="M735" s="297"/>
      <c r="N735" s="297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97"/>
      <c r="BT735" s="240"/>
      <c r="BU735" s="240"/>
      <c r="BV735" s="240"/>
      <c r="BW735" s="240"/>
      <c r="BX735" s="240"/>
      <c r="BY735" s="240"/>
      <c r="BZ735" s="240"/>
      <c r="CA735" s="240"/>
      <c r="CB735" s="240"/>
      <c r="CC735" s="240"/>
      <c r="CD735" s="240"/>
      <c r="CE735" s="240"/>
      <c r="CF735" s="240"/>
      <c r="CG735" s="240"/>
      <c r="CH735" s="240"/>
      <c r="CI735" s="240"/>
      <c r="CJ735" s="240"/>
      <c r="CK735" s="240"/>
      <c r="CL735" s="240"/>
      <c r="CM735" s="240"/>
      <c r="CN735" s="240"/>
      <c r="CO735" s="240"/>
      <c r="CP735" s="240"/>
      <c r="CQ735" s="240"/>
      <c r="CR735" s="240"/>
      <c r="CS735" s="240"/>
      <c r="CT735" s="240"/>
      <c r="CU735" s="240"/>
      <c r="CV735" s="240"/>
      <c r="CW735" s="240"/>
      <c r="CX735" s="240"/>
      <c r="CY735" s="240"/>
      <c r="CZ735" s="240"/>
      <c r="DA735" s="240"/>
      <c r="DB735" s="240"/>
      <c r="DC735" s="240"/>
      <c r="DD735" s="240"/>
      <c r="DE735" s="240"/>
      <c r="DF735" s="240"/>
      <c r="DG735" s="240"/>
      <c r="DH735" s="240"/>
      <c r="DI735" s="240"/>
      <c r="DJ735" s="240"/>
      <c r="DK735" s="240"/>
      <c r="DL735" s="240"/>
      <c r="DM735" s="240"/>
      <c r="DN735" s="240"/>
      <c r="DO735" s="240"/>
      <c r="DP735" s="240"/>
      <c r="DQ735" s="240"/>
      <c r="DR735" s="240"/>
      <c r="DS735" s="240"/>
      <c r="DT735" s="240"/>
      <c r="DU735" s="240"/>
      <c r="DV735" s="240"/>
      <c r="DW735" s="240"/>
      <c r="DX735" s="240"/>
      <c r="DY735" s="240"/>
      <c r="DZ735" s="240"/>
      <c r="EA735" s="240"/>
      <c r="EB735" s="240"/>
      <c r="EC735" s="240"/>
      <c r="ED735" s="240"/>
      <c r="EE735" s="240"/>
      <c r="EF735" s="240"/>
      <c r="EG735" s="240"/>
      <c r="EH735" s="240"/>
      <c r="EI735" s="240"/>
      <c r="EJ735" s="240"/>
      <c r="EK735" s="240"/>
      <c r="EL735" s="359"/>
      <c r="EM735" s="245"/>
      <c r="EN735" s="245"/>
      <c r="EO735" s="245"/>
      <c r="EP735" s="245"/>
      <c r="EQ735" s="254"/>
      <c r="ER735" s="240"/>
      <c r="ES735" s="240"/>
      <c r="ET735" s="240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193"/>
    </row>
    <row r="736" spans="2:189" s="243" customFormat="1" ht="11.25" hidden="1" customHeight="1">
      <c r="B736" s="244"/>
      <c r="C736" s="240"/>
      <c r="D736" s="240"/>
      <c r="E736" s="240"/>
      <c r="F736" s="240"/>
      <c r="G736" s="240"/>
      <c r="H736" s="240"/>
      <c r="I736" s="240"/>
      <c r="J736" s="240"/>
      <c r="K736" s="240"/>
      <c r="L736" s="297"/>
      <c r="M736" s="297"/>
      <c r="N736" s="297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97"/>
      <c r="BT736" s="240"/>
      <c r="BU736" s="240"/>
      <c r="BV736" s="240"/>
      <c r="BW736" s="240"/>
      <c r="BX736" s="240"/>
      <c r="BY736" s="240"/>
      <c r="BZ736" s="240"/>
      <c r="CA736" s="240"/>
      <c r="CB736" s="240"/>
      <c r="CC736" s="240"/>
      <c r="CD736" s="240"/>
      <c r="CE736" s="240"/>
      <c r="CF736" s="240"/>
      <c r="CG736" s="240"/>
      <c r="CH736" s="240"/>
      <c r="CI736" s="240"/>
      <c r="CJ736" s="240"/>
      <c r="CK736" s="240"/>
      <c r="CL736" s="240"/>
      <c r="CM736" s="240"/>
      <c r="CN736" s="240"/>
      <c r="CO736" s="240"/>
      <c r="CP736" s="240"/>
      <c r="CQ736" s="240"/>
      <c r="CR736" s="240"/>
      <c r="CS736" s="240"/>
      <c r="CT736" s="240"/>
      <c r="CU736" s="240"/>
      <c r="CV736" s="240"/>
      <c r="CW736" s="240"/>
      <c r="CX736" s="240"/>
      <c r="CY736" s="240"/>
      <c r="CZ736" s="240"/>
      <c r="DA736" s="240"/>
      <c r="DB736" s="240"/>
      <c r="DC736" s="240"/>
      <c r="DD736" s="240"/>
      <c r="DE736" s="240"/>
      <c r="DF736" s="240"/>
      <c r="DG736" s="240"/>
      <c r="DH736" s="240"/>
      <c r="DI736" s="240"/>
      <c r="DJ736" s="240"/>
      <c r="DK736" s="240"/>
      <c r="DL736" s="240"/>
      <c r="DM736" s="240"/>
      <c r="DN736" s="240"/>
      <c r="DO736" s="240"/>
      <c r="DP736" s="240"/>
      <c r="DQ736" s="240"/>
      <c r="DR736" s="240"/>
      <c r="DS736" s="240"/>
      <c r="DT736" s="240"/>
      <c r="DU736" s="240"/>
      <c r="DV736" s="240"/>
      <c r="DW736" s="240"/>
      <c r="DX736" s="240"/>
      <c r="DY736" s="240"/>
      <c r="DZ736" s="240"/>
      <c r="EA736" s="240"/>
      <c r="EB736" s="240"/>
      <c r="EC736" s="240"/>
      <c r="ED736" s="240"/>
      <c r="EE736" s="240"/>
      <c r="EF736" s="240"/>
      <c r="EG736" s="240"/>
      <c r="EH736" s="240"/>
      <c r="EI736" s="240"/>
      <c r="EJ736" s="240"/>
      <c r="EK736" s="240"/>
      <c r="EL736" s="359"/>
      <c r="EM736" s="245"/>
      <c r="EN736" s="245"/>
      <c r="EO736" s="245"/>
      <c r="EP736" s="245"/>
      <c r="EQ736" s="254"/>
      <c r="ER736" s="240"/>
      <c r="ES736" s="240"/>
      <c r="ET736" s="240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193"/>
    </row>
    <row r="737" spans="1:189" s="243" customFormat="1" ht="11.25" hidden="1" customHeight="1">
      <c r="B737" s="244"/>
      <c r="C737" s="240"/>
      <c r="D737" s="240"/>
      <c r="E737" s="240"/>
      <c r="F737" s="240"/>
      <c r="G737" s="240"/>
      <c r="H737" s="240"/>
      <c r="I737" s="240"/>
      <c r="J737" s="240"/>
      <c r="K737" s="240"/>
      <c r="L737" s="297"/>
      <c r="M737" s="297"/>
      <c r="N737" s="297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97"/>
      <c r="BT737" s="240"/>
      <c r="BU737" s="240"/>
      <c r="BV737" s="240"/>
      <c r="BW737" s="240"/>
      <c r="BX737" s="240"/>
      <c r="BY737" s="240"/>
      <c r="BZ737" s="240"/>
      <c r="CA737" s="240"/>
      <c r="CB737" s="240"/>
      <c r="CC737" s="240"/>
      <c r="CD737" s="240"/>
      <c r="CE737" s="240"/>
      <c r="CF737" s="240"/>
      <c r="CG737" s="240"/>
      <c r="CH737" s="240"/>
      <c r="CI737" s="240"/>
      <c r="CJ737" s="240"/>
      <c r="CK737" s="240"/>
      <c r="CL737" s="240"/>
      <c r="CM737" s="240"/>
      <c r="CN737" s="240"/>
      <c r="CO737" s="240"/>
      <c r="CP737" s="240"/>
      <c r="CQ737" s="240"/>
      <c r="CR737" s="240"/>
      <c r="CS737" s="240"/>
      <c r="CT737" s="240"/>
      <c r="CU737" s="240"/>
      <c r="CV737" s="240"/>
      <c r="CW737" s="240"/>
      <c r="CX737" s="240"/>
      <c r="CY737" s="240"/>
      <c r="CZ737" s="240"/>
      <c r="DA737" s="240"/>
      <c r="DB737" s="240"/>
      <c r="DC737" s="240"/>
      <c r="DD737" s="240"/>
      <c r="DE737" s="240"/>
      <c r="DF737" s="240"/>
      <c r="DG737" s="240"/>
      <c r="DH737" s="240"/>
      <c r="DI737" s="240"/>
      <c r="DJ737" s="240"/>
      <c r="DK737" s="240"/>
      <c r="DL737" s="240"/>
      <c r="DM737" s="240"/>
      <c r="DN737" s="240"/>
      <c r="DO737" s="240"/>
      <c r="DP737" s="240"/>
      <c r="DQ737" s="240"/>
      <c r="DR737" s="240"/>
      <c r="DS737" s="240"/>
      <c r="DT737" s="240"/>
      <c r="DU737" s="240"/>
      <c r="DV737" s="240"/>
      <c r="DW737" s="240"/>
      <c r="DX737" s="240"/>
      <c r="DY737" s="240"/>
      <c r="DZ737" s="240"/>
      <c r="EA737" s="240"/>
      <c r="EB737" s="240"/>
      <c r="EC737" s="240"/>
      <c r="ED737" s="240"/>
      <c r="EE737" s="240"/>
      <c r="EF737" s="240"/>
      <c r="EG737" s="240"/>
      <c r="EH737" s="240"/>
      <c r="EI737" s="240"/>
      <c r="EJ737" s="240"/>
      <c r="EK737" s="240"/>
      <c r="EL737" s="359"/>
      <c r="EM737" s="245"/>
      <c r="EN737" s="245"/>
      <c r="EO737" s="245"/>
      <c r="EP737" s="245"/>
      <c r="EQ737" s="254"/>
      <c r="ER737" s="240"/>
      <c r="ES737" s="240"/>
      <c r="ET737" s="240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193"/>
    </row>
    <row r="738" spans="1:189" s="243" customFormat="1" ht="11.25" hidden="1" customHeight="1">
      <c r="B738" s="244"/>
      <c r="C738" s="240"/>
      <c r="D738" s="240"/>
      <c r="E738" s="240"/>
      <c r="F738" s="240"/>
      <c r="G738" s="240"/>
      <c r="H738" s="240"/>
      <c r="I738" s="240"/>
      <c r="J738" s="240"/>
      <c r="K738" s="240"/>
      <c r="L738" s="297"/>
      <c r="M738" s="297"/>
      <c r="N738" s="297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97"/>
      <c r="BT738" s="240"/>
      <c r="BU738" s="240"/>
      <c r="BV738" s="240"/>
      <c r="BW738" s="240"/>
      <c r="BX738" s="240"/>
      <c r="BY738" s="240"/>
      <c r="BZ738" s="240"/>
      <c r="CA738" s="240"/>
      <c r="CB738" s="240"/>
      <c r="CC738" s="240"/>
      <c r="CD738" s="240"/>
      <c r="CE738" s="240"/>
      <c r="CF738" s="240"/>
      <c r="CG738" s="240"/>
      <c r="CH738" s="240"/>
      <c r="CI738" s="240"/>
      <c r="CJ738" s="240"/>
      <c r="CK738" s="240"/>
      <c r="CL738" s="240"/>
      <c r="CM738" s="240"/>
      <c r="CN738" s="240"/>
      <c r="CO738" s="240"/>
      <c r="CP738" s="240"/>
      <c r="CQ738" s="240"/>
      <c r="CR738" s="240"/>
      <c r="CS738" s="240"/>
      <c r="CT738" s="240"/>
      <c r="CU738" s="240"/>
      <c r="CV738" s="240"/>
      <c r="CW738" s="240"/>
      <c r="CX738" s="240"/>
      <c r="CY738" s="240"/>
      <c r="CZ738" s="240"/>
      <c r="DA738" s="240"/>
      <c r="DB738" s="240"/>
      <c r="DC738" s="240"/>
      <c r="DD738" s="240"/>
      <c r="DE738" s="240"/>
      <c r="DF738" s="240"/>
      <c r="DG738" s="240"/>
      <c r="DH738" s="240"/>
      <c r="DI738" s="240"/>
      <c r="DJ738" s="240"/>
      <c r="DK738" s="240"/>
      <c r="DL738" s="240"/>
      <c r="DM738" s="240"/>
      <c r="DN738" s="240"/>
      <c r="DO738" s="240"/>
      <c r="DP738" s="240"/>
      <c r="DQ738" s="240"/>
      <c r="DR738" s="240"/>
      <c r="DS738" s="240"/>
      <c r="DT738" s="240"/>
      <c r="DU738" s="240"/>
      <c r="DV738" s="240"/>
      <c r="DW738" s="240"/>
      <c r="DX738" s="240"/>
      <c r="DY738" s="240"/>
      <c r="DZ738" s="240"/>
      <c r="EA738" s="240"/>
      <c r="EB738" s="240"/>
      <c r="EC738" s="240"/>
      <c r="ED738" s="240"/>
      <c r="EE738" s="240"/>
      <c r="EF738" s="240"/>
      <c r="EG738" s="240"/>
      <c r="EH738" s="240"/>
      <c r="EI738" s="240"/>
      <c r="EJ738" s="240"/>
      <c r="EK738" s="240"/>
      <c r="EL738" s="359"/>
      <c r="EM738" s="245"/>
      <c r="EN738" s="245"/>
      <c r="EO738" s="245"/>
      <c r="EP738" s="245"/>
      <c r="EQ738" s="254"/>
      <c r="ER738" s="240"/>
      <c r="ES738" s="240"/>
      <c r="ET738" s="240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193"/>
    </row>
    <row r="739" spans="1:189" s="243" customFormat="1" ht="11.25" hidden="1" customHeight="1">
      <c r="B739" s="244"/>
      <c r="C739" s="240"/>
      <c r="D739" s="240"/>
      <c r="E739" s="240"/>
      <c r="F739" s="240"/>
      <c r="G739" s="240"/>
      <c r="H739" s="240"/>
      <c r="I739" s="240"/>
      <c r="J739" s="240"/>
      <c r="K739" s="240"/>
      <c r="L739" s="297"/>
      <c r="M739" s="297"/>
      <c r="N739" s="297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97"/>
      <c r="BT739" s="240"/>
      <c r="BU739" s="240"/>
      <c r="BV739" s="240"/>
      <c r="BW739" s="240"/>
      <c r="BX739" s="240"/>
      <c r="BY739" s="240"/>
      <c r="BZ739" s="240"/>
      <c r="CA739" s="240"/>
      <c r="CB739" s="240"/>
      <c r="CC739" s="240"/>
      <c r="CD739" s="240"/>
      <c r="CE739" s="240"/>
      <c r="CF739" s="240"/>
      <c r="CG739" s="240"/>
      <c r="CH739" s="240"/>
      <c r="CI739" s="240"/>
      <c r="CJ739" s="240"/>
      <c r="CK739" s="240"/>
      <c r="CL739" s="240"/>
      <c r="CM739" s="240"/>
      <c r="CN739" s="240"/>
      <c r="CO739" s="240"/>
      <c r="CP739" s="240"/>
      <c r="CQ739" s="240"/>
      <c r="CR739" s="240"/>
      <c r="CS739" s="240"/>
      <c r="CT739" s="240"/>
      <c r="CU739" s="240"/>
      <c r="CV739" s="240"/>
      <c r="CW739" s="240"/>
      <c r="CX739" s="240"/>
      <c r="CY739" s="240"/>
      <c r="CZ739" s="240"/>
      <c r="DA739" s="240"/>
      <c r="DB739" s="240"/>
      <c r="DC739" s="240"/>
      <c r="DD739" s="240"/>
      <c r="DE739" s="240"/>
      <c r="DF739" s="240"/>
      <c r="DG739" s="240"/>
      <c r="DH739" s="240"/>
      <c r="DI739" s="240"/>
      <c r="DJ739" s="240"/>
      <c r="DK739" s="240"/>
      <c r="DL739" s="240"/>
      <c r="DM739" s="240"/>
      <c r="DN739" s="240"/>
      <c r="DO739" s="240"/>
      <c r="DP739" s="240"/>
      <c r="DQ739" s="240"/>
      <c r="DR739" s="240"/>
      <c r="DS739" s="240"/>
      <c r="DT739" s="240"/>
      <c r="DU739" s="240"/>
      <c r="DV739" s="240"/>
      <c r="DW739" s="240"/>
      <c r="DX739" s="240"/>
      <c r="DY739" s="240"/>
      <c r="DZ739" s="240"/>
      <c r="EA739" s="240"/>
      <c r="EB739" s="240"/>
      <c r="EC739" s="240"/>
      <c r="ED739" s="240"/>
      <c r="EE739" s="240"/>
      <c r="EF739" s="240"/>
      <c r="EG739" s="240"/>
      <c r="EH739" s="240"/>
      <c r="EI739" s="240"/>
      <c r="EJ739" s="240"/>
      <c r="EK739" s="240"/>
      <c r="EL739" s="359"/>
      <c r="EM739" s="245"/>
      <c r="EN739" s="245"/>
      <c r="EO739" s="245"/>
      <c r="EP739" s="245"/>
      <c r="EQ739" s="254"/>
      <c r="ER739" s="240"/>
      <c r="ES739" s="240"/>
      <c r="ET739" s="240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193"/>
    </row>
    <row r="740" spans="1:189" s="243" customFormat="1" ht="11.45" hidden="1" customHeight="1">
      <c r="B740" s="246"/>
      <c r="C740" s="247"/>
      <c r="D740" s="247"/>
      <c r="E740" s="247"/>
      <c r="F740" s="247"/>
      <c r="G740" s="247"/>
      <c r="H740" s="247"/>
      <c r="I740" s="247"/>
      <c r="J740" s="247"/>
      <c r="K740" s="247"/>
      <c r="L740" s="301"/>
      <c r="M740" s="301"/>
      <c r="N740" s="301"/>
      <c r="O740" s="247"/>
      <c r="P740" s="247"/>
      <c r="Q740" s="247"/>
      <c r="R740" s="308"/>
      <c r="S740" s="247"/>
      <c r="T740" s="247"/>
      <c r="U740" s="247"/>
      <c r="V740" s="247"/>
      <c r="W740" s="247"/>
      <c r="X740" s="247"/>
      <c r="Y740" s="247"/>
      <c r="Z740" s="247"/>
      <c r="AA740" s="247"/>
      <c r="AB740" s="247"/>
      <c r="AC740" s="247"/>
      <c r="AD740" s="247"/>
      <c r="AE740" s="247"/>
      <c r="AF740" s="247"/>
      <c r="AG740" s="247"/>
      <c r="AH740" s="247"/>
      <c r="AI740" s="247"/>
      <c r="AJ740" s="247"/>
      <c r="AK740" s="247"/>
      <c r="AL740" s="247"/>
      <c r="AM740" s="247"/>
      <c r="AN740" s="247"/>
      <c r="AO740" s="247"/>
      <c r="AP740" s="247"/>
      <c r="AQ740" s="247"/>
      <c r="AR740" s="247"/>
      <c r="AS740" s="247"/>
      <c r="AT740" s="247"/>
      <c r="AU740" s="247"/>
      <c r="AV740" s="247"/>
      <c r="AW740" s="247"/>
      <c r="AX740" s="247"/>
      <c r="AY740" s="247"/>
      <c r="AZ740" s="247"/>
      <c r="BA740" s="247"/>
      <c r="BB740" s="247"/>
      <c r="BC740" s="247"/>
      <c r="BD740" s="247"/>
      <c r="BE740" s="247"/>
      <c r="BF740" s="247"/>
      <c r="BG740" s="247"/>
      <c r="BH740" s="247"/>
      <c r="BI740" s="247"/>
      <c r="BJ740" s="247"/>
      <c r="BK740" s="247"/>
      <c r="BL740" s="247"/>
      <c r="BM740" s="247"/>
      <c r="BN740" s="247"/>
      <c r="BO740" s="247"/>
      <c r="BP740" s="247"/>
      <c r="BQ740" s="247"/>
      <c r="BR740" s="247"/>
      <c r="BS740" s="301"/>
      <c r="BT740" s="247"/>
      <c r="BU740" s="247"/>
      <c r="BV740" s="247"/>
      <c r="BW740" s="247"/>
      <c r="BX740" s="247"/>
      <c r="BY740" s="247"/>
      <c r="BZ740" s="247"/>
      <c r="CA740" s="247"/>
      <c r="CB740" s="247"/>
      <c r="CC740" s="247"/>
      <c r="CD740" s="247"/>
      <c r="CE740" s="247"/>
      <c r="CF740" s="247"/>
      <c r="CG740" s="247"/>
      <c r="CH740" s="247"/>
      <c r="CI740" s="247"/>
      <c r="CJ740" s="247"/>
      <c r="CK740" s="247"/>
      <c r="CL740" s="247"/>
      <c r="CM740" s="247"/>
      <c r="CN740" s="247"/>
      <c r="CO740" s="247"/>
      <c r="CP740" s="247"/>
      <c r="CQ740" s="247"/>
      <c r="CR740" s="247"/>
      <c r="CS740" s="247"/>
      <c r="CT740" s="247"/>
      <c r="CU740" s="247"/>
      <c r="CV740" s="247"/>
      <c r="CW740" s="247"/>
      <c r="CX740" s="247"/>
      <c r="CY740" s="247"/>
      <c r="CZ740" s="247"/>
      <c r="DA740" s="247"/>
      <c r="DB740" s="247"/>
      <c r="DC740" s="247"/>
      <c r="DD740" s="247"/>
      <c r="DE740" s="247"/>
      <c r="DF740" s="247"/>
      <c r="DG740" s="247"/>
      <c r="DH740" s="247"/>
      <c r="DI740" s="247"/>
      <c r="DJ740" s="247"/>
      <c r="DK740" s="247"/>
      <c r="DL740" s="247"/>
      <c r="DM740" s="247"/>
      <c r="DN740" s="247"/>
      <c r="DO740" s="247"/>
      <c r="DP740" s="247"/>
      <c r="DQ740" s="247"/>
      <c r="DR740" s="247"/>
      <c r="DS740" s="247"/>
      <c r="DT740" s="247"/>
      <c r="DU740" s="247"/>
      <c r="DV740" s="247"/>
      <c r="DW740" s="247"/>
      <c r="DX740" s="247"/>
      <c r="DY740" s="247"/>
      <c r="DZ740" s="247"/>
      <c r="EA740" s="247"/>
      <c r="EB740" s="247"/>
      <c r="EC740" s="247"/>
      <c r="ED740" s="247"/>
      <c r="EE740" s="247"/>
      <c r="EF740" s="247"/>
      <c r="EG740" s="247"/>
      <c r="EH740" s="247"/>
      <c r="EI740" s="247"/>
      <c r="EJ740" s="247"/>
      <c r="EK740" s="247"/>
      <c r="EL740" s="360"/>
      <c r="EM740" s="264"/>
      <c r="EN740" s="249"/>
      <c r="EO740" s="249"/>
      <c r="EP740" s="249"/>
      <c r="EQ740" s="260"/>
      <c r="ER740" s="240"/>
      <c r="ES740" s="240"/>
      <c r="ET740" s="240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193"/>
    </row>
    <row r="741" spans="1:189" ht="11.45" hidden="1" customHeight="1">
      <c r="B741" s="261"/>
      <c r="C741" s="256"/>
      <c r="D741" s="256"/>
      <c r="E741" s="256"/>
      <c r="F741" s="256"/>
      <c r="G741" s="256"/>
      <c r="H741" s="256"/>
      <c r="I741" s="256"/>
      <c r="J741" s="256"/>
      <c r="K741" s="256"/>
      <c r="L741" s="300"/>
      <c r="M741" s="300"/>
      <c r="N741" s="300"/>
      <c r="O741" s="256"/>
      <c r="P741" s="256"/>
      <c r="Q741" s="256"/>
      <c r="R741" s="256"/>
      <c r="S741" s="256"/>
      <c r="T741" s="256"/>
      <c r="U741" s="256"/>
      <c r="V741" s="256"/>
      <c r="W741" s="256"/>
      <c r="X741" s="256"/>
      <c r="Y741" s="256"/>
      <c r="Z741" s="256"/>
      <c r="AA741" s="256"/>
      <c r="AB741" s="256"/>
      <c r="AC741" s="256"/>
      <c r="AD741" s="256"/>
      <c r="AE741" s="256"/>
      <c r="AF741" s="256"/>
      <c r="AG741" s="256"/>
      <c r="AH741" s="256"/>
      <c r="AI741" s="256"/>
      <c r="AJ741" s="256"/>
      <c r="AK741" s="256"/>
      <c r="AL741" s="256"/>
      <c r="AM741" s="256"/>
      <c r="AN741" s="256"/>
      <c r="AO741" s="256"/>
      <c r="AP741" s="256"/>
      <c r="AQ741" s="256"/>
      <c r="AR741" s="256"/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6"/>
      <c r="BL741" s="256"/>
      <c r="BM741" s="256"/>
      <c r="BN741" s="256"/>
      <c r="BO741" s="256"/>
      <c r="BP741" s="256"/>
      <c r="BQ741" s="256"/>
      <c r="BR741" s="256"/>
      <c r="BS741" s="300"/>
      <c r="BT741" s="256"/>
      <c r="BU741" s="256"/>
      <c r="BV741" s="256"/>
      <c r="BW741" s="256"/>
      <c r="BX741" s="256"/>
      <c r="BY741" s="256"/>
      <c r="BZ741" s="256"/>
      <c r="CA741" s="256"/>
      <c r="CB741" s="256"/>
      <c r="CC741" s="256"/>
      <c r="CD741" s="256"/>
      <c r="CE741" s="256"/>
      <c r="CF741" s="256"/>
      <c r="CG741" s="256"/>
      <c r="CH741" s="256"/>
      <c r="CI741" s="256"/>
      <c r="CJ741" s="256"/>
      <c r="CK741" s="256"/>
      <c r="CL741" s="256"/>
      <c r="CM741" s="256"/>
      <c r="CN741" s="256"/>
      <c r="CO741" s="256"/>
      <c r="CP741" s="256"/>
      <c r="CQ741" s="256"/>
      <c r="CR741" s="256"/>
      <c r="CS741" s="256"/>
      <c r="CT741" s="256"/>
      <c r="CU741" s="256"/>
      <c r="CV741" s="256"/>
      <c r="CW741" s="256"/>
      <c r="CX741" s="256"/>
      <c r="CY741" s="256"/>
      <c r="CZ741" s="256"/>
      <c r="DA741" s="256"/>
      <c r="DB741" s="256"/>
      <c r="DC741" s="256"/>
      <c r="DD741" s="256"/>
      <c r="DE741" s="256"/>
      <c r="DF741" s="256"/>
      <c r="DG741" s="256"/>
      <c r="DH741" s="256"/>
      <c r="DI741" s="256"/>
      <c r="DJ741" s="256"/>
      <c r="DK741" s="256"/>
      <c r="DL741" s="256"/>
      <c r="DM741" s="256"/>
      <c r="DN741" s="256"/>
      <c r="DO741" s="256"/>
      <c r="DP741" s="256"/>
      <c r="DQ741" s="256"/>
      <c r="DR741" s="256"/>
      <c r="DS741" s="256"/>
      <c r="DT741" s="256"/>
      <c r="DU741" s="256"/>
      <c r="DV741" s="256"/>
      <c r="DW741" s="256"/>
      <c r="DX741" s="256"/>
      <c r="DY741" s="256"/>
      <c r="DZ741" s="256"/>
      <c r="EA741" s="256"/>
      <c r="EB741" s="256"/>
      <c r="EC741" s="256"/>
      <c r="ED741" s="256"/>
      <c r="EE741" s="256"/>
      <c r="EF741" s="256"/>
      <c r="EG741" s="256"/>
      <c r="EH741" s="256"/>
      <c r="EI741" s="256"/>
      <c r="EJ741" s="256"/>
      <c r="EK741" s="256"/>
      <c r="EL741" s="361"/>
      <c r="EM741" s="262"/>
      <c r="EN741" s="262"/>
      <c r="EO741" s="262"/>
      <c r="EP741" s="262"/>
      <c r="EQ741" s="263"/>
      <c r="ER741" s="253"/>
      <c r="ES741" s="236"/>
      <c r="ET741" s="236"/>
    </row>
    <row r="742" spans="1:189" s="243" customFormat="1" ht="11.45" hidden="1" customHeight="1">
      <c r="A742" s="243">
        <v>18</v>
      </c>
      <c r="B742" s="1782">
        <f>A742</f>
        <v>18</v>
      </c>
      <c r="C742" s="1781"/>
      <c r="D742" s="1781"/>
      <c r="E742" s="344" t="s">
        <v>892</v>
      </c>
      <c r="F742" s="240"/>
      <c r="G742" s="240"/>
      <c r="H742" s="240"/>
      <c r="I742" s="240"/>
      <c r="J742" s="240"/>
      <c r="K742" s="240"/>
      <c r="L742" s="297"/>
      <c r="M742" s="297"/>
      <c r="N742" s="297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0"/>
      <c r="AO742" s="240"/>
      <c r="AP742" s="240"/>
      <c r="AQ742" s="240"/>
      <c r="AR742" s="240"/>
      <c r="AS742" s="240"/>
      <c r="AT742" s="240"/>
      <c r="AU742" s="240"/>
      <c r="AV742" s="240"/>
      <c r="AW742" s="240"/>
      <c r="AX742" s="240"/>
      <c r="AY742" s="240"/>
      <c r="AZ742" s="240"/>
      <c r="BA742" s="240"/>
      <c r="BB742" s="240"/>
      <c r="BC742" s="240"/>
      <c r="BD742" s="240"/>
      <c r="BE742" s="240"/>
      <c r="BF742" s="240"/>
      <c r="BG742" s="240"/>
      <c r="BH742" s="240"/>
      <c r="BI742" s="240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97"/>
      <c r="BT742" s="240"/>
      <c r="BU742" s="240"/>
      <c r="BV742" s="240"/>
      <c r="BW742" s="240"/>
      <c r="BX742" s="240"/>
      <c r="BY742" s="240"/>
      <c r="BZ742" s="240"/>
      <c r="CA742" s="240"/>
      <c r="CB742" s="240"/>
      <c r="CC742" s="240"/>
      <c r="CD742" s="240"/>
      <c r="CE742" s="240"/>
      <c r="CF742" s="240"/>
      <c r="CG742" s="240"/>
      <c r="CH742" s="240"/>
      <c r="CI742" s="240"/>
      <c r="CJ742" s="240"/>
      <c r="CK742" s="240"/>
      <c r="CL742" s="240"/>
      <c r="CM742" s="240"/>
      <c r="CN742" s="240"/>
      <c r="CO742" s="240"/>
      <c r="CP742" s="240"/>
      <c r="CQ742" s="240"/>
      <c r="CR742" s="240"/>
      <c r="CS742" s="240"/>
      <c r="CT742" s="240"/>
      <c r="CU742" s="240"/>
      <c r="CV742" s="240"/>
      <c r="CW742" s="240"/>
      <c r="CX742" s="240"/>
      <c r="CY742" s="240"/>
      <c r="CZ742" s="240"/>
      <c r="DA742" s="240"/>
      <c r="DB742" s="240"/>
      <c r="DC742" s="240"/>
      <c r="DD742" s="240"/>
      <c r="DE742" s="240"/>
      <c r="DF742" s="240"/>
      <c r="DG742" s="240"/>
      <c r="DH742" s="240"/>
      <c r="DI742" s="240"/>
      <c r="DJ742" s="240"/>
      <c r="DK742" s="240"/>
      <c r="DL742" s="240"/>
      <c r="DM742" s="240"/>
      <c r="DN742" s="240"/>
      <c r="DO742" s="240"/>
      <c r="DP742" s="240"/>
      <c r="DQ742" s="240"/>
      <c r="DR742" s="240"/>
      <c r="DS742" s="240"/>
      <c r="DT742" s="240"/>
      <c r="DU742" s="240"/>
      <c r="DV742" s="240"/>
      <c r="DW742" s="240"/>
      <c r="DX742" s="240"/>
      <c r="DY742" s="240"/>
      <c r="DZ742" s="240"/>
      <c r="EA742" s="240"/>
      <c r="EB742" s="240"/>
      <c r="EC742" s="240"/>
      <c r="ED742" s="240"/>
      <c r="EE742" s="240"/>
      <c r="EF742" s="240"/>
      <c r="EG742" s="240"/>
      <c r="EH742" s="240"/>
      <c r="EI742" s="240"/>
      <c r="EJ742" s="240"/>
      <c r="EK742" s="240"/>
      <c r="EL742" s="359"/>
      <c r="EM742" s="242" t="e">
        <f>EM786</f>
        <v>#REF!</v>
      </c>
      <c r="EN742" s="242" t="e">
        <f>EN786</f>
        <v>#REF!</v>
      </c>
      <c r="EO742" s="242" t="e">
        <f>EO786</f>
        <v>#REF!</v>
      </c>
      <c r="EP742" s="242" t="str">
        <f>EP786</f>
        <v>353</v>
      </c>
      <c r="EQ742" s="312" t="s">
        <v>762</v>
      </c>
      <c r="ER742" s="240"/>
      <c r="ES742" s="800">
        <f>A742</f>
        <v>18</v>
      </c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193"/>
    </row>
    <row r="743" spans="1:189" s="243" customFormat="1" ht="11.45" hidden="1" customHeight="1">
      <c r="B743" s="244"/>
      <c r="C743" s="240"/>
      <c r="D743" s="240"/>
      <c r="E743" s="240" t="s">
        <v>681</v>
      </c>
      <c r="F743" s="240"/>
      <c r="G743" s="240"/>
      <c r="H743" s="240" t="s">
        <v>538</v>
      </c>
      <c r="I743" s="240" t="s">
        <v>724</v>
      </c>
      <c r="J743" s="240"/>
      <c r="K743" s="240"/>
      <c r="L743" s="297" t="s">
        <v>745</v>
      </c>
      <c r="M743" s="297"/>
      <c r="N743" s="297"/>
      <c r="O743" s="240"/>
      <c r="P743" s="240"/>
      <c r="Q743" s="240"/>
      <c r="R743" s="240"/>
      <c r="S743" s="240" t="s">
        <v>132</v>
      </c>
      <c r="T743" s="240"/>
      <c r="U743" s="240" t="s">
        <v>743</v>
      </c>
      <c r="V743" s="240"/>
      <c r="W743" s="240"/>
      <c r="X743" s="240" t="s">
        <v>134</v>
      </c>
      <c r="Y743" s="240"/>
      <c r="Z743" s="240" t="str">
        <f>TEXT(300,"#,##0.#######")</f>
        <v>300.</v>
      </c>
      <c r="AA743" s="240"/>
      <c r="AB743" s="240"/>
      <c r="AC743" s="240" t="s">
        <v>548</v>
      </c>
      <c r="AD743" s="240"/>
      <c r="AE743" s="240" t="s">
        <v>139</v>
      </c>
      <c r="AF743" s="240" t="s">
        <v>724</v>
      </c>
      <c r="AG743" s="240"/>
      <c r="AH743" s="240"/>
      <c r="AI743" s="240"/>
      <c r="AJ743" s="240"/>
      <c r="AK743" s="240"/>
      <c r="AL743" s="240"/>
      <c r="AM743" s="240"/>
      <c r="AN743" s="240"/>
      <c r="AO743" s="240"/>
      <c r="AP743" s="240"/>
      <c r="AQ743" s="240"/>
      <c r="AR743" s="240"/>
      <c r="AS743" s="240"/>
      <c r="AT743" s="240"/>
      <c r="AU743" s="240"/>
      <c r="AV743" s="240"/>
      <c r="AW743" s="240"/>
      <c r="AX743" s="240"/>
      <c r="AY743" s="240"/>
      <c r="AZ743" s="240"/>
      <c r="BA743" s="240"/>
      <c r="BB743" s="240"/>
      <c r="BC743" s="240"/>
      <c r="BD743" s="240"/>
      <c r="BE743" s="240"/>
      <c r="BF743" s="240"/>
      <c r="BG743" s="240"/>
      <c r="BH743" s="240"/>
      <c r="BI743" s="240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97"/>
      <c r="BT743" s="240"/>
      <c r="BU743" s="240"/>
      <c r="BV743" s="240"/>
      <c r="BW743" s="240"/>
      <c r="BX743" s="240"/>
      <c r="BY743" s="240"/>
      <c r="BZ743" s="240"/>
      <c r="CA743" s="240"/>
      <c r="CB743" s="240"/>
      <c r="CC743" s="240"/>
      <c r="CD743" s="240"/>
      <c r="CE743" s="240"/>
      <c r="CF743" s="240"/>
      <c r="CG743" s="240"/>
      <c r="CH743" s="240"/>
      <c r="CI743" s="240"/>
      <c r="CJ743" s="240"/>
      <c r="CK743" s="240"/>
      <c r="CL743" s="240"/>
      <c r="CM743" s="240"/>
      <c r="CN743" s="240"/>
      <c r="CO743" s="240"/>
      <c r="CP743" s="240"/>
      <c r="CQ743" s="240"/>
      <c r="CR743" s="240"/>
      <c r="CS743" s="240"/>
      <c r="CT743" s="240"/>
      <c r="CU743" s="240"/>
      <c r="CV743" s="240"/>
      <c r="CW743" s="240"/>
      <c r="CX743" s="240"/>
      <c r="CY743" s="240"/>
      <c r="CZ743" s="240"/>
      <c r="DA743" s="240"/>
      <c r="DB743" s="240"/>
      <c r="DC743" s="240"/>
      <c r="DD743" s="240"/>
      <c r="DE743" s="240"/>
      <c r="DF743" s="240"/>
      <c r="DG743" s="240"/>
      <c r="DH743" s="240"/>
      <c r="DI743" s="240"/>
      <c r="DJ743" s="240"/>
      <c r="DK743" s="240"/>
      <c r="DL743" s="240"/>
      <c r="DM743" s="240"/>
      <c r="DN743" s="240"/>
      <c r="DO743" s="240"/>
      <c r="DP743" s="240"/>
      <c r="DQ743" s="240"/>
      <c r="DR743" s="240"/>
      <c r="DS743" s="240"/>
      <c r="DT743" s="240"/>
      <c r="DU743" s="240"/>
      <c r="DV743" s="240"/>
      <c r="DW743" s="240"/>
      <c r="DX743" s="240"/>
      <c r="DY743" s="240"/>
      <c r="DZ743" s="240"/>
      <c r="EA743" s="240"/>
      <c r="EB743" s="240"/>
      <c r="EC743" s="240"/>
      <c r="ED743" s="240"/>
      <c r="EE743" s="240"/>
      <c r="EF743" s="240"/>
      <c r="EG743" s="240"/>
      <c r="EH743" s="240"/>
      <c r="EI743" s="240"/>
      <c r="EJ743" s="240"/>
      <c r="EK743" s="240"/>
      <c r="EL743" s="359"/>
      <c r="EM743" s="245"/>
      <c r="EN743" s="245"/>
      <c r="EO743" s="245"/>
      <c r="EP743" s="245"/>
      <c r="EQ743" s="254"/>
      <c r="ER743" s="240"/>
      <c r="ES743" s="240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193"/>
    </row>
    <row r="744" spans="1:189" s="243" customFormat="1" ht="11.45" hidden="1" customHeight="1">
      <c r="B744" s="244"/>
      <c r="C744" s="240"/>
      <c r="D744" s="240"/>
      <c r="E744" s="240"/>
      <c r="F744" s="240"/>
      <c r="G744" s="240"/>
      <c r="H744" s="240" t="s">
        <v>741</v>
      </c>
      <c r="I744" s="240"/>
      <c r="J744" s="240"/>
      <c r="K744" s="240"/>
      <c r="L744" s="297"/>
      <c r="M744" s="297"/>
      <c r="N744" s="297"/>
      <c r="O744" s="240" t="s">
        <v>745</v>
      </c>
      <c r="P744" s="240"/>
      <c r="Q744" s="240"/>
      <c r="R744" s="240"/>
      <c r="S744" s="240"/>
      <c r="T744" s="240"/>
      <c r="U744" s="240"/>
      <c r="V744" s="240" t="s">
        <v>132</v>
      </c>
      <c r="W744" s="240"/>
      <c r="X744" s="240" t="s">
        <v>687</v>
      </c>
      <c r="Y744" s="240"/>
      <c r="Z744" s="240" t="s">
        <v>134</v>
      </c>
      <c r="AA744" s="240"/>
      <c r="AB744" s="240" t="s">
        <v>743</v>
      </c>
      <c r="AC744" s="240"/>
      <c r="AD744" s="240"/>
      <c r="AE744" s="240" t="s">
        <v>683</v>
      </c>
      <c r="AF744" s="240"/>
      <c r="AG744" s="240"/>
      <c r="AH744" s="240" t="str">
        <f>TEXT(8,"#,##0.#######")</f>
        <v>8.</v>
      </c>
      <c r="AI744" s="240" t="s">
        <v>618</v>
      </c>
      <c r="AJ744" s="240"/>
      <c r="AK744" s="240"/>
      <c r="AL744" s="240" t="s">
        <v>134</v>
      </c>
      <c r="AM744" s="240"/>
      <c r="AN744" s="240" t="str">
        <f>TEXT(Z743,"#,##0.#######")</f>
        <v>300.</v>
      </c>
      <c r="AO744" s="240"/>
      <c r="AP744" s="240"/>
      <c r="AQ744" s="240"/>
      <c r="AR744" s="240" t="s">
        <v>683</v>
      </c>
      <c r="AS744" s="240"/>
      <c r="AT744" s="240"/>
      <c r="AU744" s="240" t="str">
        <f>TEXT(AH744,"#,##0.#######")</f>
        <v>8.</v>
      </c>
      <c r="AV744" s="240"/>
      <c r="AW744" s="240" t="s">
        <v>134</v>
      </c>
      <c r="AX744" s="240"/>
      <c r="AY744" s="240"/>
      <c r="AZ744" s="240" t="str">
        <f>TEXT(ROUND(Z743/AH744,2),"#,##0.#######")</f>
        <v>37.5</v>
      </c>
      <c r="BA744" s="240"/>
      <c r="BB744" s="240"/>
      <c r="BC744" s="240" t="s">
        <v>548</v>
      </c>
      <c r="BD744" s="240"/>
      <c r="BE744" s="240" t="s">
        <v>139</v>
      </c>
      <c r="BF744" s="240" t="s">
        <v>618</v>
      </c>
      <c r="BG744" s="240"/>
      <c r="BH744" s="240"/>
      <c r="BI744" s="240"/>
      <c r="BJ744" s="240"/>
      <c r="BK744" s="240"/>
      <c r="BL744" s="240"/>
      <c r="BM744" s="240"/>
      <c r="BN744" s="240"/>
      <c r="BO744" s="240"/>
      <c r="BP744" s="240"/>
      <c r="BQ744" s="240"/>
      <c r="BR744" s="240"/>
      <c r="BS744" s="297"/>
      <c r="BT744" s="240"/>
      <c r="BU744" s="240"/>
      <c r="BV744" s="240"/>
      <c r="BW744" s="240"/>
      <c r="BX744" s="240"/>
      <c r="BY744" s="240"/>
      <c r="BZ744" s="240"/>
      <c r="CA744" s="240"/>
      <c r="CB744" s="240"/>
      <c r="CC744" s="240"/>
      <c r="CD744" s="240"/>
      <c r="CE744" s="240"/>
      <c r="CF744" s="240"/>
      <c r="CG744" s="240"/>
      <c r="CH744" s="240"/>
      <c r="CI744" s="240"/>
      <c r="CJ744" s="240"/>
      <c r="CK744" s="240"/>
      <c r="CL744" s="240"/>
      <c r="CM744" s="240"/>
      <c r="CN744" s="240"/>
      <c r="CO744" s="240"/>
      <c r="CP744" s="240"/>
      <c r="CQ744" s="240"/>
      <c r="CR744" s="240"/>
      <c r="CS744" s="240"/>
      <c r="CT744" s="240"/>
      <c r="CU744" s="240"/>
      <c r="CV744" s="240"/>
      <c r="CW744" s="240"/>
      <c r="CX744" s="240"/>
      <c r="CY744" s="240"/>
      <c r="CZ744" s="240"/>
      <c r="DA744" s="240"/>
      <c r="DB744" s="240"/>
      <c r="DC744" s="240"/>
      <c r="DD744" s="240"/>
      <c r="DE744" s="240"/>
      <c r="DF744" s="240"/>
      <c r="DG744" s="240"/>
      <c r="DH744" s="240"/>
      <c r="DI744" s="240"/>
      <c r="DJ744" s="240"/>
      <c r="DK744" s="240"/>
      <c r="DL744" s="240"/>
      <c r="DM744" s="240"/>
      <c r="DN744" s="240"/>
      <c r="DO744" s="240"/>
      <c r="DP744" s="240"/>
      <c r="DQ744" s="240"/>
      <c r="DR744" s="240"/>
      <c r="DS744" s="240"/>
      <c r="DT744" s="240"/>
      <c r="DU744" s="240"/>
      <c r="DV744" s="240"/>
      <c r="DW744" s="240"/>
      <c r="DX744" s="240"/>
      <c r="DY744" s="240"/>
      <c r="DZ744" s="240"/>
      <c r="EA744" s="240"/>
      <c r="EB744" s="240"/>
      <c r="EC744" s="240"/>
      <c r="ED744" s="240"/>
      <c r="EE744" s="240"/>
      <c r="EF744" s="240"/>
      <c r="EG744" s="240"/>
      <c r="EH744" s="240"/>
      <c r="EI744" s="240"/>
      <c r="EJ744" s="240"/>
      <c r="EK744" s="240"/>
      <c r="EL744" s="359"/>
      <c r="EM744" s="245"/>
      <c r="EN744" s="245"/>
      <c r="EO744" s="245"/>
      <c r="EP744" s="245"/>
      <c r="EQ744" s="254"/>
      <c r="ER744" s="240"/>
      <c r="ES744" s="240"/>
      <c r="ET744" s="241"/>
      <c r="EU744" s="241"/>
      <c r="EV744" s="241"/>
      <c r="EW744" s="241"/>
      <c r="EX744" s="241"/>
      <c r="EY744" s="241"/>
      <c r="EZ744" s="241"/>
      <c r="FA744" s="241"/>
      <c r="FB744" s="241"/>
      <c r="FC744" s="241"/>
      <c r="FD744" s="241"/>
      <c r="FE744" s="241"/>
      <c r="FF744" s="241"/>
      <c r="FG744" s="241"/>
      <c r="FH744" s="241"/>
      <c r="FI744" s="241"/>
      <c r="FJ744" s="241"/>
      <c r="FK744" s="241"/>
      <c r="FL744" s="241"/>
      <c r="FM744" s="241"/>
      <c r="FN744" s="241"/>
      <c r="FO744" s="241"/>
      <c r="FP744" s="241"/>
      <c r="FQ744" s="241"/>
      <c r="FR744" s="241"/>
      <c r="FS744" s="241"/>
      <c r="FT744" s="241"/>
      <c r="FU744" s="241"/>
      <c r="FV744" s="241"/>
      <c r="FW744" s="241"/>
      <c r="FX744" s="241"/>
      <c r="FY744" s="241"/>
      <c r="FZ744" s="241"/>
      <c r="GA744" s="241"/>
      <c r="GB744" s="241"/>
      <c r="GC744" s="241"/>
      <c r="GD744" s="241"/>
      <c r="GE744" s="241"/>
      <c r="GF744" s="241"/>
      <c r="GG744" s="193"/>
    </row>
    <row r="745" spans="1:189" s="243" customFormat="1" ht="11.45" hidden="1" customHeight="1">
      <c r="B745" s="244"/>
      <c r="C745" s="240"/>
      <c r="D745" s="240"/>
      <c r="E745" s="240"/>
      <c r="F745" s="240"/>
      <c r="G745" s="240"/>
      <c r="H745" s="240"/>
      <c r="I745" s="240"/>
      <c r="J745" s="240"/>
      <c r="K745" s="240"/>
      <c r="L745" s="297"/>
      <c r="M745" s="297"/>
      <c r="N745" s="297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  <c r="BC745" s="240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97"/>
      <c r="BT745" s="240"/>
      <c r="BU745" s="240"/>
      <c r="BV745" s="240"/>
      <c r="BW745" s="240"/>
      <c r="BX745" s="240"/>
      <c r="BY745" s="240"/>
      <c r="BZ745" s="240"/>
      <c r="CA745" s="240"/>
      <c r="CB745" s="240"/>
      <c r="CC745" s="240"/>
      <c r="CD745" s="240"/>
      <c r="CE745" s="240"/>
      <c r="CF745" s="240"/>
      <c r="CG745" s="240"/>
      <c r="CH745" s="240"/>
      <c r="CI745" s="240"/>
      <c r="CJ745" s="240"/>
      <c r="CK745" s="240"/>
      <c r="CL745" s="240"/>
      <c r="CM745" s="240"/>
      <c r="CN745" s="240"/>
      <c r="CO745" s="240"/>
      <c r="CP745" s="240"/>
      <c r="CQ745" s="240"/>
      <c r="CR745" s="240"/>
      <c r="CS745" s="240"/>
      <c r="CT745" s="240"/>
      <c r="CU745" s="240"/>
      <c r="CV745" s="240"/>
      <c r="CW745" s="240"/>
      <c r="CX745" s="240"/>
      <c r="CY745" s="240"/>
      <c r="CZ745" s="240"/>
      <c r="DA745" s="240"/>
      <c r="DB745" s="240"/>
      <c r="DC745" s="240"/>
      <c r="DD745" s="240"/>
      <c r="DE745" s="240"/>
      <c r="DF745" s="240"/>
      <c r="DG745" s="240"/>
      <c r="DH745" s="240"/>
      <c r="DI745" s="240"/>
      <c r="DJ745" s="240"/>
      <c r="DK745" s="240"/>
      <c r="DL745" s="240"/>
      <c r="DM745" s="240"/>
      <c r="DN745" s="240"/>
      <c r="DO745" s="240"/>
      <c r="DP745" s="240"/>
      <c r="DQ745" s="240"/>
      <c r="DR745" s="240"/>
      <c r="DS745" s="240"/>
      <c r="DT745" s="240"/>
      <c r="DU745" s="240"/>
      <c r="DV745" s="240"/>
      <c r="DW745" s="240"/>
      <c r="DX745" s="240"/>
      <c r="DY745" s="240"/>
      <c r="DZ745" s="240"/>
      <c r="EA745" s="240"/>
      <c r="EB745" s="240"/>
      <c r="EC745" s="240"/>
      <c r="ED745" s="240"/>
      <c r="EE745" s="240"/>
      <c r="EF745" s="240"/>
      <c r="EG745" s="240"/>
      <c r="EH745" s="240"/>
      <c r="EI745" s="240"/>
      <c r="EJ745" s="240"/>
      <c r="EK745" s="240"/>
      <c r="EL745" s="359"/>
      <c r="EM745" s="245"/>
      <c r="EN745" s="245"/>
      <c r="EO745" s="245"/>
      <c r="EP745" s="245"/>
      <c r="EQ745" s="254"/>
      <c r="ER745" s="240"/>
      <c r="ES745" s="240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193"/>
    </row>
    <row r="746" spans="1:189" s="243" customFormat="1" ht="11.45" hidden="1" customHeight="1">
      <c r="B746" s="244"/>
      <c r="C746" s="240"/>
      <c r="D746" s="240" t="s">
        <v>674</v>
      </c>
      <c r="E746" s="240"/>
      <c r="F746" s="240"/>
      <c r="G746" s="240" t="s">
        <v>742</v>
      </c>
      <c r="H746" s="240"/>
      <c r="I746" s="240"/>
      <c r="J746" s="240"/>
      <c r="K746" s="240"/>
      <c r="L746" s="297"/>
      <c r="M746" s="297"/>
      <c r="N746" s="297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0"/>
      <c r="AO746" s="240"/>
      <c r="AP746" s="240"/>
      <c r="AQ746" s="240"/>
      <c r="AR746" s="240"/>
      <c r="AS746" s="240"/>
      <c r="AT746" s="240"/>
      <c r="AU746" s="240"/>
      <c r="AV746" s="240"/>
      <c r="AW746" s="240"/>
      <c r="AX746" s="240"/>
      <c r="AY746" s="240"/>
      <c r="AZ746" s="240"/>
      <c r="BA746" s="240"/>
      <c r="BB746" s="240"/>
      <c r="BC746" s="240"/>
      <c r="BD746" s="240"/>
      <c r="BE746" s="240"/>
      <c r="BF746" s="240"/>
      <c r="BG746" s="240"/>
      <c r="BH746" s="240"/>
      <c r="BI746" s="240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97"/>
      <c r="BT746" s="240"/>
      <c r="BU746" s="240"/>
      <c r="BV746" s="240"/>
      <c r="BW746" s="240"/>
      <c r="BX746" s="240"/>
      <c r="BY746" s="240"/>
      <c r="BZ746" s="240"/>
      <c r="CA746" s="240"/>
      <c r="CB746" s="240"/>
      <c r="CC746" s="240"/>
      <c r="CD746" s="240"/>
      <c r="CE746" s="240"/>
      <c r="CF746" s="240"/>
      <c r="CG746" s="240"/>
      <c r="CH746" s="240"/>
      <c r="CI746" s="240"/>
      <c r="CJ746" s="240"/>
      <c r="CK746" s="240"/>
      <c r="CL746" s="240"/>
      <c r="CM746" s="240"/>
      <c r="CN746" s="240"/>
      <c r="CO746" s="240"/>
      <c r="CP746" s="240"/>
      <c r="CQ746" s="240"/>
      <c r="CR746" s="240"/>
      <c r="CS746" s="240"/>
      <c r="CT746" s="240"/>
      <c r="CU746" s="240"/>
      <c r="CV746" s="240"/>
      <c r="CW746" s="240"/>
      <c r="CX746" s="240"/>
      <c r="CY746" s="240"/>
      <c r="CZ746" s="240"/>
      <c r="DA746" s="240"/>
      <c r="DB746" s="240"/>
      <c r="DC746" s="240"/>
      <c r="DD746" s="240"/>
      <c r="DE746" s="240"/>
      <c r="DF746" s="240"/>
      <c r="DG746" s="240"/>
      <c r="DH746" s="240"/>
      <c r="DI746" s="240"/>
      <c r="DJ746" s="240"/>
      <c r="DK746" s="240"/>
      <c r="DL746" s="240"/>
      <c r="DM746" s="240"/>
      <c r="DN746" s="240"/>
      <c r="DO746" s="240"/>
      <c r="DP746" s="240"/>
      <c r="DQ746" s="240"/>
      <c r="DR746" s="240"/>
      <c r="DS746" s="240"/>
      <c r="DT746" s="240"/>
      <c r="DU746" s="240"/>
      <c r="DV746" s="240"/>
      <c r="DW746" s="240"/>
      <c r="DX746" s="240"/>
      <c r="DY746" s="240"/>
      <c r="DZ746" s="240"/>
      <c r="EA746" s="240"/>
      <c r="EB746" s="240"/>
      <c r="EC746" s="240"/>
      <c r="ED746" s="240"/>
      <c r="EE746" s="240"/>
      <c r="EF746" s="240"/>
      <c r="EG746" s="240"/>
      <c r="EH746" s="240"/>
      <c r="EI746" s="240"/>
      <c r="EJ746" s="240"/>
      <c r="EK746" s="240"/>
      <c r="EL746" s="359"/>
      <c r="EM746" s="245"/>
      <c r="EN746" s="245"/>
      <c r="EO746" s="245"/>
      <c r="EP746" s="245"/>
      <c r="EQ746" s="254"/>
      <c r="ER746" s="240"/>
      <c r="ES746" s="240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193"/>
    </row>
    <row r="747" spans="1:189" s="243" customFormat="1" ht="11.45" hidden="1" customHeight="1">
      <c r="B747" s="244"/>
      <c r="C747" s="240"/>
      <c r="D747" s="240"/>
      <c r="E747" s="240"/>
      <c r="F747" s="240"/>
      <c r="G747" s="240" t="s">
        <v>1671</v>
      </c>
      <c r="H747" s="240"/>
      <c r="I747" s="240"/>
      <c r="J747" s="240"/>
      <c r="K747" s="240"/>
      <c r="L747" s="297"/>
      <c r="M747" s="297" t="s">
        <v>132</v>
      </c>
      <c r="N747" s="297"/>
      <c r="O747" s="1774">
        <f>VLOOKUP($G747,노임단가!$A:$B,2,FALSE)</f>
        <v>237245</v>
      </c>
      <c r="P747" s="1774"/>
      <c r="Q747" s="1774"/>
      <c r="R747" s="1774"/>
      <c r="S747" s="1774"/>
      <c r="T747" s="1774"/>
      <c r="U747" s="240" t="s">
        <v>652</v>
      </c>
      <c r="V747" s="240"/>
      <c r="W747" s="240" t="str">
        <f>TEXT(2,"#,##0.#######")</f>
        <v>2.</v>
      </c>
      <c r="X747" s="240" t="s">
        <v>102</v>
      </c>
      <c r="Y747" s="240"/>
      <c r="Z747" s="240" t="s">
        <v>683</v>
      </c>
      <c r="AA747" s="240"/>
      <c r="AB747" s="240" t="s">
        <v>743</v>
      </c>
      <c r="AC747" s="240"/>
      <c r="AD747" s="240" t="s">
        <v>134</v>
      </c>
      <c r="AE747" s="240"/>
      <c r="AF747" s="240" t="str">
        <f>TEXT(O747,"#,##0.#######")</f>
        <v>237,245.</v>
      </c>
      <c r="AG747" s="240"/>
      <c r="AH747" s="240"/>
      <c r="AI747" s="240"/>
      <c r="AJ747" s="240"/>
      <c r="AK747" s="240"/>
      <c r="AL747" s="240" t="s">
        <v>652</v>
      </c>
      <c r="AM747" s="240"/>
      <c r="AN747" s="240" t="str">
        <f>TEXT(W747,"#,##0.#######")</f>
        <v>2.</v>
      </c>
      <c r="AO747" s="240"/>
      <c r="AP747" s="240" t="s">
        <v>683</v>
      </c>
      <c r="AQ747" s="240"/>
      <c r="AR747" s="240" t="str">
        <f>TEXT(Z743,"#,##0.#######")</f>
        <v>300.</v>
      </c>
      <c r="AS747" s="240"/>
      <c r="AU747" s="240" t="s">
        <v>134</v>
      </c>
      <c r="AV747" s="240"/>
      <c r="AW747" s="240" t="str">
        <f>TEXT(TRUNC(O747*W747/Z743,1),"#,##0.#######")</f>
        <v>1,581.6</v>
      </c>
      <c r="AX747" s="240"/>
      <c r="AY747" s="240"/>
      <c r="AZ747" s="240"/>
      <c r="BA747" s="240"/>
      <c r="BB747" s="240"/>
      <c r="BC747" s="240"/>
      <c r="BE747" s="240"/>
      <c r="BF747" s="240"/>
      <c r="BG747" s="240"/>
      <c r="BH747" s="240"/>
      <c r="BJ747" s="240"/>
      <c r="BK747" s="240"/>
      <c r="BL747" s="240"/>
      <c r="BN747" s="240"/>
      <c r="BP747" s="240"/>
      <c r="BQ747" s="240"/>
      <c r="BR747" s="240"/>
      <c r="BS747" s="297"/>
      <c r="BT747" s="240"/>
      <c r="BU747" s="240"/>
      <c r="BV747" s="240"/>
      <c r="BW747" s="240"/>
      <c r="BX747" s="240"/>
      <c r="BY747" s="240"/>
      <c r="BZ747" s="240"/>
      <c r="CA747" s="240"/>
      <c r="CB747" s="240"/>
      <c r="CC747" s="240"/>
      <c r="CD747" s="240"/>
      <c r="CE747" s="240"/>
      <c r="CF747" s="240"/>
      <c r="CG747" s="240"/>
      <c r="CH747" s="240"/>
      <c r="CI747" s="240"/>
      <c r="CJ747" s="240"/>
      <c r="CK747" s="240"/>
      <c r="CL747" s="240"/>
      <c r="CM747" s="240"/>
      <c r="CN747" s="240"/>
      <c r="CO747" s="240"/>
      <c r="CP747" s="240"/>
      <c r="CQ747" s="240"/>
      <c r="CR747" s="240"/>
      <c r="CS747" s="240"/>
      <c r="CT747" s="240"/>
      <c r="CU747" s="240"/>
      <c r="CV747" s="240"/>
      <c r="CW747" s="240"/>
      <c r="CX747" s="240"/>
      <c r="CY747" s="240"/>
      <c r="CZ747" s="240"/>
      <c r="DA747" s="240"/>
      <c r="DB747" s="240"/>
      <c r="DC747" s="240"/>
      <c r="DD747" s="240"/>
      <c r="DE747" s="240"/>
      <c r="DF747" s="240"/>
      <c r="DG747" s="240"/>
      <c r="DH747" s="240"/>
      <c r="DI747" s="240"/>
      <c r="DJ747" s="240"/>
      <c r="DK747" s="240"/>
      <c r="DL747" s="240"/>
      <c r="DM747" s="240"/>
      <c r="DN747" s="240"/>
      <c r="DO747" s="240"/>
      <c r="DP747" s="240"/>
      <c r="DQ747" s="240"/>
      <c r="DR747" s="240"/>
      <c r="DS747" s="240"/>
      <c r="DT747" s="240"/>
      <c r="DU747" s="240"/>
      <c r="DV747" s="240"/>
      <c r="DW747" s="240"/>
      <c r="DX747" s="240"/>
      <c r="DY747" s="240"/>
      <c r="DZ747" s="240"/>
      <c r="EA747" s="240"/>
      <c r="EB747" s="240"/>
      <c r="EC747" s="240"/>
      <c r="ED747" s="240"/>
      <c r="EE747" s="240"/>
      <c r="EF747" s="240"/>
      <c r="EG747" s="240"/>
      <c r="EH747" s="240"/>
      <c r="EI747" s="240"/>
      <c r="EJ747" s="240"/>
      <c r="EK747" s="240"/>
      <c r="EL747" s="359"/>
      <c r="EM747" s="245"/>
      <c r="EN747" s="245"/>
      <c r="EO747" s="245"/>
      <c r="EP747" s="245"/>
      <c r="EQ747" s="254"/>
      <c r="ER747" s="240"/>
      <c r="ES747" s="240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193"/>
    </row>
    <row r="748" spans="1:189" s="243" customFormat="1" ht="11.45" hidden="1" customHeight="1">
      <c r="B748" s="244"/>
      <c r="C748" s="240"/>
      <c r="D748" s="240"/>
      <c r="E748" s="240"/>
      <c r="F748" s="240"/>
      <c r="G748" s="240" t="s">
        <v>103</v>
      </c>
      <c r="H748" s="240"/>
      <c r="I748" s="240"/>
      <c r="J748" s="240"/>
      <c r="K748" s="240"/>
      <c r="L748" s="297"/>
      <c r="M748" s="297" t="s">
        <v>132</v>
      </c>
      <c r="N748" s="297"/>
      <c r="O748" s="1774">
        <f>VLOOKUP($G748,노임단가!$A:$B,2,FALSE)</f>
        <v>157068</v>
      </c>
      <c r="P748" s="1774"/>
      <c r="Q748" s="1774"/>
      <c r="R748" s="1774"/>
      <c r="S748" s="1774"/>
      <c r="T748" s="1774"/>
      <c r="U748" s="240" t="s">
        <v>652</v>
      </c>
      <c r="V748" s="240"/>
      <c r="W748" s="240" t="str">
        <f>TEXT(1,"#,##0.#######")</f>
        <v>1.</v>
      </c>
      <c r="X748" s="240" t="s">
        <v>102</v>
      </c>
      <c r="Y748" s="240"/>
      <c r="Z748" s="240" t="s">
        <v>683</v>
      </c>
      <c r="AA748" s="240"/>
      <c r="AB748" s="240" t="s">
        <v>743</v>
      </c>
      <c r="AC748" s="240"/>
      <c r="AD748" s="240" t="s">
        <v>134</v>
      </c>
      <c r="AF748" s="240" t="str">
        <f>TEXT(O748,"#,##0.#######")</f>
        <v>157,068.</v>
      </c>
      <c r="AG748" s="240"/>
      <c r="AH748" s="240"/>
      <c r="AI748" s="240"/>
      <c r="AJ748" s="240"/>
      <c r="AK748" s="240"/>
      <c r="AL748" s="240" t="s">
        <v>652</v>
      </c>
      <c r="AM748" s="240"/>
      <c r="AN748" s="240" t="str">
        <f>TEXT(W748,"#,##0.#######")</f>
        <v>1.</v>
      </c>
      <c r="AO748" s="240"/>
      <c r="AP748" s="240" t="s">
        <v>683</v>
      </c>
      <c r="AQ748" s="240"/>
      <c r="AR748" s="240" t="str">
        <f>TEXT(Z743,"#,##0.#######")</f>
        <v>300.</v>
      </c>
      <c r="AT748" s="240"/>
      <c r="AU748" s="240" t="s">
        <v>134</v>
      </c>
      <c r="AV748" s="240"/>
      <c r="AW748" s="240" t="str">
        <f>TEXT(TRUNC(O748*W748/Z743,1),"#,##0.#######")</f>
        <v>523.5</v>
      </c>
      <c r="AX748" s="240"/>
      <c r="AY748" s="240"/>
      <c r="AZ748" s="240"/>
      <c r="BA748" s="240" t="s">
        <v>147</v>
      </c>
      <c r="BB748" s="240" t="s">
        <v>746</v>
      </c>
      <c r="BC748" s="240"/>
      <c r="BD748" s="240"/>
      <c r="BE748" s="240"/>
      <c r="BF748" s="240"/>
      <c r="BG748" s="240" t="s">
        <v>148</v>
      </c>
      <c r="BH748" s="240"/>
      <c r="BI748" s="240"/>
      <c r="BJ748" s="240"/>
      <c r="BK748" s="240"/>
      <c r="BL748" s="240"/>
      <c r="BN748" s="240"/>
      <c r="BO748" s="240"/>
      <c r="BP748" s="240"/>
      <c r="BQ748" s="240"/>
      <c r="BR748" s="240"/>
      <c r="BS748" s="297"/>
      <c r="BT748" s="240"/>
      <c r="BU748" s="240"/>
      <c r="CG748" s="240"/>
      <c r="CH748" s="240"/>
      <c r="CI748" s="240"/>
      <c r="CJ748" s="240"/>
      <c r="CK748" s="240"/>
      <c r="CL748" s="240"/>
      <c r="CM748" s="240"/>
      <c r="CN748" s="240"/>
      <c r="CO748" s="240"/>
      <c r="CP748" s="240"/>
      <c r="CQ748" s="240"/>
      <c r="CR748" s="240"/>
      <c r="CS748" s="240"/>
      <c r="CT748" s="240"/>
      <c r="CU748" s="240"/>
      <c r="CV748" s="240"/>
      <c r="CW748" s="240"/>
      <c r="CX748" s="240"/>
      <c r="CY748" s="240"/>
      <c r="CZ748" s="240"/>
      <c r="DA748" s="240"/>
      <c r="DB748" s="240"/>
      <c r="DC748" s="240"/>
      <c r="DD748" s="240"/>
      <c r="DE748" s="240"/>
      <c r="DF748" s="240"/>
      <c r="DG748" s="240"/>
      <c r="DH748" s="240"/>
      <c r="DI748" s="240"/>
      <c r="DJ748" s="240"/>
      <c r="DK748" s="240"/>
      <c r="DL748" s="240"/>
      <c r="DM748" s="240"/>
      <c r="DN748" s="240"/>
      <c r="DO748" s="240"/>
      <c r="DP748" s="240"/>
      <c r="DQ748" s="240"/>
      <c r="DR748" s="240"/>
      <c r="DS748" s="240"/>
      <c r="DT748" s="240"/>
      <c r="DU748" s="240"/>
      <c r="DV748" s="240"/>
      <c r="DW748" s="240"/>
      <c r="DX748" s="240"/>
      <c r="DY748" s="240"/>
      <c r="DZ748" s="240"/>
      <c r="EA748" s="240"/>
      <c r="EB748" s="240"/>
      <c r="EC748" s="240"/>
      <c r="ED748" s="240"/>
      <c r="EE748" s="240"/>
      <c r="EF748" s="240"/>
      <c r="EG748" s="240"/>
      <c r="EH748" s="240"/>
      <c r="EI748" s="240"/>
      <c r="EJ748" s="240"/>
      <c r="EK748" s="240"/>
      <c r="EL748" s="359"/>
      <c r="EM748" s="245"/>
      <c r="EN748" s="245"/>
      <c r="EO748" s="245"/>
      <c r="EP748" s="245"/>
      <c r="EQ748" s="254"/>
      <c r="ER748" s="240"/>
      <c r="ES748" s="240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193"/>
    </row>
    <row r="749" spans="1:189" s="243" customFormat="1" ht="11.45" hidden="1" customHeight="1">
      <c r="B749" s="244"/>
      <c r="C749" s="240"/>
      <c r="D749" s="240"/>
      <c r="E749" s="240"/>
      <c r="F749" s="240"/>
      <c r="G749" s="240" t="s">
        <v>684</v>
      </c>
      <c r="H749" s="240"/>
      <c r="I749" s="240"/>
      <c r="J749" s="240"/>
      <c r="K749" s="240"/>
      <c r="L749" s="297"/>
      <c r="M749" s="297" t="s">
        <v>132</v>
      </c>
      <c r="N749" s="297"/>
      <c r="O749" s="240" t="str">
        <f>TEXT(TRUNC(AW747+AW748,1),"#,##0.#######")</f>
        <v>2,105.1</v>
      </c>
      <c r="P749" s="240"/>
      <c r="Q749" s="240"/>
      <c r="S749" s="240"/>
      <c r="T749" s="240"/>
      <c r="U749" s="240"/>
      <c r="V749" s="240"/>
      <c r="W749" s="240"/>
      <c r="X749" s="240"/>
      <c r="Y749" s="240"/>
      <c r="Z749" s="240"/>
      <c r="AA749" s="240"/>
      <c r="AB749" s="240"/>
      <c r="AC749" s="240"/>
      <c r="AD749" s="240"/>
      <c r="AE749" s="240"/>
      <c r="AF749" s="240"/>
      <c r="AG749" s="240"/>
      <c r="AH749" s="240"/>
      <c r="AI749" s="240"/>
      <c r="AJ749" s="240"/>
      <c r="AK749" s="240"/>
      <c r="AL749" s="240"/>
      <c r="AM749" s="240"/>
      <c r="AN749" s="240"/>
      <c r="AO749" s="240"/>
      <c r="AP749" s="240"/>
      <c r="AQ749" s="240"/>
      <c r="AR749" s="240"/>
      <c r="AS749" s="240"/>
      <c r="AT749" s="240"/>
      <c r="AU749" s="240"/>
      <c r="AV749" s="240"/>
      <c r="AW749" s="240"/>
      <c r="AX749" s="240"/>
      <c r="AY749" s="240"/>
      <c r="AZ749" s="240"/>
      <c r="BA749" s="240"/>
      <c r="BB749" s="240"/>
      <c r="BC749" s="240"/>
      <c r="BD749" s="240"/>
      <c r="BE749" s="240"/>
      <c r="BF749" s="240"/>
      <c r="BG749" s="240"/>
      <c r="BH749" s="240"/>
      <c r="BI749" s="240"/>
      <c r="BJ749" s="240"/>
      <c r="BK749" s="240"/>
      <c r="BL749" s="240"/>
      <c r="BM749" s="240"/>
      <c r="BN749" s="240"/>
      <c r="BO749" s="240"/>
      <c r="BP749" s="240"/>
      <c r="BQ749" s="240"/>
      <c r="BR749" s="240"/>
      <c r="BS749" s="297"/>
      <c r="BT749" s="240"/>
      <c r="BU749" s="240"/>
      <c r="BV749" s="240"/>
      <c r="BW749" s="240"/>
      <c r="BX749" s="240"/>
      <c r="BY749" s="240"/>
      <c r="BZ749" s="240"/>
      <c r="CA749" s="240"/>
      <c r="CB749" s="240"/>
      <c r="CC749" s="240"/>
      <c r="CD749" s="240"/>
      <c r="CE749" s="240"/>
      <c r="CF749" s="240"/>
      <c r="CG749" s="240"/>
      <c r="CH749" s="240"/>
      <c r="CI749" s="240"/>
      <c r="CJ749" s="240"/>
      <c r="CK749" s="240"/>
      <c r="CL749" s="240"/>
      <c r="CM749" s="240"/>
      <c r="CN749" s="240"/>
      <c r="CO749" s="240"/>
      <c r="CP749" s="240"/>
      <c r="CQ749" s="240"/>
      <c r="CR749" s="240"/>
      <c r="CS749" s="240"/>
      <c r="CT749" s="240"/>
      <c r="CU749" s="240"/>
      <c r="CV749" s="240"/>
      <c r="CW749" s="240"/>
      <c r="CX749" s="240"/>
      <c r="CY749" s="240"/>
      <c r="CZ749" s="240"/>
      <c r="DA749" s="240"/>
      <c r="DB749" s="240"/>
      <c r="DC749" s="240"/>
      <c r="DD749" s="240"/>
      <c r="DE749" s="240"/>
      <c r="DF749" s="240"/>
      <c r="DG749" s="240"/>
      <c r="DH749" s="240"/>
      <c r="DI749" s="240"/>
      <c r="DJ749" s="240"/>
      <c r="DK749" s="240"/>
      <c r="DL749" s="240"/>
      <c r="DM749" s="240"/>
      <c r="DN749" s="240"/>
      <c r="DO749" s="240"/>
      <c r="DP749" s="240"/>
      <c r="DQ749" s="240"/>
      <c r="DR749" s="240"/>
      <c r="DS749" s="240"/>
      <c r="DT749" s="240"/>
      <c r="DU749" s="240"/>
      <c r="DV749" s="240"/>
      <c r="DW749" s="240"/>
      <c r="DX749" s="240"/>
      <c r="DY749" s="240"/>
      <c r="DZ749" s="240"/>
      <c r="EA749" s="240"/>
      <c r="EB749" s="240"/>
      <c r="EC749" s="240"/>
      <c r="ED749" s="240"/>
      <c r="EE749" s="240"/>
      <c r="EF749" s="240"/>
      <c r="EG749" s="240"/>
      <c r="EH749" s="240"/>
      <c r="EI749" s="240"/>
      <c r="EJ749" s="240"/>
      <c r="EK749" s="240"/>
      <c r="EL749" s="359"/>
      <c r="EM749" s="245"/>
      <c r="EN749" s="245" t="str">
        <f>O749</f>
        <v>2,105.1</v>
      </c>
      <c r="EO749" s="245"/>
      <c r="EP749" s="245"/>
      <c r="EQ749" s="254"/>
      <c r="ER749" s="240"/>
      <c r="ES749" s="240"/>
      <c r="ET749" s="241"/>
      <c r="EU749" s="241"/>
      <c r="EV749" s="241"/>
      <c r="EW749" s="241"/>
      <c r="EX749" s="241"/>
      <c r="EY749" s="241"/>
      <c r="EZ749" s="241"/>
      <c r="FA749" s="241"/>
      <c r="FB749" s="241"/>
      <c r="FC749" s="241"/>
      <c r="FD749" s="241"/>
      <c r="FE749" s="241"/>
      <c r="FF749" s="241"/>
      <c r="FG749" s="241"/>
      <c r="FH749" s="241"/>
      <c r="FI749" s="241"/>
      <c r="FJ749" s="241"/>
      <c r="FK749" s="241"/>
      <c r="FL749" s="241"/>
      <c r="FM749" s="241"/>
      <c r="FN749" s="241"/>
      <c r="FO749" s="241"/>
      <c r="FP749" s="241"/>
      <c r="FQ749" s="241"/>
      <c r="FR749" s="241"/>
      <c r="FS749" s="241"/>
      <c r="FT749" s="241"/>
      <c r="FU749" s="241"/>
      <c r="FV749" s="241"/>
      <c r="FW749" s="241"/>
      <c r="FX749" s="241"/>
      <c r="FY749" s="241"/>
      <c r="FZ749" s="241"/>
      <c r="GA749" s="241"/>
      <c r="GB749" s="241"/>
      <c r="GC749" s="241"/>
      <c r="GD749" s="241"/>
      <c r="GE749" s="241"/>
      <c r="GF749" s="241"/>
      <c r="GG749" s="193"/>
    </row>
    <row r="750" spans="1:189" s="243" customFormat="1" ht="11.45" hidden="1" customHeight="1">
      <c r="B750" s="244"/>
      <c r="C750" s="240"/>
      <c r="D750" s="240"/>
      <c r="E750" s="240"/>
      <c r="F750" s="240"/>
      <c r="G750" s="240"/>
      <c r="H750" s="240"/>
      <c r="I750" s="240"/>
      <c r="J750" s="240"/>
      <c r="K750" s="240"/>
      <c r="L750" s="297"/>
      <c r="M750" s="297"/>
      <c r="N750" s="297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0"/>
      <c r="AO750" s="240"/>
      <c r="AP750" s="240"/>
      <c r="AQ750" s="240"/>
      <c r="AR750" s="240"/>
      <c r="AS750" s="240"/>
      <c r="AT750" s="240"/>
      <c r="AU750" s="240"/>
      <c r="AV750" s="240"/>
      <c r="AW750" s="240"/>
      <c r="AX750" s="240"/>
      <c r="AY750" s="240"/>
      <c r="AZ750" s="240"/>
      <c r="BA750" s="240"/>
      <c r="BB750" s="240"/>
      <c r="BC750" s="240"/>
      <c r="BD750" s="240"/>
      <c r="BE750" s="240"/>
      <c r="BF750" s="240"/>
      <c r="BG750" s="240"/>
      <c r="BH750" s="240"/>
      <c r="BI750" s="240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97"/>
      <c r="BT750" s="240"/>
      <c r="BU750" s="240"/>
      <c r="BV750" s="240"/>
      <c r="BW750" s="240"/>
      <c r="BX750" s="240"/>
      <c r="BY750" s="240"/>
      <c r="BZ750" s="240"/>
      <c r="CA750" s="240"/>
      <c r="CB750" s="240"/>
      <c r="CC750" s="240"/>
      <c r="CD750" s="240"/>
      <c r="CE750" s="240"/>
      <c r="CF750" s="240"/>
      <c r="CG750" s="240"/>
      <c r="CH750" s="240"/>
      <c r="CI750" s="240"/>
      <c r="CJ750" s="240"/>
      <c r="CK750" s="240"/>
      <c r="CL750" s="240"/>
      <c r="CM750" s="240"/>
      <c r="CN750" s="240"/>
      <c r="CO750" s="240"/>
      <c r="CP750" s="240"/>
      <c r="CQ750" s="240"/>
      <c r="CR750" s="240"/>
      <c r="CS750" s="240"/>
      <c r="CT750" s="240"/>
      <c r="CU750" s="240"/>
      <c r="CV750" s="240"/>
      <c r="CW750" s="240"/>
      <c r="CX750" s="240"/>
      <c r="CY750" s="240"/>
      <c r="CZ750" s="240"/>
      <c r="DA750" s="240"/>
      <c r="DB750" s="240"/>
      <c r="DC750" s="240"/>
      <c r="DD750" s="240"/>
      <c r="DE750" s="240"/>
      <c r="DF750" s="240"/>
      <c r="DG750" s="240"/>
      <c r="DH750" s="240"/>
      <c r="DI750" s="240"/>
      <c r="DJ750" s="240"/>
      <c r="DK750" s="240"/>
      <c r="DL750" s="240"/>
      <c r="DM750" s="240"/>
      <c r="DN750" s="240"/>
      <c r="DO750" s="240"/>
      <c r="DP750" s="240"/>
      <c r="DQ750" s="240"/>
      <c r="DR750" s="240"/>
      <c r="DS750" s="240"/>
      <c r="DT750" s="240"/>
      <c r="DU750" s="240"/>
      <c r="DV750" s="240"/>
      <c r="DW750" s="240"/>
      <c r="DX750" s="240"/>
      <c r="DY750" s="240"/>
      <c r="DZ750" s="240"/>
      <c r="EA750" s="240"/>
      <c r="EB750" s="240"/>
      <c r="EC750" s="240"/>
      <c r="ED750" s="240"/>
      <c r="EE750" s="240"/>
      <c r="EF750" s="240"/>
      <c r="EG750" s="240"/>
      <c r="EH750" s="240"/>
      <c r="EI750" s="240"/>
      <c r="EJ750" s="240"/>
      <c r="EK750" s="240"/>
      <c r="EL750" s="359"/>
      <c r="EM750" s="245"/>
      <c r="EN750" s="245"/>
      <c r="EO750" s="245"/>
      <c r="EP750" s="245"/>
      <c r="EQ750" s="254"/>
      <c r="ER750" s="240"/>
      <c r="ES750" s="240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193"/>
    </row>
    <row r="751" spans="1:189" s="243" customFormat="1" ht="11.45" hidden="1" customHeight="1">
      <c r="B751" s="244"/>
      <c r="C751" s="240"/>
      <c r="D751" s="240" t="s">
        <v>675</v>
      </c>
      <c r="E751" s="240"/>
      <c r="F751" s="240"/>
      <c r="G751" s="240" t="s">
        <v>733</v>
      </c>
      <c r="H751" s="240"/>
      <c r="I751" s="240"/>
      <c r="J751" s="240" t="s">
        <v>730</v>
      </c>
      <c r="K751" s="240"/>
      <c r="L751" s="297"/>
      <c r="M751" s="297" t="s">
        <v>132</v>
      </c>
      <c r="N751" s="297"/>
      <c r="O751" s="240" t="s">
        <v>726</v>
      </c>
      <c r="P751" s="240"/>
      <c r="Q751" s="240"/>
      <c r="R751" s="240"/>
      <c r="S751" s="240"/>
      <c r="T751" s="240"/>
      <c r="U751" s="240"/>
      <c r="V751" s="240"/>
      <c r="W751" s="240"/>
      <c r="X751" s="240" t="s">
        <v>747</v>
      </c>
      <c r="Y751" s="240"/>
      <c r="Z751" s="240"/>
      <c r="AA751" s="240"/>
      <c r="AB751" s="240"/>
      <c r="AC751" s="240"/>
      <c r="AD751" s="240"/>
      <c r="AE751" s="240"/>
      <c r="AG751" s="240"/>
      <c r="AH751" s="240"/>
      <c r="AI751" s="240"/>
      <c r="AJ751" s="240"/>
      <c r="AK751" s="240"/>
      <c r="AL751" s="240"/>
      <c r="AM751" s="240"/>
      <c r="AN751" s="240"/>
      <c r="AO751" s="240"/>
      <c r="AP751" s="240"/>
      <c r="AQ751" s="240"/>
      <c r="AR751" s="240"/>
      <c r="AS751" s="240"/>
      <c r="AT751" s="240"/>
      <c r="AU751" s="240"/>
      <c r="AV751" s="240"/>
      <c r="AW751" s="240"/>
      <c r="AX751" s="240"/>
      <c r="AY751" s="240"/>
      <c r="AZ751" s="240"/>
      <c r="BA751" s="240"/>
      <c r="BB751" s="240"/>
      <c r="BC751" s="240"/>
      <c r="BD751" s="240"/>
      <c r="BE751" s="240"/>
      <c r="BF751" s="240"/>
      <c r="BG751" s="240"/>
      <c r="BH751" s="240"/>
      <c r="BI751" s="240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97"/>
      <c r="BT751" s="240"/>
      <c r="BU751" s="240"/>
      <c r="BV751" s="240"/>
      <c r="BW751" s="240"/>
      <c r="BX751" s="240"/>
      <c r="BY751" s="240"/>
      <c r="BZ751" s="240"/>
      <c r="CA751" s="240"/>
      <c r="CB751" s="240"/>
      <c r="CC751" s="240"/>
      <c r="CD751" s="240"/>
      <c r="CE751" s="240"/>
      <c r="CF751" s="240"/>
      <c r="CG751" s="240"/>
      <c r="CH751" s="240"/>
      <c r="CI751" s="240"/>
      <c r="CJ751" s="240"/>
      <c r="CK751" s="240"/>
      <c r="CL751" s="240"/>
      <c r="CM751" s="240"/>
      <c r="CN751" s="240"/>
      <c r="CO751" s="240"/>
      <c r="CP751" s="240"/>
      <c r="CQ751" s="240"/>
      <c r="CR751" s="240"/>
      <c r="CS751" s="240"/>
      <c r="CT751" s="240"/>
      <c r="CU751" s="240"/>
      <c r="CV751" s="240"/>
      <c r="CW751" s="240"/>
      <c r="CX751" s="240"/>
      <c r="CY751" s="240"/>
      <c r="CZ751" s="240"/>
      <c r="DA751" s="240"/>
      <c r="DB751" s="240"/>
      <c r="DC751" s="240"/>
      <c r="DD751" s="240"/>
      <c r="DE751" s="240"/>
      <c r="DF751" s="240"/>
      <c r="DG751" s="240"/>
      <c r="DH751" s="240"/>
      <c r="DI751" s="240"/>
      <c r="DJ751" s="240"/>
      <c r="DK751" s="240"/>
      <c r="DL751" s="240"/>
      <c r="DM751" s="240"/>
      <c r="DN751" s="240"/>
      <c r="DO751" s="240"/>
      <c r="DP751" s="240"/>
      <c r="DQ751" s="240"/>
      <c r="DR751" s="240"/>
      <c r="DS751" s="240"/>
      <c r="DT751" s="240"/>
      <c r="DU751" s="240"/>
      <c r="DV751" s="240"/>
      <c r="DW751" s="240"/>
      <c r="DX751" s="240"/>
      <c r="DY751" s="240"/>
      <c r="DZ751" s="240"/>
      <c r="EA751" s="240"/>
      <c r="EB751" s="240"/>
      <c r="EC751" s="240"/>
      <c r="ED751" s="240"/>
      <c r="EE751" s="240"/>
      <c r="EF751" s="240"/>
      <c r="EG751" s="240"/>
      <c r="EH751" s="240"/>
      <c r="EI751" s="240"/>
      <c r="EJ751" s="240"/>
      <c r="EK751" s="240"/>
      <c r="EL751" s="359"/>
      <c r="EM751" s="245"/>
      <c r="EN751" s="245"/>
      <c r="EO751" s="245"/>
      <c r="EP751" s="245"/>
      <c r="EQ751" s="254"/>
      <c r="ER751" s="240"/>
      <c r="ES751" s="240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193"/>
    </row>
    <row r="752" spans="1:189" s="243" customFormat="1" ht="11.45" hidden="1" customHeight="1">
      <c r="B752" s="244"/>
      <c r="C752" s="240"/>
      <c r="D752" s="240"/>
      <c r="E752" s="240"/>
      <c r="F752" s="240"/>
      <c r="G752" s="240" t="s">
        <v>616</v>
      </c>
      <c r="H752" s="240"/>
      <c r="I752" s="240"/>
      <c r="J752" s="240"/>
      <c r="K752" s="240"/>
      <c r="L752" s="297" t="s">
        <v>132</v>
      </c>
      <c r="M752" s="297"/>
      <c r="N752" s="1775" t="e">
        <f>토목기계경비!$J$144</f>
        <v>#REF!</v>
      </c>
      <c r="O752" s="1775"/>
      <c r="P752" s="1775"/>
      <c r="Q752" s="1775"/>
      <c r="R752" s="1775"/>
      <c r="S752" s="240" t="s">
        <v>683</v>
      </c>
      <c r="T752" s="240"/>
      <c r="U752" s="240" t="str">
        <f>TEXT(AZ744,"#,##0.#######")</f>
        <v>37.5</v>
      </c>
      <c r="V752" s="240"/>
      <c r="W752" s="240"/>
      <c r="X752" s="240"/>
      <c r="Y752" s="240" t="s">
        <v>134</v>
      </c>
      <c r="Z752" s="240"/>
      <c r="AA752" s="240" t="e">
        <f>TEXT(TRUNC(N752/AZ744,1),"#,##0.#")</f>
        <v>#REF!</v>
      </c>
      <c r="AC752" s="240"/>
      <c r="AD752" s="240"/>
      <c r="AE752" s="240"/>
      <c r="AF752" s="240"/>
      <c r="AG752" s="240"/>
      <c r="AH752" s="240"/>
      <c r="AJ752" s="240"/>
      <c r="AL752" s="240"/>
      <c r="AM752" s="240"/>
      <c r="AN752" s="240"/>
      <c r="AO752" s="240"/>
      <c r="AP752" s="240"/>
      <c r="AQ752" s="240"/>
      <c r="AR752" s="240"/>
      <c r="AS752" s="240"/>
      <c r="AT752" s="240"/>
      <c r="AU752" s="240"/>
      <c r="AV752" s="240"/>
      <c r="AW752" s="240"/>
      <c r="AX752" s="240"/>
      <c r="AY752" s="240"/>
      <c r="AZ752" s="240"/>
      <c r="BA752" s="240"/>
      <c r="BB752" s="240"/>
      <c r="BC752" s="240"/>
      <c r="BD752" s="240"/>
      <c r="BE752" s="240"/>
      <c r="BF752" s="240"/>
      <c r="BG752" s="240"/>
      <c r="BH752" s="240"/>
      <c r="BI752" s="240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97"/>
      <c r="BT752" s="240"/>
      <c r="BU752" s="240"/>
      <c r="BV752" s="240"/>
      <c r="BW752" s="240"/>
      <c r="BX752" s="240"/>
      <c r="BY752" s="240"/>
      <c r="BZ752" s="240"/>
      <c r="CA752" s="240"/>
      <c r="CB752" s="240"/>
      <c r="CC752" s="240"/>
      <c r="CD752" s="240"/>
      <c r="CE752" s="240"/>
      <c r="CF752" s="240"/>
      <c r="CG752" s="240"/>
      <c r="CH752" s="240"/>
      <c r="CI752" s="240"/>
      <c r="CJ752" s="240"/>
      <c r="CK752" s="240"/>
      <c r="CL752" s="240"/>
      <c r="CM752" s="240"/>
      <c r="CN752" s="240"/>
      <c r="CO752" s="240"/>
      <c r="CP752" s="240"/>
      <c r="CQ752" s="240"/>
      <c r="CR752" s="240"/>
      <c r="CS752" s="240"/>
      <c r="CT752" s="240"/>
      <c r="CU752" s="240"/>
      <c r="CV752" s="240"/>
      <c r="CW752" s="240"/>
      <c r="CX752" s="240"/>
      <c r="CY752" s="240"/>
      <c r="CZ752" s="240"/>
      <c r="DA752" s="240"/>
      <c r="DB752" s="240"/>
      <c r="DC752" s="240"/>
      <c r="DD752" s="240"/>
      <c r="DE752" s="240"/>
      <c r="DF752" s="240"/>
      <c r="DG752" s="240"/>
      <c r="DH752" s="240"/>
      <c r="DI752" s="240"/>
      <c r="DJ752" s="240"/>
      <c r="DK752" s="240"/>
      <c r="DL752" s="240"/>
      <c r="DM752" s="240"/>
      <c r="DN752" s="240"/>
      <c r="DO752" s="240"/>
      <c r="DP752" s="240"/>
      <c r="DQ752" s="240"/>
      <c r="DR752" s="240"/>
      <c r="DS752" s="240"/>
      <c r="DT752" s="240"/>
      <c r="DU752" s="240"/>
      <c r="DV752" s="240"/>
      <c r="DW752" s="240"/>
      <c r="DX752" s="240"/>
      <c r="DY752" s="240"/>
      <c r="DZ752" s="240"/>
      <c r="EA752" s="240"/>
      <c r="EB752" s="240"/>
      <c r="EC752" s="240"/>
      <c r="ED752" s="240"/>
      <c r="EE752" s="240"/>
      <c r="EF752" s="240"/>
      <c r="EG752" s="240"/>
      <c r="EH752" s="240"/>
      <c r="EI752" s="240"/>
      <c r="EJ752" s="240"/>
      <c r="EK752" s="240"/>
      <c r="EL752" s="359"/>
      <c r="EM752" s="245"/>
      <c r="EN752" s="245"/>
      <c r="EO752" s="245"/>
      <c r="EP752" s="245"/>
      <c r="EQ752" s="254"/>
      <c r="ER752" s="247"/>
      <c r="ES752" s="247"/>
      <c r="ET752" s="248"/>
      <c r="EU752" s="248"/>
      <c r="EV752" s="248"/>
      <c r="EW752" s="248"/>
      <c r="EX752" s="248"/>
      <c r="EY752" s="248"/>
      <c r="EZ752" s="248"/>
      <c r="FA752" s="248"/>
      <c r="FB752" s="248"/>
      <c r="FC752" s="248"/>
      <c r="FD752" s="248"/>
      <c r="FE752" s="248"/>
      <c r="FF752" s="248"/>
      <c r="FG752" s="248"/>
      <c r="FH752" s="248"/>
      <c r="FI752" s="248"/>
      <c r="FJ752" s="248"/>
      <c r="FK752" s="248"/>
      <c r="FL752" s="248"/>
      <c r="FM752" s="248"/>
      <c r="FN752" s="248"/>
      <c r="FO752" s="248"/>
      <c r="FP752" s="248"/>
      <c r="FQ752" s="248"/>
      <c r="FR752" s="248"/>
      <c r="FS752" s="248"/>
      <c r="FT752" s="248"/>
      <c r="FU752" s="248"/>
      <c r="FV752" s="248"/>
      <c r="FW752" s="248"/>
      <c r="FX752" s="248"/>
      <c r="FY752" s="248"/>
      <c r="FZ752" s="248"/>
      <c r="GA752" s="248"/>
      <c r="GB752" s="248"/>
      <c r="GC752" s="248"/>
      <c r="GD752" s="248"/>
      <c r="GE752" s="248"/>
      <c r="GF752" s="248"/>
      <c r="GG752" s="193"/>
    </row>
    <row r="753" spans="2:189" s="243" customFormat="1" ht="11.45" hidden="1" customHeight="1">
      <c r="B753" s="244"/>
      <c r="C753" s="240"/>
      <c r="D753" s="240"/>
      <c r="E753" s="240"/>
      <c r="F753" s="240"/>
      <c r="G753" s="240" t="s">
        <v>617</v>
      </c>
      <c r="H753" s="240"/>
      <c r="I753" s="240"/>
      <c r="J753" s="240"/>
      <c r="K753" s="240"/>
      <c r="L753" s="297" t="s">
        <v>132</v>
      </c>
      <c r="M753" s="297"/>
      <c r="N753" s="1775" t="e">
        <f>토목기계경비!$K$144</f>
        <v>#REF!</v>
      </c>
      <c r="O753" s="1775"/>
      <c r="P753" s="1775"/>
      <c r="Q753" s="1775"/>
      <c r="R753" s="1775"/>
      <c r="S753" s="240" t="s">
        <v>683</v>
      </c>
      <c r="T753" s="240"/>
      <c r="U753" s="240" t="str">
        <f>TEXT(AZ744,"#,##0.#######")</f>
        <v>37.5</v>
      </c>
      <c r="V753" s="240"/>
      <c r="W753" s="240"/>
      <c r="X753" s="240"/>
      <c r="Y753" s="240" t="s">
        <v>134</v>
      </c>
      <c r="Z753" s="240"/>
      <c r="AA753" s="240" t="e">
        <f>TEXT(TRUNC(N753/AZ744,1),"#,##0.#")</f>
        <v>#REF!</v>
      </c>
      <c r="AC753" s="240"/>
      <c r="AD753" s="240"/>
      <c r="AE753" s="240"/>
      <c r="AF753" s="240"/>
      <c r="AG753" s="240"/>
      <c r="AH753" s="240"/>
      <c r="AJ753" s="240"/>
      <c r="AL753" s="240"/>
      <c r="AM753" s="240"/>
      <c r="AN753" s="240"/>
      <c r="AO753" s="240"/>
      <c r="AP753" s="240"/>
      <c r="AQ753" s="240"/>
      <c r="AR753" s="240"/>
      <c r="AS753" s="240"/>
      <c r="AT753" s="240"/>
      <c r="AU753" s="240"/>
      <c r="AV753" s="240"/>
      <c r="AW753" s="240"/>
      <c r="AX753" s="240"/>
      <c r="AY753" s="240"/>
      <c r="AZ753" s="240"/>
      <c r="BA753" s="240"/>
      <c r="BB753" s="240"/>
      <c r="BC753" s="240"/>
      <c r="BD753" s="240"/>
      <c r="BE753" s="240"/>
      <c r="BF753" s="240"/>
      <c r="BG753" s="240"/>
      <c r="BH753" s="240"/>
      <c r="BI753" s="240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97"/>
      <c r="BT753" s="240"/>
      <c r="BU753" s="240"/>
      <c r="BV753" s="240"/>
      <c r="BW753" s="240"/>
      <c r="BX753" s="240"/>
      <c r="BY753" s="240"/>
      <c r="BZ753" s="240"/>
      <c r="CA753" s="240"/>
      <c r="CB753" s="240"/>
      <c r="CC753" s="240"/>
      <c r="CD753" s="240"/>
      <c r="CE753" s="240"/>
      <c r="CF753" s="240"/>
      <c r="CG753" s="240"/>
      <c r="CH753" s="240"/>
      <c r="CI753" s="240"/>
      <c r="CJ753" s="240"/>
      <c r="CK753" s="240"/>
      <c r="CL753" s="240"/>
      <c r="CM753" s="240"/>
      <c r="CN753" s="240"/>
      <c r="CO753" s="240"/>
      <c r="CP753" s="240"/>
      <c r="CQ753" s="240"/>
      <c r="CR753" s="240"/>
      <c r="CS753" s="240"/>
      <c r="CT753" s="240"/>
      <c r="CU753" s="240"/>
      <c r="CV753" s="240"/>
      <c r="CW753" s="240"/>
      <c r="CX753" s="240"/>
      <c r="CY753" s="240"/>
      <c r="CZ753" s="240"/>
      <c r="DA753" s="240"/>
      <c r="DB753" s="240"/>
      <c r="DC753" s="240"/>
      <c r="DD753" s="240"/>
      <c r="DE753" s="240"/>
      <c r="DF753" s="240"/>
      <c r="DG753" s="240"/>
      <c r="DH753" s="240"/>
      <c r="DI753" s="240"/>
      <c r="DJ753" s="240"/>
      <c r="DK753" s="240"/>
      <c r="DL753" s="240"/>
      <c r="DM753" s="240"/>
      <c r="DN753" s="240"/>
      <c r="DO753" s="240"/>
      <c r="DP753" s="240"/>
      <c r="DQ753" s="240"/>
      <c r="DR753" s="240"/>
      <c r="DS753" s="240"/>
      <c r="DT753" s="240"/>
      <c r="DU753" s="240"/>
      <c r="DV753" s="240"/>
      <c r="DW753" s="240"/>
      <c r="DX753" s="240"/>
      <c r="DY753" s="240"/>
      <c r="DZ753" s="240"/>
      <c r="EA753" s="240"/>
      <c r="EB753" s="240"/>
      <c r="EC753" s="240"/>
      <c r="ED753" s="240"/>
      <c r="EE753" s="240"/>
      <c r="EF753" s="240"/>
      <c r="EG753" s="240"/>
      <c r="EH753" s="240"/>
      <c r="EI753" s="240"/>
      <c r="EJ753" s="240"/>
      <c r="EK753" s="240"/>
      <c r="EL753" s="359"/>
      <c r="EM753" s="245"/>
      <c r="EN753" s="245"/>
      <c r="EO753" s="245"/>
      <c r="EP753" s="245"/>
      <c r="EQ753" s="254"/>
      <c r="ER753" s="240"/>
      <c r="ES753" s="240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193"/>
    </row>
    <row r="754" spans="2:189" s="243" customFormat="1" ht="11.45" hidden="1" customHeight="1">
      <c r="B754" s="244"/>
      <c r="C754" s="240"/>
      <c r="D754" s="240"/>
      <c r="E754" s="240"/>
      <c r="F754" s="240"/>
      <c r="G754" s="240" t="s">
        <v>679</v>
      </c>
      <c r="H754" s="240"/>
      <c r="I754" s="240" t="s">
        <v>680</v>
      </c>
      <c r="J754" s="240"/>
      <c r="K754" s="240"/>
      <c r="L754" s="297" t="s">
        <v>132</v>
      </c>
      <c r="M754" s="297"/>
      <c r="N754" s="1775">
        <f>토목기계경비!$L$144</f>
        <v>6564</v>
      </c>
      <c r="O754" s="1775"/>
      <c r="P754" s="1775"/>
      <c r="Q754" s="1775"/>
      <c r="R754" s="1775"/>
      <c r="S754" s="240" t="s">
        <v>683</v>
      </c>
      <c r="T754" s="240"/>
      <c r="U754" s="240" t="str">
        <f>TEXT(AZ744,"#,##0.#######")</f>
        <v>37.5</v>
      </c>
      <c r="V754" s="240"/>
      <c r="W754" s="240"/>
      <c r="X754" s="240"/>
      <c r="Y754" s="240" t="s">
        <v>134</v>
      </c>
      <c r="Z754" s="240"/>
      <c r="AA754" s="240" t="str">
        <f>TEXT(TRUNC(N754/AZ744,1),"#,##0.#")</f>
        <v>175.</v>
      </c>
      <c r="AC754" s="240"/>
      <c r="AD754" s="240"/>
      <c r="AE754" s="240"/>
      <c r="AF754" s="240"/>
      <c r="AG754" s="240"/>
      <c r="AH754" s="240"/>
      <c r="AJ754" s="240"/>
      <c r="AL754" s="240"/>
      <c r="AM754" s="240"/>
      <c r="AN754" s="240"/>
      <c r="AO754" s="240"/>
      <c r="AP754" s="240"/>
      <c r="AQ754" s="240"/>
      <c r="AR754" s="240"/>
      <c r="AS754" s="240"/>
      <c r="AT754" s="240"/>
      <c r="AU754" s="240"/>
      <c r="AV754" s="240"/>
      <c r="AW754" s="240"/>
      <c r="AX754" s="240"/>
      <c r="AY754" s="240"/>
      <c r="AZ754" s="240"/>
      <c r="BA754" s="240"/>
      <c r="BB754" s="240"/>
      <c r="BC754" s="240"/>
      <c r="BD754" s="240"/>
      <c r="BE754" s="240"/>
      <c r="BF754" s="240"/>
      <c r="BG754" s="240"/>
      <c r="BH754" s="240"/>
      <c r="BI754" s="240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97"/>
      <c r="BT754" s="240"/>
      <c r="BU754" s="240"/>
      <c r="BV754" s="240"/>
      <c r="BW754" s="240"/>
      <c r="BX754" s="240"/>
      <c r="BY754" s="240"/>
      <c r="BZ754" s="240"/>
      <c r="CA754" s="240"/>
      <c r="CB754" s="240"/>
      <c r="CC754" s="240"/>
      <c r="CD754" s="240"/>
      <c r="CE754" s="240"/>
      <c r="CF754" s="240"/>
      <c r="CG754" s="240"/>
      <c r="CH754" s="240"/>
      <c r="CI754" s="240"/>
      <c r="CJ754" s="240"/>
      <c r="CK754" s="240"/>
      <c r="CL754" s="240"/>
      <c r="CM754" s="240"/>
      <c r="CN754" s="240"/>
      <c r="CO754" s="240"/>
      <c r="CP754" s="240"/>
      <c r="CQ754" s="240"/>
      <c r="CR754" s="240"/>
      <c r="CS754" s="240"/>
      <c r="CT754" s="240"/>
      <c r="CU754" s="240"/>
      <c r="CV754" s="240"/>
      <c r="CW754" s="240"/>
      <c r="CX754" s="240"/>
      <c r="CY754" s="240"/>
      <c r="CZ754" s="240"/>
      <c r="DA754" s="240"/>
      <c r="DB754" s="240"/>
      <c r="DC754" s="240"/>
      <c r="DD754" s="240"/>
      <c r="DE754" s="240"/>
      <c r="DF754" s="240"/>
      <c r="DG754" s="240"/>
      <c r="DH754" s="240"/>
      <c r="DI754" s="240"/>
      <c r="DJ754" s="240"/>
      <c r="DK754" s="240"/>
      <c r="DL754" s="240"/>
      <c r="DM754" s="240"/>
      <c r="DN754" s="240"/>
      <c r="DO754" s="240"/>
      <c r="DP754" s="240"/>
      <c r="DQ754" s="240"/>
      <c r="DR754" s="240"/>
      <c r="DS754" s="240"/>
      <c r="DT754" s="240"/>
      <c r="DU754" s="240"/>
      <c r="DV754" s="240"/>
      <c r="DW754" s="240"/>
      <c r="DX754" s="240"/>
      <c r="DY754" s="240"/>
      <c r="DZ754" s="240"/>
      <c r="EA754" s="240"/>
      <c r="EB754" s="240"/>
      <c r="EC754" s="240"/>
      <c r="ED754" s="240"/>
      <c r="EE754" s="240"/>
      <c r="EF754" s="240"/>
      <c r="EG754" s="240"/>
      <c r="EH754" s="240"/>
      <c r="EI754" s="240"/>
      <c r="EJ754" s="240"/>
      <c r="EK754" s="240"/>
      <c r="EL754" s="359"/>
      <c r="EM754" s="245"/>
      <c r="EN754" s="245"/>
      <c r="EO754" s="245"/>
      <c r="EP754" s="245"/>
      <c r="EQ754" s="254"/>
      <c r="ER754" s="240"/>
      <c r="ES754" s="240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193"/>
    </row>
    <row r="755" spans="2:189" s="243" customFormat="1" ht="11.45" hidden="1" customHeight="1">
      <c r="B755" s="244"/>
      <c r="C755" s="240"/>
      <c r="D755" s="240"/>
      <c r="E755" s="240"/>
      <c r="F755" s="240"/>
      <c r="G755" s="240" t="s">
        <v>688</v>
      </c>
      <c r="H755" s="240"/>
      <c r="I755" s="240" t="s">
        <v>96</v>
      </c>
      <c r="J755" s="240"/>
      <c r="K755" s="240"/>
      <c r="L755" s="297" t="s">
        <v>132</v>
      </c>
      <c r="M755" s="297"/>
      <c r="N755" s="297" t="e">
        <f>TEXT(AA752+AA753+AA754,"#,##0.#######")</f>
        <v>#REF!</v>
      </c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H755" s="240"/>
      <c r="AI755" s="240"/>
      <c r="AJ755" s="240"/>
      <c r="AK755" s="240"/>
      <c r="AL755" s="240"/>
      <c r="AM755" s="240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240"/>
      <c r="BD755" s="240"/>
      <c r="BE755" s="240"/>
      <c r="BF755" s="240"/>
      <c r="BG755" s="240"/>
      <c r="BH755" s="240"/>
      <c r="BI755" s="240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97"/>
      <c r="BT755" s="240"/>
      <c r="BU755" s="240"/>
      <c r="BV755" s="240"/>
      <c r="BW755" s="240"/>
      <c r="BX755" s="240"/>
      <c r="BY755" s="240"/>
      <c r="BZ755" s="240"/>
      <c r="CA755" s="240"/>
      <c r="CB755" s="240"/>
      <c r="CC755" s="240"/>
      <c r="CD755" s="240"/>
      <c r="CE755" s="240"/>
      <c r="CF755" s="240"/>
      <c r="CG755" s="240"/>
      <c r="CH755" s="240"/>
      <c r="CI755" s="240"/>
      <c r="CJ755" s="240"/>
      <c r="CK755" s="240"/>
      <c r="CL755" s="240"/>
      <c r="CM755" s="240"/>
      <c r="CN755" s="240"/>
      <c r="CO755" s="240"/>
      <c r="CP755" s="240"/>
      <c r="CQ755" s="240"/>
      <c r="CR755" s="240"/>
      <c r="CS755" s="240"/>
      <c r="CT755" s="240"/>
      <c r="CU755" s="240"/>
      <c r="CV755" s="240"/>
      <c r="CW755" s="240"/>
      <c r="CX755" s="240"/>
      <c r="CY755" s="240"/>
      <c r="CZ755" s="240"/>
      <c r="DA755" s="240"/>
      <c r="DB755" s="240"/>
      <c r="DC755" s="240"/>
      <c r="DD755" s="240"/>
      <c r="DE755" s="240"/>
      <c r="DF755" s="240"/>
      <c r="DG755" s="240"/>
      <c r="DH755" s="240"/>
      <c r="DI755" s="240"/>
      <c r="DJ755" s="240"/>
      <c r="DK755" s="240"/>
      <c r="DL755" s="240"/>
      <c r="DM755" s="240"/>
      <c r="DN755" s="240"/>
      <c r="DO755" s="240"/>
      <c r="DP755" s="240"/>
      <c r="DQ755" s="240"/>
      <c r="DR755" s="240"/>
      <c r="DS755" s="240"/>
      <c r="DT755" s="240"/>
      <c r="DU755" s="240"/>
      <c r="DV755" s="240"/>
      <c r="DW755" s="240"/>
      <c r="DX755" s="240"/>
      <c r="DY755" s="240"/>
      <c r="DZ755" s="240"/>
      <c r="EA755" s="240"/>
      <c r="EB755" s="240"/>
      <c r="EC755" s="240"/>
      <c r="ED755" s="240"/>
      <c r="EE755" s="240"/>
      <c r="EF755" s="240"/>
      <c r="EG755" s="240"/>
      <c r="EH755" s="240"/>
      <c r="EI755" s="240"/>
      <c r="EJ755" s="240"/>
      <c r="EK755" s="240"/>
      <c r="EL755" s="359"/>
      <c r="EM755" s="245" t="e">
        <f>EN755+EO755+EP755</f>
        <v>#REF!</v>
      </c>
      <c r="EN755" s="245" t="e">
        <f>TEXT(AA752,"#,###.0")</f>
        <v>#REF!</v>
      </c>
      <c r="EO755" s="245" t="e">
        <f>TEXT(AA753,"#,###.0")</f>
        <v>#REF!</v>
      </c>
      <c r="EP755" s="245" t="str">
        <f>TEXT(AA754,"#,###.0")</f>
        <v>175.0</v>
      </c>
      <c r="EQ755" s="254"/>
      <c r="ER755" s="240"/>
      <c r="ES755" s="240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193"/>
    </row>
    <row r="756" spans="2:189" s="243" customFormat="1" ht="11.45" hidden="1" customHeight="1">
      <c r="B756" s="244"/>
      <c r="C756" s="240"/>
      <c r="D756" s="240"/>
      <c r="E756" s="240"/>
      <c r="F756" s="240"/>
      <c r="G756" s="240"/>
      <c r="H756" s="240"/>
      <c r="I756" s="240"/>
      <c r="J756" s="240"/>
      <c r="K756" s="240"/>
      <c r="L756" s="297"/>
      <c r="M756" s="297"/>
      <c r="N756" s="297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0"/>
      <c r="AO756" s="240"/>
      <c r="AP756" s="240"/>
      <c r="AQ756" s="240"/>
      <c r="AR756" s="240"/>
      <c r="AS756" s="240"/>
      <c r="AT756" s="240"/>
      <c r="AU756" s="240"/>
      <c r="AV756" s="240"/>
      <c r="AW756" s="240"/>
      <c r="AX756" s="240"/>
      <c r="AY756" s="240"/>
      <c r="AZ756" s="240"/>
      <c r="BA756" s="240"/>
      <c r="BB756" s="240"/>
      <c r="BC756" s="240"/>
      <c r="BD756" s="240"/>
      <c r="BE756" s="240"/>
      <c r="BF756" s="240"/>
      <c r="BG756" s="240"/>
      <c r="BH756" s="240"/>
      <c r="BI756" s="240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97"/>
      <c r="BT756" s="240"/>
      <c r="BU756" s="240"/>
      <c r="BV756" s="240"/>
      <c r="BW756" s="240"/>
      <c r="BX756" s="240"/>
      <c r="BY756" s="240"/>
      <c r="BZ756" s="240"/>
      <c r="CA756" s="240"/>
      <c r="CB756" s="240"/>
      <c r="CC756" s="240"/>
      <c r="CD756" s="240"/>
      <c r="CE756" s="240"/>
      <c r="CF756" s="240"/>
      <c r="CG756" s="240"/>
      <c r="CH756" s="240"/>
      <c r="CI756" s="240"/>
      <c r="CJ756" s="240"/>
      <c r="CK756" s="240"/>
      <c r="CL756" s="240"/>
      <c r="CM756" s="240"/>
      <c r="CN756" s="240"/>
      <c r="CO756" s="240"/>
      <c r="CP756" s="240"/>
      <c r="CQ756" s="240"/>
      <c r="CR756" s="240"/>
      <c r="CS756" s="240"/>
      <c r="CT756" s="240"/>
      <c r="CU756" s="240"/>
      <c r="CV756" s="240"/>
      <c r="CW756" s="240"/>
      <c r="CX756" s="240"/>
      <c r="CY756" s="240"/>
      <c r="CZ756" s="240"/>
      <c r="DA756" s="240"/>
      <c r="DB756" s="240"/>
      <c r="DC756" s="240"/>
      <c r="DD756" s="240"/>
      <c r="DE756" s="240"/>
      <c r="DF756" s="240"/>
      <c r="DG756" s="240"/>
      <c r="DH756" s="240"/>
      <c r="DI756" s="240"/>
      <c r="DJ756" s="240"/>
      <c r="DK756" s="240"/>
      <c r="DL756" s="240"/>
      <c r="DM756" s="240"/>
      <c r="DN756" s="240"/>
      <c r="DO756" s="240"/>
      <c r="DP756" s="240"/>
      <c r="DQ756" s="240"/>
      <c r="DR756" s="240"/>
      <c r="DS756" s="240"/>
      <c r="DT756" s="240"/>
      <c r="DU756" s="240"/>
      <c r="DV756" s="240"/>
      <c r="DW756" s="240"/>
      <c r="DX756" s="240"/>
      <c r="DY756" s="240"/>
      <c r="DZ756" s="240"/>
      <c r="EA756" s="240"/>
      <c r="EB756" s="240"/>
      <c r="EC756" s="240"/>
      <c r="ED756" s="240"/>
      <c r="EE756" s="240"/>
      <c r="EF756" s="240"/>
      <c r="EG756" s="240"/>
      <c r="EH756" s="240"/>
      <c r="EI756" s="240"/>
      <c r="EJ756" s="240"/>
      <c r="EK756" s="240"/>
      <c r="EL756" s="359"/>
      <c r="EM756" s="245"/>
      <c r="EN756" s="245"/>
      <c r="EO756" s="245"/>
      <c r="EP756" s="245"/>
      <c r="EQ756" s="254"/>
      <c r="ER756" s="240"/>
      <c r="ES756" s="240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193"/>
    </row>
    <row r="757" spans="2:189" s="243" customFormat="1" ht="11.45" hidden="1" customHeight="1">
      <c r="B757" s="244"/>
      <c r="C757" s="240"/>
      <c r="D757" s="240" t="s">
        <v>677</v>
      </c>
      <c r="E757" s="240"/>
      <c r="F757" s="240"/>
      <c r="G757" s="240" t="s">
        <v>734</v>
      </c>
      <c r="H757" s="240"/>
      <c r="I757" s="240"/>
      <c r="J757" s="240" t="s">
        <v>729</v>
      </c>
      <c r="K757" s="240"/>
      <c r="L757" s="297"/>
      <c r="M757" s="297" t="s">
        <v>132</v>
      </c>
      <c r="N757" s="297"/>
      <c r="O757" s="240" t="s">
        <v>708</v>
      </c>
      <c r="P757" s="240"/>
      <c r="Q757" s="240"/>
      <c r="R757" s="240"/>
      <c r="S757" s="240" t="s">
        <v>709</v>
      </c>
      <c r="T757" s="240"/>
      <c r="U757" s="240"/>
      <c r="V757" s="240"/>
      <c r="W757" s="240"/>
      <c r="Y757" s="240"/>
      <c r="Z757" s="240"/>
      <c r="AA757" s="240"/>
      <c r="AB757" s="240"/>
      <c r="AC757" s="240"/>
      <c r="AD757" s="240"/>
      <c r="AE757" s="240"/>
      <c r="AF757" s="240"/>
      <c r="AG757" s="240"/>
      <c r="AH757" s="240"/>
      <c r="AI757" s="240"/>
      <c r="AJ757" s="240"/>
      <c r="AK757" s="240"/>
      <c r="AL757" s="240"/>
      <c r="AM757" s="240"/>
      <c r="AN757" s="240"/>
      <c r="AO757" s="240"/>
      <c r="AP757" s="240"/>
      <c r="AQ757" s="240"/>
      <c r="AR757" s="240"/>
      <c r="AS757" s="240"/>
      <c r="AT757" s="240"/>
      <c r="AU757" s="240"/>
      <c r="AV757" s="240"/>
      <c r="AW757" s="240"/>
      <c r="AX757" s="240"/>
      <c r="AY757" s="240"/>
      <c r="AZ757" s="240"/>
      <c r="BA757" s="240"/>
      <c r="BB757" s="240"/>
      <c r="BC757" s="240"/>
      <c r="BD757" s="240"/>
      <c r="BE757" s="240"/>
      <c r="BF757" s="240"/>
      <c r="BG757" s="240"/>
      <c r="BH757" s="240"/>
      <c r="BI757" s="240"/>
      <c r="BJ757" s="240"/>
      <c r="BK757" s="240"/>
      <c r="BL757" s="240"/>
      <c r="BM757" s="240"/>
      <c r="BN757" s="240"/>
      <c r="BO757" s="240"/>
      <c r="BP757" s="240"/>
      <c r="BQ757" s="240"/>
      <c r="BR757" s="240"/>
      <c r="BS757" s="297"/>
      <c r="BT757" s="240"/>
      <c r="BU757" s="240"/>
      <c r="BV757" s="240"/>
      <c r="BW757" s="240"/>
      <c r="BX757" s="240"/>
      <c r="BY757" s="240"/>
      <c r="BZ757" s="240"/>
      <c r="CA757" s="240"/>
      <c r="CB757" s="240"/>
      <c r="CC757" s="240"/>
      <c r="CD757" s="240"/>
      <c r="CE757" s="240"/>
      <c r="CF757" s="240"/>
      <c r="CG757" s="240"/>
      <c r="CH757" s="240"/>
      <c r="CI757" s="240"/>
      <c r="CJ757" s="240"/>
      <c r="CK757" s="240"/>
      <c r="CL757" s="240"/>
      <c r="CM757" s="240"/>
      <c r="CN757" s="240"/>
      <c r="CO757" s="240"/>
      <c r="CP757" s="240"/>
      <c r="CQ757" s="240"/>
      <c r="CR757" s="240"/>
      <c r="CS757" s="240"/>
      <c r="CT757" s="240"/>
      <c r="CU757" s="240"/>
      <c r="CV757" s="240"/>
      <c r="CW757" s="240"/>
      <c r="CX757" s="240"/>
      <c r="CY757" s="240"/>
      <c r="CZ757" s="240"/>
      <c r="DA757" s="240"/>
      <c r="DB757" s="240"/>
      <c r="DC757" s="240"/>
      <c r="DD757" s="240"/>
      <c r="DE757" s="240"/>
      <c r="DF757" s="240"/>
      <c r="DG757" s="240"/>
      <c r="DH757" s="240"/>
      <c r="DI757" s="240"/>
      <c r="DJ757" s="240"/>
      <c r="DK757" s="240"/>
      <c r="DL757" s="240"/>
      <c r="DM757" s="240"/>
      <c r="DN757" s="240"/>
      <c r="DO757" s="240"/>
      <c r="DP757" s="240"/>
      <c r="DQ757" s="240"/>
      <c r="DR757" s="240"/>
      <c r="DS757" s="240"/>
      <c r="DT757" s="240"/>
      <c r="DU757" s="240"/>
      <c r="DV757" s="240"/>
      <c r="DW757" s="240"/>
      <c r="DX757" s="240"/>
      <c r="DY757" s="240"/>
      <c r="DZ757" s="240"/>
      <c r="EA757" s="240"/>
      <c r="EB757" s="240"/>
      <c r="EC757" s="240"/>
      <c r="ED757" s="240"/>
      <c r="EE757" s="240"/>
      <c r="EF757" s="240"/>
      <c r="EG757" s="240"/>
      <c r="EH757" s="240"/>
      <c r="EI757" s="240"/>
      <c r="EJ757" s="240"/>
      <c r="EK757" s="240"/>
      <c r="EL757" s="359"/>
      <c r="EM757" s="245"/>
      <c r="EN757" s="245"/>
      <c r="EO757" s="245"/>
      <c r="EP757" s="245"/>
      <c r="EQ757" s="254"/>
      <c r="ER757" s="240"/>
      <c r="ES757" s="240"/>
      <c r="ET757" s="241"/>
      <c r="EU757" s="241"/>
      <c r="EV757" s="241"/>
      <c r="EW757" s="241"/>
      <c r="EX757" s="241"/>
      <c r="EY757" s="241"/>
      <c r="EZ757" s="241"/>
      <c r="FA757" s="241"/>
      <c r="FB757" s="241"/>
      <c r="FC757" s="241"/>
      <c r="FD757" s="241"/>
      <c r="FE757" s="241"/>
      <c r="FF757" s="241"/>
      <c r="FG757" s="241"/>
      <c r="FH757" s="241"/>
      <c r="FI757" s="241"/>
      <c r="FJ757" s="241"/>
      <c r="FK757" s="241"/>
      <c r="FL757" s="241"/>
      <c r="FM757" s="241"/>
      <c r="FN757" s="241"/>
      <c r="FO757" s="241"/>
      <c r="FP757" s="241"/>
      <c r="FQ757" s="241"/>
      <c r="FR757" s="241"/>
      <c r="FS757" s="241"/>
      <c r="FT757" s="241"/>
      <c r="FU757" s="241"/>
      <c r="FV757" s="241"/>
      <c r="FW757" s="241"/>
      <c r="FX757" s="241"/>
      <c r="FY757" s="241"/>
      <c r="FZ757" s="241"/>
      <c r="GA757" s="241"/>
      <c r="GB757" s="241"/>
      <c r="GC757" s="241"/>
      <c r="GD757" s="241"/>
      <c r="GE757" s="241"/>
      <c r="GF757" s="241"/>
      <c r="GG757" s="193"/>
    </row>
    <row r="758" spans="2:189" s="243" customFormat="1" ht="11.45" hidden="1" customHeight="1">
      <c r="B758" s="244"/>
      <c r="C758" s="240"/>
      <c r="D758" s="240"/>
      <c r="E758" s="240"/>
      <c r="F758" s="240"/>
      <c r="G758" s="240" t="s">
        <v>616</v>
      </c>
      <c r="H758" s="240"/>
      <c r="I758" s="240"/>
      <c r="J758" s="240"/>
      <c r="K758" s="240"/>
      <c r="L758" s="297" t="s">
        <v>132</v>
      </c>
      <c r="M758" s="297"/>
      <c r="N758" s="1774" t="e">
        <f>토목기계경비!$J$112</f>
        <v>#REF!</v>
      </c>
      <c r="O758" s="1774"/>
      <c r="P758" s="1774"/>
      <c r="Q758" s="1774"/>
      <c r="R758" s="1774"/>
      <c r="S758" s="240" t="s">
        <v>683</v>
      </c>
      <c r="T758" s="240"/>
      <c r="U758" s="240" t="str">
        <f>TEXT(AZ744,"#,##0.#######")</f>
        <v>37.5</v>
      </c>
      <c r="V758" s="240"/>
      <c r="W758" s="240"/>
      <c r="X758" s="240" t="s">
        <v>1335</v>
      </c>
      <c r="Y758" s="240"/>
      <c r="Z758" s="240" t="str">
        <f>TEXT(0.5,"#,##0.#######")</f>
        <v>0.5</v>
      </c>
      <c r="AA758" s="240"/>
      <c r="AB758" s="240" t="s">
        <v>556</v>
      </c>
      <c r="AD758" s="240" t="s">
        <v>134</v>
      </c>
      <c r="AE758" s="240"/>
      <c r="AF758" s="240" t="e">
        <f>TEXT(TRUNC(N758/AZ744*Z758,1),"#,##0.#")</f>
        <v>#REF!</v>
      </c>
      <c r="AH758" s="240"/>
      <c r="AI758" s="240"/>
      <c r="AJ758" s="240"/>
      <c r="AL758" s="240"/>
      <c r="AM758" s="240"/>
      <c r="AN758" s="240"/>
      <c r="AO758" s="240"/>
      <c r="AP758" s="240"/>
      <c r="AQ758" s="240"/>
      <c r="AR758" s="240"/>
      <c r="AS758" s="240"/>
      <c r="AT758" s="240"/>
      <c r="AU758" s="240"/>
      <c r="AV758" s="240"/>
      <c r="AW758" s="240"/>
      <c r="AX758" s="240"/>
      <c r="AY758" s="240"/>
      <c r="AZ758" s="240"/>
      <c r="BA758" s="240"/>
      <c r="BB758" s="240"/>
      <c r="BC758" s="240"/>
      <c r="BD758" s="240"/>
      <c r="BE758" s="240"/>
      <c r="BF758" s="240"/>
      <c r="BG758" s="240"/>
      <c r="BH758" s="240"/>
      <c r="BI758" s="240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97"/>
      <c r="BT758" s="240"/>
      <c r="BU758" s="240"/>
      <c r="BV758" s="240"/>
      <c r="BW758" s="240"/>
      <c r="BX758" s="240"/>
      <c r="BY758" s="240"/>
      <c r="BZ758" s="240"/>
      <c r="CA758" s="240"/>
      <c r="CB758" s="240"/>
      <c r="CC758" s="240"/>
      <c r="CD758" s="240"/>
      <c r="CE758" s="240"/>
      <c r="CF758" s="240"/>
      <c r="CG758" s="240"/>
      <c r="CH758" s="240"/>
      <c r="CI758" s="240"/>
      <c r="CJ758" s="240"/>
      <c r="CK758" s="240"/>
      <c r="CL758" s="240"/>
      <c r="CM758" s="240"/>
      <c r="CN758" s="240"/>
      <c r="CO758" s="240"/>
      <c r="CP758" s="240"/>
      <c r="CQ758" s="240"/>
      <c r="CR758" s="240"/>
      <c r="CS758" s="240"/>
      <c r="CT758" s="240"/>
      <c r="CU758" s="240"/>
      <c r="CV758" s="240"/>
      <c r="CW758" s="240"/>
      <c r="CX758" s="240"/>
      <c r="CY758" s="240"/>
      <c r="CZ758" s="240"/>
      <c r="DA758" s="240"/>
      <c r="DB758" s="240"/>
      <c r="DC758" s="240"/>
      <c r="DD758" s="240"/>
      <c r="DE758" s="240"/>
      <c r="DF758" s="240"/>
      <c r="DG758" s="240"/>
      <c r="DH758" s="240"/>
      <c r="DI758" s="240"/>
      <c r="DJ758" s="240"/>
      <c r="DK758" s="240"/>
      <c r="DL758" s="240"/>
      <c r="DM758" s="240"/>
      <c r="DN758" s="240"/>
      <c r="DO758" s="240"/>
      <c r="DP758" s="240"/>
      <c r="DQ758" s="240"/>
      <c r="DR758" s="240"/>
      <c r="DS758" s="240"/>
      <c r="DT758" s="240"/>
      <c r="DU758" s="240"/>
      <c r="DV758" s="240"/>
      <c r="DW758" s="240"/>
      <c r="DX758" s="240"/>
      <c r="DY758" s="240"/>
      <c r="DZ758" s="240"/>
      <c r="EA758" s="240"/>
      <c r="EB758" s="240"/>
      <c r="EC758" s="240"/>
      <c r="ED758" s="240"/>
      <c r="EE758" s="240"/>
      <c r="EF758" s="240"/>
      <c r="EG758" s="240"/>
      <c r="EH758" s="240"/>
      <c r="EI758" s="240"/>
      <c r="EJ758" s="240"/>
      <c r="EK758" s="240"/>
      <c r="EL758" s="359"/>
      <c r="EM758" s="245"/>
      <c r="EN758" s="245"/>
      <c r="EO758" s="245"/>
      <c r="EP758" s="245"/>
      <c r="EQ758" s="254"/>
      <c r="ER758" s="240"/>
      <c r="ES758" s="240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193"/>
    </row>
    <row r="759" spans="2:189" s="243" customFormat="1" ht="11.45" hidden="1" customHeight="1">
      <c r="B759" s="244"/>
      <c r="C759" s="240"/>
      <c r="D759" s="240"/>
      <c r="E759" s="240"/>
      <c r="F759" s="240"/>
      <c r="G759" s="240" t="s">
        <v>617</v>
      </c>
      <c r="H759" s="240"/>
      <c r="I759" s="240"/>
      <c r="J759" s="240"/>
      <c r="K759" s="240"/>
      <c r="L759" s="297" t="s">
        <v>132</v>
      </c>
      <c r="M759" s="297"/>
      <c r="N759" s="1774" t="e">
        <f>토목기계경비!$K$112</f>
        <v>#REF!</v>
      </c>
      <c r="O759" s="1774"/>
      <c r="P759" s="1774"/>
      <c r="Q759" s="1774"/>
      <c r="R759" s="1774"/>
      <c r="S759" s="240" t="s">
        <v>683</v>
      </c>
      <c r="T759" s="240"/>
      <c r="U759" s="240" t="str">
        <f>TEXT(AZ744,"#,##0.#######")</f>
        <v>37.5</v>
      </c>
      <c r="V759" s="240"/>
      <c r="W759" s="240"/>
      <c r="X759" s="240" t="s">
        <v>1336</v>
      </c>
      <c r="Y759" s="240"/>
      <c r="Z759" s="240" t="str">
        <f>TEXT(0.5,"#,##0.#######")</f>
        <v>0.5</v>
      </c>
      <c r="AA759" s="240"/>
      <c r="AB759" s="240" t="s">
        <v>556</v>
      </c>
      <c r="AD759" s="240" t="s">
        <v>134</v>
      </c>
      <c r="AE759" s="240"/>
      <c r="AF759" s="240" t="e">
        <f>TEXT(TRUNC(N759/AZ744*Z759,1),"#,##0.#")</f>
        <v>#REF!</v>
      </c>
      <c r="AH759" s="240"/>
      <c r="AI759" s="240"/>
      <c r="AJ759" s="240"/>
      <c r="AL759" s="240"/>
      <c r="AM759" s="240"/>
      <c r="AN759" s="240"/>
      <c r="AO759" s="240"/>
      <c r="AP759" s="240"/>
      <c r="AQ759" s="240"/>
      <c r="AR759" s="240"/>
      <c r="AS759" s="240"/>
      <c r="AT759" s="240"/>
      <c r="AU759" s="240"/>
      <c r="AV759" s="240"/>
      <c r="AW759" s="240"/>
      <c r="AX759" s="240"/>
      <c r="AY759" s="240"/>
      <c r="AZ759" s="240"/>
      <c r="BA759" s="240"/>
      <c r="BB759" s="240"/>
      <c r="BC759" s="240"/>
      <c r="BD759" s="240"/>
      <c r="BE759" s="240"/>
      <c r="BF759" s="240"/>
      <c r="BG759" s="240"/>
      <c r="BH759" s="240"/>
      <c r="BI759" s="240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97"/>
      <c r="BT759" s="240"/>
      <c r="BU759" s="240"/>
      <c r="BV759" s="240"/>
      <c r="BW759" s="240"/>
      <c r="BX759" s="240"/>
      <c r="BY759" s="240"/>
      <c r="BZ759" s="240"/>
      <c r="CA759" s="240"/>
      <c r="CB759" s="240"/>
      <c r="CC759" s="240"/>
      <c r="CD759" s="240"/>
      <c r="CE759" s="240"/>
      <c r="CF759" s="240"/>
      <c r="CG759" s="240"/>
      <c r="CH759" s="240"/>
      <c r="CI759" s="240"/>
      <c r="CJ759" s="240"/>
      <c r="CK759" s="240"/>
      <c r="CL759" s="240"/>
      <c r="CM759" s="240"/>
      <c r="CN759" s="240"/>
      <c r="CO759" s="240"/>
      <c r="CP759" s="240"/>
      <c r="CQ759" s="240"/>
      <c r="CR759" s="240"/>
      <c r="CS759" s="240"/>
      <c r="CT759" s="240"/>
      <c r="CU759" s="240"/>
      <c r="CV759" s="240"/>
      <c r="CW759" s="240"/>
      <c r="CX759" s="240"/>
      <c r="CY759" s="240"/>
      <c r="CZ759" s="240"/>
      <c r="DA759" s="240"/>
      <c r="DB759" s="240"/>
      <c r="DC759" s="240"/>
      <c r="DD759" s="240"/>
      <c r="DE759" s="240"/>
      <c r="DF759" s="240"/>
      <c r="DG759" s="240"/>
      <c r="DH759" s="240"/>
      <c r="DI759" s="240"/>
      <c r="DJ759" s="240"/>
      <c r="DK759" s="240"/>
      <c r="DL759" s="240"/>
      <c r="DM759" s="240"/>
      <c r="DN759" s="240"/>
      <c r="DO759" s="240"/>
      <c r="DP759" s="240"/>
      <c r="DQ759" s="240"/>
      <c r="DR759" s="240"/>
      <c r="DS759" s="240"/>
      <c r="DT759" s="240"/>
      <c r="DU759" s="240"/>
      <c r="DV759" s="240"/>
      <c r="DW759" s="240"/>
      <c r="DX759" s="240"/>
      <c r="DY759" s="240"/>
      <c r="DZ759" s="240"/>
      <c r="EA759" s="240"/>
      <c r="EB759" s="240"/>
      <c r="EC759" s="240"/>
      <c r="ED759" s="240"/>
      <c r="EE759" s="240"/>
      <c r="EF759" s="240"/>
      <c r="EG759" s="240"/>
      <c r="EH759" s="240"/>
      <c r="EI759" s="240"/>
      <c r="EJ759" s="240"/>
      <c r="EK759" s="240"/>
      <c r="EL759" s="359"/>
      <c r="EM759" s="245"/>
      <c r="EN759" s="245"/>
      <c r="EO759" s="245"/>
      <c r="EP759" s="245"/>
      <c r="EQ759" s="254"/>
      <c r="ER759" s="240"/>
      <c r="ES759" s="240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193"/>
    </row>
    <row r="760" spans="2:189" s="243" customFormat="1" ht="11.45" hidden="1" customHeight="1">
      <c r="B760" s="244"/>
      <c r="C760" s="240"/>
      <c r="D760" s="240"/>
      <c r="E760" s="240"/>
      <c r="F760" s="240"/>
      <c r="G760" s="240" t="s">
        <v>679</v>
      </c>
      <c r="H760" s="240"/>
      <c r="I760" s="240" t="s">
        <v>680</v>
      </c>
      <c r="J760" s="240"/>
      <c r="L760" s="297" t="s">
        <v>132</v>
      </c>
      <c r="M760" s="297"/>
      <c r="N760" s="1774">
        <f>토목기계경비!$L$112</f>
        <v>8908</v>
      </c>
      <c r="O760" s="1774"/>
      <c r="P760" s="1774"/>
      <c r="Q760" s="1774"/>
      <c r="R760" s="1774"/>
      <c r="S760" s="240" t="s">
        <v>683</v>
      </c>
      <c r="T760" s="240"/>
      <c r="U760" s="240" t="str">
        <f>TEXT(AZ744,"#,##0.#######")</f>
        <v>37.5</v>
      </c>
      <c r="V760" s="240"/>
      <c r="W760" s="240"/>
      <c r="X760" s="240" t="s">
        <v>1336</v>
      </c>
      <c r="Y760" s="240"/>
      <c r="Z760" s="240" t="str">
        <f>TEXT(0.5,"#,##0.#######")</f>
        <v>0.5</v>
      </c>
      <c r="AA760" s="240"/>
      <c r="AB760" s="240" t="s">
        <v>556</v>
      </c>
      <c r="AD760" s="240" t="s">
        <v>134</v>
      </c>
      <c r="AE760" s="240"/>
      <c r="AF760" s="240" t="str">
        <f>TEXT(TRUNC(N760/AZ744*Z760,1),"#,##0.#")</f>
        <v>118.7</v>
      </c>
      <c r="AH760" s="240"/>
      <c r="AI760" s="240"/>
      <c r="AJ760" s="240"/>
      <c r="AL760" s="240"/>
      <c r="AM760" s="240"/>
      <c r="AN760" s="240"/>
      <c r="AO760" s="240"/>
      <c r="AP760" s="240"/>
      <c r="AQ760" s="240"/>
      <c r="AR760" s="240"/>
      <c r="AS760" s="240"/>
      <c r="AT760" s="240"/>
      <c r="AU760" s="240"/>
      <c r="AV760" s="240"/>
      <c r="AW760" s="240"/>
      <c r="AX760" s="240"/>
      <c r="AY760" s="240"/>
      <c r="AZ760" s="240"/>
      <c r="BA760" s="240"/>
      <c r="BB760" s="240"/>
      <c r="BC760" s="240"/>
      <c r="BD760" s="240"/>
      <c r="BE760" s="240"/>
      <c r="BF760" s="240"/>
      <c r="BG760" s="240"/>
      <c r="BH760" s="240"/>
      <c r="BI760" s="240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97"/>
      <c r="BT760" s="240"/>
      <c r="BU760" s="240"/>
      <c r="BV760" s="240"/>
      <c r="BW760" s="240"/>
      <c r="BX760" s="240"/>
      <c r="BY760" s="240"/>
      <c r="BZ760" s="240"/>
      <c r="CA760" s="240"/>
      <c r="CB760" s="240"/>
      <c r="CC760" s="240"/>
      <c r="CD760" s="240"/>
      <c r="CE760" s="240"/>
      <c r="CF760" s="240"/>
      <c r="CG760" s="240"/>
      <c r="CH760" s="240"/>
      <c r="CI760" s="240"/>
      <c r="CJ760" s="240"/>
      <c r="CK760" s="240"/>
      <c r="CL760" s="240"/>
      <c r="CM760" s="240"/>
      <c r="CN760" s="240"/>
      <c r="CO760" s="240"/>
      <c r="CP760" s="240"/>
      <c r="CQ760" s="240"/>
      <c r="CR760" s="240"/>
      <c r="CS760" s="240"/>
      <c r="CT760" s="240"/>
      <c r="CU760" s="240"/>
      <c r="CV760" s="240"/>
      <c r="CW760" s="240"/>
      <c r="CX760" s="240"/>
      <c r="CY760" s="240"/>
      <c r="CZ760" s="240"/>
      <c r="DA760" s="240"/>
      <c r="DB760" s="240"/>
      <c r="DC760" s="240"/>
      <c r="DD760" s="240"/>
      <c r="DE760" s="240"/>
      <c r="DF760" s="240"/>
      <c r="DG760" s="240"/>
      <c r="DH760" s="240"/>
      <c r="DI760" s="240"/>
      <c r="DJ760" s="240"/>
      <c r="DK760" s="240"/>
      <c r="DL760" s="240"/>
      <c r="DM760" s="240"/>
      <c r="DN760" s="240"/>
      <c r="DO760" s="240"/>
      <c r="DP760" s="240"/>
      <c r="DQ760" s="240"/>
      <c r="DR760" s="240"/>
      <c r="DS760" s="240"/>
      <c r="DT760" s="240"/>
      <c r="DU760" s="240"/>
      <c r="DV760" s="240"/>
      <c r="DW760" s="240"/>
      <c r="DX760" s="240"/>
      <c r="DY760" s="240"/>
      <c r="DZ760" s="240"/>
      <c r="EA760" s="240"/>
      <c r="EB760" s="240"/>
      <c r="EC760" s="240"/>
      <c r="ED760" s="240"/>
      <c r="EE760" s="240"/>
      <c r="EF760" s="240"/>
      <c r="EG760" s="240"/>
      <c r="EH760" s="240"/>
      <c r="EI760" s="240"/>
      <c r="EJ760" s="240"/>
      <c r="EK760" s="240"/>
      <c r="EL760" s="359"/>
      <c r="EM760" s="245"/>
      <c r="EN760" s="245"/>
      <c r="EO760" s="245"/>
      <c r="EP760" s="245"/>
      <c r="EQ760" s="254"/>
      <c r="ER760" s="240"/>
      <c r="ES760" s="240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193"/>
    </row>
    <row r="761" spans="2:189" s="243" customFormat="1" ht="11.45" hidden="1" customHeight="1">
      <c r="B761" s="244"/>
      <c r="C761" s="240"/>
      <c r="D761" s="240"/>
      <c r="E761" s="240"/>
      <c r="F761" s="240"/>
      <c r="G761" s="240" t="s">
        <v>688</v>
      </c>
      <c r="H761" s="240"/>
      <c r="I761" s="240" t="s">
        <v>96</v>
      </c>
      <c r="J761" s="240"/>
      <c r="L761" s="297" t="s">
        <v>132</v>
      </c>
      <c r="M761" s="297"/>
      <c r="N761" s="297" t="str">
        <f>TEXT(AA758+AA759+AA760,"#,##0.#######")</f>
        <v>0.</v>
      </c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H761" s="240"/>
      <c r="AI761" s="240"/>
      <c r="AJ761" s="240"/>
      <c r="AK761" s="240"/>
      <c r="AL761" s="240"/>
      <c r="AM761" s="240"/>
      <c r="AN761" s="240"/>
      <c r="AO761" s="240"/>
      <c r="AP761" s="240"/>
      <c r="AQ761" s="240"/>
      <c r="AR761" s="240"/>
      <c r="AS761" s="240"/>
      <c r="AT761" s="240"/>
      <c r="AU761" s="240"/>
      <c r="AV761" s="240"/>
      <c r="AW761" s="240"/>
      <c r="AX761" s="240"/>
      <c r="AY761" s="240"/>
      <c r="AZ761" s="240"/>
      <c r="BA761" s="240"/>
      <c r="BB761" s="240"/>
      <c r="BC761" s="240"/>
      <c r="BD761" s="240"/>
      <c r="BE761" s="240"/>
      <c r="BF761" s="240"/>
      <c r="BG761" s="240"/>
      <c r="BH761" s="240"/>
      <c r="BI761" s="240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97"/>
      <c r="BT761" s="240"/>
      <c r="BU761" s="240"/>
      <c r="BV761" s="240"/>
      <c r="BW761" s="240"/>
      <c r="BX761" s="240"/>
      <c r="BY761" s="240"/>
      <c r="BZ761" s="240"/>
      <c r="CA761" s="240"/>
      <c r="CB761" s="240"/>
      <c r="CC761" s="240"/>
      <c r="CD761" s="240"/>
      <c r="CE761" s="240"/>
      <c r="CF761" s="240"/>
      <c r="CG761" s="240"/>
      <c r="CH761" s="240"/>
      <c r="CI761" s="240"/>
      <c r="CJ761" s="240"/>
      <c r="CK761" s="240"/>
      <c r="CL761" s="240"/>
      <c r="CM761" s="240"/>
      <c r="CN761" s="240"/>
      <c r="CO761" s="240"/>
      <c r="CP761" s="240"/>
      <c r="CQ761" s="240"/>
      <c r="CR761" s="240"/>
      <c r="CS761" s="240"/>
      <c r="CT761" s="240"/>
      <c r="CU761" s="240"/>
      <c r="CV761" s="240"/>
      <c r="CW761" s="240"/>
      <c r="CX761" s="240"/>
      <c r="CY761" s="240"/>
      <c r="CZ761" s="240"/>
      <c r="DA761" s="240"/>
      <c r="DB761" s="240"/>
      <c r="DC761" s="240"/>
      <c r="DD761" s="240"/>
      <c r="DE761" s="240"/>
      <c r="DF761" s="240"/>
      <c r="DG761" s="240"/>
      <c r="DH761" s="240"/>
      <c r="DI761" s="240"/>
      <c r="DJ761" s="240"/>
      <c r="DK761" s="240"/>
      <c r="DL761" s="240"/>
      <c r="DM761" s="240"/>
      <c r="DN761" s="240"/>
      <c r="DO761" s="240"/>
      <c r="DP761" s="240"/>
      <c r="DQ761" s="240"/>
      <c r="DR761" s="240"/>
      <c r="DS761" s="240"/>
      <c r="DT761" s="240"/>
      <c r="DU761" s="240"/>
      <c r="DV761" s="240"/>
      <c r="DW761" s="240"/>
      <c r="DX761" s="240"/>
      <c r="DY761" s="240"/>
      <c r="DZ761" s="240"/>
      <c r="EA761" s="240"/>
      <c r="EB761" s="240"/>
      <c r="EC761" s="240"/>
      <c r="ED761" s="240"/>
      <c r="EE761" s="240"/>
      <c r="EF761" s="240"/>
      <c r="EG761" s="240"/>
      <c r="EH761" s="240"/>
      <c r="EI761" s="240"/>
      <c r="EJ761" s="240"/>
      <c r="EK761" s="240"/>
      <c r="EL761" s="359"/>
      <c r="EM761" s="245" t="e">
        <f>EN761+EO761+EP761</f>
        <v>#REF!</v>
      </c>
      <c r="EN761" s="245" t="e">
        <f>TEXT(AF758,"#,###.0")</f>
        <v>#REF!</v>
      </c>
      <c r="EO761" s="245" t="e">
        <f>TEXT(AF759,"#,###.0")</f>
        <v>#REF!</v>
      </c>
      <c r="EP761" s="245" t="str">
        <f>TEXT(AF760,"#,###.0")</f>
        <v>118.7</v>
      </c>
      <c r="EQ761" s="254"/>
      <c r="ER761" s="240"/>
      <c r="ES761" s="240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193"/>
    </row>
    <row r="762" spans="2:189" s="243" customFormat="1" ht="11.45" hidden="1" customHeight="1">
      <c r="B762" s="244"/>
      <c r="C762" s="240"/>
      <c r="D762" s="240"/>
      <c r="E762" s="240"/>
      <c r="F762" s="240"/>
      <c r="G762" s="240"/>
      <c r="H762" s="240"/>
      <c r="I762" s="240"/>
      <c r="J762" s="240"/>
      <c r="K762" s="240"/>
      <c r="L762" s="297"/>
      <c r="M762" s="297"/>
      <c r="N762" s="297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0"/>
      <c r="AO762" s="240"/>
      <c r="AP762" s="240"/>
      <c r="AQ762" s="240"/>
      <c r="AR762" s="240"/>
      <c r="AS762" s="240"/>
      <c r="AT762" s="240"/>
      <c r="AU762" s="240"/>
      <c r="AV762" s="240"/>
      <c r="AW762" s="240"/>
      <c r="AX762" s="240"/>
      <c r="AY762" s="240"/>
      <c r="AZ762" s="240"/>
      <c r="BA762" s="240"/>
      <c r="BB762" s="240"/>
      <c r="BC762" s="240"/>
      <c r="BD762" s="240"/>
      <c r="BE762" s="240"/>
      <c r="BF762" s="240"/>
      <c r="BG762" s="240"/>
      <c r="BH762" s="240"/>
      <c r="BI762" s="240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97"/>
      <c r="BT762" s="240"/>
      <c r="BU762" s="240"/>
      <c r="BV762" s="240"/>
      <c r="BW762" s="240"/>
      <c r="BX762" s="240"/>
      <c r="BY762" s="240"/>
      <c r="BZ762" s="240"/>
      <c r="CA762" s="240"/>
      <c r="CB762" s="240"/>
      <c r="CC762" s="240"/>
      <c r="CD762" s="240"/>
      <c r="CE762" s="240"/>
      <c r="CF762" s="240"/>
      <c r="CG762" s="240"/>
      <c r="CH762" s="240"/>
      <c r="CI762" s="240"/>
      <c r="CJ762" s="240"/>
      <c r="CK762" s="240"/>
      <c r="CL762" s="240"/>
      <c r="CM762" s="240"/>
      <c r="CN762" s="240"/>
      <c r="CO762" s="240"/>
      <c r="CP762" s="240"/>
      <c r="CQ762" s="240"/>
      <c r="CR762" s="240"/>
      <c r="CS762" s="240"/>
      <c r="CT762" s="240"/>
      <c r="CU762" s="240"/>
      <c r="CV762" s="240"/>
      <c r="CW762" s="240"/>
      <c r="CX762" s="240"/>
      <c r="CY762" s="240"/>
      <c r="CZ762" s="240"/>
      <c r="DA762" s="240"/>
      <c r="DB762" s="240"/>
      <c r="DC762" s="240"/>
      <c r="DD762" s="240"/>
      <c r="DE762" s="240"/>
      <c r="DF762" s="240"/>
      <c r="DG762" s="240"/>
      <c r="DH762" s="240"/>
      <c r="DI762" s="240"/>
      <c r="DJ762" s="240"/>
      <c r="DK762" s="240"/>
      <c r="DL762" s="240"/>
      <c r="DM762" s="240"/>
      <c r="DN762" s="240"/>
      <c r="DO762" s="240"/>
      <c r="DP762" s="240"/>
      <c r="DQ762" s="240"/>
      <c r="DR762" s="240"/>
      <c r="DS762" s="240"/>
      <c r="DT762" s="240"/>
      <c r="DU762" s="240"/>
      <c r="DV762" s="240"/>
      <c r="DW762" s="240"/>
      <c r="DX762" s="240"/>
      <c r="DY762" s="240"/>
      <c r="DZ762" s="240"/>
      <c r="EA762" s="240"/>
      <c r="EB762" s="240"/>
      <c r="EC762" s="240"/>
      <c r="ED762" s="240"/>
      <c r="EE762" s="240"/>
      <c r="EF762" s="240"/>
      <c r="EG762" s="240"/>
      <c r="EH762" s="240"/>
      <c r="EI762" s="240"/>
      <c r="EJ762" s="240"/>
      <c r="EK762" s="240"/>
      <c r="EL762" s="359"/>
      <c r="EM762" s="245"/>
      <c r="EN762" s="245"/>
      <c r="EO762" s="245"/>
      <c r="EP762" s="245"/>
      <c r="EQ762" s="254"/>
      <c r="ER762" s="240"/>
      <c r="ES762" s="240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193"/>
    </row>
    <row r="763" spans="2:189" s="243" customFormat="1" ht="11.45" hidden="1" customHeight="1">
      <c r="B763" s="244"/>
      <c r="C763" s="240"/>
      <c r="D763" s="240" t="s">
        <v>695</v>
      </c>
      <c r="E763" s="240"/>
      <c r="F763" s="240"/>
      <c r="G763" s="240" t="s">
        <v>690</v>
      </c>
      <c r="H763" s="240"/>
      <c r="I763" s="240"/>
      <c r="J763" s="240" t="s">
        <v>731</v>
      </c>
      <c r="K763" s="240"/>
      <c r="L763" s="297"/>
      <c r="M763" s="297"/>
      <c r="N763" s="297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  <c r="AA763" s="240"/>
      <c r="AB763" s="240"/>
      <c r="AC763" s="240"/>
      <c r="AD763" s="240"/>
      <c r="AE763" s="240"/>
      <c r="AF763" s="240"/>
      <c r="AG763" s="240"/>
      <c r="AH763" s="240"/>
      <c r="AI763" s="240"/>
      <c r="AJ763" s="240"/>
      <c r="AK763" s="240"/>
      <c r="AL763" s="240"/>
      <c r="AM763" s="240"/>
      <c r="AN763" s="240"/>
      <c r="AO763" s="240"/>
      <c r="AP763" s="240"/>
      <c r="AQ763" s="240"/>
      <c r="AR763" s="240"/>
      <c r="AS763" s="240"/>
      <c r="AT763" s="240"/>
      <c r="AU763" s="240"/>
      <c r="AV763" s="240"/>
      <c r="AW763" s="240"/>
      <c r="AX763" s="240"/>
      <c r="AY763" s="240"/>
      <c r="AZ763" s="240"/>
      <c r="BA763" s="240"/>
      <c r="BB763" s="240"/>
      <c r="BC763" s="240"/>
      <c r="BD763" s="240"/>
      <c r="BE763" s="240"/>
      <c r="BF763" s="240"/>
      <c r="BG763" s="240"/>
      <c r="BH763" s="240"/>
      <c r="BI763" s="240"/>
      <c r="BJ763" s="240"/>
      <c r="BK763" s="240"/>
      <c r="BL763" s="240"/>
      <c r="BM763" s="240"/>
      <c r="BN763" s="240"/>
      <c r="BO763" s="240"/>
      <c r="BP763" s="240"/>
      <c r="BQ763" s="240"/>
      <c r="BR763" s="240"/>
      <c r="BS763" s="297"/>
      <c r="BT763" s="240"/>
      <c r="BU763" s="240"/>
      <c r="BV763" s="240"/>
      <c r="BW763" s="240"/>
      <c r="BX763" s="240"/>
      <c r="BY763" s="240"/>
      <c r="BZ763" s="240"/>
      <c r="CA763" s="240"/>
      <c r="CB763" s="240"/>
      <c r="CC763" s="240"/>
      <c r="CD763" s="240"/>
      <c r="CE763" s="240"/>
      <c r="CF763" s="240"/>
      <c r="CG763" s="240"/>
      <c r="CH763" s="240"/>
      <c r="CI763" s="240"/>
      <c r="CJ763" s="240"/>
      <c r="CK763" s="240"/>
      <c r="CL763" s="240"/>
      <c r="CM763" s="240"/>
      <c r="CN763" s="240"/>
      <c r="CO763" s="240"/>
      <c r="CP763" s="240"/>
      <c r="CQ763" s="240"/>
      <c r="CR763" s="240"/>
      <c r="CS763" s="240"/>
      <c r="CT763" s="240"/>
      <c r="CU763" s="240"/>
      <c r="CV763" s="240"/>
      <c r="CW763" s="240"/>
      <c r="CX763" s="240"/>
      <c r="CY763" s="240"/>
      <c r="CZ763" s="240"/>
      <c r="DA763" s="240"/>
      <c r="DB763" s="240"/>
      <c r="DC763" s="240"/>
      <c r="DD763" s="240"/>
      <c r="DE763" s="240"/>
      <c r="DF763" s="240"/>
      <c r="DG763" s="240"/>
      <c r="DH763" s="240"/>
      <c r="DI763" s="240"/>
      <c r="DJ763" s="240"/>
      <c r="DK763" s="240"/>
      <c r="DL763" s="240"/>
      <c r="DM763" s="240"/>
      <c r="DN763" s="240"/>
      <c r="DO763" s="240"/>
      <c r="DP763" s="240"/>
      <c r="DQ763" s="240"/>
      <c r="DR763" s="240"/>
      <c r="DS763" s="240"/>
      <c r="DT763" s="240"/>
      <c r="DU763" s="240"/>
      <c r="DV763" s="240"/>
      <c r="DW763" s="240"/>
      <c r="DX763" s="240"/>
      <c r="DY763" s="240"/>
      <c r="DZ763" s="240"/>
      <c r="EA763" s="240"/>
      <c r="EB763" s="240"/>
      <c r="EC763" s="240"/>
      <c r="ED763" s="240"/>
      <c r="EE763" s="240"/>
      <c r="EF763" s="240"/>
      <c r="EG763" s="240"/>
      <c r="EH763" s="240"/>
      <c r="EI763" s="240"/>
      <c r="EJ763" s="240"/>
      <c r="EK763" s="240"/>
      <c r="EL763" s="359"/>
      <c r="EM763" s="245"/>
      <c r="EN763" s="245"/>
      <c r="EO763" s="245"/>
      <c r="EP763" s="245"/>
      <c r="EQ763" s="254"/>
      <c r="ER763" s="240"/>
      <c r="ES763" s="240"/>
      <c r="ET763" s="241"/>
      <c r="EU763" s="241"/>
      <c r="EV763" s="241"/>
      <c r="EW763" s="241"/>
      <c r="EX763" s="241"/>
      <c r="EY763" s="241"/>
      <c r="EZ763" s="241"/>
      <c r="FA763" s="241"/>
      <c r="FB763" s="241"/>
      <c r="FC763" s="241"/>
      <c r="FD763" s="241"/>
      <c r="FE763" s="241"/>
      <c r="FF763" s="241"/>
      <c r="FG763" s="241"/>
      <c r="FH763" s="241"/>
      <c r="FI763" s="241"/>
      <c r="FJ763" s="241"/>
      <c r="FK763" s="241"/>
      <c r="FL763" s="241"/>
      <c r="FM763" s="241"/>
      <c r="FN763" s="241"/>
      <c r="FO763" s="241"/>
      <c r="FP763" s="241"/>
      <c r="FQ763" s="241"/>
      <c r="FR763" s="241"/>
      <c r="FS763" s="241"/>
      <c r="FT763" s="241"/>
      <c r="FU763" s="241"/>
      <c r="FV763" s="241"/>
      <c r="FW763" s="241"/>
      <c r="FX763" s="241"/>
      <c r="FY763" s="241"/>
      <c r="FZ763" s="241"/>
      <c r="GA763" s="241"/>
      <c r="GB763" s="241"/>
      <c r="GC763" s="241"/>
      <c r="GD763" s="241"/>
      <c r="GE763" s="241"/>
      <c r="GF763" s="241"/>
      <c r="GG763" s="193"/>
    </row>
    <row r="764" spans="2:189" s="243" customFormat="1" ht="11.45" hidden="1" customHeight="1">
      <c r="B764" s="244"/>
      <c r="C764" s="240"/>
      <c r="D764" s="240"/>
      <c r="E764" s="240" t="s">
        <v>685</v>
      </c>
      <c r="F764" s="240"/>
      <c r="G764" s="240" t="s">
        <v>686</v>
      </c>
      <c r="H764" s="240"/>
      <c r="I764" s="240" t="s">
        <v>735</v>
      </c>
      <c r="J764" s="240"/>
      <c r="K764" s="240"/>
      <c r="L764" s="297"/>
      <c r="M764" s="297"/>
      <c r="N764" s="297"/>
      <c r="O764" s="240"/>
      <c r="P764" s="240"/>
      <c r="Q764" s="240"/>
      <c r="R764" s="240" t="s">
        <v>736</v>
      </c>
      <c r="S764" s="240"/>
      <c r="T764" s="240"/>
      <c r="U764" s="240"/>
      <c r="V764" s="240"/>
      <c r="W764" s="240"/>
      <c r="X764" s="240"/>
      <c r="Y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0"/>
      <c r="AP764" s="240"/>
      <c r="AQ764" s="240"/>
      <c r="AR764" s="240"/>
      <c r="AS764" s="240"/>
      <c r="AT764" s="240"/>
      <c r="AU764" s="240"/>
      <c r="AV764" s="240"/>
      <c r="AW764" s="240"/>
      <c r="AX764" s="240"/>
      <c r="AY764" s="240"/>
      <c r="AZ764" s="240"/>
      <c r="BA764" s="240"/>
      <c r="BB764" s="240"/>
      <c r="BC764" s="240"/>
      <c r="BD764" s="240"/>
      <c r="BE764" s="240"/>
      <c r="BF764" s="240"/>
      <c r="BG764" s="240"/>
      <c r="BH764" s="240"/>
      <c r="BI764" s="240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97"/>
      <c r="BT764" s="240"/>
      <c r="BU764" s="240"/>
      <c r="BV764" s="240"/>
      <c r="BW764" s="240"/>
      <c r="BX764" s="240"/>
      <c r="BY764" s="240"/>
      <c r="BZ764" s="240"/>
      <c r="CA764" s="240"/>
      <c r="CB764" s="240"/>
      <c r="CC764" s="240"/>
      <c r="CD764" s="240"/>
      <c r="CE764" s="240"/>
      <c r="CF764" s="240"/>
      <c r="CG764" s="240"/>
      <c r="CH764" s="240"/>
      <c r="CI764" s="240"/>
      <c r="CJ764" s="240"/>
      <c r="CK764" s="240"/>
      <c r="CL764" s="240"/>
      <c r="CM764" s="240"/>
      <c r="CN764" s="240"/>
      <c r="CO764" s="240"/>
      <c r="CP764" s="240"/>
      <c r="CQ764" s="240"/>
      <c r="CR764" s="240"/>
      <c r="CS764" s="240"/>
      <c r="CT764" s="240"/>
      <c r="CU764" s="240"/>
      <c r="CV764" s="240"/>
      <c r="CW764" s="240"/>
      <c r="CX764" s="240"/>
      <c r="CY764" s="240"/>
      <c r="CZ764" s="240"/>
      <c r="DA764" s="240"/>
      <c r="DB764" s="240"/>
      <c r="DC764" s="240"/>
      <c r="DD764" s="240"/>
      <c r="DE764" s="240"/>
      <c r="DF764" s="240"/>
      <c r="DG764" s="240"/>
      <c r="DH764" s="240"/>
      <c r="DI764" s="240"/>
      <c r="DJ764" s="240"/>
      <c r="DK764" s="240"/>
      <c r="DL764" s="240"/>
      <c r="DM764" s="240"/>
      <c r="DN764" s="240"/>
      <c r="DO764" s="240"/>
      <c r="DP764" s="240"/>
      <c r="DQ764" s="240"/>
      <c r="DR764" s="240"/>
      <c r="DS764" s="240"/>
      <c r="DT764" s="240"/>
      <c r="DU764" s="240"/>
      <c r="DV764" s="240"/>
      <c r="DW764" s="240"/>
      <c r="DX764" s="240"/>
      <c r="DY764" s="240"/>
      <c r="DZ764" s="240"/>
      <c r="EA764" s="240"/>
      <c r="EB764" s="240"/>
      <c r="EC764" s="240"/>
      <c r="ED764" s="240"/>
      <c r="EE764" s="240"/>
      <c r="EF764" s="240"/>
      <c r="EG764" s="240"/>
      <c r="EH764" s="240"/>
      <c r="EI764" s="240"/>
      <c r="EJ764" s="240"/>
      <c r="EK764" s="240"/>
      <c r="EL764" s="359"/>
      <c r="EM764" s="245"/>
      <c r="EN764" s="245"/>
      <c r="EO764" s="245"/>
      <c r="EP764" s="245"/>
      <c r="EQ764" s="254"/>
      <c r="ER764" s="240"/>
      <c r="ES764" s="240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193"/>
    </row>
    <row r="765" spans="2:189" s="243" customFormat="1" ht="11.45" hidden="1" customHeight="1">
      <c r="B765" s="244"/>
      <c r="C765" s="240"/>
      <c r="D765" s="240"/>
      <c r="E765" s="240"/>
      <c r="F765" s="240"/>
      <c r="G765" s="240" t="s">
        <v>616</v>
      </c>
      <c r="H765" s="240"/>
      <c r="I765" s="240"/>
      <c r="J765" s="240"/>
      <c r="K765" s="240"/>
      <c r="L765" s="297" t="s">
        <v>132</v>
      </c>
      <c r="M765" s="297"/>
      <c r="N765" s="1775" t="e">
        <f>토목기계경비!$J$96</f>
        <v>#REF!</v>
      </c>
      <c r="O765" s="1775"/>
      <c r="P765" s="1775"/>
      <c r="Q765" s="1775"/>
      <c r="R765" s="1775"/>
      <c r="S765" s="240" t="s">
        <v>683</v>
      </c>
      <c r="T765" s="240"/>
      <c r="U765" s="240" t="str">
        <f>TEXT(AZ744,"#,##0.#######")</f>
        <v>37.5</v>
      </c>
      <c r="V765" s="240"/>
      <c r="W765" s="240"/>
      <c r="X765" s="240"/>
      <c r="Y765" s="240" t="s">
        <v>134</v>
      </c>
      <c r="Z765" s="240"/>
      <c r="AA765" s="240" t="e">
        <f>TEXT(TRUNC(N765/AZ744,1),"#,##0.#")</f>
        <v>#REF!</v>
      </c>
      <c r="AC765" s="240"/>
      <c r="AD765" s="240"/>
      <c r="AE765" s="240"/>
      <c r="AF765" s="240"/>
      <c r="AG765" s="240"/>
      <c r="AH765" s="240"/>
      <c r="AJ765" s="240"/>
      <c r="AL765" s="240"/>
      <c r="AM765" s="240"/>
      <c r="AN765" s="240"/>
      <c r="AO765" s="240"/>
      <c r="AP765" s="240"/>
      <c r="AQ765" s="240"/>
      <c r="AR765" s="240"/>
      <c r="AS765" s="240"/>
      <c r="AT765" s="240"/>
      <c r="AU765" s="240"/>
      <c r="AV765" s="240"/>
      <c r="AW765" s="240"/>
      <c r="AX765" s="240"/>
      <c r="AY765" s="240"/>
      <c r="AZ765" s="240"/>
      <c r="BA765" s="240"/>
      <c r="BB765" s="240"/>
      <c r="BC765" s="240"/>
      <c r="BD765" s="240"/>
      <c r="BE765" s="240"/>
      <c r="BF765" s="240"/>
      <c r="BG765" s="240"/>
      <c r="BH765" s="240"/>
      <c r="BI765" s="240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97"/>
      <c r="BT765" s="240"/>
      <c r="BU765" s="240"/>
      <c r="BV765" s="240"/>
      <c r="BW765" s="240"/>
      <c r="BX765" s="240"/>
      <c r="BY765" s="240"/>
      <c r="BZ765" s="240"/>
      <c r="CA765" s="240"/>
      <c r="CB765" s="240"/>
      <c r="CC765" s="240"/>
      <c r="CD765" s="240"/>
      <c r="CE765" s="240"/>
      <c r="CF765" s="240"/>
      <c r="CG765" s="240"/>
      <c r="CH765" s="240"/>
      <c r="CI765" s="240"/>
      <c r="CJ765" s="240"/>
      <c r="CK765" s="240"/>
      <c r="CL765" s="240"/>
      <c r="CM765" s="240"/>
      <c r="CN765" s="240"/>
      <c r="CO765" s="240"/>
      <c r="CP765" s="240"/>
      <c r="CQ765" s="240"/>
      <c r="CR765" s="240"/>
      <c r="CS765" s="240"/>
      <c r="CT765" s="240"/>
      <c r="CU765" s="240"/>
      <c r="CV765" s="240"/>
      <c r="CW765" s="240"/>
      <c r="CX765" s="240"/>
      <c r="CY765" s="240"/>
      <c r="CZ765" s="240"/>
      <c r="DA765" s="240"/>
      <c r="DB765" s="240"/>
      <c r="DC765" s="240"/>
      <c r="DD765" s="240"/>
      <c r="DE765" s="240"/>
      <c r="DF765" s="240"/>
      <c r="DG765" s="240"/>
      <c r="DH765" s="240"/>
      <c r="DI765" s="240"/>
      <c r="DJ765" s="240"/>
      <c r="DK765" s="240"/>
      <c r="DL765" s="240"/>
      <c r="DM765" s="240"/>
      <c r="DN765" s="240"/>
      <c r="DO765" s="240"/>
      <c r="DP765" s="240"/>
      <c r="DQ765" s="240"/>
      <c r="DR765" s="240"/>
      <c r="DS765" s="240"/>
      <c r="DT765" s="240"/>
      <c r="DU765" s="240"/>
      <c r="DV765" s="240"/>
      <c r="DW765" s="240"/>
      <c r="DX765" s="240"/>
      <c r="DY765" s="240"/>
      <c r="DZ765" s="240"/>
      <c r="EA765" s="240"/>
      <c r="EB765" s="240"/>
      <c r="EC765" s="240"/>
      <c r="ED765" s="240"/>
      <c r="EE765" s="240"/>
      <c r="EF765" s="240"/>
      <c r="EG765" s="240"/>
      <c r="EH765" s="240"/>
      <c r="EI765" s="240"/>
      <c r="EJ765" s="240"/>
      <c r="EK765" s="240"/>
      <c r="EL765" s="359"/>
      <c r="EM765" s="245"/>
      <c r="EN765" s="245"/>
      <c r="EO765" s="245"/>
      <c r="EP765" s="245"/>
      <c r="EQ765" s="254"/>
      <c r="ER765" s="240"/>
      <c r="ES765" s="240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193"/>
    </row>
    <row r="766" spans="2:189" s="243" customFormat="1" ht="11.45" hidden="1" customHeight="1">
      <c r="B766" s="244"/>
      <c r="C766" s="240"/>
      <c r="D766" s="240"/>
      <c r="E766" s="240"/>
      <c r="F766" s="240"/>
      <c r="G766" s="240" t="s">
        <v>617</v>
      </c>
      <c r="H766" s="240"/>
      <c r="I766" s="240"/>
      <c r="J766" s="240"/>
      <c r="K766" s="240"/>
      <c r="L766" s="297" t="s">
        <v>132</v>
      </c>
      <c r="M766" s="297"/>
      <c r="N766" s="1775" t="e">
        <f>토목기계경비!$K$96</f>
        <v>#REF!</v>
      </c>
      <c r="O766" s="1775"/>
      <c r="P766" s="1775"/>
      <c r="Q766" s="1775"/>
      <c r="R766" s="1775"/>
      <c r="S766" s="240" t="s">
        <v>683</v>
      </c>
      <c r="T766" s="240"/>
      <c r="U766" s="240" t="str">
        <f>TEXT(AZ744,"#,##0.#######")</f>
        <v>37.5</v>
      </c>
      <c r="V766" s="240"/>
      <c r="W766" s="240"/>
      <c r="X766" s="240"/>
      <c r="Y766" s="240" t="s">
        <v>134</v>
      </c>
      <c r="Z766" s="240"/>
      <c r="AA766" s="240" t="e">
        <f>TEXT(TRUNC(N766/AZ744,1),"#,##0.#")</f>
        <v>#REF!</v>
      </c>
      <c r="AC766" s="240"/>
      <c r="AD766" s="240"/>
      <c r="AE766" s="240"/>
      <c r="AF766" s="240"/>
      <c r="AG766" s="240"/>
      <c r="AH766" s="240"/>
      <c r="AJ766" s="240"/>
      <c r="AK766" s="240"/>
      <c r="AM766" s="240"/>
      <c r="AN766" s="240"/>
      <c r="AO766" s="240"/>
      <c r="AP766" s="240"/>
      <c r="AQ766" s="240"/>
      <c r="AR766" s="240"/>
      <c r="AS766" s="240"/>
      <c r="AT766" s="240"/>
      <c r="AU766" s="240"/>
      <c r="AV766" s="240"/>
      <c r="AW766" s="240"/>
      <c r="AX766" s="240"/>
      <c r="AY766" s="240"/>
      <c r="AZ766" s="240"/>
      <c r="BA766" s="240"/>
      <c r="BB766" s="240"/>
      <c r="BC766" s="240"/>
      <c r="BD766" s="240"/>
      <c r="BE766" s="240"/>
      <c r="BF766" s="240"/>
      <c r="BG766" s="240"/>
      <c r="BH766" s="240"/>
      <c r="BI766" s="240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97"/>
      <c r="BT766" s="240"/>
      <c r="BU766" s="240"/>
      <c r="BV766" s="240"/>
      <c r="BW766" s="240"/>
      <c r="BX766" s="240"/>
      <c r="BY766" s="240"/>
      <c r="BZ766" s="240"/>
      <c r="CA766" s="240"/>
      <c r="CB766" s="240"/>
      <c r="CC766" s="240"/>
      <c r="CD766" s="240"/>
      <c r="CE766" s="240"/>
      <c r="CF766" s="240"/>
      <c r="CG766" s="240"/>
      <c r="CH766" s="240"/>
      <c r="CI766" s="240"/>
      <c r="CJ766" s="240"/>
      <c r="CK766" s="240"/>
      <c r="CL766" s="240"/>
      <c r="CM766" s="240"/>
      <c r="CN766" s="240"/>
      <c r="CO766" s="240"/>
      <c r="CP766" s="240"/>
      <c r="CQ766" s="240"/>
      <c r="CR766" s="240"/>
      <c r="CS766" s="240"/>
      <c r="CT766" s="240"/>
      <c r="CU766" s="240"/>
      <c r="CV766" s="240"/>
      <c r="CW766" s="240"/>
      <c r="CX766" s="240"/>
      <c r="CY766" s="240"/>
      <c r="CZ766" s="240"/>
      <c r="DA766" s="240"/>
      <c r="DB766" s="240"/>
      <c r="DC766" s="240"/>
      <c r="DD766" s="240"/>
      <c r="DE766" s="240"/>
      <c r="DF766" s="240"/>
      <c r="DG766" s="240"/>
      <c r="DH766" s="240"/>
      <c r="DI766" s="240"/>
      <c r="DJ766" s="240"/>
      <c r="DK766" s="240"/>
      <c r="DL766" s="240"/>
      <c r="DM766" s="240"/>
      <c r="DN766" s="240"/>
      <c r="DO766" s="240"/>
      <c r="DP766" s="240"/>
      <c r="DQ766" s="240"/>
      <c r="DR766" s="240"/>
      <c r="DS766" s="240"/>
      <c r="DT766" s="240"/>
      <c r="DU766" s="240"/>
      <c r="DV766" s="240"/>
      <c r="DW766" s="240"/>
      <c r="DX766" s="240"/>
      <c r="DY766" s="240"/>
      <c r="DZ766" s="240"/>
      <c r="EA766" s="240"/>
      <c r="EB766" s="240"/>
      <c r="EC766" s="240"/>
      <c r="ED766" s="240"/>
      <c r="EE766" s="240"/>
      <c r="EF766" s="240"/>
      <c r="EG766" s="240"/>
      <c r="EH766" s="240"/>
      <c r="EI766" s="240"/>
      <c r="EJ766" s="240"/>
      <c r="EK766" s="240"/>
      <c r="EL766" s="359"/>
      <c r="EM766" s="245"/>
      <c r="EN766" s="245"/>
      <c r="EO766" s="245"/>
      <c r="EP766" s="245"/>
      <c r="EQ766" s="254"/>
      <c r="ER766" s="240"/>
      <c r="ES766" s="240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193"/>
    </row>
    <row r="767" spans="2:189" s="243" customFormat="1" ht="11.45" hidden="1" customHeight="1">
      <c r="B767" s="244"/>
      <c r="C767" s="240"/>
      <c r="D767" s="240"/>
      <c r="E767" s="240"/>
      <c r="F767" s="240"/>
      <c r="G767" s="240" t="s">
        <v>679</v>
      </c>
      <c r="H767" s="240"/>
      <c r="I767" s="240" t="s">
        <v>680</v>
      </c>
      <c r="J767" s="240"/>
      <c r="L767" s="297" t="s">
        <v>132</v>
      </c>
      <c r="M767" s="297"/>
      <c r="N767" s="1775">
        <f>토목기계경비!$L$96</f>
        <v>539</v>
      </c>
      <c r="O767" s="1775"/>
      <c r="P767" s="1775"/>
      <c r="Q767" s="1775"/>
      <c r="R767" s="1775"/>
      <c r="S767" s="240" t="s">
        <v>683</v>
      </c>
      <c r="T767" s="240"/>
      <c r="U767" s="240" t="str">
        <f>TEXT(AZ744,"#,##0.#######")</f>
        <v>37.5</v>
      </c>
      <c r="V767" s="240"/>
      <c r="W767" s="240"/>
      <c r="X767" s="240"/>
      <c r="Y767" s="240" t="s">
        <v>134</v>
      </c>
      <c r="Z767" s="240"/>
      <c r="AA767" s="240" t="str">
        <f>TEXT(TRUNC(N767/AZ744,1),"#,##0.#")</f>
        <v>14.3</v>
      </c>
      <c r="AC767" s="240"/>
      <c r="AD767" s="240"/>
      <c r="AE767" s="240"/>
      <c r="AF767" s="240"/>
      <c r="AG767" s="240"/>
      <c r="AH767" s="240"/>
      <c r="AJ767" s="240"/>
      <c r="AK767" s="240"/>
      <c r="AM767" s="240"/>
      <c r="AN767" s="240"/>
      <c r="AO767" s="240"/>
      <c r="AP767" s="240"/>
      <c r="AQ767" s="240"/>
      <c r="AR767" s="240"/>
      <c r="AS767" s="240"/>
      <c r="AT767" s="240"/>
      <c r="AU767" s="240"/>
      <c r="AV767" s="240"/>
      <c r="AW767" s="240"/>
      <c r="AX767" s="240"/>
      <c r="AY767" s="240"/>
      <c r="AZ767" s="240"/>
      <c r="BA767" s="240"/>
      <c r="BB767" s="240"/>
      <c r="BC767" s="240"/>
      <c r="BD767" s="240"/>
      <c r="BE767" s="240"/>
      <c r="BF767" s="240"/>
      <c r="BG767" s="240"/>
      <c r="BH767" s="240"/>
      <c r="BI767" s="240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97"/>
      <c r="BT767" s="240"/>
      <c r="BU767" s="240"/>
      <c r="BV767" s="240"/>
      <c r="BW767" s="240"/>
      <c r="BX767" s="240"/>
      <c r="BY767" s="240"/>
      <c r="BZ767" s="240"/>
      <c r="CA767" s="240"/>
      <c r="CB767" s="240"/>
      <c r="CC767" s="240"/>
      <c r="CD767" s="240"/>
      <c r="CE767" s="240"/>
      <c r="CF767" s="240"/>
      <c r="CG767" s="240"/>
      <c r="CH767" s="240"/>
      <c r="CI767" s="240"/>
      <c r="CJ767" s="240"/>
      <c r="CK767" s="240"/>
      <c r="CL767" s="240"/>
      <c r="CM767" s="240"/>
      <c r="CN767" s="240"/>
      <c r="CO767" s="240"/>
      <c r="CP767" s="240"/>
      <c r="CQ767" s="240"/>
      <c r="CR767" s="240"/>
      <c r="CS767" s="240"/>
      <c r="CT767" s="240"/>
      <c r="CU767" s="240"/>
      <c r="CV767" s="240"/>
      <c r="CW767" s="240"/>
      <c r="CX767" s="240"/>
      <c r="CY767" s="240"/>
      <c r="CZ767" s="240"/>
      <c r="DA767" s="240"/>
      <c r="DB767" s="240"/>
      <c r="DC767" s="240"/>
      <c r="DD767" s="240"/>
      <c r="DE767" s="240"/>
      <c r="DF767" s="240"/>
      <c r="DG767" s="240"/>
      <c r="DH767" s="240"/>
      <c r="DI767" s="240"/>
      <c r="DJ767" s="240"/>
      <c r="DK767" s="240"/>
      <c r="DL767" s="240"/>
      <c r="DM767" s="240"/>
      <c r="DN767" s="240"/>
      <c r="DO767" s="240"/>
      <c r="DP767" s="240"/>
      <c r="DQ767" s="240"/>
      <c r="DR767" s="240"/>
      <c r="DS767" s="240"/>
      <c r="DT767" s="240"/>
      <c r="DU767" s="240"/>
      <c r="DV767" s="240"/>
      <c r="DW767" s="240"/>
      <c r="DX767" s="240"/>
      <c r="DY767" s="240"/>
      <c r="DZ767" s="240"/>
      <c r="EA767" s="240"/>
      <c r="EB767" s="240"/>
      <c r="EC767" s="240"/>
      <c r="ED767" s="240"/>
      <c r="EE767" s="240"/>
      <c r="EF767" s="240"/>
      <c r="EG767" s="240"/>
      <c r="EH767" s="240"/>
      <c r="EI767" s="240"/>
      <c r="EJ767" s="240"/>
      <c r="EK767" s="240"/>
      <c r="EL767" s="359"/>
      <c r="EM767" s="245"/>
      <c r="EN767" s="245"/>
      <c r="EO767" s="245"/>
      <c r="EP767" s="245"/>
      <c r="EQ767" s="254"/>
      <c r="ER767" s="240"/>
      <c r="ES767" s="240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193"/>
    </row>
    <row r="768" spans="2:189" s="243" customFormat="1" ht="11.45" hidden="1" customHeight="1">
      <c r="B768" s="244"/>
      <c r="C768" s="240"/>
      <c r="D768" s="240"/>
      <c r="E768" s="240"/>
      <c r="F768" s="240"/>
      <c r="G768" s="240" t="s">
        <v>688</v>
      </c>
      <c r="H768" s="240"/>
      <c r="I768" s="240" t="s">
        <v>96</v>
      </c>
      <c r="J768" s="240"/>
      <c r="L768" s="297" t="s">
        <v>132</v>
      </c>
      <c r="M768" s="297"/>
      <c r="N768" s="297" t="e">
        <f>TEXT(AA765+AA766+AA767,"#,##0.#######")</f>
        <v>#REF!</v>
      </c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H768" s="240"/>
      <c r="AI768" s="240"/>
      <c r="AJ768" s="240"/>
      <c r="AK768" s="240"/>
      <c r="AL768" s="240"/>
      <c r="AM768" s="240"/>
      <c r="AN768" s="240"/>
      <c r="AO768" s="240"/>
      <c r="AP768" s="240"/>
      <c r="AQ768" s="240"/>
      <c r="AR768" s="240"/>
      <c r="AS768" s="240"/>
      <c r="AT768" s="240"/>
      <c r="AU768" s="240"/>
      <c r="AV768" s="240"/>
      <c r="AW768" s="240"/>
      <c r="AX768" s="240"/>
      <c r="AY768" s="240"/>
      <c r="AZ768" s="240"/>
      <c r="BA768" s="240"/>
      <c r="BB768" s="240"/>
      <c r="BC768" s="240"/>
      <c r="BD768" s="240"/>
      <c r="BE768" s="240"/>
      <c r="BF768" s="240"/>
      <c r="BG768" s="240"/>
      <c r="BH768" s="240"/>
      <c r="BI768" s="240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97"/>
      <c r="BT768" s="240"/>
      <c r="BU768" s="240"/>
      <c r="BV768" s="240"/>
      <c r="BW768" s="240"/>
      <c r="BX768" s="240"/>
      <c r="BY768" s="240"/>
      <c r="BZ768" s="240"/>
      <c r="CA768" s="240"/>
      <c r="CB768" s="240"/>
      <c r="CC768" s="240"/>
      <c r="CD768" s="240"/>
      <c r="CE768" s="240"/>
      <c r="CF768" s="240"/>
      <c r="CG768" s="240"/>
      <c r="CH768" s="240"/>
      <c r="CI768" s="240"/>
      <c r="CJ768" s="240"/>
      <c r="CK768" s="240"/>
      <c r="CL768" s="240"/>
      <c r="CM768" s="240"/>
      <c r="CN768" s="240"/>
      <c r="CO768" s="240"/>
      <c r="CP768" s="240"/>
      <c r="CQ768" s="240"/>
      <c r="CR768" s="240"/>
      <c r="CS768" s="240"/>
      <c r="CT768" s="240"/>
      <c r="CU768" s="240"/>
      <c r="CV768" s="240"/>
      <c r="CW768" s="240"/>
      <c r="CX768" s="240"/>
      <c r="CY768" s="240"/>
      <c r="CZ768" s="240"/>
      <c r="DA768" s="240"/>
      <c r="DB768" s="240"/>
      <c r="DC768" s="240"/>
      <c r="DD768" s="240"/>
      <c r="DE768" s="240"/>
      <c r="DF768" s="240"/>
      <c r="DG768" s="240"/>
      <c r="DH768" s="240"/>
      <c r="DI768" s="240"/>
      <c r="DJ768" s="240"/>
      <c r="DK768" s="240"/>
      <c r="DL768" s="240"/>
      <c r="DM768" s="240"/>
      <c r="DN768" s="240"/>
      <c r="DO768" s="240"/>
      <c r="DP768" s="240"/>
      <c r="DQ768" s="240"/>
      <c r="DR768" s="240"/>
      <c r="DS768" s="240"/>
      <c r="DT768" s="240"/>
      <c r="DU768" s="240"/>
      <c r="DV768" s="240"/>
      <c r="DW768" s="240"/>
      <c r="DX768" s="240"/>
      <c r="DY768" s="240"/>
      <c r="DZ768" s="240"/>
      <c r="EA768" s="240"/>
      <c r="EB768" s="240"/>
      <c r="EC768" s="240"/>
      <c r="ED768" s="240"/>
      <c r="EE768" s="240"/>
      <c r="EF768" s="240"/>
      <c r="EG768" s="240"/>
      <c r="EH768" s="240"/>
      <c r="EI768" s="240"/>
      <c r="EJ768" s="240"/>
      <c r="EK768" s="240"/>
      <c r="EL768" s="359"/>
      <c r="EM768" s="245" t="e">
        <f>EN768+EO768+EP768</f>
        <v>#REF!</v>
      </c>
      <c r="EN768" s="245" t="e">
        <f>TEXT(AA765,"#,###.0")</f>
        <v>#REF!</v>
      </c>
      <c r="EO768" s="245" t="e">
        <f>TEXT(AA766,"#,###.0")</f>
        <v>#REF!</v>
      </c>
      <c r="EP768" s="245" t="str">
        <f>TEXT(AA767,"#,###.0")</f>
        <v>14.3</v>
      </c>
      <c r="EQ768" s="254"/>
      <c r="ER768" s="240"/>
      <c r="ES768" s="240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193"/>
    </row>
    <row r="769" spans="2:189" s="243" customFormat="1" ht="11.45" hidden="1" customHeight="1">
      <c r="B769" s="244"/>
      <c r="C769" s="240"/>
      <c r="D769" s="240"/>
      <c r="E769" s="240"/>
      <c r="F769" s="240"/>
      <c r="G769" s="240"/>
      <c r="H769" s="240"/>
      <c r="I769" s="240"/>
      <c r="J769" s="240"/>
      <c r="K769" s="240"/>
      <c r="L769" s="297"/>
      <c r="M769" s="297"/>
      <c r="N769" s="297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0"/>
      <c r="AO769" s="240"/>
      <c r="AP769" s="240"/>
      <c r="AQ769" s="240"/>
      <c r="AR769" s="240"/>
      <c r="AS769" s="240"/>
      <c r="AT769" s="240"/>
      <c r="AU769" s="240"/>
      <c r="AV769" s="240"/>
      <c r="AW769" s="240"/>
      <c r="AX769" s="240"/>
      <c r="AY769" s="240"/>
      <c r="AZ769" s="240"/>
      <c r="BA769" s="240"/>
      <c r="BB769" s="240"/>
      <c r="BC769" s="240"/>
      <c r="BD769" s="240"/>
      <c r="BE769" s="240"/>
      <c r="BF769" s="240"/>
      <c r="BG769" s="240"/>
      <c r="BH769" s="240"/>
      <c r="BI769" s="240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97"/>
      <c r="BT769" s="240"/>
      <c r="BU769" s="240"/>
      <c r="BV769" s="240"/>
      <c r="BW769" s="240"/>
      <c r="BX769" s="240"/>
      <c r="BY769" s="240"/>
      <c r="BZ769" s="240"/>
      <c r="CA769" s="240"/>
      <c r="CB769" s="240"/>
      <c r="CC769" s="240"/>
      <c r="CD769" s="240"/>
      <c r="CE769" s="240"/>
      <c r="CF769" s="240"/>
      <c r="CG769" s="240"/>
      <c r="CH769" s="240"/>
      <c r="CI769" s="240"/>
      <c r="CJ769" s="240"/>
      <c r="CK769" s="240"/>
      <c r="CL769" s="240"/>
      <c r="CM769" s="240"/>
      <c r="CN769" s="240"/>
      <c r="CO769" s="240"/>
      <c r="CP769" s="240"/>
      <c r="CQ769" s="240"/>
      <c r="CR769" s="240"/>
      <c r="CS769" s="240"/>
      <c r="CT769" s="240"/>
      <c r="CU769" s="240"/>
      <c r="CV769" s="240"/>
      <c r="CW769" s="240"/>
      <c r="CX769" s="240"/>
      <c r="CY769" s="240"/>
      <c r="CZ769" s="240"/>
      <c r="DA769" s="240"/>
      <c r="DB769" s="240"/>
      <c r="DC769" s="240"/>
      <c r="DD769" s="240"/>
      <c r="DE769" s="240"/>
      <c r="DF769" s="240"/>
      <c r="DG769" s="240"/>
      <c r="DH769" s="240"/>
      <c r="DI769" s="240"/>
      <c r="DJ769" s="240"/>
      <c r="DK769" s="240"/>
      <c r="DL769" s="240"/>
      <c r="DM769" s="240"/>
      <c r="DN769" s="240"/>
      <c r="DO769" s="240"/>
      <c r="DP769" s="240"/>
      <c r="DQ769" s="240"/>
      <c r="DR769" s="240"/>
      <c r="DS769" s="240"/>
      <c r="DT769" s="240"/>
      <c r="DU769" s="240"/>
      <c r="DV769" s="240"/>
      <c r="DW769" s="240"/>
      <c r="DX769" s="240"/>
      <c r="DY769" s="240"/>
      <c r="DZ769" s="240"/>
      <c r="EA769" s="240"/>
      <c r="EB769" s="240"/>
      <c r="EC769" s="240"/>
      <c r="ED769" s="240"/>
      <c r="EE769" s="240"/>
      <c r="EF769" s="240"/>
      <c r="EG769" s="240"/>
      <c r="EH769" s="240"/>
      <c r="EI769" s="240"/>
      <c r="EJ769" s="240"/>
      <c r="EK769" s="240"/>
      <c r="EL769" s="359"/>
      <c r="EM769" s="245"/>
      <c r="EN769" s="245"/>
      <c r="EO769" s="245"/>
      <c r="EP769" s="245"/>
      <c r="EQ769" s="254"/>
      <c r="ER769" s="240"/>
      <c r="ES769" s="240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193"/>
    </row>
    <row r="770" spans="2:189" s="243" customFormat="1" ht="11.45" hidden="1" customHeight="1">
      <c r="B770" s="244"/>
      <c r="C770" s="240"/>
      <c r="D770" s="240"/>
      <c r="E770" s="240" t="s">
        <v>689</v>
      </c>
      <c r="F770" s="240"/>
      <c r="G770" s="240" t="s">
        <v>686</v>
      </c>
      <c r="H770" s="240"/>
      <c r="I770" s="240" t="s">
        <v>737</v>
      </c>
      <c r="J770" s="240"/>
      <c r="K770" s="240"/>
      <c r="L770" s="297"/>
      <c r="M770" s="297"/>
      <c r="N770" s="297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 t="s">
        <v>738</v>
      </c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J770" s="240"/>
      <c r="AK770" s="240"/>
      <c r="AL770" s="240"/>
      <c r="AM770" s="240"/>
      <c r="AN770" s="240"/>
      <c r="AO770" s="240"/>
      <c r="AP770" s="240"/>
      <c r="AQ770" s="240"/>
      <c r="AR770" s="240"/>
      <c r="AS770" s="240"/>
      <c r="AT770" s="240"/>
      <c r="AU770" s="240"/>
      <c r="AV770" s="240"/>
      <c r="AW770" s="240"/>
      <c r="AX770" s="240"/>
      <c r="AY770" s="240"/>
      <c r="AZ770" s="240"/>
      <c r="BA770" s="240"/>
      <c r="BB770" s="240"/>
      <c r="BC770" s="240"/>
      <c r="BD770" s="240"/>
      <c r="BE770" s="240"/>
      <c r="BF770" s="240"/>
      <c r="BG770" s="240"/>
      <c r="BH770" s="240"/>
      <c r="BI770" s="240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97"/>
      <c r="BT770" s="240"/>
      <c r="BU770" s="240"/>
      <c r="BV770" s="240"/>
      <c r="BW770" s="240"/>
      <c r="BX770" s="240"/>
      <c r="BY770" s="240"/>
      <c r="BZ770" s="240"/>
      <c r="CA770" s="240"/>
      <c r="CB770" s="240"/>
      <c r="CC770" s="240"/>
      <c r="CD770" s="240"/>
      <c r="CE770" s="240"/>
      <c r="CF770" s="240"/>
      <c r="CG770" s="240"/>
      <c r="CH770" s="240"/>
      <c r="CI770" s="240"/>
      <c r="CJ770" s="240"/>
      <c r="CK770" s="240"/>
      <c r="CL770" s="240"/>
      <c r="CM770" s="240"/>
      <c r="CN770" s="240"/>
      <c r="CO770" s="240"/>
      <c r="CP770" s="240"/>
      <c r="CQ770" s="240"/>
      <c r="CR770" s="240"/>
      <c r="CS770" s="240"/>
      <c r="CT770" s="240"/>
      <c r="CU770" s="240"/>
      <c r="CV770" s="240"/>
      <c r="CW770" s="240"/>
      <c r="CX770" s="240"/>
      <c r="CY770" s="240"/>
      <c r="CZ770" s="240"/>
      <c r="DA770" s="240"/>
      <c r="DB770" s="240"/>
      <c r="DC770" s="240"/>
      <c r="DD770" s="240"/>
      <c r="DE770" s="240"/>
      <c r="DF770" s="240"/>
      <c r="DG770" s="240"/>
      <c r="DH770" s="240"/>
      <c r="DI770" s="240"/>
      <c r="DJ770" s="240"/>
      <c r="DK770" s="240"/>
      <c r="DL770" s="240"/>
      <c r="DM770" s="240"/>
      <c r="DN770" s="240"/>
      <c r="DO770" s="240"/>
      <c r="DP770" s="240"/>
      <c r="DQ770" s="240"/>
      <c r="DR770" s="240"/>
      <c r="DS770" s="240"/>
      <c r="DT770" s="240"/>
      <c r="DU770" s="240"/>
      <c r="DV770" s="240"/>
      <c r="DW770" s="240"/>
      <c r="DX770" s="240"/>
      <c r="DY770" s="240"/>
      <c r="DZ770" s="240"/>
      <c r="EA770" s="240"/>
      <c r="EB770" s="240"/>
      <c r="EC770" s="240"/>
      <c r="ED770" s="240"/>
      <c r="EE770" s="240"/>
      <c r="EF770" s="240"/>
      <c r="EG770" s="240"/>
      <c r="EH770" s="240"/>
      <c r="EI770" s="240"/>
      <c r="EJ770" s="240"/>
      <c r="EK770" s="240"/>
      <c r="EL770" s="359"/>
      <c r="EM770" s="245"/>
      <c r="EN770" s="245"/>
      <c r="EO770" s="245"/>
      <c r="EP770" s="245"/>
      <c r="EQ770" s="254"/>
      <c r="ER770" s="240"/>
      <c r="ES770" s="240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193"/>
    </row>
    <row r="771" spans="2:189" s="243" customFormat="1" ht="11.45" hidden="1" customHeight="1">
      <c r="B771" s="244"/>
      <c r="C771" s="240"/>
      <c r="D771" s="240"/>
      <c r="E771" s="240"/>
      <c r="F771" s="240"/>
      <c r="G771" s="240" t="s">
        <v>616</v>
      </c>
      <c r="H771" s="240"/>
      <c r="I771" s="240"/>
      <c r="J771" s="240"/>
      <c r="K771" s="240"/>
      <c r="L771" s="297" t="s">
        <v>132</v>
      </c>
      <c r="M771" s="297"/>
      <c r="N771" s="1775" t="e">
        <f>토목기계경비!$J$130</f>
        <v>#REF!</v>
      </c>
      <c r="O771" s="1775"/>
      <c r="P771" s="1775"/>
      <c r="Q771" s="1775"/>
      <c r="R771" s="1775"/>
      <c r="S771" s="240" t="s">
        <v>683</v>
      </c>
      <c r="T771" s="240"/>
      <c r="U771" s="240" t="str">
        <f>TEXT(AZ744,"#,##0.#######")</f>
        <v>37.5</v>
      </c>
      <c r="V771" s="240"/>
      <c r="W771" s="240"/>
      <c r="X771" s="240" t="s">
        <v>134</v>
      </c>
      <c r="Z771" s="240" t="e">
        <f>TEXT(TRUNC(N771/AZ744,1),"#,##0.#")</f>
        <v>#REF!</v>
      </c>
      <c r="AA771" s="240"/>
      <c r="AC771" s="240"/>
      <c r="AD771" s="240"/>
      <c r="AE771" s="240"/>
      <c r="AF771" s="240"/>
      <c r="AG771" s="240"/>
      <c r="AH771" s="240"/>
      <c r="AJ771" s="240"/>
      <c r="AL771" s="240"/>
      <c r="AM771" s="240"/>
      <c r="AN771" s="240"/>
      <c r="AO771" s="240"/>
      <c r="AP771" s="240"/>
      <c r="AQ771" s="240"/>
      <c r="AR771" s="240"/>
      <c r="AS771" s="240"/>
      <c r="AT771" s="240"/>
      <c r="AU771" s="240"/>
      <c r="AV771" s="240"/>
      <c r="AW771" s="240"/>
      <c r="AX771" s="240"/>
      <c r="AY771" s="240"/>
      <c r="AZ771" s="240"/>
      <c r="BA771" s="240"/>
      <c r="BB771" s="240"/>
      <c r="BC771" s="240"/>
      <c r="BD771" s="240"/>
      <c r="BE771" s="240"/>
      <c r="BF771" s="240"/>
      <c r="BG771" s="240"/>
      <c r="BH771" s="240"/>
      <c r="BI771" s="240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97"/>
      <c r="BT771" s="240"/>
      <c r="BU771" s="240"/>
      <c r="BV771" s="240"/>
      <c r="BW771" s="240"/>
      <c r="BX771" s="240"/>
      <c r="BY771" s="240"/>
      <c r="BZ771" s="240"/>
      <c r="CA771" s="240"/>
      <c r="CB771" s="240"/>
      <c r="CC771" s="240"/>
      <c r="CD771" s="240"/>
      <c r="CE771" s="240"/>
      <c r="CF771" s="240"/>
      <c r="CG771" s="240"/>
      <c r="CH771" s="240"/>
      <c r="CI771" s="240"/>
      <c r="CJ771" s="240"/>
      <c r="CK771" s="240"/>
      <c r="CL771" s="240"/>
      <c r="CM771" s="240"/>
      <c r="CN771" s="240"/>
      <c r="CO771" s="240"/>
      <c r="CP771" s="240"/>
      <c r="CQ771" s="240"/>
      <c r="CR771" s="240"/>
      <c r="CS771" s="240"/>
      <c r="CT771" s="240"/>
      <c r="CU771" s="240"/>
      <c r="CV771" s="240"/>
      <c r="CW771" s="240"/>
      <c r="CX771" s="240"/>
      <c r="CY771" s="240"/>
      <c r="CZ771" s="240"/>
      <c r="DA771" s="240"/>
      <c r="DB771" s="240"/>
      <c r="DC771" s="240"/>
      <c r="DD771" s="240"/>
      <c r="DE771" s="240"/>
      <c r="DF771" s="240"/>
      <c r="DG771" s="240"/>
      <c r="DH771" s="240"/>
      <c r="DI771" s="240"/>
      <c r="DJ771" s="240"/>
      <c r="DK771" s="240"/>
      <c r="DL771" s="240"/>
      <c r="DM771" s="240"/>
      <c r="DN771" s="240"/>
      <c r="DO771" s="240"/>
      <c r="DP771" s="240"/>
      <c r="DQ771" s="240"/>
      <c r="DR771" s="240"/>
      <c r="DS771" s="240"/>
      <c r="DT771" s="240"/>
      <c r="DU771" s="240"/>
      <c r="DV771" s="240"/>
      <c r="DW771" s="240"/>
      <c r="DX771" s="240"/>
      <c r="DY771" s="240"/>
      <c r="DZ771" s="240"/>
      <c r="EA771" s="240"/>
      <c r="EB771" s="240"/>
      <c r="EC771" s="240"/>
      <c r="ED771" s="240"/>
      <c r="EE771" s="240"/>
      <c r="EF771" s="240"/>
      <c r="EG771" s="240"/>
      <c r="EH771" s="240"/>
      <c r="EI771" s="240"/>
      <c r="EJ771" s="240"/>
      <c r="EK771" s="240"/>
      <c r="EL771" s="359"/>
      <c r="EM771" s="245"/>
      <c r="EN771" s="245"/>
      <c r="EO771" s="245"/>
      <c r="EP771" s="245"/>
      <c r="EQ771" s="254"/>
      <c r="ER771" s="240"/>
      <c r="ES771" s="240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193"/>
    </row>
    <row r="772" spans="2:189" s="243" customFormat="1" ht="11.45" hidden="1" customHeight="1">
      <c r="B772" s="244"/>
      <c r="C772" s="240"/>
      <c r="D772" s="240"/>
      <c r="E772" s="240"/>
      <c r="F772" s="240"/>
      <c r="G772" s="240" t="s">
        <v>617</v>
      </c>
      <c r="H772" s="240"/>
      <c r="I772" s="240"/>
      <c r="J772" s="240"/>
      <c r="K772" s="240"/>
      <c r="L772" s="297" t="s">
        <v>132</v>
      </c>
      <c r="M772" s="297"/>
      <c r="N772" s="1775" t="e">
        <f>토목기계경비!$K$130</f>
        <v>#REF!</v>
      </c>
      <c r="O772" s="1775"/>
      <c r="P772" s="1775"/>
      <c r="Q772" s="1775"/>
      <c r="R772" s="1775"/>
      <c r="S772" s="240" t="s">
        <v>683</v>
      </c>
      <c r="T772" s="240"/>
      <c r="U772" s="240" t="str">
        <f>TEXT(AZ744,"#,##0.#######")</f>
        <v>37.5</v>
      </c>
      <c r="V772" s="240"/>
      <c r="W772" s="240"/>
      <c r="X772" s="240" t="s">
        <v>134</v>
      </c>
      <c r="Z772" s="240" t="e">
        <f>TEXT(TRUNC(N772/AZ744,1),"#,##0.#")</f>
        <v>#REF!</v>
      </c>
      <c r="AA772" s="240"/>
      <c r="AC772" s="240"/>
      <c r="AD772" s="240"/>
      <c r="AE772" s="240"/>
      <c r="AF772" s="240"/>
      <c r="AG772" s="240"/>
      <c r="AH772" s="240"/>
      <c r="AJ772" s="240"/>
      <c r="AL772" s="240"/>
      <c r="AM772" s="240"/>
      <c r="AN772" s="240"/>
      <c r="AO772" s="240"/>
      <c r="AP772" s="240"/>
      <c r="AQ772" s="240"/>
      <c r="AR772" s="240"/>
      <c r="AS772" s="240"/>
      <c r="AT772" s="240"/>
      <c r="AU772" s="240"/>
      <c r="AV772" s="240"/>
      <c r="AW772" s="240"/>
      <c r="AX772" s="240"/>
      <c r="AY772" s="240"/>
      <c r="AZ772" s="240"/>
      <c r="BA772" s="240"/>
      <c r="BB772" s="240"/>
      <c r="BC772" s="240"/>
      <c r="BD772" s="240"/>
      <c r="BE772" s="240"/>
      <c r="BF772" s="240"/>
      <c r="BG772" s="240"/>
      <c r="BH772" s="240"/>
      <c r="BI772" s="240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97"/>
      <c r="BT772" s="240"/>
      <c r="BU772" s="240"/>
      <c r="BV772" s="240"/>
      <c r="BW772" s="240"/>
      <c r="BX772" s="240"/>
      <c r="BY772" s="240"/>
      <c r="BZ772" s="240"/>
      <c r="CA772" s="240"/>
      <c r="CB772" s="240"/>
      <c r="CC772" s="240"/>
      <c r="CD772" s="240"/>
      <c r="CE772" s="240"/>
      <c r="CF772" s="240"/>
      <c r="CG772" s="240"/>
      <c r="CH772" s="240"/>
      <c r="CI772" s="240"/>
      <c r="CJ772" s="240"/>
      <c r="CK772" s="240"/>
      <c r="CL772" s="240"/>
      <c r="CM772" s="240"/>
      <c r="CN772" s="240"/>
      <c r="CO772" s="240"/>
      <c r="CP772" s="240"/>
      <c r="CQ772" s="240"/>
      <c r="CR772" s="240"/>
      <c r="CS772" s="240"/>
      <c r="CT772" s="240"/>
      <c r="CU772" s="240"/>
      <c r="CV772" s="240"/>
      <c r="CW772" s="240"/>
      <c r="CX772" s="240"/>
      <c r="CY772" s="240"/>
      <c r="CZ772" s="240"/>
      <c r="DA772" s="240"/>
      <c r="DB772" s="240"/>
      <c r="DC772" s="240"/>
      <c r="DD772" s="240"/>
      <c r="DE772" s="240"/>
      <c r="DF772" s="240"/>
      <c r="DG772" s="240"/>
      <c r="DH772" s="240"/>
      <c r="DI772" s="240"/>
      <c r="DJ772" s="240"/>
      <c r="DK772" s="240"/>
      <c r="DL772" s="240"/>
      <c r="DM772" s="240"/>
      <c r="DN772" s="240"/>
      <c r="DO772" s="240"/>
      <c r="DP772" s="240"/>
      <c r="DQ772" s="240"/>
      <c r="DR772" s="240"/>
      <c r="DS772" s="240"/>
      <c r="DT772" s="240"/>
      <c r="DU772" s="240"/>
      <c r="DV772" s="240"/>
      <c r="DW772" s="240"/>
      <c r="DX772" s="240"/>
      <c r="DY772" s="240"/>
      <c r="DZ772" s="240"/>
      <c r="EA772" s="240"/>
      <c r="EB772" s="240"/>
      <c r="EC772" s="240"/>
      <c r="ED772" s="240"/>
      <c r="EE772" s="240"/>
      <c r="EF772" s="240"/>
      <c r="EG772" s="240"/>
      <c r="EH772" s="240"/>
      <c r="EI772" s="240"/>
      <c r="EJ772" s="240"/>
      <c r="EK772" s="240"/>
      <c r="EL772" s="359"/>
      <c r="EM772" s="245"/>
      <c r="EN772" s="245"/>
      <c r="EO772" s="245"/>
      <c r="EP772" s="245"/>
      <c r="EQ772" s="254"/>
      <c r="ER772" s="240"/>
      <c r="ES772" s="240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193"/>
    </row>
    <row r="773" spans="2:189" s="243" customFormat="1" ht="11.45" hidden="1" customHeight="1">
      <c r="B773" s="244"/>
      <c r="C773" s="240"/>
      <c r="D773" s="240"/>
      <c r="E773" s="240"/>
      <c r="F773" s="240"/>
      <c r="G773" s="240" t="s">
        <v>679</v>
      </c>
      <c r="H773" s="240"/>
      <c r="I773" s="240" t="s">
        <v>680</v>
      </c>
      <c r="J773" s="240"/>
      <c r="L773" s="297" t="s">
        <v>132</v>
      </c>
      <c r="M773" s="297"/>
      <c r="N773" s="1775">
        <f>토목기계경비!$L$130</f>
        <v>1712</v>
      </c>
      <c r="O773" s="1775"/>
      <c r="P773" s="1775"/>
      <c r="Q773" s="1775"/>
      <c r="R773" s="1775"/>
      <c r="S773" s="240" t="s">
        <v>683</v>
      </c>
      <c r="T773" s="240"/>
      <c r="U773" s="240" t="str">
        <f>TEXT(AZ744,"#,##0.#######")</f>
        <v>37.5</v>
      </c>
      <c r="V773" s="240"/>
      <c r="W773" s="240"/>
      <c r="X773" s="240" t="s">
        <v>134</v>
      </c>
      <c r="Z773" s="240" t="str">
        <f>TEXT(TRUNC(N773/AZ744,1),"#,##0.#")</f>
        <v>45.6</v>
      </c>
      <c r="AA773" s="240"/>
      <c r="AC773" s="240"/>
      <c r="AD773" s="240"/>
      <c r="AE773" s="240"/>
      <c r="AF773" s="240"/>
      <c r="AG773" s="240"/>
      <c r="AH773" s="240"/>
      <c r="AJ773" s="240"/>
      <c r="AK773" s="240"/>
      <c r="AM773" s="240"/>
      <c r="AN773" s="240"/>
      <c r="AO773" s="240"/>
      <c r="AP773" s="240"/>
      <c r="AQ773" s="240"/>
      <c r="AR773" s="240"/>
      <c r="AS773" s="240"/>
      <c r="AT773" s="240"/>
      <c r="AU773" s="240"/>
      <c r="AV773" s="240"/>
      <c r="AW773" s="240"/>
      <c r="AX773" s="240"/>
      <c r="AY773" s="240"/>
      <c r="AZ773" s="240"/>
      <c r="BA773" s="240"/>
      <c r="BB773" s="240"/>
      <c r="BC773" s="240"/>
      <c r="BD773" s="240"/>
      <c r="BE773" s="240"/>
      <c r="BF773" s="240"/>
      <c r="BG773" s="240"/>
      <c r="BH773" s="240"/>
      <c r="BI773" s="240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97"/>
      <c r="BT773" s="240"/>
      <c r="BU773" s="240"/>
      <c r="BV773" s="240"/>
      <c r="BW773" s="240"/>
      <c r="BX773" s="240"/>
      <c r="BY773" s="240"/>
      <c r="BZ773" s="240"/>
      <c r="CA773" s="240"/>
      <c r="CB773" s="240"/>
      <c r="CC773" s="240"/>
      <c r="CD773" s="240"/>
      <c r="CE773" s="240"/>
      <c r="CF773" s="240"/>
      <c r="CG773" s="240"/>
      <c r="CH773" s="240"/>
      <c r="CI773" s="240"/>
      <c r="CJ773" s="240"/>
      <c r="CK773" s="240"/>
      <c r="CL773" s="240"/>
      <c r="CM773" s="240"/>
      <c r="CN773" s="240"/>
      <c r="CO773" s="240"/>
      <c r="CP773" s="240"/>
      <c r="CQ773" s="240"/>
      <c r="CR773" s="240"/>
      <c r="CS773" s="240"/>
      <c r="CT773" s="240"/>
      <c r="CU773" s="240"/>
      <c r="CV773" s="240"/>
      <c r="CW773" s="240"/>
      <c r="CX773" s="240"/>
      <c r="CY773" s="240"/>
      <c r="CZ773" s="240"/>
      <c r="DA773" s="240"/>
      <c r="DB773" s="240"/>
      <c r="DC773" s="240"/>
      <c r="DD773" s="240"/>
      <c r="DE773" s="240"/>
      <c r="DF773" s="240"/>
      <c r="DG773" s="240"/>
      <c r="DH773" s="240"/>
      <c r="DI773" s="240"/>
      <c r="DJ773" s="240"/>
      <c r="DK773" s="240"/>
      <c r="DL773" s="240"/>
      <c r="DM773" s="240"/>
      <c r="DN773" s="240"/>
      <c r="DO773" s="240"/>
      <c r="DP773" s="240"/>
      <c r="DQ773" s="240"/>
      <c r="DR773" s="240"/>
      <c r="DS773" s="240"/>
      <c r="DT773" s="240"/>
      <c r="DU773" s="240"/>
      <c r="DV773" s="240"/>
      <c r="DW773" s="240"/>
      <c r="DX773" s="240"/>
      <c r="DY773" s="240"/>
      <c r="DZ773" s="240"/>
      <c r="EA773" s="240"/>
      <c r="EB773" s="240"/>
      <c r="EC773" s="240"/>
      <c r="ED773" s="240"/>
      <c r="EE773" s="240"/>
      <c r="EF773" s="240"/>
      <c r="EG773" s="240"/>
      <c r="EH773" s="240"/>
      <c r="EI773" s="240"/>
      <c r="EJ773" s="240"/>
      <c r="EK773" s="240"/>
      <c r="EL773" s="359"/>
      <c r="EM773" s="245"/>
      <c r="EN773" s="245"/>
      <c r="EO773" s="245"/>
      <c r="EP773" s="245"/>
      <c r="EQ773" s="254"/>
      <c r="ER773" s="240"/>
      <c r="ES773" s="240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193"/>
    </row>
    <row r="774" spans="2:189" s="243" customFormat="1" ht="11.45" hidden="1" customHeight="1">
      <c r="B774" s="244"/>
      <c r="C774" s="240"/>
      <c r="D774" s="240"/>
      <c r="E774" s="240"/>
      <c r="F774" s="240"/>
      <c r="G774" s="240" t="s">
        <v>688</v>
      </c>
      <c r="H774" s="240"/>
      <c r="I774" s="240" t="s">
        <v>96</v>
      </c>
      <c r="J774" s="240"/>
      <c r="L774" s="297" t="s">
        <v>132</v>
      </c>
      <c r="M774" s="297"/>
      <c r="N774" s="297" t="e">
        <f>TEXT(Z771+Z772+Z773,"#,##0.#######")</f>
        <v>#REF!</v>
      </c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H774" s="240"/>
      <c r="AI774" s="240"/>
      <c r="AJ774" s="240"/>
      <c r="AK774" s="240"/>
      <c r="AL774" s="240"/>
      <c r="AM774" s="240"/>
      <c r="AN774" s="240"/>
      <c r="AO774" s="240"/>
      <c r="AP774" s="240"/>
      <c r="AQ774" s="240"/>
      <c r="AR774" s="240"/>
      <c r="AS774" s="240"/>
      <c r="AT774" s="240"/>
      <c r="AU774" s="240"/>
      <c r="AV774" s="240"/>
      <c r="AW774" s="240"/>
      <c r="AX774" s="240"/>
      <c r="AY774" s="240"/>
      <c r="AZ774" s="240"/>
      <c r="BA774" s="240"/>
      <c r="BB774" s="240"/>
      <c r="BC774" s="240"/>
      <c r="BD774" s="240"/>
      <c r="BE774" s="240"/>
      <c r="BF774" s="240"/>
      <c r="BG774" s="240"/>
      <c r="BH774" s="240"/>
      <c r="BI774" s="240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97"/>
      <c r="BT774" s="240"/>
      <c r="BU774" s="240"/>
      <c r="BV774" s="240"/>
      <c r="BW774" s="240"/>
      <c r="BX774" s="240"/>
      <c r="BY774" s="240"/>
      <c r="BZ774" s="240"/>
      <c r="CA774" s="240"/>
      <c r="CB774" s="240"/>
      <c r="CC774" s="240"/>
      <c r="CD774" s="240"/>
      <c r="CE774" s="240"/>
      <c r="CF774" s="240"/>
      <c r="CG774" s="240"/>
      <c r="CH774" s="240"/>
      <c r="CI774" s="240"/>
      <c r="CJ774" s="240"/>
      <c r="CK774" s="240"/>
      <c r="CL774" s="240"/>
      <c r="CM774" s="240"/>
      <c r="CN774" s="240"/>
      <c r="CO774" s="240"/>
      <c r="CP774" s="240"/>
      <c r="CQ774" s="240"/>
      <c r="CR774" s="240"/>
      <c r="CS774" s="240"/>
      <c r="CT774" s="240"/>
      <c r="CU774" s="240"/>
      <c r="CV774" s="240"/>
      <c r="CW774" s="240"/>
      <c r="CX774" s="240"/>
      <c r="CY774" s="240"/>
      <c r="CZ774" s="240"/>
      <c r="DA774" s="240"/>
      <c r="DB774" s="240"/>
      <c r="DC774" s="240"/>
      <c r="DD774" s="240"/>
      <c r="DE774" s="240"/>
      <c r="DF774" s="240"/>
      <c r="DG774" s="240"/>
      <c r="DH774" s="240"/>
      <c r="DI774" s="240"/>
      <c r="DJ774" s="240"/>
      <c r="DK774" s="240"/>
      <c r="DL774" s="240"/>
      <c r="DM774" s="240"/>
      <c r="DN774" s="240"/>
      <c r="DO774" s="240"/>
      <c r="DP774" s="240"/>
      <c r="DQ774" s="240"/>
      <c r="DR774" s="240"/>
      <c r="DS774" s="240"/>
      <c r="DT774" s="240"/>
      <c r="DU774" s="240"/>
      <c r="DV774" s="240"/>
      <c r="DW774" s="240"/>
      <c r="DX774" s="240"/>
      <c r="DY774" s="240"/>
      <c r="DZ774" s="240"/>
      <c r="EA774" s="240"/>
      <c r="EB774" s="240"/>
      <c r="EC774" s="240"/>
      <c r="ED774" s="240"/>
      <c r="EE774" s="240"/>
      <c r="EF774" s="240"/>
      <c r="EG774" s="240"/>
      <c r="EH774" s="240"/>
      <c r="EI774" s="240"/>
      <c r="EJ774" s="240"/>
      <c r="EK774" s="240"/>
      <c r="EL774" s="359"/>
      <c r="EM774" s="245" t="e">
        <f>EN774+EO774+EP774</f>
        <v>#REF!</v>
      </c>
      <c r="EN774" s="245" t="e">
        <f>TEXT(Z771,"#,###.0")</f>
        <v>#REF!</v>
      </c>
      <c r="EO774" s="245" t="e">
        <f>TEXT(Z772,"#,###.0")</f>
        <v>#REF!</v>
      </c>
      <c r="EP774" s="245" t="str">
        <f>TEXT(Z773,"#,###.0")</f>
        <v>45.6</v>
      </c>
      <c r="EQ774" s="254"/>
      <c r="ER774" s="240"/>
      <c r="ES774" s="240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193"/>
    </row>
    <row r="775" spans="2:189" s="243" customFormat="1" ht="11.45" hidden="1" customHeight="1">
      <c r="B775" s="244"/>
      <c r="C775" s="240"/>
      <c r="D775" s="240"/>
      <c r="E775" s="240"/>
      <c r="F775" s="240"/>
      <c r="G775" s="240"/>
      <c r="H775" s="240"/>
      <c r="I775" s="240"/>
      <c r="J775" s="240"/>
      <c r="K775" s="240"/>
      <c r="L775" s="297"/>
      <c r="M775" s="297"/>
      <c r="N775" s="297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0"/>
      <c r="AU775" s="240"/>
      <c r="AV775" s="240"/>
      <c r="AW775" s="240"/>
      <c r="AX775" s="240"/>
      <c r="AY775" s="240"/>
      <c r="AZ775" s="240"/>
      <c r="BA775" s="240"/>
      <c r="BB775" s="240"/>
      <c r="BC775" s="240"/>
      <c r="BD775" s="240"/>
      <c r="BE775" s="240"/>
      <c r="BF775" s="240"/>
      <c r="BG775" s="240"/>
      <c r="BH775" s="240"/>
      <c r="BI775" s="240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97"/>
      <c r="BT775" s="240"/>
      <c r="BU775" s="240"/>
      <c r="BV775" s="240"/>
      <c r="BW775" s="240"/>
      <c r="BX775" s="240"/>
      <c r="BY775" s="240"/>
      <c r="BZ775" s="240"/>
      <c r="CA775" s="240"/>
      <c r="CB775" s="240"/>
      <c r="CC775" s="240"/>
      <c r="CD775" s="240"/>
      <c r="CE775" s="240"/>
      <c r="CF775" s="240"/>
      <c r="CG775" s="240"/>
      <c r="CH775" s="240"/>
      <c r="CI775" s="240"/>
      <c r="CJ775" s="240"/>
      <c r="CK775" s="240"/>
      <c r="CL775" s="240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40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0"/>
      <c r="DT775" s="240"/>
      <c r="DU775" s="240"/>
      <c r="DV775" s="240"/>
      <c r="DW775" s="240"/>
      <c r="DX775" s="240"/>
      <c r="DY775" s="240"/>
      <c r="DZ775" s="240"/>
      <c r="EA775" s="240"/>
      <c r="EB775" s="240"/>
      <c r="EC775" s="240"/>
      <c r="ED775" s="240"/>
      <c r="EE775" s="240"/>
      <c r="EF775" s="240"/>
      <c r="EG775" s="240"/>
      <c r="EH775" s="240"/>
      <c r="EI775" s="240"/>
      <c r="EJ775" s="240"/>
      <c r="EK775" s="240"/>
      <c r="EL775" s="359"/>
      <c r="EM775" s="245"/>
      <c r="EN775" s="245"/>
      <c r="EO775" s="245"/>
      <c r="EP775" s="245"/>
      <c r="EQ775" s="254"/>
      <c r="ER775" s="240"/>
      <c r="ES775" s="240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193"/>
    </row>
    <row r="776" spans="2:189" s="243" customFormat="1" ht="11.45" hidden="1" customHeight="1">
      <c r="B776" s="244"/>
      <c r="C776" s="240"/>
      <c r="D776" s="240"/>
      <c r="E776" s="240" t="s">
        <v>690</v>
      </c>
      <c r="F776" s="240"/>
      <c r="G776" s="240" t="s">
        <v>686</v>
      </c>
      <c r="H776" s="240"/>
      <c r="I776" s="240" t="s">
        <v>688</v>
      </c>
      <c r="J776" s="240"/>
      <c r="K776" s="240"/>
      <c r="L776" s="297"/>
      <c r="M776" s="297" t="s">
        <v>96</v>
      </c>
      <c r="N776" s="297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0"/>
      <c r="AO776" s="240"/>
      <c r="AP776" s="240"/>
      <c r="AQ776" s="240"/>
      <c r="AR776" s="240"/>
      <c r="AS776" s="240"/>
      <c r="AT776" s="240"/>
      <c r="AU776" s="240"/>
      <c r="AV776" s="240"/>
      <c r="AW776" s="240"/>
      <c r="AX776" s="240"/>
      <c r="AY776" s="240"/>
      <c r="AZ776" s="240"/>
      <c r="BA776" s="240"/>
      <c r="BB776" s="240"/>
      <c r="BC776" s="240"/>
      <c r="BD776" s="240"/>
      <c r="BE776" s="240"/>
      <c r="BF776" s="240"/>
      <c r="BG776" s="240"/>
      <c r="BH776" s="240"/>
      <c r="BI776" s="240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97"/>
      <c r="BT776" s="240"/>
      <c r="BU776" s="240"/>
      <c r="BV776" s="240"/>
      <c r="BW776" s="240"/>
      <c r="BX776" s="240"/>
      <c r="BY776" s="240"/>
      <c r="BZ776" s="240"/>
      <c r="CA776" s="240"/>
      <c r="CB776" s="240"/>
      <c r="CC776" s="240"/>
      <c r="CD776" s="240"/>
      <c r="CE776" s="240"/>
      <c r="CF776" s="240"/>
      <c r="CG776" s="240"/>
      <c r="CH776" s="240"/>
      <c r="CI776" s="240"/>
      <c r="CJ776" s="240"/>
      <c r="CK776" s="240"/>
      <c r="CL776" s="240"/>
      <c r="CM776" s="240"/>
      <c r="CN776" s="240"/>
      <c r="CO776" s="240"/>
      <c r="CP776" s="240"/>
      <c r="CQ776" s="240"/>
      <c r="CR776" s="240"/>
      <c r="CS776" s="240"/>
      <c r="CT776" s="240"/>
      <c r="CU776" s="240"/>
      <c r="CV776" s="240"/>
      <c r="CW776" s="240"/>
      <c r="CX776" s="240"/>
      <c r="CY776" s="240"/>
      <c r="CZ776" s="240"/>
      <c r="DA776" s="240"/>
      <c r="DB776" s="240"/>
      <c r="DC776" s="240"/>
      <c r="DD776" s="240"/>
      <c r="DE776" s="240"/>
      <c r="DF776" s="240"/>
      <c r="DG776" s="240"/>
      <c r="DH776" s="240"/>
      <c r="DI776" s="240"/>
      <c r="DJ776" s="240"/>
      <c r="DK776" s="240"/>
      <c r="DL776" s="240"/>
      <c r="DM776" s="240"/>
      <c r="DN776" s="240"/>
      <c r="DO776" s="240"/>
      <c r="DP776" s="240"/>
      <c r="DQ776" s="240"/>
      <c r="DR776" s="240"/>
      <c r="DS776" s="240"/>
      <c r="DT776" s="240"/>
      <c r="DU776" s="240"/>
      <c r="DV776" s="240"/>
      <c r="DW776" s="240"/>
      <c r="DX776" s="240"/>
      <c r="DY776" s="240"/>
      <c r="DZ776" s="240"/>
      <c r="EA776" s="240"/>
      <c r="EB776" s="240"/>
      <c r="EC776" s="240"/>
      <c r="ED776" s="240"/>
      <c r="EE776" s="240"/>
      <c r="EF776" s="240"/>
      <c r="EG776" s="240"/>
      <c r="EH776" s="240"/>
      <c r="EI776" s="240"/>
      <c r="EJ776" s="240"/>
      <c r="EK776" s="240"/>
      <c r="EL776" s="359"/>
      <c r="EM776" s="245"/>
      <c r="EN776" s="245"/>
      <c r="EO776" s="245"/>
      <c r="EP776" s="245"/>
      <c r="EQ776" s="254"/>
      <c r="ER776" s="240"/>
      <c r="ES776" s="240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193"/>
    </row>
    <row r="777" spans="2:189" s="243" customFormat="1" ht="11.45" hidden="1" customHeight="1">
      <c r="B777" s="244"/>
      <c r="C777" s="240"/>
      <c r="D777" s="240"/>
      <c r="E777" s="240"/>
      <c r="F777" s="240"/>
      <c r="G777" s="240"/>
      <c r="H777" s="240" t="s">
        <v>616</v>
      </c>
      <c r="I777" s="240"/>
      <c r="J777" s="240"/>
      <c r="K777" s="240"/>
      <c r="L777" s="297"/>
      <c r="M777" s="297" t="s">
        <v>132</v>
      </c>
      <c r="N777" s="297"/>
      <c r="O777" s="240" t="e">
        <f>TEXT(EN768,"#,###.##")</f>
        <v>#REF!</v>
      </c>
      <c r="P777" s="240"/>
      <c r="R777" s="240"/>
      <c r="S777" s="240" t="s">
        <v>130</v>
      </c>
      <c r="T777" s="240"/>
      <c r="U777" s="240" t="e">
        <f>TEXT(EN774,"#,###.##")</f>
        <v>#REF!</v>
      </c>
      <c r="V777" s="240"/>
      <c r="X777" s="240"/>
      <c r="Y777" s="240" t="s">
        <v>134</v>
      </c>
      <c r="Z777" s="240"/>
      <c r="AA777" s="240" t="e">
        <f>TEXT(TRUNC(EN768+EN774,1),"#,##0.#")</f>
        <v>#REF!</v>
      </c>
      <c r="AB777" s="240"/>
      <c r="AC777" s="240"/>
      <c r="AD777" s="240"/>
      <c r="AF777" s="240"/>
      <c r="AG777" s="240"/>
      <c r="AI777" s="240"/>
      <c r="AJ777" s="240"/>
      <c r="AK777" s="240"/>
      <c r="AL777" s="240"/>
      <c r="AM777" s="240"/>
      <c r="AN777" s="240"/>
      <c r="AO777" s="240"/>
      <c r="AP777" s="240"/>
      <c r="AQ777" s="240"/>
      <c r="AR777" s="240"/>
      <c r="AS777" s="240"/>
      <c r="AT777" s="240"/>
      <c r="AU777" s="240"/>
      <c r="AV777" s="240"/>
      <c r="AW777" s="240"/>
      <c r="AX777" s="240"/>
      <c r="AY777" s="240"/>
      <c r="AZ777" s="240"/>
      <c r="BA777" s="240"/>
      <c r="BB777" s="240"/>
      <c r="BC777" s="240"/>
      <c r="BD777" s="240"/>
      <c r="BE777" s="240"/>
      <c r="BF777" s="240"/>
      <c r="BG777" s="240"/>
      <c r="BH777" s="240"/>
      <c r="BI777" s="240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97"/>
      <c r="BT777" s="240"/>
      <c r="BU777" s="240"/>
      <c r="BV777" s="240"/>
      <c r="BW777" s="240"/>
      <c r="BX777" s="240"/>
      <c r="BY777" s="240"/>
      <c r="BZ777" s="240"/>
      <c r="CA777" s="240"/>
      <c r="CB777" s="240"/>
      <c r="CC777" s="240"/>
      <c r="CD777" s="240"/>
      <c r="CE777" s="240"/>
      <c r="CF777" s="240"/>
      <c r="CG777" s="240"/>
      <c r="CH777" s="240"/>
      <c r="CI777" s="240"/>
      <c r="CJ777" s="240"/>
      <c r="CK777" s="240"/>
      <c r="CL777" s="240"/>
      <c r="CM777" s="240"/>
      <c r="CN777" s="240"/>
      <c r="CO777" s="240"/>
      <c r="CP777" s="240"/>
      <c r="CQ777" s="240"/>
      <c r="CR777" s="240"/>
      <c r="CS777" s="240"/>
      <c r="CT777" s="240"/>
      <c r="CU777" s="240"/>
      <c r="CV777" s="240"/>
      <c r="CW777" s="240"/>
      <c r="CX777" s="240"/>
      <c r="CY777" s="240"/>
      <c r="CZ777" s="240"/>
      <c r="DA777" s="240"/>
      <c r="DB777" s="240"/>
      <c r="DC777" s="240"/>
      <c r="DD777" s="240"/>
      <c r="DE777" s="240"/>
      <c r="DF777" s="240"/>
      <c r="DG777" s="240"/>
      <c r="DH777" s="240"/>
      <c r="DI777" s="240"/>
      <c r="DJ777" s="240"/>
      <c r="DK777" s="240"/>
      <c r="DL777" s="240"/>
      <c r="DM777" s="240"/>
      <c r="DN777" s="240"/>
      <c r="DO777" s="240"/>
      <c r="DP777" s="240"/>
      <c r="DQ777" s="240"/>
      <c r="DR777" s="240"/>
      <c r="DS777" s="240"/>
      <c r="DT777" s="240"/>
      <c r="DU777" s="240"/>
      <c r="DV777" s="240"/>
      <c r="DW777" s="240"/>
      <c r="DX777" s="240"/>
      <c r="DY777" s="240"/>
      <c r="DZ777" s="240"/>
      <c r="EA777" s="240"/>
      <c r="EB777" s="240"/>
      <c r="EC777" s="240"/>
      <c r="ED777" s="240"/>
      <c r="EE777" s="240"/>
      <c r="EF777" s="240"/>
      <c r="EG777" s="240"/>
      <c r="EH777" s="240"/>
      <c r="EI777" s="240"/>
      <c r="EJ777" s="240"/>
      <c r="EK777" s="240"/>
      <c r="EL777" s="359"/>
      <c r="EM777" s="245"/>
      <c r="EN777" s="245"/>
      <c r="EO777" s="245"/>
      <c r="EP777" s="245"/>
      <c r="EQ777" s="254"/>
      <c r="ER777" s="240"/>
      <c r="ES777" s="240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193"/>
    </row>
    <row r="778" spans="2:189" s="243" customFormat="1" ht="11.45" hidden="1" customHeight="1">
      <c r="B778" s="244"/>
      <c r="C778" s="240"/>
      <c r="D778" s="240"/>
      <c r="E778" s="240"/>
      <c r="F778" s="240"/>
      <c r="G778" s="240"/>
      <c r="H778" s="240" t="s">
        <v>617</v>
      </c>
      <c r="I778" s="240"/>
      <c r="J778" s="240"/>
      <c r="K778" s="240"/>
      <c r="L778" s="297"/>
      <c r="M778" s="297" t="s">
        <v>132</v>
      </c>
      <c r="N778" s="297"/>
      <c r="O778" s="240" t="e">
        <f>TEXT(EO768,"#,###.##")</f>
        <v>#REF!</v>
      </c>
      <c r="P778" s="240"/>
      <c r="R778" s="240"/>
      <c r="S778" s="240" t="s">
        <v>130</v>
      </c>
      <c r="U778" s="240" t="e">
        <f>TEXT(EO774,"#,###.##")</f>
        <v>#REF!</v>
      </c>
      <c r="W778" s="240"/>
      <c r="X778" s="240"/>
      <c r="Y778" s="240" t="s">
        <v>134</v>
      </c>
      <c r="Z778" s="240"/>
      <c r="AA778" s="240" t="e">
        <f>TEXT(TRUNC(EO768+EO774,1),"#,##0.#")</f>
        <v>#REF!</v>
      </c>
      <c r="AB778" s="240"/>
      <c r="AC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0"/>
      <c r="AO778" s="240"/>
      <c r="AP778" s="240"/>
      <c r="AQ778" s="240"/>
      <c r="AR778" s="240"/>
      <c r="AS778" s="240"/>
      <c r="AT778" s="240"/>
      <c r="AU778" s="240"/>
      <c r="AV778" s="240"/>
      <c r="AW778" s="240"/>
      <c r="AX778" s="240"/>
      <c r="AY778" s="240"/>
      <c r="AZ778" s="240"/>
      <c r="BA778" s="240"/>
      <c r="BB778" s="240"/>
      <c r="BC778" s="240"/>
      <c r="BD778" s="240"/>
      <c r="BE778" s="240"/>
      <c r="BF778" s="240"/>
      <c r="BG778" s="240"/>
      <c r="BH778" s="240"/>
      <c r="BI778" s="240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97"/>
      <c r="BT778" s="240"/>
      <c r="BU778" s="240"/>
      <c r="BV778" s="240"/>
      <c r="BW778" s="240"/>
      <c r="BX778" s="240"/>
      <c r="BY778" s="240"/>
      <c r="BZ778" s="240"/>
      <c r="CA778" s="240"/>
      <c r="CB778" s="240"/>
      <c r="CC778" s="240"/>
      <c r="CD778" s="240"/>
      <c r="CE778" s="240"/>
      <c r="CF778" s="240"/>
      <c r="CG778" s="240"/>
      <c r="CH778" s="240"/>
      <c r="CI778" s="240"/>
      <c r="CJ778" s="240"/>
      <c r="CK778" s="240"/>
      <c r="CL778" s="240"/>
      <c r="CM778" s="240"/>
      <c r="CN778" s="240"/>
      <c r="CO778" s="240"/>
      <c r="CP778" s="240"/>
      <c r="CQ778" s="240"/>
      <c r="CR778" s="240"/>
      <c r="CS778" s="240"/>
      <c r="CT778" s="240"/>
      <c r="CU778" s="240"/>
      <c r="CV778" s="240"/>
      <c r="CW778" s="240"/>
      <c r="CX778" s="240"/>
      <c r="CY778" s="240"/>
      <c r="CZ778" s="240"/>
      <c r="DA778" s="240"/>
      <c r="DB778" s="240"/>
      <c r="DC778" s="240"/>
      <c r="DD778" s="240"/>
      <c r="DE778" s="240"/>
      <c r="DF778" s="240"/>
      <c r="DG778" s="240"/>
      <c r="DH778" s="240"/>
      <c r="DI778" s="240"/>
      <c r="DJ778" s="240"/>
      <c r="DK778" s="240"/>
      <c r="DL778" s="240"/>
      <c r="DM778" s="240"/>
      <c r="DN778" s="240"/>
      <c r="DO778" s="240"/>
      <c r="DP778" s="240"/>
      <c r="DQ778" s="240"/>
      <c r="DR778" s="240"/>
      <c r="DS778" s="240"/>
      <c r="DT778" s="240"/>
      <c r="DU778" s="240"/>
      <c r="DV778" s="240"/>
      <c r="DW778" s="240"/>
      <c r="DX778" s="240"/>
      <c r="DY778" s="240"/>
      <c r="DZ778" s="240"/>
      <c r="EA778" s="240"/>
      <c r="EB778" s="240"/>
      <c r="EC778" s="240"/>
      <c r="ED778" s="240"/>
      <c r="EE778" s="240"/>
      <c r="EF778" s="240"/>
      <c r="EG778" s="240"/>
      <c r="EH778" s="240"/>
      <c r="EI778" s="240"/>
      <c r="EJ778" s="240"/>
      <c r="EK778" s="240"/>
      <c r="EL778" s="359"/>
      <c r="EM778" s="245"/>
      <c r="EN778" s="245"/>
      <c r="EO778" s="245"/>
      <c r="EP778" s="245"/>
      <c r="EQ778" s="254"/>
      <c r="ER778" s="240"/>
      <c r="ES778" s="240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193"/>
    </row>
    <row r="779" spans="2:189" s="243" customFormat="1" ht="11.45" hidden="1" customHeight="1">
      <c r="B779" s="244"/>
      <c r="C779" s="240"/>
      <c r="D779" s="240"/>
      <c r="E779" s="240"/>
      <c r="F779" s="240"/>
      <c r="G779" s="240"/>
      <c r="H779" s="240" t="s">
        <v>679</v>
      </c>
      <c r="I779" s="240"/>
      <c r="J779" s="297" t="s">
        <v>680</v>
      </c>
      <c r="K779" s="240"/>
      <c r="L779" s="297"/>
      <c r="M779" s="297" t="s">
        <v>132</v>
      </c>
      <c r="N779" s="297"/>
      <c r="O779" s="240" t="str">
        <f>TEXT(EP768,"#,###.##")</f>
        <v>14.3</v>
      </c>
      <c r="P779" s="240"/>
      <c r="R779" s="240"/>
      <c r="S779" s="240" t="s">
        <v>130</v>
      </c>
      <c r="T779" s="240"/>
      <c r="U779" s="240" t="str">
        <f>TEXT(EP774,"#,###.##")</f>
        <v>45.6</v>
      </c>
      <c r="W779" s="240"/>
      <c r="Y779" s="240" t="s">
        <v>134</v>
      </c>
      <c r="Z779" s="240"/>
      <c r="AA779" s="240" t="str">
        <f>TEXT(TRUNC(EP768+EP774,1),"#,##0.#")</f>
        <v>59.9</v>
      </c>
      <c r="AB779" s="240"/>
      <c r="AD779" s="240"/>
      <c r="AE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97"/>
      <c r="BT779" s="240"/>
      <c r="BU779" s="240"/>
      <c r="BV779" s="240"/>
      <c r="BW779" s="240"/>
      <c r="BX779" s="240"/>
      <c r="BY779" s="240"/>
      <c r="BZ779" s="240"/>
      <c r="CA779" s="240"/>
      <c r="CB779" s="240"/>
      <c r="CC779" s="240"/>
      <c r="CD779" s="240"/>
      <c r="CE779" s="240"/>
      <c r="CF779" s="240"/>
      <c r="CG779" s="240"/>
      <c r="CH779" s="240"/>
      <c r="CI779" s="240"/>
      <c r="CJ779" s="240"/>
      <c r="CK779" s="240"/>
      <c r="CL779" s="240"/>
      <c r="CM779" s="240"/>
      <c r="CN779" s="240"/>
      <c r="CO779" s="240"/>
      <c r="CP779" s="240"/>
      <c r="CQ779" s="240"/>
      <c r="CR779" s="240"/>
      <c r="CS779" s="240"/>
      <c r="CT779" s="240"/>
      <c r="CU779" s="240"/>
      <c r="CV779" s="240"/>
      <c r="CW779" s="240"/>
      <c r="CX779" s="240"/>
      <c r="CY779" s="240"/>
      <c r="CZ779" s="240"/>
      <c r="DA779" s="240"/>
      <c r="DB779" s="240"/>
      <c r="DC779" s="240"/>
      <c r="DD779" s="240"/>
      <c r="DE779" s="240"/>
      <c r="DF779" s="240"/>
      <c r="DG779" s="240"/>
      <c r="DH779" s="240"/>
      <c r="DI779" s="240"/>
      <c r="DJ779" s="240"/>
      <c r="DK779" s="240"/>
      <c r="DL779" s="240"/>
      <c r="DM779" s="240"/>
      <c r="DN779" s="240"/>
      <c r="DO779" s="240"/>
      <c r="DP779" s="240"/>
      <c r="DQ779" s="240"/>
      <c r="DR779" s="240"/>
      <c r="DS779" s="240"/>
      <c r="DT779" s="240"/>
      <c r="DU779" s="240"/>
      <c r="DV779" s="240"/>
      <c r="DW779" s="240"/>
      <c r="DX779" s="240"/>
      <c r="DY779" s="240"/>
      <c r="DZ779" s="240"/>
      <c r="EA779" s="240"/>
      <c r="EB779" s="240"/>
      <c r="EC779" s="240"/>
      <c r="ED779" s="240"/>
      <c r="EE779" s="240"/>
      <c r="EF779" s="240"/>
      <c r="EG779" s="240"/>
      <c r="EH779" s="240"/>
      <c r="EI779" s="240"/>
      <c r="EJ779" s="240"/>
      <c r="EK779" s="240"/>
      <c r="EL779" s="359"/>
      <c r="EM779" s="245"/>
      <c r="EN779" s="245"/>
      <c r="EO779" s="245"/>
      <c r="EP779" s="245"/>
      <c r="EQ779" s="254"/>
      <c r="ER779" s="240"/>
      <c r="ES779" s="240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193"/>
    </row>
    <row r="780" spans="2:189" s="243" customFormat="1" ht="11.45" hidden="1" customHeight="1">
      <c r="B780" s="244"/>
      <c r="C780" s="240"/>
      <c r="D780" s="240"/>
      <c r="E780" s="240"/>
      <c r="F780" s="240"/>
      <c r="G780" s="240"/>
      <c r="H780" s="240"/>
      <c r="I780" s="240"/>
      <c r="J780" s="240" t="s">
        <v>96</v>
      </c>
      <c r="K780" s="240"/>
      <c r="L780" s="297"/>
      <c r="M780" s="297" t="s">
        <v>132</v>
      </c>
      <c r="N780" s="297"/>
      <c r="O780" s="240" t="e">
        <f>TEXT(AA777+AA778+AA779,"#,##0.#######")</f>
        <v>#REF!</v>
      </c>
      <c r="P780" s="240"/>
      <c r="Q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0"/>
      <c r="AO780" s="240"/>
      <c r="AP780" s="240"/>
      <c r="AQ780" s="240"/>
      <c r="AR780" s="240"/>
      <c r="AS780" s="240"/>
      <c r="AT780" s="240"/>
      <c r="AU780" s="240"/>
      <c r="AV780" s="240"/>
      <c r="AW780" s="240"/>
      <c r="AX780" s="240"/>
      <c r="AY780" s="240"/>
      <c r="AZ780" s="240"/>
      <c r="BA780" s="240"/>
      <c r="BB780" s="240"/>
      <c r="BC780" s="240"/>
      <c r="BD780" s="240"/>
      <c r="BE780" s="240"/>
      <c r="BF780" s="240"/>
      <c r="BG780" s="240"/>
      <c r="BH780" s="240"/>
      <c r="BI780" s="240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97"/>
      <c r="BT780" s="240"/>
      <c r="BU780" s="240"/>
      <c r="BV780" s="240"/>
      <c r="BW780" s="240"/>
      <c r="BX780" s="240"/>
      <c r="BY780" s="240"/>
      <c r="BZ780" s="240"/>
      <c r="CA780" s="240"/>
      <c r="CB780" s="240"/>
      <c r="CC780" s="240"/>
      <c r="CD780" s="240"/>
      <c r="CE780" s="240"/>
      <c r="CF780" s="240"/>
      <c r="CG780" s="240"/>
      <c r="CH780" s="240"/>
      <c r="CI780" s="240"/>
      <c r="CJ780" s="240"/>
      <c r="CK780" s="240"/>
      <c r="CL780" s="240"/>
      <c r="CM780" s="240"/>
      <c r="CN780" s="240"/>
      <c r="CO780" s="240"/>
      <c r="CP780" s="240"/>
      <c r="CQ780" s="240"/>
      <c r="CR780" s="240"/>
      <c r="CS780" s="240"/>
      <c r="CT780" s="240"/>
      <c r="CU780" s="240"/>
      <c r="CV780" s="240"/>
      <c r="CW780" s="240"/>
      <c r="CX780" s="240"/>
      <c r="CY780" s="240"/>
      <c r="CZ780" s="240"/>
      <c r="DA780" s="240"/>
      <c r="DB780" s="240"/>
      <c r="DC780" s="240"/>
      <c r="DD780" s="240"/>
      <c r="DE780" s="240"/>
      <c r="DF780" s="240"/>
      <c r="DG780" s="240"/>
      <c r="DH780" s="240"/>
      <c r="DI780" s="240"/>
      <c r="DJ780" s="240"/>
      <c r="DK780" s="240"/>
      <c r="DL780" s="240"/>
      <c r="DM780" s="240"/>
      <c r="DN780" s="240"/>
      <c r="DO780" s="240"/>
      <c r="DP780" s="240"/>
      <c r="DQ780" s="240"/>
      <c r="DR780" s="240"/>
      <c r="DS780" s="240"/>
      <c r="DT780" s="240"/>
      <c r="DU780" s="240"/>
      <c r="DV780" s="240"/>
      <c r="DW780" s="240"/>
      <c r="DX780" s="240"/>
      <c r="DY780" s="240"/>
      <c r="DZ780" s="240"/>
      <c r="EA780" s="240"/>
      <c r="EB780" s="240"/>
      <c r="EC780" s="240"/>
      <c r="ED780" s="240"/>
      <c r="EE780" s="240"/>
      <c r="EF780" s="240"/>
      <c r="EG780" s="240"/>
      <c r="EH780" s="240"/>
      <c r="EI780" s="240"/>
      <c r="EJ780" s="240"/>
      <c r="EK780" s="240"/>
      <c r="EL780" s="359"/>
      <c r="EM780" s="245" t="e">
        <f>EN780+EO780+EP780</f>
        <v>#REF!</v>
      </c>
      <c r="EN780" s="245" t="e">
        <f>TEXT(AA777,"#,###.0")</f>
        <v>#REF!</v>
      </c>
      <c r="EO780" s="245" t="e">
        <f>TEXT(AA778,"#,###.0")</f>
        <v>#REF!</v>
      </c>
      <c r="EP780" s="245" t="str">
        <f>TEXT(AA779,"#,###.0")</f>
        <v>59.9</v>
      </c>
      <c r="EQ780" s="254"/>
      <c r="ER780" s="240"/>
      <c r="ES780" s="240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193"/>
    </row>
    <row r="781" spans="2:189" s="243" customFormat="1" ht="11.45" hidden="1" customHeight="1">
      <c r="B781" s="244"/>
      <c r="C781" s="240"/>
      <c r="D781" s="240"/>
      <c r="E781" s="240"/>
      <c r="F781" s="240"/>
      <c r="G781" s="240"/>
      <c r="H781" s="240"/>
      <c r="I781" s="240"/>
      <c r="J781" s="240"/>
      <c r="K781" s="240"/>
      <c r="L781" s="297"/>
      <c r="M781" s="297"/>
      <c r="N781" s="297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0"/>
      <c r="AO781" s="240"/>
      <c r="AP781" s="240"/>
      <c r="AQ781" s="240"/>
      <c r="AR781" s="240"/>
      <c r="AS781" s="240"/>
      <c r="AT781" s="240"/>
      <c r="AU781" s="240"/>
      <c r="AV781" s="240"/>
      <c r="AW781" s="240"/>
      <c r="AX781" s="240"/>
      <c r="AY781" s="240"/>
      <c r="AZ781" s="240"/>
      <c r="BA781" s="240"/>
      <c r="BB781" s="240"/>
      <c r="BC781" s="240"/>
      <c r="BD781" s="240"/>
      <c r="BE781" s="240"/>
      <c r="BF781" s="240"/>
      <c r="BG781" s="240"/>
      <c r="BH781" s="240"/>
      <c r="BI781" s="240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97"/>
      <c r="BT781" s="240"/>
      <c r="BU781" s="240"/>
      <c r="BV781" s="240"/>
      <c r="BW781" s="240"/>
      <c r="BX781" s="240"/>
      <c r="BY781" s="240"/>
      <c r="BZ781" s="240"/>
      <c r="CA781" s="240"/>
      <c r="CB781" s="240"/>
      <c r="CC781" s="240"/>
      <c r="CD781" s="240"/>
      <c r="CE781" s="240"/>
      <c r="CF781" s="240"/>
      <c r="CG781" s="240"/>
      <c r="CH781" s="240"/>
      <c r="CI781" s="240"/>
      <c r="CJ781" s="240"/>
      <c r="CK781" s="240"/>
      <c r="CL781" s="240"/>
      <c r="CM781" s="240"/>
      <c r="CN781" s="240"/>
      <c r="CO781" s="240"/>
      <c r="CP781" s="240"/>
      <c r="CQ781" s="240"/>
      <c r="CR781" s="240"/>
      <c r="CS781" s="240"/>
      <c r="CT781" s="240"/>
      <c r="CU781" s="240"/>
      <c r="CV781" s="240"/>
      <c r="CW781" s="240"/>
      <c r="CX781" s="240"/>
      <c r="CY781" s="240"/>
      <c r="CZ781" s="240"/>
      <c r="DA781" s="240"/>
      <c r="DB781" s="240"/>
      <c r="DC781" s="240"/>
      <c r="DD781" s="240"/>
      <c r="DE781" s="240"/>
      <c r="DF781" s="240"/>
      <c r="DG781" s="240"/>
      <c r="DH781" s="240"/>
      <c r="DI781" s="240"/>
      <c r="DJ781" s="240"/>
      <c r="DK781" s="240"/>
      <c r="DL781" s="240"/>
      <c r="DM781" s="240"/>
      <c r="DN781" s="240"/>
      <c r="DO781" s="240"/>
      <c r="DP781" s="240"/>
      <c r="DQ781" s="240"/>
      <c r="DR781" s="240"/>
      <c r="DS781" s="240"/>
      <c r="DT781" s="240"/>
      <c r="DU781" s="240"/>
      <c r="DV781" s="240"/>
      <c r="DW781" s="240"/>
      <c r="DX781" s="240"/>
      <c r="DY781" s="240"/>
      <c r="DZ781" s="240"/>
      <c r="EA781" s="240"/>
      <c r="EB781" s="240"/>
      <c r="EC781" s="240"/>
      <c r="ED781" s="240"/>
      <c r="EE781" s="240"/>
      <c r="EF781" s="240"/>
      <c r="EG781" s="240"/>
      <c r="EH781" s="240"/>
      <c r="EI781" s="240"/>
      <c r="EJ781" s="240"/>
      <c r="EK781" s="240"/>
      <c r="EL781" s="359"/>
      <c r="EM781" s="245"/>
      <c r="EN781" s="245"/>
      <c r="EO781" s="245"/>
      <c r="EP781" s="245"/>
      <c r="EQ781" s="254"/>
      <c r="ER781" s="240"/>
      <c r="ES781" s="240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193"/>
    </row>
    <row r="782" spans="2:189" s="243" customFormat="1" ht="11.45" hidden="1" customHeight="1">
      <c r="B782" s="244"/>
      <c r="C782" s="240"/>
      <c r="D782" s="240" t="s">
        <v>696</v>
      </c>
      <c r="E782" s="240"/>
      <c r="F782" s="240"/>
      <c r="G782" s="240" t="s">
        <v>678</v>
      </c>
      <c r="H782" s="240"/>
      <c r="I782" s="240"/>
      <c r="J782" s="240"/>
      <c r="K782" s="240" t="s">
        <v>96</v>
      </c>
      <c r="L782" s="297"/>
      <c r="M782" s="297"/>
      <c r="N782" s="297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0"/>
      <c r="AO782" s="240"/>
      <c r="AP782" s="240"/>
      <c r="AQ782" s="240"/>
      <c r="AR782" s="240"/>
      <c r="AS782" s="240"/>
      <c r="AT782" s="240"/>
      <c r="AU782" s="240"/>
      <c r="AV782" s="240"/>
      <c r="AW782" s="240"/>
      <c r="AX782" s="240"/>
      <c r="AY782" s="240"/>
      <c r="AZ782" s="240"/>
      <c r="BA782" s="240"/>
      <c r="BB782" s="240"/>
      <c r="BC782" s="240"/>
      <c r="BD782" s="240"/>
      <c r="BE782" s="240"/>
      <c r="BF782" s="240"/>
      <c r="BG782" s="240"/>
      <c r="BH782" s="240"/>
      <c r="BI782" s="240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97"/>
      <c r="BT782" s="240"/>
      <c r="BU782" s="240"/>
      <c r="BV782" s="240"/>
      <c r="BW782" s="240"/>
      <c r="BX782" s="240"/>
      <c r="BY782" s="240"/>
      <c r="BZ782" s="240"/>
      <c r="CA782" s="240"/>
      <c r="CB782" s="240"/>
      <c r="CC782" s="240"/>
      <c r="CD782" s="240"/>
      <c r="CE782" s="240"/>
      <c r="CF782" s="240"/>
      <c r="CG782" s="240"/>
      <c r="CH782" s="240"/>
      <c r="CI782" s="240"/>
      <c r="CJ782" s="240"/>
      <c r="CK782" s="240"/>
      <c r="CL782" s="240"/>
      <c r="CM782" s="240"/>
      <c r="CN782" s="240"/>
      <c r="CO782" s="240"/>
      <c r="CP782" s="240"/>
      <c r="CQ782" s="240"/>
      <c r="CR782" s="240"/>
      <c r="CS782" s="240"/>
      <c r="CT782" s="240"/>
      <c r="CU782" s="240"/>
      <c r="CV782" s="240"/>
      <c r="CW782" s="240"/>
      <c r="CX782" s="240"/>
      <c r="CY782" s="240"/>
      <c r="CZ782" s="240"/>
      <c r="DA782" s="240"/>
      <c r="DB782" s="240"/>
      <c r="DC782" s="240"/>
      <c r="DD782" s="240"/>
      <c r="DE782" s="240"/>
      <c r="DF782" s="240"/>
      <c r="DG782" s="240"/>
      <c r="DH782" s="240"/>
      <c r="DI782" s="240"/>
      <c r="DJ782" s="240"/>
      <c r="DK782" s="240"/>
      <c r="DL782" s="240"/>
      <c r="DM782" s="240"/>
      <c r="DN782" s="240"/>
      <c r="DO782" s="240"/>
      <c r="DP782" s="240"/>
      <c r="DQ782" s="240"/>
      <c r="DR782" s="240"/>
      <c r="DS782" s="240"/>
      <c r="DT782" s="240"/>
      <c r="DU782" s="240"/>
      <c r="DV782" s="240"/>
      <c r="DW782" s="240"/>
      <c r="DX782" s="240"/>
      <c r="DY782" s="240"/>
      <c r="DZ782" s="240"/>
      <c r="EA782" s="240"/>
      <c r="EB782" s="240"/>
      <c r="EC782" s="240"/>
      <c r="ED782" s="240"/>
      <c r="EE782" s="240"/>
      <c r="EF782" s="240"/>
      <c r="EG782" s="240"/>
      <c r="EH782" s="240"/>
      <c r="EI782" s="240"/>
      <c r="EJ782" s="240"/>
      <c r="EK782" s="240"/>
      <c r="EL782" s="359"/>
      <c r="EM782" s="245"/>
      <c r="EN782" s="245"/>
      <c r="EO782" s="245"/>
      <c r="EP782" s="245"/>
      <c r="EQ782" s="254"/>
      <c r="ER782" s="240"/>
      <c r="ES782" s="240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193"/>
    </row>
    <row r="783" spans="2:189" s="243" customFormat="1" ht="11.45" hidden="1" customHeight="1">
      <c r="B783" s="244"/>
      <c r="C783" s="240"/>
      <c r="D783" s="240"/>
      <c r="E783" s="240"/>
      <c r="F783" s="240"/>
      <c r="G783" s="240"/>
      <c r="H783" s="240" t="s">
        <v>616</v>
      </c>
      <c r="I783" s="240"/>
      <c r="J783" s="240"/>
      <c r="K783" s="240"/>
      <c r="L783" s="297"/>
      <c r="M783" s="297" t="s">
        <v>132</v>
      </c>
      <c r="N783" s="297"/>
      <c r="O783" s="240" t="str">
        <f>TEXT(EN749,"#,###.##")</f>
        <v>2,105.1</v>
      </c>
      <c r="P783" s="240"/>
      <c r="R783" s="240"/>
      <c r="S783" s="240"/>
      <c r="T783" s="240" t="s">
        <v>130</v>
      </c>
      <c r="U783" s="240"/>
      <c r="V783" s="240" t="e">
        <f>TEXT(EN755,"#,###.##")</f>
        <v>#REF!</v>
      </c>
      <c r="W783" s="240"/>
      <c r="X783" s="240"/>
      <c r="AA783" s="240" t="s">
        <v>130</v>
      </c>
      <c r="AB783" s="240"/>
      <c r="AC783" s="240" t="e">
        <f>TEXT(EN761,"#,###.##")</f>
        <v>#REF!</v>
      </c>
      <c r="AD783" s="240"/>
      <c r="AE783" s="240"/>
      <c r="AF783" s="240"/>
      <c r="AG783" s="240" t="s">
        <v>130</v>
      </c>
      <c r="AI783" s="240" t="e">
        <f>TEXT(EN780,"#,###.##")</f>
        <v>#REF!</v>
      </c>
      <c r="AJ783" s="240"/>
      <c r="AK783" s="240"/>
      <c r="AL783" s="240"/>
      <c r="AM783" s="240"/>
      <c r="AN783" s="240"/>
      <c r="AO783" s="240" t="s">
        <v>134</v>
      </c>
      <c r="AP783" s="240"/>
      <c r="AQ783" s="240" t="e">
        <f>TEXT(TRUNC(EN749+EN755+EN761+EN780,0),"#,##0")</f>
        <v>#REF!</v>
      </c>
      <c r="AR783" s="240"/>
      <c r="AS783" s="240"/>
      <c r="AT783" s="240"/>
      <c r="AU783" s="240"/>
      <c r="AV783" s="240"/>
      <c r="AW783" s="240"/>
      <c r="AX783" s="240"/>
      <c r="AZ783" s="240"/>
      <c r="BA783" s="240"/>
      <c r="BC783" s="240"/>
      <c r="BD783" s="240"/>
      <c r="BE783" s="240"/>
      <c r="BF783" s="240"/>
      <c r="BG783" s="240"/>
      <c r="BH783" s="240"/>
      <c r="BI783" s="240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97"/>
      <c r="BT783" s="240"/>
      <c r="BU783" s="240"/>
      <c r="BV783" s="240"/>
      <c r="BW783" s="240"/>
      <c r="BX783" s="240"/>
      <c r="BY783" s="240"/>
      <c r="BZ783" s="240"/>
      <c r="CA783" s="240"/>
      <c r="CB783" s="240"/>
      <c r="CC783" s="240"/>
      <c r="CD783" s="240"/>
      <c r="CE783" s="240"/>
      <c r="CF783" s="240"/>
      <c r="CG783" s="240"/>
      <c r="CH783" s="240"/>
      <c r="CI783" s="240"/>
      <c r="CJ783" s="240"/>
      <c r="CK783" s="240"/>
      <c r="CL783" s="240"/>
      <c r="CM783" s="240"/>
      <c r="CN783" s="240"/>
      <c r="CO783" s="240"/>
      <c r="CP783" s="240"/>
      <c r="CQ783" s="240"/>
      <c r="CR783" s="240"/>
      <c r="CS783" s="240"/>
      <c r="CT783" s="240"/>
      <c r="CU783" s="240"/>
      <c r="CV783" s="240"/>
      <c r="CW783" s="240"/>
      <c r="CX783" s="240"/>
      <c r="CY783" s="240"/>
      <c r="CZ783" s="240"/>
      <c r="DA783" s="240"/>
      <c r="DB783" s="240"/>
      <c r="DC783" s="240"/>
      <c r="DD783" s="240"/>
      <c r="DE783" s="240"/>
      <c r="DF783" s="240"/>
      <c r="DG783" s="240"/>
      <c r="DH783" s="240"/>
      <c r="DI783" s="240"/>
      <c r="DJ783" s="240"/>
      <c r="DK783" s="240"/>
      <c r="DL783" s="240"/>
      <c r="DM783" s="240"/>
      <c r="DN783" s="240"/>
      <c r="DO783" s="240"/>
      <c r="DP783" s="240"/>
      <c r="DQ783" s="240"/>
      <c r="DR783" s="240"/>
      <c r="DS783" s="240"/>
      <c r="DT783" s="240"/>
      <c r="DU783" s="240"/>
      <c r="DV783" s="240"/>
      <c r="DW783" s="240"/>
      <c r="DX783" s="240"/>
      <c r="DY783" s="240"/>
      <c r="DZ783" s="240"/>
      <c r="EA783" s="240"/>
      <c r="EB783" s="240"/>
      <c r="EC783" s="240"/>
      <c r="ED783" s="240"/>
      <c r="EE783" s="240"/>
      <c r="EF783" s="240"/>
      <c r="EG783" s="240"/>
      <c r="EH783" s="240"/>
      <c r="EI783" s="240"/>
      <c r="EJ783" s="240"/>
      <c r="EK783" s="240"/>
      <c r="EL783" s="359"/>
      <c r="EM783" s="245"/>
      <c r="EN783" s="245"/>
      <c r="EO783" s="245"/>
      <c r="EP783" s="245"/>
      <c r="EQ783" s="254"/>
      <c r="ER783" s="240"/>
      <c r="ES783" s="240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193"/>
    </row>
    <row r="784" spans="2:189" s="243" customFormat="1" ht="11.45" hidden="1" customHeight="1">
      <c r="B784" s="244"/>
      <c r="C784" s="240"/>
      <c r="D784" s="240"/>
      <c r="E784" s="240"/>
      <c r="F784" s="240"/>
      <c r="G784" s="240"/>
      <c r="H784" s="240" t="s">
        <v>617</v>
      </c>
      <c r="I784" s="240"/>
      <c r="J784" s="240"/>
      <c r="K784" s="240"/>
      <c r="L784" s="297"/>
      <c r="M784" s="297" t="s">
        <v>132</v>
      </c>
      <c r="N784" s="297"/>
      <c r="O784" s="240" t="e">
        <f>TEXT(EO755,"#,###.##")</f>
        <v>#REF!</v>
      </c>
      <c r="P784" s="240"/>
      <c r="R784" s="240"/>
      <c r="S784" s="240"/>
      <c r="T784" s="240" t="s">
        <v>130</v>
      </c>
      <c r="U784" s="240"/>
      <c r="V784" s="240" t="e">
        <f>TEXT(EO761,"#,###.##")</f>
        <v>#REF!</v>
      </c>
      <c r="Z784" s="240"/>
      <c r="AA784" s="240" t="s">
        <v>130</v>
      </c>
      <c r="AB784" s="240"/>
      <c r="AC784" s="240" t="e">
        <f>TEXT(EO780,"#,###.##")</f>
        <v>#REF!</v>
      </c>
      <c r="AD784" s="240"/>
      <c r="AG784" s="240" t="s">
        <v>134</v>
      </c>
      <c r="AH784" s="240"/>
      <c r="AI784" s="240" t="e">
        <f>TEXT(TRUNC(EO755+EO761+EO780,0),"#,##0")</f>
        <v>#REF!</v>
      </c>
      <c r="AJ784" s="240"/>
      <c r="AK784" s="240"/>
      <c r="AL784" s="240"/>
      <c r="AN784" s="240"/>
      <c r="AO784" s="240"/>
      <c r="AQ784" s="240"/>
      <c r="AR784" s="240"/>
      <c r="AS784" s="240"/>
      <c r="AT784" s="240"/>
      <c r="AU784" s="240"/>
      <c r="AV784" s="240"/>
      <c r="AW784" s="240"/>
      <c r="AX784" s="240"/>
      <c r="AY784" s="240"/>
      <c r="AZ784" s="240"/>
      <c r="BA784" s="240"/>
      <c r="BB784" s="240"/>
      <c r="BC784" s="240"/>
      <c r="BD784" s="240"/>
      <c r="BE784" s="240"/>
      <c r="BF784" s="240"/>
      <c r="BG784" s="240"/>
      <c r="BH784" s="240"/>
      <c r="BI784" s="240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97"/>
      <c r="BT784" s="240"/>
      <c r="BU784" s="240"/>
      <c r="BV784" s="240"/>
      <c r="BW784" s="240"/>
      <c r="BX784" s="240"/>
      <c r="BY784" s="240"/>
      <c r="BZ784" s="240"/>
      <c r="CA784" s="240"/>
      <c r="CB784" s="240"/>
      <c r="CC784" s="240"/>
      <c r="CD784" s="240"/>
      <c r="CE784" s="240"/>
      <c r="CF784" s="240"/>
      <c r="CG784" s="240"/>
      <c r="CH784" s="240"/>
      <c r="CI784" s="240"/>
      <c r="CJ784" s="240"/>
      <c r="CK784" s="240"/>
      <c r="CL784" s="240"/>
      <c r="CM784" s="240"/>
      <c r="CN784" s="240"/>
      <c r="CO784" s="240"/>
      <c r="CP784" s="240"/>
      <c r="CQ784" s="240"/>
      <c r="CR784" s="240"/>
      <c r="CS784" s="240"/>
      <c r="CT784" s="240"/>
      <c r="CU784" s="240"/>
      <c r="CV784" s="240"/>
      <c r="CW784" s="240"/>
      <c r="CX784" s="240"/>
      <c r="CY784" s="240"/>
      <c r="CZ784" s="240"/>
      <c r="DA784" s="240"/>
      <c r="DB784" s="240"/>
      <c r="DC784" s="240"/>
      <c r="DD784" s="240"/>
      <c r="DE784" s="240"/>
      <c r="DF784" s="240"/>
      <c r="DG784" s="240"/>
      <c r="DH784" s="240"/>
      <c r="DI784" s="240"/>
      <c r="DJ784" s="240"/>
      <c r="DK784" s="240"/>
      <c r="DL784" s="240"/>
      <c r="DM784" s="240"/>
      <c r="DN784" s="240"/>
      <c r="DO784" s="240"/>
      <c r="DP784" s="240"/>
      <c r="DQ784" s="240"/>
      <c r="DR784" s="240"/>
      <c r="DS784" s="240"/>
      <c r="DT784" s="240"/>
      <c r="DU784" s="240"/>
      <c r="DV784" s="240"/>
      <c r="DW784" s="240"/>
      <c r="DX784" s="240"/>
      <c r="DY784" s="240"/>
      <c r="DZ784" s="240"/>
      <c r="EA784" s="240"/>
      <c r="EB784" s="240"/>
      <c r="EC784" s="240"/>
      <c r="ED784" s="240"/>
      <c r="EE784" s="240"/>
      <c r="EF784" s="240"/>
      <c r="EG784" s="240"/>
      <c r="EH784" s="240"/>
      <c r="EI784" s="240"/>
      <c r="EJ784" s="240"/>
      <c r="EK784" s="240"/>
      <c r="EL784" s="359"/>
      <c r="EM784" s="245"/>
      <c r="EN784" s="245"/>
      <c r="EO784" s="245"/>
      <c r="EP784" s="245"/>
      <c r="EQ784" s="254"/>
      <c r="ER784" s="240"/>
      <c r="ES784" s="240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193"/>
    </row>
    <row r="785" spans="1:189" s="243" customFormat="1" ht="11.45" hidden="1" customHeight="1">
      <c r="B785" s="244"/>
      <c r="C785" s="240"/>
      <c r="D785" s="240"/>
      <c r="E785" s="240"/>
      <c r="F785" s="240"/>
      <c r="G785" s="240"/>
      <c r="H785" s="240" t="s">
        <v>679</v>
      </c>
      <c r="I785" s="240"/>
      <c r="J785" s="297" t="s">
        <v>680</v>
      </c>
      <c r="K785" s="240"/>
      <c r="L785" s="307"/>
      <c r="M785" s="297" t="s">
        <v>132</v>
      </c>
      <c r="N785" s="297"/>
      <c r="O785" s="240" t="str">
        <f>TEXT(EP755,"#,###.##")</f>
        <v>175.</v>
      </c>
      <c r="P785" s="240"/>
      <c r="R785" s="240"/>
      <c r="S785" s="240"/>
      <c r="T785" s="240" t="s">
        <v>130</v>
      </c>
      <c r="U785" s="240"/>
      <c r="V785" s="240" t="str">
        <f>TEXT(EP761,"#,###.##")</f>
        <v>118.7</v>
      </c>
      <c r="Z785" s="240"/>
      <c r="AA785" s="240" t="s">
        <v>130</v>
      </c>
      <c r="AB785" s="240"/>
      <c r="AC785" s="240" t="str">
        <f>TEXT(EP780,"#,###.##")</f>
        <v>59.9</v>
      </c>
      <c r="AD785" s="240"/>
      <c r="AG785" s="240" t="s">
        <v>134</v>
      </c>
      <c r="AH785" s="240"/>
      <c r="AI785" s="240" t="str">
        <f>TEXT(TRUNC(EP755+EP761+EP780,0),"#,##0")</f>
        <v>353</v>
      </c>
      <c r="AJ785" s="240"/>
      <c r="AK785" s="240"/>
      <c r="AM785" s="240"/>
      <c r="AN785" s="240"/>
      <c r="AP785" s="240"/>
      <c r="AQ785" s="240"/>
      <c r="AR785" s="240"/>
      <c r="AS785" s="240"/>
      <c r="AT785" s="240"/>
      <c r="AU785" s="240"/>
      <c r="AV785" s="240"/>
      <c r="AW785" s="240"/>
      <c r="AX785" s="240"/>
      <c r="AY785" s="240"/>
      <c r="AZ785" s="240"/>
      <c r="BA785" s="240"/>
      <c r="BB785" s="240"/>
      <c r="BC785" s="240"/>
      <c r="BD785" s="240"/>
      <c r="BE785" s="240"/>
      <c r="BF785" s="240"/>
      <c r="BG785" s="240"/>
      <c r="BH785" s="240"/>
      <c r="BI785" s="240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97"/>
      <c r="BT785" s="240"/>
      <c r="BU785" s="240"/>
      <c r="BV785" s="240"/>
      <c r="BW785" s="240"/>
      <c r="BX785" s="240"/>
      <c r="BY785" s="240"/>
      <c r="BZ785" s="240"/>
      <c r="CA785" s="240"/>
      <c r="CB785" s="240"/>
      <c r="CC785" s="240"/>
      <c r="CD785" s="240"/>
      <c r="CE785" s="240"/>
      <c r="CF785" s="240"/>
      <c r="CG785" s="240"/>
      <c r="CH785" s="240"/>
      <c r="CI785" s="240"/>
      <c r="CJ785" s="240"/>
      <c r="CK785" s="240"/>
      <c r="CL785" s="240"/>
      <c r="CM785" s="240"/>
      <c r="CN785" s="240"/>
      <c r="CO785" s="240"/>
      <c r="CP785" s="240"/>
      <c r="CQ785" s="240"/>
      <c r="CR785" s="240"/>
      <c r="CS785" s="240"/>
      <c r="CT785" s="240"/>
      <c r="CU785" s="240"/>
      <c r="CV785" s="240"/>
      <c r="CW785" s="240"/>
      <c r="CX785" s="240"/>
      <c r="CY785" s="240"/>
      <c r="CZ785" s="240"/>
      <c r="DA785" s="240"/>
      <c r="DB785" s="240"/>
      <c r="DC785" s="240"/>
      <c r="DD785" s="240"/>
      <c r="DE785" s="240"/>
      <c r="DF785" s="240"/>
      <c r="DG785" s="240"/>
      <c r="DH785" s="240"/>
      <c r="DI785" s="240"/>
      <c r="DJ785" s="240"/>
      <c r="DK785" s="240"/>
      <c r="DL785" s="240"/>
      <c r="DM785" s="240"/>
      <c r="DN785" s="240"/>
      <c r="DO785" s="240"/>
      <c r="DP785" s="240"/>
      <c r="DQ785" s="240"/>
      <c r="DR785" s="240"/>
      <c r="DS785" s="240"/>
      <c r="DT785" s="240"/>
      <c r="DU785" s="240"/>
      <c r="DV785" s="240"/>
      <c r="DW785" s="240"/>
      <c r="DX785" s="240"/>
      <c r="DY785" s="240"/>
      <c r="DZ785" s="240"/>
      <c r="EA785" s="240"/>
      <c r="EB785" s="240"/>
      <c r="EC785" s="240"/>
      <c r="ED785" s="240"/>
      <c r="EE785" s="240"/>
      <c r="EF785" s="240"/>
      <c r="EG785" s="240"/>
      <c r="EH785" s="240"/>
      <c r="EI785" s="240"/>
      <c r="EJ785" s="240"/>
      <c r="EK785" s="240"/>
      <c r="EL785" s="359"/>
      <c r="EM785" s="245"/>
      <c r="EN785" s="245"/>
      <c r="EO785" s="245"/>
      <c r="EP785" s="245"/>
      <c r="EQ785" s="254"/>
      <c r="ER785" s="240"/>
      <c r="ES785" s="240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193"/>
    </row>
    <row r="786" spans="1:189" s="243" customFormat="1" ht="11.45" hidden="1" customHeight="1">
      <c r="B786" s="244"/>
      <c r="C786" s="240"/>
      <c r="D786" s="240"/>
      <c r="E786" s="240"/>
      <c r="F786" s="240"/>
      <c r="G786" s="240"/>
      <c r="H786" s="240"/>
      <c r="I786" s="240"/>
      <c r="J786" s="240" t="s">
        <v>96</v>
      </c>
      <c r="K786" s="240"/>
      <c r="L786" s="297"/>
      <c r="M786" s="297" t="s">
        <v>132</v>
      </c>
      <c r="N786" s="297"/>
      <c r="O786" s="240" t="e">
        <f>TEXT(AQ783+AI784+AI785,"#,##0")</f>
        <v>#REF!</v>
      </c>
      <c r="P786" s="240"/>
      <c r="Q786" s="240"/>
      <c r="S786" s="240"/>
      <c r="T786" s="240"/>
      <c r="U786" s="240"/>
      <c r="V786" s="240"/>
      <c r="W786" s="240"/>
      <c r="X786" s="240"/>
      <c r="Y786" s="240"/>
      <c r="Z786" s="240"/>
      <c r="AA786" s="240"/>
      <c r="AB786" s="240"/>
      <c r="AC786" s="240"/>
      <c r="AD786" s="240"/>
      <c r="AE786" s="240"/>
      <c r="AF786" s="240"/>
      <c r="AG786" s="240"/>
      <c r="AH786" s="240"/>
      <c r="AI786" s="240"/>
      <c r="AJ786" s="240"/>
      <c r="AK786" s="240"/>
      <c r="AL786" s="240"/>
      <c r="AM786" s="240"/>
      <c r="AN786" s="240"/>
      <c r="AO786" s="240"/>
      <c r="AP786" s="240"/>
      <c r="AQ786" s="240"/>
      <c r="AR786" s="240"/>
      <c r="AS786" s="240"/>
      <c r="AT786" s="240"/>
      <c r="AU786" s="240"/>
      <c r="AV786" s="240"/>
      <c r="AW786" s="240"/>
      <c r="AX786" s="240"/>
      <c r="AY786" s="240"/>
      <c r="AZ786" s="240"/>
      <c r="BA786" s="240"/>
      <c r="BB786" s="240"/>
      <c r="BC786" s="240"/>
      <c r="BD786" s="240"/>
      <c r="BE786" s="240"/>
      <c r="BF786" s="240"/>
      <c r="BG786" s="240"/>
      <c r="BH786" s="240"/>
      <c r="BI786" s="240"/>
      <c r="BJ786" s="240"/>
      <c r="BK786" s="240"/>
      <c r="BL786" s="240"/>
      <c r="BM786" s="240"/>
      <c r="BN786" s="240"/>
      <c r="BO786" s="240"/>
      <c r="BP786" s="240"/>
      <c r="BQ786" s="240"/>
      <c r="BR786" s="240"/>
      <c r="BS786" s="297"/>
      <c r="BT786" s="240"/>
      <c r="BU786" s="240"/>
      <c r="BV786" s="240"/>
      <c r="BW786" s="240"/>
      <c r="BX786" s="240"/>
      <c r="BY786" s="240"/>
      <c r="BZ786" s="240"/>
      <c r="CA786" s="240"/>
      <c r="CB786" s="240"/>
      <c r="CC786" s="240"/>
      <c r="CD786" s="240"/>
      <c r="CE786" s="240"/>
      <c r="CF786" s="240"/>
      <c r="CG786" s="240"/>
      <c r="CH786" s="240"/>
      <c r="CI786" s="240"/>
      <c r="CJ786" s="240"/>
      <c r="CK786" s="240"/>
      <c r="CL786" s="240"/>
      <c r="CM786" s="240"/>
      <c r="CN786" s="240"/>
      <c r="CO786" s="240"/>
      <c r="CP786" s="240"/>
      <c r="CQ786" s="240"/>
      <c r="CR786" s="240"/>
      <c r="CS786" s="240"/>
      <c r="CT786" s="240"/>
      <c r="CU786" s="240"/>
      <c r="CV786" s="240"/>
      <c r="CW786" s="240"/>
      <c r="CX786" s="240"/>
      <c r="CY786" s="240"/>
      <c r="CZ786" s="240"/>
      <c r="DA786" s="240"/>
      <c r="DB786" s="240"/>
      <c r="DC786" s="240"/>
      <c r="DD786" s="240"/>
      <c r="DE786" s="240"/>
      <c r="DF786" s="240"/>
      <c r="DG786" s="240"/>
      <c r="DH786" s="240"/>
      <c r="DI786" s="240"/>
      <c r="DJ786" s="240"/>
      <c r="DK786" s="240"/>
      <c r="DL786" s="240"/>
      <c r="DM786" s="240"/>
      <c r="DN786" s="240"/>
      <c r="DO786" s="240"/>
      <c r="DP786" s="240"/>
      <c r="DQ786" s="240"/>
      <c r="DR786" s="240"/>
      <c r="DS786" s="240"/>
      <c r="DT786" s="240"/>
      <c r="DU786" s="240"/>
      <c r="DV786" s="240"/>
      <c r="DW786" s="240"/>
      <c r="DX786" s="240"/>
      <c r="DY786" s="240"/>
      <c r="DZ786" s="240"/>
      <c r="EA786" s="240"/>
      <c r="EB786" s="240"/>
      <c r="EC786" s="240"/>
      <c r="ED786" s="240"/>
      <c r="EE786" s="240"/>
      <c r="EF786" s="240"/>
      <c r="EG786" s="240"/>
      <c r="EH786" s="240"/>
      <c r="EI786" s="240"/>
      <c r="EJ786" s="240"/>
      <c r="EK786" s="240"/>
      <c r="EL786" s="359"/>
      <c r="EM786" s="250" t="e">
        <f>EN786+EO786+EP786</f>
        <v>#REF!</v>
      </c>
      <c r="EN786" s="245" t="e">
        <f>TEXT(AQ783,"#,##0")</f>
        <v>#REF!</v>
      </c>
      <c r="EO786" s="245" t="e">
        <f>TEXT(AI784,"#,##0")</f>
        <v>#REF!</v>
      </c>
      <c r="EP786" s="245" t="str">
        <f>TEXT(AI785,"#,##0")</f>
        <v>353</v>
      </c>
      <c r="EQ786" s="254"/>
      <c r="ER786" s="240"/>
      <c r="ES786" s="240"/>
      <c r="ET786" s="241"/>
      <c r="EU786" s="241"/>
      <c r="EV786" s="241"/>
      <c r="EW786" s="241"/>
      <c r="EX786" s="241"/>
      <c r="EY786" s="241"/>
      <c r="EZ786" s="241"/>
      <c r="FA786" s="241"/>
      <c r="FB786" s="241"/>
      <c r="FC786" s="241"/>
      <c r="FD786" s="241"/>
      <c r="FE786" s="241"/>
      <c r="FF786" s="241"/>
      <c r="FG786" s="241"/>
      <c r="FH786" s="241"/>
      <c r="FI786" s="241"/>
      <c r="FJ786" s="241"/>
      <c r="FK786" s="241"/>
      <c r="FL786" s="241"/>
      <c r="FM786" s="241"/>
      <c r="FN786" s="241"/>
      <c r="FO786" s="241"/>
      <c r="FP786" s="241"/>
      <c r="FQ786" s="241"/>
      <c r="FR786" s="241"/>
      <c r="FS786" s="241"/>
      <c r="FT786" s="241"/>
      <c r="FU786" s="241"/>
      <c r="FV786" s="241"/>
      <c r="FW786" s="241"/>
      <c r="FX786" s="241"/>
      <c r="FY786" s="241"/>
      <c r="FZ786" s="241"/>
      <c r="GA786" s="241"/>
      <c r="GB786" s="241"/>
      <c r="GC786" s="241"/>
      <c r="GD786" s="241"/>
      <c r="GE786" s="241"/>
      <c r="GF786" s="241"/>
      <c r="GG786" s="193"/>
    </row>
    <row r="787" spans="1:189" s="243" customFormat="1" ht="11.45" hidden="1" customHeight="1">
      <c r="B787" s="244"/>
      <c r="C787" s="240"/>
      <c r="D787" s="240"/>
      <c r="E787" s="240"/>
      <c r="F787" s="240"/>
      <c r="G787" s="240"/>
      <c r="H787" s="240"/>
      <c r="I787" s="240"/>
      <c r="J787" s="240"/>
      <c r="K787" s="240"/>
      <c r="L787" s="297"/>
      <c r="M787" s="297"/>
      <c r="N787" s="297"/>
      <c r="O787" s="240"/>
      <c r="P787" s="240"/>
      <c r="Q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0"/>
      <c r="AO787" s="240"/>
      <c r="AP787" s="240"/>
      <c r="AQ787" s="240"/>
      <c r="AR787" s="240"/>
      <c r="AS787" s="240"/>
      <c r="AT787" s="240"/>
      <c r="AU787" s="240"/>
      <c r="AV787" s="240"/>
      <c r="AW787" s="240"/>
      <c r="AX787" s="240"/>
      <c r="AY787" s="240"/>
      <c r="AZ787" s="240"/>
      <c r="BA787" s="240"/>
      <c r="BB787" s="240"/>
      <c r="BC787" s="240"/>
      <c r="BD787" s="240"/>
      <c r="BE787" s="240"/>
      <c r="BF787" s="240"/>
      <c r="BG787" s="240"/>
      <c r="BH787" s="240"/>
      <c r="BI787" s="240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97"/>
      <c r="BT787" s="240"/>
      <c r="BU787" s="240"/>
      <c r="BV787" s="240"/>
      <c r="BW787" s="240"/>
      <c r="BX787" s="240"/>
      <c r="BY787" s="240"/>
      <c r="BZ787" s="240"/>
      <c r="CA787" s="240"/>
      <c r="CB787" s="240"/>
      <c r="CC787" s="240"/>
      <c r="CD787" s="240"/>
      <c r="CE787" s="240"/>
      <c r="CF787" s="240"/>
      <c r="CG787" s="240"/>
      <c r="CH787" s="240"/>
      <c r="CI787" s="240"/>
      <c r="CJ787" s="240"/>
      <c r="CK787" s="240"/>
      <c r="CL787" s="240"/>
      <c r="CM787" s="240"/>
      <c r="CN787" s="240"/>
      <c r="CO787" s="240"/>
      <c r="CP787" s="240"/>
      <c r="CQ787" s="240"/>
      <c r="CR787" s="240"/>
      <c r="CS787" s="240"/>
      <c r="CT787" s="240"/>
      <c r="CU787" s="240"/>
      <c r="CV787" s="240"/>
      <c r="CW787" s="240"/>
      <c r="CX787" s="240"/>
      <c r="CY787" s="240"/>
      <c r="CZ787" s="240"/>
      <c r="DA787" s="240"/>
      <c r="DB787" s="240"/>
      <c r="DC787" s="240"/>
      <c r="DD787" s="240"/>
      <c r="DE787" s="240"/>
      <c r="DF787" s="240"/>
      <c r="DG787" s="240"/>
      <c r="DH787" s="240"/>
      <c r="DI787" s="240"/>
      <c r="DJ787" s="240"/>
      <c r="DK787" s="240"/>
      <c r="DL787" s="240"/>
      <c r="DM787" s="240"/>
      <c r="DN787" s="240"/>
      <c r="DO787" s="240"/>
      <c r="DP787" s="240"/>
      <c r="DQ787" s="240"/>
      <c r="DR787" s="240"/>
      <c r="DS787" s="240"/>
      <c r="DT787" s="240"/>
      <c r="DU787" s="240"/>
      <c r="DV787" s="240"/>
      <c r="DW787" s="240"/>
      <c r="DX787" s="240"/>
      <c r="DY787" s="240"/>
      <c r="DZ787" s="240"/>
      <c r="EA787" s="240"/>
      <c r="EB787" s="240"/>
      <c r="EC787" s="240"/>
      <c r="ED787" s="240"/>
      <c r="EE787" s="240"/>
      <c r="EF787" s="240"/>
      <c r="EG787" s="240"/>
      <c r="EH787" s="240"/>
      <c r="EI787" s="240"/>
      <c r="EJ787" s="240"/>
      <c r="EK787" s="240"/>
      <c r="EL787" s="359"/>
      <c r="EM787" s="250"/>
      <c r="EN787" s="245"/>
      <c r="EO787" s="245"/>
      <c r="EP787" s="245"/>
      <c r="EQ787" s="254"/>
      <c r="ER787" s="240"/>
      <c r="ES787" s="240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193"/>
    </row>
    <row r="788" spans="1:189" s="243" customFormat="1" ht="11.45" hidden="1" customHeight="1">
      <c r="B788" s="246"/>
      <c r="C788" s="247"/>
      <c r="D788" s="247"/>
      <c r="E788" s="247"/>
      <c r="F788" s="247"/>
      <c r="G788" s="247"/>
      <c r="H788" s="247"/>
      <c r="I788" s="247"/>
      <c r="J788" s="247"/>
      <c r="K788" s="247"/>
      <c r="L788" s="301"/>
      <c r="M788" s="301"/>
      <c r="N788" s="301"/>
      <c r="O788" s="247"/>
      <c r="P788" s="247"/>
      <c r="Q788" s="247"/>
      <c r="R788" s="247"/>
      <c r="S788" s="247"/>
      <c r="T788" s="247"/>
      <c r="U788" s="247"/>
      <c r="V788" s="247"/>
      <c r="W788" s="247"/>
      <c r="X788" s="247"/>
      <c r="Y788" s="247"/>
      <c r="Z788" s="247"/>
      <c r="AA788" s="247"/>
      <c r="AB788" s="247"/>
      <c r="AC788" s="247"/>
      <c r="AD788" s="247"/>
      <c r="AE788" s="247"/>
      <c r="AF788" s="247"/>
      <c r="AG788" s="247"/>
      <c r="AH788" s="247"/>
      <c r="AI788" s="247"/>
      <c r="AJ788" s="247"/>
      <c r="AK788" s="247"/>
      <c r="AL788" s="247"/>
      <c r="AM788" s="247"/>
      <c r="AN788" s="247"/>
      <c r="AO788" s="247"/>
      <c r="AP788" s="247"/>
      <c r="AQ788" s="247"/>
      <c r="AR788" s="247"/>
      <c r="AS788" s="247"/>
      <c r="AT788" s="247"/>
      <c r="AU788" s="247"/>
      <c r="AV788" s="247"/>
      <c r="AW788" s="247"/>
      <c r="AX788" s="247"/>
      <c r="AY788" s="247"/>
      <c r="AZ788" s="247"/>
      <c r="BA788" s="247"/>
      <c r="BB788" s="247"/>
      <c r="BC788" s="247"/>
      <c r="BD788" s="247"/>
      <c r="BE788" s="247"/>
      <c r="BF788" s="247"/>
      <c r="BG788" s="247"/>
      <c r="BH788" s="247"/>
      <c r="BI788" s="247"/>
      <c r="BJ788" s="247"/>
      <c r="BK788" s="247"/>
      <c r="BL788" s="247"/>
      <c r="BM788" s="247"/>
      <c r="BN788" s="247"/>
      <c r="BO788" s="247"/>
      <c r="BP788" s="247"/>
      <c r="BQ788" s="247"/>
      <c r="BR788" s="247"/>
      <c r="BS788" s="301"/>
      <c r="BT788" s="247"/>
      <c r="BU788" s="247"/>
      <c r="BV788" s="247"/>
      <c r="BW788" s="247"/>
      <c r="BX788" s="247"/>
      <c r="BY788" s="247"/>
      <c r="BZ788" s="247"/>
      <c r="CA788" s="247"/>
      <c r="CB788" s="247"/>
      <c r="CC788" s="247"/>
      <c r="CD788" s="247"/>
      <c r="CE788" s="247"/>
      <c r="CF788" s="247"/>
      <c r="CG788" s="247"/>
      <c r="CH788" s="247"/>
      <c r="CI788" s="247"/>
      <c r="CJ788" s="247"/>
      <c r="CK788" s="247"/>
      <c r="CL788" s="247"/>
      <c r="CM788" s="247"/>
      <c r="CN788" s="247"/>
      <c r="CO788" s="247"/>
      <c r="CP788" s="247"/>
      <c r="CQ788" s="247"/>
      <c r="CR788" s="247"/>
      <c r="CS788" s="247"/>
      <c r="CT788" s="247"/>
      <c r="CU788" s="247"/>
      <c r="CV788" s="247"/>
      <c r="CW788" s="247"/>
      <c r="CX788" s="247"/>
      <c r="CY788" s="247"/>
      <c r="CZ788" s="247"/>
      <c r="DA788" s="247"/>
      <c r="DB788" s="247"/>
      <c r="DC788" s="247"/>
      <c r="DD788" s="247"/>
      <c r="DE788" s="247"/>
      <c r="DF788" s="247"/>
      <c r="DG788" s="247"/>
      <c r="DH788" s="247"/>
      <c r="DI788" s="247"/>
      <c r="DJ788" s="247"/>
      <c r="DK788" s="247"/>
      <c r="DL788" s="247"/>
      <c r="DM788" s="247"/>
      <c r="DN788" s="247"/>
      <c r="DO788" s="247"/>
      <c r="DP788" s="247"/>
      <c r="DQ788" s="247"/>
      <c r="DR788" s="247"/>
      <c r="DS788" s="247"/>
      <c r="DT788" s="247"/>
      <c r="DU788" s="247"/>
      <c r="DV788" s="247"/>
      <c r="DW788" s="247"/>
      <c r="DX788" s="247"/>
      <c r="DY788" s="247"/>
      <c r="DZ788" s="247"/>
      <c r="EA788" s="247"/>
      <c r="EB788" s="247"/>
      <c r="EC788" s="247"/>
      <c r="ED788" s="247"/>
      <c r="EE788" s="247"/>
      <c r="EF788" s="247"/>
      <c r="EG788" s="247"/>
      <c r="EH788" s="247"/>
      <c r="EI788" s="247"/>
      <c r="EJ788" s="247"/>
      <c r="EK788" s="247"/>
      <c r="EL788" s="360"/>
      <c r="EM788" s="264"/>
      <c r="EN788" s="249"/>
      <c r="EO788" s="249"/>
      <c r="EP788" s="249"/>
      <c r="EQ788" s="260"/>
      <c r="ER788" s="240"/>
      <c r="ES788" s="240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193"/>
    </row>
    <row r="789" spans="1:189" s="243" customFormat="1" ht="11.45" hidden="1" customHeight="1">
      <c r="B789" s="267"/>
      <c r="C789" s="265"/>
      <c r="D789" s="265"/>
      <c r="E789" s="265"/>
      <c r="F789" s="265"/>
      <c r="G789" s="265"/>
      <c r="H789" s="265"/>
      <c r="I789" s="265"/>
      <c r="J789" s="265"/>
      <c r="K789" s="265"/>
      <c r="L789" s="302"/>
      <c r="M789" s="302"/>
      <c r="N789" s="302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  <c r="Z789" s="265"/>
      <c r="AA789" s="265"/>
      <c r="AB789" s="265"/>
      <c r="AC789" s="265"/>
      <c r="AD789" s="265"/>
      <c r="AE789" s="265"/>
      <c r="AF789" s="265"/>
      <c r="AG789" s="265"/>
      <c r="AH789" s="265"/>
      <c r="AI789" s="265"/>
      <c r="AJ789" s="265"/>
      <c r="AK789" s="265"/>
      <c r="AL789" s="265"/>
      <c r="AM789" s="265"/>
      <c r="AN789" s="265"/>
      <c r="AO789" s="265"/>
      <c r="AP789" s="265"/>
      <c r="AQ789" s="265"/>
      <c r="AR789" s="265"/>
      <c r="AS789" s="265"/>
      <c r="AT789" s="265"/>
      <c r="AU789" s="265"/>
      <c r="AV789" s="265"/>
      <c r="AW789" s="265"/>
      <c r="AX789" s="265"/>
      <c r="AY789" s="265"/>
      <c r="AZ789" s="265"/>
      <c r="BA789" s="265"/>
      <c r="BB789" s="265"/>
      <c r="BC789" s="265"/>
      <c r="BD789" s="265"/>
      <c r="BE789" s="265"/>
      <c r="BF789" s="265"/>
      <c r="BG789" s="265"/>
      <c r="BH789" s="265"/>
      <c r="BI789" s="265"/>
      <c r="BJ789" s="265"/>
      <c r="BK789" s="265"/>
      <c r="BL789" s="265"/>
      <c r="BM789" s="265"/>
      <c r="BN789" s="265"/>
      <c r="BO789" s="265"/>
      <c r="BP789" s="265"/>
      <c r="BQ789" s="265"/>
      <c r="BR789" s="265"/>
      <c r="BS789" s="302"/>
      <c r="BT789" s="265"/>
      <c r="BU789" s="265"/>
      <c r="BV789" s="265"/>
      <c r="BW789" s="265"/>
      <c r="BX789" s="265"/>
      <c r="BY789" s="265"/>
      <c r="BZ789" s="265"/>
      <c r="CA789" s="265"/>
      <c r="CB789" s="265"/>
      <c r="CC789" s="265"/>
      <c r="CD789" s="265"/>
      <c r="CE789" s="265"/>
      <c r="CF789" s="265"/>
      <c r="CG789" s="265"/>
      <c r="CH789" s="265"/>
      <c r="CI789" s="265"/>
      <c r="CJ789" s="265"/>
      <c r="CK789" s="265"/>
      <c r="CL789" s="265"/>
      <c r="CM789" s="265"/>
      <c r="CN789" s="265"/>
      <c r="CO789" s="265"/>
      <c r="CP789" s="265"/>
      <c r="CQ789" s="265"/>
      <c r="CR789" s="265"/>
      <c r="CS789" s="265"/>
      <c r="CT789" s="265"/>
      <c r="CU789" s="265"/>
      <c r="CV789" s="265"/>
      <c r="CW789" s="265"/>
      <c r="CX789" s="265"/>
      <c r="CY789" s="265"/>
      <c r="CZ789" s="265"/>
      <c r="DA789" s="265"/>
      <c r="DB789" s="265"/>
      <c r="DC789" s="265"/>
      <c r="DD789" s="265"/>
      <c r="DE789" s="265"/>
      <c r="DF789" s="265"/>
      <c r="DG789" s="265"/>
      <c r="DH789" s="265"/>
      <c r="DI789" s="265"/>
      <c r="DJ789" s="265"/>
      <c r="DK789" s="265"/>
      <c r="DL789" s="265"/>
      <c r="DM789" s="265"/>
      <c r="DN789" s="265"/>
      <c r="DO789" s="265"/>
      <c r="DP789" s="265"/>
      <c r="DQ789" s="265"/>
      <c r="DR789" s="265"/>
      <c r="DS789" s="265"/>
      <c r="DT789" s="265"/>
      <c r="DU789" s="265"/>
      <c r="DV789" s="265"/>
      <c r="DW789" s="265"/>
      <c r="DX789" s="265"/>
      <c r="DY789" s="265"/>
      <c r="DZ789" s="265"/>
      <c r="EA789" s="265"/>
      <c r="EB789" s="265"/>
      <c r="EC789" s="265"/>
      <c r="ED789" s="265"/>
      <c r="EE789" s="265"/>
      <c r="EF789" s="265"/>
      <c r="EG789" s="265"/>
      <c r="EH789" s="265"/>
      <c r="EI789" s="265"/>
      <c r="EJ789" s="265"/>
      <c r="EK789" s="265"/>
      <c r="EL789" s="362"/>
      <c r="EM789" s="268"/>
      <c r="EN789" s="269"/>
      <c r="EO789" s="269"/>
      <c r="EP789" s="269"/>
      <c r="EQ789" s="266"/>
      <c r="ER789" s="240"/>
      <c r="ES789" s="240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193"/>
    </row>
    <row r="790" spans="1:189" s="243" customFormat="1" ht="11.45" hidden="1" customHeight="1">
      <c r="A790" s="243">
        <v>19</v>
      </c>
      <c r="B790" s="1782">
        <f>A790</f>
        <v>19</v>
      </c>
      <c r="C790" s="1781"/>
      <c r="D790" s="1781"/>
      <c r="E790" s="344" t="s">
        <v>893</v>
      </c>
      <c r="F790" s="240"/>
      <c r="G790" s="240"/>
      <c r="H790" s="240"/>
      <c r="I790" s="240"/>
      <c r="J790" s="240"/>
      <c r="K790" s="240"/>
      <c r="L790" s="297"/>
      <c r="M790" s="297"/>
      <c r="N790" s="297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0"/>
      <c r="AO790" s="240"/>
      <c r="AP790" s="240"/>
      <c r="AQ790" s="240"/>
      <c r="AR790" s="240"/>
      <c r="AS790" s="240"/>
      <c r="AT790" s="240"/>
      <c r="AU790" s="240"/>
      <c r="AV790" s="240"/>
      <c r="AW790" s="240"/>
      <c r="AX790" s="240"/>
      <c r="AY790" s="240"/>
      <c r="AZ790" s="240"/>
      <c r="BA790" s="240"/>
      <c r="BB790" s="240"/>
      <c r="BC790" s="240"/>
      <c r="BD790" s="240"/>
      <c r="BE790" s="240"/>
      <c r="BF790" s="240"/>
      <c r="BG790" s="240"/>
      <c r="BH790" s="240"/>
      <c r="BI790" s="240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97"/>
      <c r="BT790" s="240"/>
      <c r="BU790" s="240"/>
      <c r="BV790" s="240"/>
      <c r="BW790" s="240"/>
      <c r="BX790" s="240"/>
      <c r="BY790" s="240"/>
      <c r="BZ790" s="240"/>
      <c r="CA790" s="240"/>
      <c r="CB790" s="240"/>
      <c r="CC790" s="240"/>
      <c r="CD790" s="240"/>
      <c r="CE790" s="240"/>
      <c r="CF790" s="240"/>
      <c r="CG790" s="240"/>
      <c r="CH790" s="240"/>
      <c r="CI790" s="240"/>
      <c r="CJ790" s="240"/>
      <c r="CK790" s="240"/>
      <c r="CL790" s="240"/>
      <c r="CM790" s="240"/>
      <c r="CN790" s="240"/>
      <c r="CO790" s="240"/>
      <c r="CP790" s="240"/>
      <c r="CQ790" s="240"/>
      <c r="CR790" s="240"/>
      <c r="CS790" s="240"/>
      <c r="CT790" s="240"/>
      <c r="CU790" s="240"/>
      <c r="CV790" s="240"/>
      <c r="CW790" s="240"/>
      <c r="CX790" s="240"/>
      <c r="CY790" s="240"/>
      <c r="CZ790" s="240"/>
      <c r="DA790" s="240"/>
      <c r="DB790" s="240"/>
      <c r="DC790" s="240"/>
      <c r="DD790" s="240"/>
      <c r="DE790" s="240"/>
      <c r="DF790" s="240"/>
      <c r="DG790" s="240"/>
      <c r="DH790" s="240"/>
      <c r="DI790" s="240"/>
      <c r="DJ790" s="240"/>
      <c r="DK790" s="240"/>
      <c r="DL790" s="240"/>
      <c r="DM790" s="240"/>
      <c r="DN790" s="240"/>
      <c r="DO790" s="240"/>
      <c r="DP790" s="240"/>
      <c r="DQ790" s="240"/>
      <c r="DR790" s="240"/>
      <c r="DS790" s="240"/>
      <c r="DT790" s="240"/>
      <c r="DU790" s="240"/>
      <c r="DV790" s="240"/>
      <c r="DW790" s="240"/>
      <c r="DX790" s="240"/>
      <c r="DY790" s="240"/>
      <c r="DZ790" s="240"/>
      <c r="EA790" s="240"/>
      <c r="EB790" s="240"/>
      <c r="EC790" s="240"/>
      <c r="ED790" s="240"/>
      <c r="EE790" s="240"/>
      <c r="EF790" s="240"/>
      <c r="EG790" s="240"/>
      <c r="EH790" s="240"/>
      <c r="EI790" s="240"/>
      <c r="EJ790" s="240"/>
      <c r="EK790" s="240"/>
      <c r="EL790" s="359"/>
      <c r="EM790" s="242" t="e">
        <f>EM807</f>
        <v>#REF!</v>
      </c>
      <c r="EN790" s="242" t="e">
        <f>EN807</f>
        <v>#REF!</v>
      </c>
      <c r="EO790" s="242" t="e">
        <f>EO807</f>
        <v>#REF!</v>
      </c>
      <c r="EP790" s="242" t="str">
        <f>EP807</f>
        <v>0</v>
      </c>
      <c r="EQ790" s="312" t="s">
        <v>762</v>
      </c>
      <c r="ER790" s="240"/>
      <c r="ES790" s="800">
        <f>A790</f>
        <v>19</v>
      </c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193"/>
    </row>
    <row r="791" spans="1:189" s="243" customFormat="1" ht="11.45" hidden="1" customHeight="1">
      <c r="B791" s="244"/>
      <c r="C791" s="240"/>
      <c r="D791" s="240"/>
      <c r="E791" s="240" t="s">
        <v>681</v>
      </c>
      <c r="F791" s="240"/>
      <c r="G791" s="240"/>
      <c r="H791" s="240" t="s">
        <v>538</v>
      </c>
      <c r="I791" s="240" t="s">
        <v>724</v>
      </c>
      <c r="J791" s="240"/>
      <c r="K791" s="240"/>
      <c r="L791" s="297" t="s">
        <v>745</v>
      </c>
      <c r="M791" s="297"/>
      <c r="N791" s="297"/>
      <c r="O791" s="240"/>
      <c r="P791" s="240"/>
      <c r="Q791" s="240"/>
      <c r="R791" s="240"/>
      <c r="S791" s="240" t="s">
        <v>132</v>
      </c>
      <c r="T791" s="240"/>
      <c r="U791" s="240" t="s">
        <v>743</v>
      </c>
      <c r="V791" s="240"/>
      <c r="W791" s="240"/>
      <c r="X791" s="240" t="s">
        <v>134</v>
      </c>
      <c r="Y791" s="240"/>
      <c r="Z791" s="240" t="str">
        <f>TEXT(8000,"#,##0.#######")</f>
        <v>8,000.</v>
      </c>
      <c r="AA791" s="240"/>
      <c r="AB791" s="240" t="s">
        <v>728</v>
      </c>
      <c r="AC791" s="240"/>
      <c r="AD791" s="240"/>
      <c r="AE791" s="240"/>
      <c r="AF791" s="240"/>
      <c r="AG791" s="240" t="s">
        <v>139</v>
      </c>
      <c r="AH791" s="240" t="s">
        <v>724</v>
      </c>
      <c r="AI791" s="240"/>
      <c r="AJ791" s="240"/>
      <c r="AK791" s="240"/>
      <c r="AL791" s="240"/>
      <c r="AM791" s="240"/>
      <c r="AN791" s="240"/>
      <c r="AO791" s="240"/>
      <c r="AP791" s="240"/>
      <c r="AQ791" s="240"/>
      <c r="AR791" s="240"/>
      <c r="AS791" s="240"/>
      <c r="AT791" s="240"/>
      <c r="AU791" s="240"/>
      <c r="AV791" s="240"/>
      <c r="AW791" s="240"/>
      <c r="AX791" s="240"/>
      <c r="AY791" s="240"/>
      <c r="AZ791" s="240"/>
      <c r="BA791" s="240"/>
      <c r="BB791" s="240"/>
      <c r="BC791" s="240"/>
      <c r="BD791" s="240"/>
      <c r="BE791" s="240"/>
      <c r="BF791" s="240"/>
      <c r="BG791" s="240"/>
      <c r="BH791" s="240"/>
      <c r="BI791" s="240"/>
      <c r="BJ791" s="240"/>
      <c r="BK791" s="240"/>
      <c r="BL791" s="240"/>
      <c r="BM791" s="240"/>
      <c r="BN791" s="240"/>
      <c r="BO791" s="240"/>
      <c r="BP791" s="240"/>
      <c r="BQ791" s="240"/>
      <c r="BR791" s="240"/>
      <c r="BS791" s="297"/>
      <c r="BT791" s="240"/>
      <c r="BU791" s="240"/>
      <c r="BV791" s="240"/>
      <c r="BW791" s="240"/>
      <c r="BX791" s="240"/>
      <c r="BY791" s="240"/>
      <c r="BZ791" s="240"/>
      <c r="CA791" s="240"/>
      <c r="CB791" s="240"/>
      <c r="CC791" s="240"/>
      <c r="CD791" s="240"/>
      <c r="CE791" s="240"/>
      <c r="CF791" s="240"/>
      <c r="CG791" s="240"/>
      <c r="CH791" s="240"/>
      <c r="CI791" s="240"/>
      <c r="CJ791" s="240"/>
      <c r="CK791" s="240"/>
      <c r="CL791" s="240"/>
      <c r="CM791" s="240"/>
      <c r="CN791" s="240"/>
      <c r="CO791" s="240"/>
      <c r="CP791" s="240"/>
      <c r="CQ791" s="240"/>
      <c r="CR791" s="240"/>
      <c r="CS791" s="240"/>
      <c r="CT791" s="240"/>
      <c r="CU791" s="240"/>
      <c r="CV791" s="240"/>
      <c r="CW791" s="240"/>
      <c r="CX791" s="240"/>
      <c r="CY791" s="240"/>
      <c r="CZ791" s="240"/>
      <c r="DA791" s="240"/>
      <c r="DB791" s="240"/>
      <c r="DC791" s="240"/>
      <c r="DD791" s="240"/>
      <c r="DE791" s="240"/>
      <c r="DF791" s="240"/>
      <c r="DG791" s="240"/>
      <c r="DH791" s="240"/>
      <c r="DI791" s="240"/>
      <c r="DJ791" s="240"/>
      <c r="DK791" s="240"/>
      <c r="DL791" s="240"/>
      <c r="DM791" s="240"/>
      <c r="DN791" s="240"/>
      <c r="DO791" s="240"/>
      <c r="DP791" s="240"/>
      <c r="DQ791" s="240"/>
      <c r="DR791" s="240"/>
      <c r="DS791" s="240"/>
      <c r="DT791" s="240"/>
      <c r="DU791" s="240"/>
      <c r="DV791" s="240"/>
      <c r="DW791" s="240"/>
      <c r="DX791" s="240"/>
      <c r="DY791" s="240"/>
      <c r="DZ791" s="240"/>
      <c r="EA791" s="240"/>
      <c r="EB791" s="240"/>
      <c r="EC791" s="240"/>
      <c r="ED791" s="240"/>
      <c r="EE791" s="240"/>
      <c r="EF791" s="240"/>
      <c r="EG791" s="240"/>
      <c r="EH791" s="240"/>
      <c r="EI791" s="240"/>
      <c r="EJ791" s="240"/>
      <c r="EK791" s="240"/>
      <c r="EL791" s="359"/>
      <c r="EM791" s="245"/>
      <c r="EN791" s="245"/>
      <c r="EO791" s="245"/>
      <c r="EP791" s="245"/>
      <c r="EQ791" s="254"/>
      <c r="ER791" s="240"/>
      <c r="ES791" s="240"/>
      <c r="ET791" s="241"/>
      <c r="EU791" s="241"/>
      <c r="EV791" s="241"/>
      <c r="EW791" s="241"/>
      <c r="EX791" s="241"/>
      <c r="EY791" s="241"/>
      <c r="EZ791" s="241"/>
      <c r="FA791" s="241"/>
      <c r="FB791" s="241"/>
      <c r="FC791" s="241"/>
      <c r="FD791" s="241"/>
      <c r="FE791" s="241"/>
      <c r="FF791" s="241"/>
      <c r="FG791" s="241"/>
      <c r="FH791" s="241"/>
      <c r="FI791" s="241"/>
      <c r="FJ791" s="241"/>
      <c r="FK791" s="241"/>
      <c r="FL791" s="241"/>
      <c r="FM791" s="241"/>
      <c r="FN791" s="241"/>
      <c r="FO791" s="241"/>
      <c r="FP791" s="241"/>
      <c r="FQ791" s="241"/>
      <c r="FR791" s="241"/>
      <c r="FS791" s="241"/>
      <c r="FT791" s="241"/>
      <c r="FU791" s="241"/>
      <c r="FV791" s="241"/>
      <c r="FW791" s="241"/>
      <c r="FX791" s="241"/>
      <c r="FY791" s="241"/>
      <c r="FZ791" s="241"/>
      <c r="GA791" s="241"/>
      <c r="GB791" s="241"/>
      <c r="GC791" s="241"/>
      <c r="GD791" s="241"/>
      <c r="GE791" s="241"/>
      <c r="GF791" s="241"/>
      <c r="GG791" s="193"/>
    </row>
    <row r="792" spans="1:189" s="243" customFormat="1" ht="11.45" hidden="1" customHeight="1">
      <c r="B792" s="244"/>
      <c r="C792" s="240"/>
      <c r="D792" s="240"/>
      <c r="E792" s="240"/>
      <c r="F792" s="240"/>
      <c r="G792" s="240"/>
      <c r="H792" s="240" t="s">
        <v>741</v>
      </c>
      <c r="I792" s="240"/>
      <c r="J792" s="240"/>
      <c r="K792" s="240"/>
      <c r="L792" s="297"/>
      <c r="M792" s="297"/>
      <c r="N792" s="297"/>
      <c r="O792" s="240" t="s">
        <v>745</v>
      </c>
      <c r="P792" s="240"/>
      <c r="Q792" s="240"/>
      <c r="R792" s="240"/>
      <c r="S792" s="240"/>
      <c r="T792" s="240"/>
      <c r="U792" s="240"/>
      <c r="V792" s="240" t="s">
        <v>132</v>
      </c>
      <c r="W792" s="240"/>
      <c r="X792" s="240" t="s">
        <v>687</v>
      </c>
      <c r="Y792" s="240"/>
      <c r="Z792" s="240" t="s">
        <v>134</v>
      </c>
      <c r="AA792" s="240"/>
      <c r="AB792" s="240" t="s">
        <v>743</v>
      </c>
      <c r="AC792" s="240"/>
      <c r="AD792" s="240"/>
      <c r="AE792" s="240" t="s">
        <v>683</v>
      </c>
      <c r="AF792" s="240"/>
      <c r="AG792" s="240"/>
      <c r="AH792" s="240" t="str">
        <f>TEXT(8,"#,##0.#######")</f>
        <v>8.</v>
      </c>
      <c r="AI792" s="240" t="s">
        <v>618</v>
      </c>
      <c r="AJ792" s="240"/>
      <c r="AK792" s="240"/>
      <c r="AL792" s="240" t="s">
        <v>134</v>
      </c>
      <c r="AM792" s="240"/>
      <c r="AN792" s="240" t="str">
        <f>TEXT(Z791,"#,##0.#######")</f>
        <v>8,000.</v>
      </c>
      <c r="AO792" s="240"/>
      <c r="AP792" s="240"/>
      <c r="AQ792" s="240" t="s">
        <v>683</v>
      </c>
      <c r="AR792" s="240"/>
      <c r="AS792" s="240"/>
      <c r="AT792" s="240" t="str">
        <f>TEXT(AH792,"#,##0.#######")</f>
        <v>8.</v>
      </c>
      <c r="AU792" s="240"/>
      <c r="AV792" s="240" t="s">
        <v>134</v>
      </c>
      <c r="AW792" s="240"/>
      <c r="AX792" s="240" t="str">
        <f>TEXT(ROUND(Z791/AH792,2),"#,##0.#######")</f>
        <v>1,000.</v>
      </c>
      <c r="AY792" s="240"/>
      <c r="AZ792" s="240"/>
      <c r="BA792" s="240" t="s">
        <v>728</v>
      </c>
      <c r="BB792" s="240" t="s">
        <v>139</v>
      </c>
      <c r="BC792" s="240" t="s">
        <v>618</v>
      </c>
      <c r="BF792" s="240"/>
      <c r="BG792" s="240"/>
      <c r="BH792" s="240"/>
      <c r="BI792" s="240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97"/>
      <c r="BT792" s="240"/>
      <c r="BU792" s="240"/>
      <c r="BV792" s="240"/>
      <c r="BW792" s="240"/>
      <c r="BX792" s="240"/>
      <c r="BY792" s="240"/>
      <c r="BZ792" s="240"/>
      <c r="CA792" s="240"/>
      <c r="CB792" s="240"/>
      <c r="CC792" s="240"/>
      <c r="CD792" s="240"/>
      <c r="CE792" s="240"/>
      <c r="CF792" s="240"/>
      <c r="CG792" s="240"/>
      <c r="CH792" s="240"/>
      <c r="CI792" s="240"/>
      <c r="CJ792" s="240"/>
      <c r="CK792" s="240"/>
      <c r="CL792" s="240"/>
      <c r="CM792" s="240"/>
      <c r="CN792" s="240"/>
      <c r="CO792" s="240"/>
      <c r="CP792" s="240"/>
      <c r="CQ792" s="240"/>
      <c r="CR792" s="240"/>
      <c r="CS792" s="240"/>
      <c r="CT792" s="240"/>
      <c r="CU792" s="240"/>
      <c r="CV792" s="240"/>
      <c r="CW792" s="240"/>
      <c r="CX792" s="240"/>
      <c r="CY792" s="240"/>
      <c r="CZ792" s="240"/>
      <c r="DA792" s="240"/>
      <c r="DB792" s="240"/>
      <c r="DC792" s="240"/>
      <c r="DD792" s="240"/>
      <c r="DE792" s="240"/>
      <c r="DF792" s="240"/>
      <c r="DG792" s="240"/>
      <c r="DH792" s="240"/>
      <c r="DI792" s="240"/>
      <c r="DJ792" s="240"/>
      <c r="DK792" s="240"/>
      <c r="DL792" s="240"/>
      <c r="DM792" s="240"/>
      <c r="DN792" s="240"/>
      <c r="DO792" s="240"/>
      <c r="DP792" s="240"/>
      <c r="DQ792" s="240"/>
      <c r="DR792" s="240"/>
      <c r="DS792" s="240"/>
      <c r="DT792" s="240"/>
      <c r="DU792" s="240"/>
      <c r="DV792" s="240"/>
      <c r="DW792" s="240"/>
      <c r="DX792" s="240"/>
      <c r="DY792" s="240"/>
      <c r="DZ792" s="240"/>
      <c r="EA792" s="240"/>
      <c r="EB792" s="240"/>
      <c r="EC792" s="240"/>
      <c r="ED792" s="240"/>
      <c r="EE792" s="240"/>
      <c r="EF792" s="240"/>
      <c r="EG792" s="240"/>
      <c r="EH792" s="240"/>
      <c r="EI792" s="240"/>
      <c r="EJ792" s="240"/>
      <c r="EK792" s="240"/>
      <c r="EL792" s="359"/>
      <c r="EM792" s="245"/>
      <c r="EN792" s="245"/>
      <c r="EO792" s="245"/>
      <c r="EP792" s="245"/>
      <c r="EQ792" s="254"/>
      <c r="ER792" s="240"/>
      <c r="ES792" s="240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193"/>
    </row>
    <row r="793" spans="1:189" s="243" customFormat="1" ht="11.45" hidden="1" customHeight="1">
      <c r="B793" s="244"/>
      <c r="C793" s="240"/>
      <c r="D793" s="240"/>
      <c r="E793" s="240"/>
      <c r="F793" s="240"/>
      <c r="G793" s="240"/>
      <c r="H793" s="240"/>
      <c r="I793" s="240"/>
      <c r="J793" s="240"/>
      <c r="K793" s="240"/>
      <c r="L793" s="297"/>
      <c r="M793" s="297"/>
      <c r="N793" s="297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0"/>
      <c r="AO793" s="240"/>
      <c r="AP793" s="240"/>
      <c r="AQ793" s="240"/>
      <c r="AR793" s="240"/>
      <c r="AS793" s="240"/>
      <c r="AT793" s="240"/>
      <c r="AU793" s="240"/>
      <c r="AV793" s="240"/>
      <c r="AW793" s="240"/>
      <c r="AX793" s="240"/>
      <c r="AY793" s="240"/>
      <c r="AZ793" s="240"/>
      <c r="BA793" s="240"/>
      <c r="BB793" s="240"/>
      <c r="BC793" s="240"/>
      <c r="BD793" s="240"/>
      <c r="BE793" s="240"/>
      <c r="BF793" s="240"/>
      <c r="BG793" s="240"/>
      <c r="BH793" s="240"/>
      <c r="BI793" s="240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97"/>
      <c r="BT793" s="240"/>
      <c r="BU793" s="240"/>
      <c r="BV793" s="240"/>
      <c r="BW793" s="240"/>
      <c r="BX793" s="240"/>
      <c r="BY793" s="240"/>
      <c r="BZ793" s="240"/>
      <c r="CA793" s="240"/>
      <c r="CB793" s="240"/>
      <c r="CC793" s="240"/>
      <c r="CD793" s="240"/>
      <c r="CE793" s="240"/>
      <c r="CF793" s="240"/>
      <c r="CG793" s="240"/>
      <c r="CH793" s="240"/>
      <c r="CI793" s="240"/>
      <c r="CJ793" s="240"/>
      <c r="CK793" s="240"/>
      <c r="CL793" s="240"/>
      <c r="CM793" s="240"/>
      <c r="CN793" s="240"/>
      <c r="CO793" s="240"/>
      <c r="CP793" s="240"/>
      <c r="CQ793" s="240"/>
      <c r="CR793" s="240"/>
      <c r="CS793" s="240"/>
      <c r="CT793" s="240"/>
      <c r="CU793" s="240"/>
      <c r="CV793" s="240"/>
      <c r="CW793" s="240"/>
      <c r="CX793" s="240"/>
      <c r="CY793" s="240"/>
      <c r="CZ793" s="240"/>
      <c r="DA793" s="240"/>
      <c r="DB793" s="240"/>
      <c r="DC793" s="240"/>
      <c r="DD793" s="240"/>
      <c r="DE793" s="240"/>
      <c r="DF793" s="240"/>
      <c r="DG793" s="240"/>
      <c r="DH793" s="240"/>
      <c r="DI793" s="240"/>
      <c r="DJ793" s="240"/>
      <c r="DK793" s="240"/>
      <c r="DL793" s="240"/>
      <c r="DM793" s="240"/>
      <c r="DN793" s="240"/>
      <c r="DO793" s="240"/>
      <c r="DP793" s="240"/>
      <c r="DQ793" s="240"/>
      <c r="DR793" s="240"/>
      <c r="DS793" s="240"/>
      <c r="DT793" s="240"/>
      <c r="DU793" s="240"/>
      <c r="DV793" s="240"/>
      <c r="DW793" s="240"/>
      <c r="DX793" s="240"/>
      <c r="DY793" s="240"/>
      <c r="DZ793" s="240"/>
      <c r="EA793" s="240"/>
      <c r="EB793" s="240"/>
      <c r="EC793" s="240"/>
      <c r="ED793" s="240"/>
      <c r="EE793" s="240"/>
      <c r="EF793" s="240"/>
      <c r="EG793" s="240"/>
      <c r="EH793" s="240"/>
      <c r="EI793" s="240"/>
      <c r="EJ793" s="240"/>
      <c r="EK793" s="240"/>
      <c r="EL793" s="359"/>
      <c r="EM793" s="245"/>
      <c r="EN793" s="245"/>
      <c r="EO793" s="245"/>
      <c r="EP793" s="245"/>
      <c r="EQ793" s="254"/>
      <c r="ER793" s="240"/>
      <c r="ES793" s="240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193"/>
    </row>
    <row r="794" spans="1:189" s="243" customFormat="1" ht="11.45" hidden="1" customHeight="1">
      <c r="B794" s="244"/>
      <c r="C794" s="240"/>
      <c r="D794" s="240" t="s">
        <v>674</v>
      </c>
      <c r="E794" s="240"/>
      <c r="F794" s="240"/>
      <c r="G794" s="240" t="s">
        <v>742</v>
      </c>
      <c r="H794" s="240"/>
      <c r="I794" s="240"/>
      <c r="J794" s="240"/>
      <c r="K794" s="240"/>
      <c r="L794" s="297"/>
      <c r="M794" s="297"/>
      <c r="N794" s="297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  <c r="AA794" s="240"/>
      <c r="AB794" s="240"/>
      <c r="AC794" s="240"/>
      <c r="AD794" s="240"/>
      <c r="AE794" s="240"/>
      <c r="AF794" s="240"/>
      <c r="AG794" s="240"/>
      <c r="AH794" s="240"/>
      <c r="AI794" s="240"/>
      <c r="AJ794" s="240"/>
      <c r="AK794" s="240"/>
      <c r="AL794" s="240"/>
      <c r="AM794" s="240"/>
      <c r="AN794" s="240"/>
      <c r="AO794" s="240"/>
      <c r="AP794" s="240"/>
      <c r="AQ794" s="240"/>
      <c r="AR794" s="240"/>
      <c r="AS794" s="240"/>
      <c r="AT794" s="240"/>
      <c r="AU794" s="240"/>
      <c r="AV794" s="240"/>
      <c r="AW794" s="240"/>
      <c r="AX794" s="240"/>
      <c r="AY794" s="240"/>
      <c r="AZ794" s="240"/>
      <c r="BA794" s="240"/>
      <c r="BB794" s="240"/>
      <c r="BC794" s="240"/>
      <c r="BD794" s="240"/>
      <c r="BE794" s="240"/>
      <c r="BF794" s="240"/>
      <c r="BG794" s="240"/>
      <c r="BH794" s="240"/>
      <c r="BI794" s="240"/>
      <c r="BJ794" s="240"/>
      <c r="BK794" s="240"/>
      <c r="BL794" s="240"/>
      <c r="BM794" s="240"/>
      <c r="BN794" s="240"/>
      <c r="BO794" s="240"/>
      <c r="BP794" s="240"/>
      <c r="BQ794" s="240"/>
      <c r="BR794" s="240"/>
      <c r="BS794" s="297"/>
      <c r="BT794" s="240"/>
      <c r="BU794" s="240"/>
      <c r="BV794" s="240"/>
      <c r="BW794" s="240"/>
      <c r="BX794" s="240"/>
      <c r="BY794" s="240"/>
      <c r="BZ794" s="240"/>
      <c r="CA794" s="240"/>
      <c r="CB794" s="240"/>
      <c r="CC794" s="240"/>
      <c r="CD794" s="240"/>
      <c r="CE794" s="240"/>
      <c r="CF794" s="240"/>
      <c r="CG794" s="240"/>
      <c r="CH794" s="240"/>
      <c r="CI794" s="240"/>
      <c r="CJ794" s="240"/>
      <c r="CK794" s="240"/>
      <c r="CL794" s="240"/>
      <c r="CM794" s="240"/>
      <c r="CN794" s="240"/>
      <c r="CO794" s="240"/>
      <c r="CP794" s="240"/>
      <c r="CQ794" s="240"/>
      <c r="CR794" s="240"/>
      <c r="CS794" s="240"/>
      <c r="CT794" s="240"/>
      <c r="CU794" s="240"/>
      <c r="CV794" s="240"/>
      <c r="CW794" s="240"/>
      <c r="CX794" s="240"/>
      <c r="CY794" s="240"/>
      <c r="CZ794" s="240"/>
      <c r="DA794" s="240"/>
      <c r="DB794" s="240"/>
      <c r="DC794" s="240"/>
      <c r="DD794" s="240"/>
      <c r="DE794" s="240"/>
      <c r="DF794" s="240"/>
      <c r="DG794" s="240"/>
      <c r="DH794" s="240"/>
      <c r="DI794" s="240"/>
      <c r="DJ794" s="240"/>
      <c r="DK794" s="240"/>
      <c r="DL794" s="240"/>
      <c r="DM794" s="240"/>
      <c r="DN794" s="240"/>
      <c r="DO794" s="240"/>
      <c r="DP794" s="240"/>
      <c r="DQ794" s="240"/>
      <c r="DR794" s="240"/>
      <c r="DS794" s="240"/>
      <c r="DT794" s="240"/>
      <c r="DU794" s="240"/>
      <c r="DV794" s="240"/>
      <c r="DW794" s="240"/>
      <c r="DX794" s="240"/>
      <c r="DY794" s="240"/>
      <c r="DZ794" s="240"/>
      <c r="EA794" s="240"/>
      <c r="EB794" s="240"/>
      <c r="EC794" s="240"/>
      <c r="ED794" s="240"/>
      <c r="EE794" s="240"/>
      <c r="EF794" s="240"/>
      <c r="EG794" s="240"/>
      <c r="EH794" s="240"/>
      <c r="EI794" s="240"/>
      <c r="EJ794" s="240"/>
      <c r="EK794" s="240"/>
      <c r="EL794" s="359"/>
      <c r="EM794" s="245"/>
      <c r="EN794" s="245"/>
      <c r="EO794" s="245"/>
      <c r="EP794" s="245"/>
      <c r="EQ794" s="254"/>
      <c r="ER794" s="240"/>
      <c r="ES794" s="240"/>
      <c r="ET794" s="241"/>
      <c r="EU794" s="241"/>
      <c r="EV794" s="241"/>
      <c r="EW794" s="241"/>
      <c r="EX794" s="241"/>
      <c r="EY794" s="241"/>
      <c r="EZ794" s="241"/>
      <c r="FA794" s="241"/>
      <c r="FB794" s="241"/>
      <c r="FC794" s="241"/>
      <c r="FD794" s="241"/>
      <c r="FE794" s="241"/>
      <c r="FF794" s="241"/>
      <c r="FG794" s="241"/>
      <c r="FH794" s="241"/>
      <c r="FI794" s="241"/>
      <c r="FJ794" s="241"/>
      <c r="FK794" s="241"/>
      <c r="FL794" s="241"/>
      <c r="FM794" s="241"/>
      <c r="FN794" s="241"/>
      <c r="FO794" s="241"/>
      <c r="FP794" s="241"/>
      <c r="FQ794" s="241"/>
      <c r="FR794" s="241"/>
      <c r="FS794" s="241"/>
      <c r="FT794" s="241"/>
      <c r="FU794" s="241"/>
      <c r="FV794" s="241"/>
      <c r="FW794" s="241"/>
      <c r="FX794" s="241"/>
      <c r="FY794" s="241"/>
      <c r="FZ794" s="241"/>
      <c r="GA794" s="241"/>
      <c r="GB794" s="241"/>
      <c r="GC794" s="241"/>
      <c r="GD794" s="241"/>
      <c r="GE794" s="241"/>
      <c r="GF794" s="241"/>
      <c r="GG794" s="193"/>
    </row>
    <row r="795" spans="1:189" s="243" customFormat="1" ht="11.45" hidden="1" customHeight="1">
      <c r="B795" s="244"/>
      <c r="C795" s="240"/>
      <c r="D795" s="240"/>
      <c r="E795" s="240"/>
      <c r="F795" s="240"/>
      <c r="G795" s="240" t="s">
        <v>103</v>
      </c>
      <c r="H795" s="240"/>
      <c r="I795" s="240"/>
      <c r="J795" s="240"/>
      <c r="K795" s="240"/>
      <c r="L795" s="297"/>
      <c r="M795" s="297" t="s">
        <v>132</v>
      </c>
      <c r="N795" s="297"/>
      <c r="O795" s="1775">
        <f>VLOOKUP($G795,노임단가!$A:$B,2,FALSE)</f>
        <v>157068</v>
      </c>
      <c r="P795" s="1775"/>
      <c r="Q795" s="1775"/>
      <c r="R795" s="1775"/>
      <c r="S795" s="1775"/>
      <c r="T795" s="1775"/>
      <c r="U795" s="240" t="s">
        <v>652</v>
      </c>
      <c r="V795" s="240"/>
      <c r="W795" s="240" t="str">
        <f>TEXT(2,"#,##0.#######")</f>
        <v>2.</v>
      </c>
      <c r="X795" s="240"/>
      <c r="Y795" s="240" t="s">
        <v>102</v>
      </c>
      <c r="Z795" s="240"/>
      <c r="AA795" s="240" t="s">
        <v>683</v>
      </c>
      <c r="AB795" s="240"/>
      <c r="AC795" s="240" t="s">
        <v>743</v>
      </c>
      <c r="AD795" s="240"/>
      <c r="AE795" s="240" t="s">
        <v>134</v>
      </c>
      <c r="AG795" s="240" t="str">
        <f>TEXT(O795,"#,##0.#######")</f>
        <v>157,068.</v>
      </c>
      <c r="AH795" s="240"/>
      <c r="AJ795" s="240"/>
      <c r="AK795" s="240"/>
      <c r="AL795" s="240" t="s">
        <v>652</v>
      </c>
      <c r="AM795" s="240"/>
      <c r="AN795" s="240" t="str">
        <f>TEXT(W795,"#,##0.#######")</f>
        <v>2.</v>
      </c>
      <c r="AP795" s="240" t="s">
        <v>683</v>
      </c>
      <c r="AQ795" s="240"/>
      <c r="AR795" s="240" t="str">
        <f>TEXT(Z791,"#,##0.#######")</f>
        <v>8,000.</v>
      </c>
      <c r="AS795" s="240"/>
      <c r="AU795" s="240" t="s">
        <v>134</v>
      </c>
      <c r="AV795" s="240"/>
      <c r="AW795" s="240" t="str">
        <f>TEXT(TRUNC(O795*W795/Z791,1),"#,##0.#")</f>
        <v>39.2</v>
      </c>
      <c r="AX795" s="240"/>
      <c r="AY795" s="240"/>
      <c r="AZ795" s="240"/>
      <c r="BB795" s="240"/>
      <c r="BC795" s="240"/>
      <c r="BE795" s="240"/>
      <c r="BG795" s="240"/>
      <c r="BH795" s="240"/>
      <c r="BJ795" s="240"/>
      <c r="BK795" s="240"/>
      <c r="BM795" s="240"/>
      <c r="BO795" s="240"/>
      <c r="BP795" s="240"/>
      <c r="BQ795" s="240"/>
      <c r="BR795" s="240"/>
      <c r="BS795" s="297"/>
      <c r="BT795" s="240"/>
      <c r="BU795" s="240"/>
      <c r="BV795" s="240"/>
      <c r="BW795" s="240"/>
      <c r="BX795" s="240"/>
      <c r="BY795" s="240"/>
      <c r="BZ795" s="240"/>
      <c r="CA795" s="240"/>
      <c r="CB795" s="240"/>
      <c r="CC795" s="240"/>
      <c r="CD795" s="240"/>
      <c r="CE795" s="240"/>
      <c r="CF795" s="240"/>
      <c r="CG795" s="240"/>
      <c r="CH795" s="240"/>
      <c r="CI795" s="240"/>
      <c r="CJ795" s="240"/>
      <c r="CK795" s="240"/>
      <c r="CL795" s="240"/>
      <c r="CM795" s="240"/>
      <c r="CN795" s="240"/>
      <c r="CO795" s="240"/>
      <c r="CP795" s="240"/>
      <c r="CQ795" s="240"/>
      <c r="CR795" s="240"/>
      <c r="CS795" s="240"/>
      <c r="CT795" s="240"/>
      <c r="CU795" s="240"/>
      <c r="CV795" s="240"/>
      <c r="CW795" s="240"/>
      <c r="CX795" s="240"/>
      <c r="CY795" s="240"/>
      <c r="CZ795" s="240"/>
      <c r="DA795" s="240"/>
      <c r="DB795" s="240"/>
      <c r="DC795" s="240"/>
      <c r="DD795" s="240"/>
      <c r="DE795" s="240"/>
      <c r="DF795" s="240"/>
      <c r="DG795" s="240"/>
      <c r="DH795" s="240"/>
      <c r="DI795" s="240"/>
      <c r="DJ795" s="240"/>
      <c r="DK795" s="240"/>
      <c r="DL795" s="240"/>
      <c r="DM795" s="240"/>
      <c r="DN795" s="240"/>
      <c r="DO795" s="240"/>
      <c r="DP795" s="240"/>
      <c r="DQ795" s="240"/>
      <c r="DR795" s="240"/>
      <c r="DS795" s="240"/>
      <c r="DT795" s="240"/>
      <c r="DU795" s="240"/>
      <c r="DV795" s="240"/>
      <c r="DW795" s="240"/>
      <c r="DX795" s="240"/>
      <c r="DY795" s="240"/>
      <c r="DZ795" s="240"/>
      <c r="EA795" s="240"/>
      <c r="EB795" s="240"/>
      <c r="EC795" s="240"/>
      <c r="ED795" s="240"/>
      <c r="EE795" s="240"/>
      <c r="EF795" s="240"/>
      <c r="EG795" s="240"/>
      <c r="EH795" s="240"/>
      <c r="EI795" s="240"/>
      <c r="EJ795" s="240"/>
      <c r="EK795" s="240"/>
      <c r="EL795" s="359"/>
      <c r="EM795" s="245">
        <f>EN795+EO795+EP795</f>
        <v>39.200000000000003</v>
      </c>
      <c r="EN795" s="245" t="str">
        <f>AW795</f>
        <v>39.2</v>
      </c>
      <c r="EO795" s="245"/>
      <c r="EP795" s="245"/>
      <c r="EQ795" s="254"/>
      <c r="ER795" s="240"/>
      <c r="ES795" s="240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193"/>
    </row>
    <row r="796" spans="1:189" s="243" customFormat="1" ht="11.45" hidden="1" customHeight="1">
      <c r="B796" s="244"/>
      <c r="C796" s="240"/>
      <c r="D796" s="240"/>
      <c r="E796" s="240"/>
      <c r="F796" s="240"/>
      <c r="G796" s="240"/>
      <c r="H796" s="240"/>
      <c r="I796" s="240"/>
      <c r="J796" s="240"/>
      <c r="K796" s="240"/>
      <c r="L796" s="297"/>
      <c r="M796" s="297"/>
      <c r="N796" s="297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0"/>
      <c r="AO796" s="240"/>
      <c r="AP796" s="240"/>
      <c r="AQ796" s="240"/>
      <c r="AR796" s="240"/>
      <c r="AS796" s="240"/>
      <c r="AT796" s="240"/>
      <c r="AU796" s="240"/>
      <c r="AV796" s="240"/>
      <c r="AW796" s="240"/>
      <c r="AX796" s="240"/>
      <c r="AY796" s="240"/>
      <c r="AZ796" s="240"/>
      <c r="BA796" s="240"/>
      <c r="BB796" s="240"/>
      <c r="BC796" s="240"/>
      <c r="BD796" s="240"/>
      <c r="BE796" s="240"/>
      <c r="BF796" s="240"/>
      <c r="BG796" s="240"/>
      <c r="BH796" s="240"/>
      <c r="BI796" s="240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97"/>
      <c r="BT796" s="240"/>
      <c r="BU796" s="240"/>
      <c r="BV796" s="240"/>
      <c r="BW796" s="240"/>
      <c r="BX796" s="240"/>
      <c r="BY796" s="240"/>
      <c r="BZ796" s="240"/>
      <c r="CA796" s="240"/>
      <c r="CB796" s="240"/>
      <c r="CC796" s="240"/>
      <c r="CD796" s="240"/>
      <c r="CE796" s="240"/>
      <c r="CF796" s="240"/>
      <c r="CG796" s="240"/>
      <c r="CH796" s="240"/>
      <c r="CI796" s="240"/>
      <c r="CJ796" s="240"/>
      <c r="CK796" s="240"/>
      <c r="CL796" s="240"/>
      <c r="CM796" s="240"/>
      <c r="CN796" s="240"/>
      <c r="CO796" s="240"/>
      <c r="CP796" s="240"/>
      <c r="CQ796" s="240"/>
      <c r="CR796" s="240"/>
      <c r="CS796" s="240"/>
      <c r="CT796" s="240"/>
      <c r="CU796" s="240"/>
      <c r="CV796" s="240"/>
      <c r="CW796" s="240"/>
      <c r="CX796" s="240"/>
      <c r="CY796" s="240"/>
      <c r="CZ796" s="240"/>
      <c r="DA796" s="240"/>
      <c r="DB796" s="240"/>
      <c r="DC796" s="240"/>
      <c r="DD796" s="240"/>
      <c r="DE796" s="240"/>
      <c r="DF796" s="240"/>
      <c r="DG796" s="240"/>
      <c r="DH796" s="240"/>
      <c r="DI796" s="240"/>
      <c r="DJ796" s="240"/>
      <c r="DK796" s="240"/>
      <c r="DL796" s="240"/>
      <c r="DM796" s="240"/>
      <c r="DN796" s="240"/>
      <c r="DO796" s="240"/>
      <c r="DP796" s="240"/>
      <c r="DQ796" s="240"/>
      <c r="DR796" s="240"/>
      <c r="DS796" s="240"/>
      <c r="DT796" s="240"/>
      <c r="DU796" s="240"/>
      <c r="DV796" s="240"/>
      <c r="DW796" s="240"/>
      <c r="DX796" s="240"/>
      <c r="DY796" s="240"/>
      <c r="DZ796" s="240"/>
      <c r="EA796" s="240"/>
      <c r="EB796" s="240"/>
      <c r="EC796" s="240"/>
      <c r="ED796" s="240"/>
      <c r="EE796" s="240"/>
      <c r="EF796" s="240"/>
      <c r="EG796" s="240"/>
      <c r="EH796" s="240"/>
      <c r="EI796" s="240"/>
      <c r="EJ796" s="240"/>
      <c r="EK796" s="240"/>
      <c r="EL796" s="359"/>
      <c r="EM796" s="245"/>
      <c r="EN796" s="245"/>
      <c r="EO796" s="245"/>
      <c r="EP796" s="245"/>
      <c r="EQ796" s="254"/>
      <c r="ER796" s="240"/>
      <c r="ES796" s="240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193"/>
    </row>
    <row r="797" spans="1:189" s="243" customFormat="1" ht="11.45" hidden="1" customHeight="1">
      <c r="B797" s="244"/>
      <c r="C797" s="240"/>
      <c r="D797" s="240" t="s">
        <v>675</v>
      </c>
      <c r="E797" s="240"/>
      <c r="F797" s="240"/>
      <c r="G797" s="240" t="s">
        <v>734</v>
      </c>
      <c r="H797" s="240"/>
      <c r="I797" s="240"/>
      <c r="J797" s="240" t="s">
        <v>733</v>
      </c>
      <c r="K797" s="240"/>
      <c r="L797" s="297"/>
      <c r="M797" s="297" t="s">
        <v>132</v>
      </c>
      <c r="N797" s="297"/>
      <c r="O797" s="240" t="s">
        <v>748</v>
      </c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 t="s">
        <v>749</v>
      </c>
      <c r="AB797" s="240"/>
      <c r="AC797" s="240"/>
      <c r="AD797" s="240"/>
      <c r="AE797" s="240"/>
      <c r="AF797" s="240"/>
      <c r="AG797" s="240"/>
      <c r="AH797" s="240"/>
      <c r="AI797" s="240"/>
      <c r="AK797" s="240"/>
      <c r="AL797" s="240"/>
      <c r="AM797" s="240"/>
      <c r="AN797" s="240"/>
      <c r="AO797" s="240"/>
      <c r="AP797" s="240"/>
      <c r="AQ797" s="240"/>
      <c r="AR797" s="240"/>
      <c r="AS797" s="240"/>
      <c r="AT797" s="240"/>
      <c r="AU797" s="240"/>
      <c r="AV797" s="240"/>
      <c r="AW797" s="240"/>
      <c r="AX797" s="240"/>
      <c r="AY797" s="240"/>
      <c r="AZ797" s="240"/>
      <c r="BA797" s="240"/>
      <c r="BB797" s="240"/>
      <c r="BC797" s="240"/>
      <c r="BD797" s="240"/>
      <c r="BE797" s="240"/>
      <c r="BF797" s="240"/>
      <c r="BG797" s="240"/>
      <c r="BH797" s="240"/>
      <c r="BI797" s="240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97"/>
      <c r="BT797" s="240"/>
      <c r="BU797" s="240"/>
      <c r="BV797" s="240"/>
      <c r="BW797" s="240"/>
      <c r="BX797" s="240"/>
      <c r="BY797" s="240"/>
      <c r="BZ797" s="240"/>
      <c r="CA797" s="240"/>
      <c r="CB797" s="240"/>
      <c r="CC797" s="240"/>
      <c r="CD797" s="240"/>
      <c r="CE797" s="240"/>
      <c r="CF797" s="240"/>
      <c r="CG797" s="240"/>
      <c r="CH797" s="240"/>
      <c r="CI797" s="240"/>
      <c r="CJ797" s="240"/>
      <c r="CK797" s="240"/>
      <c r="CL797" s="240"/>
      <c r="CM797" s="240"/>
      <c r="CN797" s="240"/>
      <c r="CO797" s="240"/>
      <c r="CP797" s="240"/>
      <c r="CQ797" s="240"/>
      <c r="CR797" s="240"/>
      <c r="CS797" s="240"/>
      <c r="CT797" s="240"/>
      <c r="CU797" s="240"/>
      <c r="CV797" s="240"/>
      <c r="CW797" s="240"/>
      <c r="CX797" s="240"/>
      <c r="CY797" s="240"/>
      <c r="CZ797" s="240"/>
      <c r="DA797" s="240"/>
      <c r="DB797" s="240"/>
      <c r="DC797" s="240"/>
      <c r="DD797" s="240"/>
      <c r="DE797" s="240"/>
      <c r="DF797" s="240"/>
      <c r="DG797" s="240"/>
      <c r="DH797" s="240"/>
      <c r="DI797" s="240"/>
      <c r="DJ797" s="240"/>
      <c r="DK797" s="240"/>
      <c r="DL797" s="240"/>
      <c r="DM797" s="240"/>
      <c r="DN797" s="240"/>
      <c r="DO797" s="240"/>
      <c r="DP797" s="240"/>
      <c r="DQ797" s="240"/>
      <c r="DR797" s="240"/>
      <c r="DS797" s="240"/>
      <c r="DT797" s="240"/>
      <c r="DU797" s="240"/>
      <c r="DV797" s="240"/>
      <c r="DW797" s="240"/>
      <c r="DX797" s="240"/>
      <c r="DY797" s="240"/>
      <c r="DZ797" s="240"/>
      <c r="EA797" s="240"/>
      <c r="EB797" s="240"/>
      <c r="EC797" s="240"/>
      <c r="ED797" s="240"/>
      <c r="EE797" s="240"/>
      <c r="EF797" s="240"/>
      <c r="EG797" s="240"/>
      <c r="EH797" s="240"/>
      <c r="EI797" s="240"/>
      <c r="EJ797" s="240"/>
      <c r="EK797" s="240"/>
      <c r="EL797" s="359"/>
      <c r="EM797" s="245"/>
      <c r="EN797" s="245"/>
      <c r="EO797" s="245"/>
      <c r="EP797" s="245"/>
      <c r="EQ797" s="254"/>
      <c r="ER797" s="240"/>
      <c r="ES797" s="240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193"/>
    </row>
    <row r="798" spans="1:189" s="243" customFormat="1" ht="11.45" hidden="1" customHeight="1">
      <c r="B798" s="244"/>
      <c r="C798" s="240"/>
      <c r="D798" s="240"/>
      <c r="E798" s="240"/>
      <c r="F798" s="240"/>
      <c r="G798" s="240" t="s">
        <v>616</v>
      </c>
      <c r="H798" s="240"/>
      <c r="I798" s="240"/>
      <c r="J798" s="240"/>
      <c r="K798" s="240"/>
      <c r="L798" s="297"/>
      <c r="M798" s="297" t="s">
        <v>132</v>
      </c>
      <c r="N798" s="307"/>
      <c r="O798" s="240"/>
      <c r="P798" s="1775" t="e">
        <f>토목기계경비!$J$162</f>
        <v>#REF!</v>
      </c>
      <c r="Q798" s="1775"/>
      <c r="R798" s="1775"/>
      <c r="S798" s="1775"/>
      <c r="T798" s="1775"/>
      <c r="U798" s="240" t="s">
        <v>683</v>
      </c>
      <c r="V798" s="240"/>
      <c r="W798" s="240"/>
      <c r="X798" s="240" t="str">
        <f>TEXT(AX792,"#,##0.#######")</f>
        <v>1,000.</v>
      </c>
      <c r="Z798" s="240"/>
      <c r="AA798" s="240" t="s">
        <v>134</v>
      </c>
      <c r="AC798" s="240" t="e">
        <f>TEXT(TRUNC(P798/AX792,1),"#,##0.#")</f>
        <v>#REF!</v>
      </c>
      <c r="AD798" s="240"/>
      <c r="AE798" s="240"/>
      <c r="AF798" s="240"/>
      <c r="AH798" s="240"/>
      <c r="AJ798" s="240"/>
      <c r="AK798" s="240"/>
      <c r="AL798" s="240"/>
      <c r="AM798" s="240"/>
      <c r="AN798" s="240"/>
      <c r="AO798" s="240"/>
      <c r="AP798" s="240"/>
      <c r="AQ798" s="240"/>
      <c r="AR798" s="240"/>
      <c r="AS798" s="240"/>
      <c r="AT798" s="240"/>
      <c r="AU798" s="240"/>
      <c r="AV798" s="240"/>
      <c r="AW798" s="240"/>
      <c r="AX798" s="240"/>
      <c r="AY798" s="240"/>
      <c r="AZ798" s="240"/>
      <c r="BA798" s="240"/>
      <c r="BB798" s="240"/>
      <c r="BC798" s="240"/>
      <c r="BD798" s="240"/>
      <c r="BE798" s="240"/>
      <c r="BF798" s="240"/>
      <c r="BG798" s="240"/>
      <c r="BH798" s="240"/>
      <c r="BI798" s="240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97"/>
      <c r="BT798" s="240"/>
      <c r="BU798" s="240"/>
      <c r="BV798" s="240"/>
      <c r="BW798" s="240"/>
      <c r="BX798" s="240"/>
      <c r="BY798" s="240"/>
      <c r="BZ798" s="240"/>
      <c r="CA798" s="240"/>
      <c r="CB798" s="240"/>
      <c r="CC798" s="240"/>
      <c r="CD798" s="240"/>
      <c r="CE798" s="240"/>
      <c r="CF798" s="240"/>
      <c r="CG798" s="240"/>
      <c r="CH798" s="240"/>
      <c r="CI798" s="240"/>
      <c r="CJ798" s="240"/>
      <c r="CK798" s="240"/>
      <c r="CL798" s="240"/>
      <c r="CM798" s="240"/>
      <c r="CN798" s="240"/>
      <c r="CO798" s="240"/>
      <c r="CP798" s="240"/>
      <c r="CQ798" s="240"/>
      <c r="CR798" s="240"/>
      <c r="CS798" s="240"/>
      <c r="CT798" s="240"/>
      <c r="CU798" s="240"/>
      <c r="CV798" s="240"/>
      <c r="CW798" s="240"/>
      <c r="CX798" s="240"/>
      <c r="CY798" s="240"/>
      <c r="CZ798" s="240"/>
      <c r="DA798" s="240"/>
      <c r="DB798" s="240"/>
      <c r="DC798" s="240"/>
      <c r="DD798" s="240"/>
      <c r="DE798" s="240"/>
      <c r="DF798" s="240"/>
      <c r="DG798" s="240"/>
      <c r="DH798" s="240"/>
      <c r="DI798" s="240"/>
      <c r="DJ798" s="240"/>
      <c r="DK798" s="240"/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240"/>
      <c r="DV798" s="240"/>
      <c r="DW798" s="240"/>
      <c r="DX798" s="240"/>
      <c r="DY798" s="240"/>
      <c r="DZ798" s="240"/>
      <c r="EA798" s="240"/>
      <c r="EB798" s="240"/>
      <c r="EC798" s="240"/>
      <c r="ED798" s="240"/>
      <c r="EE798" s="240"/>
      <c r="EF798" s="240"/>
      <c r="EG798" s="240"/>
      <c r="EH798" s="240"/>
      <c r="EI798" s="240"/>
      <c r="EJ798" s="240"/>
      <c r="EK798" s="240"/>
      <c r="EL798" s="359"/>
      <c r="EM798" s="245"/>
      <c r="EN798" s="245"/>
      <c r="EO798" s="245"/>
      <c r="EP798" s="245"/>
      <c r="EQ798" s="254"/>
      <c r="ER798" s="240"/>
      <c r="ES798" s="240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193"/>
    </row>
    <row r="799" spans="1:189" s="243" customFormat="1" ht="11.45" hidden="1" customHeight="1">
      <c r="B799" s="244"/>
      <c r="C799" s="240"/>
      <c r="D799" s="240"/>
      <c r="E799" s="240"/>
      <c r="F799" s="240"/>
      <c r="G799" s="240" t="s">
        <v>617</v>
      </c>
      <c r="H799" s="240"/>
      <c r="I799" s="240"/>
      <c r="J799" s="240"/>
      <c r="K799" s="240"/>
      <c r="L799" s="297"/>
      <c r="M799" s="297" t="s">
        <v>132</v>
      </c>
      <c r="N799" s="307"/>
      <c r="O799" s="240"/>
      <c r="P799" s="1775" t="e">
        <f>토목기계경비!$K$162</f>
        <v>#REF!</v>
      </c>
      <c r="Q799" s="1775"/>
      <c r="R799" s="1775"/>
      <c r="S799" s="1775"/>
      <c r="T799" s="1775"/>
      <c r="U799" s="240" t="s">
        <v>683</v>
      </c>
      <c r="V799" s="240"/>
      <c r="W799" s="240"/>
      <c r="X799" s="240" t="str">
        <f>TEXT(AX792,"#,##0.#######")</f>
        <v>1,000.</v>
      </c>
      <c r="Z799" s="240"/>
      <c r="AA799" s="240" t="s">
        <v>134</v>
      </c>
      <c r="AC799" s="240" t="e">
        <f>TEXT(TRUNC(P799/AX792,1),"#,##0.#")</f>
        <v>#REF!</v>
      </c>
      <c r="AD799" s="240"/>
      <c r="AE799" s="240"/>
      <c r="AF799" s="240"/>
      <c r="AH799" s="240"/>
      <c r="AI799" s="240"/>
      <c r="AJ799" s="240"/>
      <c r="AL799" s="240"/>
      <c r="AM799" s="240"/>
      <c r="AN799" s="240"/>
      <c r="AO799" s="240"/>
      <c r="AP799" s="240"/>
      <c r="AQ799" s="240"/>
      <c r="AR799" s="240"/>
      <c r="AS799" s="240"/>
      <c r="AT799" s="240"/>
      <c r="AU799" s="240"/>
      <c r="AV799" s="240"/>
      <c r="AW799" s="240"/>
      <c r="AX799" s="240"/>
      <c r="AY799" s="240"/>
      <c r="AZ799" s="240"/>
      <c r="BA799" s="240"/>
      <c r="BB799" s="240"/>
      <c r="BC799" s="240"/>
      <c r="BD799" s="240"/>
      <c r="BE799" s="240"/>
      <c r="BF799" s="240"/>
      <c r="BG799" s="240"/>
      <c r="BH799" s="240"/>
      <c r="BI799" s="240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97"/>
      <c r="BT799" s="240"/>
      <c r="BU799" s="240"/>
      <c r="BV799" s="240"/>
      <c r="BW799" s="240"/>
      <c r="BX799" s="240"/>
      <c r="BY799" s="240"/>
      <c r="BZ799" s="240"/>
      <c r="CA799" s="240"/>
      <c r="CB799" s="240"/>
      <c r="CC799" s="240"/>
      <c r="CD799" s="240"/>
      <c r="CE799" s="240"/>
      <c r="CF799" s="240"/>
      <c r="CG799" s="240"/>
      <c r="CH799" s="240"/>
      <c r="CI799" s="240"/>
      <c r="CJ799" s="240"/>
      <c r="CK799" s="240"/>
      <c r="CL799" s="240"/>
      <c r="CM799" s="240"/>
      <c r="CN799" s="240"/>
      <c r="CO799" s="240"/>
      <c r="CP799" s="240"/>
      <c r="CQ799" s="240"/>
      <c r="CR799" s="240"/>
      <c r="CS799" s="240"/>
      <c r="CT799" s="240"/>
      <c r="CU799" s="240"/>
      <c r="CV799" s="240"/>
      <c r="CW799" s="240"/>
      <c r="CX799" s="240"/>
      <c r="CY799" s="240"/>
      <c r="CZ799" s="240"/>
      <c r="DA799" s="240"/>
      <c r="DB799" s="240"/>
      <c r="DC799" s="240"/>
      <c r="DD799" s="240"/>
      <c r="DE799" s="240"/>
      <c r="DF799" s="240"/>
      <c r="DG799" s="240"/>
      <c r="DH799" s="240"/>
      <c r="DI799" s="240"/>
      <c r="DJ799" s="240"/>
      <c r="DK799" s="240"/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240"/>
      <c r="DV799" s="240"/>
      <c r="DW799" s="240"/>
      <c r="DX799" s="240"/>
      <c r="DY799" s="240"/>
      <c r="DZ799" s="240"/>
      <c r="EA799" s="240"/>
      <c r="EB799" s="240"/>
      <c r="EC799" s="240"/>
      <c r="ED799" s="240"/>
      <c r="EE799" s="240"/>
      <c r="EF799" s="240"/>
      <c r="EG799" s="240"/>
      <c r="EH799" s="240"/>
      <c r="EI799" s="240"/>
      <c r="EJ799" s="240"/>
      <c r="EK799" s="240"/>
      <c r="EL799" s="359"/>
      <c r="EM799" s="245"/>
      <c r="EN799" s="245"/>
      <c r="EO799" s="245"/>
      <c r="EP799" s="245"/>
      <c r="EQ799" s="254"/>
      <c r="ER799" s="240"/>
      <c r="ES799" s="240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193"/>
    </row>
    <row r="800" spans="1:189" s="243" customFormat="1" ht="11.45" hidden="1" customHeight="1">
      <c r="B800" s="244"/>
      <c r="C800" s="240"/>
      <c r="D800" s="240"/>
      <c r="E800" s="240"/>
      <c r="F800" s="240"/>
      <c r="G800" s="240" t="s">
        <v>679</v>
      </c>
      <c r="H800" s="240"/>
      <c r="I800" s="240" t="s">
        <v>680</v>
      </c>
      <c r="J800" s="240"/>
      <c r="L800" s="297"/>
      <c r="M800" s="297" t="s">
        <v>132</v>
      </c>
      <c r="N800" s="307"/>
      <c r="O800" s="240"/>
      <c r="P800" s="1775">
        <f>토목기계경비!$L$162</f>
        <v>687</v>
      </c>
      <c r="Q800" s="1775"/>
      <c r="R800" s="1775"/>
      <c r="S800" s="1775"/>
      <c r="T800" s="1775"/>
      <c r="U800" s="240" t="s">
        <v>683</v>
      </c>
      <c r="V800" s="240"/>
      <c r="W800" s="240"/>
      <c r="X800" s="240" t="str">
        <f>TEXT(AX792,"#,##0.#######")</f>
        <v>1,000.</v>
      </c>
      <c r="Z800" s="240"/>
      <c r="AA800" s="240" t="s">
        <v>134</v>
      </c>
      <c r="AC800" s="240" t="str">
        <f>TEXT(TRUNC(P800/AX792,1),"#,##0.#")</f>
        <v>0.6</v>
      </c>
      <c r="AD800" s="240"/>
      <c r="AE800" s="240"/>
      <c r="AF800" s="240"/>
      <c r="AH800" s="240"/>
      <c r="AI800" s="240"/>
      <c r="AJ800" s="240"/>
      <c r="AK800" s="240"/>
      <c r="AM800" s="240"/>
      <c r="AN800" s="240"/>
      <c r="AO800" s="240"/>
      <c r="AP800" s="240"/>
      <c r="AQ800" s="240"/>
      <c r="AR800" s="240"/>
      <c r="AS800" s="240"/>
      <c r="AT800" s="240"/>
      <c r="AU800" s="240"/>
      <c r="AV800" s="240"/>
      <c r="AW800" s="240"/>
      <c r="AX800" s="240"/>
      <c r="AY800" s="240"/>
      <c r="AZ800" s="240"/>
      <c r="BA800" s="240"/>
      <c r="BB800" s="240"/>
      <c r="BC800" s="240"/>
      <c r="BD800" s="240"/>
      <c r="BE800" s="240"/>
      <c r="BF800" s="240"/>
      <c r="BG800" s="240"/>
      <c r="BH800" s="240"/>
      <c r="BI800" s="240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97"/>
      <c r="BT800" s="240"/>
      <c r="BU800" s="240"/>
      <c r="BV800" s="240"/>
      <c r="BW800" s="240"/>
      <c r="BX800" s="240"/>
      <c r="BY800" s="240"/>
      <c r="BZ800" s="240"/>
      <c r="CA800" s="240"/>
      <c r="CB800" s="240"/>
      <c r="CC800" s="240"/>
      <c r="CD800" s="240"/>
      <c r="CE800" s="240"/>
      <c r="CF800" s="240"/>
      <c r="CG800" s="240"/>
      <c r="CH800" s="240"/>
      <c r="CI800" s="240"/>
      <c r="CJ800" s="240"/>
      <c r="CK800" s="240"/>
      <c r="CL800" s="240"/>
      <c r="CM800" s="240"/>
      <c r="CN800" s="240"/>
      <c r="CO800" s="240"/>
      <c r="CP800" s="240"/>
      <c r="CQ800" s="240"/>
      <c r="CR800" s="240"/>
      <c r="CS800" s="240"/>
      <c r="CT800" s="240"/>
      <c r="CU800" s="240"/>
      <c r="CV800" s="240"/>
      <c r="CW800" s="240"/>
      <c r="CX800" s="240"/>
      <c r="CY800" s="240"/>
      <c r="CZ800" s="240"/>
      <c r="DA800" s="240"/>
      <c r="DB800" s="240"/>
      <c r="DC800" s="240"/>
      <c r="DD800" s="240"/>
      <c r="DE800" s="240"/>
      <c r="DF800" s="240"/>
      <c r="DG800" s="240"/>
      <c r="DH800" s="240"/>
      <c r="DI800" s="240"/>
      <c r="DJ800" s="240"/>
      <c r="DK800" s="240"/>
      <c r="DL800" s="240"/>
      <c r="DM800" s="240"/>
      <c r="DN800" s="240"/>
      <c r="DO800" s="240"/>
      <c r="DP800" s="240"/>
      <c r="DQ800" s="240"/>
      <c r="DR800" s="240"/>
      <c r="DS800" s="240"/>
      <c r="DT800" s="240"/>
      <c r="DU800" s="240"/>
      <c r="DV800" s="240"/>
      <c r="DW800" s="240"/>
      <c r="DX800" s="240"/>
      <c r="DY800" s="240"/>
      <c r="DZ800" s="240"/>
      <c r="EA800" s="240"/>
      <c r="EB800" s="240"/>
      <c r="EC800" s="240"/>
      <c r="ED800" s="240"/>
      <c r="EE800" s="240"/>
      <c r="EF800" s="240"/>
      <c r="EG800" s="240"/>
      <c r="EH800" s="240"/>
      <c r="EI800" s="240"/>
      <c r="EJ800" s="240"/>
      <c r="EK800" s="240"/>
      <c r="EL800" s="359"/>
      <c r="EM800" s="245"/>
      <c r="EN800" s="245"/>
      <c r="EO800" s="245"/>
      <c r="EP800" s="245"/>
      <c r="EQ800" s="254"/>
      <c r="ER800" s="240"/>
      <c r="ES800" s="240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193"/>
    </row>
    <row r="801" spans="2:189" s="243" customFormat="1" ht="11.45" hidden="1" customHeight="1">
      <c r="B801" s="244"/>
      <c r="C801" s="240"/>
      <c r="D801" s="240"/>
      <c r="E801" s="240"/>
      <c r="F801" s="240"/>
      <c r="G801" s="240" t="s">
        <v>688</v>
      </c>
      <c r="H801" s="240"/>
      <c r="I801" s="240" t="s">
        <v>96</v>
      </c>
      <c r="J801" s="240"/>
      <c r="L801" s="297"/>
      <c r="M801" s="297" t="s">
        <v>132</v>
      </c>
      <c r="N801" s="307"/>
      <c r="O801" s="240"/>
      <c r="P801" s="240" t="e">
        <f>TEXT(AC798+AC799+AC800,"#,##0.#######")</f>
        <v>#REF!</v>
      </c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F801" s="240"/>
      <c r="AG801" s="240"/>
      <c r="AH801" s="240"/>
      <c r="AI801" s="240"/>
      <c r="AJ801" s="240"/>
      <c r="AK801" s="240"/>
      <c r="AL801" s="240"/>
      <c r="AM801" s="240"/>
      <c r="AN801" s="240"/>
      <c r="AO801" s="240"/>
      <c r="AP801" s="240"/>
      <c r="AQ801" s="240"/>
      <c r="AR801" s="240"/>
      <c r="AS801" s="240"/>
      <c r="AT801" s="240"/>
      <c r="AU801" s="240"/>
      <c r="AV801" s="240"/>
      <c r="AW801" s="240"/>
      <c r="AX801" s="240"/>
      <c r="AY801" s="240"/>
      <c r="AZ801" s="240"/>
      <c r="BA801" s="240"/>
      <c r="BB801" s="240"/>
      <c r="BC801" s="240"/>
      <c r="BD801" s="240"/>
      <c r="BE801" s="240"/>
      <c r="BF801" s="240"/>
      <c r="BG801" s="240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297"/>
      <c r="BT801" s="240"/>
      <c r="BU801" s="240"/>
      <c r="BV801" s="240"/>
      <c r="BW801" s="240"/>
      <c r="BX801" s="240"/>
      <c r="BY801" s="240"/>
      <c r="BZ801" s="240"/>
      <c r="CA801" s="240"/>
      <c r="CB801" s="240"/>
      <c r="CC801" s="240"/>
      <c r="CD801" s="240"/>
      <c r="CE801" s="240"/>
      <c r="CF801" s="240"/>
      <c r="CG801" s="240"/>
      <c r="CH801" s="240"/>
      <c r="CI801" s="240"/>
      <c r="CJ801" s="240"/>
      <c r="CK801" s="240"/>
      <c r="CL801" s="240"/>
      <c r="CM801" s="240"/>
      <c r="CN801" s="240"/>
      <c r="CO801" s="240"/>
      <c r="CP801" s="240"/>
      <c r="CQ801" s="240"/>
      <c r="CR801" s="240"/>
      <c r="CS801" s="240"/>
      <c r="CT801" s="240"/>
      <c r="CU801" s="240"/>
      <c r="CV801" s="240"/>
      <c r="CW801" s="240"/>
      <c r="CX801" s="240"/>
      <c r="CY801" s="240"/>
      <c r="CZ801" s="240"/>
      <c r="DA801" s="240"/>
      <c r="DB801" s="240"/>
      <c r="DC801" s="240"/>
      <c r="DD801" s="240"/>
      <c r="DE801" s="240"/>
      <c r="DF801" s="240"/>
      <c r="DG801" s="240"/>
      <c r="DH801" s="240"/>
      <c r="DI801" s="240"/>
      <c r="DJ801" s="240"/>
      <c r="DK801" s="240"/>
      <c r="DL801" s="240"/>
      <c r="DM801" s="240"/>
      <c r="DN801" s="240"/>
      <c r="DO801" s="240"/>
      <c r="DP801" s="240"/>
      <c r="DQ801" s="240"/>
      <c r="DR801" s="240"/>
      <c r="DS801" s="240"/>
      <c r="DT801" s="240"/>
      <c r="DU801" s="240"/>
      <c r="DV801" s="240"/>
      <c r="DW801" s="240"/>
      <c r="DX801" s="240"/>
      <c r="DY801" s="240"/>
      <c r="DZ801" s="240"/>
      <c r="EA801" s="240"/>
      <c r="EB801" s="240"/>
      <c r="EC801" s="240"/>
      <c r="ED801" s="240"/>
      <c r="EE801" s="240"/>
      <c r="EF801" s="240"/>
      <c r="EG801" s="240"/>
      <c r="EH801" s="240"/>
      <c r="EI801" s="240"/>
      <c r="EJ801" s="240"/>
      <c r="EK801" s="240"/>
      <c r="EL801" s="359"/>
      <c r="EM801" s="245" t="e">
        <f>EN801+EO801+EP801</f>
        <v>#REF!</v>
      </c>
      <c r="EN801" s="245" t="e">
        <f>TEXT(AC798,"#,###.0")</f>
        <v>#REF!</v>
      </c>
      <c r="EO801" s="245" t="e">
        <f>TEXT(AC799,"#,###.0")</f>
        <v>#REF!</v>
      </c>
      <c r="EP801" s="245" t="str">
        <f>TEXT(AC800,"#,###.0")</f>
        <v>.6</v>
      </c>
      <c r="EQ801" s="254"/>
      <c r="ER801" s="240"/>
      <c r="ES801" s="240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193"/>
    </row>
    <row r="802" spans="2:189" s="243" customFormat="1" ht="11.45" hidden="1" customHeight="1">
      <c r="B802" s="244"/>
      <c r="C802" s="240"/>
      <c r="D802" s="240"/>
      <c r="E802" s="240"/>
      <c r="F802" s="240"/>
      <c r="G802" s="240"/>
      <c r="H802" s="240"/>
      <c r="I802" s="240"/>
      <c r="J802" s="240"/>
      <c r="K802" s="240"/>
      <c r="L802" s="297"/>
      <c r="M802" s="297"/>
      <c r="N802" s="297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0"/>
      <c r="AO802" s="240"/>
      <c r="AP802" s="240"/>
      <c r="AQ802" s="240"/>
      <c r="AR802" s="240"/>
      <c r="AS802" s="240"/>
      <c r="AT802" s="240"/>
      <c r="AU802" s="240"/>
      <c r="AV802" s="240"/>
      <c r="AW802" s="240"/>
      <c r="AX802" s="240"/>
      <c r="AY802" s="240"/>
      <c r="AZ802" s="240"/>
      <c r="BA802" s="240"/>
      <c r="BB802" s="240"/>
      <c r="BC802" s="240"/>
      <c r="BD802" s="240"/>
      <c r="BE802" s="240"/>
      <c r="BF802" s="240"/>
      <c r="BG802" s="240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297"/>
      <c r="BT802" s="240"/>
      <c r="BU802" s="240"/>
      <c r="BV802" s="240"/>
      <c r="BW802" s="240"/>
      <c r="BX802" s="240"/>
      <c r="BY802" s="240"/>
      <c r="BZ802" s="240"/>
      <c r="CA802" s="240"/>
      <c r="CB802" s="240"/>
      <c r="CC802" s="240"/>
      <c r="CD802" s="240"/>
      <c r="CE802" s="240"/>
      <c r="CF802" s="240"/>
      <c r="CG802" s="240"/>
      <c r="CH802" s="240"/>
      <c r="CI802" s="240"/>
      <c r="CJ802" s="240"/>
      <c r="CK802" s="240"/>
      <c r="CL802" s="240"/>
      <c r="CM802" s="240"/>
      <c r="CN802" s="240"/>
      <c r="CO802" s="240"/>
      <c r="CP802" s="240"/>
      <c r="CQ802" s="240"/>
      <c r="CR802" s="240"/>
      <c r="CS802" s="240"/>
      <c r="CT802" s="240"/>
      <c r="CU802" s="240"/>
      <c r="CV802" s="240"/>
      <c r="CW802" s="240"/>
      <c r="CX802" s="240"/>
      <c r="CY802" s="240"/>
      <c r="CZ802" s="240"/>
      <c r="DA802" s="240"/>
      <c r="DB802" s="240"/>
      <c r="DC802" s="240"/>
      <c r="DD802" s="240"/>
      <c r="DE802" s="240"/>
      <c r="DF802" s="240"/>
      <c r="DG802" s="240"/>
      <c r="DH802" s="240"/>
      <c r="DI802" s="240"/>
      <c r="DJ802" s="240"/>
      <c r="DK802" s="240"/>
      <c r="DL802" s="240"/>
      <c r="DM802" s="240"/>
      <c r="DN802" s="240"/>
      <c r="DO802" s="240"/>
      <c r="DP802" s="240"/>
      <c r="DQ802" s="240"/>
      <c r="DR802" s="240"/>
      <c r="DS802" s="240"/>
      <c r="DT802" s="240"/>
      <c r="DU802" s="240"/>
      <c r="DV802" s="240"/>
      <c r="DW802" s="240"/>
      <c r="DX802" s="240"/>
      <c r="DY802" s="240"/>
      <c r="DZ802" s="240"/>
      <c r="EA802" s="240"/>
      <c r="EB802" s="240"/>
      <c r="EC802" s="240"/>
      <c r="ED802" s="240"/>
      <c r="EE802" s="240"/>
      <c r="EF802" s="240"/>
      <c r="EG802" s="240"/>
      <c r="EH802" s="240"/>
      <c r="EI802" s="240"/>
      <c r="EJ802" s="240"/>
      <c r="EK802" s="240"/>
      <c r="EL802" s="359"/>
      <c r="EM802" s="245"/>
      <c r="EN802" s="245"/>
      <c r="EO802" s="245"/>
      <c r="EP802" s="245"/>
      <c r="EQ802" s="254"/>
      <c r="ER802" s="240"/>
      <c r="ES802" s="240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193"/>
    </row>
    <row r="803" spans="2:189" s="243" customFormat="1" ht="11.45" hidden="1" customHeight="1">
      <c r="B803" s="244"/>
      <c r="C803" s="240"/>
      <c r="D803" s="240" t="s">
        <v>677</v>
      </c>
      <c r="E803" s="240"/>
      <c r="F803" s="240"/>
      <c r="G803" s="240" t="s">
        <v>678</v>
      </c>
      <c r="H803" s="240"/>
      <c r="I803" s="240"/>
      <c r="J803" s="240"/>
      <c r="K803" s="240" t="s">
        <v>96</v>
      </c>
      <c r="L803" s="297"/>
      <c r="M803" s="297"/>
      <c r="N803" s="297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0"/>
      <c r="AO803" s="240"/>
      <c r="AP803" s="240"/>
      <c r="AQ803" s="240"/>
      <c r="AR803" s="240"/>
      <c r="AS803" s="240"/>
      <c r="AT803" s="240"/>
      <c r="AU803" s="240"/>
      <c r="AV803" s="240"/>
      <c r="AW803" s="240"/>
      <c r="AX803" s="240"/>
      <c r="AY803" s="240"/>
      <c r="AZ803" s="240"/>
      <c r="BA803" s="240"/>
      <c r="BB803" s="240"/>
      <c r="BC803" s="240"/>
      <c r="BD803" s="240"/>
      <c r="BE803" s="240"/>
      <c r="BF803" s="240"/>
      <c r="BG803" s="240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297"/>
      <c r="BT803" s="240"/>
      <c r="BU803" s="240"/>
      <c r="BV803" s="240"/>
      <c r="BW803" s="240"/>
      <c r="BX803" s="240"/>
      <c r="BY803" s="240"/>
      <c r="BZ803" s="240"/>
      <c r="CA803" s="240"/>
      <c r="CB803" s="240"/>
      <c r="CC803" s="240"/>
      <c r="CD803" s="240"/>
      <c r="CE803" s="240"/>
      <c r="CF803" s="240"/>
      <c r="CG803" s="240"/>
      <c r="CH803" s="240"/>
      <c r="CI803" s="240"/>
      <c r="CJ803" s="240"/>
      <c r="CK803" s="240"/>
      <c r="CL803" s="240"/>
      <c r="CM803" s="240"/>
      <c r="CN803" s="240"/>
      <c r="CO803" s="240"/>
      <c r="CP803" s="240"/>
      <c r="CQ803" s="240"/>
      <c r="CR803" s="240"/>
      <c r="CS803" s="240"/>
      <c r="CT803" s="240"/>
      <c r="CU803" s="240"/>
      <c r="CV803" s="240"/>
      <c r="CW803" s="240"/>
      <c r="CX803" s="240"/>
      <c r="CY803" s="240"/>
      <c r="CZ803" s="240"/>
      <c r="DA803" s="240"/>
      <c r="DB803" s="240"/>
      <c r="DC803" s="240"/>
      <c r="DD803" s="240"/>
      <c r="DE803" s="240"/>
      <c r="DF803" s="240"/>
      <c r="DG803" s="240"/>
      <c r="DH803" s="240"/>
      <c r="DI803" s="240"/>
      <c r="DJ803" s="240"/>
      <c r="DK803" s="240"/>
      <c r="DL803" s="240"/>
      <c r="DM803" s="240"/>
      <c r="DN803" s="240"/>
      <c r="DO803" s="240"/>
      <c r="DP803" s="240"/>
      <c r="DQ803" s="240"/>
      <c r="DR803" s="240"/>
      <c r="DS803" s="240"/>
      <c r="DT803" s="240"/>
      <c r="DU803" s="240"/>
      <c r="DV803" s="240"/>
      <c r="DW803" s="240"/>
      <c r="DX803" s="240"/>
      <c r="DY803" s="240"/>
      <c r="DZ803" s="240"/>
      <c r="EA803" s="240"/>
      <c r="EB803" s="240"/>
      <c r="EC803" s="240"/>
      <c r="ED803" s="240"/>
      <c r="EE803" s="240"/>
      <c r="EF803" s="240"/>
      <c r="EG803" s="240"/>
      <c r="EH803" s="240"/>
      <c r="EI803" s="240"/>
      <c r="EJ803" s="240"/>
      <c r="EK803" s="240"/>
      <c r="EL803" s="359"/>
      <c r="EM803" s="245"/>
      <c r="EN803" s="245"/>
      <c r="EO803" s="245"/>
      <c r="EP803" s="245"/>
      <c r="EQ803" s="254"/>
      <c r="ER803" s="240"/>
      <c r="ES803" s="240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193"/>
    </row>
    <row r="804" spans="2:189" s="243" customFormat="1" ht="11.45" hidden="1" customHeight="1">
      <c r="B804" s="244"/>
      <c r="C804" s="240"/>
      <c r="D804" s="240"/>
      <c r="E804" s="240"/>
      <c r="F804" s="240"/>
      <c r="G804" s="240"/>
      <c r="H804" s="240" t="s">
        <v>616</v>
      </c>
      <c r="I804" s="240"/>
      <c r="J804" s="240"/>
      <c r="K804" s="240"/>
      <c r="L804" s="297"/>
      <c r="M804" s="297" t="s">
        <v>132</v>
      </c>
      <c r="N804" s="297"/>
      <c r="O804" s="240"/>
      <c r="P804" s="240" t="str">
        <f>TEXT(EN795,"#,###.##")</f>
        <v>39.2</v>
      </c>
      <c r="R804" s="240"/>
      <c r="S804" s="240"/>
      <c r="T804" s="240"/>
      <c r="U804" s="240"/>
      <c r="V804" s="240" t="s">
        <v>130</v>
      </c>
      <c r="W804" s="240"/>
      <c r="X804" s="240" t="e">
        <f>TEXT(EN801,"#,###.##")</f>
        <v>#REF!</v>
      </c>
      <c r="Z804" s="240"/>
      <c r="AB804" s="240"/>
      <c r="AC804" s="240"/>
      <c r="AD804" s="240" t="s">
        <v>134</v>
      </c>
      <c r="AE804" s="240"/>
      <c r="AF804" s="240" t="e">
        <f>TEXT(TRUNC(EN795+EN801,0),"#,##0")</f>
        <v>#REF!</v>
      </c>
      <c r="AG804" s="240"/>
      <c r="AH804" s="240"/>
      <c r="AJ804" s="240"/>
      <c r="AK804" s="240"/>
      <c r="AM804" s="240"/>
      <c r="AN804" s="240"/>
      <c r="AO804" s="240"/>
      <c r="AP804" s="240"/>
      <c r="AQ804" s="240"/>
      <c r="AR804" s="240"/>
      <c r="AS804" s="240"/>
      <c r="AT804" s="240"/>
      <c r="AU804" s="240"/>
      <c r="AV804" s="240"/>
      <c r="AW804" s="240"/>
      <c r="AX804" s="240"/>
      <c r="AY804" s="240"/>
      <c r="AZ804" s="240"/>
      <c r="BA804" s="240"/>
      <c r="BB804" s="240"/>
      <c r="BC804" s="240"/>
      <c r="BD804" s="240"/>
      <c r="BE804" s="240"/>
      <c r="BF804" s="240"/>
      <c r="BG804" s="240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297"/>
      <c r="BT804" s="240"/>
      <c r="BU804" s="240"/>
      <c r="BV804" s="240"/>
      <c r="BW804" s="240"/>
      <c r="BX804" s="240"/>
      <c r="BY804" s="240"/>
      <c r="BZ804" s="240"/>
      <c r="CA804" s="240"/>
      <c r="CB804" s="240"/>
      <c r="CC804" s="240"/>
      <c r="CD804" s="240"/>
      <c r="CE804" s="240"/>
      <c r="CF804" s="240"/>
      <c r="CG804" s="240"/>
      <c r="CH804" s="240"/>
      <c r="CI804" s="240"/>
      <c r="CJ804" s="240"/>
      <c r="CK804" s="240"/>
      <c r="CL804" s="240"/>
      <c r="CM804" s="240"/>
      <c r="CN804" s="240"/>
      <c r="CO804" s="240"/>
      <c r="CP804" s="240"/>
      <c r="CQ804" s="240"/>
      <c r="CR804" s="240"/>
      <c r="CS804" s="240"/>
      <c r="CT804" s="240"/>
      <c r="CU804" s="240"/>
      <c r="CV804" s="240"/>
      <c r="CW804" s="240"/>
      <c r="CX804" s="240"/>
      <c r="CY804" s="240"/>
      <c r="CZ804" s="240"/>
      <c r="DA804" s="240"/>
      <c r="DB804" s="240"/>
      <c r="DC804" s="240"/>
      <c r="DD804" s="240"/>
      <c r="DE804" s="240"/>
      <c r="DF804" s="240"/>
      <c r="DG804" s="240"/>
      <c r="DH804" s="240"/>
      <c r="DI804" s="240"/>
      <c r="DJ804" s="240"/>
      <c r="DK804" s="240"/>
      <c r="DL804" s="240"/>
      <c r="DM804" s="240"/>
      <c r="DN804" s="240"/>
      <c r="DO804" s="240"/>
      <c r="DP804" s="240"/>
      <c r="DQ804" s="240"/>
      <c r="DR804" s="240"/>
      <c r="DS804" s="240"/>
      <c r="DT804" s="240"/>
      <c r="DU804" s="240"/>
      <c r="DV804" s="240"/>
      <c r="DW804" s="240"/>
      <c r="DX804" s="240"/>
      <c r="DY804" s="240"/>
      <c r="DZ804" s="240"/>
      <c r="EA804" s="240"/>
      <c r="EB804" s="240"/>
      <c r="EC804" s="240"/>
      <c r="ED804" s="240"/>
      <c r="EE804" s="240"/>
      <c r="EF804" s="240"/>
      <c r="EG804" s="240"/>
      <c r="EH804" s="240"/>
      <c r="EI804" s="240"/>
      <c r="EJ804" s="240"/>
      <c r="EK804" s="240"/>
      <c r="EL804" s="359"/>
      <c r="EM804" s="245"/>
      <c r="EN804" s="245"/>
      <c r="EO804" s="245"/>
      <c r="EP804" s="245"/>
      <c r="EQ804" s="254"/>
      <c r="ER804" s="240"/>
      <c r="ES804" s="240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193"/>
    </row>
    <row r="805" spans="2:189" s="243" customFormat="1" ht="11.45" hidden="1" customHeight="1">
      <c r="B805" s="244"/>
      <c r="C805" s="240"/>
      <c r="D805" s="240"/>
      <c r="E805" s="240"/>
      <c r="F805" s="240"/>
      <c r="G805" s="240"/>
      <c r="H805" s="240" t="s">
        <v>617</v>
      </c>
      <c r="I805" s="240"/>
      <c r="J805" s="240"/>
      <c r="K805" s="240"/>
      <c r="L805" s="297"/>
      <c r="M805" s="297" t="s">
        <v>132</v>
      </c>
      <c r="N805" s="297"/>
      <c r="O805" s="240"/>
      <c r="P805" s="240" t="e">
        <f>TEXT(TRUNC(EO801,0),"#,##0")</f>
        <v>#REF!</v>
      </c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0"/>
      <c r="AO805" s="240"/>
      <c r="AP805" s="240"/>
      <c r="AQ805" s="240"/>
      <c r="AR805" s="240"/>
      <c r="AS805" s="240"/>
      <c r="AT805" s="240"/>
      <c r="AU805" s="240"/>
      <c r="AV805" s="240"/>
      <c r="AW805" s="240"/>
      <c r="AX805" s="240"/>
      <c r="AY805" s="240"/>
      <c r="AZ805" s="240"/>
      <c r="BA805" s="240"/>
      <c r="BB805" s="240"/>
      <c r="BC805" s="240"/>
      <c r="BD805" s="240"/>
      <c r="BE805" s="240"/>
      <c r="BF805" s="240"/>
      <c r="BG805" s="240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297"/>
      <c r="BT805" s="240"/>
      <c r="BU805" s="240"/>
      <c r="BV805" s="240"/>
      <c r="BW805" s="240"/>
      <c r="BX805" s="240"/>
      <c r="BY805" s="240"/>
      <c r="BZ805" s="240"/>
      <c r="CA805" s="240"/>
      <c r="CB805" s="240"/>
      <c r="CC805" s="240"/>
      <c r="CD805" s="240"/>
      <c r="CE805" s="240"/>
      <c r="CF805" s="240"/>
      <c r="CG805" s="240"/>
      <c r="CH805" s="240"/>
      <c r="CI805" s="240"/>
      <c r="CJ805" s="240"/>
      <c r="CK805" s="240"/>
      <c r="CL805" s="240"/>
      <c r="CM805" s="240"/>
      <c r="CN805" s="240"/>
      <c r="CO805" s="240"/>
      <c r="CP805" s="240"/>
      <c r="CQ805" s="240"/>
      <c r="CR805" s="240"/>
      <c r="CS805" s="240"/>
      <c r="CT805" s="240"/>
      <c r="CU805" s="240"/>
      <c r="CV805" s="240"/>
      <c r="CW805" s="240"/>
      <c r="CX805" s="240"/>
      <c r="CY805" s="240"/>
      <c r="CZ805" s="240"/>
      <c r="DA805" s="240"/>
      <c r="DB805" s="240"/>
      <c r="DC805" s="240"/>
      <c r="DD805" s="240"/>
      <c r="DE805" s="240"/>
      <c r="DF805" s="240"/>
      <c r="DG805" s="240"/>
      <c r="DH805" s="240"/>
      <c r="DI805" s="240"/>
      <c r="DJ805" s="240"/>
      <c r="DK805" s="240"/>
      <c r="DL805" s="240"/>
      <c r="DM805" s="240"/>
      <c r="DN805" s="240"/>
      <c r="DO805" s="240"/>
      <c r="DP805" s="240"/>
      <c r="DQ805" s="240"/>
      <c r="DR805" s="240"/>
      <c r="DS805" s="240"/>
      <c r="DT805" s="240"/>
      <c r="DU805" s="240"/>
      <c r="DV805" s="240"/>
      <c r="DW805" s="240"/>
      <c r="DX805" s="240"/>
      <c r="DY805" s="240"/>
      <c r="DZ805" s="240"/>
      <c r="EA805" s="240"/>
      <c r="EB805" s="240"/>
      <c r="EC805" s="240"/>
      <c r="ED805" s="240"/>
      <c r="EE805" s="240"/>
      <c r="EF805" s="240"/>
      <c r="EG805" s="240"/>
      <c r="EH805" s="240"/>
      <c r="EI805" s="240"/>
      <c r="EJ805" s="240"/>
      <c r="EK805" s="240"/>
      <c r="EL805" s="359"/>
      <c r="EM805" s="245"/>
      <c r="EN805" s="245"/>
      <c r="EO805" s="245"/>
      <c r="EP805" s="245"/>
      <c r="EQ805" s="254"/>
      <c r="ER805" s="240"/>
      <c r="ES805" s="240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193"/>
    </row>
    <row r="806" spans="2:189" s="243" customFormat="1" ht="11.45" hidden="1" customHeight="1">
      <c r="B806" s="244"/>
      <c r="C806" s="240"/>
      <c r="D806" s="240"/>
      <c r="E806" s="240"/>
      <c r="F806" s="240"/>
      <c r="G806" s="240"/>
      <c r="H806" s="240" t="s">
        <v>679</v>
      </c>
      <c r="I806" s="240"/>
      <c r="J806" s="297" t="s">
        <v>680</v>
      </c>
      <c r="K806" s="240"/>
      <c r="L806" s="297"/>
      <c r="M806" s="297" t="s">
        <v>132</v>
      </c>
      <c r="N806" s="297"/>
      <c r="O806" s="240"/>
      <c r="P806" s="240" t="str">
        <f>TEXT(TRUNC(EP801,0),"#,##0")</f>
        <v>0</v>
      </c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0"/>
      <c r="AO806" s="240"/>
      <c r="AP806" s="240"/>
      <c r="AQ806" s="240"/>
      <c r="AR806" s="240"/>
      <c r="AS806" s="240"/>
      <c r="AT806" s="240"/>
      <c r="AU806" s="240"/>
      <c r="AV806" s="240"/>
      <c r="AW806" s="240"/>
      <c r="AX806" s="240"/>
      <c r="AY806" s="240"/>
      <c r="AZ806" s="240"/>
      <c r="BA806" s="240"/>
      <c r="BB806" s="240"/>
      <c r="BC806" s="240"/>
      <c r="BD806" s="240"/>
      <c r="BE806" s="240"/>
      <c r="BF806" s="240"/>
      <c r="BG806" s="240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297"/>
      <c r="BT806" s="240"/>
      <c r="BU806" s="240"/>
      <c r="BV806" s="240"/>
      <c r="BW806" s="240"/>
      <c r="BX806" s="240"/>
      <c r="BY806" s="240"/>
      <c r="BZ806" s="240"/>
      <c r="CA806" s="240"/>
      <c r="CB806" s="240"/>
      <c r="CC806" s="240"/>
      <c r="CD806" s="240"/>
      <c r="CE806" s="240"/>
      <c r="CF806" s="240"/>
      <c r="CG806" s="240"/>
      <c r="CH806" s="240"/>
      <c r="CI806" s="240"/>
      <c r="CJ806" s="240"/>
      <c r="CK806" s="240"/>
      <c r="CL806" s="240"/>
      <c r="CM806" s="240"/>
      <c r="CN806" s="240"/>
      <c r="CO806" s="240"/>
      <c r="CP806" s="240"/>
      <c r="CQ806" s="240"/>
      <c r="CR806" s="240"/>
      <c r="CS806" s="240"/>
      <c r="CT806" s="240"/>
      <c r="CU806" s="240"/>
      <c r="CV806" s="240"/>
      <c r="CW806" s="240"/>
      <c r="CX806" s="240"/>
      <c r="CY806" s="240"/>
      <c r="CZ806" s="240"/>
      <c r="DA806" s="240"/>
      <c r="DB806" s="240"/>
      <c r="DC806" s="240"/>
      <c r="DD806" s="240"/>
      <c r="DE806" s="240"/>
      <c r="DF806" s="240"/>
      <c r="DG806" s="240"/>
      <c r="DH806" s="240"/>
      <c r="DI806" s="240"/>
      <c r="DJ806" s="240"/>
      <c r="DK806" s="240"/>
      <c r="DL806" s="240"/>
      <c r="DM806" s="240"/>
      <c r="DN806" s="240"/>
      <c r="DO806" s="240"/>
      <c r="DP806" s="240"/>
      <c r="DQ806" s="240"/>
      <c r="DR806" s="240"/>
      <c r="DS806" s="240"/>
      <c r="DT806" s="240"/>
      <c r="DU806" s="240"/>
      <c r="DV806" s="240"/>
      <c r="DW806" s="240"/>
      <c r="DX806" s="240"/>
      <c r="DY806" s="240"/>
      <c r="DZ806" s="240"/>
      <c r="EA806" s="240"/>
      <c r="EB806" s="240"/>
      <c r="EC806" s="240"/>
      <c r="ED806" s="240"/>
      <c r="EE806" s="240"/>
      <c r="EF806" s="240"/>
      <c r="EG806" s="240"/>
      <c r="EH806" s="240"/>
      <c r="EI806" s="240"/>
      <c r="EJ806" s="240"/>
      <c r="EK806" s="240"/>
      <c r="EL806" s="359"/>
      <c r="EM806" s="245"/>
      <c r="EN806" s="245"/>
      <c r="EO806" s="245"/>
      <c r="EP806" s="245"/>
      <c r="EQ806" s="254"/>
      <c r="ER806" s="240"/>
      <c r="ES806" s="240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193"/>
    </row>
    <row r="807" spans="2:189" s="243" customFormat="1" ht="11.45" hidden="1" customHeight="1">
      <c r="B807" s="244"/>
      <c r="C807" s="240"/>
      <c r="D807" s="240"/>
      <c r="E807" s="240"/>
      <c r="F807" s="240"/>
      <c r="G807" s="240"/>
      <c r="H807" s="240"/>
      <c r="I807" s="240"/>
      <c r="J807" s="240" t="s">
        <v>96</v>
      </c>
      <c r="K807" s="240"/>
      <c r="L807" s="297"/>
      <c r="M807" s="297" t="s">
        <v>132</v>
      </c>
      <c r="N807" s="297"/>
      <c r="O807" s="240"/>
      <c r="P807" s="240" t="e">
        <f>TEXT(AF804+P805+P806,"#,##0")</f>
        <v>#REF!</v>
      </c>
      <c r="Q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0"/>
      <c r="AO807" s="240"/>
      <c r="AP807" s="240"/>
      <c r="AQ807" s="240"/>
      <c r="AR807" s="240"/>
      <c r="AS807" s="240"/>
      <c r="AT807" s="240"/>
      <c r="AU807" s="240"/>
      <c r="AV807" s="240"/>
      <c r="AW807" s="240"/>
      <c r="AX807" s="240"/>
      <c r="AY807" s="240"/>
      <c r="AZ807" s="240"/>
      <c r="BA807" s="240"/>
      <c r="BB807" s="240"/>
      <c r="BC807" s="240"/>
      <c r="BD807" s="240"/>
      <c r="BE807" s="240"/>
      <c r="BF807" s="240"/>
      <c r="BG807" s="240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297"/>
      <c r="BT807" s="240"/>
      <c r="BU807" s="240"/>
      <c r="BV807" s="240"/>
      <c r="BW807" s="240"/>
      <c r="BX807" s="240"/>
      <c r="BY807" s="240"/>
      <c r="BZ807" s="240"/>
      <c r="CA807" s="240"/>
      <c r="CB807" s="240"/>
      <c r="CC807" s="240"/>
      <c r="CD807" s="240"/>
      <c r="CE807" s="240"/>
      <c r="CF807" s="240"/>
      <c r="CG807" s="240"/>
      <c r="CH807" s="240"/>
      <c r="CI807" s="240"/>
      <c r="CJ807" s="240"/>
      <c r="CK807" s="240"/>
      <c r="CL807" s="240"/>
      <c r="CM807" s="240"/>
      <c r="CN807" s="240"/>
      <c r="CO807" s="240"/>
      <c r="CP807" s="240"/>
      <c r="CQ807" s="240"/>
      <c r="CR807" s="240"/>
      <c r="CS807" s="240"/>
      <c r="CT807" s="240"/>
      <c r="CU807" s="240"/>
      <c r="CV807" s="240"/>
      <c r="CW807" s="240"/>
      <c r="CX807" s="240"/>
      <c r="CY807" s="240"/>
      <c r="CZ807" s="240"/>
      <c r="DA807" s="240"/>
      <c r="DB807" s="240"/>
      <c r="DC807" s="240"/>
      <c r="DD807" s="240"/>
      <c r="DE807" s="240"/>
      <c r="DF807" s="240"/>
      <c r="DG807" s="240"/>
      <c r="DH807" s="240"/>
      <c r="DI807" s="240"/>
      <c r="DJ807" s="240"/>
      <c r="DK807" s="240"/>
      <c r="DL807" s="240"/>
      <c r="DM807" s="240"/>
      <c r="DN807" s="240"/>
      <c r="DO807" s="240"/>
      <c r="DP807" s="240"/>
      <c r="DQ807" s="240"/>
      <c r="DR807" s="240"/>
      <c r="DS807" s="240"/>
      <c r="DT807" s="240"/>
      <c r="DU807" s="240"/>
      <c r="DV807" s="240"/>
      <c r="DW807" s="240"/>
      <c r="DX807" s="240"/>
      <c r="DY807" s="240"/>
      <c r="DZ807" s="240"/>
      <c r="EA807" s="240"/>
      <c r="EB807" s="240"/>
      <c r="EC807" s="240"/>
      <c r="ED807" s="240"/>
      <c r="EE807" s="240"/>
      <c r="EF807" s="240"/>
      <c r="EG807" s="240"/>
      <c r="EH807" s="240"/>
      <c r="EI807" s="240"/>
      <c r="EJ807" s="240"/>
      <c r="EK807" s="240"/>
      <c r="EL807" s="359"/>
      <c r="EM807" s="250" t="e">
        <f>EN807+EO807+EP807</f>
        <v>#REF!</v>
      </c>
      <c r="EN807" s="245" t="e">
        <f>TEXT(AF804,"#,##0")</f>
        <v>#REF!</v>
      </c>
      <c r="EO807" s="245" t="e">
        <f>TEXT(P805,"#,##0")</f>
        <v>#REF!</v>
      </c>
      <c r="EP807" s="245" t="str">
        <f>TEXT(P806,"#,##0")</f>
        <v>0</v>
      </c>
      <c r="EQ807" s="254"/>
      <c r="ER807" s="240"/>
      <c r="ES807" s="240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193"/>
    </row>
    <row r="808" spans="2:189" s="243" customFormat="1" ht="11.45" hidden="1" customHeight="1">
      <c r="B808" s="244"/>
      <c r="C808" s="240"/>
      <c r="D808" s="240"/>
      <c r="E808" s="240"/>
      <c r="F808" s="240"/>
      <c r="G808" s="240"/>
      <c r="H808" s="240"/>
      <c r="I808" s="240"/>
      <c r="J808" s="240"/>
      <c r="K808" s="240"/>
      <c r="L808" s="297"/>
      <c r="M808" s="297"/>
      <c r="N808" s="297"/>
      <c r="O808" s="240"/>
      <c r="P808" s="240"/>
      <c r="Q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0"/>
      <c r="AO808" s="240"/>
      <c r="AP808" s="240"/>
      <c r="AQ808" s="240"/>
      <c r="AR808" s="240"/>
      <c r="AS808" s="240"/>
      <c r="AT808" s="240"/>
      <c r="AU808" s="240"/>
      <c r="AV808" s="240"/>
      <c r="AW808" s="240"/>
      <c r="AX808" s="240"/>
      <c r="AY808" s="240"/>
      <c r="AZ808" s="240"/>
      <c r="BA808" s="240"/>
      <c r="BB808" s="240"/>
      <c r="BC808" s="240"/>
      <c r="BD808" s="240"/>
      <c r="BE808" s="240"/>
      <c r="BF808" s="240"/>
      <c r="BG808" s="240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297"/>
      <c r="BT808" s="240"/>
      <c r="BU808" s="240"/>
      <c r="BV808" s="240"/>
      <c r="BW808" s="240"/>
      <c r="BX808" s="240"/>
      <c r="BY808" s="240"/>
      <c r="BZ808" s="240"/>
      <c r="CA808" s="240"/>
      <c r="CB808" s="240"/>
      <c r="CC808" s="240"/>
      <c r="CD808" s="240"/>
      <c r="CE808" s="240"/>
      <c r="CF808" s="240"/>
      <c r="CG808" s="240"/>
      <c r="CH808" s="240"/>
      <c r="CI808" s="240"/>
      <c r="CJ808" s="240"/>
      <c r="CK808" s="240"/>
      <c r="CL808" s="240"/>
      <c r="CM808" s="240"/>
      <c r="CN808" s="240"/>
      <c r="CO808" s="240"/>
      <c r="CP808" s="240"/>
      <c r="CQ808" s="240"/>
      <c r="CR808" s="240"/>
      <c r="CS808" s="240"/>
      <c r="CT808" s="240"/>
      <c r="CU808" s="240"/>
      <c r="CV808" s="240"/>
      <c r="CW808" s="240"/>
      <c r="CX808" s="240"/>
      <c r="CY808" s="240"/>
      <c r="CZ808" s="240"/>
      <c r="DA808" s="240"/>
      <c r="DB808" s="240"/>
      <c r="DC808" s="240"/>
      <c r="DD808" s="240"/>
      <c r="DE808" s="240"/>
      <c r="DF808" s="240"/>
      <c r="DG808" s="240"/>
      <c r="DH808" s="240"/>
      <c r="DI808" s="240"/>
      <c r="DJ808" s="240"/>
      <c r="DK808" s="240"/>
      <c r="DL808" s="240"/>
      <c r="DM808" s="240"/>
      <c r="DN808" s="240"/>
      <c r="DO808" s="240"/>
      <c r="DP808" s="240"/>
      <c r="DQ808" s="240"/>
      <c r="DR808" s="240"/>
      <c r="DS808" s="240"/>
      <c r="DT808" s="240"/>
      <c r="DU808" s="240"/>
      <c r="DV808" s="240"/>
      <c r="DW808" s="240"/>
      <c r="DX808" s="240"/>
      <c r="DY808" s="240"/>
      <c r="DZ808" s="240"/>
      <c r="EA808" s="240"/>
      <c r="EB808" s="240"/>
      <c r="EC808" s="240"/>
      <c r="ED808" s="240"/>
      <c r="EE808" s="240"/>
      <c r="EF808" s="240"/>
      <c r="EG808" s="240"/>
      <c r="EH808" s="240"/>
      <c r="EI808" s="240"/>
      <c r="EJ808" s="240"/>
      <c r="EK808" s="240"/>
      <c r="EL808" s="359"/>
      <c r="EM808" s="250"/>
      <c r="EN808" s="245"/>
      <c r="EO808" s="245"/>
      <c r="EP808" s="245"/>
      <c r="EQ808" s="254"/>
      <c r="ER808" s="240"/>
      <c r="ES808" s="240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193"/>
    </row>
    <row r="809" spans="2:189" s="243" customFormat="1" ht="11.45" hidden="1" customHeight="1">
      <c r="B809" s="244"/>
      <c r="C809" s="240"/>
      <c r="D809" s="240"/>
      <c r="E809" s="240"/>
      <c r="F809" s="240"/>
      <c r="G809" s="240"/>
      <c r="H809" s="240"/>
      <c r="I809" s="240"/>
      <c r="J809" s="240"/>
      <c r="K809" s="240"/>
      <c r="L809" s="297"/>
      <c r="M809" s="297"/>
      <c r="N809" s="297"/>
      <c r="O809" s="240"/>
      <c r="P809" s="240"/>
      <c r="Q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0"/>
      <c r="AO809" s="240"/>
      <c r="AP809" s="240"/>
      <c r="AQ809" s="240"/>
      <c r="AR809" s="240"/>
      <c r="AS809" s="240"/>
      <c r="AT809" s="240"/>
      <c r="AU809" s="240"/>
      <c r="AV809" s="240"/>
      <c r="AW809" s="240"/>
      <c r="AX809" s="240"/>
      <c r="AY809" s="240"/>
      <c r="AZ809" s="240"/>
      <c r="BA809" s="240"/>
      <c r="BB809" s="240"/>
      <c r="BC809" s="240"/>
      <c r="BD809" s="240"/>
      <c r="BE809" s="240"/>
      <c r="BF809" s="240"/>
      <c r="BG809" s="240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297"/>
      <c r="BT809" s="240"/>
      <c r="BU809" s="240"/>
      <c r="BV809" s="240"/>
      <c r="BW809" s="240"/>
      <c r="BX809" s="240"/>
      <c r="BY809" s="240"/>
      <c r="BZ809" s="240"/>
      <c r="CA809" s="240"/>
      <c r="CB809" s="240"/>
      <c r="CC809" s="240"/>
      <c r="CD809" s="240"/>
      <c r="CE809" s="240"/>
      <c r="CF809" s="240"/>
      <c r="CG809" s="240"/>
      <c r="CH809" s="240"/>
      <c r="CI809" s="240"/>
      <c r="CJ809" s="240"/>
      <c r="CK809" s="240"/>
      <c r="CL809" s="240"/>
      <c r="CM809" s="240"/>
      <c r="CN809" s="240"/>
      <c r="CO809" s="240"/>
      <c r="CP809" s="240"/>
      <c r="CQ809" s="240"/>
      <c r="CR809" s="240"/>
      <c r="CS809" s="240"/>
      <c r="CT809" s="240"/>
      <c r="CU809" s="240"/>
      <c r="CV809" s="240"/>
      <c r="CW809" s="240"/>
      <c r="CX809" s="240"/>
      <c r="CY809" s="240"/>
      <c r="CZ809" s="240"/>
      <c r="DA809" s="240"/>
      <c r="DB809" s="240"/>
      <c r="DC809" s="240"/>
      <c r="DD809" s="240"/>
      <c r="DE809" s="240"/>
      <c r="DF809" s="240"/>
      <c r="DG809" s="240"/>
      <c r="DH809" s="240"/>
      <c r="DI809" s="240"/>
      <c r="DJ809" s="240"/>
      <c r="DK809" s="240"/>
      <c r="DL809" s="240"/>
      <c r="DM809" s="240"/>
      <c r="DN809" s="240"/>
      <c r="DO809" s="240"/>
      <c r="DP809" s="240"/>
      <c r="DQ809" s="240"/>
      <c r="DR809" s="240"/>
      <c r="DS809" s="240"/>
      <c r="DT809" s="240"/>
      <c r="DU809" s="240"/>
      <c r="DV809" s="240"/>
      <c r="DW809" s="240"/>
      <c r="DX809" s="240"/>
      <c r="DY809" s="240"/>
      <c r="DZ809" s="240"/>
      <c r="EA809" s="240"/>
      <c r="EB809" s="240"/>
      <c r="EC809" s="240"/>
      <c r="ED809" s="240"/>
      <c r="EE809" s="240"/>
      <c r="EF809" s="240"/>
      <c r="EG809" s="240"/>
      <c r="EH809" s="240"/>
      <c r="EI809" s="240"/>
      <c r="EJ809" s="240"/>
      <c r="EK809" s="240"/>
      <c r="EL809" s="359"/>
      <c r="EM809" s="250"/>
      <c r="EN809" s="245"/>
      <c r="EO809" s="245"/>
      <c r="EP809" s="245"/>
      <c r="EQ809" s="254"/>
      <c r="ER809" s="240"/>
      <c r="ES809" s="240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193"/>
    </row>
    <row r="810" spans="2:189" s="243" customFormat="1" ht="11.45" hidden="1" customHeight="1">
      <c r="B810" s="244"/>
      <c r="C810" s="240"/>
      <c r="D810" s="240"/>
      <c r="E810" s="240"/>
      <c r="F810" s="240"/>
      <c r="G810" s="240"/>
      <c r="H810" s="240"/>
      <c r="I810" s="240"/>
      <c r="J810" s="240"/>
      <c r="K810" s="240"/>
      <c r="L810" s="297"/>
      <c r="M810" s="297"/>
      <c r="N810" s="297"/>
      <c r="O810" s="240"/>
      <c r="P810" s="240"/>
      <c r="Q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0"/>
      <c r="AO810" s="240"/>
      <c r="AP810" s="240"/>
      <c r="AQ810" s="240"/>
      <c r="AR810" s="240"/>
      <c r="AS810" s="240"/>
      <c r="AT810" s="240"/>
      <c r="AU810" s="240"/>
      <c r="AV810" s="240"/>
      <c r="AW810" s="240"/>
      <c r="AX810" s="240"/>
      <c r="AY810" s="240"/>
      <c r="AZ810" s="240"/>
      <c r="BA810" s="240"/>
      <c r="BB810" s="240"/>
      <c r="BC810" s="240"/>
      <c r="BD810" s="240"/>
      <c r="BE810" s="240"/>
      <c r="BF810" s="240"/>
      <c r="BG810" s="240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297"/>
      <c r="BT810" s="240"/>
      <c r="BU810" s="240"/>
      <c r="BV810" s="240"/>
      <c r="BW810" s="240"/>
      <c r="BX810" s="240"/>
      <c r="BY810" s="240"/>
      <c r="BZ810" s="240"/>
      <c r="CA810" s="240"/>
      <c r="CB810" s="240"/>
      <c r="CC810" s="240"/>
      <c r="CD810" s="240"/>
      <c r="CE810" s="240"/>
      <c r="CF810" s="240"/>
      <c r="CG810" s="240"/>
      <c r="CH810" s="240"/>
      <c r="CI810" s="240"/>
      <c r="CJ810" s="240"/>
      <c r="CK810" s="240"/>
      <c r="CL810" s="240"/>
      <c r="CM810" s="240"/>
      <c r="CN810" s="240"/>
      <c r="CO810" s="240"/>
      <c r="CP810" s="240"/>
      <c r="CQ810" s="240"/>
      <c r="CR810" s="240"/>
      <c r="CS810" s="240"/>
      <c r="CT810" s="240"/>
      <c r="CU810" s="240"/>
      <c r="CV810" s="240"/>
      <c r="CW810" s="240"/>
      <c r="CX810" s="240"/>
      <c r="CY810" s="240"/>
      <c r="CZ810" s="240"/>
      <c r="DA810" s="240"/>
      <c r="DB810" s="240"/>
      <c r="DC810" s="240"/>
      <c r="DD810" s="240"/>
      <c r="DE810" s="240"/>
      <c r="DF810" s="240"/>
      <c r="DG810" s="240"/>
      <c r="DH810" s="240"/>
      <c r="DI810" s="240"/>
      <c r="DJ810" s="240"/>
      <c r="DK810" s="240"/>
      <c r="DL810" s="240"/>
      <c r="DM810" s="240"/>
      <c r="DN810" s="240"/>
      <c r="DO810" s="240"/>
      <c r="DP810" s="240"/>
      <c r="DQ810" s="240"/>
      <c r="DR810" s="240"/>
      <c r="DS810" s="240"/>
      <c r="DT810" s="240"/>
      <c r="DU810" s="240"/>
      <c r="DV810" s="240"/>
      <c r="DW810" s="240"/>
      <c r="DX810" s="240"/>
      <c r="DY810" s="240"/>
      <c r="DZ810" s="240"/>
      <c r="EA810" s="240"/>
      <c r="EB810" s="240"/>
      <c r="EC810" s="240"/>
      <c r="ED810" s="240"/>
      <c r="EE810" s="240"/>
      <c r="EF810" s="240"/>
      <c r="EG810" s="240"/>
      <c r="EH810" s="240"/>
      <c r="EI810" s="240"/>
      <c r="EJ810" s="240"/>
      <c r="EK810" s="240"/>
      <c r="EL810" s="359"/>
      <c r="EM810" s="250"/>
      <c r="EN810" s="245"/>
      <c r="EO810" s="245"/>
      <c r="EP810" s="245"/>
      <c r="EQ810" s="254"/>
      <c r="ER810" s="240"/>
      <c r="ES810" s="240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193"/>
    </row>
    <row r="811" spans="2:189" s="243" customFormat="1" ht="11.45" hidden="1" customHeight="1">
      <c r="B811" s="244"/>
      <c r="C811" s="240"/>
      <c r="D811" s="240"/>
      <c r="E811" s="240"/>
      <c r="F811" s="240"/>
      <c r="G811" s="240"/>
      <c r="H811" s="240"/>
      <c r="I811" s="240"/>
      <c r="J811" s="240"/>
      <c r="K811" s="240"/>
      <c r="L811" s="297"/>
      <c r="M811" s="297"/>
      <c r="N811" s="297"/>
      <c r="O811" s="240"/>
      <c r="P811" s="240"/>
      <c r="Q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0"/>
      <c r="AO811" s="240"/>
      <c r="AP811" s="240"/>
      <c r="AQ811" s="240"/>
      <c r="AR811" s="240"/>
      <c r="AS811" s="240"/>
      <c r="AT811" s="240"/>
      <c r="AU811" s="240"/>
      <c r="AV811" s="240"/>
      <c r="AW811" s="240"/>
      <c r="AX811" s="240"/>
      <c r="AY811" s="240"/>
      <c r="AZ811" s="240"/>
      <c r="BA811" s="240"/>
      <c r="BB811" s="240"/>
      <c r="BC811" s="240"/>
      <c r="BD811" s="240"/>
      <c r="BE811" s="240"/>
      <c r="BF811" s="240"/>
      <c r="BG811" s="240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297"/>
      <c r="BT811" s="240"/>
      <c r="BU811" s="240"/>
      <c r="BV811" s="240"/>
      <c r="BW811" s="240"/>
      <c r="BX811" s="240"/>
      <c r="BY811" s="240"/>
      <c r="BZ811" s="240"/>
      <c r="CA811" s="240"/>
      <c r="CB811" s="240"/>
      <c r="CC811" s="240"/>
      <c r="CD811" s="240"/>
      <c r="CE811" s="240"/>
      <c r="CF811" s="240"/>
      <c r="CG811" s="240"/>
      <c r="CH811" s="240"/>
      <c r="CI811" s="240"/>
      <c r="CJ811" s="240"/>
      <c r="CK811" s="240"/>
      <c r="CL811" s="240"/>
      <c r="CM811" s="240"/>
      <c r="CN811" s="240"/>
      <c r="CO811" s="240"/>
      <c r="CP811" s="240"/>
      <c r="CQ811" s="240"/>
      <c r="CR811" s="240"/>
      <c r="CS811" s="240"/>
      <c r="CT811" s="240"/>
      <c r="CU811" s="240"/>
      <c r="CV811" s="240"/>
      <c r="CW811" s="240"/>
      <c r="CX811" s="240"/>
      <c r="CY811" s="240"/>
      <c r="CZ811" s="240"/>
      <c r="DA811" s="240"/>
      <c r="DB811" s="240"/>
      <c r="DC811" s="240"/>
      <c r="DD811" s="240"/>
      <c r="DE811" s="240"/>
      <c r="DF811" s="240"/>
      <c r="DG811" s="240"/>
      <c r="DH811" s="240"/>
      <c r="DI811" s="240"/>
      <c r="DJ811" s="240"/>
      <c r="DK811" s="240"/>
      <c r="DL811" s="240"/>
      <c r="DM811" s="240"/>
      <c r="DN811" s="240"/>
      <c r="DO811" s="240"/>
      <c r="DP811" s="240"/>
      <c r="DQ811" s="240"/>
      <c r="DR811" s="240"/>
      <c r="DS811" s="240"/>
      <c r="DT811" s="240"/>
      <c r="DU811" s="240"/>
      <c r="DV811" s="240"/>
      <c r="DW811" s="240"/>
      <c r="DX811" s="240"/>
      <c r="DY811" s="240"/>
      <c r="DZ811" s="240"/>
      <c r="EA811" s="240"/>
      <c r="EB811" s="240"/>
      <c r="EC811" s="240"/>
      <c r="ED811" s="240"/>
      <c r="EE811" s="240"/>
      <c r="EF811" s="240"/>
      <c r="EG811" s="240"/>
      <c r="EH811" s="240"/>
      <c r="EI811" s="240"/>
      <c r="EJ811" s="240"/>
      <c r="EK811" s="240"/>
      <c r="EL811" s="359"/>
      <c r="EM811" s="250"/>
      <c r="EN811" s="245"/>
      <c r="EO811" s="245"/>
      <c r="EP811" s="245"/>
      <c r="EQ811" s="254"/>
      <c r="ER811" s="240"/>
      <c r="ES811" s="240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193"/>
    </row>
    <row r="812" spans="2:189" s="243" customFormat="1" ht="11.45" hidden="1" customHeight="1">
      <c r="B812" s="244"/>
      <c r="C812" s="240"/>
      <c r="D812" s="240"/>
      <c r="E812" s="240"/>
      <c r="F812" s="240"/>
      <c r="G812" s="240"/>
      <c r="H812" s="240"/>
      <c r="I812" s="240"/>
      <c r="J812" s="240"/>
      <c r="K812" s="240"/>
      <c r="L812" s="297"/>
      <c r="M812" s="297"/>
      <c r="N812" s="297"/>
      <c r="O812" s="240"/>
      <c r="P812" s="240"/>
      <c r="Q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0"/>
      <c r="AO812" s="240"/>
      <c r="AP812" s="240"/>
      <c r="AQ812" s="240"/>
      <c r="AR812" s="240"/>
      <c r="AS812" s="240"/>
      <c r="AT812" s="240"/>
      <c r="AU812" s="240"/>
      <c r="AV812" s="240"/>
      <c r="AW812" s="240"/>
      <c r="AX812" s="240"/>
      <c r="AY812" s="240"/>
      <c r="AZ812" s="240"/>
      <c r="BA812" s="240"/>
      <c r="BB812" s="240"/>
      <c r="BC812" s="240"/>
      <c r="BD812" s="240"/>
      <c r="BE812" s="240"/>
      <c r="BF812" s="240"/>
      <c r="BG812" s="240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297"/>
      <c r="BT812" s="240"/>
      <c r="BU812" s="240"/>
      <c r="BV812" s="240"/>
      <c r="BW812" s="240"/>
      <c r="BX812" s="240"/>
      <c r="BY812" s="240"/>
      <c r="BZ812" s="240"/>
      <c r="CA812" s="240"/>
      <c r="CB812" s="240"/>
      <c r="CC812" s="240"/>
      <c r="CD812" s="240"/>
      <c r="CE812" s="240"/>
      <c r="CF812" s="240"/>
      <c r="CG812" s="240"/>
      <c r="CH812" s="240"/>
      <c r="CI812" s="240"/>
      <c r="CJ812" s="240"/>
      <c r="CK812" s="240"/>
      <c r="CL812" s="240"/>
      <c r="CM812" s="240"/>
      <c r="CN812" s="240"/>
      <c r="CO812" s="240"/>
      <c r="CP812" s="240"/>
      <c r="CQ812" s="240"/>
      <c r="CR812" s="240"/>
      <c r="CS812" s="240"/>
      <c r="CT812" s="240"/>
      <c r="CU812" s="240"/>
      <c r="CV812" s="240"/>
      <c r="CW812" s="240"/>
      <c r="CX812" s="240"/>
      <c r="CY812" s="240"/>
      <c r="CZ812" s="240"/>
      <c r="DA812" s="240"/>
      <c r="DB812" s="240"/>
      <c r="DC812" s="240"/>
      <c r="DD812" s="240"/>
      <c r="DE812" s="240"/>
      <c r="DF812" s="240"/>
      <c r="DG812" s="240"/>
      <c r="DH812" s="240"/>
      <c r="DI812" s="240"/>
      <c r="DJ812" s="240"/>
      <c r="DK812" s="240"/>
      <c r="DL812" s="240"/>
      <c r="DM812" s="240"/>
      <c r="DN812" s="240"/>
      <c r="DO812" s="240"/>
      <c r="DP812" s="240"/>
      <c r="DQ812" s="240"/>
      <c r="DR812" s="240"/>
      <c r="DS812" s="240"/>
      <c r="DT812" s="240"/>
      <c r="DU812" s="240"/>
      <c r="DV812" s="240"/>
      <c r="DW812" s="240"/>
      <c r="DX812" s="240"/>
      <c r="DY812" s="240"/>
      <c r="DZ812" s="240"/>
      <c r="EA812" s="240"/>
      <c r="EB812" s="240"/>
      <c r="EC812" s="240"/>
      <c r="ED812" s="240"/>
      <c r="EE812" s="240"/>
      <c r="EF812" s="240"/>
      <c r="EG812" s="240"/>
      <c r="EH812" s="240"/>
      <c r="EI812" s="240"/>
      <c r="EJ812" s="240"/>
      <c r="EK812" s="240"/>
      <c r="EL812" s="359"/>
      <c r="EM812" s="250"/>
      <c r="EN812" s="245"/>
      <c r="EO812" s="245"/>
      <c r="EP812" s="245"/>
      <c r="EQ812" s="254"/>
      <c r="ER812" s="240"/>
      <c r="ES812" s="240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193"/>
    </row>
    <row r="813" spans="2:189" s="243" customFormat="1" ht="11.45" hidden="1" customHeight="1">
      <c r="B813" s="244"/>
      <c r="C813" s="240"/>
      <c r="D813" s="240"/>
      <c r="E813" s="240"/>
      <c r="F813" s="240"/>
      <c r="G813" s="240"/>
      <c r="H813" s="240"/>
      <c r="I813" s="240"/>
      <c r="J813" s="240"/>
      <c r="K813" s="240"/>
      <c r="L813" s="297"/>
      <c r="M813" s="297"/>
      <c r="N813" s="297"/>
      <c r="O813" s="240"/>
      <c r="P813" s="240"/>
      <c r="Q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0"/>
      <c r="AO813" s="240"/>
      <c r="AP813" s="240"/>
      <c r="AQ813" s="240"/>
      <c r="AR813" s="240"/>
      <c r="AS813" s="240"/>
      <c r="AT813" s="240"/>
      <c r="AU813" s="240"/>
      <c r="AV813" s="240"/>
      <c r="AW813" s="240"/>
      <c r="AX813" s="240"/>
      <c r="AY813" s="240"/>
      <c r="AZ813" s="240"/>
      <c r="BA813" s="240"/>
      <c r="BB813" s="240"/>
      <c r="BC813" s="240"/>
      <c r="BD813" s="240"/>
      <c r="BE813" s="240"/>
      <c r="BF813" s="240"/>
      <c r="BG813" s="240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297"/>
      <c r="BT813" s="240"/>
      <c r="BU813" s="240"/>
      <c r="BV813" s="240"/>
      <c r="BW813" s="240"/>
      <c r="BX813" s="240"/>
      <c r="BY813" s="240"/>
      <c r="BZ813" s="240"/>
      <c r="CA813" s="240"/>
      <c r="CB813" s="240"/>
      <c r="CC813" s="240"/>
      <c r="CD813" s="240"/>
      <c r="CE813" s="240"/>
      <c r="CF813" s="240"/>
      <c r="CG813" s="240"/>
      <c r="CH813" s="240"/>
      <c r="CI813" s="240"/>
      <c r="CJ813" s="240"/>
      <c r="CK813" s="240"/>
      <c r="CL813" s="240"/>
      <c r="CM813" s="240"/>
      <c r="CN813" s="240"/>
      <c r="CO813" s="240"/>
      <c r="CP813" s="240"/>
      <c r="CQ813" s="240"/>
      <c r="CR813" s="240"/>
      <c r="CS813" s="240"/>
      <c r="CT813" s="240"/>
      <c r="CU813" s="240"/>
      <c r="CV813" s="240"/>
      <c r="CW813" s="240"/>
      <c r="CX813" s="240"/>
      <c r="CY813" s="240"/>
      <c r="CZ813" s="240"/>
      <c r="DA813" s="240"/>
      <c r="DB813" s="240"/>
      <c r="DC813" s="240"/>
      <c r="DD813" s="240"/>
      <c r="DE813" s="240"/>
      <c r="DF813" s="240"/>
      <c r="DG813" s="240"/>
      <c r="DH813" s="240"/>
      <c r="DI813" s="240"/>
      <c r="DJ813" s="240"/>
      <c r="DK813" s="240"/>
      <c r="DL813" s="240"/>
      <c r="DM813" s="240"/>
      <c r="DN813" s="240"/>
      <c r="DO813" s="240"/>
      <c r="DP813" s="240"/>
      <c r="DQ813" s="240"/>
      <c r="DR813" s="240"/>
      <c r="DS813" s="240"/>
      <c r="DT813" s="240"/>
      <c r="DU813" s="240"/>
      <c r="DV813" s="240"/>
      <c r="DW813" s="240"/>
      <c r="DX813" s="240"/>
      <c r="DY813" s="240"/>
      <c r="DZ813" s="240"/>
      <c r="EA813" s="240"/>
      <c r="EB813" s="240"/>
      <c r="EC813" s="240"/>
      <c r="ED813" s="240"/>
      <c r="EE813" s="240"/>
      <c r="EF813" s="240"/>
      <c r="EG813" s="240"/>
      <c r="EH813" s="240"/>
      <c r="EI813" s="240"/>
      <c r="EJ813" s="240"/>
      <c r="EK813" s="240"/>
      <c r="EL813" s="359"/>
      <c r="EM813" s="250"/>
      <c r="EN813" s="245"/>
      <c r="EO813" s="245"/>
      <c r="EP813" s="245"/>
      <c r="EQ813" s="254"/>
      <c r="ER813" s="240"/>
      <c r="ES813" s="240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193"/>
    </row>
    <row r="814" spans="2:189" s="243" customFormat="1" ht="11.45" hidden="1" customHeight="1">
      <c r="B814" s="244"/>
      <c r="C814" s="240"/>
      <c r="D814" s="240"/>
      <c r="E814" s="240"/>
      <c r="F814" s="240"/>
      <c r="G814" s="240"/>
      <c r="H814" s="240"/>
      <c r="I814" s="240"/>
      <c r="J814" s="240"/>
      <c r="K814" s="240"/>
      <c r="L814" s="297"/>
      <c r="M814" s="297"/>
      <c r="N814" s="297"/>
      <c r="O814" s="240"/>
      <c r="P814" s="240"/>
      <c r="Q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0"/>
      <c r="AO814" s="240"/>
      <c r="AP814" s="240"/>
      <c r="AQ814" s="240"/>
      <c r="AR814" s="240"/>
      <c r="AS814" s="240"/>
      <c r="AT814" s="240"/>
      <c r="AU814" s="240"/>
      <c r="AV814" s="240"/>
      <c r="AW814" s="240"/>
      <c r="AX814" s="240"/>
      <c r="AY814" s="240"/>
      <c r="AZ814" s="240"/>
      <c r="BA814" s="240"/>
      <c r="BB814" s="240"/>
      <c r="BC814" s="240"/>
      <c r="BD814" s="240"/>
      <c r="BE814" s="240"/>
      <c r="BF814" s="240"/>
      <c r="BG814" s="240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297"/>
      <c r="BT814" s="240"/>
      <c r="BU814" s="240"/>
      <c r="BV814" s="240"/>
      <c r="BW814" s="240"/>
      <c r="BX814" s="240"/>
      <c r="BY814" s="240"/>
      <c r="BZ814" s="240"/>
      <c r="CA814" s="240"/>
      <c r="CB814" s="240"/>
      <c r="CC814" s="240"/>
      <c r="CD814" s="240"/>
      <c r="CE814" s="240"/>
      <c r="CF814" s="240"/>
      <c r="CG814" s="240"/>
      <c r="CH814" s="240"/>
      <c r="CI814" s="240"/>
      <c r="CJ814" s="240"/>
      <c r="CK814" s="240"/>
      <c r="CL814" s="240"/>
      <c r="CM814" s="240"/>
      <c r="CN814" s="240"/>
      <c r="CO814" s="240"/>
      <c r="CP814" s="240"/>
      <c r="CQ814" s="240"/>
      <c r="CR814" s="240"/>
      <c r="CS814" s="240"/>
      <c r="CT814" s="240"/>
      <c r="CU814" s="240"/>
      <c r="CV814" s="240"/>
      <c r="CW814" s="240"/>
      <c r="CX814" s="240"/>
      <c r="CY814" s="240"/>
      <c r="CZ814" s="240"/>
      <c r="DA814" s="240"/>
      <c r="DB814" s="240"/>
      <c r="DC814" s="240"/>
      <c r="DD814" s="240"/>
      <c r="DE814" s="240"/>
      <c r="DF814" s="240"/>
      <c r="DG814" s="240"/>
      <c r="DH814" s="240"/>
      <c r="DI814" s="240"/>
      <c r="DJ814" s="240"/>
      <c r="DK814" s="240"/>
      <c r="DL814" s="240"/>
      <c r="DM814" s="240"/>
      <c r="DN814" s="240"/>
      <c r="DO814" s="240"/>
      <c r="DP814" s="240"/>
      <c r="DQ814" s="240"/>
      <c r="DR814" s="240"/>
      <c r="DS814" s="240"/>
      <c r="DT814" s="240"/>
      <c r="DU814" s="240"/>
      <c r="DV814" s="240"/>
      <c r="DW814" s="240"/>
      <c r="DX814" s="240"/>
      <c r="DY814" s="240"/>
      <c r="DZ814" s="240"/>
      <c r="EA814" s="240"/>
      <c r="EB814" s="240"/>
      <c r="EC814" s="240"/>
      <c r="ED814" s="240"/>
      <c r="EE814" s="240"/>
      <c r="EF814" s="240"/>
      <c r="EG814" s="240"/>
      <c r="EH814" s="240"/>
      <c r="EI814" s="240"/>
      <c r="EJ814" s="240"/>
      <c r="EK814" s="240"/>
      <c r="EL814" s="359"/>
      <c r="EM814" s="250"/>
      <c r="EN814" s="245"/>
      <c r="EO814" s="245"/>
      <c r="EP814" s="245"/>
      <c r="EQ814" s="254"/>
      <c r="ER814" s="240"/>
      <c r="ES814" s="240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193"/>
    </row>
    <row r="815" spans="2:189" s="243" customFormat="1" ht="11.45" hidden="1" customHeight="1">
      <c r="B815" s="244"/>
      <c r="C815" s="240"/>
      <c r="D815" s="240"/>
      <c r="E815" s="240"/>
      <c r="F815" s="240"/>
      <c r="G815" s="240"/>
      <c r="H815" s="240"/>
      <c r="I815" s="240"/>
      <c r="J815" s="240"/>
      <c r="K815" s="240"/>
      <c r="L815" s="297"/>
      <c r="M815" s="297"/>
      <c r="N815" s="297"/>
      <c r="O815" s="240"/>
      <c r="P815" s="240"/>
      <c r="Q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0"/>
      <c r="AO815" s="240"/>
      <c r="AP815" s="240"/>
      <c r="AQ815" s="240"/>
      <c r="AR815" s="240"/>
      <c r="AS815" s="240"/>
      <c r="AT815" s="240"/>
      <c r="AU815" s="240"/>
      <c r="AV815" s="240"/>
      <c r="AW815" s="240"/>
      <c r="AX815" s="240"/>
      <c r="AY815" s="240"/>
      <c r="AZ815" s="240"/>
      <c r="BA815" s="240"/>
      <c r="BB815" s="240"/>
      <c r="BC815" s="240"/>
      <c r="BD815" s="240"/>
      <c r="BE815" s="240"/>
      <c r="BF815" s="240"/>
      <c r="BG815" s="240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297"/>
      <c r="BT815" s="240"/>
      <c r="BU815" s="240"/>
      <c r="BV815" s="240"/>
      <c r="BW815" s="240"/>
      <c r="BX815" s="240"/>
      <c r="BY815" s="240"/>
      <c r="BZ815" s="240"/>
      <c r="CA815" s="240"/>
      <c r="CB815" s="240"/>
      <c r="CC815" s="240"/>
      <c r="CD815" s="240"/>
      <c r="CE815" s="240"/>
      <c r="CF815" s="240"/>
      <c r="CG815" s="240"/>
      <c r="CH815" s="240"/>
      <c r="CI815" s="240"/>
      <c r="CJ815" s="240"/>
      <c r="CK815" s="240"/>
      <c r="CL815" s="240"/>
      <c r="CM815" s="240"/>
      <c r="CN815" s="240"/>
      <c r="CO815" s="240"/>
      <c r="CP815" s="240"/>
      <c r="CQ815" s="240"/>
      <c r="CR815" s="240"/>
      <c r="CS815" s="240"/>
      <c r="CT815" s="240"/>
      <c r="CU815" s="240"/>
      <c r="CV815" s="240"/>
      <c r="CW815" s="240"/>
      <c r="CX815" s="240"/>
      <c r="CY815" s="240"/>
      <c r="CZ815" s="240"/>
      <c r="DA815" s="240"/>
      <c r="DB815" s="240"/>
      <c r="DC815" s="240"/>
      <c r="DD815" s="240"/>
      <c r="DE815" s="240"/>
      <c r="DF815" s="240"/>
      <c r="DG815" s="240"/>
      <c r="DH815" s="240"/>
      <c r="DI815" s="240"/>
      <c r="DJ815" s="240"/>
      <c r="DK815" s="240"/>
      <c r="DL815" s="240"/>
      <c r="DM815" s="240"/>
      <c r="DN815" s="240"/>
      <c r="DO815" s="240"/>
      <c r="DP815" s="240"/>
      <c r="DQ815" s="240"/>
      <c r="DR815" s="240"/>
      <c r="DS815" s="240"/>
      <c r="DT815" s="240"/>
      <c r="DU815" s="240"/>
      <c r="DV815" s="240"/>
      <c r="DW815" s="240"/>
      <c r="DX815" s="240"/>
      <c r="DY815" s="240"/>
      <c r="DZ815" s="240"/>
      <c r="EA815" s="240"/>
      <c r="EB815" s="240"/>
      <c r="EC815" s="240"/>
      <c r="ED815" s="240"/>
      <c r="EE815" s="240"/>
      <c r="EF815" s="240"/>
      <c r="EG815" s="240"/>
      <c r="EH815" s="240"/>
      <c r="EI815" s="240"/>
      <c r="EJ815" s="240"/>
      <c r="EK815" s="240"/>
      <c r="EL815" s="359"/>
      <c r="EM815" s="250"/>
      <c r="EN815" s="245"/>
      <c r="EO815" s="245"/>
      <c r="EP815" s="245"/>
      <c r="EQ815" s="254"/>
      <c r="ER815" s="240"/>
      <c r="ES815" s="240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193"/>
    </row>
    <row r="816" spans="2:189" s="243" customFormat="1" ht="11.45" hidden="1" customHeight="1">
      <c r="B816" s="244"/>
      <c r="C816" s="240"/>
      <c r="D816" s="240"/>
      <c r="E816" s="240"/>
      <c r="F816" s="240"/>
      <c r="G816" s="240"/>
      <c r="H816" s="240"/>
      <c r="I816" s="240"/>
      <c r="J816" s="240"/>
      <c r="K816" s="240"/>
      <c r="L816" s="297"/>
      <c r="M816" s="297"/>
      <c r="N816" s="297"/>
      <c r="O816" s="240"/>
      <c r="P816" s="240"/>
      <c r="Q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0"/>
      <c r="AO816" s="240"/>
      <c r="AP816" s="240"/>
      <c r="AQ816" s="240"/>
      <c r="AR816" s="240"/>
      <c r="AS816" s="240"/>
      <c r="AT816" s="240"/>
      <c r="AU816" s="240"/>
      <c r="AV816" s="240"/>
      <c r="AW816" s="240"/>
      <c r="AX816" s="240"/>
      <c r="AY816" s="240"/>
      <c r="AZ816" s="240"/>
      <c r="BA816" s="240"/>
      <c r="BB816" s="240"/>
      <c r="BC816" s="240"/>
      <c r="BD816" s="240"/>
      <c r="BE816" s="240"/>
      <c r="BF816" s="240"/>
      <c r="BG816" s="240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297"/>
      <c r="BT816" s="240"/>
      <c r="BU816" s="240"/>
      <c r="BV816" s="240"/>
      <c r="BW816" s="240"/>
      <c r="BX816" s="240"/>
      <c r="BY816" s="240"/>
      <c r="BZ816" s="240"/>
      <c r="CA816" s="240"/>
      <c r="CB816" s="240"/>
      <c r="CC816" s="240"/>
      <c r="CD816" s="240"/>
      <c r="CE816" s="240"/>
      <c r="CF816" s="240"/>
      <c r="CG816" s="240"/>
      <c r="CH816" s="240"/>
      <c r="CI816" s="240"/>
      <c r="CJ816" s="240"/>
      <c r="CK816" s="240"/>
      <c r="CL816" s="240"/>
      <c r="CM816" s="240"/>
      <c r="CN816" s="240"/>
      <c r="CO816" s="240"/>
      <c r="CP816" s="240"/>
      <c r="CQ816" s="240"/>
      <c r="CR816" s="240"/>
      <c r="CS816" s="240"/>
      <c r="CT816" s="240"/>
      <c r="CU816" s="240"/>
      <c r="CV816" s="240"/>
      <c r="CW816" s="240"/>
      <c r="CX816" s="240"/>
      <c r="CY816" s="240"/>
      <c r="CZ816" s="240"/>
      <c r="DA816" s="240"/>
      <c r="DB816" s="240"/>
      <c r="DC816" s="240"/>
      <c r="DD816" s="240"/>
      <c r="DE816" s="240"/>
      <c r="DF816" s="240"/>
      <c r="DG816" s="240"/>
      <c r="DH816" s="240"/>
      <c r="DI816" s="240"/>
      <c r="DJ816" s="240"/>
      <c r="DK816" s="240"/>
      <c r="DL816" s="240"/>
      <c r="DM816" s="240"/>
      <c r="DN816" s="240"/>
      <c r="DO816" s="240"/>
      <c r="DP816" s="240"/>
      <c r="DQ816" s="240"/>
      <c r="DR816" s="240"/>
      <c r="DS816" s="240"/>
      <c r="DT816" s="240"/>
      <c r="DU816" s="240"/>
      <c r="DV816" s="240"/>
      <c r="DW816" s="240"/>
      <c r="DX816" s="240"/>
      <c r="DY816" s="240"/>
      <c r="DZ816" s="240"/>
      <c r="EA816" s="240"/>
      <c r="EB816" s="240"/>
      <c r="EC816" s="240"/>
      <c r="ED816" s="240"/>
      <c r="EE816" s="240"/>
      <c r="EF816" s="240"/>
      <c r="EG816" s="240"/>
      <c r="EH816" s="240"/>
      <c r="EI816" s="240"/>
      <c r="EJ816" s="240"/>
      <c r="EK816" s="240"/>
      <c r="EL816" s="359"/>
      <c r="EM816" s="250"/>
      <c r="EN816" s="245"/>
      <c r="EO816" s="245"/>
      <c r="EP816" s="245"/>
      <c r="EQ816" s="254"/>
      <c r="ER816" s="240"/>
      <c r="ES816" s="240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193"/>
    </row>
    <row r="817" spans="2:189" s="243" customFormat="1" ht="11.45" hidden="1" customHeight="1">
      <c r="B817" s="244"/>
      <c r="C817" s="240"/>
      <c r="D817" s="240"/>
      <c r="E817" s="240"/>
      <c r="F817" s="240"/>
      <c r="G817" s="240"/>
      <c r="H817" s="240"/>
      <c r="I817" s="240"/>
      <c r="J817" s="240"/>
      <c r="K817" s="240"/>
      <c r="L817" s="297"/>
      <c r="M817" s="297"/>
      <c r="N817" s="297"/>
      <c r="O817" s="240"/>
      <c r="P817" s="240"/>
      <c r="Q817" s="240"/>
      <c r="S817" s="240"/>
      <c r="T817" s="240"/>
      <c r="U817" s="240"/>
      <c r="V817" s="240"/>
      <c r="W817" s="240"/>
      <c r="X817" s="240"/>
      <c r="Y817" s="240"/>
      <c r="Z817" s="240"/>
      <c r="AA817" s="240"/>
      <c r="AB817" s="240"/>
      <c r="AC817" s="240"/>
      <c r="AD817" s="240"/>
      <c r="AE817" s="240"/>
      <c r="AF817" s="240"/>
      <c r="AG817" s="240"/>
      <c r="AH817" s="240"/>
      <c r="AI817" s="240"/>
      <c r="AJ817" s="240"/>
      <c r="AK817" s="240"/>
      <c r="AL817" s="240"/>
      <c r="AM817" s="240"/>
      <c r="AN817" s="240"/>
      <c r="AO817" s="240"/>
      <c r="AP817" s="240"/>
      <c r="AQ817" s="240"/>
      <c r="AR817" s="240"/>
      <c r="AS817" s="240"/>
      <c r="AT817" s="240"/>
      <c r="AU817" s="240"/>
      <c r="AV817" s="240"/>
      <c r="AW817" s="240"/>
      <c r="AX817" s="240"/>
      <c r="AY817" s="240"/>
      <c r="AZ817" s="240"/>
      <c r="BA817" s="240"/>
      <c r="BB817" s="240"/>
      <c r="BC817" s="240"/>
      <c r="BD817" s="240"/>
      <c r="BE817" s="240"/>
      <c r="BF817" s="240"/>
      <c r="BG817" s="240"/>
      <c r="BH817" s="240"/>
      <c r="BI817" s="240"/>
      <c r="BJ817" s="240"/>
      <c r="BK817" s="240"/>
      <c r="BL817" s="240"/>
      <c r="BM817" s="240"/>
      <c r="BN817" s="240"/>
      <c r="BO817" s="240"/>
      <c r="BP817" s="240"/>
      <c r="BQ817" s="240"/>
      <c r="BR817" s="240"/>
      <c r="BS817" s="297"/>
      <c r="BT817" s="240"/>
      <c r="BU817" s="240"/>
      <c r="BV817" s="240"/>
      <c r="BW817" s="240"/>
      <c r="BX817" s="240"/>
      <c r="BY817" s="240"/>
      <c r="BZ817" s="240"/>
      <c r="CA817" s="240"/>
      <c r="CB817" s="240"/>
      <c r="CC817" s="240"/>
      <c r="CD817" s="240"/>
      <c r="CE817" s="240"/>
      <c r="CF817" s="240"/>
      <c r="CG817" s="240"/>
      <c r="CH817" s="240"/>
      <c r="CI817" s="240"/>
      <c r="CJ817" s="240"/>
      <c r="CK817" s="240"/>
      <c r="CL817" s="240"/>
      <c r="CM817" s="240"/>
      <c r="CN817" s="240"/>
      <c r="CO817" s="240"/>
      <c r="CP817" s="240"/>
      <c r="CQ817" s="240"/>
      <c r="CR817" s="240"/>
      <c r="CS817" s="240"/>
      <c r="CT817" s="240"/>
      <c r="CU817" s="240"/>
      <c r="CV817" s="240"/>
      <c r="CW817" s="240"/>
      <c r="CX817" s="240"/>
      <c r="CY817" s="240"/>
      <c r="CZ817" s="240"/>
      <c r="DA817" s="240"/>
      <c r="DB817" s="240"/>
      <c r="DC817" s="240"/>
      <c r="DD817" s="240"/>
      <c r="DE817" s="240"/>
      <c r="DF817" s="240"/>
      <c r="DG817" s="240"/>
      <c r="DH817" s="240"/>
      <c r="DI817" s="240"/>
      <c r="DJ817" s="240"/>
      <c r="DK817" s="240"/>
      <c r="DL817" s="240"/>
      <c r="DM817" s="240"/>
      <c r="DN817" s="240"/>
      <c r="DO817" s="240"/>
      <c r="DP817" s="240"/>
      <c r="DQ817" s="240"/>
      <c r="DR817" s="240"/>
      <c r="DS817" s="240"/>
      <c r="DT817" s="240"/>
      <c r="DU817" s="240"/>
      <c r="DV817" s="240"/>
      <c r="DW817" s="240"/>
      <c r="DX817" s="240"/>
      <c r="DY817" s="240"/>
      <c r="DZ817" s="240"/>
      <c r="EA817" s="240"/>
      <c r="EB817" s="240"/>
      <c r="EC817" s="240"/>
      <c r="ED817" s="240"/>
      <c r="EE817" s="240"/>
      <c r="EF817" s="240"/>
      <c r="EG817" s="240"/>
      <c r="EH817" s="240"/>
      <c r="EI817" s="240"/>
      <c r="EJ817" s="240"/>
      <c r="EK817" s="240"/>
      <c r="EL817" s="359"/>
      <c r="EM817" s="250"/>
      <c r="EN817" s="245"/>
      <c r="EO817" s="245"/>
      <c r="EP817" s="245"/>
      <c r="EQ817" s="254"/>
      <c r="ER817" s="240"/>
      <c r="ES817" s="240"/>
      <c r="ET817" s="241"/>
      <c r="EU817" s="241"/>
      <c r="EV817" s="241"/>
      <c r="EW817" s="241"/>
      <c r="EX817" s="241"/>
      <c r="EY817" s="241"/>
      <c r="EZ817" s="241"/>
      <c r="FA817" s="241"/>
      <c r="FB817" s="241"/>
      <c r="FC817" s="241"/>
      <c r="FD817" s="241"/>
      <c r="FE817" s="241"/>
      <c r="FF817" s="241"/>
      <c r="FG817" s="241"/>
      <c r="FH817" s="241"/>
      <c r="FI817" s="241"/>
      <c r="FJ817" s="241"/>
      <c r="FK817" s="241"/>
      <c r="FL817" s="241"/>
      <c r="FM817" s="241"/>
      <c r="FN817" s="241"/>
      <c r="FO817" s="241"/>
      <c r="FP817" s="241"/>
      <c r="FQ817" s="241"/>
      <c r="FR817" s="241"/>
      <c r="FS817" s="241"/>
      <c r="FT817" s="241"/>
      <c r="FU817" s="241"/>
      <c r="FV817" s="241"/>
      <c r="FW817" s="241"/>
      <c r="FX817" s="241"/>
      <c r="FY817" s="241"/>
      <c r="FZ817" s="241"/>
      <c r="GA817" s="241"/>
      <c r="GB817" s="241"/>
      <c r="GC817" s="241"/>
      <c r="GD817" s="241"/>
      <c r="GE817" s="241"/>
      <c r="GF817" s="241"/>
      <c r="GG817" s="193"/>
    </row>
    <row r="818" spans="2:189" s="243" customFormat="1" ht="11.45" hidden="1" customHeight="1">
      <c r="B818" s="244"/>
      <c r="C818" s="240"/>
      <c r="D818" s="240"/>
      <c r="E818" s="240"/>
      <c r="F818" s="240"/>
      <c r="G818" s="240"/>
      <c r="H818" s="240"/>
      <c r="I818" s="240"/>
      <c r="J818" s="240"/>
      <c r="K818" s="240"/>
      <c r="L818" s="297"/>
      <c r="M818" s="297"/>
      <c r="N818" s="297"/>
      <c r="O818" s="240"/>
      <c r="P818" s="240"/>
      <c r="Q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0"/>
      <c r="AO818" s="240"/>
      <c r="AP818" s="240"/>
      <c r="AQ818" s="240"/>
      <c r="AR818" s="240"/>
      <c r="AS818" s="240"/>
      <c r="AT818" s="240"/>
      <c r="AU818" s="240"/>
      <c r="AV818" s="240"/>
      <c r="AW818" s="240"/>
      <c r="AX818" s="240"/>
      <c r="AY818" s="240"/>
      <c r="AZ818" s="240"/>
      <c r="BA818" s="240"/>
      <c r="BB818" s="240"/>
      <c r="BC818" s="240"/>
      <c r="BD818" s="240"/>
      <c r="BE818" s="240"/>
      <c r="BF818" s="240"/>
      <c r="BG818" s="240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297"/>
      <c r="BT818" s="240"/>
      <c r="BU818" s="240"/>
      <c r="BV818" s="240"/>
      <c r="BW818" s="240"/>
      <c r="BX818" s="240"/>
      <c r="BY818" s="240"/>
      <c r="BZ818" s="240"/>
      <c r="CA818" s="240"/>
      <c r="CB818" s="240"/>
      <c r="CC818" s="240"/>
      <c r="CD818" s="240"/>
      <c r="CE818" s="240"/>
      <c r="CF818" s="240"/>
      <c r="CG818" s="240"/>
      <c r="CH818" s="240"/>
      <c r="CI818" s="240"/>
      <c r="CJ818" s="240"/>
      <c r="CK818" s="240"/>
      <c r="CL818" s="240"/>
      <c r="CM818" s="240"/>
      <c r="CN818" s="240"/>
      <c r="CO818" s="240"/>
      <c r="CP818" s="240"/>
      <c r="CQ818" s="240"/>
      <c r="CR818" s="240"/>
      <c r="CS818" s="240"/>
      <c r="CT818" s="240"/>
      <c r="CU818" s="240"/>
      <c r="CV818" s="240"/>
      <c r="CW818" s="240"/>
      <c r="CX818" s="240"/>
      <c r="CY818" s="240"/>
      <c r="CZ818" s="240"/>
      <c r="DA818" s="240"/>
      <c r="DB818" s="240"/>
      <c r="DC818" s="240"/>
      <c r="DD818" s="240"/>
      <c r="DE818" s="240"/>
      <c r="DF818" s="240"/>
      <c r="DG818" s="240"/>
      <c r="DH818" s="240"/>
      <c r="DI818" s="240"/>
      <c r="DJ818" s="240"/>
      <c r="DK818" s="240"/>
      <c r="DL818" s="240"/>
      <c r="DM818" s="240"/>
      <c r="DN818" s="240"/>
      <c r="DO818" s="240"/>
      <c r="DP818" s="240"/>
      <c r="DQ818" s="240"/>
      <c r="DR818" s="240"/>
      <c r="DS818" s="240"/>
      <c r="DT818" s="240"/>
      <c r="DU818" s="240"/>
      <c r="DV818" s="240"/>
      <c r="DW818" s="240"/>
      <c r="DX818" s="240"/>
      <c r="DY818" s="240"/>
      <c r="DZ818" s="240"/>
      <c r="EA818" s="240"/>
      <c r="EB818" s="240"/>
      <c r="EC818" s="240"/>
      <c r="ED818" s="240"/>
      <c r="EE818" s="240"/>
      <c r="EF818" s="240"/>
      <c r="EG818" s="240"/>
      <c r="EH818" s="240"/>
      <c r="EI818" s="240"/>
      <c r="EJ818" s="240"/>
      <c r="EK818" s="240"/>
      <c r="EL818" s="359"/>
      <c r="EM818" s="250"/>
      <c r="EN818" s="245"/>
      <c r="EO818" s="245"/>
      <c r="EP818" s="245"/>
      <c r="EQ818" s="254"/>
      <c r="ER818" s="240"/>
      <c r="ES818" s="240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193"/>
    </row>
    <row r="819" spans="2:189" s="243" customFormat="1" ht="11.45" hidden="1" customHeight="1">
      <c r="B819" s="244"/>
      <c r="C819" s="240"/>
      <c r="D819" s="240"/>
      <c r="E819" s="240"/>
      <c r="F819" s="240"/>
      <c r="G819" s="240"/>
      <c r="H819" s="240"/>
      <c r="I819" s="240"/>
      <c r="J819" s="240"/>
      <c r="K819" s="240"/>
      <c r="L819" s="297"/>
      <c r="M819" s="297"/>
      <c r="N819" s="297"/>
      <c r="O819" s="240"/>
      <c r="P819" s="240"/>
      <c r="Q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0"/>
      <c r="AO819" s="240"/>
      <c r="AP819" s="240"/>
      <c r="AQ819" s="240"/>
      <c r="AR819" s="240"/>
      <c r="AS819" s="240"/>
      <c r="AT819" s="240"/>
      <c r="AU819" s="240"/>
      <c r="AV819" s="240"/>
      <c r="AW819" s="240"/>
      <c r="AX819" s="240"/>
      <c r="AY819" s="240"/>
      <c r="AZ819" s="240"/>
      <c r="BA819" s="240"/>
      <c r="BB819" s="240"/>
      <c r="BC819" s="240"/>
      <c r="BD819" s="240"/>
      <c r="BE819" s="240"/>
      <c r="BF819" s="240"/>
      <c r="BG819" s="240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297"/>
      <c r="BT819" s="240"/>
      <c r="BU819" s="240"/>
      <c r="BV819" s="240"/>
      <c r="BW819" s="240"/>
      <c r="BX819" s="240"/>
      <c r="BY819" s="240"/>
      <c r="BZ819" s="240"/>
      <c r="CA819" s="240"/>
      <c r="CB819" s="240"/>
      <c r="CC819" s="240"/>
      <c r="CD819" s="240"/>
      <c r="CE819" s="240"/>
      <c r="CF819" s="240"/>
      <c r="CG819" s="240"/>
      <c r="CH819" s="240"/>
      <c r="CI819" s="240"/>
      <c r="CJ819" s="240"/>
      <c r="CK819" s="240"/>
      <c r="CL819" s="240"/>
      <c r="CM819" s="240"/>
      <c r="CN819" s="240"/>
      <c r="CO819" s="240"/>
      <c r="CP819" s="240"/>
      <c r="CQ819" s="240"/>
      <c r="CR819" s="240"/>
      <c r="CS819" s="240"/>
      <c r="CT819" s="240"/>
      <c r="CU819" s="240"/>
      <c r="CV819" s="240"/>
      <c r="CW819" s="240"/>
      <c r="CX819" s="240"/>
      <c r="CY819" s="240"/>
      <c r="CZ819" s="240"/>
      <c r="DA819" s="240"/>
      <c r="DB819" s="240"/>
      <c r="DC819" s="240"/>
      <c r="DD819" s="240"/>
      <c r="DE819" s="240"/>
      <c r="DF819" s="240"/>
      <c r="DG819" s="240"/>
      <c r="DH819" s="240"/>
      <c r="DI819" s="240"/>
      <c r="DJ819" s="240"/>
      <c r="DK819" s="240"/>
      <c r="DL819" s="240"/>
      <c r="DM819" s="240"/>
      <c r="DN819" s="240"/>
      <c r="DO819" s="240"/>
      <c r="DP819" s="240"/>
      <c r="DQ819" s="240"/>
      <c r="DR819" s="240"/>
      <c r="DS819" s="240"/>
      <c r="DT819" s="240"/>
      <c r="DU819" s="240"/>
      <c r="DV819" s="240"/>
      <c r="DW819" s="240"/>
      <c r="DX819" s="240"/>
      <c r="DY819" s="240"/>
      <c r="DZ819" s="240"/>
      <c r="EA819" s="240"/>
      <c r="EB819" s="240"/>
      <c r="EC819" s="240"/>
      <c r="ED819" s="240"/>
      <c r="EE819" s="240"/>
      <c r="EF819" s="240"/>
      <c r="EG819" s="240"/>
      <c r="EH819" s="240"/>
      <c r="EI819" s="240"/>
      <c r="EJ819" s="240"/>
      <c r="EK819" s="240"/>
      <c r="EL819" s="359"/>
      <c r="EM819" s="250"/>
      <c r="EN819" s="245"/>
      <c r="EO819" s="245"/>
      <c r="EP819" s="245"/>
      <c r="EQ819" s="254"/>
      <c r="ER819" s="240"/>
      <c r="ES819" s="240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193"/>
    </row>
    <row r="820" spans="2:189" s="243" customFormat="1" ht="11.45" hidden="1" customHeight="1">
      <c r="B820" s="244"/>
      <c r="C820" s="240"/>
      <c r="D820" s="240"/>
      <c r="E820" s="240"/>
      <c r="F820" s="240"/>
      <c r="G820" s="240"/>
      <c r="H820" s="240"/>
      <c r="I820" s="240"/>
      <c r="J820" s="240"/>
      <c r="K820" s="240"/>
      <c r="L820" s="297"/>
      <c r="M820" s="297"/>
      <c r="N820" s="297"/>
      <c r="O820" s="240"/>
      <c r="P820" s="240"/>
      <c r="Q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0"/>
      <c r="AO820" s="240"/>
      <c r="AP820" s="240"/>
      <c r="AQ820" s="240"/>
      <c r="AR820" s="240"/>
      <c r="AS820" s="240"/>
      <c r="AT820" s="240"/>
      <c r="AU820" s="240"/>
      <c r="AV820" s="240"/>
      <c r="AW820" s="240"/>
      <c r="AX820" s="240"/>
      <c r="AY820" s="240"/>
      <c r="AZ820" s="240"/>
      <c r="BA820" s="240"/>
      <c r="BB820" s="240"/>
      <c r="BC820" s="240"/>
      <c r="BD820" s="240"/>
      <c r="BE820" s="240"/>
      <c r="BF820" s="240"/>
      <c r="BG820" s="240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297"/>
      <c r="BT820" s="240"/>
      <c r="BU820" s="240"/>
      <c r="BV820" s="240"/>
      <c r="BW820" s="240"/>
      <c r="BX820" s="240"/>
      <c r="BY820" s="240"/>
      <c r="BZ820" s="240"/>
      <c r="CA820" s="240"/>
      <c r="CB820" s="240"/>
      <c r="CC820" s="240"/>
      <c r="CD820" s="240"/>
      <c r="CE820" s="240"/>
      <c r="CF820" s="240"/>
      <c r="CG820" s="240"/>
      <c r="CH820" s="240"/>
      <c r="CI820" s="240"/>
      <c r="CJ820" s="240"/>
      <c r="CK820" s="240"/>
      <c r="CL820" s="240"/>
      <c r="CM820" s="240"/>
      <c r="CN820" s="240"/>
      <c r="CO820" s="240"/>
      <c r="CP820" s="240"/>
      <c r="CQ820" s="240"/>
      <c r="CR820" s="240"/>
      <c r="CS820" s="240"/>
      <c r="CT820" s="240"/>
      <c r="CU820" s="240"/>
      <c r="CV820" s="240"/>
      <c r="CW820" s="240"/>
      <c r="CX820" s="240"/>
      <c r="CY820" s="240"/>
      <c r="CZ820" s="240"/>
      <c r="DA820" s="240"/>
      <c r="DB820" s="240"/>
      <c r="DC820" s="240"/>
      <c r="DD820" s="240"/>
      <c r="DE820" s="240"/>
      <c r="DF820" s="240"/>
      <c r="DG820" s="240"/>
      <c r="DH820" s="240"/>
      <c r="DI820" s="240"/>
      <c r="DJ820" s="240"/>
      <c r="DK820" s="240"/>
      <c r="DL820" s="240"/>
      <c r="DM820" s="240"/>
      <c r="DN820" s="240"/>
      <c r="DO820" s="240"/>
      <c r="DP820" s="240"/>
      <c r="DQ820" s="240"/>
      <c r="DR820" s="240"/>
      <c r="DS820" s="240"/>
      <c r="DT820" s="240"/>
      <c r="DU820" s="240"/>
      <c r="DV820" s="240"/>
      <c r="DW820" s="240"/>
      <c r="DX820" s="240"/>
      <c r="DY820" s="240"/>
      <c r="DZ820" s="240"/>
      <c r="EA820" s="240"/>
      <c r="EB820" s="240"/>
      <c r="EC820" s="240"/>
      <c r="ED820" s="240"/>
      <c r="EE820" s="240"/>
      <c r="EF820" s="240"/>
      <c r="EG820" s="240"/>
      <c r="EH820" s="240"/>
      <c r="EI820" s="240"/>
      <c r="EJ820" s="240"/>
      <c r="EK820" s="240"/>
      <c r="EL820" s="359"/>
      <c r="EM820" s="250"/>
      <c r="EN820" s="245"/>
      <c r="EO820" s="245"/>
      <c r="EP820" s="245"/>
      <c r="EQ820" s="254"/>
      <c r="ER820" s="240"/>
      <c r="ES820" s="240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193"/>
    </row>
    <row r="821" spans="2:189" s="243" customFormat="1" ht="11.45" hidden="1" customHeight="1">
      <c r="B821" s="244"/>
      <c r="C821" s="240"/>
      <c r="D821" s="240"/>
      <c r="E821" s="240"/>
      <c r="F821" s="240"/>
      <c r="G821" s="240"/>
      <c r="H821" s="240"/>
      <c r="I821" s="240"/>
      <c r="J821" s="240"/>
      <c r="K821" s="240"/>
      <c r="L821" s="297"/>
      <c r="M821" s="297"/>
      <c r="N821" s="297"/>
      <c r="O821" s="240"/>
      <c r="P821" s="240"/>
      <c r="Q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0"/>
      <c r="AO821" s="240"/>
      <c r="AP821" s="240"/>
      <c r="AQ821" s="240"/>
      <c r="AR821" s="240"/>
      <c r="AS821" s="240"/>
      <c r="AT821" s="240"/>
      <c r="AU821" s="240"/>
      <c r="AV821" s="240"/>
      <c r="AW821" s="240"/>
      <c r="AX821" s="240"/>
      <c r="AY821" s="240"/>
      <c r="AZ821" s="240"/>
      <c r="BA821" s="240"/>
      <c r="BB821" s="240"/>
      <c r="BC821" s="240"/>
      <c r="BD821" s="240"/>
      <c r="BE821" s="240"/>
      <c r="BF821" s="240"/>
      <c r="BG821" s="240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297"/>
      <c r="BT821" s="240"/>
      <c r="BU821" s="240"/>
      <c r="BV821" s="240"/>
      <c r="BW821" s="240"/>
      <c r="BX821" s="240"/>
      <c r="BY821" s="240"/>
      <c r="BZ821" s="240"/>
      <c r="CA821" s="240"/>
      <c r="CB821" s="240"/>
      <c r="CC821" s="240"/>
      <c r="CD821" s="240"/>
      <c r="CE821" s="240"/>
      <c r="CF821" s="240"/>
      <c r="CG821" s="240"/>
      <c r="CH821" s="240"/>
      <c r="CI821" s="240"/>
      <c r="CJ821" s="240"/>
      <c r="CK821" s="240"/>
      <c r="CL821" s="240"/>
      <c r="CM821" s="240"/>
      <c r="CN821" s="240"/>
      <c r="CO821" s="240"/>
      <c r="CP821" s="240"/>
      <c r="CQ821" s="240"/>
      <c r="CR821" s="240"/>
      <c r="CS821" s="240"/>
      <c r="CT821" s="240"/>
      <c r="CU821" s="240"/>
      <c r="CV821" s="240"/>
      <c r="CW821" s="240"/>
      <c r="CX821" s="240"/>
      <c r="CY821" s="240"/>
      <c r="CZ821" s="240"/>
      <c r="DA821" s="240"/>
      <c r="DB821" s="240"/>
      <c r="DC821" s="240"/>
      <c r="DD821" s="240"/>
      <c r="DE821" s="240"/>
      <c r="DF821" s="240"/>
      <c r="DG821" s="240"/>
      <c r="DH821" s="240"/>
      <c r="DI821" s="240"/>
      <c r="DJ821" s="240"/>
      <c r="DK821" s="240"/>
      <c r="DL821" s="240"/>
      <c r="DM821" s="240"/>
      <c r="DN821" s="240"/>
      <c r="DO821" s="240"/>
      <c r="DP821" s="240"/>
      <c r="DQ821" s="240"/>
      <c r="DR821" s="240"/>
      <c r="DS821" s="240"/>
      <c r="DT821" s="240"/>
      <c r="DU821" s="240"/>
      <c r="DV821" s="240"/>
      <c r="DW821" s="240"/>
      <c r="DX821" s="240"/>
      <c r="DY821" s="240"/>
      <c r="DZ821" s="240"/>
      <c r="EA821" s="240"/>
      <c r="EB821" s="240"/>
      <c r="EC821" s="240"/>
      <c r="ED821" s="240"/>
      <c r="EE821" s="240"/>
      <c r="EF821" s="240"/>
      <c r="EG821" s="240"/>
      <c r="EH821" s="240"/>
      <c r="EI821" s="240"/>
      <c r="EJ821" s="240"/>
      <c r="EK821" s="240"/>
      <c r="EL821" s="359"/>
      <c r="EM821" s="250"/>
      <c r="EN821" s="245"/>
      <c r="EO821" s="245"/>
      <c r="EP821" s="245"/>
      <c r="EQ821" s="254"/>
      <c r="ER821" s="240"/>
      <c r="ES821" s="240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193"/>
    </row>
    <row r="822" spans="2:189" s="243" customFormat="1" ht="11.45" hidden="1" customHeight="1">
      <c r="B822" s="244"/>
      <c r="C822" s="240"/>
      <c r="D822" s="240"/>
      <c r="E822" s="240"/>
      <c r="F822" s="240"/>
      <c r="G822" s="240"/>
      <c r="H822" s="240"/>
      <c r="I822" s="240"/>
      <c r="J822" s="240"/>
      <c r="K822" s="240"/>
      <c r="L822" s="297"/>
      <c r="M822" s="297"/>
      <c r="N822" s="297"/>
      <c r="O822" s="240"/>
      <c r="P822" s="240"/>
      <c r="Q822" s="240"/>
      <c r="S822" s="240"/>
      <c r="T822" s="240"/>
      <c r="U822" s="240"/>
      <c r="V822" s="240"/>
      <c r="W822" s="240"/>
      <c r="X822" s="240"/>
      <c r="Y822" s="240"/>
      <c r="Z822" s="240"/>
      <c r="AA822" s="240"/>
      <c r="AB822" s="240"/>
      <c r="AC822" s="240"/>
      <c r="AD822" s="240"/>
      <c r="AE822" s="240"/>
      <c r="AF822" s="240"/>
      <c r="AG822" s="240"/>
      <c r="AH822" s="240"/>
      <c r="AI822" s="240"/>
      <c r="AJ822" s="240"/>
      <c r="AK822" s="240"/>
      <c r="AL822" s="240"/>
      <c r="AM822" s="240"/>
      <c r="AN822" s="240"/>
      <c r="AO822" s="240"/>
      <c r="AP822" s="240"/>
      <c r="AQ822" s="240"/>
      <c r="AR822" s="240"/>
      <c r="AS822" s="240"/>
      <c r="AT822" s="240"/>
      <c r="AU822" s="240"/>
      <c r="AV822" s="240"/>
      <c r="AW822" s="240"/>
      <c r="AX822" s="240"/>
      <c r="AY822" s="240"/>
      <c r="AZ822" s="240"/>
      <c r="BA822" s="240"/>
      <c r="BB822" s="240"/>
      <c r="BC822" s="240"/>
      <c r="BD822" s="240"/>
      <c r="BE822" s="240"/>
      <c r="BF822" s="240"/>
      <c r="BG822" s="240"/>
      <c r="BH822" s="240"/>
      <c r="BI822" s="240"/>
      <c r="BJ822" s="240"/>
      <c r="BK822" s="240"/>
      <c r="BL822" s="240"/>
      <c r="BM822" s="240"/>
      <c r="BN822" s="240"/>
      <c r="BO822" s="240"/>
      <c r="BP822" s="240"/>
      <c r="BQ822" s="240"/>
      <c r="BR822" s="240"/>
      <c r="BS822" s="297"/>
      <c r="BT822" s="240"/>
      <c r="BU822" s="240"/>
      <c r="BV822" s="240"/>
      <c r="BW822" s="240"/>
      <c r="BX822" s="240"/>
      <c r="BY822" s="240"/>
      <c r="BZ822" s="240"/>
      <c r="CA822" s="240"/>
      <c r="CB822" s="240"/>
      <c r="CC822" s="240"/>
      <c r="CD822" s="240"/>
      <c r="CE822" s="240"/>
      <c r="CF822" s="240"/>
      <c r="CG822" s="240"/>
      <c r="CH822" s="240"/>
      <c r="CI822" s="240"/>
      <c r="CJ822" s="240"/>
      <c r="CK822" s="240"/>
      <c r="CL822" s="240"/>
      <c r="CM822" s="240"/>
      <c r="CN822" s="240"/>
      <c r="CO822" s="240"/>
      <c r="CP822" s="240"/>
      <c r="CQ822" s="240"/>
      <c r="CR822" s="240"/>
      <c r="CS822" s="240"/>
      <c r="CT822" s="240"/>
      <c r="CU822" s="240"/>
      <c r="CV822" s="240"/>
      <c r="CW822" s="240"/>
      <c r="CX822" s="240"/>
      <c r="CY822" s="240"/>
      <c r="CZ822" s="240"/>
      <c r="DA822" s="240"/>
      <c r="DB822" s="240"/>
      <c r="DC822" s="240"/>
      <c r="DD822" s="240"/>
      <c r="DE822" s="240"/>
      <c r="DF822" s="240"/>
      <c r="DG822" s="240"/>
      <c r="DH822" s="240"/>
      <c r="DI822" s="240"/>
      <c r="DJ822" s="240"/>
      <c r="DK822" s="240"/>
      <c r="DL822" s="240"/>
      <c r="DM822" s="240"/>
      <c r="DN822" s="240"/>
      <c r="DO822" s="240"/>
      <c r="DP822" s="240"/>
      <c r="DQ822" s="240"/>
      <c r="DR822" s="240"/>
      <c r="DS822" s="240"/>
      <c r="DT822" s="240"/>
      <c r="DU822" s="240"/>
      <c r="DV822" s="240"/>
      <c r="DW822" s="240"/>
      <c r="DX822" s="240"/>
      <c r="DY822" s="240"/>
      <c r="DZ822" s="240"/>
      <c r="EA822" s="240"/>
      <c r="EB822" s="240"/>
      <c r="EC822" s="240"/>
      <c r="ED822" s="240"/>
      <c r="EE822" s="240"/>
      <c r="EF822" s="240"/>
      <c r="EG822" s="240"/>
      <c r="EH822" s="240"/>
      <c r="EI822" s="240"/>
      <c r="EJ822" s="240"/>
      <c r="EK822" s="240"/>
      <c r="EL822" s="359"/>
      <c r="EM822" s="250"/>
      <c r="EN822" s="245"/>
      <c r="EO822" s="245"/>
      <c r="EP822" s="245"/>
      <c r="EQ822" s="254"/>
      <c r="ER822" s="240"/>
      <c r="ES822" s="240"/>
      <c r="ET822" s="241"/>
      <c r="EU822" s="241"/>
      <c r="EV822" s="241"/>
      <c r="EW822" s="241"/>
      <c r="EX822" s="241"/>
      <c r="EY822" s="241"/>
      <c r="EZ822" s="241"/>
      <c r="FA822" s="241"/>
      <c r="FB822" s="241"/>
      <c r="FC822" s="241"/>
      <c r="FD822" s="241"/>
      <c r="FE822" s="241"/>
      <c r="FF822" s="241"/>
      <c r="FG822" s="241"/>
      <c r="FH822" s="241"/>
      <c r="FI822" s="241"/>
      <c r="FJ822" s="241"/>
      <c r="FK822" s="241"/>
      <c r="FL822" s="241"/>
      <c r="FM822" s="241"/>
      <c r="FN822" s="241"/>
      <c r="FO822" s="241"/>
      <c r="FP822" s="241"/>
      <c r="FQ822" s="241"/>
      <c r="FR822" s="241"/>
      <c r="FS822" s="241"/>
      <c r="FT822" s="241"/>
      <c r="FU822" s="241"/>
      <c r="FV822" s="241"/>
      <c r="FW822" s="241"/>
      <c r="FX822" s="241"/>
      <c r="FY822" s="241"/>
      <c r="FZ822" s="241"/>
      <c r="GA822" s="241"/>
      <c r="GB822" s="241"/>
      <c r="GC822" s="241"/>
      <c r="GD822" s="241"/>
      <c r="GE822" s="241"/>
      <c r="GF822" s="241"/>
      <c r="GG822" s="193"/>
    </row>
    <row r="823" spans="2:189" s="243" customFormat="1" ht="11.45" hidden="1" customHeight="1">
      <c r="B823" s="244"/>
      <c r="C823" s="240"/>
      <c r="D823" s="240"/>
      <c r="E823" s="240"/>
      <c r="F823" s="240"/>
      <c r="G823" s="240"/>
      <c r="H823" s="240"/>
      <c r="I823" s="240"/>
      <c r="J823" s="240"/>
      <c r="K823" s="240"/>
      <c r="L823" s="297"/>
      <c r="M823" s="297"/>
      <c r="N823" s="297"/>
      <c r="O823" s="240"/>
      <c r="P823" s="240"/>
      <c r="Q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0"/>
      <c r="AO823" s="240"/>
      <c r="AP823" s="240"/>
      <c r="AQ823" s="240"/>
      <c r="AR823" s="240"/>
      <c r="AS823" s="240"/>
      <c r="AT823" s="240"/>
      <c r="AU823" s="240"/>
      <c r="AV823" s="240"/>
      <c r="AW823" s="240"/>
      <c r="AX823" s="240"/>
      <c r="AY823" s="240"/>
      <c r="AZ823" s="240"/>
      <c r="BA823" s="240"/>
      <c r="BB823" s="240"/>
      <c r="BC823" s="240"/>
      <c r="BD823" s="240"/>
      <c r="BE823" s="240"/>
      <c r="BF823" s="240"/>
      <c r="BG823" s="240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297"/>
      <c r="BT823" s="240"/>
      <c r="BU823" s="240"/>
      <c r="BV823" s="240"/>
      <c r="BW823" s="240"/>
      <c r="BX823" s="240"/>
      <c r="BY823" s="240"/>
      <c r="BZ823" s="240"/>
      <c r="CA823" s="240"/>
      <c r="CB823" s="240"/>
      <c r="CC823" s="240"/>
      <c r="CD823" s="240"/>
      <c r="CE823" s="240"/>
      <c r="CF823" s="240"/>
      <c r="CG823" s="240"/>
      <c r="CH823" s="240"/>
      <c r="CI823" s="240"/>
      <c r="CJ823" s="240"/>
      <c r="CK823" s="240"/>
      <c r="CL823" s="240"/>
      <c r="CM823" s="240"/>
      <c r="CN823" s="240"/>
      <c r="CO823" s="240"/>
      <c r="CP823" s="240"/>
      <c r="CQ823" s="240"/>
      <c r="CR823" s="240"/>
      <c r="CS823" s="240"/>
      <c r="CT823" s="240"/>
      <c r="CU823" s="240"/>
      <c r="CV823" s="240"/>
      <c r="CW823" s="240"/>
      <c r="CX823" s="240"/>
      <c r="CY823" s="240"/>
      <c r="CZ823" s="240"/>
      <c r="DA823" s="240"/>
      <c r="DB823" s="240"/>
      <c r="DC823" s="240"/>
      <c r="DD823" s="240"/>
      <c r="DE823" s="240"/>
      <c r="DF823" s="240"/>
      <c r="DG823" s="240"/>
      <c r="DH823" s="240"/>
      <c r="DI823" s="240"/>
      <c r="DJ823" s="240"/>
      <c r="DK823" s="240"/>
      <c r="DL823" s="240"/>
      <c r="DM823" s="240"/>
      <c r="DN823" s="240"/>
      <c r="DO823" s="240"/>
      <c r="DP823" s="240"/>
      <c r="DQ823" s="240"/>
      <c r="DR823" s="240"/>
      <c r="DS823" s="240"/>
      <c r="DT823" s="240"/>
      <c r="DU823" s="240"/>
      <c r="DV823" s="240"/>
      <c r="DW823" s="240"/>
      <c r="DX823" s="240"/>
      <c r="DY823" s="240"/>
      <c r="DZ823" s="240"/>
      <c r="EA823" s="240"/>
      <c r="EB823" s="240"/>
      <c r="EC823" s="240"/>
      <c r="ED823" s="240"/>
      <c r="EE823" s="240"/>
      <c r="EF823" s="240"/>
      <c r="EG823" s="240"/>
      <c r="EH823" s="240"/>
      <c r="EI823" s="240"/>
      <c r="EJ823" s="240"/>
      <c r="EK823" s="240"/>
      <c r="EL823" s="359"/>
      <c r="EM823" s="250"/>
      <c r="EN823" s="245"/>
      <c r="EO823" s="245"/>
      <c r="EP823" s="245"/>
      <c r="EQ823" s="254"/>
      <c r="ER823" s="240"/>
      <c r="ES823" s="240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193"/>
    </row>
    <row r="824" spans="2:189" s="243" customFormat="1" ht="11.45" hidden="1" customHeight="1">
      <c r="B824" s="244"/>
      <c r="C824" s="240"/>
      <c r="D824" s="240"/>
      <c r="E824" s="240"/>
      <c r="F824" s="240"/>
      <c r="G824" s="240"/>
      <c r="H824" s="240"/>
      <c r="I824" s="240"/>
      <c r="J824" s="240"/>
      <c r="K824" s="240"/>
      <c r="L824" s="297"/>
      <c r="M824" s="297"/>
      <c r="N824" s="297"/>
      <c r="O824" s="240"/>
      <c r="P824" s="240"/>
      <c r="Q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0"/>
      <c r="AO824" s="240"/>
      <c r="AP824" s="240"/>
      <c r="AQ824" s="240"/>
      <c r="AR824" s="240"/>
      <c r="AS824" s="240"/>
      <c r="AT824" s="240"/>
      <c r="AU824" s="240"/>
      <c r="AV824" s="240"/>
      <c r="AW824" s="240"/>
      <c r="AX824" s="240"/>
      <c r="AY824" s="240"/>
      <c r="AZ824" s="240"/>
      <c r="BA824" s="240"/>
      <c r="BB824" s="240"/>
      <c r="BC824" s="240"/>
      <c r="BD824" s="240"/>
      <c r="BE824" s="240"/>
      <c r="BF824" s="240"/>
      <c r="BG824" s="240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297"/>
      <c r="BT824" s="240"/>
      <c r="BU824" s="240"/>
      <c r="BV824" s="240"/>
      <c r="BW824" s="240"/>
      <c r="BX824" s="240"/>
      <c r="BY824" s="240"/>
      <c r="BZ824" s="240"/>
      <c r="CA824" s="240"/>
      <c r="CB824" s="240"/>
      <c r="CC824" s="240"/>
      <c r="CD824" s="240"/>
      <c r="CE824" s="240"/>
      <c r="CF824" s="240"/>
      <c r="CG824" s="240"/>
      <c r="CH824" s="240"/>
      <c r="CI824" s="240"/>
      <c r="CJ824" s="240"/>
      <c r="CK824" s="240"/>
      <c r="CL824" s="240"/>
      <c r="CM824" s="240"/>
      <c r="CN824" s="240"/>
      <c r="CO824" s="240"/>
      <c r="CP824" s="240"/>
      <c r="CQ824" s="240"/>
      <c r="CR824" s="240"/>
      <c r="CS824" s="240"/>
      <c r="CT824" s="240"/>
      <c r="CU824" s="240"/>
      <c r="CV824" s="240"/>
      <c r="CW824" s="240"/>
      <c r="CX824" s="240"/>
      <c r="CY824" s="240"/>
      <c r="CZ824" s="240"/>
      <c r="DA824" s="240"/>
      <c r="DB824" s="240"/>
      <c r="DC824" s="240"/>
      <c r="DD824" s="240"/>
      <c r="DE824" s="240"/>
      <c r="DF824" s="240"/>
      <c r="DG824" s="240"/>
      <c r="DH824" s="240"/>
      <c r="DI824" s="240"/>
      <c r="DJ824" s="240"/>
      <c r="DK824" s="240"/>
      <c r="DL824" s="240"/>
      <c r="DM824" s="240"/>
      <c r="DN824" s="240"/>
      <c r="DO824" s="240"/>
      <c r="DP824" s="240"/>
      <c r="DQ824" s="240"/>
      <c r="DR824" s="240"/>
      <c r="DS824" s="240"/>
      <c r="DT824" s="240"/>
      <c r="DU824" s="240"/>
      <c r="DV824" s="240"/>
      <c r="DW824" s="240"/>
      <c r="DX824" s="240"/>
      <c r="DY824" s="240"/>
      <c r="DZ824" s="240"/>
      <c r="EA824" s="240"/>
      <c r="EB824" s="240"/>
      <c r="EC824" s="240"/>
      <c r="ED824" s="240"/>
      <c r="EE824" s="240"/>
      <c r="EF824" s="240"/>
      <c r="EG824" s="240"/>
      <c r="EH824" s="240"/>
      <c r="EI824" s="240"/>
      <c r="EJ824" s="240"/>
      <c r="EK824" s="240"/>
      <c r="EL824" s="359"/>
      <c r="EM824" s="250"/>
      <c r="EN824" s="245"/>
      <c r="EO824" s="245"/>
      <c r="EP824" s="245"/>
      <c r="EQ824" s="254"/>
      <c r="ER824" s="240"/>
      <c r="ES824" s="240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193"/>
    </row>
    <row r="825" spans="2:189" s="243" customFormat="1" ht="11.45" hidden="1" customHeight="1">
      <c r="B825" s="244"/>
      <c r="C825" s="240"/>
      <c r="D825" s="240"/>
      <c r="E825" s="240"/>
      <c r="F825" s="240"/>
      <c r="G825" s="240"/>
      <c r="H825" s="240"/>
      <c r="I825" s="240"/>
      <c r="J825" s="240"/>
      <c r="K825" s="240"/>
      <c r="L825" s="297"/>
      <c r="M825" s="297"/>
      <c r="N825" s="297"/>
      <c r="O825" s="240"/>
      <c r="P825" s="240"/>
      <c r="Q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0"/>
      <c r="AO825" s="240"/>
      <c r="AP825" s="240"/>
      <c r="AQ825" s="240"/>
      <c r="AR825" s="240"/>
      <c r="AS825" s="240"/>
      <c r="AT825" s="240"/>
      <c r="AU825" s="240"/>
      <c r="AV825" s="240"/>
      <c r="AW825" s="240"/>
      <c r="AX825" s="240"/>
      <c r="AY825" s="240"/>
      <c r="AZ825" s="240"/>
      <c r="BA825" s="240"/>
      <c r="BB825" s="240"/>
      <c r="BC825" s="240"/>
      <c r="BD825" s="240"/>
      <c r="BE825" s="240"/>
      <c r="BF825" s="240"/>
      <c r="BG825" s="240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297"/>
      <c r="BT825" s="240"/>
      <c r="BU825" s="240"/>
      <c r="BV825" s="240"/>
      <c r="BW825" s="240"/>
      <c r="BX825" s="240"/>
      <c r="BY825" s="240"/>
      <c r="BZ825" s="240"/>
      <c r="CA825" s="240"/>
      <c r="CB825" s="240"/>
      <c r="CC825" s="240"/>
      <c r="CD825" s="240"/>
      <c r="CE825" s="240"/>
      <c r="CF825" s="240"/>
      <c r="CG825" s="240"/>
      <c r="CH825" s="240"/>
      <c r="CI825" s="240"/>
      <c r="CJ825" s="240"/>
      <c r="CK825" s="240"/>
      <c r="CL825" s="240"/>
      <c r="CM825" s="240"/>
      <c r="CN825" s="240"/>
      <c r="CO825" s="240"/>
      <c r="CP825" s="240"/>
      <c r="CQ825" s="240"/>
      <c r="CR825" s="240"/>
      <c r="CS825" s="240"/>
      <c r="CT825" s="240"/>
      <c r="CU825" s="240"/>
      <c r="CV825" s="240"/>
      <c r="CW825" s="240"/>
      <c r="CX825" s="240"/>
      <c r="CY825" s="240"/>
      <c r="CZ825" s="240"/>
      <c r="DA825" s="240"/>
      <c r="DB825" s="240"/>
      <c r="DC825" s="240"/>
      <c r="DD825" s="240"/>
      <c r="DE825" s="240"/>
      <c r="DF825" s="240"/>
      <c r="DG825" s="240"/>
      <c r="DH825" s="240"/>
      <c r="DI825" s="240"/>
      <c r="DJ825" s="240"/>
      <c r="DK825" s="240"/>
      <c r="DL825" s="240"/>
      <c r="DM825" s="240"/>
      <c r="DN825" s="240"/>
      <c r="DO825" s="240"/>
      <c r="DP825" s="240"/>
      <c r="DQ825" s="240"/>
      <c r="DR825" s="240"/>
      <c r="DS825" s="240"/>
      <c r="DT825" s="240"/>
      <c r="DU825" s="240"/>
      <c r="DV825" s="240"/>
      <c r="DW825" s="240"/>
      <c r="DX825" s="240"/>
      <c r="DY825" s="240"/>
      <c r="DZ825" s="240"/>
      <c r="EA825" s="240"/>
      <c r="EB825" s="240"/>
      <c r="EC825" s="240"/>
      <c r="ED825" s="240"/>
      <c r="EE825" s="240"/>
      <c r="EF825" s="240"/>
      <c r="EG825" s="240"/>
      <c r="EH825" s="240"/>
      <c r="EI825" s="240"/>
      <c r="EJ825" s="240"/>
      <c r="EK825" s="240"/>
      <c r="EL825" s="359"/>
      <c r="EM825" s="250"/>
      <c r="EN825" s="245"/>
      <c r="EO825" s="245"/>
      <c r="EP825" s="245"/>
      <c r="EQ825" s="254"/>
      <c r="ER825" s="240"/>
      <c r="ES825" s="240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193"/>
    </row>
    <row r="826" spans="2:189" s="243" customFormat="1" ht="11.45" hidden="1" customHeight="1">
      <c r="B826" s="244"/>
      <c r="C826" s="240"/>
      <c r="D826" s="240"/>
      <c r="E826" s="240"/>
      <c r="F826" s="240"/>
      <c r="G826" s="240"/>
      <c r="H826" s="240"/>
      <c r="I826" s="240"/>
      <c r="J826" s="240"/>
      <c r="K826" s="240"/>
      <c r="L826" s="297"/>
      <c r="M826" s="297"/>
      <c r="N826" s="297"/>
      <c r="O826" s="240"/>
      <c r="P826" s="240"/>
      <c r="Q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0"/>
      <c r="AO826" s="240"/>
      <c r="AP826" s="240"/>
      <c r="AQ826" s="240"/>
      <c r="AR826" s="240"/>
      <c r="AS826" s="240"/>
      <c r="AT826" s="240"/>
      <c r="AU826" s="240"/>
      <c r="AV826" s="240"/>
      <c r="AW826" s="240"/>
      <c r="AX826" s="240"/>
      <c r="AY826" s="240"/>
      <c r="AZ826" s="240"/>
      <c r="BA826" s="240"/>
      <c r="BB826" s="240"/>
      <c r="BC826" s="240"/>
      <c r="BD826" s="240"/>
      <c r="BE826" s="240"/>
      <c r="BF826" s="240"/>
      <c r="BG826" s="240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297"/>
      <c r="BT826" s="240"/>
      <c r="BU826" s="240"/>
      <c r="BV826" s="240"/>
      <c r="BW826" s="240"/>
      <c r="BX826" s="240"/>
      <c r="BY826" s="240"/>
      <c r="BZ826" s="240"/>
      <c r="CA826" s="240"/>
      <c r="CB826" s="240"/>
      <c r="CC826" s="240"/>
      <c r="CD826" s="240"/>
      <c r="CE826" s="240"/>
      <c r="CF826" s="240"/>
      <c r="CG826" s="240"/>
      <c r="CH826" s="240"/>
      <c r="CI826" s="240"/>
      <c r="CJ826" s="240"/>
      <c r="CK826" s="240"/>
      <c r="CL826" s="240"/>
      <c r="CM826" s="240"/>
      <c r="CN826" s="240"/>
      <c r="CO826" s="240"/>
      <c r="CP826" s="240"/>
      <c r="CQ826" s="240"/>
      <c r="CR826" s="240"/>
      <c r="CS826" s="240"/>
      <c r="CT826" s="240"/>
      <c r="CU826" s="240"/>
      <c r="CV826" s="240"/>
      <c r="CW826" s="240"/>
      <c r="CX826" s="240"/>
      <c r="CY826" s="240"/>
      <c r="CZ826" s="240"/>
      <c r="DA826" s="240"/>
      <c r="DB826" s="240"/>
      <c r="DC826" s="240"/>
      <c r="DD826" s="240"/>
      <c r="DE826" s="240"/>
      <c r="DF826" s="240"/>
      <c r="DG826" s="240"/>
      <c r="DH826" s="240"/>
      <c r="DI826" s="240"/>
      <c r="DJ826" s="240"/>
      <c r="DK826" s="240"/>
      <c r="DL826" s="240"/>
      <c r="DM826" s="240"/>
      <c r="DN826" s="240"/>
      <c r="DO826" s="240"/>
      <c r="DP826" s="240"/>
      <c r="DQ826" s="240"/>
      <c r="DR826" s="240"/>
      <c r="DS826" s="240"/>
      <c r="DT826" s="240"/>
      <c r="DU826" s="240"/>
      <c r="DV826" s="240"/>
      <c r="DW826" s="240"/>
      <c r="DX826" s="240"/>
      <c r="DY826" s="240"/>
      <c r="DZ826" s="240"/>
      <c r="EA826" s="240"/>
      <c r="EB826" s="240"/>
      <c r="EC826" s="240"/>
      <c r="ED826" s="240"/>
      <c r="EE826" s="240"/>
      <c r="EF826" s="240"/>
      <c r="EG826" s="240"/>
      <c r="EH826" s="240"/>
      <c r="EI826" s="240"/>
      <c r="EJ826" s="240"/>
      <c r="EK826" s="240"/>
      <c r="EL826" s="359"/>
      <c r="EM826" s="250"/>
      <c r="EN826" s="245"/>
      <c r="EO826" s="245"/>
      <c r="EP826" s="245"/>
      <c r="EQ826" s="254"/>
      <c r="ER826" s="240"/>
      <c r="ES826" s="240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193"/>
    </row>
    <row r="827" spans="2:189" s="243" customFormat="1" ht="11.45" hidden="1" customHeight="1">
      <c r="B827" s="244"/>
      <c r="C827" s="240"/>
      <c r="D827" s="240"/>
      <c r="E827" s="240"/>
      <c r="F827" s="240"/>
      <c r="G827" s="240"/>
      <c r="H827" s="240"/>
      <c r="I827" s="240"/>
      <c r="J827" s="240"/>
      <c r="K827" s="240"/>
      <c r="L827" s="297"/>
      <c r="M827" s="297"/>
      <c r="N827" s="297"/>
      <c r="O827" s="240"/>
      <c r="P827" s="240"/>
      <c r="Q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0"/>
      <c r="AO827" s="240"/>
      <c r="AP827" s="240"/>
      <c r="AQ827" s="240"/>
      <c r="AR827" s="240"/>
      <c r="AS827" s="240"/>
      <c r="AT827" s="240"/>
      <c r="AU827" s="240"/>
      <c r="AV827" s="240"/>
      <c r="AW827" s="240"/>
      <c r="AX827" s="240"/>
      <c r="AY827" s="240"/>
      <c r="AZ827" s="240"/>
      <c r="BA827" s="240"/>
      <c r="BB827" s="240"/>
      <c r="BC827" s="240"/>
      <c r="BD827" s="240"/>
      <c r="BE827" s="240"/>
      <c r="BF827" s="240"/>
      <c r="BG827" s="240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297"/>
      <c r="BT827" s="240"/>
      <c r="BU827" s="240"/>
      <c r="BV827" s="240"/>
      <c r="BW827" s="240"/>
      <c r="BX827" s="240"/>
      <c r="BY827" s="240"/>
      <c r="BZ827" s="240"/>
      <c r="CA827" s="240"/>
      <c r="CB827" s="240"/>
      <c r="CC827" s="240"/>
      <c r="CD827" s="240"/>
      <c r="CE827" s="240"/>
      <c r="CF827" s="240"/>
      <c r="CG827" s="240"/>
      <c r="CH827" s="240"/>
      <c r="CI827" s="240"/>
      <c r="CJ827" s="240"/>
      <c r="CK827" s="240"/>
      <c r="CL827" s="240"/>
      <c r="CM827" s="240"/>
      <c r="CN827" s="240"/>
      <c r="CO827" s="240"/>
      <c r="CP827" s="240"/>
      <c r="CQ827" s="240"/>
      <c r="CR827" s="240"/>
      <c r="CS827" s="240"/>
      <c r="CT827" s="240"/>
      <c r="CU827" s="240"/>
      <c r="CV827" s="240"/>
      <c r="CW827" s="240"/>
      <c r="CX827" s="240"/>
      <c r="CY827" s="240"/>
      <c r="CZ827" s="240"/>
      <c r="DA827" s="240"/>
      <c r="DB827" s="240"/>
      <c r="DC827" s="240"/>
      <c r="DD827" s="240"/>
      <c r="DE827" s="240"/>
      <c r="DF827" s="240"/>
      <c r="DG827" s="240"/>
      <c r="DH827" s="240"/>
      <c r="DI827" s="240"/>
      <c r="DJ827" s="240"/>
      <c r="DK827" s="240"/>
      <c r="DL827" s="240"/>
      <c r="DM827" s="240"/>
      <c r="DN827" s="240"/>
      <c r="DO827" s="240"/>
      <c r="DP827" s="240"/>
      <c r="DQ827" s="240"/>
      <c r="DR827" s="240"/>
      <c r="DS827" s="240"/>
      <c r="DT827" s="240"/>
      <c r="DU827" s="240"/>
      <c r="DV827" s="240"/>
      <c r="DW827" s="240"/>
      <c r="DX827" s="240"/>
      <c r="DY827" s="240"/>
      <c r="DZ827" s="240"/>
      <c r="EA827" s="240"/>
      <c r="EB827" s="240"/>
      <c r="EC827" s="240"/>
      <c r="ED827" s="240"/>
      <c r="EE827" s="240"/>
      <c r="EF827" s="240"/>
      <c r="EG827" s="240"/>
      <c r="EH827" s="240"/>
      <c r="EI827" s="240"/>
      <c r="EJ827" s="240"/>
      <c r="EK827" s="240"/>
      <c r="EL827" s="359"/>
      <c r="EM827" s="250"/>
      <c r="EN827" s="245"/>
      <c r="EO827" s="245"/>
      <c r="EP827" s="245"/>
      <c r="EQ827" s="254"/>
      <c r="ER827" s="240"/>
      <c r="ES827" s="240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193"/>
    </row>
    <row r="828" spans="2:189" s="243" customFormat="1" ht="11.45" hidden="1" customHeight="1">
      <c r="B828" s="244"/>
      <c r="C828" s="240"/>
      <c r="D828" s="240"/>
      <c r="E828" s="240"/>
      <c r="F828" s="240"/>
      <c r="G828" s="240"/>
      <c r="H828" s="240"/>
      <c r="I828" s="240"/>
      <c r="J828" s="240"/>
      <c r="K828" s="240"/>
      <c r="L828" s="297"/>
      <c r="M828" s="297"/>
      <c r="N828" s="297"/>
      <c r="O828" s="240"/>
      <c r="P828" s="240"/>
      <c r="Q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0"/>
      <c r="AO828" s="240"/>
      <c r="AP828" s="240"/>
      <c r="AQ828" s="240"/>
      <c r="AR828" s="240"/>
      <c r="AS828" s="240"/>
      <c r="AT828" s="240"/>
      <c r="AU828" s="240"/>
      <c r="AV828" s="240"/>
      <c r="AW828" s="240"/>
      <c r="AX828" s="240"/>
      <c r="AY828" s="240"/>
      <c r="AZ828" s="240"/>
      <c r="BA828" s="240"/>
      <c r="BB828" s="240"/>
      <c r="BC828" s="240"/>
      <c r="BD828" s="240"/>
      <c r="BE828" s="240"/>
      <c r="BF828" s="240"/>
      <c r="BG828" s="240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297"/>
      <c r="BT828" s="240"/>
      <c r="BU828" s="240"/>
      <c r="BV828" s="240"/>
      <c r="BW828" s="240"/>
      <c r="BX828" s="240"/>
      <c r="BY828" s="240"/>
      <c r="BZ828" s="240"/>
      <c r="CA828" s="240"/>
      <c r="CB828" s="240"/>
      <c r="CC828" s="240"/>
      <c r="CD828" s="240"/>
      <c r="CE828" s="240"/>
      <c r="CF828" s="240"/>
      <c r="CG828" s="240"/>
      <c r="CH828" s="240"/>
      <c r="CI828" s="240"/>
      <c r="CJ828" s="240"/>
      <c r="CK828" s="240"/>
      <c r="CL828" s="240"/>
      <c r="CM828" s="240"/>
      <c r="CN828" s="240"/>
      <c r="CO828" s="240"/>
      <c r="CP828" s="240"/>
      <c r="CQ828" s="240"/>
      <c r="CR828" s="240"/>
      <c r="CS828" s="240"/>
      <c r="CT828" s="240"/>
      <c r="CU828" s="240"/>
      <c r="CV828" s="240"/>
      <c r="CW828" s="240"/>
      <c r="CX828" s="240"/>
      <c r="CY828" s="240"/>
      <c r="CZ828" s="240"/>
      <c r="DA828" s="240"/>
      <c r="DB828" s="240"/>
      <c r="DC828" s="240"/>
      <c r="DD828" s="240"/>
      <c r="DE828" s="240"/>
      <c r="DF828" s="240"/>
      <c r="DG828" s="240"/>
      <c r="DH828" s="240"/>
      <c r="DI828" s="240"/>
      <c r="DJ828" s="240"/>
      <c r="DK828" s="240"/>
      <c r="DL828" s="240"/>
      <c r="DM828" s="240"/>
      <c r="DN828" s="240"/>
      <c r="DO828" s="240"/>
      <c r="DP828" s="240"/>
      <c r="DQ828" s="240"/>
      <c r="DR828" s="240"/>
      <c r="DS828" s="240"/>
      <c r="DT828" s="240"/>
      <c r="DU828" s="240"/>
      <c r="DV828" s="240"/>
      <c r="DW828" s="240"/>
      <c r="DX828" s="240"/>
      <c r="DY828" s="240"/>
      <c r="DZ828" s="240"/>
      <c r="EA828" s="240"/>
      <c r="EB828" s="240"/>
      <c r="EC828" s="240"/>
      <c r="ED828" s="240"/>
      <c r="EE828" s="240"/>
      <c r="EF828" s="240"/>
      <c r="EG828" s="240"/>
      <c r="EH828" s="240"/>
      <c r="EI828" s="240"/>
      <c r="EJ828" s="240"/>
      <c r="EK828" s="240"/>
      <c r="EL828" s="359"/>
      <c r="EM828" s="250"/>
      <c r="EN828" s="245"/>
      <c r="EO828" s="245"/>
      <c r="EP828" s="245"/>
      <c r="EQ828" s="254"/>
      <c r="ER828" s="240"/>
      <c r="ES828" s="240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193"/>
    </row>
    <row r="829" spans="2:189" s="243" customFormat="1" ht="11.45" hidden="1" customHeight="1">
      <c r="B829" s="244"/>
      <c r="C829" s="240"/>
      <c r="D829" s="240"/>
      <c r="E829" s="240"/>
      <c r="F829" s="240"/>
      <c r="G829" s="240"/>
      <c r="H829" s="240"/>
      <c r="I829" s="240"/>
      <c r="J829" s="240"/>
      <c r="K829" s="240"/>
      <c r="L829" s="297"/>
      <c r="M829" s="297"/>
      <c r="N829" s="297"/>
      <c r="O829" s="240"/>
      <c r="P829" s="240"/>
      <c r="Q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0"/>
      <c r="AO829" s="240"/>
      <c r="AP829" s="240"/>
      <c r="AQ829" s="240"/>
      <c r="AR829" s="240"/>
      <c r="AS829" s="240"/>
      <c r="AT829" s="240"/>
      <c r="AU829" s="240"/>
      <c r="AV829" s="240"/>
      <c r="AW829" s="240"/>
      <c r="AX829" s="240"/>
      <c r="AY829" s="240"/>
      <c r="AZ829" s="240"/>
      <c r="BA829" s="240"/>
      <c r="BB829" s="240"/>
      <c r="BC829" s="240"/>
      <c r="BD829" s="240"/>
      <c r="BE829" s="240"/>
      <c r="BF829" s="240"/>
      <c r="BG829" s="240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297"/>
      <c r="BT829" s="240"/>
      <c r="BU829" s="240"/>
      <c r="BV829" s="240"/>
      <c r="BW829" s="240"/>
      <c r="BX829" s="240"/>
      <c r="BY829" s="240"/>
      <c r="BZ829" s="240"/>
      <c r="CA829" s="240"/>
      <c r="CB829" s="240"/>
      <c r="CC829" s="240"/>
      <c r="CD829" s="240"/>
      <c r="CE829" s="240"/>
      <c r="CF829" s="240"/>
      <c r="CG829" s="240"/>
      <c r="CH829" s="240"/>
      <c r="CI829" s="240"/>
      <c r="CJ829" s="240"/>
      <c r="CK829" s="240"/>
      <c r="CL829" s="240"/>
      <c r="CM829" s="240"/>
      <c r="CN829" s="240"/>
      <c r="CO829" s="240"/>
      <c r="CP829" s="240"/>
      <c r="CQ829" s="240"/>
      <c r="CR829" s="240"/>
      <c r="CS829" s="240"/>
      <c r="CT829" s="240"/>
      <c r="CU829" s="240"/>
      <c r="CV829" s="240"/>
      <c r="CW829" s="240"/>
      <c r="CX829" s="240"/>
      <c r="CY829" s="240"/>
      <c r="CZ829" s="240"/>
      <c r="DA829" s="240"/>
      <c r="DB829" s="240"/>
      <c r="DC829" s="240"/>
      <c r="DD829" s="240"/>
      <c r="DE829" s="240"/>
      <c r="DF829" s="240"/>
      <c r="DG829" s="240"/>
      <c r="DH829" s="240"/>
      <c r="DI829" s="240"/>
      <c r="DJ829" s="240"/>
      <c r="DK829" s="240"/>
      <c r="DL829" s="240"/>
      <c r="DM829" s="240"/>
      <c r="DN829" s="240"/>
      <c r="DO829" s="240"/>
      <c r="DP829" s="240"/>
      <c r="DQ829" s="240"/>
      <c r="DR829" s="240"/>
      <c r="DS829" s="240"/>
      <c r="DT829" s="240"/>
      <c r="DU829" s="240"/>
      <c r="DV829" s="240"/>
      <c r="DW829" s="240"/>
      <c r="DX829" s="240"/>
      <c r="DY829" s="240"/>
      <c r="DZ829" s="240"/>
      <c r="EA829" s="240"/>
      <c r="EB829" s="240"/>
      <c r="EC829" s="240"/>
      <c r="ED829" s="240"/>
      <c r="EE829" s="240"/>
      <c r="EF829" s="240"/>
      <c r="EG829" s="240"/>
      <c r="EH829" s="240"/>
      <c r="EI829" s="240"/>
      <c r="EJ829" s="240"/>
      <c r="EK829" s="240"/>
      <c r="EL829" s="359"/>
      <c r="EM829" s="250"/>
      <c r="EN829" s="245"/>
      <c r="EO829" s="245"/>
      <c r="EP829" s="245"/>
      <c r="EQ829" s="254"/>
      <c r="ER829" s="240"/>
      <c r="ES829" s="240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193"/>
    </row>
    <row r="830" spans="2:189" s="243" customFormat="1" ht="11.45" hidden="1" customHeight="1">
      <c r="B830" s="244"/>
      <c r="C830" s="240"/>
      <c r="D830" s="240"/>
      <c r="E830" s="240"/>
      <c r="F830" s="240"/>
      <c r="G830" s="240"/>
      <c r="H830" s="240"/>
      <c r="I830" s="240"/>
      <c r="J830" s="240"/>
      <c r="K830" s="240"/>
      <c r="L830" s="297"/>
      <c r="M830" s="297"/>
      <c r="N830" s="297"/>
      <c r="O830" s="240"/>
      <c r="P830" s="240"/>
      <c r="Q830" s="240"/>
      <c r="S830" s="240"/>
      <c r="T830" s="240"/>
      <c r="U830" s="240"/>
      <c r="V830" s="240"/>
      <c r="W830" s="240"/>
      <c r="X830" s="240"/>
      <c r="Y830" s="240"/>
      <c r="Z830" s="240"/>
      <c r="AA830" s="240"/>
      <c r="AB830" s="240"/>
      <c r="AC830" s="240"/>
      <c r="AD830" s="240"/>
      <c r="AE830" s="240"/>
      <c r="AF830" s="240"/>
      <c r="AG830" s="240"/>
      <c r="AH830" s="240"/>
      <c r="AI830" s="240"/>
      <c r="AJ830" s="240"/>
      <c r="AK830" s="240"/>
      <c r="AL830" s="240"/>
      <c r="AM830" s="240"/>
      <c r="AN830" s="240"/>
      <c r="AO830" s="240"/>
      <c r="AP830" s="240"/>
      <c r="AQ830" s="240"/>
      <c r="AR830" s="240"/>
      <c r="AS830" s="240"/>
      <c r="AT830" s="240"/>
      <c r="AU830" s="240"/>
      <c r="AV830" s="240"/>
      <c r="AW830" s="240"/>
      <c r="AX830" s="240"/>
      <c r="AY830" s="240"/>
      <c r="AZ830" s="240"/>
      <c r="BA830" s="240"/>
      <c r="BB830" s="240"/>
      <c r="BC830" s="240"/>
      <c r="BD830" s="240"/>
      <c r="BE830" s="240"/>
      <c r="BF830" s="240"/>
      <c r="BG830" s="240"/>
      <c r="BH830" s="240"/>
      <c r="BI830" s="240"/>
      <c r="BJ830" s="240"/>
      <c r="BK830" s="240"/>
      <c r="BL830" s="240"/>
      <c r="BM830" s="240"/>
      <c r="BN830" s="240"/>
      <c r="BO830" s="240"/>
      <c r="BP830" s="240"/>
      <c r="BQ830" s="240"/>
      <c r="BR830" s="240"/>
      <c r="BS830" s="297"/>
      <c r="BT830" s="240"/>
      <c r="BU830" s="240"/>
      <c r="BV830" s="240"/>
      <c r="BW830" s="240"/>
      <c r="BX830" s="240"/>
      <c r="BY830" s="240"/>
      <c r="BZ830" s="240"/>
      <c r="CA830" s="240"/>
      <c r="CB830" s="240"/>
      <c r="CC830" s="240"/>
      <c r="CD830" s="240"/>
      <c r="CE830" s="240"/>
      <c r="CF830" s="240"/>
      <c r="CG830" s="240"/>
      <c r="CH830" s="240"/>
      <c r="CI830" s="240"/>
      <c r="CJ830" s="240"/>
      <c r="CK830" s="240"/>
      <c r="CL830" s="240"/>
      <c r="CM830" s="240"/>
      <c r="CN830" s="240"/>
      <c r="CO830" s="240"/>
      <c r="CP830" s="240"/>
      <c r="CQ830" s="240"/>
      <c r="CR830" s="240"/>
      <c r="CS830" s="240"/>
      <c r="CT830" s="240"/>
      <c r="CU830" s="240"/>
      <c r="CV830" s="240"/>
      <c r="CW830" s="240"/>
      <c r="CX830" s="240"/>
      <c r="CY830" s="240"/>
      <c r="CZ830" s="240"/>
      <c r="DA830" s="240"/>
      <c r="DB830" s="240"/>
      <c r="DC830" s="240"/>
      <c r="DD830" s="240"/>
      <c r="DE830" s="240"/>
      <c r="DF830" s="240"/>
      <c r="DG830" s="240"/>
      <c r="DH830" s="240"/>
      <c r="DI830" s="240"/>
      <c r="DJ830" s="240"/>
      <c r="DK830" s="240"/>
      <c r="DL830" s="240"/>
      <c r="DM830" s="240"/>
      <c r="DN830" s="240"/>
      <c r="DO830" s="240"/>
      <c r="DP830" s="240"/>
      <c r="DQ830" s="240"/>
      <c r="DR830" s="240"/>
      <c r="DS830" s="240"/>
      <c r="DT830" s="240"/>
      <c r="DU830" s="240"/>
      <c r="DV830" s="240"/>
      <c r="DW830" s="240"/>
      <c r="DX830" s="240"/>
      <c r="DY830" s="240"/>
      <c r="DZ830" s="240"/>
      <c r="EA830" s="240"/>
      <c r="EB830" s="240"/>
      <c r="EC830" s="240"/>
      <c r="ED830" s="240"/>
      <c r="EE830" s="240"/>
      <c r="EF830" s="240"/>
      <c r="EG830" s="240"/>
      <c r="EH830" s="240"/>
      <c r="EI830" s="240"/>
      <c r="EJ830" s="240"/>
      <c r="EK830" s="240"/>
      <c r="EL830" s="359"/>
      <c r="EM830" s="250"/>
      <c r="EN830" s="245"/>
      <c r="EO830" s="245"/>
      <c r="EP830" s="245"/>
      <c r="EQ830" s="254"/>
      <c r="ER830" s="240"/>
      <c r="ES830" s="240"/>
      <c r="ET830" s="241"/>
      <c r="EU830" s="241"/>
      <c r="EV830" s="241"/>
      <c r="EW830" s="241"/>
      <c r="EX830" s="241"/>
      <c r="EY830" s="241"/>
      <c r="EZ830" s="241"/>
      <c r="FA830" s="241"/>
      <c r="FB830" s="241"/>
      <c r="FC830" s="241"/>
      <c r="FD830" s="241"/>
      <c r="FE830" s="241"/>
      <c r="FF830" s="241"/>
      <c r="FG830" s="241"/>
      <c r="FH830" s="241"/>
      <c r="FI830" s="241"/>
      <c r="FJ830" s="241"/>
      <c r="FK830" s="241"/>
      <c r="FL830" s="241"/>
      <c r="FM830" s="241"/>
      <c r="FN830" s="241"/>
      <c r="FO830" s="241"/>
      <c r="FP830" s="241"/>
      <c r="FQ830" s="241"/>
      <c r="FR830" s="241"/>
      <c r="FS830" s="241"/>
      <c r="FT830" s="241"/>
      <c r="FU830" s="241"/>
      <c r="FV830" s="241"/>
      <c r="FW830" s="241"/>
      <c r="FX830" s="241"/>
      <c r="FY830" s="241"/>
      <c r="FZ830" s="241"/>
      <c r="GA830" s="241"/>
      <c r="GB830" s="241"/>
      <c r="GC830" s="241"/>
      <c r="GD830" s="241"/>
      <c r="GE830" s="241"/>
      <c r="GF830" s="241"/>
      <c r="GG830" s="193"/>
    </row>
    <row r="831" spans="2:189" s="243" customFormat="1" ht="11.45" hidden="1" customHeight="1">
      <c r="B831" s="244"/>
      <c r="C831" s="240"/>
      <c r="D831" s="240"/>
      <c r="E831" s="240"/>
      <c r="F831" s="240"/>
      <c r="G831" s="240"/>
      <c r="H831" s="240"/>
      <c r="I831" s="240"/>
      <c r="J831" s="240"/>
      <c r="K831" s="240"/>
      <c r="L831" s="297"/>
      <c r="M831" s="297"/>
      <c r="N831" s="297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0"/>
      <c r="AO831" s="240"/>
      <c r="AP831" s="240"/>
      <c r="AQ831" s="240"/>
      <c r="AR831" s="240"/>
      <c r="AS831" s="240"/>
      <c r="AT831" s="240"/>
      <c r="AU831" s="240"/>
      <c r="AV831" s="240"/>
      <c r="AW831" s="240"/>
      <c r="AX831" s="240"/>
      <c r="AY831" s="240"/>
      <c r="AZ831" s="240"/>
      <c r="BA831" s="240"/>
      <c r="BB831" s="240"/>
      <c r="BC831" s="240"/>
      <c r="BD831" s="240"/>
      <c r="BE831" s="240"/>
      <c r="BF831" s="240"/>
      <c r="BG831" s="240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297"/>
      <c r="BT831" s="240"/>
      <c r="BU831" s="240"/>
      <c r="BV831" s="240"/>
      <c r="BW831" s="240"/>
      <c r="BX831" s="240"/>
      <c r="BY831" s="240"/>
      <c r="BZ831" s="240"/>
      <c r="CA831" s="240"/>
      <c r="CB831" s="240"/>
      <c r="CC831" s="240"/>
      <c r="CD831" s="240"/>
      <c r="CE831" s="240"/>
      <c r="CF831" s="240"/>
      <c r="CG831" s="240"/>
      <c r="CH831" s="240"/>
      <c r="CI831" s="240"/>
      <c r="CJ831" s="240"/>
      <c r="CK831" s="240"/>
      <c r="CL831" s="240"/>
      <c r="CM831" s="240"/>
      <c r="CN831" s="240"/>
      <c r="CO831" s="240"/>
      <c r="CP831" s="240"/>
      <c r="CQ831" s="240"/>
      <c r="CR831" s="240"/>
      <c r="CS831" s="240"/>
      <c r="CT831" s="240"/>
      <c r="CU831" s="240"/>
      <c r="CV831" s="240"/>
      <c r="CW831" s="240"/>
      <c r="CX831" s="240"/>
      <c r="CY831" s="240"/>
      <c r="CZ831" s="240"/>
      <c r="DA831" s="240"/>
      <c r="DB831" s="240"/>
      <c r="DC831" s="240"/>
      <c r="DD831" s="240"/>
      <c r="DE831" s="240"/>
      <c r="DF831" s="240"/>
      <c r="DG831" s="240"/>
      <c r="DH831" s="240"/>
      <c r="DI831" s="240"/>
      <c r="DJ831" s="240"/>
      <c r="DK831" s="240"/>
      <c r="DL831" s="240"/>
      <c r="DM831" s="240"/>
      <c r="DN831" s="240"/>
      <c r="DO831" s="240"/>
      <c r="DP831" s="240"/>
      <c r="DQ831" s="240"/>
      <c r="DR831" s="240"/>
      <c r="DS831" s="240"/>
      <c r="DT831" s="240"/>
      <c r="DU831" s="240"/>
      <c r="DV831" s="240"/>
      <c r="DW831" s="240"/>
      <c r="DX831" s="240"/>
      <c r="DY831" s="240"/>
      <c r="DZ831" s="240"/>
      <c r="EA831" s="240"/>
      <c r="EB831" s="240"/>
      <c r="EC831" s="240"/>
      <c r="ED831" s="240"/>
      <c r="EE831" s="240"/>
      <c r="EF831" s="240"/>
      <c r="EG831" s="240"/>
      <c r="EH831" s="240"/>
      <c r="EI831" s="240"/>
      <c r="EJ831" s="240"/>
      <c r="EK831" s="240"/>
      <c r="EL831" s="359"/>
      <c r="EM831" s="250"/>
      <c r="EN831" s="245"/>
      <c r="EO831" s="245"/>
      <c r="EP831" s="245"/>
      <c r="EQ831" s="254"/>
      <c r="ER831" s="240"/>
      <c r="ES831" s="240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193"/>
    </row>
    <row r="832" spans="2:189" s="243" customFormat="1" ht="11.45" hidden="1" customHeight="1">
      <c r="B832" s="244"/>
      <c r="C832" s="240"/>
      <c r="D832" s="240"/>
      <c r="E832" s="240"/>
      <c r="F832" s="240"/>
      <c r="G832" s="240"/>
      <c r="H832" s="240"/>
      <c r="I832" s="240"/>
      <c r="J832" s="240"/>
      <c r="K832" s="240"/>
      <c r="L832" s="297"/>
      <c r="M832" s="297"/>
      <c r="N832" s="297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0"/>
      <c r="AO832" s="240"/>
      <c r="AP832" s="240"/>
      <c r="AQ832" s="240"/>
      <c r="AR832" s="240"/>
      <c r="AS832" s="240"/>
      <c r="AT832" s="240"/>
      <c r="AU832" s="240"/>
      <c r="AV832" s="240"/>
      <c r="AW832" s="240"/>
      <c r="AX832" s="240"/>
      <c r="AY832" s="240"/>
      <c r="AZ832" s="240"/>
      <c r="BA832" s="240"/>
      <c r="BB832" s="240"/>
      <c r="BC832" s="240"/>
      <c r="BD832" s="240"/>
      <c r="BE832" s="240"/>
      <c r="BF832" s="240"/>
      <c r="BG832" s="240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297"/>
      <c r="BT832" s="240"/>
      <c r="BU832" s="240"/>
      <c r="BV832" s="240"/>
      <c r="BW832" s="240"/>
      <c r="BX832" s="240"/>
      <c r="BY832" s="240"/>
      <c r="BZ832" s="240"/>
      <c r="CA832" s="240"/>
      <c r="CB832" s="240"/>
      <c r="CC832" s="240"/>
      <c r="CD832" s="240"/>
      <c r="CE832" s="240"/>
      <c r="CF832" s="240"/>
      <c r="CG832" s="240"/>
      <c r="CH832" s="240"/>
      <c r="CI832" s="240"/>
      <c r="CJ832" s="240"/>
      <c r="CK832" s="240"/>
      <c r="CL832" s="240"/>
      <c r="CM832" s="240"/>
      <c r="CN832" s="240"/>
      <c r="CO832" s="240"/>
      <c r="CP832" s="240"/>
      <c r="CQ832" s="240"/>
      <c r="CR832" s="240"/>
      <c r="CS832" s="240"/>
      <c r="CT832" s="240"/>
      <c r="CU832" s="240"/>
      <c r="CV832" s="240"/>
      <c r="CW832" s="240"/>
      <c r="CX832" s="240"/>
      <c r="CY832" s="240"/>
      <c r="CZ832" s="240"/>
      <c r="DA832" s="240"/>
      <c r="DB832" s="240"/>
      <c r="DC832" s="240"/>
      <c r="DD832" s="240"/>
      <c r="DE832" s="240"/>
      <c r="DF832" s="240"/>
      <c r="DG832" s="240"/>
      <c r="DH832" s="240"/>
      <c r="DI832" s="240"/>
      <c r="DJ832" s="240"/>
      <c r="DK832" s="240"/>
      <c r="DL832" s="240"/>
      <c r="DM832" s="240"/>
      <c r="DN832" s="240"/>
      <c r="DO832" s="240"/>
      <c r="DP832" s="240"/>
      <c r="DQ832" s="240"/>
      <c r="DR832" s="240"/>
      <c r="DS832" s="240"/>
      <c r="DT832" s="240"/>
      <c r="DU832" s="240"/>
      <c r="DV832" s="240"/>
      <c r="DW832" s="240"/>
      <c r="DX832" s="240"/>
      <c r="DY832" s="240"/>
      <c r="DZ832" s="240"/>
      <c r="EA832" s="240"/>
      <c r="EB832" s="240"/>
      <c r="EC832" s="240"/>
      <c r="ED832" s="240"/>
      <c r="EE832" s="240"/>
      <c r="EF832" s="240"/>
      <c r="EG832" s="240"/>
      <c r="EH832" s="240"/>
      <c r="EI832" s="240"/>
      <c r="EJ832" s="240"/>
      <c r="EK832" s="240"/>
      <c r="EL832" s="359"/>
      <c r="EM832" s="250"/>
      <c r="EN832" s="245"/>
      <c r="EO832" s="245"/>
      <c r="EP832" s="245"/>
      <c r="EQ832" s="254"/>
      <c r="ER832" s="240"/>
      <c r="ES832" s="240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193"/>
    </row>
    <row r="833" spans="1:189" s="243" customFormat="1" ht="11.45" hidden="1" customHeight="1">
      <c r="B833" s="244"/>
      <c r="C833" s="240"/>
      <c r="D833" s="240"/>
      <c r="E833" s="240"/>
      <c r="F833" s="240"/>
      <c r="G833" s="240"/>
      <c r="H833" s="240"/>
      <c r="I833" s="240"/>
      <c r="J833" s="240"/>
      <c r="K833" s="240"/>
      <c r="L833" s="297"/>
      <c r="M833" s="297"/>
      <c r="N833" s="297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0"/>
      <c r="AO833" s="240"/>
      <c r="AP833" s="240"/>
      <c r="AQ833" s="240"/>
      <c r="AR833" s="240"/>
      <c r="AS833" s="240"/>
      <c r="AT833" s="240"/>
      <c r="AU833" s="240"/>
      <c r="AV833" s="240"/>
      <c r="AW833" s="240"/>
      <c r="AX833" s="240"/>
      <c r="AY833" s="240"/>
      <c r="AZ833" s="240"/>
      <c r="BA833" s="240"/>
      <c r="BB833" s="240"/>
      <c r="BC833" s="240"/>
      <c r="BD833" s="240"/>
      <c r="BE833" s="240"/>
      <c r="BF833" s="240"/>
      <c r="BG833" s="240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297"/>
      <c r="BT833" s="240"/>
      <c r="BU833" s="240"/>
      <c r="BV833" s="240"/>
      <c r="BW833" s="240"/>
      <c r="BX833" s="240"/>
      <c r="BY833" s="240"/>
      <c r="BZ833" s="240"/>
      <c r="CA833" s="240"/>
      <c r="CB833" s="240"/>
      <c r="CC833" s="240"/>
      <c r="CD833" s="240"/>
      <c r="CE833" s="240"/>
      <c r="CF833" s="240"/>
      <c r="CG833" s="240"/>
      <c r="CH833" s="240"/>
      <c r="CI833" s="240"/>
      <c r="CJ833" s="240"/>
      <c r="CK833" s="240"/>
      <c r="CL833" s="240"/>
      <c r="CM833" s="240"/>
      <c r="CN833" s="240"/>
      <c r="CO833" s="240"/>
      <c r="CP833" s="240"/>
      <c r="CQ833" s="240"/>
      <c r="CR833" s="240"/>
      <c r="CS833" s="240"/>
      <c r="CT833" s="240"/>
      <c r="CU833" s="240"/>
      <c r="CV833" s="240"/>
      <c r="CW833" s="240"/>
      <c r="CX833" s="240"/>
      <c r="CY833" s="240"/>
      <c r="CZ833" s="240"/>
      <c r="DA833" s="240"/>
      <c r="DB833" s="240"/>
      <c r="DC833" s="240"/>
      <c r="DD833" s="240"/>
      <c r="DE833" s="240"/>
      <c r="DF833" s="240"/>
      <c r="DG833" s="240"/>
      <c r="DH833" s="240"/>
      <c r="DI833" s="240"/>
      <c r="DJ833" s="240"/>
      <c r="DK833" s="240"/>
      <c r="DL833" s="240"/>
      <c r="DM833" s="240"/>
      <c r="DN833" s="240"/>
      <c r="DO833" s="240"/>
      <c r="DP833" s="240"/>
      <c r="DQ833" s="240"/>
      <c r="DR833" s="240"/>
      <c r="DS833" s="240"/>
      <c r="DT833" s="240"/>
      <c r="DU833" s="240"/>
      <c r="DV833" s="240"/>
      <c r="DW833" s="240"/>
      <c r="DX833" s="240"/>
      <c r="DY833" s="240"/>
      <c r="DZ833" s="240"/>
      <c r="EA833" s="240"/>
      <c r="EB833" s="240"/>
      <c r="EC833" s="240"/>
      <c r="ED833" s="240"/>
      <c r="EE833" s="240"/>
      <c r="EF833" s="240"/>
      <c r="EG833" s="240"/>
      <c r="EH833" s="240"/>
      <c r="EI833" s="240"/>
      <c r="EJ833" s="240"/>
      <c r="EK833" s="240"/>
      <c r="EL833" s="359"/>
      <c r="EM833" s="250"/>
      <c r="EN833" s="245"/>
      <c r="EO833" s="245"/>
      <c r="EP833" s="245"/>
      <c r="EQ833" s="254"/>
      <c r="ER833" s="240"/>
      <c r="ES833" s="240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193"/>
    </row>
    <row r="834" spans="1:189" s="243" customFormat="1" ht="11.45" hidden="1" customHeight="1">
      <c r="B834" s="244"/>
      <c r="C834" s="240"/>
      <c r="D834" s="240"/>
      <c r="E834" s="240"/>
      <c r="F834" s="240"/>
      <c r="G834" s="240"/>
      <c r="H834" s="240"/>
      <c r="I834" s="240"/>
      <c r="J834" s="240"/>
      <c r="K834" s="240"/>
      <c r="L834" s="297"/>
      <c r="M834" s="297"/>
      <c r="N834" s="297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0"/>
      <c r="AO834" s="240"/>
      <c r="AP834" s="240"/>
      <c r="AQ834" s="240"/>
      <c r="AR834" s="240"/>
      <c r="AS834" s="240"/>
      <c r="AT834" s="240"/>
      <c r="AU834" s="240"/>
      <c r="AV834" s="240"/>
      <c r="AW834" s="240"/>
      <c r="AX834" s="240"/>
      <c r="AY834" s="240"/>
      <c r="AZ834" s="240"/>
      <c r="BA834" s="240"/>
      <c r="BB834" s="240"/>
      <c r="BC834" s="240"/>
      <c r="BD834" s="240"/>
      <c r="BE834" s="240"/>
      <c r="BF834" s="240"/>
      <c r="BG834" s="240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297"/>
      <c r="BT834" s="240"/>
      <c r="BU834" s="240"/>
      <c r="BV834" s="240"/>
      <c r="BW834" s="240"/>
      <c r="BX834" s="240"/>
      <c r="BY834" s="240"/>
      <c r="BZ834" s="240"/>
      <c r="CA834" s="240"/>
      <c r="CB834" s="240"/>
      <c r="CC834" s="240"/>
      <c r="CD834" s="240"/>
      <c r="CE834" s="240"/>
      <c r="CF834" s="240"/>
      <c r="CG834" s="240"/>
      <c r="CH834" s="240"/>
      <c r="CI834" s="240"/>
      <c r="CJ834" s="240"/>
      <c r="CK834" s="240"/>
      <c r="CL834" s="240"/>
      <c r="CM834" s="240"/>
      <c r="CN834" s="240"/>
      <c r="CO834" s="240"/>
      <c r="CP834" s="240"/>
      <c r="CQ834" s="240"/>
      <c r="CR834" s="240"/>
      <c r="CS834" s="240"/>
      <c r="CT834" s="240"/>
      <c r="CU834" s="240"/>
      <c r="CV834" s="240"/>
      <c r="CW834" s="240"/>
      <c r="CX834" s="240"/>
      <c r="CY834" s="240"/>
      <c r="CZ834" s="240"/>
      <c r="DA834" s="240"/>
      <c r="DB834" s="240"/>
      <c r="DC834" s="240"/>
      <c r="DD834" s="240"/>
      <c r="DE834" s="240"/>
      <c r="DF834" s="240"/>
      <c r="DG834" s="240"/>
      <c r="DH834" s="240"/>
      <c r="DI834" s="240"/>
      <c r="DJ834" s="240"/>
      <c r="DK834" s="240"/>
      <c r="DL834" s="240"/>
      <c r="DM834" s="240"/>
      <c r="DN834" s="240"/>
      <c r="DO834" s="240"/>
      <c r="DP834" s="240"/>
      <c r="DQ834" s="240"/>
      <c r="DR834" s="240"/>
      <c r="DS834" s="240"/>
      <c r="DT834" s="240"/>
      <c r="DU834" s="240"/>
      <c r="DV834" s="240"/>
      <c r="DW834" s="240"/>
      <c r="DX834" s="240"/>
      <c r="DY834" s="240"/>
      <c r="DZ834" s="240"/>
      <c r="EA834" s="240"/>
      <c r="EB834" s="240"/>
      <c r="EC834" s="240"/>
      <c r="ED834" s="240"/>
      <c r="EE834" s="240"/>
      <c r="EF834" s="240"/>
      <c r="EG834" s="240"/>
      <c r="EH834" s="240"/>
      <c r="EI834" s="240"/>
      <c r="EJ834" s="240"/>
      <c r="EK834" s="240"/>
      <c r="EL834" s="359"/>
      <c r="EM834" s="250"/>
      <c r="EN834" s="245"/>
      <c r="EO834" s="245"/>
      <c r="EP834" s="245"/>
      <c r="EQ834" s="254"/>
      <c r="ER834" s="240"/>
      <c r="ES834" s="240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193"/>
    </row>
    <row r="835" spans="1:189" s="243" customFormat="1" ht="11.45" hidden="1" customHeight="1">
      <c r="B835" s="244"/>
      <c r="C835" s="240"/>
      <c r="D835" s="240"/>
      <c r="E835" s="240"/>
      <c r="F835" s="240"/>
      <c r="G835" s="240"/>
      <c r="H835" s="240"/>
      <c r="I835" s="240"/>
      <c r="J835" s="240"/>
      <c r="K835" s="240"/>
      <c r="L835" s="297"/>
      <c r="M835" s="297"/>
      <c r="N835" s="297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0"/>
      <c r="AO835" s="240"/>
      <c r="AP835" s="240"/>
      <c r="AQ835" s="240"/>
      <c r="AR835" s="240"/>
      <c r="AS835" s="240"/>
      <c r="AT835" s="240"/>
      <c r="AU835" s="240"/>
      <c r="AV835" s="240"/>
      <c r="AW835" s="240"/>
      <c r="AX835" s="240"/>
      <c r="AY835" s="240"/>
      <c r="AZ835" s="240"/>
      <c r="BA835" s="240"/>
      <c r="BB835" s="240"/>
      <c r="BC835" s="240"/>
      <c r="BD835" s="240"/>
      <c r="BE835" s="240"/>
      <c r="BF835" s="240"/>
      <c r="BG835" s="240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297"/>
      <c r="BT835" s="240"/>
      <c r="BU835" s="240"/>
      <c r="BV835" s="240"/>
      <c r="BW835" s="240"/>
      <c r="BX835" s="240"/>
      <c r="BY835" s="240"/>
      <c r="BZ835" s="240"/>
      <c r="CA835" s="240"/>
      <c r="CB835" s="240"/>
      <c r="CC835" s="240"/>
      <c r="CD835" s="240"/>
      <c r="CE835" s="240"/>
      <c r="CF835" s="240"/>
      <c r="CG835" s="240"/>
      <c r="CH835" s="240"/>
      <c r="CI835" s="240"/>
      <c r="CJ835" s="240"/>
      <c r="CK835" s="240"/>
      <c r="CL835" s="240"/>
      <c r="CM835" s="240"/>
      <c r="CN835" s="240"/>
      <c r="CO835" s="240"/>
      <c r="CP835" s="240"/>
      <c r="CQ835" s="240"/>
      <c r="CR835" s="240"/>
      <c r="CS835" s="240"/>
      <c r="CT835" s="240"/>
      <c r="CU835" s="240"/>
      <c r="CV835" s="240"/>
      <c r="CW835" s="240"/>
      <c r="CX835" s="240"/>
      <c r="CY835" s="240"/>
      <c r="CZ835" s="240"/>
      <c r="DA835" s="240"/>
      <c r="DB835" s="240"/>
      <c r="DC835" s="240"/>
      <c r="DD835" s="240"/>
      <c r="DE835" s="240"/>
      <c r="DF835" s="240"/>
      <c r="DG835" s="240"/>
      <c r="DH835" s="240"/>
      <c r="DI835" s="240"/>
      <c r="DJ835" s="240"/>
      <c r="DK835" s="240"/>
      <c r="DL835" s="240"/>
      <c r="DM835" s="240"/>
      <c r="DN835" s="240"/>
      <c r="DO835" s="240"/>
      <c r="DP835" s="240"/>
      <c r="DQ835" s="240"/>
      <c r="DR835" s="240"/>
      <c r="DS835" s="240"/>
      <c r="DT835" s="240"/>
      <c r="DU835" s="240"/>
      <c r="DV835" s="240"/>
      <c r="DW835" s="240"/>
      <c r="DX835" s="240"/>
      <c r="DY835" s="240"/>
      <c r="DZ835" s="240"/>
      <c r="EA835" s="240"/>
      <c r="EB835" s="240"/>
      <c r="EC835" s="240"/>
      <c r="ED835" s="240"/>
      <c r="EE835" s="240"/>
      <c r="EF835" s="240"/>
      <c r="EG835" s="240"/>
      <c r="EH835" s="240"/>
      <c r="EI835" s="240"/>
      <c r="EJ835" s="240"/>
      <c r="EK835" s="240"/>
      <c r="EL835" s="359"/>
      <c r="EM835" s="250"/>
      <c r="EN835" s="245"/>
      <c r="EO835" s="245"/>
      <c r="EP835" s="245"/>
      <c r="EQ835" s="254"/>
      <c r="ER835" s="240"/>
      <c r="ES835" s="240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193"/>
    </row>
    <row r="836" spans="1:189" s="243" customFormat="1" ht="11.45" hidden="1" customHeight="1">
      <c r="B836" s="244"/>
      <c r="C836" s="240"/>
      <c r="D836" s="240"/>
      <c r="E836" s="240"/>
      <c r="F836" s="240"/>
      <c r="G836" s="240"/>
      <c r="H836" s="240"/>
      <c r="I836" s="240"/>
      <c r="J836" s="240"/>
      <c r="K836" s="240"/>
      <c r="L836" s="297"/>
      <c r="M836" s="297"/>
      <c r="N836" s="297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  <c r="AA836" s="240"/>
      <c r="AB836" s="240"/>
      <c r="AC836" s="240"/>
      <c r="AD836" s="240"/>
      <c r="AE836" s="240"/>
      <c r="AF836" s="240"/>
      <c r="AG836" s="240"/>
      <c r="AH836" s="240"/>
      <c r="AI836" s="240"/>
      <c r="AJ836" s="240"/>
      <c r="AK836" s="240"/>
      <c r="AL836" s="240"/>
      <c r="AM836" s="240"/>
      <c r="AN836" s="240"/>
      <c r="AO836" s="240"/>
      <c r="AP836" s="240"/>
      <c r="AQ836" s="240"/>
      <c r="AR836" s="240"/>
      <c r="AS836" s="240"/>
      <c r="AT836" s="240"/>
      <c r="AU836" s="240"/>
      <c r="AV836" s="240"/>
      <c r="AW836" s="240"/>
      <c r="AX836" s="240"/>
      <c r="AY836" s="240"/>
      <c r="AZ836" s="240"/>
      <c r="BA836" s="240"/>
      <c r="BB836" s="240"/>
      <c r="BC836" s="240"/>
      <c r="BD836" s="240"/>
      <c r="BE836" s="240"/>
      <c r="BF836" s="240"/>
      <c r="BG836" s="240"/>
      <c r="BH836" s="240"/>
      <c r="BI836" s="240"/>
      <c r="BJ836" s="240"/>
      <c r="BK836" s="240"/>
      <c r="BL836" s="240"/>
      <c r="BM836" s="240"/>
      <c r="BN836" s="240"/>
      <c r="BO836" s="240"/>
      <c r="BP836" s="240"/>
      <c r="BQ836" s="240"/>
      <c r="BR836" s="240"/>
      <c r="BS836" s="297"/>
      <c r="BT836" s="240"/>
      <c r="BU836" s="240"/>
      <c r="BV836" s="240"/>
      <c r="BW836" s="240"/>
      <c r="BX836" s="240"/>
      <c r="BY836" s="240"/>
      <c r="BZ836" s="240"/>
      <c r="CA836" s="240"/>
      <c r="CB836" s="240"/>
      <c r="CC836" s="240"/>
      <c r="CD836" s="240"/>
      <c r="CE836" s="240"/>
      <c r="CF836" s="240"/>
      <c r="CG836" s="240"/>
      <c r="CH836" s="240"/>
      <c r="CI836" s="240"/>
      <c r="CJ836" s="240"/>
      <c r="CK836" s="240"/>
      <c r="CL836" s="240"/>
      <c r="CM836" s="240"/>
      <c r="CN836" s="240"/>
      <c r="CO836" s="240"/>
      <c r="CP836" s="240"/>
      <c r="CQ836" s="240"/>
      <c r="CR836" s="240"/>
      <c r="CS836" s="240"/>
      <c r="CT836" s="240"/>
      <c r="CU836" s="240"/>
      <c r="CV836" s="240"/>
      <c r="CW836" s="240"/>
      <c r="CX836" s="240"/>
      <c r="CY836" s="240"/>
      <c r="CZ836" s="240"/>
      <c r="DA836" s="240"/>
      <c r="DB836" s="240"/>
      <c r="DC836" s="240"/>
      <c r="DD836" s="240"/>
      <c r="DE836" s="240"/>
      <c r="DF836" s="240"/>
      <c r="DG836" s="240"/>
      <c r="DH836" s="240"/>
      <c r="DI836" s="240"/>
      <c r="DJ836" s="240"/>
      <c r="DK836" s="240"/>
      <c r="DL836" s="240"/>
      <c r="DM836" s="240"/>
      <c r="DN836" s="240"/>
      <c r="DO836" s="240"/>
      <c r="DP836" s="240"/>
      <c r="DQ836" s="240"/>
      <c r="DR836" s="240"/>
      <c r="DS836" s="240"/>
      <c r="DT836" s="240"/>
      <c r="DU836" s="240"/>
      <c r="DV836" s="240"/>
      <c r="DW836" s="240"/>
      <c r="DX836" s="240"/>
      <c r="DY836" s="240"/>
      <c r="DZ836" s="240"/>
      <c r="EA836" s="240"/>
      <c r="EB836" s="240"/>
      <c r="EC836" s="240"/>
      <c r="ED836" s="240"/>
      <c r="EE836" s="240"/>
      <c r="EF836" s="240"/>
      <c r="EG836" s="240"/>
      <c r="EH836" s="240"/>
      <c r="EI836" s="240"/>
      <c r="EJ836" s="240"/>
      <c r="EK836" s="240"/>
      <c r="EL836" s="359"/>
      <c r="EM836" s="250"/>
      <c r="EN836" s="245"/>
      <c r="EO836" s="245"/>
      <c r="EP836" s="245"/>
      <c r="EQ836" s="254"/>
      <c r="ER836" s="240"/>
      <c r="ES836" s="240"/>
      <c r="ET836" s="241"/>
      <c r="EU836" s="241"/>
      <c r="EV836" s="241"/>
      <c r="EW836" s="241"/>
      <c r="EX836" s="241"/>
      <c r="EY836" s="241"/>
      <c r="EZ836" s="241"/>
      <c r="FA836" s="241"/>
      <c r="FB836" s="241"/>
      <c r="FC836" s="241"/>
      <c r="FD836" s="241"/>
      <c r="FE836" s="241"/>
      <c r="FF836" s="241"/>
      <c r="FG836" s="241"/>
      <c r="FH836" s="241"/>
      <c r="FI836" s="241"/>
      <c r="FJ836" s="241"/>
      <c r="FK836" s="241"/>
      <c r="FL836" s="241"/>
      <c r="FM836" s="241"/>
      <c r="FN836" s="241"/>
      <c r="FO836" s="241"/>
      <c r="FP836" s="241"/>
      <c r="FQ836" s="241"/>
      <c r="FR836" s="241"/>
      <c r="FS836" s="241"/>
      <c r="FT836" s="241"/>
      <c r="FU836" s="241"/>
      <c r="FV836" s="241"/>
      <c r="FW836" s="241"/>
      <c r="FX836" s="241"/>
      <c r="FY836" s="241"/>
      <c r="FZ836" s="241"/>
      <c r="GA836" s="241"/>
      <c r="GB836" s="241"/>
      <c r="GC836" s="241"/>
      <c r="GD836" s="241"/>
      <c r="GE836" s="241"/>
      <c r="GF836" s="241"/>
      <c r="GG836" s="193"/>
    </row>
    <row r="837" spans="1:189" s="243" customFormat="1" ht="11.45" hidden="1" customHeight="1">
      <c r="B837" s="246"/>
      <c r="C837" s="247"/>
      <c r="D837" s="247"/>
      <c r="E837" s="247"/>
      <c r="F837" s="247"/>
      <c r="G837" s="247"/>
      <c r="H837" s="247"/>
      <c r="I837" s="247"/>
      <c r="J837" s="247"/>
      <c r="K837" s="247"/>
      <c r="L837" s="301"/>
      <c r="M837" s="301"/>
      <c r="N837" s="301"/>
      <c r="O837" s="247"/>
      <c r="P837" s="247"/>
      <c r="Q837" s="247"/>
      <c r="R837" s="247"/>
      <c r="S837" s="247"/>
      <c r="T837" s="247"/>
      <c r="U837" s="247"/>
      <c r="V837" s="247"/>
      <c r="W837" s="247"/>
      <c r="X837" s="247"/>
      <c r="Y837" s="247"/>
      <c r="Z837" s="247"/>
      <c r="AA837" s="247"/>
      <c r="AB837" s="247"/>
      <c r="AC837" s="247"/>
      <c r="AD837" s="247"/>
      <c r="AE837" s="247"/>
      <c r="AF837" s="247"/>
      <c r="AG837" s="247"/>
      <c r="AH837" s="247"/>
      <c r="AI837" s="247"/>
      <c r="AJ837" s="247"/>
      <c r="AK837" s="247"/>
      <c r="AL837" s="247"/>
      <c r="AM837" s="247"/>
      <c r="AN837" s="247"/>
      <c r="AO837" s="247"/>
      <c r="AP837" s="247"/>
      <c r="AQ837" s="247"/>
      <c r="AR837" s="247"/>
      <c r="AS837" s="247"/>
      <c r="AT837" s="247"/>
      <c r="AU837" s="247"/>
      <c r="AV837" s="247"/>
      <c r="AW837" s="247"/>
      <c r="AX837" s="247"/>
      <c r="AY837" s="247"/>
      <c r="AZ837" s="247"/>
      <c r="BA837" s="247"/>
      <c r="BB837" s="247"/>
      <c r="BC837" s="247"/>
      <c r="BD837" s="247"/>
      <c r="BE837" s="247"/>
      <c r="BF837" s="247"/>
      <c r="BG837" s="247"/>
      <c r="BH837" s="247"/>
      <c r="BI837" s="247"/>
      <c r="BJ837" s="247"/>
      <c r="BK837" s="247"/>
      <c r="BL837" s="247"/>
      <c r="BM837" s="247"/>
      <c r="BN837" s="247"/>
      <c r="BO837" s="247"/>
      <c r="BP837" s="247"/>
      <c r="BQ837" s="247"/>
      <c r="BR837" s="247"/>
      <c r="BS837" s="301"/>
      <c r="BT837" s="247"/>
      <c r="BU837" s="247"/>
      <c r="BV837" s="247"/>
      <c r="BW837" s="247"/>
      <c r="BX837" s="247"/>
      <c r="BY837" s="247"/>
      <c r="BZ837" s="247"/>
      <c r="CA837" s="247"/>
      <c r="CB837" s="247"/>
      <c r="CC837" s="247"/>
      <c r="CD837" s="247"/>
      <c r="CE837" s="247"/>
      <c r="CF837" s="247"/>
      <c r="CG837" s="247"/>
      <c r="CH837" s="247"/>
      <c r="CI837" s="247"/>
      <c r="CJ837" s="247"/>
      <c r="CK837" s="247"/>
      <c r="CL837" s="247"/>
      <c r="CM837" s="247"/>
      <c r="CN837" s="247"/>
      <c r="CO837" s="247"/>
      <c r="CP837" s="247"/>
      <c r="CQ837" s="247"/>
      <c r="CR837" s="247"/>
      <c r="CS837" s="247"/>
      <c r="CT837" s="247"/>
      <c r="CU837" s="247"/>
      <c r="CV837" s="247"/>
      <c r="CW837" s="247"/>
      <c r="CX837" s="247"/>
      <c r="CY837" s="247"/>
      <c r="CZ837" s="247"/>
      <c r="DA837" s="247"/>
      <c r="DB837" s="247"/>
      <c r="DC837" s="247"/>
      <c r="DD837" s="247"/>
      <c r="DE837" s="247"/>
      <c r="DF837" s="247"/>
      <c r="DG837" s="247"/>
      <c r="DH837" s="247"/>
      <c r="DI837" s="247"/>
      <c r="DJ837" s="247"/>
      <c r="DK837" s="247"/>
      <c r="DL837" s="247"/>
      <c r="DM837" s="247"/>
      <c r="DN837" s="247"/>
      <c r="DO837" s="247"/>
      <c r="DP837" s="247"/>
      <c r="DQ837" s="247"/>
      <c r="DR837" s="247"/>
      <c r="DS837" s="247"/>
      <c r="DT837" s="247"/>
      <c r="DU837" s="247"/>
      <c r="DV837" s="247"/>
      <c r="DW837" s="247"/>
      <c r="DX837" s="247"/>
      <c r="DY837" s="247"/>
      <c r="DZ837" s="247"/>
      <c r="EA837" s="247"/>
      <c r="EB837" s="247"/>
      <c r="EC837" s="247"/>
      <c r="ED837" s="247"/>
      <c r="EE837" s="247"/>
      <c r="EF837" s="247"/>
      <c r="EG837" s="247"/>
      <c r="EH837" s="247"/>
      <c r="EI837" s="247"/>
      <c r="EJ837" s="247"/>
      <c r="EK837" s="247"/>
      <c r="EL837" s="360"/>
      <c r="EM837" s="264"/>
      <c r="EN837" s="249"/>
      <c r="EO837" s="249"/>
      <c r="EP837" s="249"/>
      <c r="EQ837" s="260"/>
      <c r="ER837" s="240"/>
      <c r="ES837" s="240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193"/>
    </row>
    <row r="838" spans="1:189" s="243" customFormat="1" ht="11.45" hidden="1" customHeight="1">
      <c r="B838" s="355"/>
      <c r="C838" s="265"/>
      <c r="D838" s="265"/>
      <c r="E838" s="265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  <c r="Z838" s="265"/>
      <c r="AA838" s="265"/>
      <c r="AB838" s="265"/>
      <c r="AC838" s="265"/>
      <c r="AD838" s="265"/>
      <c r="AE838" s="265"/>
      <c r="AF838" s="265"/>
      <c r="AG838" s="265"/>
      <c r="AH838" s="265"/>
      <c r="AI838" s="265"/>
      <c r="AJ838" s="265"/>
      <c r="AK838" s="265"/>
      <c r="AL838" s="265"/>
      <c r="AM838" s="265"/>
      <c r="AN838" s="265"/>
      <c r="AO838" s="265"/>
      <c r="AP838" s="265"/>
      <c r="AQ838" s="265"/>
      <c r="AR838" s="265"/>
      <c r="AS838" s="265"/>
      <c r="AT838" s="265"/>
      <c r="AU838" s="265"/>
      <c r="AV838" s="265"/>
      <c r="AW838" s="265"/>
      <c r="AX838" s="265"/>
      <c r="AY838" s="265"/>
      <c r="AZ838" s="265"/>
      <c r="BA838" s="265"/>
      <c r="BB838" s="265"/>
      <c r="BC838" s="265"/>
      <c r="BD838" s="265"/>
      <c r="BE838" s="265"/>
      <c r="BF838" s="265"/>
      <c r="BG838" s="265"/>
      <c r="BH838" s="265"/>
      <c r="BI838" s="265"/>
      <c r="BJ838" s="265"/>
      <c r="BK838" s="265"/>
      <c r="BL838" s="265"/>
      <c r="BM838" s="265"/>
      <c r="BN838" s="265"/>
      <c r="BO838" s="265"/>
      <c r="BP838" s="265"/>
      <c r="BQ838" s="265"/>
      <c r="BR838" s="265"/>
      <c r="BS838" s="265"/>
      <c r="BT838" s="265"/>
      <c r="BU838" s="265"/>
      <c r="BV838" s="265"/>
      <c r="BW838" s="265"/>
      <c r="BX838" s="265"/>
      <c r="BY838" s="265"/>
      <c r="BZ838" s="265"/>
      <c r="CA838" s="265"/>
      <c r="CB838" s="265"/>
      <c r="CC838" s="265"/>
      <c r="CD838" s="265"/>
      <c r="CE838" s="265"/>
      <c r="CF838" s="265"/>
      <c r="CG838" s="265"/>
      <c r="CH838" s="265"/>
      <c r="CI838" s="265"/>
      <c r="CJ838" s="265"/>
      <c r="CK838" s="265"/>
      <c r="CL838" s="265"/>
      <c r="CM838" s="265"/>
      <c r="CN838" s="265"/>
      <c r="CO838" s="265"/>
      <c r="CP838" s="265"/>
      <c r="CQ838" s="265"/>
      <c r="CR838" s="265"/>
      <c r="CS838" s="265"/>
      <c r="CT838" s="265"/>
      <c r="CU838" s="265"/>
      <c r="CV838" s="265"/>
      <c r="CW838" s="265"/>
      <c r="CX838" s="265"/>
      <c r="CY838" s="265"/>
      <c r="CZ838" s="314"/>
      <c r="DA838" s="314"/>
      <c r="DB838" s="314"/>
      <c r="DC838" s="314"/>
      <c r="DD838" s="314"/>
      <c r="DE838" s="314"/>
      <c r="DF838" s="314"/>
      <c r="DG838" s="314"/>
      <c r="DH838" s="314"/>
      <c r="DI838" s="314"/>
      <c r="DJ838" s="314"/>
      <c r="DK838" s="314"/>
      <c r="DL838" s="314"/>
      <c r="DM838" s="314"/>
      <c r="DN838" s="314"/>
      <c r="DO838" s="314"/>
      <c r="DP838" s="314"/>
      <c r="DQ838" s="314"/>
      <c r="DR838" s="314"/>
      <c r="DS838" s="314"/>
      <c r="DT838" s="314"/>
      <c r="DU838" s="314"/>
      <c r="DV838" s="314"/>
      <c r="DW838" s="314"/>
      <c r="DX838" s="314"/>
      <c r="DY838" s="314"/>
      <c r="DZ838" s="314"/>
      <c r="EA838" s="314"/>
      <c r="EB838" s="314"/>
      <c r="EC838" s="314"/>
      <c r="ED838" s="314"/>
      <c r="EE838" s="314"/>
      <c r="EF838" s="314"/>
      <c r="EG838" s="314"/>
      <c r="EH838" s="314"/>
      <c r="EI838" s="314"/>
      <c r="EJ838" s="314"/>
      <c r="EK838" s="314"/>
      <c r="EL838" s="356"/>
      <c r="EM838" s="269"/>
      <c r="EN838" s="269"/>
      <c r="EO838" s="269"/>
      <c r="EP838" s="269"/>
      <c r="EQ838" s="366"/>
      <c r="ER838" s="240"/>
      <c r="ES838" s="800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193"/>
    </row>
    <row r="839" spans="1:189" s="243" customFormat="1" ht="11.45" hidden="1" customHeight="1">
      <c r="A839" s="243">
        <v>20</v>
      </c>
      <c r="B839" s="1782">
        <f>A839</f>
        <v>20</v>
      </c>
      <c r="C839" s="1781"/>
      <c r="D839" s="1781"/>
      <c r="E839" s="344" t="s">
        <v>894</v>
      </c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0"/>
      <c r="AO839" s="240"/>
      <c r="AP839" s="240"/>
      <c r="AQ839" s="240"/>
      <c r="AR839" s="240"/>
      <c r="AS839" s="240"/>
      <c r="AT839" s="240"/>
      <c r="AU839" s="240"/>
      <c r="AV839" s="240"/>
      <c r="AW839" s="240"/>
      <c r="AX839" s="240"/>
      <c r="AY839" s="240"/>
      <c r="AZ839" s="240"/>
      <c r="BA839" s="240"/>
      <c r="BB839" s="240"/>
      <c r="BC839" s="240"/>
      <c r="BD839" s="240"/>
      <c r="BE839" s="240"/>
      <c r="BF839" s="240"/>
      <c r="BG839" s="240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240"/>
      <c r="BT839" s="240"/>
      <c r="BU839" s="240"/>
      <c r="BV839" s="240"/>
      <c r="BW839" s="240"/>
      <c r="BX839" s="240"/>
      <c r="BY839" s="240"/>
      <c r="BZ839" s="240"/>
      <c r="CA839" s="240"/>
      <c r="CB839" s="240"/>
      <c r="CC839" s="240"/>
      <c r="CD839" s="240"/>
      <c r="CE839" s="240"/>
      <c r="CF839" s="240"/>
      <c r="CG839" s="240"/>
      <c r="CH839" s="240"/>
      <c r="CI839" s="240"/>
      <c r="CJ839" s="240"/>
      <c r="CK839" s="240"/>
      <c r="CL839" s="240"/>
      <c r="CM839" s="240"/>
      <c r="CN839" s="240"/>
      <c r="CO839" s="240"/>
      <c r="CP839" s="240"/>
      <c r="CQ839" s="240"/>
      <c r="CR839" s="240"/>
      <c r="CS839" s="240"/>
      <c r="CT839" s="240"/>
      <c r="CU839" s="240"/>
      <c r="CV839" s="240"/>
      <c r="CW839" s="240"/>
      <c r="CX839" s="240"/>
      <c r="CY839" s="240"/>
      <c r="CZ839" s="241"/>
      <c r="DA839" s="241"/>
      <c r="DB839" s="241"/>
      <c r="DC839" s="241"/>
      <c r="DD839" s="241"/>
      <c r="DE839" s="241"/>
      <c r="DF839" s="241"/>
      <c r="DG839" s="241"/>
      <c r="DH839" s="241"/>
      <c r="DI839" s="241"/>
      <c r="DJ839" s="241"/>
      <c r="DK839" s="241"/>
      <c r="DL839" s="241"/>
      <c r="DM839" s="241"/>
      <c r="DN839" s="241"/>
      <c r="DO839" s="241"/>
      <c r="DP839" s="241"/>
      <c r="DQ839" s="241"/>
      <c r="DR839" s="241"/>
      <c r="DS839" s="241"/>
      <c r="DT839" s="241"/>
      <c r="DU839" s="241"/>
      <c r="DV839" s="241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345"/>
      <c r="EM839" s="242" t="e">
        <f>EM883</f>
        <v>#REF!</v>
      </c>
      <c r="EN839" s="242" t="e">
        <f>EN883</f>
        <v>#REF!</v>
      </c>
      <c r="EO839" s="242" t="e">
        <f>EO883</f>
        <v>#REF!</v>
      </c>
      <c r="EP839" s="242" t="e">
        <f>EP883</f>
        <v>#REF!</v>
      </c>
      <c r="EQ839" s="312" t="s">
        <v>763</v>
      </c>
      <c r="ER839" s="240"/>
      <c r="ES839" s="800">
        <f>A839</f>
        <v>20</v>
      </c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193"/>
    </row>
    <row r="840" spans="1:189" s="243" customFormat="1" ht="11.45" hidden="1" customHeight="1">
      <c r="B840" s="343"/>
      <c r="C840" s="240"/>
      <c r="D840" s="240"/>
      <c r="E840" s="240"/>
      <c r="F840" s="240" t="s">
        <v>681</v>
      </c>
      <c r="G840" s="240"/>
      <c r="H840" s="240"/>
      <c r="I840" s="240" t="s">
        <v>538</v>
      </c>
      <c r="J840" s="240" t="s">
        <v>724</v>
      </c>
      <c r="K840" s="240"/>
      <c r="L840" s="240"/>
      <c r="M840" s="240" t="s">
        <v>745</v>
      </c>
      <c r="N840" s="240"/>
      <c r="O840" s="240"/>
      <c r="P840" s="240"/>
      <c r="Q840" s="240"/>
      <c r="R840" s="240"/>
      <c r="S840" s="240"/>
      <c r="T840" s="240" t="s">
        <v>132</v>
      </c>
      <c r="U840" s="240"/>
      <c r="V840" s="240" t="s">
        <v>743</v>
      </c>
      <c r="W840" s="240"/>
      <c r="X840" s="240"/>
      <c r="Y840" s="240" t="s">
        <v>134</v>
      </c>
      <c r="Z840" s="240"/>
      <c r="AA840" s="240" t="str">
        <f>TEXT(320,"#,##0.#######")</f>
        <v>320.</v>
      </c>
      <c r="AB840" s="240"/>
      <c r="AC840" s="240"/>
      <c r="AD840" s="240" t="s">
        <v>548</v>
      </c>
      <c r="AE840" s="240"/>
      <c r="AF840" s="240" t="s">
        <v>139</v>
      </c>
      <c r="AG840" s="240" t="s">
        <v>724</v>
      </c>
      <c r="AH840" s="240"/>
      <c r="AI840" s="240"/>
      <c r="AJ840" s="240"/>
      <c r="AK840" s="240"/>
      <c r="AL840" s="240"/>
      <c r="AM840" s="240"/>
      <c r="AN840" s="240"/>
      <c r="AO840" s="240"/>
      <c r="AP840" s="240"/>
      <c r="AQ840" s="240"/>
      <c r="AR840" s="240"/>
      <c r="AS840" s="240"/>
      <c r="AT840" s="240"/>
      <c r="AU840" s="240"/>
      <c r="AV840" s="240"/>
      <c r="AW840" s="240"/>
      <c r="AX840" s="240"/>
      <c r="AY840" s="240"/>
      <c r="AZ840" s="240"/>
      <c r="BA840" s="240"/>
      <c r="BB840" s="240"/>
      <c r="BC840" s="240"/>
      <c r="BD840" s="240"/>
      <c r="BE840" s="240"/>
      <c r="BF840" s="240"/>
      <c r="BG840" s="240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240"/>
      <c r="BT840" s="240"/>
      <c r="BU840" s="240"/>
      <c r="BV840" s="240"/>
      <c r="BW840" s="240"/>
      <c r="BX840" s="240"/>
      <c r="BY840" s="240"/>
      <c r="BZ840" s="240"/>
      <c r="CA840" s="240"/>
      <c r="CB840" s="240"/>
      <c r="CC840" s="240"/>
      <c r="CD840" s="240"/>
      <c r="CE840" s="240"/>
      <c r="CF840" s="240"/>
      <c r="CG840" s="240"/>
      <c r="CH840" s="240"/>
      <c r="CI840" s="240"/>
      <c r="CJ840" s="240"/>
      <c r="CK840" s="240"/>
      <c r="CL840" s="240"/>
      <c r="CM840" s="240"/>
      <c r="CN840" s="240"/>
      <c r="CO840" s="240"/>
      <c r="CP840" s="240"/>
      <c r="CQ840" s="240"/>
      <c r="CR840" s="240"/>
      <c r="CS840" s="240"/>
      <c r="CT840" s="240"/>
      <c r="CU840" s="240"/>
      <c r="CV840" s="240"/>
      <c r="CW840" s="240"/>
      <c r="CX840" s="240"/>
      <c r="CY840" s="240"/>
      <c r="CZ840" s="241"/>
      <c r="DA840" s="241"/>
      <c r="DB840" s="241"/>
      <c r="DC840" s="241"/>
      <c r="DD840" s="241"/>
      <c r="DE840" s="241"/>
      <c r="DF840" s="241"/>
      <c r="DG840" s="241"/>
      <c r="DH840" s="241"/>
      <c r="DI840" s="241"/>
      <c r="DJ840" s="241"/>
      <c r="DK840" s="241"/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1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345"/>
      <c r="EM840" s="245"/>
      <c r="EN840" s="245"/>
      <c r="EO840" s="245"/>
      <c r="EP840" s="245"/>
      <c r="EQ840" s="254"/>
      <c r="ER840" s="240"/>
      <c r="ES840" s="240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193"/>
    </row>
    <row r="841" spans="1:189" s="243" customFormat="1" ht="11.45" hidden="1" customHeight="1">
      <c r="B841" s="343"/>
      <c r="C841" s="240"/>
      <c r="D841" s="240"/>
      <c r="E841" s="240"/>
      <c r="F841" s="240"/>
      <c r="G841" s="240"/>
      <c r="H841" s="240"/>
      <c r="I841" s="240" t="s">
        <v>741</v>
      </c>
      <c r="J841" s="240"/>
      <c r="K841" s="240"/>
      <c r="L841" s="240"/>
      <c r="M841" s="240"/>
      <c r="N841" s="240"/>
      <c r="O841" s="240"/>
      <c r="P841" s="240" t="s">
        <v>745</v>
      </c>
      <c r="Q841" s="240"/>
      <c r="R841" s="240"/>
      <c r="S841" s="240"/>
      <c r="T841" s="240"/>
      <c r="U841" s="240"/>
      <c r="V841" s="240"/>
      <c r="W841" s="240" t="s">
        <v>132</v>
      </c>
      <c r="X841" s="240"/>
      <c r="Y841" s="240" t="s">
        <v>687</v>
      </c>
      <c r="Z841" s="240"/>
      <c r="AA841" s="240" t="s">
        <v>134</v>
      </c>
      <c r="AB841" s="240"/>
      <c r="AC841" s="240" t="s">
        <v>743</v>
      </c>
      <c r="AD841" s="240"/>
      <c r="AE841" s="240"/>
      <c r="AF841" s="240" t="s">
        <v>683</v>
      </c>
      <c r="AG841" s="240"/>
      <c r="AH841" s="240"/>
      <c r="AI841" s="240" t="str">
        <f>TEXT(8,"#,##0.#######")</f>
        <v>8.</v>
      </c>
      <c r="AJ841" s="240" t="s">
        <v>618</v>
      </c>
      <c r="AK841" s="240"/>
      <c r="AL841" s="240"/>
      <c r="AM841" s="240" t="s">
        <v>134</v>
      </c>
      <c r="AN841" s="240"/>
      <c r="AO841" s="240" t="str">
        <f>TEXT(AA840,"#,##0.#######")</f>
        <v>320.</v>
      </c>
      <c r="AP841" s="240"/>
      <c r="AQ841" s="240"/>
      <c r="AR841" s="240"/>
      <c r="AS841" s="240" t="s">
        <v>683</v>
      </c>
      <c r="AT841" s="240"/>
      <c r="AU841" s="240"/>
      <c r="AV841" s="240" t="str">
        <f>TEXT(AI841,"#,##0.#######")</f>
        <v>8.</v>
      </c>
      <c r="AW841" s="240"/>
      <c r="AX841" s="240" t="s">
        <v>134</v>
      </c>
      <c r="AY841" s="240"/>
      <c r="AZ841" s="240"/>
      <c r="BA841" s="240" t="str">
        <f>TEXT(ROUND(AA840/AI841,2),"#,##0.#######")</f>
        <v>40.</v>
      </c>
      <c r="BB841" s="240"/>
      <c r="BC841" s="240"/>
      <c r="BD841" s="240"/>
      <c r="BE841" s="240"/>
      <c r="BF841" s="240"/>
      <c r="BG841" s="240"/>
      <c r="BH841" s="240" t="s">
        <v>548</v>
      </c>
      <c r="BI841" s="240"/>
      <c r="BJ841" s="240" t="s">
        <v>139</v>
      </c>
      <c r="BK841" s="240" t="s">
        <v>618</v>
      </c>
      <c r="BL841" s="240"/>
      <c r="BM841" s="240"/>
      <c r="BN841" s="240"/>
      <c r="BO841" s="240"/>
      <c r="BP841" s="240"/>
      <c r="BQ841" s="240"/>
      <c r="BR841" s="240"/>
      <c r="BS841" s="240"/>
      <c r="BT841" s="240"/>
      <c r="BU841" s="240"/>
      <c r="BV841" s="240"/>
      <c r="BW841" s="240"/>
      <c r="BX841" s="240"/>
      <c r="BY841" s="240"/>
      <c r="BZ841" s="240"/>
      <c r="CA841" s="240"/>
      <c r="CB841" s="240"/>
      <c r="CC841" s="240"/>
      <c r="CD841" s="240"/>
      <c r="CE841" s="240"/>
      <c r="CF841" s="240"/>
      <c r="CG841" s="240"/>
      <c r="CH841" s="240"/>
      <c r="CI841" s="240"/>
      <c r="CJ841" s="240"/>
      <c r="CK841" s="240"/>
      <c r="CL841" s="240"/>
      <c r="CM841" s="240"/>
      <c r="CN841" s="240"/>
      <c r="CO841" s="240"/>
      <c r="CP841" s="240"/>
      <c r="CQ841" s="240"/>
      <c r="CR841" s="240"/>
      <c r="CS841" s="240"/>
      <c r="CT841" s="240"/>
      <c r="CU841" s="240"/>
      <c r="CV841" s="240"/>
      <c r="CW841" s="240"/>
      <c r="CX841" s="240"/>
      <c r="CY841" s="240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1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345"/>
      <c r="EM841" s="245"/>
      <c r="EN841" s="245"/>
      <c r="EO841" s="245"/>
      <c r="EP841" s="245"/>
      <c r="EQ841" s="254"/>
      <c r="ER841" s="240"/>
      <c r="ES841" s="240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193"/>
    </row>
    <row r="842" spans="1:189" s="243" customFormat="1" ht="11.45" hidden="1" customHeight="1">
      <c r="B842" s="343"/>
      <c r="C842" s="240"/>
      <c r="D842" s="240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0"/>
      <c r="AO842" s="240"/>
      <c r="AP842" s="240"/>
      <c r="AQ842" s="240"/>
      <c r="AR842" s="240"/>
      <c r="AS842" s="240"/>
      <c r="AT842" s="240"/>
      <c r="AU842" s="240"/>
      <c r="AV842" s="240"/>
      <c r="AW842" s="240"/>
      <c r="AX842" s="240"/>
      <c r="AY842" s="240"/>
      <c r="AZ842" s="240"/>
      <c r="BA842" s="240"/>
      <c r="BB842" s="240"/>
      <c r="BC842" s="240"/>
      <c r="BD842" s="240"/>
      <c r="BE842" s="240"/>
      <c r="BF842" s="240"/>
      <c r="BG842" s="240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240"/>
      <c r="BT842" s="240"/>
      <c r="BU842" s="240"/>
      <c r="BV842" s="240"/>
      <c r="BW842" s="240"/>
      <c r="BX842" s="240"/>
      <c r="BY842" s="240"/>
      <c r="BZ842" s="240"/>
      <c r="CA842" s="240"/>
      <c r="CB842" s="240"/>
      <c r="CC842" s="240"/>
      <c r="CD842" s="240"/>
      <c r="CE842" s="240"/>
      <c r="CF842" s="240"/>
      <c r="CG842" s="240"/>
      <c r="CH842" s="240"/>
      <c r="CI842" s="240"/>
      <c r="CJ842" s="240"/>
      <c r="CK842" s="240"/>
      <c r="CL842" s="240"/>
      <c r="CM842" s="240"/>
      <c r="CN842" s="240"/>
      <c r="CO842" s="240"/>
      <c r="CP842" s="240"/>
      <c r="CQ842" s="240"/>
      <c r="CR842" s="240"/>
      <c r="CS842" s="240"/>
      <c r="CT842" s="240"/>
      <c r="CU842" s="240"/>
      <c r="CV842" s="240"/>
      <c r="CW842" s="240"/>
      <c r="CX842" s="240"/>
      <c r="CY842" s="240"/>
      <c r="CZ842" s="241"/>
      <c r="DA842" s="241"/>
      <c r="DB842" s="241"/>
      <c r="DC842" s="241"/>
      <c r="DD842" s="241"/>
      <c r="DE842" s="241"/>
      <c r="DF842" s="241"/>
      <c r="DG842" s="241"/>
      <c r="DH842" s="241"/>
      <c r="DI842" s="241"/>
      <c r="DJ842" s="241"/>
      <c r="DK842" s="241"/>
      <c r="DL842" s="241"/>
      <c r="DM842" s="241"/>
      <c r="DN842" s="241"/>
      <c r="DO842" s="241"/>
      <c r="DP842" s="241"/>
      <c r="DQ842" s="241"/>
      <c r="DR842" s="241"/>
      <c r="DS842" s="241"/>
      <c r="DT842" s="241"/>
      <c r="DU842" s="241"/>
      <c r="DV842" s="241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345"/>
      <c r="EM842" s="245"/>
      <c r="EN842" s="245"/>
      <c r="EO842" s="245"/>
      <c r="EP842" s="245"/>
      <c r="EQ842" s="254"/>
      <c r="ER842" s="240"/>
      <c r="ES842" s="240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193"/>
    </row>
    <row r="843" spans="1:189" s="243" customFormat="1" ht="11.45" hidden="1" customHeight="1">
      <c r="B843" s="343"/>
      <c r="C843" s="240"/>
      <c r="D843" s="240"/>
      <c r="E843" s="240" t="s">
        <v>674</v>
      </c>
      <c r="F843" s="240"/>
      <c r="G843" s="240"/>
      <c r="H843" s="240" t="s">
        <v>742</v>
      </c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0"/>
      <c r="AO843" s="240"/>
      <c r="AP843" s="240"/>
      <c r="AQ843" s="240"/>
      <c r="AR843" s="240"/>
      <c r="AS843" s="240"/>
      <c r="AT843" s="240"/>
      <c r="AU843" s="240"/>
      <c r="AV843" s="240"/>
      <c r="AW843" s="240"/>
      <c r="AX843" s="240"/>
      <c r="AY843" s="240"/>
      <c r="AZ843" s="240"/>
      <c r="BA843" s="240"/>
      <c r="BB843" s="240"/>
      <c r="BC843" s="240"/>
      <c r="BD843" s="240"/>
      <c r="BE843" s="240"/>
      <c r="BF843" s="240"/>
      <c r="BG843" s="240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240"/>
      <c r="BT843" s="240"/>
      <c r="BU843" s="240"/>
      <c r="BV843" s="240"/>
      <c r="BW843" s="240"/>
      <c r="BX843" s="240"/>
      <c r="BY843" s="240"/>
      <c r="BZ843" s="240"/>
      <c r="CA843" s="240"/>
      <c r="CB843" s="240"/>
      <c r="CC843" s="240"/>
      <c r="CD843" s="240"/>
      <c r="CE843" s="240"/>
      <c r="CF843" s="240"/>
      <c r="CG843" s="240"/>
      <c r="CH843" s="240"/>
      <c r="CI843" s="240"/>
      <c r="CJ843" s="240"/>
      <c r="CK843" s="240"/>
      <c r="CL843" s="240"/>
      <c r="CM843" s="240"/>
      <c r="CN843" s="240"/>
      <c r="CO843" s="240"/>
      <c r="CP843" s="240"/>
      <c r="CQ843" s="240"/>
      <c r="CR843" s="240"/>
      <c r="CS843" s="240"/>
      <c r="CT843" s="240"/>
      <c r="CU843" s="240"/>
      <c r="CV843" s="240"/>
      <c r="CW843" s="240"/>
      <c r="CX843" s="240"/>
      <c r="CY843" s="240"/>
      <c r="CZ843" s="241"/>
      <c r="DA843" s="241"/>
      <c r="DB843" s="241"/>
      <c r="DC843" s="241"/>
      <c r="DD843" s="241"/>
      <c r="DE843" s="241"/>
      <c r="DF843" s="241"/>
      <c r="DG843" s="241"/>
      <c r="DH843" s="241"/>
      <c r="DI843" s="241"/>
      <c r="DJ843" s="241"/>
      <c r="DK843" s="241"/>
      <c r="DL843" s="241"/>
      <c r="DM843" s="241"/>
      <c r="DN843" s="241"/>
      <c r="DO843" s="241"/>
      <c r="DP843" s="241"/>
      <c r="DQ843" s="241"/>
      <c r="DR843" s="241"/>
      <c r="DS843" s="241"/>
      <c r="DT843" s="241"/>
      <c r="DU843" s="241"/>
      <c r="DV843" s="241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345"/>
      <c r="EM843" s="245"/>
      <c r="EN843" s="245"/>
      <c r="EO843" s="245"/>
      <c r="EP843" s="245"/>
      <c r="EQ843" s="254"/>
      <c r="ER843" s="240"/>
      <c r="ES843" s="240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193"/>
    </row>
    <row r="844" spans="1:189" s="243" customFormat="1" ht="11.45" hidden="1" customHeight="1">
      <c r="B844" s="343"/>
      <c r="C844" s="240"/>
      <c r="D844" s="240"/>
      <c r="E844" s="240"/>
      <c r="F844" s="240"/>
      <c r="G844" s="240"/>
      <c r="H844" s="240" t="s">
        <v>1672</v>
      </c>
      <c r="I844" s="240"/>
      <c r="J844" s="240"/>
      <c r="K844" s="240"/>
      <c r="L844" s="240"/>
      <c r="M844" s="240"/>
      <c r="N844" s="240" t="s">
        <v>132</v>
      </c>
      <c r="O844" s="240"/>
      <c r="P844" s="1775">
        <f>VLOOKUP($H844,노임단가!$A:$B,2,FALSE)</f>
        <v>237245</v>
      </c>
      <c r="Q844" s="1775"/>
      <c r="R844" s="1775"/>
      <c r="S844" s="1775"/>
      <c r="T844" s="1775"/>
      <c r="U844" s="1775"/>
      <c r="V844" s="240" t="s">
        <v>652</v>
      </c>
      <c r="W844" s="240"/>
      <c r="X844" s="240" t="str">
        <f>TEXT(2,"#,##0.#######")</f>
        <v>2.</v>
      </c>
      <c r="Y844" s="240"/>
      <c r="Z844" s="240"/>
      <c r="AA844" s="240" t="s">
        <v>102</v>
      </c>
      <c r="AB844" s="240"/>
      <c r="AC844" s="240"/>
      <c r="AD844" s="240" t="s">
        <v>683</v>
      </c>
      <c r="AE844" s="240"/>
      <c r="AF844" s="240"/>
      <c r="AG844" s="240" t="s">
        <v>743</v>
      </c>
      <c r="AH844" s="240"/>
      <c r="AI844" s="240"/>
      <c r="AJ844" s="240" t="s">
        <v>134</v>
      </c>
      <c r="AK844" s="240"/>
      <c r="AL844" s="240" t="str">
        <f>TEXT(P844,"#,##0.#######")</f>
        <v>237,245.</v>
      </c>
      <c r="AM844" s="240"/>
      <c r="AN844" s="240"/>
      <c r="AO844" s="240"/>
      <c r="AP844" s="240"/>
      <c r="AQ844" s="240"/>
      <c r="AR844" s="240"/>
      <c r="AS844" s="240" t="s">
        <v>652</v>
      </c>
      <c r="AT844" s="240"/>
      <c r="AU844" s="240" t="str">
        <f>TEXT(X844,"#,##0.#######")</f>
        <v>2.</v>
      </c>
      <c r="AV844" s="240"/>
      <c r="AW844" s="240" t="s">
        <v>683</v>
      </c>
      <c r="AX844" s="240"/>
      <c r="AY844" s="240"/>
      <c r="AZ844" s="240" t="str">
        <f>TEXT(AA840,"#,##0.#######")</f>
        <v>320.</v>
      </c>
      <c r="BA844" s="240"/>
      <c r="BB844" s="240"/>
      <c r="BC844" s="240"/>
      <c r="BD844" s="240" t="s">
        <v>134</v>
      </c>
      <c r="BE844" s="240"/>
      <c r="BF844" s="240" t="str">
        <f>TEXT(TRUNC(P844*X844/AA840,1),"#,##0.#######")</f>
        <v>1,482.7</v>
      </c>
      <c r="BQ844" s="240"/>
      <c r="BR844" s="240"/>
      <c r="BS844" s="240"/>
      <c r="BT844" s="240"/>
      <c r="BU844" s="240"/>
      <c r="BV844" s="240"/>
      <c r="BW844" s="240"/>
      <c r="BX844" s="240"/>
      <c r="BY844" s="240"/>
      <c r="BZ844" s="240"/>
      <c r="CA844" s="240"/>
      <c r="CB844" s="240"/>
      <c r="CC844" s="240"/>
      <c r="CD844" s="240"/>
      <c r="CE844" s="240"/>
      <c r="CF844" s="240"/>
      <c r="CG844" s="240"/>
      <c r="CH844" s="240"/>
      <c r="CI844" s="240"/>
      <c r="CJ844" s="240"/>
      <c r="CK844" s="240"/>
      <c r="CL844" s="240"/>
      <c r="CM844" s="240"/>
      <c r="CN844" s="240"/>
      <c r="CO844" s="240"/>
      <c r="CP844" s="240"/>
      <c r="CQ844" s="240"/>
      <c r="CR844" s="240"/>
      <c r="CS844" s="240"/>
      <c r="CT844" s="240"/>
      <c r="CU844" s="240"/>
      <c r="CV844" s="240"/>
      <c r="CW844" s="240"/>
      <c r="CX844" s="240"/>
      <c r="CY844" s="240"/>
      <c r="CZ844" s="241"/>
      <c r="DA844" s="241"/>
      <c r="DB844" s="241"/>
      <c r="DC844" s="241"/>
      <c r="DD844" s="241"/>
      <c r="DE844" s="241"/>
      <c r="DF844" s="241"/>
      <c r="DG844" s="241"/>
      <c r="DH844" s="241"/>
      <c r="DI844" s="241"/>
      <c r="DJ844" s="241"/>
      <c r="DK844" s="241"/>
      <c r="DL844" s="241"/>
      <c r="DM844" s="241"/>
      <c r="DN844" s="241"/>
      <c r="DO844" s="241"/>
      <c r="DP844" s="241"/>
      <c r="DQ844" s="241"/>
      <c r="DR844" s="241"/>
      <c r="DS844" s="241"/>
      <c r="DT844" s="241"/>
      <c r="DU844" s="241"/>
      <c r="DV844" s="241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345"/>
      <c r="EM844" s="245"/>
      <c r="EN844" s="245"/>
      <c r="EO844" s="245"/>
      <c r="EP844" s="245"/>
      <c r="EQ844" s="254"/>
      <c r="ER844" s="240"/>
      <c r="ES844" s="240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193"/>
    </row>
    <row r="845" spans="1:189" s="243" customFormat="1" ht="11.45" hidden="1" customHeight="1">
      <c r="B845" s="343"/>
      <c r="C845" s="240"/>
      <c r="D845" s="240"/>
      <c r="E845" s="240"/>
      <c r="F845" s="240"/>
      <c r="G845" s="240"/>
      <c r="H845" s="240" t="s">
        <v>103</v>
      </c>
      <c r="I845" s="240"/>
      <c r="J845" s="240"/>
      <c r="K845" s="240"/>
      <c r="L845" s="240"/>
      <c r="M845" s="240"/>
      <c r="N845" s="240" t="s">
        <v>132</v>
      </c>
      <c r="O845" s="240"/>
      <c r="P845" s="1775">
        <f>VLOOKUP($H845,노임단가!$A:$B,2,FALSE)</f>
        <v>157068</v>
      </c>
      <c r="Q845" s="1775"/>
      <c r="R845" s="1775"/>
      <c r="S845" s="1775"/>
      <c r="T845" s="1775"/>
      <c r="U845" s="1775"/>
      <c r="V845" s="240" t="s">
        <v>652</v>
      </c>
      <c r="W845" s="240"/>
      <c r="X845" s="240" t="str">
        <f>TEXT(1,"#,##0.#######")</f>
        <v>1.</v>
      </c>
      <c r="Y845" s="240"/>
      <c r="Z845" s="240"/>
      <c r="AA845" s="240" t="s">
        <v>102</v>
      </c>
      <c r="AB845" s="240"/>
      <c r="AC845" s="240"/>
      <c r="AD845" s="240" t="s">
        <v>683</v>
      </c>
      <c r="AE845" s="240"/>
      <c r="AF845" s="240"/>
      <c r="AG845" s="240" t="s">
        <v>743</v>
      </c>
      <c r="AH845" s="240"/>
      <c r="AI845" s="240"/>
      <c r="AJ845" s="240" t="s">
        <v>134</v>
      </c>
      <c r="AK845" s="240"/>
      <c r="AL845" s="240" t="str">
        <f>TEXT(P845,"#,##0.#######")</f>
        <v>157,068.</v>
      </c>
      <c r="AM845" s="240"/>
      <c r="AN845" s="240"/>
      <c r="AO845" s="240"/>
      <c r="AP845" s="240"/>
      <c r="AQ845" s="240"/>
      <c r="AR845" s="240"/>
      <c r="AS845" s="240" t="s">
        <v>652</v>
      </c>
      <c r="AT845" s="240"/>
      <c r="AU845" s="240" t="str">
        <f>TEXT(X845,"#,##0.#######")</f>
        <v>1.</v>
      </c>
      <c r="AV845" s="240"/>
      <c r="AW845" s="240" t="s">
        <v>683</v>
      </c>
      <c r="AX845" s="240"/>
      <c r="AY845" s="240"/>
      <c r="AZ845" s="240" t="str">
        <f>TEXT(AA840,"#,##0.#######")</f>
        <v>320.</v>
      </c>
      <c r="BA845" s="240"/>
      <c r="BB845" s="240"/>
      <c r="BC845" s="240"/>
      <c r="BD845" s="240" t="s">
        <v>134</v>
      </c>
      <c r="BE845" s="240"/>
      <c r="BF845" s="240" t="str">
        <f>TEXT(TRUNC(P845*X845/AA840,1),"#,##0.#######")</f>
        <v>490.8</v>
      </c>
      <c r="BJ845" s="243" t="s">
        <v>147</v>
      </c>
      <c r="BK845" s="243" t="s">
        <v>746</v>
      </c>
      <c r="BO845" s="240"/>
      <c r="BP845" s="240"/>
      <c r="BQ845" s="240" t="s">
        <v>148</v>
      </c>
      <c r="BR845" s="240"/>
      <c r="BS845" s="240"/>
      <c r="BT845" s="240"/>
      <c r="BU845" s="240"/>
      <c r="BV845" s="240"/>
      <c r="BW845" s="240"/>
      <c r="BX845" s="240"/>
      <c r="BY845" s="240"/>
      <c r="BZ845" s="240"/>
      <c r="CA845" s="240"/>
      <c r="CB845" s="240"/>
      <c r="CC845" s="240"/>
      <c r="CD845" s="240"/>
      <c r="CE845" s="240"/>
      <c r="CF845" s="240"/>
      <c r="CG845" s="240"/>
      <c r="CH845" s="240"/>
      <c r="CI845" s="240"/>
      <c r="CJ845" s="240"/>
      <c r="CK845" s="240"/>
      <c r="CL845" s="240"/>
      <c r="CM845" s="240"/>
      <c r="CN845" s="240"/>
      <c r="CO845" s="240"/>
      <c r="CP845" s="240"/>
      <c r="CQ845" s="240"/>
      <c r="CR845" s="240"/>
      <c r="CS845" s="240"/>
      <c r="CT845" s="240"/>
      <c r="CU845" s="240"/>
      <c r="CV845" s="240"/>
      <c r="CW845" s="240"/>
      <c r="CX845" s="240"/>
      <c r="CY845" s="240"/>
      <c r="CZ845" s="241"/>
      <c r="DA845" s="241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1"/>
      <c r="DL845" s="241"/>
      <c r="DM845" s="241"/>
      <c r="DN845" s="241"/>
      <c r="DO845" s="241"/>
      <c r="DP845" s="241"/>
      <c r="DQ845" s="241"/>
      <c r="DR845" s="241"/>
      <c r="DS845" s="241"/>
      <c r="DT845" s="241"/>
      <c r="DU845" s="241"/>
      <c r="DV845" s="241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345"/>
      <c r="EM845" s="245"/>
      <c r="EN845" s="245"/>
      <c r="EO845" s="245"/>
      <c r="EP845" s="245"/>
      <c r="EQ845" s="254"/>
      <c r="ER845" s="240"/>
      <c r="ES845" s="240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193"/>
    </row>
    <row r="846" spans="1:189" s="243" customFormat="1" ht="11.45" hidden="1" customHeight="1">
      <c r="B846" s="343"/>
      <c r="C846" s="240"/>
      <c r="D846" s="240"/>
      <c r="E846" s="240"/>
      <c r="F846" s="240"/>
      <c r="G846" s="240"/>
      <c r="H846" s="240" t="s">
        <v>684</v>
      </c>
      <c r="I846" s="240"/>
      <c r="J846" s="240"/>
      <c r="K846" s="240"/>
      <c r="L846" s="240"/>
      <c r="M846" s="240"/>
      <c r="N846" s="240" t="s">
        <v>132</v>
      </c>
      <c r="O846" s="240"/>
      <c r="P846" s="240" t="str">
        <f>TEXT(TRUNC(BF844+BF845,1),"#,##0.#######")</f>
        <v>1,973.5</v>
      </c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0"/>
      <c r="AO846" s="240"/>
      <c r="AP846" s="240"/>
      <c r="AQ846" s="240"/>
      <c r="AR846" s="240"/>
      <c r="AS846" s="240"/>
      <c r="AT846" s="240"/>
      <c r="AU846" s="240"/>
      <c r="AV846" s="240"/>
      <c r="AW846" s="240"/>
      <c r="AX846" s="240"/>
      <c r="AY846" s="240"/>
      <c r="AZ846" s="240"/>
      <c r="BA846" s="240"/>
      <c r="BB846" s="240"/>
      <c r="BC846" s="240"/>
      <c r="BD846" s="240"/>
      <c r="BE846" s="240"/>
      <c r="BF846" s="240"/>
      <c r="BG846" s="240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240"/>
      <c r="BT846" s="240"/>
      <c r="BU846" s="240"/>
      <c r="BV846" s="240"/>
      <c r="BW846" s="240"/>
      <c r="BX846" s="240"/>
      <c r="BY846" s="240"/>
      <c r="BZ846" s="240"/>
      <c r="CA846" s="240"/>
      <c r="CB846" s="240"/>
      <c r="CC846" s="240"/>
      <c r="CD846" s="240"/>
      <c r="CE846" s="240"/>
      <c r="CF846" s="240"/>
      <c r="CG846" s="240"/>
      <c r="CH846" s="240"/>
      <c r="CI846" s="240"/>
      <c r="CJ846" s="240"/>
      <c r="CK846" s="240"/>
      <c r="CL846" s="240"/>
      <c r="CM846" s="240"/>
      <c r="CN846" s="240"/>
      <c r="CO846" s="240"/>
      <c r="CP846" s="240"/>
      <c r="CQ846" s="240"/>
      <c r="CR846" s="240"/>
      <c r="CS846" s="240"/>
      <c r="CT846" s="240"/>
      <c r="CU846" s="240"/>
      <c r="CV846" s="240"/>
      <c r="CW846" s="240"/>
      <c r="CX846" s="240"/>
      <c r="CY846" s="240"/>
      <c r="CZ846" s="241"/>
      <c r="DA846" s="241"/>
      <c r="DB846" s="241"/>
      <c r="DC846" s="241"/>
      <c r="DD846" s="241"/>
      <c r="DE846" s="241"/>
      <c r="DF846" s="241"/>
      <c r="DG846" s="241"/>
      <c r="DH846" s="241"/>
      <c r="DI846" s="241"/>
      <c r="DJ846" s="241"/>
      <c r="DK846" s="241"/>
      <c r="DL846" s="241"/>
      <c r="DM846" s="241"/>
      <c r="DN846" s="241"/>
      <c r="DO846" s="241"/>
      <c r="DP846" s="241"/>
      <c r="DQ846" s="241"/>
      <c r="DR846" s="241"/>
      <c r="DS846" s="241"/>
      <c r="DT846" s="241"/>
      <c r="DU846" s="241"/>
      <c r="DV846" s="241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345"/>
      <c r="EM846" s="245"/>
      <c r="EN846" s="245" t="str">
        <f>P846</f>
        <v>1,973.5</v>
      </c>
      <c r="EO846" s="245"/>
      <c r="EP846" s="245"/>
      <c r="EQ846" s="254"/>
      <c r="ER846" s="240"/>
      <c r="ES846" s="240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193"/>
    </row>
    <row r="847" spans="1:189" s="243" customFormat="1" ht="11.45" hidden="1" customHeight="1">
      <c r="B847" s="343"/>
      <c r="C847" s="240"/>
      <c r="D847" s="240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0"/>
      <c r="AO847" s="240"/>
      <c r="AP847" s="240"/>
      <c r="AQ847" s="240"/>
      <c r="AR847" s="240"/>
      <c r="AS847" s="240"/>
      <c r="AT847" s="240"/>
      <c r="AU847" s="240"/>
      <c r="AV847" s="240"/>
      <c r="AW847" s="240"/>
      <c r="AX847" s="240"/>
      <c r="AY847" s="240"/>
      <c r="AZ847" s="240"/>
      <c r="BA847" s="240"/>
      <c r="BB847" s="240"/>
      <c r="BC847" s="240"/>
      <c r="BD847" s="240"/>
      <c r="BE847" s="240"/>
      <c r="BF847" s="240"/>
      <c r="BG847" s="240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240"/>
      <c r="BT847" s="240"/>
      <c r="BU847" s="240"/>
      <c r="BV847" s="240"/>
      <c r="BW847" s="240"/>
      <c r="BX847" s="240"/>
      <c r="BY847" s="240"/>
      <c r="BZ847" s="240"/>
      <c r="CA847" s="240"/>
      <c r="CB847" s="240"/>
      <c r="CC847" s="240"/>
      <c r="CD847" s="240"/>
      <c r="CE847" s="240"/>
      <c r="CF847" s="240"/>
      <c r="CG847" s="240"/>
      <c r="CH847" s="240"/>
      <c r="CI847" s="240"/>
      <c r="CJ847" s="240"/>
      <c r="CK847" s="240"/>
      <c r="CL847" s="240"/>
      <c r="CM847" s="240"/>
      <c r="CN847" s="240"/>
      <c r="CO847" s="240"/>
      <c r="CP847" s="240"/>
      <c r="CQ847" s="240"/>
      <c r="CR847" s="240"/>
      <c r="CS847" s="240"/>
      <c r="CT847" s="240"/>
      <c r="CU847" s="240"/>
      <c r="CV847" s="240"/>
      <c r="CW847" s="240"/>
      <c r="CX847" s="240"/>
      <c r="CY847" s="240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1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345"/>
      <c r="EM847" s="245"/>
      <c r="EN847" s="245"/>
      <c r="EO847" s="245"/>
      <c r="EP847" s="245"/>
      <c r="EQ847" s="254"/>
      <c r="ER847" s="240"/>
      <c r="ES847" s="240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193"/>
    </row>
    <row r="848" spans="1:189" s="243" customFormat="1" ht="11.45" hidden="1" customHeight="1">
      <c r="B848" s="343"/>
      <c r="C848" s="240"/>
      <c r="D848" s="240"/>
      <c r="E848" s="240" t="s">
        <v>675</v>
      </c>
      <c r="F848" s="240"/>
      <c r="G848" s="240"/>
      <c r="H848" s="240" t="s">
        <v>733</v>
      </c>
      <c r="I848" s="240"/>
      <c r="J848" s="240"/>
      <c r="K848" s="240" t="s">
        <v>730</v>
      </c>
      <c r="L848" s="240"/>
      <c r="M848" s="240"/>
      <c r="N848" s="240" t="s">
        <v>132</v>
      </c>
      <c r="O848" s="240"/>
      <c r="P848" s="240" t="s">
        <v>726</v>
      </c>
      <c r="Q848" s="240"/>
      <c r="R848" s="240"/>
      <c r="S848" s="240"/>
      <c r="T848" s="240"/>
      <c r="U848" s="240"/>
      <c r="V848" s="240"/>
      <c r="W848" s="240"/>
      <c r="X848" s="240"/>
      <c r="Y848" s="240" t="s">
        <v>747</v>
      </c>
      <c r="Z848" s="240"/>
      <c r="AA848" s="240"/>
      <c r="AB848" s="240"/>
      <c r="AC848" s="240"/>
      <c r="AD848" s="240"/>
      <c r="AE848" s="240"/>
      <c r="AF848" s="240"/>
      <c r="AL848" s="240"/>
      <c r="AM848" s="240"/>
      <c r="AN848" s="240"/>
      <c r="AO848" s="240"/>
      <c r="AP848" s="240"/>
      <c r="AQ848" s="240"/>
      <c r="AR848" s="240"/>
      <c r="AS848" s="240"/>
      <c r="AT848" s="240"/>
      <c r="AU848" s="240"/>
      <c r="AV848" s="240"/>
      <c r="AW848" s="240"/>
      <c r="AX848" s="240"/>
      <c r="AY848" s="240"/>
      <c r="AZ848" s="240"/>
      <c r="BA848" s="240"/>
      <c r="BB848" s="240"/>
      <c r="BC848" s="240"/>
      <c r="BD848" s="240"/>
      <c r="BE848" s="240"/>
      <c r="BF848" s="240"/>
      <c r="BG848" s="240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240"/>
      <c r="BT848" s="240"/>
      <c r="BU848" s="240"/>
      <c r="BV848" s="240"/>
      <c r="BW848" s="240"/>
      <c r="BX848" s="240"/>
      <c r="BY848" s="240"/>
      <c r="BZ848" s="240"/>
      <c r="CA848" s="240"/>
      <c r="CB848" s="240"/>
      <c r="CC848" s="240"/>
      <c r="CD848" s="240"/>
      <c r="CE848" s="240"/>
      <c r="CF848" s="240"/>
      <c r="CG848" s="240"/>
      <c r="CH848" s="240"/>
      <c r="CI848" s="240"/>
      <c r="CJ848" s="240"/>
      <c r="CK848" s="240"/>
      <c r="CL848" s="240"/>
      <c r="CM848" s="240"/>
      <c r="CN848" s="240"/>
      <c r="CO848" s="240"/>
      <c r="CP848" s="240"/>
      <c r="CQ848" s="240"/>
      <c r="CR848" s="240"/>
      <c r="CS848" s="240"/>
      <c r="CT848" s="240"/>
      <c r="CU848" s="240"/>
      <c r="CV848" s="240"/>
      <c r="CW848" s="240"/>
      <c r="CX848" s="240"/>
      <c r="CY848" s="240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1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345"/>
      <c r="EM848" s="245"/>
      <c r="EN848" s="245"/>
      <c r="EO848" s="245"/>
      <c r="EP848" s="245"/>
      <c r="EQ848" s="254"/>
      <c r="ER848" s="240"/>
      <c r="ES848" s="240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193"/>
    </row>
    <row r="849" spans="2:189" s="243" customFormat="1" ht="11.45" hidden="1" customHeight="1">
      <c r="B849" s="343"/>
      <c r="C849" s="240"/>
      <c r="D849" s="240"/>
      <c r="E849" s="240"/>
      <c r="F849" s="240"/>
      <c r="G849" s="240"/>
      <c r="H849" s="240" t="s">
        <v>616</v>
      </c>
      <c r="I849" s="240"/>
      <c r="J849" s="240"/>
      <c r="K849" s="240"/>
      <c r="L849" s="240"/>
      <c r="M849" s="240"/>
      <c r="N849" s="240"/>
      <c r="O849" s="240" t="s">
        <v>132</v>
      </c>
      <c r="P849" s="240"/>
      <c r="Q849" s="1775" t="e">
        <f>#REF!</f>
        <v>#REF!</v>
      </c>
      <c r="R849" s="1775"/>
      <c r="S849" s="1775"/>
      <c r="T849" s="1775"/>
      <c r="U849" s="1775"/>
      <c r="V849" s="240"/>
      <c r="W849" s="240"/>
      <c r="X849" s="240" t="s">
        <v>683</v>
      </c>
      <c r="Y849" s="240"/>
      <c r="Z849" s="240"/>
      <c r="AA849" s="240" t="str">
        <f>TEXT(BA841,"#,##0.#######")</f>
        <v>40.</v>
      </c>
      <c r="AB849" s="240"/>
      <c r="AC849" s="240"/>
      <c r="AD849" s="240"/>
      <c r="AE849" s="240"/>
      <c r="AF849" s="240"/>
      <c r="AG849" s="240"/>
      <c r="AH849" s="240" t="s">
        <v>134</v>
      </c>
      <c r="AI849" s="240"/>
      <c r="AJ849" s="240" t="e">
        <f>TEXT(TRUNC(Q849/BA841,1),"#,##0.#")</f>
        <v>#REF!</v>
      </c>
      <c r="AK849" s="240"/>
      <c r="AN849" s="240"/>
      <c r="AO849" s="240"/>
      <c r="AP849" s="240"/>
      <c r="AQ849" s="240"/>
      <c r="AR849" s="240"/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240"/>
      <c r="BD849" s="240"/>
      <c r="BE849" s="240"/>
      <c r="BF849" s="240"/>
      <c r="BG849" s="240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240"/>
      <c r="BT849" s="240"/>
      <c r="BU849" s="240"/>
      <c r="BV849" s="240"/>
      <c r="BW849" s="240"/>
      <c r="BX849" s="240"/>
      <c r="BY849" s="240"/>
      <c r="BZ849" s="240"/>
      <c r="CA849" s="240"/>
      <c r="CB849" s="240"/>
      <c r="CC849" s="240"/>
      <c r="CD849" s="240"/>
      <c r="CE849" s="240"/>
      <c r="CF849" s="240"/>
      <c r="CG849" s="240"/>
      <c r="CH849" s="240"/>
      <c r="CI849" s="240"/>
      <c r="CJ849" s="240"/>
      <c r="CK849" s="240"/>
      <c r="CL849" s="240"/>
      <c r="CM849" s="240"/>
      <c r="CN849" s="240"/>
      <c r="CO849" s="240"/>
      <c r="CP849" s="240"/>
      <c r="CQ849" s="240"/>
      <c r="CR849" s="240"/>
      <c r="CS849" s="240"/>
      <c r="CT849" s="240"/>
      <c r="CU849" s="240"/>
      <c r="CV849" s="240"/>
      <c r="CW849" s="240"/>
      <c r="CX849" s="240"/>
      <c r="CY849" s="240"/>
      <c r="CZ849" s="241"/>
      <c r="DA849" s="241"/>
      <c r="DB849" s="241"/>
      <c r="DC849" s="241"/>
      <c r="DD849" s="241"/>
      <c r="DE849" s="241"/>
      <c r="DF849" s="241"/>
      <c r="DG849" s="241"/>
      <c r="DH849" s="241"/>
      <c r="DI849" s="241"/>
      <c r="DJ849" s="241"/>
      <c r="DK849" s="241"/>
      <c r="DL849" s="241"/>
      <c r="DM849" s="241"/>
      <c r="DN849" s="241"/>
      <c r="DO849" s="241"/>
      <c r="DP849" s="241"/>
      <c r="DQ849" s="241"/>
      <c r="DR849" s="241"/>
      <c r="DS849" s="241"/>
      <c r="DT849" s="241"/>
      <c r="DU849" s="241"/>
      <c r="DV849" s="241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345"/>
      <c r="EM849" s="245"/>
      <c r="EN849" s="245"/>
      <c r="EO849" s="245"/>
      <c r="EP849" s="245"/>
      <c r="EQ849" s="254"/>
      <c r="ER849" s="240"/>
      <c r="ES849" s="240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193"/>
    </row>
    <row r="850" spans="2:189" s="243" customFormat="1" ht="11.45" hidden="1" customHeight="1">
      <c r="B850" s="343"/>
      <c r="C850" s="240"/>
      <c r="D850" s="240"/>
      <c r="E850" s="240"/>
      <c r="F850" s="240"/>
      <c r="G850" s="240"/>
      <c r="H850" s="240" t="s">
        <v>617</v>
      </c>
      <c r="I850" s="240"/>
      <c r="J850" s="240"/>
      <c r="K850" s="240"/>
      <c r="L850" s="240"/>
      <c r="M850" s="240"/>
      <c r="N850" s="240"/>
      <c r="O850" s="240" t="s">
        <v>132</v>
      </c>
      <c r="P850" s="240"/>
      <c r="Q850" s="1775" t="e">
        <f>#REF!</f>
        <v>#REF!</v>
      </c>
      <c r="R850" s="1775"/>
      <c r="S850" s="1775"/>
      <c r="T850" s="1775"/>
      <c r="U850" s="1775"/>
      <c r="V850" s="240"/>
      <c r="W850" s="240"/>
      <c r="X850" s="240" t="s">
        <v>683</v>
      </c>
      <c r="Y850" s="240"/>
      <c r="Z850" s="240"/>
      <c r="AA850" s="240" t="str">
        <f>TEXT(BA841,"#,##0.#######")</f>
        <v>40.</v>
      </c>
      <c r="AB850" s="240"/>
      <c r="AC850" s="240"/>
      <c r="AD850" s="240"/>
      <c r="AE850" s="240"/>
      <c r="AF850" s="240"/>
      <c r="AG850" s="240"/>
      <c r="AH850" s="240" t="s">
        <v>134</v>
      </c>
      <c r="AI850" s="240"/>
      <c r="AJ850" s="240" t="e">
        <f>TEXT(TRUNC(Q850/BA841,1),"#,##0.#")</f>
        <v>#REF!</v>
      </c>
      <c r="AK850" s="240"/>
      <c r="AN850" s="240"/>
      <c r="AO850" s="240"/>
      <c r="AP850" s="240"/>
      <c r="AQ850" s="240"/>
      <c r="AR850" s="240"/>
      <c r="AS850" s="240"/>
      <c r="AT850" s="240"/>
      <c r="AU850" s="240"/>
      <c r="AV850" s="240"/>
      <c r="AW850" s="240"/>
      <c r="AX850" s="240"/>
      <c r="AY850" s="240"/>
      <c r="AZ850" s="240"/>
      <c r="BA850" s="240"/>
      <c r="BB850" s="240"/>
      <c r="BC850" s="240"/>
      <c r="BD850" s="240"/>
      <c r="BE850" s="240"/>
      <c r="BF850" s="240"/>
      <c r="BG850" s="240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240"/>
      <c r="BT850" s="240"/>
      <c r="BU850" s="240"/>
      <c r="BV850" s="240"/>
      <c r="BW850" s="240"/>
      <c r="BX850" s="240"/>
      <c r="BY850" s="240"/>
      <c r="BZ850" s="240"/>
      <c r="CA850" s="240"/>
      <c r="CB850" s="240"/>
      <c r="CC850" s="240"/>
      <c r="CD850" s="240"/>
      <c r="CE850" s="240"/>
      <c r="CF850" s="240"/>
      <c r="CG850" s="240"/>
      <c r="CH850" s="240"/>
      <c r="CI850" s="240"/>
      <c r="CJ850" s="240"/>
      <c r="CK850" s="240"/>
      <c r="CL850" s="240"/>
      <c r="CM850" s="240"/>
      <c r="CN850" s="240"/>
      <c r="CO850" s="240"/>
      <c r="CP850" s="240"/>
      <c r="CQ850" s="240"/>
      <c r="CR850" s="240"/>
      <c r="CS850" s="240"/>
      <c r="CT850" s="240"/>
      <c r="CU850" s="240"/>
      <c r="CV850" s="240"/>
      <c r="CW850" s="240"/>
      <c r="CX850" s="240"/>
      <c r="CY850" s="240"/>
      <c r="CZ850" s="241"/>
      <c r="DA850" s="241"/>
      <c r="DB850" s="241"/>
      <c r="DC850" s="241"/>
      <c r="DD850" s="241"/>
      <c r="DE850" s="241"/>
      <c r="DF850" s="241"/>
      <c r="DG850" s="241"/>
      <c r="DH850" s="241"/>
      <c r="DI850" s="241"/>
      <c r="DJ850" s="241"/>
      <c r="DK850" s="241"/>
      <c r="DL850" s="241"/>
      <c r="DM850" s="241"/>
      <c r="DN850" s="241"/>
      <c r="DO850" s="241"/>
      <c r="DP850" s="241"/>
      <c r="DQ850" s="241"/>
      <c r="DR850" s="241"/>
      <c r="DS850" s="241"/>
      <c r="DT850" s="241"/>
      <c r="DU850" s="241"/>
      <c r="DV850" s="241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345"/>
      <c r="EM850" s="245"/>
      <c r="EN850" s="245"/>
      <c r="EO850" s="245"/>
      <c r="EP850" s="245"/>
      <c r="EQ850" s="254"/>
      <c r="ER850" s="240"/>
      <c r="ES850" s="240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193"/>
    </row>
    <row r="851" spans="2:189" s="243" customFormat="1" ht="11.45" hidden="1" customHeight="1">
      <c r="B851" s="343"/>
      <c r="C851" s="240"/>
      <c r="D851" s="240"/>
      <c r="E851" s="240"/>
      <c r="F851" s="240"/>
      <c r="G851" s="240"/>
      <c r="H851" s="240" t="s">
        <v>679</v>
      </c>
      <c r="I851" s="240"/>
      <c r="J851" s="240" t="s">
        <v>680</v>
      </c>
      <c r="K851" s="240"/>
      <c r="L851" s="240"/>
      <c r="M851" s="240"/>
      <c r="N851" s="240"/>
      <c r="O851" s="240" t="s">
        <v>132</v>
      </c>
      <c r="P851" s="240"/>
      <c r="Q851" s="1775" t="e">
        <f>#REF!</f>
        <v>#REF!</v>
      </c>
      <c r="R851" s="1775"/>
      <c r="S851" s="1775"/>
      <c r="T851" s="1775"/>
      <c r="U851" s="1775"/>
      <c r="V851" s="240"/>
      <c r="W851" s="240"/>
      <c r="X851" s="240" t="s">
        <v>683</v>
      </c>
      <c r="Y851" s="240"/>
      <c r="Z851" s="240"/>
      <c r="AA851" s="240" t="str">
        <f>TEXT(BA841,"#,##0.#######")</f>
        <v>40.</v>
      </c>
      <c r="AB851" s="240"/>
      <c r="AC851" s="240"/>
      <c r="AD851" s="240"/>
      <c r="AE851" s="240"/>
      <c r="AF851" s="240"/>
      <c r="AG851" s="240"/>
      <c r="AH851" s="240" t="s">
        <v>134</v>
      </c>
      <c r="AI851" s="240"/>
      <c r="AJ851" s="240" t="e">
        <f>TEXT(TRUNC(Q851/BA841,1),"#,##0.#")</f>
        <v>#REF!</v>
      </c>
      <c r="AK851" s="240"/>
      <c r="AN851" s="240"/>
      <c r="AO851" s="240"/>
      <c r="AP851" s="240"/>
      <c r="AQ851" s="240"/>
      <c r="AR851" s="240"/>
      <c r="AS851" s="240"/>
      <c r="AT851" s="240"/>
      <c r="AU851" s="240"/>
      <c r="AV851" s="240"/>
      <c r="AW851" s="240"/>
      <c r="AX851" s="240"/>
      <c r="AY851" s="240"/>
      <c r="AZ851" s="240"/>
      <c r="BA851" s="240"/>
      <c r="BB851" s="240"/>
      <c r="BC851" s="240"/>
      <c r="BD851" s="240"/>
      <c r="BE851" s="240"/>
      <c r="BF851" s="240"/>
      <c r="BG851" s="240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240"/>
      <c r="BT851" s="240"/>
      <c r="BU851" s="240"/>
      <c r="BV851" s="240"/>
      <c r="BW851" s="240"/>
      <c r="BX851" s="240"/>
      <c r="BY851" s="240"/>
      <c r="BZ851" s="240"/>
      <c r="CA851" s="240"/>
      <c r="CB851" s="240"/>
      <c r="CC851" s="240"/>
      <c r="CD851" s="240"/>
      <c r="CE851" s="240"/>
      <c r="CF851" s="240"/>
      <c r="CG851" s="240"/>
      <c r="CH851" s="240"/>
      <c r="CI851" s="240"/>
      <c r="CJ851" s="240"/>
      <c r="CK851" s="240"/>
      <c r="CL851" s="240"/>
      <c r="CM851" s="240"/>
      <c r="CN851" s="240"/>
      <c r="CO851" s="240"/>
      <c r="CP851" s="240"/>
      <c r="CQ851" s="240"/>
      <c r="CR851" s="240"/>
      <c r="CS851" s="240"/>
      <c r="CT851" s="240"/>
      <c r="CU851" s="240"/>
      <c r="CV851" s="240"/>
      <c r="CW851" s="240"/>
      <c r="CX851" s="240"/>
      <c r="CY851" s="240"/>
      <c r="CZ851" s="241"/>
      <c r="DA851" s="241"/>
      <c r="DB851" s="241"/>
      <c r="DC851" s="241"/>
      <c r="DD851" s="241"/>
      <c r="DE851" s="241"/>
      <c r="DF851" s="241"/>
      <c r="DG851" s="241"/>
      <c r="DH851" s="241"/>
      <c r="DI851" s="241"/>
      <c r="DJ851" s="241"/>
      <c r="DK851" s="241"/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1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345"/>
      <c r="EM851" s="245"/>
      <c r="EN851" s="245"/>
      <c r="EO851" s="245"/>
      <c r="EP851" s="245"/>
      <c r="EQ851" s="254"/>
      <c r="ER851" s="240"/>
      <c r="ES851" s="240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193"/>
    </row>
    <row r="852" spans="2:189" s="243" customFormat="1" ht="11.45" hidden="1" customHeight="1">
      <c r="B852" s="343"/>
      <c r="C852" s="240"/>
      <c r="D852" s="240"/>
      <c r="E852" s="240"/>
      <c r="F852" s="240"/>
      <c r="G852" s="240"/>
      <c r="H852" s="240" t="s">
        <v>688</v>
      </c>
      <c r="I852" s="240"/>
      <c r="J852" s="240" t="s">
        <v>96</v>
      </c>
      <c r="K852" s="240"/>
      <c r="L852" s="240"/>
      <c r="M852" s="240"/>
      <c r="N852" s="240"/>
      <c r="O852" s="240" t="s">
        <v>132</v>
      </c>
      <c r="P852" s="240"/>
      <c r="Q852" s="240" t="e">
        <f>TEXT(AJ849+AJ850+AJ851,"#,##0.#######")</f>
        <v>#REF!</v>
      </c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I852" s="240"/>
      <c r="AJ852" s="240"/>
      <c r="AK852" s="240"/>
      <c r="AL852" s="240"/>
      <c r="AM852" s="240"/>
      <c r="AN852" s="240"/>
      <c r="AO852" s="240"/>
      <c r="AP852" s="240"/>
      <c r="AQ852" s="240"/>
      <c r="AR852" s="240"/>
      <c r="AS852" s="240"/>
      <c r="AT852" s="240"/>
      <c r="AU852" s="240"/>
      <c r="AV852" s="240"/>
      <c r="AW852" s="240"/>
      <c r="AX852" s="240"/>
      <c r="AY852" s="240"/>
      <c r="AZ852" s="240"/>
      <c r="BA852" s="240"/>
      <c r="BB852" s="240"/>
      <c r="BC852" s="240"/>
      <c r="BD852" s="240"/>
      <c r="BE852" s="240"/>
      <c r="BF852" s="240"/>
      <c r="BG852" s="240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240"/>
      <c r="BT852" s="240"/>
      <c r="BU852" s="240"/>
      <c r="BV852" s="240"/>
      <c r="BW852" s="240"/>
      <c r="BX852" s="240"/>
      <c r="BY852" s="240"/>
      <c r="BZ852" s="240"/>
      <c r="CA852" s="240"/>
      <c r="CB852" s="240"/>
      <c r="CC852" s="240"/>
      <c r="CD852" s="240"/>
      <c r="CE852" s="240"/>
      <c r="CF852" s="240"/>
      <c r="CG852" s="240"/>
      <c r="CH852" s="240"/>
      <c r="CI852" s="240"/>
      <c r="CJ852" s="240"/>
      <c r="CK852" s="240"/>
      <c r="CL852" s="240"/>
      <c r="CM852" s="240"/>
      <c r="CN852" s="240"/>
      <c r="CO852" s="240"/>
      <c r="CP852" s="240"/>
      <c r="CQ852" s="240"/>
      <c r="CR852" s="240"/>
      <c r="CS852" s="240"/>
      <c r="CT852" s="240"/>
      <c r="CU852" s="240"/>
      <c r="CV852" s="240"/>
      <c r="CW852" s="240"/>
      <c r="CX852" s="240"/>
      <c r="CY852" s="240"/>
      <c r="CZ852" s="241"/>
      <c r="DA852" s="241"/>
      <c r="DB852" s="241"/>
      <c r="DC852" s="241"/>
      <c r="DD852" s="241"/>
      <c r="DE852" s="241"/>
      <c r="DF852" s="241"/>
      <c r="DG852" s="241"/>
      <c r="DH852" s="241"/>
      <c r="DI852" s="241"/>
      <c r="DJ852" s="241"/>
      <c r="DK852" s="241"/>
      <c r="DL852" s="241"/>
      <c r="DM852" s="241"/>
      <c r="DN852" s="241"/>
      <c r="DO852" s="241"/>
      <c r="DP852" s="241"/>
      <c r="DQ852" s="241"/>
      <c r="DR852" s="241"/>
      <c r="DS852" s="241"/>
      <c r="DT852" s="241"/>
      <c r="DU852" s="241"/>
      <c r="DV852" s="241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345"/>
      <c r="EM852" s="245" t="e">
        <f>EN852+EO852+EP852</f>
        <v>#REF!</v>
      </c>
      <c r="EN852" s="245" t="e">
        <f>TEXT(AJ849,"#,###.0")</f>
        <v>#REF!</v>
      </c>
      <c r="EO852" s="245" t="e">
        <f>TEXT(AJ850,"#,###.0")</f>
        <v>#REF!</v>
      </c>
      <c r="EP852" s="245" t="e">
        <f>TEXT(AJ851,"#,###.0")</f>
        <v>#REF!</v>
      </c>
      <c r="EQ852" s="254"/>
      <c r="ER852" s="240"/>
      <c r="ES852" s="240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193"/>
    </row>
    <row r="853" spans="2:189" s="243" customFormat="1" ht="11.45" hidden="1" customHeight="1">
      <c r="B853" s="343"/>
      <c r="C853" s="240"/>
      <c r="D853" s="240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0"/>
      <c r="AO853" s="240"/>
      <c r="AP853" s="240"/>
      <c r="AQ853" s="240"/>
      <c r="AR853" s="240"/>
      <c r="AS853" s="240"/>
      <c r="AT853" s="240"/>
      <c r="AU853" s="240"/>
      <c r="AV853" s="240"/>
      <c r="AW853" s="240"/>
      <c r="AX853" s="240"/>
      <c r="AY853" s="240"/>
      <c r="AZ853" s="240"/>
      <c r="BA853" s="240"/>
      <c r="BB853" s="240"/>
      <c r="BC853" s="240"/>
      <c r="BD853" s="240"/>
      <c r="BE853" s="240"/>
      <c r="BF853" s="240"/>
      <c r="BG853" s="240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240"/>
      <c r="BT853" s="240"/>
      <c r="BU853" s="240"/>
      <c r="BV853" s="240"/>
      <c r="BW853" s="240"/>
      <c r="BX853" s="240"/>
      <c r="BY853" s="240"/>
      <c r="BZ853" s="240"/>
      <c r="CA853" s="240"/>
      <c r="CB853" s="240"/>
      <c r="CC853" s="240"/>
      <c r="CD853" s="240"/>
      <c r="CE853" s="240"/>
      <c r="CF853" s="240"/>
      <c r="CG853" s="240"/>
      <c r="CH853" s="240"/>
      <c r="CI853" s="240"/>
      <c r="CJ853" s="240"/>
      <c r="CK853" s="240"/>
      <c r="CL853" s="240"/>
      <c r="CM853" s="240"/>
      <c r="CN853" s="240"/>
      <c r="CO853" s="240"/>
      <c r="CP853" s="240"/>
      <c r="CQ853" s="240"/>
      <c r="CR853" s="240"/>
      <c r="CS853" s="240"/>
      <c r="CT853" s="240"/>
      <c r="CU853" s="240"/>
      <c r="CV853" s="240"/>
      <c r="CW853" s="240"/>
      <c r="CX853" s="240"/>
      <c r="CY853" s="240"/>
      <c r="CZ853" s="241"/>
      <c r="DA853" s="241"/>
      <c r="DB853" s="241"/>
      <c r="DC853" s="241"/>
      <c r="DD853" s="241"/>
      <c r="DE853" s="241"/>
      <c r="DF853" s="241"/>
      <c r="DG853" s="241"/>
      <c r="DH853" s="241"/>
      <c r="DI853" s="241"/>
      <c r="DJ853" s="241"/>
      <c r="DK853" s="241"/>
      <c r="DL853" s="241"/>
      <c r="DM853" s="241"/>
      <c r="DN853" s="241"/>
      <c r="DO853" s="241"/>
      <c r="DP853" s="241"/>
      <c r="DQ853" s="241"/>
      <c r="DR853" s="241"/>
      <c r="DS853" s="241"/>
      <c r="DT853" s="241"/>
      <c r="DU853" s="241"/>
      <c r="DV853" s="241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345"/>
      <c r="EM853" s="245"/>
      <c r="EN853" s="245"/>
      <c r="EO853" s="245"/>
      <c r="EP853" s="245"/>
      <c r="EQ853" s="254"/>
      <c r="ER853" s="240"/>
      <c r="ES853" s="240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193"/>
    </row>
    <row r="854" spans="2:189" s="243" customFormat="1" ht="11.45" hidden="1" customHeight="1">
      <c r="B854" s="343"/>
      <c r="C854" s="240"/>
      <c r="D854" s="240"/>
      <c r="E854" s="240" t="s">
        <v>677</v>
      </c>
      <c r="F854" s="240"/>
      <c r="G854" s="240"/>
      <c r="H854" s="240" t="s">
        <v>734</v>
      </c>
      <c r="I854" s="240"/>
      <c r="J854" s="240"/>
      <c r="K854" s="240" t="s">
        <v>729</v>
      </c>
      <c r="L854" s="240"/>
      <c r="M854" s="240"/>
      <c r="N854" s="240" t="s">
        <v>132</v>
      </c>
      <c r="O854" s="240"/>
      <c r="P854" s="240" t="s">
        <v>708</v>
      </c>
      <c r="Q854" s="240"/>
      <c r="R854" s="240"/>
      <c r="S854" s="240"/>
      <c r="T854" s="240" t="s">
        <v>709</v>
      </c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0"/>
      <c r="AO854" s="240"/>
      <c r="AP854" s="240"/>
      <c r="AQ854" s="240"/>
      <c r="AR854" s="240"/>
      <c r="AS854" s="240"/>
      <c r="AT854" s="240"/>
      <c r="AU854" s="240"/>
      <c r="AV854" s="240"/>
      <c r="AW854" s="240"/>
      <c r="AX854" s="240"/>
      <c r="AY854" s="240"/>
      <c r="AZ854" s="240"/>
      <c r="BA854" s="240"/>
      <c r="BB854" s="240"/>
      <c r="BC854" s="240"/>
      <c r="BD854" s="240"/>
      <c r="BE854" s="240"/>
      <c r="BF854" s="240"/>
      <c r="BG854" s="240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240"/>
      <c r="BT854" s="240"/>
      <c r="BU854" s="240"/>
      <c r="BV854" s="240"/>
      <c r="BW854" s="240"/>
      <c r="BX854" s="240"/>
      <c r="BY854" s="240"/>
      <c r="BZ854" s="240"/>
      <c r="CA854" s="240"/>
      <c r="CB854" s="240"/>
      <c r="CC854" s="240"/>
      <c r="CD854" s="240"/>
      <c r="CE854" s="240"/>
      <c r="CF854" s="240"/>
      <c r="CG854" s="240"/>
      <c r="CH854" s="240"/>
      <c r="CI854" s="240"/>
      <c r="CJ854" s="240"/>
      <c r="CK854" s="240"/>
      <c r="CL854" s="240"/>
      <c r="CM854" s="240"/>
      <c r="CN854" s="240"/>
      <c r="CO854" s="240"/>
      <c r="CP854" s="240"/>
      <c r="CQ854" s="240"/>
      <c r="CR854" s="240"/>
      <c r="CS854" s="240"/>
      <c r="CT854" s="240"/>
      <c r="CU854" s="240"/>
      <c r="CV854" s="240"/>
      <c r="CW854" s="240"/>
      <c r="CX854" s="240"/>
      <c r="CY854" s="240"/>
      <c r="CZ854" s="241"/>
      <c r="DA854" s="241"/>
      <c r="DB854" s="241"/>
      <c r="DC854" s="241"/>
      <c r="DD854" s="241"/>
      <c r="DE854" s="241"/>
      <c r="DF854" s="241"/>
      <c r="DG854" s="241"/>
      <c r="DH854" s="241"/>
      <c r="DI854" s="241"/>
      <c r="DJ854" s="241"/>
      <c r="DK854" s="241"/>
      <c r="DL854" s="241"/>
      <c r="DM854" s="241"/>
      <c r="DN854" s="241"/>
      <c r="DO854" s="241"/>
      <c r="DP854" s="241"/>
      <c r="DQ854" s="241"/>
      <c r="DR854" s="241"/>
      <c r="DS854" s="241"/>
      <c r="DT854" s="241"/>
      <c r="DU854" s="241"/>
      <c r="DV854" s="241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345"/>
      <c r="EM854" s="245"/>
      <c r="EN854" s="245"/>
      <c r="EO854" s="245"/>
      <c r="EP854" s="245"/>
      <c r="EQ854" s="254"/>
      <c r="ER854" s="240"/>
      <c r="ES854" s="240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193"/>
    </row>
    <row r="855" spans="2:189" s="243" customFormat="1" ht="11.45" hidden="1" customHeight="1">
      <c r="B855" s="343"/>
      <c r="C855" s="240"/>
      <c r="D855" s="240"/>
      <c r="E855" s="240"/>
      <c r="F855" s="240"/>
      <c r="G855" s="240"/>
      <c r="H855" s="240" t="s">
        <v>616</v>
      </c>
      <c r="I855" s="240"/>
      <c r="J855" s="240"/>
      <c r="K855" s="240"/>
      <c r="L855" s="240"/>
      <c r="M855" s="240"/>
      <c r="N855" s="240"/>
      <c r="O855" s="240" t="s">
        <v>132</v>
      </c>
      <c r="P855" s="240"/>
      <c r="Q855" s="1775" t="e">
        <f>#REF!</f>
        <v>#REF!</v>
      </c>
      <c r="R855" s="1775"/>
      <c r="S855" s="1775"/>
      <c r="T855" s="1775"/>
      <c r="U855" s="1775"/>
      <c r="V855" s="240"/>
      <c r="W855" s="240"/>
      <c r="X855" s="240"/>
      <c r="Y855" s="240"/>
      <c r="Z855" s="240" t="s">
        <v>683</v>
      </c>
      <c r="AA855" s="240"/>
      <c r="AB855" s="240"/>
      <c r="AC855" s="240" t="str">
        <f>TEXT(BA841,"#,##0.#######")</f>
        <v>40.</v>
      </c>
      <c r="AD855" s="240"/>
      <c r="AE855" s="240"/>
      <c r="AF855" s="240" t="s">
        <v>1233</v>
      </c>
      <c r="AG855" s="1776">
        <v>0.5</v>
      </c>
      <c r="AH855" s="1776"/>
      <c r="AI855" s="1776"/>
      <c r="AJ855" s="240" t="s">
        <v>134</v>
      </c>
      <c r="AK855" s="240"/>
      <c r="AL855" s="240" t="e">
        <f>TEXT(TRUNC(Q855/BA841*AG855,1),"#,##0.#")</f>
        <v>#REF!</v>
      </c>
      <c r="AM855" s="240"/>
      <c r="AN855" s="240"/>
      <c r="AO855" s="240"/>
      <c r="AP855" s="240"/>
      <c r="AQ855" s="240"/>
      <c r="AR855" s="240"/>
      <c r="AS855" s="240"/>
      <c r="AT855" s="240"/>
      <c r="AU855" s="240"/>
      <c r="AV855" s="240"/>
      <c r="AW855" s="240"/>
      <c r="AX855" s="240"/>
      <c r="AY855" s="240"/>
      <c r="AZ855" s="240"/>
      <c r="BA855" s="240"/>
      <c r="BB855" s="240"/>
      <c r="BC855" s="240"/>
      <c r="BD855" s="240"/>
      <c r="BE855" s="240"/>
      <c r="BF855" s="240"/>
      <c r="BG855" s="240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240"/>
      <c r="BT855" s="240"/>
      <c r="BU855" s="240"/>
      <c r="BV855" s="240"/>
      <c r="BW855" s="240"/>
      <c r="BX855" s="240"/>
      <c r="BY855" s="240"/>
      <c r="BZ855" s="240"/>
      <c r="CA855" s="240"/>
      <c r="CB855" s="240"/>
      <c r="CC855" s="240"/>
      <c r="CD855" s="240"/>
      <c r="CE855" s="240"/>
      <c r="CF855" s="240"/>
      <c r="CG855" s="240"/>
      <c r="CH855" s="240"/>
      <c r="CI855" s="240"/>
      <c r="CJ855" s="240"/>
      <c r="CK855" s="240"/>
      <c r="CL855" s="240"/>
      <c r="CM855" s="240"/>
      <c r="CN855" s="240"/>
      <c r="CO855" s="240"/>
      <c r="CP855" s="240"/>
      <c r="CQ855" s="240"/>
      <c r="CR855" s="240"/>
      <c r="CS855" s="240"/>
      <c r="CT855" s="240"/>
      <c r="CU855" s="240"/>
      <c r="CV855" s="240"/>
      <c r="CW855" s="240"/>
      <c r="CX855" s="240"/>
      <c r="CY855" s="240"/>
      <c r="CZ855" s="241"/>
      <c r="DA855" s="241"/>
      <c r="DB855" s="241"/>
      <c r="DC855" s="241"/>
      <c r="DD855" s="241"/>
      <c r="DE855" s="241"/>
      <c r="DF855" s="241"/>
      <c r="DG855" s="241"/>
      <c r="DH855" s="241"/>
      <c r="DI855" s="241"/>
      <c r="DJ855" s="241"/>
      <c r="DK855" s="241"/>
      <c r="DL855" s="241"/>
      <c r="DM855" s="241"/>
      <c r="DN855" s="241"/>
      <c r="DO855" s="241"/>
      <c r="DP855" s="241"/>
      <c r="DQ855" s="241"/>
      <c r="DR855" s="241"/>
      <c r="DS855" s="241"/>
      <c r="DT855" s="241"/>
      <c r="DU855" s="241"/>
      <c r="DV855" s="241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345"/>
      <c r="EM855" s="245"/>
      <c r="EN855" s="245"/>
      <c r="EO855" s="245"/>
      <c r="EP855" s="245"/>
      <c r="EQ855" s="254"/>
      <c r="ER855" s="240"/>
      <c r="ES855" s="240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193"/>
    </row>
    <row r="856" spans="2:189" s="243" customFormat="1" ht="11.45" hidden="1" customHeight="1">
      <c r="B856" s="343"/>
      <c r="C856" s="240"/>
      <c r="D856" s="240"/>
      <c r="E856" s="240"/>
      <c r="F856" s="240"/>
      <c r="G856" s="240"/>
      <c r="H856" s="240" t="s">
        <v>617</v>
      </c>
      <c r="I856" s="240"/>
      <c r="J856" s="240"/>
      <c r="K856" s="240"/>
      <c r="L856" s="240"/>
      <c r="M856" s="240"/>
      <c r="N856" s="240"/>
      <c r="O856" s="240" t="s">
        <v>132</v>
      </c>
      <c r="P856" s="240"/>
      <c r="Q856" s="1775" t="e">
        <f>#REF!</f>
        <v>#REF!</v>
      </c>
      <c r="R856" s="1775"/>
      <c r="S856" s="1775"/>
      <c r="T856" s="1775"/>
      <c r="U856" s="1775"/>
      <c r="V856" s="240"/>
      <c r="W856" s="240"/>
      <c r="X856" s="240"/>
      <c r="Y856" s="240"/>
      <c r="Z856" s="240" t="s">
        <v>683</v>
      </c>
      <c r="AA856" s="240"/>
      <c r="AB856" s="240"/>
      <c r="AC856" s="240" t="str">
        <f>TEXT(BA841,"#,##0.#######")</f>
        <v>40.</v>
      </c>
      <c r="AD856" s="240"/>
      <c r="AE856" s="240"/>
      <c r="AF856" s="240" t="s">
        <v>1233</v>
      </c>
      <c r="AG856" s="1776">
        <v>0.5</v>
      </c>
      <c r="AH856" s="1776"/>
      <c r="AI856" s="1776"/>
      <c r="AJ856" s="240" t="s">
        <v>134</v>
      </c>
      <c r="AK856" s="240"/>
      <c r="AL856" s="240" t="e">
        <f>TEXT(TRUNC(Q856/BA841*0.5,1),"#,##0.#")</f>
        <v>#REF!</v>
      </c>
      <c r="AM856" s="240"/>
      <c r="AN856" s="240"/>
      <c r="AO856" s="240"/>
      <c r="AP856" s="240"/>
      <c r="AQ856" s="240"/>
      <c r="AR856" s="240"/>
      <c r="AS856" s="240"/>
      <c r="AT856" s="240"/>
      <c r="AU856" s="240"/>
      <c r="AV856" s="240"/>
      <c r="AW856" s="240"/>
      <c r="AX856" s="240"/>
      <c r="AY856" s="240"/>
      <c r="AZ856" s="240"/>
      <c r="BA856" s="240"/>
      <c r="BB856" s="240"/>
      <c r="BC856" s="240"/>
      <c r="BD856" s="240"/>
      <c r="BE856" s="240"/>
      <c r="BF856" s="240"/>
      <c r="BG856" s="240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240"/>
      <c r="BT856" s="240"/>
      <c r="BU856" s="240"/>
      <c r="BV856" s="240"/>
      <c r="BW856" s="240"/>
      <c r="BX856" s="240"/>
      <c r="BY856" s="240"/>
      <c r="BZ856" s="240"/>
      <c r="CA856" s="240"/>
      <c r="CB856" s="240"/>
      <c r="CC856" s="240"/>
      <c r="CD856" s="240"/>
      <c r="CE856" s="240"/>
      <c r="CF856" s="240"/>
      <c r="CG856" s="240"/>
      <c r="CH856" s="240"/>
      <c r="CI856" s="240"/>
      <c r="CJ856" s="240"/>
      <c r="CK856" s="240"/>
      <c r="CL856" s="240"/>
      <c r="CM856" s="240"/>
      <c r="CN856" s="240"/>
      <c r="CO856" s="240"/>
      <c r="CP856" s="240"/>
      <c r="CQ856" s="240"/>
      <c r="CR856" s="240"/>
      <c r="CS856" s="240"/>
      <c r="CT856" s="240"/>
      <c r="CU856" s="240"/>
      <c r="CV856" s="240"/>
      <c r="CW856" s="240"/>
      <c r="CX856" s="240"/>
      <c r="CY856" s="240"/>
      <c r="CZ856" s="241"/>
      <c r="DA856" s="241"/>
      <c r="DB856" s="241"/>
      <c r="DC856" s="241"/>
      <c r="DD856" s="241"/>
      <c r="DE856" s="241"/>
      <c r="DF856" s="241"/>
      <c r="DG856" s="241"/>
      <c r="DH856" s="241"/>
      <c r="DI856" s="241"/>
      <c r="DJ856" s="241"/>
      <c r="DK856" s="241"/>
      <c r="DL856" s="241"/>
      <c r="DM856" s="241"/>
      <c r="DN856" s="241"/>
      <c r="DO856" s="241"/>
      <c r="DP856" s="241"/>
      <c r="DQ856" s="241"/>
      <c r="DR856" s="241"/>
      <c r="DS856" s="241"/>
      <c r="DT856" s="241"/>
      <c r="DU856" s="241"/>
      <c r="DV856" s="241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345"/>
      <c r="EM856" s="245"/>
      <c r="EN856" s="245"/>
      <c r="EO856" s="245"/>
      <c r="EP856" s="245"/>
      <c r="EQ856" s="254"/>
      <c r="ER856" s="240"/>
      <c r="ES856" s="240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193"/>
    </row>
    <row r="857" spans="2:189" s="243" customFormat="1" ht="11.45" hidden="1" customHeight="1">
      <c r="B857" s="343"/>
      <c r="C857" s="240"/>
      <c r="D857" s="240"/>
      <c r="E857" s="240"/>
      <c r="F857" s="240"/>
      <c r="G857" s="240"/>
      <c r="H857" s="240" t="s">
        <v>679</v>
      </c>
      <c r="I857" s="240"/>
      <c r="J857" s="240" t="s">
        <v>680</v>
      </c>
      <c r="K857" s="240"/>
      <c r="L857" s="240"/>
      <c r="M857" s="240"/>
      <c r="N857" s="240"/>
      <c r="O857" s="240" t="s">
        <v>132</v>
      </c>
      <c r="P857" s="240"/>
      <c r="Q857" s="1775" t="e">
        <f>#REF!</f>
        <v>#REF!</v>
      </c>
      <c r="R857" s="1775"/>
      <c r="S857" s="1775"/>
      <c r="T857" s="1775"/>
      <c r="U857" s="1775"/>
      <c r="V857" s="240"/>
      <c r="W857" s="240"/>
      <c r="X857" s="240"/>
      <c r="Y857" s="240"/>
      <c r="Z857" s="240" t="s">
        <v>683</v>
      </c>
      <c r="AA857" s="240"/>
      <c r="AB857" s="240"/>
      <c r="AC857" s="240" t="str">
        <f>TEXT(BA841,"#,##0.#######")</f>
        <v>40.</v>
      </c>
      <c r="AD857" s="240"/>
      <c r="AE857" s="240"/>
      <c r="AF857" s="240" t="s">
        <v>1233</v>
      </c>
      <c r="AG857" s="1776">
        <v>0.5</v>
      </c>
      <c r="AH857" s="1776"/>
      <c r="AI857" s="1776"/>
      <c r="AJ857" s="240" t="s">
        <v>134</v>
      </c>
      <c r="AK857" s="240"/>
      <c r="AL857" s="240" t="e">
        <f>TEXT(TRUNC(Q857/BA841*0.5,1),"#,##0.#")</f>
        <v>#REF!</v>
      </c>
      <c r="AM857" s="240"/>
      <c r="AN857" s="240"/>
      <c r="AO857" s="240"/>
      <c r="AP857" s="240"/>
      <c r="AQ857" s="240"/>
      <c r="AR857" s="240"/>
      <c r="AS857" s="240"/>
      <c r="AT857" s="240"/>
      <c r="AU857" s="240"/>
      <c r="AV857" s="240"/>
      <c r="AW857" s="240"/>
      <c r="AX857" s="240"/>
      <c r="AY857" s="240"/>
      <c r="AZ857" s="240"/>
      <c r="BA857" s="240"/>
      <c r="BB857" s="240"/>
      <c r="BC857" s="240"/>
      <c r="BD857" s="240"/>
      <c r="BE857" s="240"/>
      <c r="BF857" s="240"/>
      <c r="BG857" s="240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240"/>
      <c r="BT857" s="240"/>
      <c r="BU857" s="240"/>
      <c r="BV857" s="240"/>
      <c r="BW857" s="240"/>
      <c r="BX857" s="240"/>
      <c r="BY857" s="240"/>
      <c r="BZ857" s="240"/>
      <c r="CA857" s="240"/>
      <c r="CB857" s="240"/>
      <c r="CC857" s="240"/>
      <c r="CD857" s="240"/>
      <c r="CE857" s="240"/>
      <c r="CF857" s="240"/>
      <c r="CG857" s="240"/>
      <c r="CH857" s="240"/>
      <c r="CI857" s="240"/>
      <c r="CJ857" s="240"/>
      <c r="CK857" s="240"/>
      <c r="CL857" s="240"/>
      <c r="CM857" s="240"/>
      <c r="CN857" s="240"/>
      <c r="CO857" s="240"/>
      <c r="CP857" s="240"/>
      <c r="CQ857" s="240"/>
      <c r="CR857" s="240"/>
      <c r="CS857" s="240"/>
      <c r="CT857" s="240"/>
      <c r="CU857" s="240"/>
      <c r="CV857" s="240"/>
      <c r="CW857" s="240"/>
      <c r="CX857" s="240"/>
      <c r="CY857" s="240"/>
      <c r="CZ857" s="241"/>
      <c r="DA857" s="241"/>
      <c r="DB857" s="241"/>
      <c r="DC857" s="241"/>
      <c r="DD857" s="241"/>
      <c r="DE857" s="241"/>
      <c r="DF857" s="241"/>
      <c r="DG857" s="241"/>
      <c r="DH857" s="241"/>
      <c r="DI857" s="241"/>
      <c r="DJ857" s="241"/>
      <c r="DK857" s="241"/>
      <c r="DL857" s="241"/>
      <c r="DM857" s="241"/>
      <c r="DN857" s="241"/>
      <c r="DO857" s="241"/>
      <c r="DP857" s="241"/>
      <c r="DQ857" s="241"/>
      <c r="DR857" s="241"/>
      <c r="DS857" s="241"/>
      <c r="DT857" s="241"/>
      <c r="DU857" s="241"/>
      <c r="DV857" s="241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345"/>
      <c r="EM857" s="245"/>
      <c r="EN857" s="245"/>
      <c r="EO857" s="245"/>
      <c r="EP857" s="245"/>
      <c r="EQ857" s="254"/>
      <c r="ER857" s="240"/>
      <c r="ES857" s="240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193"/>
    </row>
    <row r="858" spans="2:189" s="243" customFormat="1" ht="11.45" hidden="1" customHeight="1">
      <c r="B858" s="343"/>
      <c r="C858" s="240"/>
      <c r="D858" s="240"/>
      <c r="E858" s="240"/>
      <c r="F858" s="240"/>
      <c r="G858" s="240"/>
      <c r="H858" s="240" t="s">
        <v>688</v>
      </c>
      <c r="I858" s="240"/>
      <c r="J858" s="240" t="s">
        <v>96</v>
      </c>
      <c r="K858" s="240"/>
      <c r="L858" s="240"/>
      <c r="M858" s="240"/>
      <c r="N858" s="240"/>
      <c r="O858" s="240" t="s">
        <v>132</v>
      </c>
      <c r="P858" s="240"/>
      <c r="Q858" s="240" t="e">
        <f>TEXT(AL855+AL856+AL857,"#,##0.#######")</f>
        <v>#REF!</v>
      </c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I858" s="240"/>
      <c r="AJ858" s="240"/>
      <c r="AK858" s="240"/>
      <c r="AL858" s="240"/>
      <c r="AM858" s="240"/>
      <c r="AN858" s="240"/>
      <c r="AO858" s="240"/>
      <c r="AP858" s="240"/>
      <c r="AQ858" s="240"/>
      <c r="AR858" s="240"/>
      <c r="AS858" s="240"/>
      <c r="AT858" s="240"/>
      <c r="AU858" s="240"/>
      <c r="AV858" s="240"/>
      <c r="AW858" s="240"/>
      <c r="AX858" s="240"/>
      <c r="AY858" s="240"/>
      <c r="AZ858" s="240"/>
      <c r="BA858" s="240"/>
      <c r="BB858" s="240"/>
      <c r="BC858" s="240"/>
      <c r="BD858" s="240"/>
      <c r="BE858" s="240"/>
      <c r="BF858" s="240"/>
      <c r="BG858" s="240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240"/>
      <c r="BT858" s="240"/>
      <c r="BU858" s="240"/>
      <c r="BV858" s="240"/>
      <c r="BW858" s="240"/>
      <c r="BX858" s="240"/>
      <c r="BY858" s="240"/>
      <c r="BZ858" s="240"/>
      <c r="CA858" s="240"/>
      <c r="CB858" s="240"/>
      <c r="CC858" s="240"/>
      <c r="CD858" s="240"/>
      <c r="CE858" s="240"/>
      <c r="CF858" s="240"/>
      <c r="CG858" s="240"/>
      <c r="CH858" s="240"/>
      <c r="CI858" s="240"/>
      <c r="CJ858" s="240"/>
      <c r="CK858" s="240"/>
      <c r="CL858" s="240"/>
      <c r="CM858" s="240"/>
      <c r="CN858" s="240"/>
      <c r="CO858" s="240"/>
      <c r="CP858" s="240"/>
      <c r="CQ858" s="240"/>
      <c r="CR858" s="240"/>
      <c r="CS858" s="240"/>
      <c r="CT858" s="240"/>
      <c r="CU858" s="240"/>
      <c r="CV858" s="240"/>
      <c r="CW858" s="240"/>
      <c r="CX858" s="240"/>
      <c r="CY858" s="240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1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345"/>
      <c r="EM858" s="245" t="e">
        <f>EN858+EO858+EP858</f>
        <v>#REF!</v>
      </c>
      <c r="EN858" s="245" t="e">
        <f>TEXT(AL855,"#,###.0")</f>
        <v>#REF!</v>
      </c>
      <c r="EO858" s="245" t="e">
        <f>TEXT(AL856,"#,###.0")</f>
        <v>#REF!</v>
      </c>
      <c r="EP858" s="245" t="e">
        <f>TEXT(AL857,"#,###.0")</f>
        <v>#REF!</v>
      </c>
      <c r="EQ858" s="254"/>
      <c r="ER858" s="240"/>
      <c r="ES858" s="240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193"/>
    </row>
    <row r="859" spans="2:189" s="243" customFormat="1" ht="11.45" hidden="1" customHeight="1">
      <c r="B859" s="343"/>
      <c r="C859" s="240"/>
      <c r="D859" s="240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  <c r="AA859" s="240"/>
      <c r="AB859" s="240"/>
      <c r="AC859" s="240"/>
      <c r="AD859" s="240"/>
      <c r="AE859" s="240"/>
      <c r="AF859" s="240"/>
      <c r="AG859" s="240"/>
      <c r="AH859" s="240"/>
      <c r="AI859" s="240"/>
      <c r="AJ859" s="240"/>
      <c r="AK859" s="240"/>
      <c r="AL859" s="240"/>
      <c r="AM859" s="240"/>
      <c r="AN859" s="240"/>
      <c r="AO859" s="240"/>
      <c r="AP859" s="240"/>
      <c r="AQ859" s="240"/>
      <c r="AR859" s="240"/>
      <c r="AS859" s="240"/>
      <c r="AT859" s="240"/>
      <c r="AU859" s="240"/>
      <c r="AV859" s="240"/>
      <c r="AW859" s="240"/>
      <c r="AX859" s="240"/>
      <c r="AY859" s="240"/>
      <c r="AZ859" s="240"/>
      <c r="BA859" s="240"/>
      <c r="BB859" s="240"/>
      <c r="BC859" s="240"/>
      <c r="BD859" s="240"/>
      <c r="BE859" s="240"/>
      <c r="BF859" s="240"/>
      <c r="BG859" s="240"/>
      <c r="BH859" s="240"/>
      <c r="BI859" s="240"/>
      <c r="BJ859" s="240"/>
      <c r="BK859" s="240"/>
      <c r="BL859" s="240"/>
      <c r="BM859" s="240"/>
      <c r="BN859" s="240"/>
      <c r="BO859" s="240"/>
      <c r="BP859" s="240"/>
      <c r="BQ859" s="240"/>
      <c r="BR859" s="240"/>
      <c r="BS859" s="240"/>
      <c r="BT859" s="240"/>
      <c r="BU859" s="240"/>
      <c r="BV859" s="240"/>
      <c r="BW859" s="240"/>
      <c r="BX859" s="240"/>
      <c r="BY859" s="240"/>
      <c r="BZ859" s="240"/>
      <c r="CA859" s="240"/>
      <c r="CB859" s="240"/>
      <c r="CC859" s="240"/>
      <c r="CD859" s="240"/>
      <c r="CE859" s="240"/>
      <c r="CF859" s="240"/>
      <c r="CG859" s="240"/>
      <c r="CH859" s="240"/>
      <c r="CI859" s="240"/>
      <c r="CJ859" s="240"/>
      <c r="CK859" s="240"/>
      <c r="CL859" s="240"/>
      <c r="CM859" s="240"/>
      <c r="CN859" s="240"/>
      <c r="CO859" s="240"/>
      <c r="CP859" s="240"/>
      <c r="CQ859" s="240"/>
      <c r="CR859" s="240"/>
      <c r="CS859" s="240"/>
      <c r="CT859" s="240"/>
      <c r="CU859" s="240"/>
      <c r="CV859" s="240"/>
      <c r="CW859" s="240"/>
      <c r="CX859" s="240"/>
      <c r="CY859" s="240"/>
      <c r="CZ859" s="241"/>
      <c r="DA859" s="241"/>
      <c r="DB859" s="241"/>
      <c r="DC859" s="241"/>
      <c r="DD859" s="241"/>
      <c r="DE859" s="241"/>
      <c r="DF859" s="241"/>
      <c r="DG859" s="241"/>
      <c r="DH859" s="241"/>
      <c r="DI859" s="241"/>
      <c r="DJ859" s="241"/>
      <c r="DK859" s="241"/>
      <c r="DL859" s="241"/>
      <c r="DM859" s="241"/>
      <c r="DN859" s="241"/>
      <c r="DO859" s="241"/>
      <c r="DP859" s="241"/>
      <c r="DQ859" s="241"/>
      <c r="DR859" s="241"/>
      <c r="DS859" s="241"/>
      <c r="DT859" s="241"/>
      <c r="DU859" s="241"/>
      <c r="DV859" s="241"/>
      <c r="DW859" s="241"/>
      <c r="DX859" s="241"/>
      <c r="DY859" s="241"/>
      <c r="DZ859" s="241"/>
      <c r="EA859" s="241"/>
      <c r="EB859" s="241"/>
      <c r="EC859" s="241"/>
      <c r="ED859" s="241"/>
      <c r="EE859" s="241"/>
      <c r="EF859" s="241"/>
      <c r="EG859" s="241"/>
      <c r="EH859" s="241"/>
      <c r="EI859" s="241"/>
      <c r="EJ859" s="241"/>
      <c r="EK859" s="241"/>
      <c r="EL859" s="345"/>
      <c r="EM859" s="245"/>
      <c r="EN859" s="245"/>
      <c r="EO859" s="245"/>
      <c r="EP859" s="245"/>
      <c r="EQ859" s="254"/>
      <c r="ER859" s="240"/>
      <c r="ES859" s="240"/>
      <c r="ET859" s="241"/>
      <c r="EU859" s="241"/>
      <c r="EV859" s="241"/>
      <c r="EW859" s="241"/>
      <c r="EX859" s="241"/>
      <c r="EY859" s="241"/>
      <c r="EZ859" s="241"/>
      <c r="FA859" s="241"/>
      <c r="FB859" s="241"/>
      <c r="FC859" s="241"/>
      <c r="FD859" s="241"/>
      <c r="FE859" s="241"/>
      <c r="FF859" s="241"/>
      <c r="FG859" s="241"/>
      <c r="FH859" s="241"/>
      <c r="FI859" s="241"/>
      <c r="FJ859" s="241"/>
      <c r="FK859" s="241"/>
      <c r="FL859" s="241"/>
      <c r="FM859" s="241"/>
      <c r="FN859" s="241"/>
      <c r="FO859" s="241"/>
      <c r="FP859" s="241"/>
      <c r="FQ859" s="241"/>
      <c r="FR859" s="241"/>
      <c r="FS859" s="241"/>
      <c r="FT859" s="241"/>
      <c r="FU859" s="241"/>
      <c r="FV859" s="241"/>
      <c r="FW859" s="241"/>
      <c r="FX859" s="241"/>
      <c r="FY859" s="241"/>
      <c r="FZ859" s="241"/>
      <c r="GA859" s="241"/>
      <c r="GB859" s="241"/>
      <c r="GC859" s="241"/>
      <c r="GD859" s="241"/>
      <c r="GE859" s="241"/>
      <c r="GF859" s="241"/>
      <c r="GG859" s="193"/>
    </row>
    <row r="860" spans="2:189" s="243" customFormat="1" ht="11.45" hidden="1" customHeight="1">
      <c r="B860" s="343"/>
      <c r="C860" s="240"/>
      <c r="D860" s="240"/>
      <c r="E860" s="240" t="s">
        <v>695</v>
      </c>
      <c r="F860" s="240"/>
      <c r="G860" s="240"/>
      <c r="H860" s="240" t="s">
        <v>690</v>
      </c>
      <c r="I860" s="240"/>
      <c r="J860" s="240"/>
      <c r="K860" s="240" t="s">
        <v>731</v>
      </c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0"/>
      <c r="AO860" s="240"/>
      <c r="AP860" s="240"/>
      <c r="AQ860" s="240"/>
      <c r="AR860" s="240"/>
      <c r="AS860" s="240"/>
      <c r="AT860" s="240"/>
      <c r="AU860" s="240"/>
      <c r="AV860" s="240"/>
      <c r="AW860" s="240"/>
      <c r="AX860" s="240"/>
      <c r="AY860" s="240"/>
      <c r="AZ860" s="240"/>
      <c r="BA860" s="240"/>
      <c r="BB860" s="240"/>
      <c r="BC860" s="240"/>
      <c r="BD860" s="240"/>
      <c r="BE860" s="240"/>
      <c r="BF860" s="240"/>
      <c r="BG860" s="240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240"/>
      <c r="BT860" s="240"/>
      <c r="BU860" s="240"/>
      <c r="BV860" s="240"/>
      <c r="BW860" s="240"/>
      <c r="BX860" s="240"/>
      <c r="BY860" s="240"/>
      <c r="BZ860" s="240"/>
      <c r="CA860" s="240"/>
      <c r="CB860" s="240"/>
      <c r="CC860" s="240"/>
      <c r="CD860" s="240"/>
      <c r="CE860" s="240"/>
      <c r="CF860" s="240"/>
      <c r="CG860" s="240"/>
      <c r="CH860" s="240"/>
      <c r="CI860" s="240"/>
      <c r="CJ860" s="240"/>
      <c r="CK860" s="240"/>
      <c r="CL860" s="240"/>
      <c r="CM860" s="240"/>
      <c r="CN860" s="240"/>
      <c r="CO860" s="240"/>
      <c r="CP860" s="240"/>
      <c r="CQ860" s="240"/>
      <c r="CR860" s="240"/>
      <c r="CS860" s="240"/>
      <c r="CT860" s="240"/>
      <c r="CU860" s="240"/>
      <c r="CV860" s="240"/>
      <c r="CW860" s="240"/>
      <c r="CX860" s="240"/>
      <c r="CY860" s="240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1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345"/>
      <c r="EM860" s="245"/>
      <c r="EN860" s="245"/>
      <c r="EO860" s="245"/>
      <c r="EP860" s="245"/>
      <c r="EQ860" s="254"/>
      <c r="ER860" s="240"/>
      <c r="ES860" s="240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193"/>
    </row>
    <row r="861" spans="2:189" s="243" customFormat="1" ht="11.45" hidden="1" customHeight="1">
      <c r="B861" s="343"/>
      <c r="C861" s="240"/>
      <c r="D861" s="240"/>
      <c r="E861" s="240"/>
      <c r="F861" s="240" t="s">
        <v>685</v>
      </c>
      <c r="G861" s="240"/>
      <c r="H861" s="240" t="s">
        <v>686</v>
      </c>
      <c r="I861" s="240"/>
      <c r="J861" s="240" t="s">
        <v>735</v>
      </c>
      <c r="K861" s="240"/>
      <c r="L861" s="240"/>
      <c r="M861" s="240"/>
      <c r="N861" s="240"/>
      <c r="O861" s="240"/>
      <c r="P861" s="240"/>
      <c r="Q861" s="240"/>
      <c r="R861" s="240"/>
      <c r="S861" s="240" t="s">
        <v>736</v>
      </c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0"/>
      <c r="AO861" s="240"/>
      <c r="AP861" s="240"/>
      <c r="AQ861" s="240"/>
      <c r="AR861" s="240"/>
      <c r="AS861" s="240"/>
      <c r="AT861" s="240"/>
      <c r="AU861" s="240"/>
      <c r="AV861" s="240"/>
      <c r="AW861" s="240"/>
      <c r="AX861" s="240"/>
      <c r="AY861" s="240"/>
      <c r="AZ861" s="240"/>
      <c r="BA861" s="240"/>
      <c r="BB861" s="240"/>
      <c r="BC861" s="240"/>
      <c r="BD861" s="240"/>
      <c r="BE861" s="240"/>
      <c r="BF861" s="240"/>
      <c r="BG861" s="240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240"/>
      <c r="BT861" s="240"/>
      <c r="BU861" s="240"/>
      <c r="BV861" s="240"/>
      <c r="BW861" s="240"/>
      <c r="BX861" s="240"/>
      <c r="BY861" s="240"/>
      <c r="BZ861" s="240"/>
      <c r="CA861" s="240"/>
      <c r="CB861" s="240"/>
      <c r="CC861" s="240"/>
      <c r="CD861" s="240"/>
      <c r="CE861" s="240"/>
      <c r="CF861" s="240"/>
      <c r="CG861" s="240"/>
      <c r="CH861" s="240"/>
      <c r="CI861" s="240"/>
      <c r="CJ861" s="240"/>
      <c r="CK861" s="240"/>
      <c r="CL861" s="240"/>
      <c r="CM861" s="240"/>
      <c r="CN861" s="240"/>
      <c r="CO861" s="240"/>
      <c r="CP861" s="240"/>
      <c r="CQ861" s="240"/>
      <c r="CR861" s="240"/>
      <c r="CS861" s="240"/>
      <c r="CT861" s="240"/>
      <c r="CU861" s="240"/>
      <c r="CV861" s="240"/>
      <c r="CW861" s="240"/>
      <c r="CX861" s="240"/>
      <c r="CY861" s="240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1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345"/>
      <c r="EM861" s="245"/>
      <c r="EN861" s="245"/>
      <c r="EO861" s="245"/>
      <c r="EP861" s="245"/>
      <c r="EQ861" s="254"/>
      <c r="ER861" s="240"/>
      <c r="ES861" s="240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193"/>
    </row>
    <row r="862" spans="2:189" s="243" customFormat="1" ht="11.45" hidden="1" customHeight="1">
      <c r="B862" s="343"/>
      <c r="C862" s="240"/>
      <c r="D862" s="240"/>
      <c r="E862" s="240"/>
      <c r="F862" s="240"/>
      <c r="G862" s="240"/>
      <c r="H862" s="240" t="s">
        <v>616</v>
      </c>
      <c r="I862" s="240"/>
      <c r="J862" s="240"/>
      <c r="K862" s="240"/>
      <c r="L862" s="240"/>
      <c r="M862" s="240"/>
      <c r="N862" s="240"/>
      <c r="O862" s="240" t="s">
        <v>132</v>
      </c>
      <c r="P862" s="240"/>
      <c r="Q862" s="1775" t="e">
        <f>#REF!</f>
        <v>#REF!</v>
      </c>
      <c r="R862" s="1775"/>
      <c r="S862" s="1775"/>
      <c r="T862" s="1775"/>
      <c r="U862" s="1775"/>
      <c r="V862" s="240"/>
      <c r="W862" s="240"/>
      <c r="X862" s="240"/>
      <c r="Y862" s="240"/>
      <c r="Z862" s="240" t="s">
        <v>683</v>
      </c>
      <c r="AA862" s="240"/>
      <c r="AB862" s="240"/>
      <c r="AC862" s="240" t="str">
        <f>TEXT(BA841,"#,##0.#######")</f>
        <v>40.</v>
      </c>
      <c r="AD862" s="240"/>
      <c r="AE862" s="240"/>
      <c r="AF862" s="240"/>
      <c r="AG862" s="240"/>
      <c r="AH862" s="240"/>
      <c r="AI862" s="240"/>
      <c r="AJ862" s="240" t="s">
        <v>134</v>
      </c>
      <c r="AK862" s="240"/>
      <c r="AM862" s="240" t="e">
        <f>TEXT(TRUNC(Q862/BA841,1),"#,##0.#")</f>
        <v>#REF!</v>
      </c>
      <c r="AN862" s="240"/>
      <c r="AO862" s="240"/>
      <c r="AP862" s="240"/>
      <c r="AQ862" s="240"/>
      <c r="AR862" s="240"/>
      <c r="AS862" s="240"/>
      <c r="AT862" s="240"/>
      <c r="AU862" s="240"/>
      <c r="AV862" s="240"/>
      <c r="AW862" s="240"/>
      <c r="AX862" s="240"/>
      <c r="AY862" s="240"/>
      <c r="AZ862" s="240"/>
      <c r="BA862" s="240"/>
      <c r="BB862" s="240"/>
      <c r="BC862" s="240"/>
      <c r="BD862" s="240"/>
      <c r="BE862" s="240"/>
      <c r="BF862" s="240"/>
      <c r="BG862" s="240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240"/>
      <c r="BT862" s="240"/>
      <c r="BU862" s="240"/>
      <c r="BV862" s="240"/>
      <c r="BW862" s="240"/>
      <c r="BX862" s="240"/>
      <c r="BY862" s="240"/>
      <c r="BZ862" s="240"/>
      <c r="CA862" s="240"/>
      <c r="CB862" s="240"/>
      <c r="CC862" s="240"/>
      <c r="CD862" s="240"/>
      <c r="CE862" s="240"/>
      <c r="CF862" s="240"/>
      <c r="CG862" s="240"/>
      <c r="CH862" s="240"/>
      <c r="CI862" s="240"/>
      <c r="CJ862" s="240"/>
      <c r="CK862" s="240"/>
      <c r="CL862" s="240"/>
      <c r="CM862" s="240"/>
      <c r="CN862" s="240"/>
      <c r="CO862" s="240"/>
      <c r="CP862" s="240"/>
      <c r="CQ862" s="240"/>
      <c r="CR862" s="240"/>
      <c r="CS862" s="240"/>
      <c r="CT862" s="240"/>
      <c r="CU862" s="240"/>
      <c r="CV862" s="240"/>
      <c r="CW862" s="240"/>
      <c r="CX862" s="240"/>
      <c r="CY862" s="240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1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345"/>
      <c r="EM862" s="245"/>
      <c r="EN862" s="245"/>
      <c r="EO862" s="245"/>
      <c r="EP862" s="245"/>
      <c r="EQ862" s="254"/>
      <c r="ER862" s="240"/>
      <c r="ES862" s="240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193"/>
    </row>
    <row r="863" spans="2:189" s="243" customFormat="1" ht="11.45" hidden="1" customHeight="1">
      <c r="B863" s="343"/>
      <c r="C863" s="240"/>
      <c r="D863" s="240"/>
      <c r="E863" s="240"/>
      <c r="F863" s="240"/>
      <c r="G863" s="240"/>
      <c r="H863" s="240" t="s">
        <v>617</v>
      </c>
      <c r="I863" s="240"/>
      <c r="J863" s="240"/>
      <c r="K863" s="240"/>
      <c r="L863" s="240"/>
      <c r="M863" s="240"/>
      <c r="N863" s="240"/>
      <c r="O863" s="240" t="s">
        <v>132</v>
      </c>
      <c r="P863" s="240"/>
      <c r="Q863" s="1775" t="e">
        <f>#REF!</f>
        <v>#REF!</v>
      </c>
      <c r="R863" s="1775"/>
      <c r="S863" s="1775"/>
      <c r="T863" s="1775"/>
      <c r="U863" s="1775"/>
      <c r="V863" s="240"/>
      <c r="W863" s="240"/>
      <c r="X863" s="240"/>
      <c r="Y863" s="240"/>
      <c r="Z863" s="240" t="s">
        <v>683</v>
      </c>
      <c r="AA863" s="240"/>
      <c r="AB863" s="240"/>
      <c r="AC863" s="240" t="str">
        <f>TEXT(BA841,"#,##0.#######")</f>
        <v>40.</v>
      </c>
      <c r="AD863" s="240"/>
      <c r="AE863" s="240"/>
      <c r="AF863" s="240"/>
      <c r="AG863" s="240"/>
      <c r="AH863" s="240"/>
      <c r="AI863" s="240"/>
      <c r="AJ863" s="240" t="s">
        <v>134</v>
      </c>
      <c r="AK863" s="240"/>
      <c r="AL863" s="240"/>
      <c r="AM863" s="240" t="e">
        <f>TEXT(TRUNC(Q863/BA841,1),"#,##0.#")</f>
        <v>#REF!</v>
      </c>
      <c r="AN863" s="240"/>
      <c r="AO863" s="240"/>
      <c r="AP863" s="240"/>
      <c r="AQ863" s="240"/>
      <c r="AR863" s="240"/>
      <c r="AS863" s="240"/>
      <c r="AT863" s="240"/>
      <c r="AU863" s="240"/>
      <c r="AV863" s="240"/>
      <c r="AW863" s="240"/>
      <c r="AX863" s="240"/>
      <c r="AY863" s="240"/>
      <c r="AZ863" s="240"/>
      <c r="BA863" s="240"/>
      <c r="BB863" s="240"/>
      <c r="BC863" s="240"/>
      <c r="BD863" s="240"/>
      <c r="BE863" s="240"/>
      <c r="BF863" s="240"/>
      <c r="BG863" s="240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240"/>
      <c r="BT863" s="240"/>
      <c r="BU863" s="240"/>
      <c r="BV863" s="240"/>
      <c r="BW863" s="240"/>
      <c r="BX863" s="240"/>
      <c r="BY863" s="240"/>
      <c r="BZ863" s="240"/>
      <c r="CA863" s="240"/>
      <c r="CB863" s="240"/>
      <c r="CC863" s="240"/>
      <c r="CD863" s="240"/>
      <c r="CE863" s="240"/>
      <c r="CF863" s="240"/>
      <c r="CG863" s="240"/>
      <c r="CH863" s="240"/>
      <c r="CI863" s="240"/>
      <c r="CJ863" s="240"/>
      <c r="CK863" s="240"/>
      <c r="CL863" s="240"/>
      <c r="CM863" s="240"/>
      <c r="CN863" s="240"/>
      <c r="CO863" s="240"/>
      <c r="CP863" s="240"/>
      <c r="CQ863" s="240"/>
      <c r="CR863" s="240"/>
      <c r="CS863" s="240"/>
      <c r="CT863" s="240"/>
      <c r="CU863" s="240"/>
      <c r="CV863" s="240"/>
      <c r="CW863" s="240"/>
      <c r="CX863" s="240"/>
      <c r="CY863" s="240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1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345"/>
      <c r="EM863" s="245"/>
      <c r="EN863" s="245"/>
      <c r="EO863" s="245"/>
      <c r="EP863" s="245"/>
      <c r="EQ863" s="254"/>
      <c r="ER863" s="240"/>
      <c r="ES863" s="240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193"/>
    </row>
    <row r="864" spans="2:189" s="243" customFormat="1" ht="11.45" hidden="1" customHeight="1">
      <c r="B864" s="343"/>
      <c r="C864" s="240"/>
      <c r="D864" s="240"/>
      <c r="E864" s="240"/>
      <c r="F864" s="240"/>
      <c r="G864" s="240"/>
      <c r="H864" s="240" t="s">
        <v>679</v>
      </c>
      <c r="I864" s="240"/>
      <c r="J864" s="240" t="s">
        <v>680</v>
      </c>
      <c r="K864" s="240"/>
      <c r="L864" s="240"/>
      <c r="M864" s="240"/>
      <c r="N864" s="240"/>
      <c r="O864" s="240" t="s">
        <v>132</v>
      </c>
      <c r="P864" s="240"/>
      <c r="Q864" s="1775" t="e">
        <f>#REF!</f>
        <v>#REF!</v>
      </c>
      <c r="R864" s="1775"/>
      <c r="S864" s="1775"/>
      <c r="T864" s="1775"/>
      <c r="U864" s="1775"/>
      <c r="V864" s="240"/>
      <c r="W864" s="240"/>
      <c r="X864" s="240"/>
      <c r="Y864" s="240"/>
      <c r="Z864" s="240" t="s">
        <v>683</v>
      </c>
      <c r="AA864" s="240"/>
      <c r="AB864" s="240"/>
      <c r="AC864" s="240" t="str">
        <f>TEXT(BA841,"#,##0.#######")</f>
        <v>40.</v>
      </c>
      <c r="AD864" s="240"/>
      <c r="AE864" s="240"/>
      <c r="AF864" s="240"/>
      <c r="AG864" s="240"/>
      <c r="AH864" s="240"/>
      <c r="AI864" s="240"/>
      <c r="AJ864" s="240" t="s">
        <v>134</v>
      </c>
      <c r="AK864" s="240"/>
      <c r="AL864" s="240"/>
      <c r="AM864" s="240" t="e">
        <f>TEXT(TRUNC(Q864/BA841,1),"#,##0.#")</f>
        <v>#REF!</v>
      </c>
      <c r="AN864" s="240"/>
      <c r="AO864" s="240"/>
      <c r="AP864" s="240"/>
      <c r="AQ864" s="240"/>
      <c r="AR864" s="240"/>
      <c r="AS864" s="240"/>
      <c r="AT864" s="240"/>
      <c r="AU864" s="240"/>
      <c r="AV864" s="240"/>
      <c r="AW864" s="240"/>
      <c r="AX864" s="240"/>
      <c r="AY864" s="240"/>
      <c r="AZ864" s="240"/>
      <c r="BA864" s="240"/>
      <c r="BB864" s="240"/>
      <c r="BC864" s="240"/>
      <c r="BD864" s="240"/>
      <c r="BE864" s="240"/>
      <c r="BF864" s="240"/>
      <c r="BG864" s="240"/>
      <c r="BH864" s="240"/>
      <c r="BI864" s="240"/>
      <c r="BJ864" s="240"/>
      <c r="BK864" s="240"/>
      <c r="BL864" s="240"/>
      <c r="BM864" s="240"/>
      <c r="BN864" s="240"/>
      <c r="BO864" s="240"/>
      <c r="BP864" s="240"/>
      <c r="BQ864" s="240"/>
      <c r="BR864" s="240"/>
      <c r="BS864" s="240"/>
      <c r="BT864" s="240"/>
      <c r="BU864" s="240"/>
      <c r="BV864" s="240"/>
      <c r="BW864" s="240"/>
      <c r="BX864" s="240"/>
      <c r="BY864" s="240"/>
      <c r="BZ864" s="240"/>
      <c r="CA864" s="240"/>
      <c r="CB864" s="240"/>
      <c r="CC864" s="240"/>
      <c r="CD864" s="240"/>
      <c r="CE864" s="240"/>
      <c r="CF864" s="240"/>
      <c r="CG864" s="240"/>
      <c r="CH864" s="240"/>
      <c r="CI864" s="240"/>
      <c r="CJ864" s="240"/>
      <c r="CK864" s="240"/>
      <c r="CL864" s="240"/>
      <c r="CM864" s="240"/>
      <c r="CN864" s="240"/>
      <c r="CO864" s="240"/>
      <c r="CP864" s="240"/>
      <c r="CQ864" s="240"/>
      <c r="CR864" s="240"/>
      <c r="CS864" s="240"/>
      <c r="CT864" s="240"/>
      <c r="CU864" s="240"/>
      <c r="CV864" s="240"/>
      <c r="CW864" s="240"/>
      <c r="CX864" s="240"/>
      <c r="CY864" s="240"/>
      <c r="CZ864" s="241"/>
      <c r="DA864" s="241"/>
      <c r="DB864" s="241"/>
      <c r="DC864" s="241"/>
      <c r="DD864" s="241"/>
      <c r="DE864" s="241"/>
      <c r="DF864" s="241"/>
      <c r="DG864" s="241"/>
      <c r="DH864" s="241"/>
      <c r="DI864" s="241"/>
      <c r="DJ864" s="241"/>
      <c r="DK864" s="241"/>
      <c r="DL864" s="241"/>
      <c r="DM864" s="241"/>
      <c r="DN864" s="241"/>
      <c r="DO864" s="241"/>
      <c r="DP864" s="241"/>
      <c r="DQ864" s="241"/>
      <c r="DR864" s="241"/>
      <c r="DS864" s="241"/>
      <c r="DT864" s="241"/>
      <c r="DU864" s="241"/>
      <c r="DV864" s="241"/>
      <c r="DW864" s="241"/>
      <c r="DX864" s="241"/>
      <c r="DY864" s="241"/>
      <c r="DZ864" s="241"/>
      <c r="EA864" s="241"/>
      <c r="EB864" s="241"/>
      <c r="EC864" s="241"/>
      <c r="ED864" s="241"/>
      <c r="EE864" s="241"/>
      <c r="EF864" s="241"/>
      <c r="EG864" s="241"/>
      <c r="EH864" s="241"/>
      <c r="EI864" s="241"/>
      <c r="EJ864" s="241"/>
      <c r="EK864" s="241"/>
      <c r="EL864" s="345"/>
      <c r="EM864" s="245"/>
      <c r="EN864" s="245"/>
      <c r="EO864" s="245"/>
      <c r="EP864" s="245"/>
      <c r="EQ864" s="254"/>
      <c r="ER864" s="240"/>
      <c r="ES864" s="240"/>
      <c r="ET864" s="241"/>
      <c r="EU864" s="241"/>
      <c r="EV864" s="241"/>
      <c r="EW864" s="241"/>
      <c r="EX864" s="241"/>
      <c r="EY864" s="241"/>
      <c r="EZ864" s="241"/>
      <c r="FA864" s="241"/>
      <c r="FB864" s="241"/>
      <c r="FC864" s="241"/>
      <c r="FD864" s="241"/>
      <c r="FE864" s="241"/>
      <c r="FF864" s="241"/>
      <c r="FG864" s="241"/>
      <c r="FH864" s="241"/>
      <c r="FI864" s="241"/>
      <c r="FJ864" s="241"/>
      <c r="FK864" s="241"/>
      <c r="FL864" s="241"/>
      <c r="FM864" s="241"/>
      <c r="FN864" s="241"/>
      <c r="FO864" s="241"/>
      <c r="FP864" s="241"/>
      <c r="FQ864" s="241"/>
      <c r="FR864" s="241"/>
      <c r="FS864" s="241"/>
      <c r="FT864" s="241"/>
      <c r="FU864" s="241"/>
      <c r="FV864" s="241"/>
      <c r="FW864" s="241"/>
      <c r="FX864" s="241"/>
      <c r="FY864" s="241"/>
      <c r="FZ864" s="241"/>
      <c r="GA864" s="241"/>
      <c r="GB864" s="241"/>
      <c r="GC864" s="241"/>
      <c r="GD864" s="241"/>
      <c r="GE864" s="241"/>
      <c r="GF864" s="241"/>
      <c r="GG864" s="193"/>
    </row>
    <row r="865" spans="2:189" s="243" customFormat="1" ht="11.45" hidden="1" customHeight="1">
      <c r="B865" s="343"/>
      <c r="C865" s="240"/>
      <c r="D865" s="240"/>
      <c r="E865" s="240"/>
      <c r="F865" s="240"/>
      <c r="G865" s="240"/>
      <c r="H865" s="240" t="s">
        <v>688</v>
      </c>
      <c r="I865" s="240"/>
      <c r="J865" s="240" t="s">
        <v>96</v>
      </c>
      <c r="K865" s="240"/>
      <c r="L865" s="240"/>
      <c r="M865" s="240"/>
      <c r="N865" s="240"/>
      <c r="O865" s="240" t="s">
        <v>132</v>
      </c>
      <c r="P865" s="240"/>
      <c r="Q865" s="240" t="e">
        <f>TEXT(AM862+AM863+AM864,"#,##0.#######")</f>
        <v>#REF!</v>
      </c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I865" s="240"/>
      <c r="AJ865" s="240"/>
      <c r="AK865" s="240"/>
      <c r="AL865" s="240"/>
      <c r="AM865" s="240"/>
      <c r="AN865" s="240"/>
      <c r="AO865" s="240"/>
      <c r="AP865" s="240"/>
      <c r="AQ865" s="240"/>
      <c r="AR865" s="240"/>
      <c r="AS865" s="240"/>
      <c r="AT865" s="240"/>
      <c r="AU865" s="240"/>
      <c r="AV865" s="240"/>
      <c r="AW865" s="240"/>
      <c r="AX865" s="240"/>
      <c r="AY865" s="240"/>
      <c r="AZ865" s="240"/>
      <c r="BA865" s="240"/>
      <c r="BB865" s="240"/>
      <c r="BC865" s="240"/>
      <c r="BD865" s="240"/>
      <c r="BE865" s="240"/>
      <c r="BF865" s="240"/>
      <c r="BG865" s="240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240"/>
      <c r="BT865" s="240"/>
      <c r="BU865" s="240"/>
      <c r="BV865" s="240"/>
      <c r="BW865" s="240"/>
      <c r="BX865" s="240"/>
      <c r="BY865" s="240"/>
      <c r="BZ865" s="240"/>
      <c r="CA865" s="240"/>
      <c r="CB865" s="240"/>
      <c r="CC865" s="240"/>
      <c r="CD865" s="240"/>
      <c r="CE865" s="240"/>
      <c r="CF865" s="240"/>
      <c r="CG865" s="240"/>
      <c r="CH865" s="240"/>
      <c r="CI865" s="240"/>
      <c r="CJ865" s="240"/>
      <c r="CK865" s="240"/>
      <c r="CL865" s="240"/>
      <c r="CM865" s="240"/>
      <c r="CN865" s="240"/>
      <c r="CO865" s="240"/>
      <c r="CP865" s="240"/>
      <c r="CQ865" s="240"/>
      <c r="CR865" s="240"/>
      <c r="CS865" s="240"/>
      <c r="CT865" s="240"/>
      <c r="CU865" s="240"/>
      <c r="CV865" s="240"/>
      <c r="CW865" s="240"/>
      <c r="CX865" s="240"/>
      <c r="CY865" s="240"/>
      <c r="CZ865" s="241"/>
      <c r="DA865" s="241"/>
      <c r="DB865" s="241"/>
      <c r="DC865" s="241"/>
      <c r="DD865" s="241"/>
      <c r="DE865" s="241"/>
      <c r="DF865" s="241"/>
      <c r="DG865" s="241"/>
      <c r="DH865" s="241"/>
      <c r="DI865" s="241"/>
      <c r="DJ865" s="241"/>
      <c r="DK865" s="241"/>
      <c r="DL865" s="241"/>
      <c r="DM865" s="241"/>
      <c r="DN865" s="241"/>
      <c r="DO865" s="241"/>
      <c r="DP865" s="241"/>
      <c r="DQ865" s="241"/>
      <c r="DR865" s="241"/>
      <c r="DS865" s="241"/>
      <c r="DT865" s="241"/>
      <c r="DU865" s="241"/>
      <c r="DV865" s="241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345"/>
      <c r="EM865" s="245" t="e">
        <f>EN865+EO865+EP865</f>
        <v>#REF!</v>
      </c>
      <c r="EN865" s="245" t="e">
        <f>TEXT(AM862,"#,###.0")</f>
        <v>#REF!</v>
      </c>
      <c r="EO865" s="245" t="e">
        <f>TEXT(AM863,"#,###.0")</f>
        <v>#REF!</v>
      </c>
      <c r="EP865" s="245" t="e">
        <f>TEXT(AM864,"#,###.0")</f>
        <v>#REF!</v>
      </c>
      <c r="EQ865" s="254"/>
      <c r="ER865" s="240"/>
      <c r="ES865" s="240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193"/>
    </row>
    <row r="866" spans="2:189" s="243" customFormat="1" ht="11.45" hidden="1" customHeight="1">
      <c r="B866" s="343"/>
      <c r="C866" s="240"/>
      <c r="D866" s="240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0"/>
      <c r="AO866" s="240"/>
      <c r="AP866" s="240"/>
      <c r="AQ866" s="240"/>
      <c r="AR866" s="240"/>
      <c r="AS866" s="240"/>
      <c r="AT866" s="240"/>
      <c r="AU866" s="240"/>
      <c r="AV866" s="240"/>
      <c r="AW866" s="240"/>
      <c r="AX866" s="240"/>
      <c r="AY866" s="240"/>
      <c r="AZ866" s="240"/>
      <c r="BA866" s="240"/>
      <c r="BB866" s="240"/>
      <c r="BC866" s="240"/>
      <c r="BD866" s="240"/>
      <c r="BE866" s="240"/>
      <c r="BF866" s="240"/>
      <c r="BG866" s="240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240"/>
      <c r="BT866" s="240"/>
      <c r="BU866" s="240"/>
      <c r="BV866" s="240"/>
      <c r="BW866" s="240"/>
      <c r="BX866" s="240"/>
      <c r="BY866" s="240"/>
      <c r="BZ866" s="240"/>
      <c r="CA866" s="240"/>
      <c r="CB866" s="240"/>
      <c r="CC866" s="240"/>
      <c r="CD866" s="240"/>
      <c r="CE866" s="240"/>
      <c r="CF866" s="240"/>
      <c r="CG866" s="240"/>
      <c r="CH866" s="240"/>
      <c r="CI866" s="240"/>
      <c r="CJ866" s="240"/>
      <c r="CK866" s="240"/>
      <c r="CL866" s="240"/>
      <c r="CM866" s="240"/>
      <c r="CN866" s="240"/>
      <c r="CO866" s="240"/>
      <c r="CP866" s="240"/>
      <c r="CQ866" s="240"/>
      <c r="CR866" s="240"/>
      <c r="CS866" s="240"/>
      <c r="CT866" s="240"/>
      <c r="CU866" s="240"/>
      <c r="CV866" s="240"/>
      <c r="CW866" s="240"/>
      <c r="CX866" s="240"/>
      <c r="CY866" s="240"/>
      <c r="CZ866" s="241"/>
      <c r="DA866" s="241"/>
      <c r="DB866" s="241"/>
      <c r="DC866" s="241"/>
      <c r="DD866" s="241"/>
      <c r="DE866" s="241"/>
      <c r="DF866" s="241"/>
      <c r="DG866" s="241"/>
      <c r="DH866" s="241"/>
      <c r="DI866" s="241"/>
      <c r="DJ866" s="241"/>
      <c r="DK866" s="241"/>
      <c r="DL866" s="241"/>
      <c r="DM866" s="241"/>
      <c r="DN866" s="241"/>
      <c r="DO866" s="241"/>
      <c r="DP866" s="241"/>
      <c r="DQ866" s="241"/>
      <c r="DR866" s="241"/>
      <c r="DS866" s="241"/>
      <c r="DT866" s="241"/>
      <c r="DU866" s="241"/>
      <c r="DV866" s="241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345"/>
      <c r="EM866" s="245"/>
      <c r="EN866" s="245"/>
      <c r="EO866" s="245"/>
      <c r="EP866" s="245"/>
      <c r="EQ866" s="254"/>
      <c r="ER866" s="240"/>
      <c r="ES866" s="240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193"/>
    </row>
    <row r="867" spans="2:189" s="243" customFormat="1" ht="11.45" hidden="1" customHeight="1">
      <c r="B867" s="343"/>
      <c r="C867" s="240"/>
      <c r="D867" s="240"/>
      <c r="E867" s="240"/>
      <c r="F867" s="240" t="s">
        <v>689</v>
      </c>
      <c r="G867" s="240"/>
      <c r="H867" s="240" t="s">
        <v>686</v>
      </c>
      <c r="I867" s="240"/>
      <c r="J867" s="240" t="s">
        <v>737</v>
      </c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 t="s">
        <v>738</v>
      </c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0"/>
      <c r="AO867" s="240"/>
      <c r="AP867" s="240"/>
      <c r="AQ867" s="240"/>
      <c r="AR867" s="240"/>
      <c r="AS867" s="240"/>
      <c r="AT867" s="240"/>
      <c r="AU867" s="240"/>
      <c r="AV867" s="240"/>
      <c r="AW867" s="240"/>
      <c r="AX867" s="240"/>
      <c r="AY867" s="240"/>
      <c r="AZ867" s="240"/>
      <c r="BA867" s="240"/>
      <c r="BB867" s="240"/>
      <c r="BC867" s="240"/>
      <c r="BD867" s="240"/>
      <c r="BE867" s="240"/>
      <c r="BF867" s="240"/>
      <c r="BG867" s="240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240"/>
      <c r="BT867" s="240"/>
      <c r="BU867" s="240"/>
      <c r="BV867" s="240"/>
      <c r="BW867" s="240"/>
      <c r="BX867" s="240"/>
      <c r="BY867" s="240"/>
      <c r="BZ867" s="240"/>
      <c r="CA867" s="240"/>
      <c r="CB867" s="240"/>
      <c r="CC867" s="240"/>
      <c r="CD867" s="240"/>
      <c r="CE867" s="240"/>
      <c r="CF867" s="240"/>
      <c r="CG867" s="240"/>
      <c r="CH867" s="240"/>
      <c r="CI867" s="240"/>
      <c r="CJ867" s="240"/>
      <c r="CK867" s="240"/>
      <c r="CL867" s="240"/>
      <c r="CM867" s="240"/>
      <c r="CN867" s="240"/>
      <c r="CO867" s="240"/>
      <c r="CP867" s="240"/>
      <c r="CQ867" s="240"/>
      <c r="CR867" s="240"/>
      <c r="CS867" s="240"/>
      <c r="CT867" s="240"/>
      <c r="CU867" s="240"/>
      <c r="CV867" s="240"/>
      <c r="CW867" s="240"/>
      <c r="CX867" s="240"/>
      <c r="CY867" s="240"/>
      <c r="CZ867" s="241"/>
      <c r="DA867" s="241"/>
      <c r="DB867" s="241"/>
      <c r="DC867" s="241"/>
      <c r="DD867" s="241"/>
      <c r="DE867" s="241"/>
      <c r="DF867" s="241"/>
      <c r="DG867" s="241"/>
      <c r="DH867" s="241"/>
      <c r="DI867" s="241"/>
      <c r="DJ867" s="241"/>
      <c r="DK867" s="241"/>
      <c r="DL867" s="241"/>
      <c r="DM867" s="241"/>
      <c r="DN867" s="241"/>
      <c r="DO867" s="241"/>
      <c r="DP867" s="241"/>
      <c r="DQ867" s="241"/>
      <c r="DR867" s="241"/>
      <c r="DS867" s="241"/>
      <c r="DT867" s="241"/>
      <c r="DU867" s="241"/>
      <c r="DV867" s="241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345"/>
      <c r="EM867" s="245"/>
      <c r="EN867" s="245"/>
      <c r="EO867" s="245"/>
      <c r="EP867" s="245"/>
      <c r="EQ867" s="254"/>
      <c r="ER867" s="247"/>
      <c r="ES867" s="247"/>
      <c r="ET867" s="248"/>
      <c r="EU867" s="248"/>
      <c r="EV867" s="248"/>
      <c r="EW867" s="248"/>
      <c r="EX867" s="248"/>
      <c r="EY867" s="248"/>
      <c r="EZ867" s="248"/>
      <c r="FA867" s="248"/>
      <c r="FB867" s="248"/>
      <c r="FC867" s="248"/>
      <c r="FD867" s="248"/>
      <c r="FE867" s="248"/>
      <c r="FF867" s="248"/>
      <c r="FG867" s="248"/>
      <c r="FH867" s="248"/>
      <c r="FI867" s="248"/>
      <c r="FJ867" s="248"/>
      <c r="FK867" s="248"/>
      <c r="FL867" s="248"/>
      <c r="FM867" s="248"/>
      <c r="FN867" s="248"/>
      <c r="FO867" s="248"/>
      <c r="FP867" s="248"/>
      <c r="FQ867" s="248"/>
      <c r="FR867" s="248"/>
      <c r="FS867" s="248"/>
      <c r="FT867" s="248"/>
      <c r="FU867" s="248"/>
      <c r="FV867" s="248"/>
      <c r="FW867" s="248"/>
      <c r="FX867" s="248"/>
      <c r="FY867" s="248"/>
      <c r="FZ867" s="248"/>
      <c r="GA867" s="248"/>
      <c r="GB867" s="248"/>
      <c r="GC867" s="248"/>
      <c r="GD867" s="248"/>
      <c r="GE867" s="248"/>
      <c r="GF867" s="248"/>
      <c r="GG867" s="193"/>
    </row>
    <row r="868" spans="2:189" s="243" customFormat="1" ht="11.45" hidden="1" customHeight="1">
      <c r="B868" s="343"/>
      <c r="C868" s="240"/>
      <c r="D868" s="240"/>
      <c r="E868" s="240"/>
      <c r="F868" s="240"/>
      <c r="G868" s="240"/>
      <c r="H868" s="240" t="s">
        <v>616</v>
      </c>
      <c r="I868" s="240"/>
      <c r="J868" s="240"/>
      <c r="K868" s="240"/>
      <c r="L868" s="240"/>
      <c r="M868" s="240"/>
      <c r="N868" s="240"/>
      <c r="O868" s="240" t="s">
        <v>132</v>
      </c>
      <c r="P868" s="240"/>
      <c r="Q868" s="1775" t="e">
        <f>#REF!</f>
        <v>#REF!</v>
      </c>
      <c r="R868" s="1775"/>
      <c r="S868" s="1775"/>
      <c r="T868" s="1775"/>
      <c r="U868" s="1775"/>
      <c r="V868" s="240"/>
      <c r="W868" s="240"/>
      <c r="X868" s="240"/>
      <c r="Y868" s="240"/>
      <c r="Z868" s="240" t="s">
        <v>683</v>
      </c>
      <c r="AA868" s="240"/>
      <c r="AB868" s="240"/>
      <c r="AC868" s="240" t="str">
        <f>TEXT(BA841,"#,##0.#######")</f>
        <v>40.</v>
      </c>
      <c r="AD868" s="240"/>
      <c r="AE868" s="240"/>
      <c r="AF868" s="240"/>
      <c r="AG868" s="240"/>
      <c r="AH868" s="240"/>
      <c r="AI868" s="240"/>
      <c r="AJ868" s="240" t="s">
        <v>134</v>
      </c>
      <c r="AK868" s="240"/>
      <c r="AL868" s="240" t="e">
        <f>TEXT(TRUNC(Q868/BA841,1),"#,##0.#")</f>
        <v>#REF!</v>
      </c>
      <c r="AM868" s="240"/>
      <c r="AN868" s="240"/>
      <c r="AO868" s="240"/>
      <c r="AP868" s="240"/>
      <c r="AQ868" s="240"/>
      <c r="AR868" s="240"/>
      <c r="AS868" s="240"/>
      <c r="AT868" s="240"/>
      <c r="AU868" s="240"/>
      <c r="AV868" s="240"/>
      <c r="AW868" s="240"/>
      <c r="AX868" s="240"/>
      <c r="AY868" s="240"/>
      <c r="AZ868" s="240"/>
      <c r="BA868" s="240"/>
      <c r="BB868" s="240"/>
      <c r="BC868" s="240"/>
      <c r="BD868" s="240"/>
      <c r="BE868" s="240"/>
      <c r="BF868" s="240"/>
      <c r="BG868" s="240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240"/>
      <c r="BT868" s="240"/>
      <c r="BU868" s="240"/>
      <c r="BV868" s="240"/>
      <c r="BW868" s="240"/>
      <c r="BX868" s="240"/>
      <c r="BY868" s="240"/>
      <c r="BZ868" s="240"/>
      <c r="CA868" s="240"/>
      <c r="CB868" s="240"/>
      <c r="CC868" s="240"/>
      <c r="CD868" s="240"/>
      <c r="CE868" s="240"/>
      <c r="CF868" s="240"/>
      <c r="CG868" s="240"/>
      <c r="CH868" s="240"/>
      <c r="CI868" s="240"/>
      <c r="CJ868" s="240"/>
      <c r="CK868" s="240"/>
      <c r="CL868" s="240"/>
      <c r="CM868" s="240"/>
      <c r="CN868" s="240"/>
      <c r="CO868" s="240"/>
      <c r="CP868" s="240"/>
      <c r="CQ868" s="240"/>
      <c r="CR868" s="240"/>
      <c r="CS868" s="240"/>
      <c r="CT868" s="240"/>
      <c r="CU868" s="240"/>
      <c r="CV868" s="240"/>
      <c r="CW868" s="240"/>
      <c r="CX868" s="240"/>
      <c r="CY868" s="240"/>
      <c r="CZ868" s="241"/>
      <c r="DA868" s="241"/>
      <c r="DB868" s="241"/>
      <c r="DC868" s="241"/>
      <c r="DD868" s="241"/>
      <c r="DE868" s="241"/>
      <c r="DF868" s="241"/>
      <c r="DG868" s="241"/>
      <c r="DH868" s="241"/>
      <c r="DI868" s="241"/>
      <c r="DJ868" s="241"/>
      <c r="DK868" s="241"/>
      <c r="DL868" s="241"/>
      <c r="DM868" s="241"/>
      <c r="DN868" s="241"/>
      <c r="DO868" s="241"/>
      <c r="DP868" s="241"/>
      <c r="DQ868" s="241"/>
      <c r="DR868" s="241"/>
      <c r="DS868" s="241"/>
      <c r="DT868" s="241"/>
      <c r="DU868" s="241"/>
      <c r="DV868" s="241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345"/>
      <c r="EM868" s="245"/>
      <c r="EN868" s="245"/>
      <c r="EO868" s="245"/>
      <c r="EP868" s="245"/>
      <c r="EQ868" s="254"/>
      <c r="ER868" s="240"/>
      <c r="ES868" s="240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193"/>
    </row>
    <row r="869" spans="2:189" s="243" customFormat="1" ht="11.45" hidden="1" customHeight="1">
      <c r="B869" s="343"/>
      <c r="C869" s="240"/>
      <c r="D869" s="240"/>
      <c r="E869" s="240"/>
      <c r="F869" s="240"/>
      <c r="G869" s="240"/>
      <c r="H869" s="240" t="s">
        <v>617</v>
      </c>
      <c r="I869" s="240"/>
      <c r="J869" s="240"/>
      <c r="K869" s="240"/>
      <c r="L869" s="240"/>
      <c r="M869" s="240"/>
      <c r="N869" s="240"/>
      <c r="O869" s="240" t="s">
        <v>132</v>
      </c>
      <c r="P869" s="240"/>
      <c r="Q869" s="1775" t="e">
        <f>#REF!</f>
        <v>#REF!</v>
      </c>
      <c r="R869" s="1775"/>
      <c r="S869" s="1775"/>
      <c r="T869" s="1775"/>
      <c r="U869" s="1775"/>
      <c r="V869" s="240"/>
      <c r="W869" s="240"/>
      <c r="X869" s="240"/>
      <c r="Y869" s="240"/>
      <c r="Z869" s="240" t="s">
        <v>683</v>
      </c>
      <c r="AA869" s="240"/>
      <c r="AB869" s="240"/>
      <c r="AC869" s="240" t="str">
        <f>TEXT(BA841,"#,##0.#######")</f>
        <v>40.</v>
      </c>
      <c r="AD869" s="240"/>
      <c r="AE869" s="240"/>
      <c r="AF869" s="240"/>
      <c r="AG869" s="240"/>
      <c r="AH869" s="240"/>
      <c r="AI869" s="240"/>
      <c r="AJ869" s="240" t="s">
        <v>134</v>
      </c>
      <c r="AK869" s="240"/>
      <c r="AL869" s="240" t="e">
        <f>TEXT(TRUNC(Q869/BA841,1),"#,##0.#")</f>
        <v>#REF!</v>
      </c>
      <c r="AM869" s="240"/>
      <c r="AN869" s="240"/>
      <c r="AO869" s="240"/>
      <c r="AP869" s="240"/>
      <c r="AQ869" s="240"/>
      <c r="AR869" s="240"/>
      <c r="AS869" s="240"/>
      <c r="AT869" s="240"/>
      <c r="AU869" s="240"/>
      <c r="AV869" s="240"/>
      <c r="AW869" s="240"/>
      <c r="AX869" s="240"/>
      <c r="AY869" s="240"/>
      <c r="AZ869" s="240"/>
      <c r="BA869" s="240"/>
      <c r="BB869" s="240"/>
      <c r="BC869" s="240"/>
      <c r="BD869" s="240"/>
      <c r="BE869" s="240"/>
      <c r="BF869" s="240"/>
      <c r="BG869" s="240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240"/>
      <c r="BT869" s="240"/>
      <c r="BU869" s="240"/>
      <c r="BV869" s="240"/>
      <c r="BW869" s="240"/>
      <c r="BX869" s="240"/>
      <c r="BY869" s="240"/>
      <c r="BZ869" s="240"/>
      <c r="CA869" s="240"/>
      <c r="CB869" s="240"/>
      <c r="CC869" s="240"/>
      <c r="CD869" s="240"/>
      <c r="CE869" s="240"/>
      <c r="CF869" s="240"/>
      <c r="CG869" s="240"/>
      <c r="CH869" s="240"/>
      <c r="CI869" s="240"/>
      <c r="CJ869" s="240"/>
      <c r="CK869" s="240"/>
      <c r="CL869" s="240"/>
      <c r="CM869" s="240"/>
      <c r="CN869" s="240"/>
      <c r="CO869" s="240"/>
      <c r="CP869" s="240"/>
      <c r="CQ869" s="240"/>
      <c r="CR869" s="240"/>
      <c r="CS869" s="240"/>
      <c r="CT869" s="240"/>
      <c r="CU869" s="240"/>
      <c r="CV869" s="240"/>
      <c r="CW869" s="240"/>
      <c r="CX869" s="240"/>
      <c r="CY869" s="240"/>
      <c r="CZ869" s="241"/>
      <c r="DA869" s="241"/>
      <c r="DB869" s="241"/>
      <c r="DC869" s="241"/>
      <c r="DD869" s="241"/>
      <c r="DE869" s="241"/>
      <c r="DF869" s="241"/>
      <c r="DG869" s="241"/>
      <c r="DH869" s="241"/>
      <c r="DI869" s="241"/>
      <c r="DJ869" s="241"/>
      <c r="DK869" s="241"/>
      <c r="DL869" s="241"/>
      <c r="DM869" s="241"/>
      <c r="DN869" s="241"/>
      <c r="DO869" s="241"/>
      <c r="DP869" s="241"/>
      <c r="DQ869" s="241"/>
      <c r="DR869" s="241"/>
      <c r="DS869" s="241"/>
      <c r="DT869" s="241"/>
      <c r="DU869" s="241"/>
      <c r="DV869" s="241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345"/>
      <c r="EM869" s="245"/>
      <c r="EN869" s="245"/>
      <c r="EO869" s="245"/>
      <c r="EP869" s="245"/>
      <c r="EQ869" s="254"/>
      <c r="ER869" s="240"/>
      <c r="ES869" s="240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193"/>
    </row>
    <row r="870" spans="2:189" s="243" customFormat="1" ht="11.45" hidden="1" customHeight="1">
      <c r="B870" s="343"/>
      <c r="C870" s="240"/>
      <c r="D870" s="240"/>
      <c r="E870" s="240"/>
      <c r="F870" s="240"/>
      <c r="G870" s="240"/>
      <c r="H870" s="240" t="s">
        <v>679</v>
      </c>
      <c r="I870" s="240"/>
      <c r="J870" s="240" t="s">
        <v>680</v>
      </c>
      <c r="K870" s="240"/>
      <c r="L870" s="240"/>
      <c r="M870" s="240"/>
      <c r="N870" s="240"/>
      <c r="O870" s="240" t="s">
        <v>132</v>
      </c>
      <c r="P870" s="240"/>
      <c r="Q870" s="1775" t="e">
        <f>#REF!</f>
        <v>#REF!</v>
      </c>
      <c r="R870" s="1775"/>
      <c r="S870" s="1775"/>
      <c r="T870" s="1775"/>
      <c r="U870" s="1775"/>
      <c r="V870" s="240"/>
      <c r="W870" s="240"/>
      <c r="X870" s="240"/>
      <c r="Y870" s="240"/>
      <c r="Z870" s="240" t="s">
        <v>683</v>
      </c>
      <c r="AA870" s="240"/>
      <c r="AB870" s="240"/>
      <c r="AC870" s="240" t="str">
        <f>TEXT(BA841,"#,##0.#######")</f>
        <v>40.</v>
      </c>
      <c r="AD870" s="240"/>
      <c r="AE870" s="240"/>
      <c r="AF870" s="240"/>
      <c r="AG870" s="240"/>
      <c r="AH870" s="240"/>
      <c r="AI870" s="240"/>
      <c r="AJ870" s="240" t="s">
        <v>134</v>
      </c>
      <c r="AK870" s="240"/>
      <c r="AL870" s="240" t="e">
        <f>TEXT(TRUNC(Q870/BA841,1),"#,##0.#")</f>
        <v>#REF!</v>
      </c>
      <c r="AN870" s="240"/>
      <c r="AO870" s="240"/>
      <c r="AP870" s="240"/>
      <c r="AQ870" s="240"/>
      <c r="AR870" s="240"/>
      <c r="AS870" s="240"/>
      <c r="AT870" s="240"/>
      <c r="AU870" s="240"/>
      <c r="AV870" s="240"/>
      <c r="AW870" s="240"/>
      <c r="AX870" s="240"/>
      <c r="AY870" s="240"/>
      <c r="AZ870" s="240"/>
      <c r="BA870" s="240"/>
      <c r="BB870" s="240"/>
      <c r="BC870" s="240"/>
      <c r="BD870" s="240"/>
      <c r="BE870" s="240"/>
      <c r="BF870" s="240"/>
      <c r="BG870" s="240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240"/>
      <c r="BT870" s="240"/>
      <c r="BU870" s="240"/>
      <c r="BV870" s="240"/>
      <c r="BW870" s="240"/>
      <c r="BX870" s="240"/>
      <c r="BY870" s="240"/>
      <c r="BZ870" s="240"/>
      <c r="CA870" s="240"/>
      <c r="CB870" s="240"/>
      <c r="CC870" s="240"/>
      <c r="CD870" s="240"/>
      <c r="CE870" s="240"/>
      <c r="CF870" s="240"/>
      <c r="CG870" s="240"/>
      <c r="CH870" s="240"/>
      <c r="CI870" s="240"/>
      <c r="CJ870" s="240"/>
      <c r="CK870" s="240"/>
      <c r="CL870" s="240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1"/>
      <c r="DA870" s="241"/>
      <c r="DB870" s="241"/>
      <c r="DC870" s="241"/>
      <c r="DD870" s="241"/>
      <c r="DE870" s="241"/>
      <c r="DF870" s="241"/>
      <c r="DG870" s="241"/>
      <c r="DH870" s="241"/>
      <c r="DI870" s="241"/>
      <c r="DJ870" s="241"/>
      <c r="DK870" s="241"/>
      <c r="DL870" s="241"/>
      <c r="DM870" s="241"/>
      <c r="DN870" s="241"/>
      <c r="DO870" s="241"/>
      <c r="DP870" s="241"/>
      <c r="DQ870" s="241"/>
      <c r="DR870" s="241"/>
      <c r="DS870" s="241"/>
      <c r="DT870" s="241"/>
      <c r="DU870" s="241"/>
      <c r="DV870" s="241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345"/>
      <c r="EM870" s="245"/>
      <c r="EN870" s="245"/>
      <c r="EO870" s="245"/>
      <c r="EP870" s="245"/>
      <c r="EQ870" s="254"/>
      <c r="ER870" s="240"/>
      <c r="ES870" s="240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193"/>
    </row>
    <row r="871" spans="2:189" s="243" customFormat="1" ht="11.45" hidden="1" customHeight="1">
      <c r="B871" s="343"/>
      <c r="C871" s="240"/>
      <c r="D871" s="240"/>
      <c r="E871" s="240"/>
      <c r="F871" s="240"/>
      <c r="G871" s="240"/>
      <c r="H871" s="240" t="s">
        <v>688</v>
      </c>
      <c r="I871" s="240"/>
      <c r="J871" s="240" t="s">
        <v>96</v>
      </c>
      <c r="K871" s="240"/>
      <c r="L871" s="240"/>
      <c r="M871" s="240"/>
      <c r="N871" s="240"/>
      <c r="O871" s="240" t="s">
        <v>132</v>
      </c>
      <c r="P871" s="240"/>
      <c r="Q871" s="240" t="e">
        <f>TEXT(AL868+AL869+AL870,"#,##0.#######")</f>
        <v>#REF!</v>
      </c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I871" s="240"/>
      <c r="AJ871" s="240"/>
      <c r="AK871" s="240"/>
      <c r="AL871" s="240"/>
      <c r="AM871" s="240"/>
      <c r="AN871" s="240"/>
      <c r="AO871" s="240"/>
      <c r="AP871" s="240"/>
      <c r="AQ871" s="240"/>
      <c r="AR871" s="240"/>
      <c r="AS871" s="240"/>
      <c r="AT871" s="240"/>
      <c r="AU871" s="240"/>
      <c r="AV871" s="240"/>
      <c r="AW871" s="240"/>
      <c r="AX871" s="240"/>
      <c r="AY871" s="240"/>
      <c r="AZ871" s="240"/>
      <c r="BA871" s="240"/>
      <c r="BB871" s="240"/>
      <c r="BC871" s="240"/>
      <c r="BD871" s="240"/>
      <c r="BE871" s="240"/>
      <c r="BF871" s="240"/>
      <c r="BG871" s="240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240"/>
      <c r="BT871" s="240"/>
      <c r="BU871" s="240"/>
      <c r="BV871" s="240"/>
      <c r="BW871" s="240"/>
      <c r="BX871" s="240"/>
      <c r="BY871" s="240"/>
      <c r="BZ871" s="240"/>
      <c r="CA871" s="240"/>
      <c r="CB871" s="240"/>
      <c r="CC871" s="240"/>
      <c r="CD871" s="240"/>
      <c r="CE871" s="240"/>
      <c r="CF871" s="240"/>
      <c r="CG871" s="240"/>
      <c r="CH871" s="240"/>
      <c r="CI871" s="240"/>
      <c r="CJ871" s="240"/>
      <c r="CK871" s="240"/>
      <c r="CL871" s="240"/>
      <c r="CM871" s="240"/>
      <c r="CN871" s="240"/>
      <c r="CO871" s="240"/>
      <c r="CP871" s="240"/>
      <c r="CQ871" s="240"/>
      <c r="CR871" s="240"/>
      <c r="CS871" s="240"/>
      <c r="CT871" s="240"/>
      <c r="CU871" s="240"/>
      <c r="CV871" s="240"/>
      <c r="CW871" s="240"/>
      <c r="CX871" s="240"/>
      <c r="CY871" s="240"/>
      <c r="CZ871" s="241"/>
      <c r="DA871" s="241"/>
      <c r="DB871" s="241"/>
      <c r="DC871" s="241"/>
      <c r="DD871" s="241"/>
      <c r="DE871" s="241"/>
      <c r="DF871" s="241"/>
      <c r="DG871" s="241"/>
      <c r="DH871" s="241"/>
      <c r="DI871" s="241"/>
      <c r="DJ871" s="241"/>
      <c r="DK871" s="241"/>
      <c r="DL871" s="241"/>
      <c r="DM871" s="241"/>
      <c r="DN871" s="241"/>
      <c r="DO871" s="241"/>
      <c r="DP871" s="241"/>
      <c r="DQ871" s="241"/>
      <c r="DR871" s="241"/>
      <c r="DS871" s="241"/>
      <c r="DT871" s="241"/>
      <c r="DU871" s="241"/>
      <c r="DV871" s="241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345"/>
      <c r="EM871" s="245" t="e">
        <f>EN871+EO871+EP871</f>
        <v>#REF!</v>
      </c>
      <c r="EN871" s="245" t="e">
        <f>TEXT(AL868,"#,###.0")</f>
        <v>#REF!</v>
      </c>
      <c r="EO871" s="245" t="e">
        <f>TEXT(AL869,"#,###.0")</f>
        <v>#REF!</v>
      </c>
      <c r="EP871" s="245" t="e">
        <f>TEXT(AL870,"#,###.0")</f>
        <v>#REF!</v>
      </c>
      <c r="EQ871" s="254"/>
      <c r="ER871" s="240"/>
      <c r="ES871" s="240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193"/>
    </row>
    <row r="872" spans="2:189" s="243" customFormat="1" ht="11.45" hidden="1" customHeight="1">
      <c r="B872" s="343"/>
      <c r="C872" s="240"/>
      <c r="D872" s="240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  <c r="AA872" s="240"/>
      <c r="AB872" s="240"/>
      <c r="AC872" s="240"/>
      <c r="AD872" s="240"/>
      <c r="AE872" s="240"/>
      <c r="AF872" s="240"/>
      <c r="AG872" s="240"/>
      <c r="AH872" s="240"/>
      <c r="AI872" s="240"/>
      <c r="AJ872" s="240"/>
      <c r="AK872" s="240"/>
      <c r="AL872" s="240"/>
      <c r="AM872" s="240"/>
      <c r="AN872" s="240"/>
      <c r="AO872" s="240"/>
      <c r="AP872" s="240"/>
      <c r="AQ872" s="240"/>
      <c r="AR872" s="240"/>
      <c r="AS872" s="240"/>
      <c r="AT872" s="240"/>
      <c r="AU872" s="240"/>
      <c r="AV872" s="240"/>
      <c r="AW872" s="240"/>
      <c r="AX872" s="240"/>
      <c r="AY872" s="240"/>
      <c r="AZ872" s="240"/>
      <c r="BA872" s="240"/>
      <c r="BB872" s="240"/>
      <c r="BC872" s="240"/>
      <c r="BD872" s="240"/>
      <c r="BE872" s="240"/>
      <c r="BF872" s="240"/>
      <c r="BG872" s="240"/>
      <c r="BH872" s="240"/>
      <c r="BI872" s="240"/>
      <c r="BJ872" s="240"/>
      <c r="BK872" s="240"/>
      <c r="BL872" s="240"/>
      <c r="BM872" s="240"/>
      <c r="BN872" s="240"/>
      <c r="BO872" s="240"/>
      <c r="BP872" s="240"/>
      <c r="BQ872" s="240"/>
      <c r="BR872" s="240"/>
      <c r="BS872" s="240"/>
      <c r="BT872" s="240"/>
      <c r="BU872" s="240"/>
      <c r="BV872" s="240"/>
      <c r="BW872" s="240"/>
      <c r="BX872" s="240"/>
      <c r="BY872" s="240"/>
      <c r="BZ872" s="240"/>
      <c r="CA872" s="240"/>
      <c r="CB872" s="240"/>
      <c r="CC872" s="240"/>
      <c r="CD872" s="240"/>
      <c r="CE872" s="240"/>
      <c r="CF872" s="240"/>
      <c r="CG872" s="240"/>
      <c r="CH872" s="240"/>
      <c r="CI872" s="240"/>
      <c r="CJ872" s="240"/>
      <c r="CK872" s="240"/>
      <c r="CL872" s="240"/>
      <c r="CM872" s="240"/>
      <c r="CN872" s="240"/>
      <c r="CO872" s="240"/>
      <c r="CP872" s="240"/>
      <c r="CQ872" s="240"/>
      <c r="CR872" s="240"/>
      <c r="CS872" s="240"/>
      <c r="CT872" s="240"/>
      <c r="CU872" s="240"/>
      <c r="CV872" s="240"/>
      <c r="CW872" s="240"/>
      <c r="CX872" s="240"/>
      <c r="CY872" s="240"/>
      <c r="CZ872" s="241"/>
      <c r="DA872" s="241"/>
      <c r="DB872" s="241"/>
      <c r="DC872" s="241"/>
      <c r="DD872" s="241"/>
      <c r="DE872" s="241"/>
      <c r="DF872" s="241"/>
      <c r="DG872" s="241"/>
      <c r="DH872" s="241"/>
      <c r="DI872" s="241"/>
      <c r="DJ872" s="241"/>
      <c r="DK872" s="241"/>
      <c r="DL872" s="241"/>
      <c r="DM872" s="241"/>
      <c r="DN872" s="241"/>
      <c r="DO872" s="241"/>
      <c r="DP872" s="241"/>
      <c r="DQ872" s="241"/>
      <c r="DR872" s="241"/>
      <c r="DS872" s="241"/>
      <c r="DT872" s="241"/>
      <c r="DU872" s="241"/>
      <c r="DV872" s="241"/>
      <c r="DW872" s="241"/>
      <c r="DX872" s="241"/>
      <c r="DY872" s="241"/>
      <c r="DZ872" s="241"/>
      <c r="EA872" s="241"/>
      <c r="EB872" s="241"/>
      <c r="EC872" s="241"/>
      <c r="ED872" s="241"/>
      <c r="EE872" s="241"/>
      <c r="EF872" s="241"/>
      <c r="EG872" s="241"/>
      <c r="EH872" s="241"/>
      <c r="EI872" s="241"/>
      <c r="EJ872" s="241"/>
      <c r="EK872" s="241"/>
      <c r="EL872" s="345"/>
      <c r="EM872" s="245"/>
      <c r="EN872" s="245"/>
      <c r="EO872" s="245"/>
      <c r="EP872" s="245"/>
      <c r="EQ872" s="254"/>
      <c r="ER872" s="240"/>
      <c r="ES872" s="240"/>
      <c r="ET872" s="241"/>
      <c r="EU872" s="241"/>
      <c r="EV872" s="241"/>
      <c r="EW872" s="241"/>
      <c r="EX872" s="241"/>
      <c r="EY872" s="241"/>
      <c r="EZ872" s="241"/>
      <c r="FA872" s="241"/>
      <c r="FB872" s="241"/>
      <c r="FC872" s="241"/>
      <c r="FD872" s="241"/>
      <c r="FE872" s="241"/>
      <c r="FF872" s="241"/>
      <c r="FG872" s="241"/>
      <c r="FH872" s="241"/>
      <c r="FI872" s="241"/>
      <c r="FJ872" s="241"/>
      <c r="FK872" s="241"/>
      <c r="FL872" s="241"/>
      <c r="FM872" s="241"/>
      <c r="FN872" s="241"/>
      <c r="FO872" s="241"/>
      <c r="FP872" s="241"/>
      <c r="FQ872" s="241"/>
      <c r="FR872" s="241"/>
      <c r="FS872" s="241"/>
      <c r="FT872" s="241"/>
      <c r="FU872" s="241"/>
      <c r="FV872" s="241"/>
      <c r="FW872" s="241"/>
      <c r="FX872" s="241"/>
      <c r="FY872" s="241"/>
      <c r="FZ872" s="241"/>
      <c r="GA872" s="241"/>
      <c r="GB872" s="241"/>
      <c r="GC872" s="241"/>
      <c r="GD872" s="241"/>
      <c r="GE872" s="241"/>
      <c r="GF872" s="241"/>
      <c r="GG872" s="193"/>
    </row>
    <row r="873" spans="2:189" s="243" customFormat="1" ht="11.45" hidden="1" customHeight="1">
      <c r="B873" s="343"/>
      <c r="C873" s="240"/>
      <c r="D873" s="240"/>
      <c r="E873" s="240"/>
      <c r="F873" s="240" t="s">
        <v>690</v>
      </c>
      <c r="G873" s="240"/>
      <c r="H873" s="240" t="s">
        <v>686</v>
      </c>
      <c r="I873" s="240"/>
      <c r="J873" s="240" t="s">
        <v>688</v>
      </c>
      <c r="K873" s="240"/>
      <c r="L873" s="240"/>
      <c r="M873" s="240"/>
      <c r="N873" s="240" t="s">
        <v>96</v>
      </c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0"/>
      <c r="AO873" s="240"/>
      <c r="AP873" s="240"/>
      <c r="AQ873" s="240"/>
      <c r="AR873" s="240"/>
      <c r="AS873" s="240"/>
      <c r="AT873" s="240"/>
      <c r="AU873" s="240"/>
      <c r="AV873" s="240"/>
      <c r="AW873" s="240"/>
      <c r="AX873" s="240"/>
      <c r="AY873" s="240"/>
      <c r="AZ873" s="240"/>
      <c r="BA873" s="240"/>
      <c r="BB873" s="240"/>
      <c r="BC873" s="240"/>
      <c r="BD873" s="240"/>
      <c r="BE873" s="240"/>
      <c r="BF873" s="240"/>
      <c r="BG873" s="240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240"/>
      <c r="BT873" s="240"/>
      <c r="BU873" s="240"/>
      <c r="BV873" s="240"/>
      <c r="BW873" s="240"/>
      <c r="BX873" s="240"/>
      <c r="BY873" s="240"/>
      <c r="BZ873" s="240"/>
      <c r="CA873" s="240"/>
      <c r="CB873" s="240"/>
      <c r="CC873" s="240"/>
      <c r="CD873" s="240"/>
      <c r="CE873" s="240"/>
      <c r="CF873" s="240"/>
      <c r="CG873" s="240"/>
      <c r="CH873" s="240"/>
      <c r="CI873" s="240"/>
      <c r="CJ873" s="240"/>
      <c r="CK873" s="240"/>
      <c r="CL873" s="240"/>
      <c r="CM873" s="240"/>
      <c r="CN873" s="240"/>
      <c r="CO873" s="240"/>
      <c r="CP873" s="240"/>
      <c r="CQ873" s="240"/>
      <c r="CR873" s="240"/>
      <c r="CS873" s="240"/>
      <c r="CT873" s="240"/>
      <c r="CU873" s="240"/>
      <c r="CV873" s="240"/>
      <c r="CW873" s="240"/>
      <c r="CX873" s="240"/>
      <c r="CY873" s="240"/>
      <c r="CZ873" s="241"/>
      <c r="DA873" s="241"/>
      <c r="DB873" s="241"/>
      <c r="DC873" s="241"/>
      <c r="DD873" s="241"/>
      <c r="DE873" s="241"/>
      <c r="DF873" s="241"/>
      <c r="DG873" s="241"/>
      <c r="DH873" s="241"/>
      <c r="DI873" s="241"/>
      <c r="DJ873" s="241"/>
      <c r="DK873" s="241"/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1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345"/>
      <c r="EM873" s="245"/>
      <c r="EN873" s="245"/>
      <c r="EO873" s="245"/>
      <c r="EP873" s="245"/>
      <c r="EQ873" s="254"/>
      <c r="ER873" s="240"/>
      <c r="ES873" s="240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193"/>
    </row>
    <row r="874" spans="2:189" s="243" customFormat="1" ht="11.45" hidden="1" customHeight="1">
      <c r="B874" s="343"/>
      <c r="C874" s="240"/>
      <c r="D874" s="240"/>
      <c r="E874" s="240"/>
      <c r="F874" s="240"/>
      <c r="G874" s="240"/>
      <c r="H874" s="240"/>
      <c r="I874" s="240" t="s">
        <v>616</v>
      </c>
      <c r="J874" s="240"/>
      <c r="K874" s="240"/>
      <c r="L874" s="240"/>
      <c r="M874" s="240"/>
      <c r="N874" s="240"/>
      <c r="O874" s="240"/>
      <c r="P874" s="240" t="s">
        <v>132</v>
      </c>
      <c r="Q874" s="240"/>
      <c r="R874" s="240" t="e">
        <f>TEXT(EN865,"#,###.##")</f>
        <v>#REF!</v>
      </c>
      <c r="S874" s="240"/>
      <c r="T874" s="240"/>
      <c r="U874" s="240"/>
      <c r="V874" s="240"/>
      <c r="W874" s="240" t="s">
        <v>130</v>
      </c>
      <c r="X874" s="240"/>
      <c r="Y874" s="240" t="e">
        <f>TEXT(EN871,"#,###.##")</f>
        <v>#REF!</v>
      </c>
      <c r="Z874" s="240"/>
      <c r="AA874" s="240"/>
      <c r="AB874" s="240"/>
      <c r="AC874" s="240"/>
      <c r="AD874" s="240" t="s">
        <v>134</v>
      </c>
      <c r="AE874" s="240"/>
      <c r="AF874" s="240"/>
      <c r="AG874" s="240" t="e">
        <f>TEXT(TRUNC(EN865+EN871,1),"#,##0.#")</f>
        <v>#REF!</v>
      </c>
      <c r="AH874" s="240"/>
      <c r="AJ874" s="240"/>
      <c r="AL874" s="240"/>
      <c r="AM874" s="240"/>
      <c r="AN874" s="240"/>
      <c r="AO874" s="240"/>
      <c r="AP874" s="240"/>
      <c r="AQ874" s="240"/>
      <c r="AR874" s="240"/>
      <c r="AS874" s="240"/>
      <c r="AT874" s="240"/>
      <c r="AU874" s="240"/>
      <c r="AV874" s="240"/>
      <c r="AW874" s="240"/>
      <c r="AX874" s="240"/>
      <c r="AY874" s="240"/>
      <c r="AZ874" s="240"/>
      <c r="BA874" s="240"/>
      <c r="BB874" s="240"/>
      <c r="BC874" s="240"/>
      <c r="BD874" s="240"/>
      <c r="BE874" s="240"/>
      <c r="BF874" s="240"/>
      <c r="BG874" s="240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240"/>
      <c r="BT874" s="240"/>
      <c r="BU874" s="240"/>
      <c r="BV874" s="240"/>
      <c r="BW874" s="240"/>
      <c r="BX874" s="240"/>
      <c r="BY874" s="240"/>
      <c r="BZ874" s="240"/>
      <c r="CA874" s="240"/>
      <c r="CB874" s="240"/>
      <c r="CC874" s="240"/>
      <c r="CD874" s="240"/>
      <c r="CE874" s="240"/>
      <c r="CF874" s="240"/>
      <c r="CG874" s="240"/>
      <c r="CH874" s="240"/>
      <c r="CI874" s="240"/>
      <c r="CJ874" s="240"/>
      <c r="CK874" s="240"/>
      <c r="CL874" s="240"/>
      <c r="CM874" s="240"/>
      <c r="CN874" s="240"/>
      <c r="CO874" s="240"/>
      <c r="CP874" s="240"/>
      <c r="CQ874" s="240"/>
      <c r="CR874" s="240"/>
      <c r="CS874" s="240"/>
      <c r="CT874" s="240"/>
      <c r="CU874" s="240"/>
      <c r="CV874" s="240"/>
      <c r="CW874" s="240"/>
      <c r="CX874" s="240"/>
      <c r="CY874" s="240"/>
      <c r="CZ874" s="241"/>
      <c r="DA874" s="241"/>
      <c r="DB874" s="241"/>
      <c r="DC874" s="241"/>
      <c r="DD874" s="241"/>
      <c r="DE874" s="241"/>
      <c r="DF874" s="241"/>
      <c r="DG874" s="241"/>
      <c r="DH874" s="241"/>
      <c r="DI874" s="241"/>
      <c r="DJ874" s="241"/>
      <c r="DK874" s="241"/>
      <c r="DL874" s="241"/>
      <c r="DM874" s="241"/>
      <c r="DN874" s="241"/>
      <c r="DO874" s="241"/>
      <c r="DP874" s="241"/>
      <c r="DQ874" s="241"/>
      <c r="DR874" s="241"/>
      <c r="DS874" s="241"/>
      <c r="DT874" s="241"/>
      <c r="DU874" s="241"/>
      <c r="DV874" s="241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345"/>
      <c r="EM874" s="245"/>
      <c r="EN874" s="245"/>
      <c r="EO874" s="245"/>
      <c r="EP874" s="245"/>
      <c r="EQ874" s="254"/>
      <c r="ER874" s="240"/>
      <c r="ES874" s="240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193"/>
    </row>
    <row r="875" spans="2:189" s="243" customFormat="1" ht="11.45" hidden="1" customHeight="1">
      <c r="B875" s="343"/>
      <c r="C875" s="240"/>
      <c r="D875" s="240"/>
      <c r="E875" s="240"/>
      <c r="F875" s="240"/>
      <c r="G875" s="240"/>
      <c r="H875" s="240"/>
      <c r="I875" s="240" t="s">
        <v>617</v>
      </c>
      <c r="J875" s="240"/>
      <c r="K875" s="240"/>
      <c r="L875" s="240"/>
      <c r="M875" s="240"/>
      <c r="N875" s="240"/>
      <c r="O875" s="240"/>
      <c r="P875" s="240" t="s">
        <v>132</v>
      </c>
      <c r="Q875" s="240"/>
      <c r="R875" s="240" t="e">
        <f>TEXT(EO865,"#,###.##")</f>
        <v>#REF!</v>
      </c>
      <c r="S875" s="240"/>
      <c r="T875" s="240"/>
      <c r="U875" s="240"/>
      <c r="V875" s="240"/>
      <c r="W875" s="240" t="s">
        <v>130</v>
      </c>
      <c r="X875" s="240"/>
      <c r="Y875" s="240" t="e">
        <f>TEXT(EO871,"#,###.##")</f>
        <v>#REF!</v>
      </c>
      <c r="Z875" s="240"/>
      <c r="AA875" s="240"/>
      <c r="AB875" s="240"/>
      <c r="AC875" s="240"/>
      <c r="AD875" s="240" t="s">
        <v>134</v>
      </c>
      <c r="AE875" s="240"/>
      <c r="AF875" s="240"/>
      <c r="AG875" s="240" t="e">
        <f>TEXT(TRUNC(EO865+EO871,1),"#,##0.#")</f>
        <v>#REF!</v>
      </c>
      <c r="AH875" s="240"/>
      <c r="AI875" s="240"/>
      <c r="AJ875" s="240"/>
      <c r="AK875" s="240"/>
      <c r="AL875" s="240"/>
      <c r="AM875" s="240"/>
      <c r="AN875" s="240"/>
      <c r="AO875" s="240"/>
      <c r="AP875" s="240"/>
      <c r="AQ875" s="240"/>
      <c r="AR875" s="240"/>
      <c r="AS875" s="240"/>
      <c r="AT875" s="240"/>
      <c r="AU875" s="240"/>
      <c r="AV875" s="240"/>
      <c r="AW875" s="240"/>
      <c r="AX875" s="240"/>
      <c r="AY875" s="240"/>
      <c r="AZ875" s="240"/>
      <c r="BA875" s="240"/>
      <c r="BB875" s="240"/>
      <c r="BC875" s="240"/>
      <c r="BD875" s="240"/>
      <c r="BE875" s="240"/>
      <c r="BF875" s="240"/>
      <c r="BG875" s="240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240"/>
      <c r="BT875" s="240"/>
      <c r="BU875" s="240"/>
      <c r="BV875" s="240"/>
      <c r="BW875" s="240"/>
      <c r="BX875" s="240"/>
      <c r="BY875" s="240"/>
      <c r="BZ875" s="240"/>
      <c r="CA875" s="240"/>
      <c r="CB875" s="240"/>
      <c r="CC875" s="240"/>
      <c r="CD875" s="240"/>
      <c r="CE875" s="240"/>
      <c r="CF875" s="240"/>
      <c r="CG875" s="240"/>
      <c r="CH875" s="240"/>
      <c r="CI875" s="240"/>
      <c r="CJ875" s="240"/>
      <c r="CK875" s="240"/>
      <c r="CL875" s="240"/>
      <c r="CM875" s="240"/>
      <c r="CN875" s="240"/>
      <c r="CO875" s="240"/>
      <c r="CP875" s="240"/>
      <c r="CQ875" s="240"/>
      <c r="CR875" s="240"/>
      <c r="CS875" s="240"/>
      <c r="CT875" s="240"/>
      <c r="CU875" s="240"/>
      <c r="CV875" s="240"/>
      <c r="CW875" s="240"/>
      <c r="CX875" s="240"/>
      <c r="CY875" s="240"/>
      <c r="CZ875" s="241"/>
      <c r="DA875" s="241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1"/>
      <c r="DL875" s="241"/>
      <c r="DM875" s="241"/>
      <c r="DN875" s="241"/>
      <c r="DO875" s="241"/>
      <c r="DP875" s="241"/>
      <c r="DQ875" s="241"/>
      <c r="DR875" s="241"/>
      <c r="DS875" s="241"/>
      <c r="DT875" s="241"/>
      <c r="DU875" s="241"/>
      <c r="DV875" s="241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345"/>
      <c r="EM875" s="245"/>
      <c r="EN875" s="245"/>
      <c r="EO875" s="245"/>
      <c r="EP875" s="245"/>
      <c r="EQ875" s="254"/>
      <c r="ER875" s="240"/>
      <c r="ES875" s="240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193"/>
    </row>
    <row r="876" spans="2:189" s="243" customFormat="1" ht="11.45" hidden="1" customHeight="1">
      <c r="B876" s="343"/>
      <c r="C876" s="240"/>
      <c r="D876" s="240"/>
      <c r="E876" s="240"/>
      <c r="F876" s="240"/>
      <c r="G876" s="240"/>
      <c r="H876" s="240"/>
      <c r="I876" s="240" t="s">
        <v>679</v>
      </c>
      <c r="J876" s="240"/>
      <c r="K876" s="240" t="s">
        <v>680</v>
      </c>
      <c r="L876" s="240"/>
      <c r="M876" s="240"/>
      <c r="N876" s="240"/>
      <c r="O876" s="240"/>
      <c r="P876" s="240" t="s">
        <v>132</v>
      </c>
      <c r="Q876" s="240"/>
      <c r="R876" s="240" t="e">
        <f>TEXT(EP865,"#,###.##")</f>
        <v>#REF!</v>
      </c>
      <c r="S876" s="240"/>
      <c r="T876" s="240"/>
      <c r="U876" s="240"/>
      <c r="V876" s="240"/>
      <c r="W876" s="240" t="s">
        <v>130</v>
      </c>
      <c r="X876" s="240"/>
      <c r="Y876" s="240" t="e">
        <f>TEXT(EP871,"#,###.##")</f>
        <v>#REF!</v>
      </c>
      <c r="Z876" s="240"/>
      <c r="AA876" s="240"/>
      <c r="AB876" s="240"/>
      <c r="AC876" s="240"/>
      <c r="AD876" s="240" t="s">
        <v>134</v>
      </c>
      <c r="AE876" s="240"/>
      <c r="AF876" s="240"/>
      <c r="AG876" s="240" t="e">
        <f>TEXT(TRUNC(EP865+EP871,1),"#,##0.#")</f>
        <v>#REF!</v>
      </c>
      <c r="AH876" s="240"/>
      <c r="AI876" s="240"/>
      <c r="AJ876" s="240"/>
      <c r="AK876" s="240"/>
      <c r="AL876" s="240"/>
      <c r="AM876" s="240"/>
      <c r="AN876" s="240"/>
      <c r="AO876" s="240"/>
      <c r="AP876" s="240"/>
      <c r="AQ876" s="240"/>
      <c r="AR876" s="240"/>
      <c r="AS876" s="240"/>
      <c r="AT876" s="240"/>
      <c r="AU876" s="240"/>
      <c r="AV876" s="240"/>
      <c r="AW876" s="240"/>
      <c r="AX876" s="240"/>
      <c r="AY876" s="240"/>
      <c r="AZ876" s="240"/>
      <c r="BA876" s="240"/>
      <c r="BB876" s="240"/>
      <c r="BC876" s="240"/>
      <c r="BD876" s="240"/>
      <c r="BE876" s="240"/>
      <c r="BF876" s="240"/>
      <c r="BG876" s="240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240"/>
      <c r="BT876" s="240"/>
      <c r="BU876" s="240"/>
      <c r="BV876" s="240"/>
      <c r="BW876" s="240"/>
      <c r="BX876" s="240"/>
      <c r="BY876" s="240"/>
      <c r="BZ876" s="240"/>
      <c r="CA876" s="240"/>
      <c r="CB876" s="240"/>
      <c r="CC876" s="240"/>
      <c r="CD876" s="240"/>
      <c r="CE876" s="240"/>
      <c r="CF876" s="240"/>
      <c r="CG876" s="240"/>
      <c r="CH876" s="240"/>
      <c r="CI876" s="240"/>
      <c r="CJ876" s="240"/>
      <c r="CK876" s="240"/>
      <c r="CL876" s="240"/>
      <c r="CM876" s="240"/>
      <c r="CN876" s="240"/>
      <c r="CO876" s="240"/>
      <c r="CP876" s="240"/>
      <c r="CQ876" s="240"/>
      <c r="CR876" s="240"/>
      <c r="CS876" s="240"/>
      <c r="CT876" s="240"/>
      <c r="CU876" s="240"/>
      <c r="CV876" s="240"/>
      <c r="CW876" s="240"/>
      <c r="CX876" s="240"/>
      <c r="CY876" s="240"/>
      <c r="CZ876" s="241"/>
      <c r="DA876" s="241"/>
      <c r="DB876" s="241"/>
      <c r="DC876" s="241"/>
      <c r="DD876" s="241"/>
      <c r="DE876" s="241"/>
      <c r="DF876" s="241"/>
      <c r="DG876" s="241"/>
      <c r="DH876" s="241"/>
      <c r="DI876" s="241"/>
      <c r="DJ876" s="241"/>
      <c r="DK876" s="241"/>
      <c r="DL876" s="241"/>
      <c r="DM876" s="241"/>
      <c r="DN876" s="241"/>
      <c r="DO876" s="241"/>
      <c r="DP876" s="241"/>
      <c r="DQ876" s="241"/>
      <c r="DR876" s="241"/>
      <c r="DS876" s="241"/>
      <c r="DT876" s="241"/>
      <c r="DU876" s="241"/>
      <c r="DV876" s="241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345"/>
      <c r="EM876" s="245"/>
      <c r="EN876" s="245"/>
      <c r="EO876" s="245"/>
      <c r="EP876" s="245"/>
      <c r="EQ876" s="254"/>
      <c r="ER876" s="240"/>
      <c r="ES876" s="240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193"/>
    </row>
    <row r="877" spans="2:189" s="243" customFormat="1" ht="11.45" hidden="1" customHeight="1">
      <c r="B877" s="343"/>
      <c r="C877" s="240"/>
      <c r="D877" s="240"/>
      <c r="E877" s="240"/>
      <c r="F877" s="240"/>
      <c r="G877" s="240"/>
      <c r="H877" s="240"/>
      <c r="I877" s="240"/>
      <c r="J877" s="240"/>
      <c r="K877" s="240" t="s">
        <v>96</v>
      </c>
      <c r="L877" s="240"/>
      <c r="M877" s="240"/>
      <c r="N877" s="240"/>
      <c r="O877" s="240"/>
      <c r="P877" s="240" t="s">
        <v>132</v>
      </c>
      <c r="Q877" s="240"/>
      <c r="R877" s="240" t="e">
        <f>TEXT(AG874+AG875+AG876,"#,##0.#######")</f>
        <v>#REF!</v>
      </c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0"/>
      <c r="AO877" s="240"/>
      <c r="AP877" s="240"/>
      <c r="AQ877" s="240"/>
      <c r="AR877" s="240"/>
      <c r="AS877" s="240"/>
      <c r="AT877" s="240"/>
      <c r="AU877" s="240"/>
      <c r="AV877" s="240"/>
      <c r="AW877" s="240"/>
      <c r="AX877" s="240"/>
      <c r="AY877" s="240"/>
      <c r="AZ877" s="240"/>
      <c r="BA877" s="240"/>
      <c r="BB877" s="240"/>
      <c r="BC877" s="240"/>
      <c r="BD877" s="240"/>
      <c r="BE877" s="240"/>
      <c r="BF877" s="240"/>
      <c r="BG877" s="240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240"/>
      <c r="BT877" s="240"/>
      <c r="BU877" s="240"/>
      <c r="BV877" s="240"/>
      <c r="BW877" s="240"/>
      <c r="BX877" s="240"/>
      <c r="BY877" s="240"/>
      <c r="BZ877" s="240"/>
      <c r="CA877" s="240"/>
      <c r="CB877" s="240"/>
      <c r="CC877" s="240"/>
      <c r="CD877" s="240"/>
      <c r="CE877" s="240"/>
      <c r="CF877" s="240"/>
      <c r="CG877" s="240"/>
      <c r="CH877" s="240"/>
      <c r="CI877" s="240"/>
      <c r="CJ877" s="240"/>
      <c r="CK877" s="240"/>
      <c r="CL877" s="240"/>
      <c r="CM877" s="240"/>
      <c r="CN877" s="240"/>
      <c r="CO877" s="240"/>
      <c r="CP877" s="240"/>
      <c r="CQ877" s="240"/>
      <c r="CR877" s="240"/>
      <c r="CS877" s="240"/>
      <c r="CT877" s="240"/>
      <c r="CU877" s="240"/>
      <c r="CV877" s="240"/>
      <c r="CW877" s="240"/>
      <c r="CX877" s="240"/>
      <c r="CY877" s="240"/>
      <c r="CZ877" s="241"/>
      <c r="DA877" s="241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1"/>
      <c r="DL877" s="241"/>
      <c r="DM877" s="241"/>
      <c r="DN877" s="241"/>
      <c r="DO877" s="241"/>
      <c r="DP877" s="241"/>
      <c r="DQ877" s="241"/>
      <c r="DR877" s="241"/>
      <c r="DS877" s="241"/>
      <c r="DT877" s="241"/>
      <c r="DU877" s="241"/>
      <c r="DV877" s="241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345"/>
      <c r="EM877" s="245" t="e">
        <f>EN877+EO877+EP877</f>
        <v>#REF!</v>
      </c>
      <c r="EN877" s="245" t="e">
        <f>TEXT(AG874,"#,###.0")</f>
        <v>#REF!</v>
      </c>
      <c r="EO877" s="245" t="e">
        <f>TEXT(AG875,"#,###.0")</f>
        <v>#REF!</v>
      </c>
      <c r="EP877" s="245" t="e">
        <f>TEXT(AG876,"#,###.0")</f>
        <v>#REF!</v>
      </c>
      <c r="EQ877" s="254"/>
      <c r="ER877" s="240"/>
      <c r="ES877" s="240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193"/>
    </row>
    <row r="878" spans="2:189" s="243" customFormat="1" ht="11.45" hidden="1" customHeight="1">
      <c r="B878" s="343"/>
      <c r="C878" s="240"/>
      <c r="D878" s="240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  <c r="AA878" s="240"/>
      <c r="AB878" s="240"/>
      <c r="AC878" s="240"/>
      <c r="AD878" s="240"/>
      <c r="AE878" s="240"/>
      <c r="AF878" s="240"/>
      <c r="AG878" s="240"/>
      <c r="AH878" s="240"/>
      <c r="AI878" s="240"/>
      <c r="AJ878" s="240"/>
      <c r="AK878" s="240"/>
      <c r="AL878" s="240"/>
      <c r="AM878" s="240"/>
      <c r="AN878" s="240"/>
      <c r="AO878" s="240"/>
      <c r="AP878" s="240"/>
      <c r="AQ878" s="240"/>
      <c r="AR878" s="240"/>
      <c r="AS878" s="240"/>
      <c r="AT878" s="240"/>
      <c r="AU878" s="240"/>
      <c r="AV878" s="240"/>
      <c r="AW878" s="240"/>
      <c r="AX878" s="240"/>
      <c r="AY878" s="240"/>
      <c r="AZ878" s="240"/>
      <c r="BA878" s="240"/>
      <c r="BB878" s="240"/>
      <c r="BC878" s="240"/>
      <c r="BD878" s="240"/>
      <c r="BE878" s="240"/>
      <c r="BF878" s="240"/>
      <c r="BG878" s="240"/>
      <c r="BH878" s="240"/>
      <c r="BI878" s="240"/>
      <c r="BJ878" s="240"/>
      <c r="BK878" s="240"/>
      <c r="BL878" s="240"/>
      <c r="BM878" s="240"/>
      <c r="BN878" s="240"/>
      <c r="BO878" s="240"/>
      <c r="BP878" s="240"/>
      <c r="BQ878" s="240"/>
      <c r="BR878" s="240"/>
      <c r="BS878" s="240"/>
      <c r="BT878" s="240"/>
      <c r="BU878" s="240"/>
      <c r="BV878" s="240"/>
      <c r="BW878" s="240"/>
      <c r="BX878" s="240"/>
      <c r="BY878" s="240"/>
      <c r="BZ878" s="240"/>
      <c r="CA878" s="240"/>
      <c r="CB878" s="240"/>
      <c r="CC878" s="240"/>
      <c r="CD878" s="240"/>
      <c r="CE878" s="240"/>
      <c r="CF878" s="240"/>
      <c r="CG878" s="240"/>
      <c r="CH878" s="240"/>
      <c r="CI878" s="240"/>
      <c r="CJ878" s="240"/>
      <c r="CK878" s="240"/>
      <c r="CL878" s="240"/>
      <c r="CM878" s="240"/>
      <c r="CN878" s="240"/>
      <c r="CO878" s="240"/>
      <c r="CP878" s="240"/>
      <c r="CQ878" s="240"/>
      <c r="CR878" s="240"/>
      <c r="CS878" s="240"/>
      <c r="CT878" s="240"/>
      <c r="CU878" s="240"/>
      <c r="CV878" s="240"/>
      <c r="CW878" s="240"/>
      <c r="CX878" s="240"/>
      <c r="CY878" s="240"/>
      <c r="CZ878" s="241"/>
      <c r="DA878" s="241"/>
      <c r="DB878" s="241"/>
      <c r="DC878" s="241"/>
      <c r="DD878" s="241"/>
      <c r="DE878" s="241"/>
      <c r="DF878" s="241"/>
      <c r="DG878" s="241"/>
      <c r="DH878" s="241"/>
      <c r="DI878" s="241"/>
      <c r="DJ878" s="241"/>
      <c r="DK878" s="241"/>
      <c r="DL878" s="241"/>
      <c r="DM878" s="241"/>
      <c r="DN878" s="241"/>
      <c r="DO878" s="241"/>
      <c r="DP878" s="241"/>
      <c r="DQ878" s="241"/>
      <c r="DR878" s="241"/>
      <c r="DS878" s="241"/>
      <c r="DT878" s="241"/>
      <c r="DU878" s="241"/>
      <c r="DV878" s="241"/>
      <c r="DW878" s="241"/>
      <c r="DX878" s="241"/>
      <c r="DY878" s="241"/>
      <c r="DZ878" s="241"/>
      <c r="EA878" s="241"/>
      <c r="EB878" s="241"/>
      <c r="EC878" s="241"/>
      <c r="ED878" s="241"/>
      <c r="EE878" s="241"/>
      <c r="EF878" s="241"/>
      <c r="EG878" s="241"/>
      <c r="EH878" s="241"/>
      <c r="EI878" s="241"/>
      <c r="EJ878" s="241"/>
      <c r="EK878" s="241"/>
      <c r="EL878" s="345"/>
      <c r="EM878" s="245"/>
      <c r="EN878" s="245"/>
      <c r="EO878" s="245"/>
      <c r="EP878" s="245"/>
      <c r="EQ878" s="254"/>
      <c r="ER878" s="240"/>
      <c r="ES878" s="240"/>
      <c r="ET878" s="241"/>
      <c r="EU878" s="241"/>
      <c r="EV878" s="241"/>
      <c r="EW878" s="241"/>
      <c r="EX878" s="241"/>
      <c r="EY878" s="241"/>
      <c r="EZ878" s="241"/>
      <c r="FA878" s="241"/>
      <c r="FB878" s="241"/>
      <c r="FC878" s="241"/>
      <c r="FD878" s="241"/>
      <c r="FE878" s="241"/>
      <c r="FF878" s="241"/>
      <c r="FG878" s="241"/>
      <c r="FH878" s="241"/>
      <c r="FI878" s="241"/>
      <c r="FJ878" s="241"/>
      <c r="FK878" s="241"/>
      <c r="FL878" s="241"/>
      <c r="FM878" s="241"/>
      <c r="FN878" s="241"/>
      <c r="FO878" s="241"/>
      <c r="FP878" s="241"/>
      <c r="FQ878" s="241"/>
      <c r="FR878" s="241"/>
      <c r="FS878" s="241"/>
      <c r="FT878" s="241"/>
      <c r="FU878" s="241"/>
      <c r="FV878" s="241"/>
      <c r="FW878" s="241"/>
      <c r="FX878" s="241"/>
      <c r="FY878" s="241"/>
      <c r="FZ878" s="241"/>
      <c r="GA878" s="241"/>
      <c r="GB878" s="241"/>
      <c r="GC878" s="241"/>
      <c r="GD878" s="241"/>
      <c r="GE878" s="241"/>
      <c r="GF878" s="241"/>
      <c r="GG878" s="193"/>
    </row>
    <row r="879" spans="2:189" s="243" customFormat="1" ht="11.45" hidden="1" customHeight="1">
      <c r="B879" s="343"/>
      <c r="C879" s="240"/>
      <c r="D879" s="240"/>
      <c r="E879" s="240" t="s">
        <v>696</v>
      </c>
      <c r="F879" s="240"/>
      <c r="G879" s="240"/>
      <c r="H879" s="240" t="s">
        <v>678</v>
      </c>
      <c r="I879" s="240"/>
      <c r="J879" s="240"/>
      <c r="K879" s="240"/>
      <c r="L879" s="240" t="s">
        <v>96</v>
      </c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0"/>
      <c r="AO879" s="240"/>
      <c r="AP879" s="240"/>
      <c r="AQ879" s="240"/>
      <c r="AR879" s="240"/>
      <c r="AS879" s="240"/>
      <c r="AT879" s="240"/>
      <c r="AU879" s="240"/>
      <c r="AV879" s="240"/>
      <c r="AW879" s="240"/>
      <c r="AX879" s="240"/>
      <c r="AY879" s="240"/>
      <c r="AZ879" s="240"/>
      <c r="BA879" s="240"/>
      <c r="BB879" s="240"/>
      <c r="BC879" s="240"/>
      <c r="BD879" s="240"/>
      <c r="BE879" s="240"/>
      <c r="BF879" s="240"/>
      <c r="BG879" s="240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240"/>
      <c r="BT879" s="240"/>
      <c r="BU879" s="240"/>
      <c r="BV879" s="240"/>
      <c r="BW879" s="240"/>
      <c r="BX879" s="240"/>
      <c r="BY879" s="240"/>
      <c r="BZ879" s="240"/>
      <c r="CA879" s="240"/>
      <c r="CB879" s="240"/>
      <c r="CC879" s="240"/>
      <c r="CD879" s="240"/>
      <c r="CE879" s="240"/>
      <c r="CF879" s="240"/>
      <c r="CG879" s="240"/>
      <c r="CH879" s="240"/>
      <c r="CI879" s="240"/>
      <c r="CJ879" s="240"/>
      <c r="CK879" s="240"/>
      <c r="CL879" s="240"/>
      <c r="CM879" s="240"/>
      <c r="CN879" s="240"/>
      <c r="CO879" s="240"/>
      <c r="CP879" s="240"/>
      <c r="CQ879" s="240"/>
      <c r="CR879" s="240"/>
      <c r="CS879" s="240"/>
      <c r="CT879" s="240"/>
      <c r="CU879" s="240"/>
      <c r="CV879" s="240"/>
      <c r="CW879" s="240"/>
      <c r="CX879" s="240"/>
      <c r="CY879" s="240"/>
      <c r="CZ879" s="241"/>
      <c r="DA879" s="241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1"/>
      <c r="DL879" s="241"/>
      <c r="DM879" s="241"/>
      <c r="DN879" s="241"/>
      <c r="DO879" s="241"/>
      <c r="DP879" s="241"/>
      <c r="DQ879" s="241"/>
      <c r="DR879" s="241"/>
      <c r="DS879" s="241"/>
      <c r="DT879" s="241"/>
      <c r="DU879" s="241"/>
      <c r="DV879" s="241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345"/>
      <c r="EM879" s="245"/>
      <c r="EN879" s="245"/>
      <c r="EO879" s="245"/>
      <c r="EP879" s="245"/>
      <c r="EQ879" s="254"/>
      <c r="ER879" s="240"/>
      <c r="ES879" s="240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193"/>
    </row>
    <row r="880" spans="2:189" s="243" customFormat="1" ht="11.45" hidden="1" customHeight="1">
      <c r="B880" s="343"/>
      <c r="C880" s="240"/>
      <c r="D880" s="240"/>
      <c r="E880" s="240"/>
      <c r="F880" s="240"/>
      <c r="G880" s="240"/>
      <c r="H880" s="240"/>
      <c r="I880" s="240" t="s">
        <v>616</v>
      </c>
      <c r="J880" s="240"/>
      <c r="K880" s="240"/>
      <c r="L880" s="240"/>
      <c r="M880" s="240"/>
      <c r="N880" s="240"/>
      <c r="O880" s="240"/>
      <c r="P880" s="240" t="s">
        <v>132</v>
      </c>
      <c r="Q880" s="240"/>
      <c r="R880" s="240" t="str">
        <f>TEXT(EN846,"#,###.##")</f>
        <v>1,973.5</v>
      </c>
      <c r="S880" s="240"/>
      <c r="T880" s="240"/>
      <c r="U880" s="240"/>
      <c r="V880" s="240"/>
      <c r="W880" s="240"/>
      <c r="X880" s="240"/>
      <c r="Y880" s="240"/>
      <c r="Z880" s="240" t="s">
        <v>130</v>
      </c>
      <c r="AA880" s="240"/>
      <c r="AB880" s="240" t="e">
        <f>TEXT(EN852,"#,###.##")</f>
        <v>#REF!</v>
      </c>
      <c r="AC880" s="240"/>
      <c r="AD880" s="240"/>
      <c r="AE880" s="240"/>
      <c r="AF880" s="240"/>
      <c r="AG880" s="240"/>
      <c r="AH880" s="240" t="s">
        <v>130</v>
      </c>
      <c r="AI880" s="240"/>
      <c r="AJ880" s="240" t="e">
        <f>TEXT(EN858,"#,###.##")</f>
        <v>#REF!</v>
      </c>
      <c r="AK880" s="240"/>
      <c r="AL880" s="240"/>
      <c r="AM880" s="240"/>
      <c r="AN880" s="240"/>
      <c r="AO880" s="240"/>
      <c r="AP880" s="240" t="s">
        <v>130</v>
      </c>
      <c r="AQ880" s="240"/>
      <c r="AR880" s="240" t="e">
        <f>TEXT(EN877,"#,###.##")</f>
        <v>#REF!</v>
      </c>
      <c r="AS880" s="240"/>
      <c r="AT880" s="240"/>
      <c r="AU880" s="240"/>
      <c r="AV880" s="240"/>
      <c r="AW880" s="240"/>
      <c r="AX880" s="240"/>
      <c r="AY880" s="240"/>
      <c r="AZ880" s="240" t="s">
        <v>134</v>
      </c>
      <c r="BA880" s="240"/>
      <c r="BB880" s="240"/>
      <c r="BC880" s="240" t="e">
        <f>TEXT(TRUNC(EN846+EN852+EN858+EN877,0),"#,##0")</f>
        <v>#REF!</v>
      </c>
      <c r="BD880" s="240"/>
      <c r="BE880" s="240"/>
      <c r="BF880" s="240"/>
      <c r="BG880" s="240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240"/>
      <c r="BT880" s="240"/>
      <c r="BU880" s="240"/>
      <c r="BV880" s="240"/>
      <c r="BW880" s="240"/>
      <c r="BX880" s="240"/>
      <c r="BY880" s="240"/>
      <c r="BZ880" s="240"/>
      <c r="CA880" s="240"/>
      <c r="CB880" s="240"/>
      <c r="CC880" s="240"/>
      <c r="CD880" s="240"/>
      <c r="CE880" s="240"/>
      <c r="CF880" s="240"/>
      <c r="CG880" s="240"/>
      <c r="CH880" s="240"/>
      <c r="CI880" s="240"/>
      <c r="CJ880" s="240"/>
      <c r="CK880" s="240"/>
      <c r="CL880" s="240"/>
      <c r="CM880" s="240"/>
      <c r="CN880" s="240"/>
      <c r="CO880" s="240"/>
      <c r="CP880" s="240"/>
      <c r="CQ880" s="240"/>
      <c r="CR880" s="240"/>
      <c r="CS880" s="240"/>
      <c r="CT880" s="240"/>
      <c r="CU880" s="240"/>
      <c r="CV880" s="240"/>
      <c r="CW880" s="240"/>
      <c r="CX880" s="240"/>
      <c r="CY880" s="240"/>
      <c r="CZ880" s="241"/>
      <c r="DA880" s="241"/>
      <c r="DB880" s="241"/>
      <c r="DC880" s="241"/>
      <c r="DD880" s="241"/>
      <c r="DE880" s="241"/>
      <c r="DF880" s="241"/>
      <c r="DG880" s="241"/>
      <c r="DH880" s="241"/>
      <c r="DI880" s="241"/>
      <c r="DJ880" s="241"/>
      <c r="DK880" s="241"/>
      <c r="DL880" s="241"/>
      <c r="DM880" s="241"/>
      <c r="DN880" s="241"/>
      <c r="DO880" s="241"/>
      <c r="DP880" s="241"/>
      <c r="DQ880" s="241"/>
      <c r="DR880" s="241"/>
      <c r="DS880" s="241"/>
      <c r="DT880" s="241"/>
      <c r="DU880" s="241"/>
      <c r="DV880" s="241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345"/>
      <c r="EM880" s="245"/>
      <c r="EN880" s="245"/>
      <c r="EO880" s="245"/>
      <c r="EP880" s="245"/>
      <c r="EQ880" s="254"/>
      <c r="ER880" s="240"/>
      <c r="ES880" s="240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193"/>
    </row>
    <row r="881" spans="1:189" s="243" customFormat="1" ht="11.45" hidden="1" customHeight="1">
      <c r="B881" s="343"/>
      <c r="C881" s="240"/>
      <c r="D881" s="240"/>
      <c r="E881" s="240"/>
      <c r="F881" s="240"/>
      <c r="G881" s="240"/>
      <c r="H881" s="240"/>
      <c r="I881" s="240" t="s">
        <v>617</v>
      </c>
      <c r="J881" s="240"/>
      <c r="K881" s="240"/>
      <c r="L881" s="240"/>
      <c r="M881" s="240"/>
      <c r="N881" s="240"/>
      <c r="O881" s="240"/>
      <c r="P881" s="240" t="s">
        <v>132</v>
      </c>
      <c r="Q881" s="240"/>
      <c r="R881" s="240" t="e">
        <f>TEXT(EO852,"#,###.##")</f>
        <v>#REF!</v>
      </c>
      <c r="S881" s="240"/>
      <c r="T881" s="240"/>
      <c r="U881" s="240"/>
      <c r="V881" s="240"/>
      <c r="W881" s="240"/>
      <c r="X881" s="240" t="s">
        <v>130</v>
      </c>
      <c r="Y881" s="240"/>
      <c r="Z881" s="240" t="e">
        <f>TEXT(EO858,"#,###.##")</f>
        <v>#REF!</v>
      </c>
      <c r="AA881" s="240"/>
      <c r="AB881" s="240"/>
      <c r="AC881" s="240"/>
      <c r="AD881" s="240" t="s">
        <v>130</v>
      </c>
      <c r="AE881" s="240"/>
      <c r="AF881" s="240" t="e">
        <f>TEXT(EO877,"#,###.##")</f>
        <v>#REF!</v>
      </c>
      <c r="AG881" s="240"/>
      <c r="AH881" s="240"/>
      <c r="AI881" s="240"/>
      <c r="AJ881" s="240"/>
      <c r="AK881" s="240"/>
      <c r="AL881" s="240" t="s">
        <v>134</v>
      </c>
      <c r="AM881" s="240"/>
      <c r="AN881" s="240"/>
      <c r="AO881" s="240" t="e">
        <f>TEXT(TRUNC(EO852+EO858+EO877,0),"#,##0")</f>
        <v>#REF!</v>
      </c>
      <c r="AP881" s="240"/>
      <c r="AQ881" s="240"/>
      <c r="AR881" s="240"/>
      <c r="AS881" s="240"/>
      <c r="AT881" s="240"/>
      <c r="AU881" s="240"/>
      <c r="AV881" s="240"/>
      <c r="AW881" s="240"/>
      <c r="AX881" s="240"/>
      <c r="AY881" s="240"/>
      <c r="AZ881" s="240"/>
      <c r="BA881" s="240"/>
      <c r="BB881" s="240"/>
      <c r="BC881" s="240"/>
      <c r="BD881" s="240"/>
      <c r="BE881" s="240"/>
      <c r="BF881" s="240"/>
      <c r="BG881" s="240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240"/>
      <c r="BT881" s="240"/>
      <c r="BU881" s="240"/>
      <c r="BV881" s="240"/>
      <c r="BW881" s="240"/>
      <c r="BX881" s="240"/>
      <c r="BY881" s="240"/>
      <c r="BZ881" s="240"/>
      <c r="CA881" s="240"/>
      <c r="CB881" s="240"/>
      <c r="CC881" s="240"/>
      <c r="CD881" s="240"/>
      <c r="CE881" s="240"/>
      <c r="CF881" s="240"/>
      <c r="CG881" s="240"/>
      <c r="CH881" s="240"/>
      <c r="CI881" s="240"/>
      <c r="CJ881" s="240"/>
      <c r="CK881" s="240"/>
      <c r="CL881" s="240"/>
      <c r="CM881" s="240"/>
      <c r="CN881" s="240"/>
      <c r="CO881" s="240"/>
      <c r="CP881" s="240"/>
      <c r="CQ881" s="240"/>
      <c r="CR881" s="240"/>
      <c r="CS881" s="240"/>
      <c r="CT881" s="240"/>
      <c r="CU881" s="240"/>
      <c r="CV881" s="240"/>
      <c r="CW881" s="240"/>
      <c r="CX881" s="240"/>
      <c r="CY881" s="240"/>
      <c r="CZ881" s="241"/>
      <c r="DA881" s="241"/>
      <c r="DB881" s="241"/>
      <c r="DC881" s="241"/>
      <c r="DD881" s="241"/>
      <c r="DE881" s="241"/>
      <c r="DF881" s="241"/>
      <c r="DG881" s="241"/>
      <c r="DH881" s="241"/>
      <c r="DI881" s="241"/>
      <c r="DJ881" s="241"/>
      <c r="DK881" s="241"/>
      <c r="DL881" s="241"/>
      <c r="DM881" s="241"/>
      <c r="DN881" s="241"/>
      <c r="DO881" s="241"/>
      <c r="DP881" s="241"/>
      <c r="DQ881" s="241"/>
      <c r="DR881" s="241"/>
      <c r="DS881" s="241"/>
      <c r="DT881" s="241"/>
      <c r="DU881" s="241"/>
      <c r="DV881" s="241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345"/>
      <c r="EM881" s="245"/>
      <c r="EN881" s="245"/>
      <c r="EO881" s="245"/>
      <c r="EP881" s="245"/>
      <c r="EQ881" s="254"/>
      <c r="ER881" s="240"/>
      <c r="ES881" s="240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193"/>
    </row>
    <row r="882" spans="1:189" s="243" customFormat="1" ht="11.45" hidden="1" customHeight="1">
      <c r="B882" s="343"/>
      <c r="C882" s="240"/>
      <c r="D882" s="240"/>
      <c r="E882" s="240"/>
      <c r="F882" s="240"/>
      <c r="G882" s="240"/>
      <c r="H882" s="240"/>
      <c r="I882" s="240" t="s">
        <v>679</v>
      </c>
      <c r="J882" s="240"/>
      <c r="K882" s="240" t="s">
        <v>680</v>
      </c>
      <c r="L882" s="240"/>
      <c r="M882" s="240"/>
      <c r="N882" s="240"/>
      <c r="O882" s="240"/>
      <c r="P882" s="240" t="s">
        <v>132</v>
      </c>
      <c r="Q882" s="240"/>
      <c r="R882" s="240" t="e">
        <f>TEXT(EP852,"#,###.##")</f>
        <v>#REF!</v>
      </c>
      <c r="S882" s="240"/>
      <c r="T882" s="240"/>
      <c r="U882" s="240"/>
      <c r="V882" s="240"/>
      <c r="W882" s="240"/>
      <c r="X882" s="240" t="s">
        <v>130</v>
      </c>
      <c r="Y882" s="240"/>
      <c r="Z882" s="240" t="e">
        <f>TEXT(EP858,"#,###.##")</f>
        <v>#REF!</v>
      </c>
      <c r="AA882" s="240"/>
      <c r="AB882" s="240"/>
      <c r="AC882" s="240"/>
      <c r="AD882" s="240"/>
      <c r="AE882" s="240"/>
      <c r="AF882" s="240" t="s">
        <v>130</v>
      </c>
      <c r="AG882" s="240"/>
      <c r="AH882" s="240" t="e">
        <f>TEXT(EP877,"#,###.##")</f>
        <v>#REF!</v>
      </c>
      <c r="AI882" s="240"/>
      <c r="AJ882" s="240"/>
      <c r="AK882" s="240"/>
      <c r="AL882" s="240"/>
      <c r="AM882" s="240" t="s">
        <v>134</v>
      </c>
      <c r="AN882" s="240"/>
      <c r="AO882" s="240"/>
      <c r="AP882" s="240" t="e">
        <f>TEXT(TRUNC(EP852+EP858+EP877,0),"#,##0")</f>
        <v>#REF!</v>
      </c>
      <c r="AQ882" s="240"/>
      <c r="AR882" s="240"/>
      <c r="AS882" s="240"/>
      <c r="AT882" s="240"/>
      <c r="AU882" s="240"/>
      <c r="AV882" s="240"/>
      <c r="AW882" s="240"/>
      <c r="AX882" s="240"/>
      <c r="AY882" s="240"/>
      <c r="AZ882" s="240"/>
      <c r="BA882" s="240"/>
      <c r="BB882" s="240"/>
      <c r="BC882" s="240"/>
      <c r="BD882" s="240"/>
      <c r="BE882" s="240"/>
      <c r="BF882" s="240"/>
      <c r="BG882" s="240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240"/>
      <c r="BT882" s="240"/>
      <c r="BU882" s="240"/>
      <c r="BV882" s="240"/>
      <c r="BW882" s="240"/>
      <c r="BX882" s="240"/>
      <c r="BY882" s="240"/>
      <c r="BZ882" s="240"/>
      <c r="CA882" s="240"/>
      <c r="CB882" s="240"/>
      <c r="CC882" s="240"/>
      <c r="CD882" s="240"/>
      <c r="CE882" s="240"/>
      <c r="CF882" s="240"/>
      <c r="CG882" s="240"/>
      <c r="CH882" s="240"/>
      <c r="CI882" s="240"/>
      <c r="CJ882" s="240"/>
      <c r="CK882" s="240"/>
      <c r="CL882" s="240"/>
      <c r="CM882" s="240"/>
      <c r="CN882" s="240"/>
      <c r="CO882" s="240"/>
      <c r="CP882" s="240"/>
      <c r="CQ882" s="240"/>
      <c r="CR882" s="240"/>
      <c r="CS882" s="240"/>
      <c r="CT882" s="240"/>
      <c r="CU882" s="240"/>
      <c r="CV882" s="240"/>
      <c r="CW882" s="240"/>
      <c r="CX882" s="240"/>
      <c r="CY882" s="240"/>
      <c r="CZ882" s="241"/>
      <c r="DA882" s="241"/>
      <c r="DB882" s="241"/>
      <c r="DC882" s="241"/>
      <c r="DD882" s="241"/>
      <c r="DE882" s="241"/>
      <c r="DF882" s="241"/>
      <c r="DG882" s="241"/>
      <c r="DH882" s="241"/>
      <c r="DI882" s="241"/>
      <c r="DJ882" s="241"/>
      <c r="DK882" s="241"/>
      <c r="DL882" s="241"/>
      <c r="DM882" s="241"/>
      <c r="DN882" s="241"/>
      <c r="DO882" s="241"/>
      <c r="DP882" s="241"/>
      <c r="DQ882" s="241"/>
      <c r="DR882" s="241"/>
      <c r="DS882" s="241"/>
      <c r="DT882" s="241"/>
      <c r="DU882" s="241"/>
      <c r="DV882" s="241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345"/>
      <c r="EM882" s="245"/>
      <c r="EN882" s="245"/>
      <c r="EO882" s="245"/>
      <c r="EP882" s="245"/>
      <c r="EQ882" s="254"/>
      <c r="ER882" s="240"/>
      <c r="ES882" s="240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193"/>
    </row>
    <row r="883" spans="1:189" s="243" customFormat="1" ht="11.45" hidden="1" customHeight="1">
      <c r="B883" s="343"/>
      <c r="C883" s="240"/>
      <c r="D883" s="240"/>
      <c r="E883" s="240"/>
      <c r="F883" s="240"/>
      <c r="G883" s="240"/>
      <c r="H883" s="240"/>
      <c r="I883" s="240"/>
      <c r="J883" s="240"/>
      <c r="K883" s="240" t="s">
        <v>96</v>
      </c>
      <c r="L883" s="240"/>
      <c r="M883" s="240"/>
      <c r="N883" s="240"/>
      <c r="O883" s="240"/>
      <c r="P883" s="240" t="s">
        <v>132</v>
      </c>
      <c r="Q883" s="240"/>
      <c r="R883" s="240"/>
      <c r="S883" s="240" t="e">
        <f>TEXT(BC880+AO881+AP882,"#,##0")</f>
        <v>#REF!</v>
      </c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0"/>
      <c r="AO883" s="240"/>
      <c r="AP883" s="240"/>
      <c r="AQ883" s="240"/>
      <c r="AR883" s="240"/>
      <c r="AS883" s="240"/>
      <c r="AT883" s="240"/>
      <c r="AU883" s="240"/>
      <c r="AV883" s="240"/>
      <c r="AW883" s="240"/>
      <c r="AX883" s="240"/>
      <c r="AY883" s="240"/>
      <c r="AZ883" s="240"/>
      <c r="BA883" s="240"/>
      <c r="BB883" s="240"/>
      <c r="BC883" s="240"/>
      <c r="BD883" s="240"/>
      <c r="BE883" s="240"/>
      <c r="BF883" s="240"/>
      <c r="BG883" s="240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240"/>
      <c r="BT883" s="240"/>
      <c r="BU883" s="240"/>
      <c r="BV883" s="240"/>
      <c r="BW883" s="240"/>
      <c r="BX883" s="240"/>
      <c r="BY883" s="240"/>
      <c r="BZ883" s="240"/>
      <c r="CA883" s="240"/>
      <c r="CB883" s="240"/>
      <c r="CC883" s="240"/>
      <c r="CD883" s="240"/>
      <c r="CE883" s="240"/>
      <c r="CF883" s="240"/>
      <c r="CG883" s="240"/>
      <c r="CH883" s="240"/>
      <c r="CI883" s="240"/>
      <c r="CJ883" s="240"/>
      <c r="CK883" s="240"/>
      <c r="CL883" s="240"/>
      <c r="CM883" s="240"/>
      <c r="CN883" s="240"/>
      <c r="CO883" s="240"/>
      <c r="CP883" s="240"/>
      <c r="CQ883" s="240"/>
      <c r="CR883" s="240"/>
      <c r="CS883" s="240"/>
      <c r="CT883" s="240"/>
      <c r="CU883" s="240"/>
      <c r="CV883" s="240"/>
      <c r="CW883" s="240"/>
      <c r="CX883" s="240"/>
      <c r="CY883" s="240"/>
      <c r="CZ883" s="241"/>
      <c r="DA883" s="241"/>
      <c r="DB883" s="241"/>
      <c r="DC883" s="241"/>
      <c r="DD883" s="241"/>
      <c r="DE883" s="241"/>
      <c r="DF883" s="241"/>
      <c r="DG883" s="241"/>
      <c r="DH883" s="241"/>
      <c r="DI883" s="241"/>
      <c r="DJ883" s="241"/>
      <c r="DK883" s="241"/>
      <c r="DL883" s="241"/>
      <c r="DM883" s="241"/>
      <c r="DN883" s="241"/>
      <c r="DO883" s="241"/>
      <c r="DP883" s="241"/>
      <c r="DQ883" s="241"/>
      <c r="DR883" s="241"/>
      <c r="DS883" s="241"/>
      <c r="DT883" s="241"/>
      <c r="DU883" s="241"/>
      <c r="DV883" s="241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345"/>
      <c r="EM883" s="250" t="e">
        <f>EN883+EO883+EP883</f>
        <v>#REF!</v>
      </c>
      <c r="EN883" s="245" t="e">
        <f>TEXT(BC880,"#,##0")</f>
        <v>#REF!</v>
      </c>
      <c r="EO883" s="245" t="e">
        <f>TEXT(AO881,"#,##0")</f>
        <v>#REF!</v>
      </c>
      <c r="EP883" s="245" t="e">
        <f>TEXT(AP882,"#,##0")</f>
        <v>#REF!</v>
      </c>
      <c r="EQ883" s="254"/>
      <c r="ER883" s="240"/>
      <c r="ES883" s="240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193"/>
    </row>
    <row r="884" spans="1:189" s="243" customFormat="1" ht="11.45" hidden="1" customHeight="1">
      <c r="B884" s="244"/>
      <c r="C884" s="240"/>
      <c r="D884" s="240"/>
      <c r="E884" s="240"/>
      <c r="F884" s="240"/>
      <c r="G884" s="240"/>
      <c r="H884" s="240"/>
      <c r="I884" s="240"/>
      <c r="J884" s="240"/>
      <c r="K884" s="240"/>
      <c r="L884" s="297"/>
      <c r="M884" s="297"/>
      <c r="N884" s="297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0"/>
      <c r="AO884" s="240"/>
      <c r="AP884" s="240"/>
      <c r="AQ884" s="240"/>
      <c r="AR884" s="240"/>
      <c r="AS884" s="240"/>
      <c r="AT884" s="240"/>
      <c r="AU884" s="240"/>
      <c r="AV884" s="240"/>
      <c r="AW884" s="240"/>
      <c r="AX884" s="240"/>
      <c r="AY884" s="240"/>
      <c r="AZ884" s="240"/>
      <c r="BA884" s="240"/>
      <c r="BB884" s="240"/>
      <c r="BC884" s="240"/>
      <c r="BD884" s="240"/>
      <c r="BE884" s="240"/>
      <c r="BF884" s="240"/>
      <c r="BG884" s="240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297"/>
      <c r="BT884" s="240"/>
      <c r="BU884" s="240"/>
      <c r="BV884" s="240"/>
      <c r="BW884" s="240"/>
      <c r="BX884" s="240"/>
      <c r="BY884" s="240"/>
      <c r="BZ884" s="240"/>
      <c r="CA884" s="240"/>
      <c r="CB884" s="240"/>
      <c r="CC884" s="240"/>
      <c r="CD884" s="240"/>
      <c r="CE884" s="240"/>
      <c r="CF884" s="240"/>
      <c r="CG884" s="240"/>
      <c r="CH884" s="240"/>
      <c r="CI884" s="240"/>
      <c r="CJ884" s="240"/>
      <c r="CK884" s="240"/>
      <c r="CL884" s="240"/>
      <c r="CM884" s="240"/>
      <c r="CN884" s="240"/>
      <c r="CO884" s="240"/>
      <c r="CP884" s="240"/>
      <c r="CQ884" s="240"/>
      <c r="CR884" s="240"/>
      <c r="CS884" s="240"/>
      <c r="CT884" s="240"/>
      <c r="CU884" s="240"/>
      <c r="CV884" s="240"/>
      <c r="CW884" s="240"/>
      <c r="CX884" s="240"/>
      <c r="CY884" s="240"/>
      <c r="CZ884" s="240"/>
      <c r="DA884" s="240"/>
      <c r="DB884" s="240"/>
      <c r="DC884" s="240"/>
      <c r="DD884" s="240"/>
      <c r="DE884" s="240"/>
      <c r="DF884" s="240"/>
      <c r="DG884" s="240"/>
      <c r="DH884" s="240"/>
      <c r="DI884" s="240"/>
      <c r="DJ884" s="240"/>
      <c r="DK884" s="240"/>
      <c r="DL884" s="240"/>
      <c r="DM884" s="240"/>
      <c r="DN884" s="240"/>
      <c r="DO884" s="240"/>
      <c r="DP884" s="240"/>
      <c r="DQ884" s="240"/>
      <c r="DR884" s="240"/>
      <c r="DS884" s="240"/>
      <c r="DT884" s="240"/>
      <c r="DU884" s="240"/>
      <c r="DV884" s="240"/>
      <c r="DW884" s="240"/>
      <c r="DX884" s="240"/>
      <c r="DY884" s="240"/>
      <c r="DZ884" s="240"/>
      <c r="EA884" s="240"/>
      <c r="EB884" s="240"/>
      <c r="EC884" s="240"/>
      <c r="ED884" s="240"/>
      <c r="EE884" s="240"/>
      <c r="EF884" s="240"/>
      <c r="EG884" s="240"/>
      <c r="EH884" s="240"/>
      <c r="EI884" s="240"/>
      <c r="EJ884" s="240"/>
      <c r="EK884" s="240"/>
      <c r="EL884" s="359"/>
      <c r="EM884" s="250"/>
      <c r="EN884" s="245"/>
      <c r="EO884" s="245"/>
      <c r="EP884" s="245"/>
      <c r="EQ884" s="254"/>
      <c r="ER884" s="240"/>
      <c r="ES884" s="240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193"/>
    </row>
    <row r="885" spans="1:189" s="243" customFormat="1" ht="11.45" hidden="1" customHeight="1">
      <c r="B885" s="246"/>
      <c r="C885" s="247"/>
      <c r="D885" s="247"/>
      <c r="E885" s="247"/>
      <c r="F885" s="247"/>
      <c r="G885" s="247"/>
      <c r="H885" s="247"/>
      <c r="I885" s="247"/>
      <c r="J885" s="247"/>
      <c r="K885" s="247"/>
      <c r="L885" s="301"/>
      <c r="M885" s="301"/>
      <c r="N885" s="301"/>
      <c r="O885" s="247"/>
      <c r="P885" s="247"/>
      <c r="Q885" s="247"/>
      <c r="R885" s="247"/>
      <c r="S885" s="247"/>
      <c r="T885" s="247"/>
      <c r="U885" s="247"/>
      <c r="V885" s="247"/>
      <c r="W885" s="247"/>
      <c r="X885" s="247"/>
      <c r="Y885" s="247"/>
      <c r="Z885" s="247"/>
      <c r="AA885" s="247"/>
      <c r="AB885" s="247"/>
      <c r="AC885" s="247"/>
      <c r="AD885" s="247"/>
      <c r="AE885" s="247"/>
      <c r="AF885" s="247"/>
      <c r="AG885" s="247"/>
      <c r="AH885" s="247"/>
      <c r="AI885" s="247"/>
      <c r="AJ885" s="247"/>
      <c r="AK885" s="247"/>
      <c r="AL885" s="247"/>
      <c r="AM885" s="247"/>
      <c r="AN885" s="247"/>
      <c r="AO885" s="247"/>
      <c r="AP885" s="247"/>
      <c r="AQ885" s="247"/>
      <c r="AR885" s="247"/>
      <c r="AS885" s="247"/>
      <c r="AT885" s="247"/>
      <c r="AU885" s="247"/>
      <c r="AV885" s="247"/>
      <c r="AW885" s="247"/>
      <c r="AX885" s="247"/>
      <c r="AY885" s="247"/>
      <c r="AZ885" s="247"/>
      <c r="BA885" s="247"/>
      <c r="BB885" s="247"/>
      <c r="BC885" s="247"/>
      <c r="BD885" s="247"/>
      <c r="BE885" s="247"/>
      <c r="BF885" s="247"/>
      <c r="BG885" s="247"/>
      <c r="BH885" s="247"/>
      <c r="BI885" s="247"/>
      <c r="BJ885" s="247"/>
      <c r="BK885" s="247"/>
      <c r="BL885" s="247"/>
      <c r="BM885" s="247"/>
      <c r="BN885" s="247"/>
      <c r="BO885" s="247"/>
      <c r="BP885" s="247"/>
      <c r="BQ885" s="247"/>
      <c r="BR885" s="247"/>
      <c r="BS885" s="301"/>
      <c r="BT885" s="247"/>
      <c r="BU885" s="247"/>
      <c r="BV885" s="247"/>
      <c r="BW885" s="247"/>
      <c r="BX885" s="247"/>
      <c r="BY885" s="247"/>
      <c r="BZ885" s="247"/>
      <c r="CA885" s="247"/>
      <c r="CB885" s="247"/>
      <c r="CC885" s="247"/>
      <c r="CD885" s="247"/>
      <c r="CE885" s="247"/>
      <c r="CF885" s="247"/>
      <c r="CG885" s="247"/>
      <c r="CH885" s="247"/>
      <c r="CI885" s="247"/>
      <c r="CJ885" s="247"/>
      <c r="CK885" s="247"/>
      <c r="CL885" s="247"/>
      <c r="CM885" s="247"/>
      <c r="CN885" s="247"/>
      <c r="CO885" s="247"/>
      <c r="CP885" s="247"/>
      <c r="CQ885" s="247"/>
      <c r="CR885" s="247"/>
      <c r="CS885" s="247"/>
      <c r="CT885" s="247"/>
      <c r="CU885" s="247"/>
      <c r="CV885" s="247"/>
      <c r="CW885" s="247"/>
      <c r="CX885" s="247"/>
      <c r="CY885" s="247"/>
      <c r="CZ885" s="247"/>
      <c r="DA885" s="247"/>
      <c r="DB885" s="247"/>
      <c r="DC885" s="247"/>
      <c r="DD885" s="247"/>
      <c r="DE885" s="247"/>
      <c r="DF885" s="247"/>
      <c r="DG885" s="247"/>
      <c r="DH885" s="247"/>
      <c r="DI885" s="247"/>
      <c r="DJ885" s="247"/>
      <c r="DK885" s="247"/>
      <c r="DL885" s="247"/>
      <c r="DM885" s="247"/>
      <c r="DN885" s="247"/>
      <c r="DO885" s="247"/>
      <c r="DP885" s="247"/>
      <c r="DQ885" s="247"/>
      <c r="DR885" s="247"/>
      <c r="DS885" s="247"/>
      <c r="DT885" s="247"/>
      <c r="DU885" s="247"/>
      <c r="DV885" s="247"/>
      <c r="DW885" s="247"/>
      <c r="DX885" s="247"/>
      <c r="DY885" s="247"/>
      <c r="DZ885" s="247"/>
      <c r="EA885" s="247"/>
      <c r="EB885" s="247"/>
      <c r="EC885" s="247"/>
      <c r="ED885" s="247"/>
      <c r="EE885" s="247"/>
      <c r="EF885" s="247"/>
      <c r="EG885" s="247"/>
      <c r="EH885" s="247"/>
      <c r="EI885" s="247"/>
      <c r="EJ885" s="247"/>
      <c r="EK885" s="247"/>
      <c r="EL885" s="360"/>
      <c r="EM885" s="264"/>
      <c r="EN885" s="249"/>
      <c r="EO885" s="249"/>
      <c r="EP885" s="249"/>
      <c r="EQ885" s="260"/>
      <c r="ER885" s="240"/>
      <c r="ES885" s="240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193"/>
    </row>
    <row r="886" spans="1:189" s="243" customFormat="1" ht="11.45" hidden="1" customHeight="1">
      <c r="B886" s="267"/>
      <c r="C886" s="265"/>
      <c r="D886" s="265"/>
      <c r="E886" s="265"/>
      <c r="F886" s="265"/>
      <c r="G886" s="265"/>
      <c r="H886" s="265"/>
      <c r="I886" s="265"/>
      <c r="J886" s="265"/>
      <c r="K886" s="265"/>
      <c r="L886" s="302"/>
      <c r="M886" s="302"/>
      <c r="N886" s="302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  <c r="Z886" s="265"/>
      <c r="AA886" s="265"/>
      <c r="AB886" s="265"/>
      <c r="AC886" s="265"/>
      <c r="AD886" s="265"/>
      <c r="AE886" s="265"/>
      <c r="AF886" s="265"/>
      <c r="AG886" s="265"/>
      <c r="AH886" s="265"/>
      <c r="AI886" s="265"/>
      <c r="AJ886" s="265"/>
      <c r="AK886" s="265"/>
      <c r="AL886" s="265"/>
      <c r="AM886" s="265"/>
      <c r="AN886" s="265"/>
      <c r="AO886" s="265"/>
      <c r="AP886" s="265"/>
      <c r="AQ886" s="265"/>
      <c r="AR886" s="265"/>
      <c r="AS886" s="265"/>
      <c r="AT886" s="265"/>
      <c r="AU886" s="265"/>
      <c r="AV886" s="265"/>
      <c r="AW886" s="265"/>
      <c r="AX886" s="265"/>
      <c r="AY886" s="265"/>
      <c r="AZ886" s="265"/>
      <c r="BA886" s="265"/>
      <c r="BB886" s="265"/>
      <c r="BC886" s="265"/>
      <c r="BD886" s="265"/>
      <c r="BE886" s="265"/>
      <c r="BF886" s="265"/>
      <c r="BG886" s="265"/>
      <c r="BH886" s="265"/>
      <c r="BI886" s="265"/>
      <c r="BJ886" s="265"/>
      <c r="BK886" s="265"/>
      <c r="BL886" s="265"/>
      <c r="BM886" s="265"/>
      <c r="BN886" s="265"/>
      <c r="BO886" s="265"/>
      <c r="BP886" s="265"/>
      <c r="BQ886" s="265"/>
      <c r="BR886" s="265"/>
      <c r="BS886" s="302"/>
      <c r="BT886" s="265"/>
      <c r="BU886" s="265"/>
      <c r="BV886" s="265"/>
      <c r="BW886" s="265"/>
      <c r="BX886" s="265"/>
      <c r="BY886" s="265"/>
      <c r="BZ886" s="265"/>
      <c r="CA886" s="265"/>
      <c r="CB886" s="265"/>
      <c r="CC886" s="265"/>
      <c r="CD886" s="265"/>
      <c r="CE886" s="265"/>
      <c r="CF886" s="265"/>
      <c r="CG886" s="265"/>
      <c r="CH886" s="265"/>
      <c r="CI886" s="265"/>
      <c r="CJ886" s="265"/>
      <c r="CK886" s="265"/>
      <c r="CL886" s="265"/>
      <c r="CM886" s="265"/>
      <c r="CN886" s="265"/>
      <c r="CO886" s="265"/>
      <c r="CP886" s="265"/>
      <c r="CQ886" s="265"/>
      <c r="CR886" s="265"/>
      <c r="CS886" s="265"/>
      <c r="CT886" s="265"/>
      <c r="CU886" s="265"/>
      <c r="CV886" s="265"/>
      <c r="CW886" s="265"/>
      <c r="CX886" s="265"/>
      <c r="CY886" s="265"/>
      <c r="CZ886" s="265"/>
      <c r="DA886" s="265"/>
      <c r="DB886" s="265"/>
      <c r="DC886" s="265"/>
      <c r="DD886" s="265"/>
      <c r="DE886" s="265"/>
      <c r="DF886" s="265"/>
      <c r="DG886" s="265"/>
      <c r="DH886" s="265"/>
      <c r="DI886" s="265"/>
      <c r="DJ886" s="265"/>
      <c r="DK886" s="265"/>
      <c r="DL886" s="265"/>
      <c r="DM886" s="265"/>
      <c r="DN886" s="265"/>
      <c r="DO886" s="265"/>
      <c r="DP886" s="265"/>
      <c r="DQ886" s="265"/>
      <c r="DR886" s="265"/>
      <c r="DS886" s="265"/>
      <c r="DT886" s="265"/>
      <c r="DU886" s="265"/>
      <c r="DV886" s="265"/>
      <c r="DW886" s="265"/>
      <c r="DX886" s="265"/>
      <c r="DY886" s="265"/>
      <c r="DZ886" s="265"/>
      <c r="EA886" s="265"/>
      <c r="EB886" s="265"/>
      <c r="EC886" s="265"/>
      <c r="ED886" s="265"/>
      <c r="EE886" s="265"/>
      <c r="EF886" s="265"/>
      <c r="EG886" s="265"/>
      <c r="EH886" s="265"/>
      <c r="EI886" s="265"/>
      <c r="EJ886" s="265"/>
      <c r="EK886" s="265"/>
      <c r="EL886" s="362"/>
      <c r="EM886" s="269"/>
      <c r="EN886" s="269"/>
      <c r="EO886" s="269"/>
      <c r="EP886" s="269"/>
      <c r="EQ886" s="266"/>
      <c r="ER886" s="240"/>
      <c r="ES886" s="240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193"/>
    </row>
    <row r="887" spans="1:189" s="243" customFormat="1" ht="11.45" hidden="1" customHeight="1">
      <c r="A887" s="243">
        <v>21</v>
      </c>
      <c r="B887" s="1782">
        <f>A887</f>
        <v>21</v>
      </c>
      <c r="C887" s="1781"/>
      <c r="D887" s="1781"/>
      <c r="E887" s="344" t="s">
        <v>895</v>
      </c>
      <c r="F887" s="240"/>
      <c r="G887" s="240"/>
      <c r="H887" s="240"/>
      <c r="I887" s="240"/>
      <c r="J887" s="240"/>
      <c r="K887" s="240"/>
      <c r="L887" s="297"/>
      <c r="M887" s="297"/>
      <c r="N887" s="297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0"/>
      <c r="AO887" s="240"/>
      <c r="AP887" s="240"/>
      <c r="AQ887" s="240"/>
      <c r="AR887" s="240"/>
      <c r="AS887" s="240"/>
      <c r="AT887" s="240"/>
      <c r="AU887" s="240"/>
      <c r="AV887" s="240"/>
      <c r="AW887" s="240"/>
      <c r="AX887" s="240"/>
      <c r="AY887" s="240"/>
      <c r="AZ887" s="240"/>
      <c r="BA887" s="240"/>
      <c r="BB887" s="240"/>
      <c r="BC887" s="240"/>
      <c r="BD887" s="240"/>
      <c r="BE887" s="240"/>
      <c r="BF887" s="240"/>
      <c r="BG887" s="240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297"/>
      <c r="BT887" s="240"/>
      <c r="BU887" s="240"/>
      <c r="BV887" s="240"/>
      <c r="BW887" s="240"/>
      <c r="BX887" s="240"/>
      <c r="BY887" s="240"/>
      <c r="BZ887" s="240"/>
      <c r="CA887" s="240"/>
      <c r="CB887" s="240"/>
      <c r="CC887" s="240"/>
      <c r="CD887" s="240"/>
      <c r="CE887" s="240"/>
      <c r="CF887" s="240"/>
      <c r="CG887" s="240"/>
      <c r="CH887" s="240"/>
      <c r="CI887" s="240"/>
      <c r="CJ887" s="240"/>
      <c r="CK887" s="240"/>
      <c r="CL887" s="240"/>
      <c r="CM887" s="240"/>
      <c r="CN887" s="240"/>
      <c r="CO887" s="240"/>
      <c r="CP887" s="240"/>
      <c r="CQ887" s="240"/>
      <c r="CR887" s="240"/>
      <c r="CS887" s="240"/>
      <c r="CT887" s="240"/>
      <c r="CU887" s="240"/>
      <c r="CV887" s="240"/>
      <c r="CW887" s="240"/>
      <c r="CX887" s="240"/>
      <c r="CY887" s="240"/>
      <c r="CZ887" s="240"/>
      <c r="DA887" s="240"/>
      <c r="DB887" s="240"/>
      <c r="DC887" s="240"/>
      <c r="DD887" s="240"/>
      <c r="DE887" s="240"/>
      <c r="DF887" s="240"/>
      <c r="DG887" s="240"/>
      <c r="DH887" s="240"/>
      <c r="DI887" s="240"/>
      <c r="DJ887" s="240"/>
      <c r="DK887" s="240"/>
      <c r="DL887" s="240"/>
      <c r="DM887" s="240"/>
      <c r="DN887" s="240"/>
      <c r="DO887" s="240"/>
      <c r="DP887" s="240"/>
      <c r="DQ887" s="240"/>
      <c r="DR887" s="240"/>
      <c r="DS887" s="240"/>
      <c r="DT887" s="240"/>
      <c r="DU887" s="240"/>
      <c r="DV887" s="240"/>
      <c r="DW887" s="240"/>
      <c r="DX887" s="240"/>
      <c r="DY887" s="240"/>
      <c r="DZ887" s="240"/>
      <c r="EA887" s="240"/>
      <c r="EB887" s="240"/>
      <c r="EC887" s="240"/>
      <c r="ED887" s="240"/>
      <c r="EE887" s="240"/>
      <c r="EF887" s="240"/>
      <c r="EG887" s="240"/>
      <c r="EH887" s="240"/>
      <c r="EI887" s="240"/>
      <c r="EJ887" s="240"/>
      <c r="EK887" s="240"/>
      <c r="EL887" s="359"/>
      <c r="EM887" s="242" t="e">
        <f>EM909</f>
        <v>#REF!</v>
      </c>
      <c r="EN887" s="242" t="e">
        <f>EN909</f>
        <v>#REF!</v>
      </c>
      <c r="EO887" s="242" t="e">
        <f>EO909</f>
        <v>#REF!</v>
      </c>
      <c r="EP887" s="242" t="str">
        <f>EP909</f>
        <v>0</v>
      </c>
      <c r="EQ887" s="312" t="s">
        <v>761</v>
      </c>
      <c r="ER887" s="240"/>
      <c r="ES887" s="800">
        <f>A887</f>
        <v>21</v>
      </c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193"/>
    </row>
    <row r="888" spans="1:189" s="243" customFormat="1" ht="11.45" hidden="1" customHeight="1">
      <c r="B888" s="244"/>
      <c r="C888" s="240"/>
      <c r="D888" s="240"/>
      <c r="E888" s="240"/>
      <c r="F888" s="240"/>
      <c r="G888" s="240"/>
      <c r="H888" s="240"/>
      <c r="I888" s="240"/>
      <c r="J888" s="240"/>
      <c r="K888" s="240"/>
      <c r="L888" s="297"/>
      <c r="M888" s="297"/>
      <c r="N888" s="297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0"/>
      <c r="AO888" s="240"/>
      <c r="AP888" s="240"/>
      <c r="AQ888" s="240"/>
      <c r="AR888" s="240"/>
      <c r="AS888" s="240"/>
      <c r="AT888" s="240"/>
      <c r="AU888" s="240"/>
      <c r="AV888" s="240"/>
      <c r="AW888" s="240"/>
      <c r="AX888" s="240"/>
      <c r="AY888" s="240"/>
      <c r="AZ888" s="240"/>
      <c r="BA888" s="240"/>
      <c r="BB888" s="240"/>
      <c r="BC888" s="240"/>
      <c r="BD888" s="240"/>
      <c r="BE888" s="240"/>
      <c r="BF888" s="240"/>
      <c r="BG888" s="240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297"/>
      <c r="BT888" s="240"/>
      <c r="BU888" s="240"/>
      <c r="BV888" s="240"/>
      <c r="BW888" s="240"/>
      <c r="BX888" s="240"/>
      <c r="BY888" s="240"/>
      <c r="BZ888" s="240"/>
      <c r="CA888" s="240"/>
      <c r="CB888" s="240"/>
      <c r="CC888" s="240"/>
      <c r="CD888" s="240"/>
      <c r="CE888" s="240"/>
      <c r="CF888" s="240"/>
      <c r="CG888" s="240"/>
      <c r="CH888" s="240"/>
      <c r="CI888" s="240"/>
      <c r="CJ888" s="240"/>
      <c r="CK888" s="240"/>
      <c r="CL888" s="240"/>
      <c r="CM888" s="240"/>
      <c r="CN888" s="240"/>
      <c r="CO888" s="240"/>
      <c r="CP888" s="240"/>
      <c r="CQ888" s="240"/>
      <c r="CR888" s="240"/>
      <c r="CS888" s="240"/>
      <c r="CT888" s="240"/>
      <c r="CU888" s="240"/>
      <c r="CV888" s="240"/>
      <c r="CW888" s="240"/>
      <c r="CX888" s="240"/>
      <c r="CY888" s="240"/>
      <c r="CZ888" s="240"/>
      <c r="DA888" s="240"/>
      <c r="DB888" s="240"/>
      <c r="DC888" s="240"/>
      <c r="DD888" s="240"/>
      <c r="DE888" s="240"/>
      <c r="DF888" s="240"/>
      <c r="DG888" s="240"/>
      <c r="DH888" s="240"/>
      <c r="DI888" s="240"/>
      <c r="DJ888" s="240"/>
      <c r="DK888" s="240"/>
      <c r="DL888" s="240"/>
      <c r="DM888" s="240"/>
      <c r="DN888" s="240"/>
      <c r="DO888" s="240"/>
      <c r="DP888" s="240"/>
      <c r="DQ888" s="240"/>
      <c r="DR888" s="240"/>
      <c r="DS888" s="240"/>
      <c r="DT888" s="240"/>
      <c r="DU888" s="240"/>
      <c r="DV888" s="240"/>
      <c r="DW888" s="240"/>
      <c r="DX888" s="240"/>
      <c r="DY888" s="240"/>
      <c r="DZ888" s="240"/>
      <c r="EA888" s="240"/>
      <c r="EB888" s="240"/>
      <c r="EC888" s="240"/>
      <c r="ED888" s="240"/>
      <c r="EE888" s="240"/>
      <c r="EF888" s="240"/>
      <c r="EG888" s="240"/>
      <c r="EH888" s="240"/>
      <c r="EI888" s="240"/>
      <c r="EJ888" s="240"/>
      <c r="EK888" s="240"/>
      <c r="EL888" s="359"/>
      <c r="EM888" s="245"/>
      <c r="EN888" s="245"/>
      <c r="EO888" s="245"/>
      <c r="EP888" s="245"/>
      <c r="EQ888" s="254"/>
      <c r="ER888" s="240"/>
      <c r="ES888" s="240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193"/>
    </row>
    <row r="889" spans="1:189" s="243" customFormat="1" ht="11.45" hidden="1" customHeight="1">
      <c r="B889" s="244"/>
      <c r="C889" s="240"/>
      <c r="D889" s="240"/>
      <c r="E889" s="240" t="s">
        <v>681</v>
      </c>
      <c r="F889" s="240"/>
      <c r="G889" s="240"/>
      <c r="H889" s="240" t="s">
        <v>538</v>
      </c>
      <c r="I889" s="240" t="s">
        <v>724</v>
      </c>
      <c r="J889" s="240"/>
      <c r="K889" s="240"/>
      <c r="L889" s="297" t="s">
        <v>745</v>
      </c>
      <c r="M889" s="297"/>
      <c r="N889" s="297"/>
      <c r="O889" s="240"/>
      <c r="P889" s="240"/>
      <c r="Q889" s="240"/>
      <c r="R889" s="240"/>
      <c r="S889" s="240" t="s">
        <v>132</v>
      </c>
      <c r="T889" s="240"/>
      <c r="U889" s="240" t="s">
        <v>743</v>
      </c>
      <c r="V889" s="240"/>
      <c r="W889" s="240"/>
      <c r="X889" s="240" t="s">
        <v>134</v>
      </c>
      <c r="Y889" s="240"/>
      <c r="Z889" s="240" t="str">
        <f>TEXT(8000,"#,##0.#######")</f>
        <v>8,000.</v>
      </c>
      <c r="AA889" s="240"/>
      <c r="AB889" s="240" t="s">
        <v>728</v>
      </c>
      <c r="AC889" s="240" t="s">
        <v>139</v>
      </c>
      <c r="AD889" s="240" t="s">
        <v>724</v>
      </c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0"/>
      <c r="AO889" s="240"/>
      <c r="AP889" s="240"/>
      <c r="AQ889" s="240"/>
      <c r="AR889" s="240"/>
      <c r="AS889" s="240"/>
      <c r="AT889" s="240"/>
      <c r="AU889" s="240"/>
      <c r="AV889" s="240"/>
      <c r="AW889" s="240"/>
      <c r="AX889" s="240"/>
      <c r="AY889" s="240"/>
      <c r="AZ889" s="240"/>
      <c r="BA889" s="240"/>
      <c r="BB889" s="240"/>
      <c r="BC889" s="240"/>
      <c r="BD889" s="240"/>
      <c r="BE889" s="240"/>
      <c r="BF889" s="240"/>
      <c r="BG889" s="240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297"/>
      <c r="BT889" s="240"/>
      <c r="BU889" s="240"/>
      <c r="BV889" s="240"/>
      <c r="BW889" s="240"/>
      <c r="BX889" s="240"/>
      <c r="BY889" s="240"/>
      <c r="BZ889" s="240"/>
      <c r="CA889" s="240"/>
      <c r="CB889" s="240"/>
      <c r="CC889" s="240"/>
      <c r="CD889" s="240"/>
      <c r="CE889" s="240"/>
      <c r="CF889" s="240"/>
      <c r="CG889" s="240"/>
      <c r="CH889" s="240"/>
      <c r="CI889" s="240"/>
      <c r="CJ889" s="240"/>
      <c r="CK889" s="240"/>
      <c r="CL889" s="240"/>
      <c r="CM889" s="240"/>
      <c r="CN889" s="240"/>
      <c r="CO889" s="240"/>
      <c r="CP889" s="240"/>
      <c r="CQ889" s="240"/>
      <c r="CR889" s="240"/>
      <c r="CS889" s="240"/>
      <c r="CT889" s="240"/>
      <c r="CU889" s="240"/>
      <c r="CV889" s="240"/>
      <c r="CW889" s="240"/>
      <c r="CX889" s="240"/>
      <c r="CY889" s="240"/>
      <c r="CZ889" s="240"/>
      <c r="DA889" s="240"/>
      <c r="DB889" s="240"/>
      <c r="DC889" s="240"/>
      <c r="DD889" s="240"/>
      <c r="DE889" s="240"/>
      <c r="DF889" s="240"/>
      <c r="DG889" s="240"/>
      <c r="DH889" s="240"/>
      <c r="DI889" s="240"/>
      <c r="DJ889" s="240"/>
      <c r="DK889" s="240"/>
      <c r="DL889" s="240"/>
      <c r="DM889" s="240"/>
      <c r="DN889" s="240"/>
      <c r="DO889" s="240"/>
      <c r="DP889" s="240"/>
      <c r="DQ889" s="240"/>
      <c r="DR889" s="240"/>
      <c r="DS889" s="240"/>
      <c r="DT889" s="240"/>
      <c r="DU889" s="240"/>
      <c r="DV889" s="240"/>
      <c r="DW889" s="240"/>
      <c r="DX889" s="240"/>
      <c r="DY889" s="240"/>
      <c r="DZ889" s="240"/>
      <c r="EA889" s="240"/>
      <c r="EB889" s="240"/>
      <c r="EC889" s="240"/>
      <c r="ED889" s="240"/>
      <c r="EE889" s="240"/>
      <c r="EF889" s="240"/>
      <c r="EG889" s="240"/>
      <c r="EH889" s="240"/>
      <c r="EI889" s="240"/>
      <c r="EJ889" s="240"/>
      <c r="EK889" s="240"/>
      <c r="EL889" s="359"/>
      <c r="EM889" s="245"/>
      <c r="EN889" s="245"/>
      <c r="EO889" s="245"/>
      <c r="EP889" s="245"/>
      <c r="EQ889" s="254"/>
      <c r="ER889" s="240"/>
      <c r="ES889" s="240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193"/>
    </row>
    <row r="890" spans="1:189" s="243" customFormat="1" ht="11.45" hidden="1" customHeight="1">
      <c r="B890" s="244"/>
      <c r="C890" s="240"/>
      <c r="D890" s="240"/>
      <c r="E890" s="240"/>
      <c r="F890" s="240"/>
      <c r="G890" s="240"/>
      <c r="H890" s="240" t="s">
        <v>741</v>
      </c>
      <c r="I890" s="240"/>
      <c r="J890" s="240"/>
      <c r="K890" s="240"/>
      <c r="L890" s="297"/>
      <c r="M890" s="297"/>
      <c r="N890" s="297"/>
      <c r="O890" s="240" t="s">
        <v>745</v>
      </c>
      <c r="P890" s="240"/>
      <c r="Q890" s="240"/>
      <c r="R890" s="240"/>
      <c r="S890" s="240"/>
      <c r="T890" s="240"/>
      <c r="U890" s="240"/>
      <c r="V890" s="240" t="s">
        <v>132</v>
      </c>
      <c r="W890" s="240"/>
      <c r="X890" s="240" t="s">
        <v>687</v>
      </c>
      <c r="Y890" s="240"/>
      <c r="Z890" s="240" t="s">
        <v>134</v>
      </c>
      <c r="AA890" s="240"/>
      <c r="AB890" s="240" t="s">
        <v>743</v>
      </c>
      <c r="AC890" s="240"/>
      <c r="AD890" s="240"/>
      <c r="AE890" s="240" t="s">
        <v>683</v>
      </c>
      <c r="AF890" s="240"/>
      <c r="AG890" s="240"/>
      <c r="AH890" s="240" t="str">
        <f>TEXT(8,"#,##0.#######")</f>
        <v>8.</v>
      </c>
      <c r="AI890" s="240" t="s">
        <v>618</v>
      </c>
      <c r="AJ890" s="240"/>
      <c r="AK890" s="240"/>
      <c r="AL890" s="240" t="s">
        <v>134</v>
      </c>
      <c r="AM890" s="240"/>
      <c r="AN890" s="240" t="str">
        <f>TEXT(Z889,"#,##0.#######")</f>
        <v>8,000.</v>
      </c>
      <c r="AO890" s="240"/>
      <c r="AP890" s="240"/>
      <c r="AQ890" s="240" t="s">
        <v>683</v>
      </c>
      <c r="AR890" s="240"/>
      <c r="AS890" s="240"/>
      <c r="AT890" s="240" t="str">
        <f>TEXT(AH890,"#,##0.#######")</f>
        <v>8.</v>
      </c>
      <c r="AU890" s="240"/>
      <c r="AV890" s="240" t="s">
        <v>134</v>
      </c>
      <c r="AW890" s="240"/>
      <c r="AX890" s="240" t="str">
        <f>TEXT(ROUND(Z889/AH890,2),"#,##0.#######")</f>
        <v>1,000.</v>
      </c>
      <c r="AY890" s="240"/>
      <c r="AZ890" s="240"/>
      <c r="BA890" s="240"/>
      <c r="BB890" s="240"/>
      <c r="BC890" s="240" t="s">
        <v>728</v>
      </c>
      <c r="BD890" s="240" t="s">
        <v>139</v>
      </c>
      <c r="BE890" s="240" t="s">
        <v>618</v>
      </c>
      <c r="BF890" s="240"/>
      <c r="BG890" s="240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297"/>
      <c r="BT890" s="240"/>
      <c r="BU890" s="240"/>
      <c r="BV890" s="240"/>
      <c r="BW890" s="240"/>
      <c r="BX890" s="240"/>
      <c r="BY890" s="240"/>
      <c r="BZ890" s="240"/>
      <c r="CA890" s="240"/>
      <c r="CB890" s="240"/>
      <c r="CC890" s="240"/>
      <c r="CD890" s="240"/>
      <c r="CE890" s="240"/>
      <c r="CF890" s="240"/>
      <c r="CG890" s="240"/>
      <c r="CH890" s="240"/>
      <c r="CI890" s="240"/>
      <c r="CJ890" s="240"/>
      <c r="CK890" s="240"/>
      <c r="CL890" s="240"/>
      <c r="CM890" s="240"/>
      <c r="CN890" s="240"/>
      <c r="CO890" s="240"/>
      <c r="CP890" s="240"/>
      <c r="CQ890" s="240"/>
      <c r="CR890" s="240"/>
      <c r="CS890" s="240"/>
      <c r="CT890" s="240"/>
      <c r="CU890" s="240"/>
      <c r="CV890" s="240"/>
      <c r="CW890" s="240"/>
      <c r="CX890" s="240"/>
      <c r="CY890" s="240"/>
      <c r="CZ890" s="240"/>
      <c r="DA890" s="240"/>
      <c r="DB890" s="240"/>
      <c r="DC890" s="240"/>
      <c r="DD890" s="240"/>
      <c r="DE890" s="240"/>
      <c r="DF890" s="240"/>
      <c r="DG890" s="240"/>
      <c r="DH890" s="240"/>
      <c r="DI890" s="240"/>
      <c r="DJ890" s="240"/>
      <c r="DK890" s="240"/>
      <c r="DL890" s="240"/>
      <c r="DM890" s="240"/>
      <c r="DN890" s="240"/>
      <c r="DO890" s="240"/>
      <c r="DP890" s="240"/>
      <c r="DQ890" s="240"/>
      <c r="DR890" s="240"/>
      <c r="DS890" s="240"/>
      <c r="DT890" s="240"/>
      <c r="DU890" s="240"/>
      <c r="DV890" s="240"/>
      <c r="DW890" s="240"/>
      <c r="DX890" s="240"/>
      <c r="DY890" s="240"/>
      <c r="DZ890" s="240"/>
      <c r="EA890" s="240"/>
      <c r="EB890" s="240"/>
      <c r="EC890" s="240"/>
      <c r="ED890" s="240"/>
      <c r="EE890" s="240"/>
      <c r="EF890" s="240"/>
      <c r="EG890" s="240"/>
      <c r="EH890" s="240"/>
      <c r="EI890" s="240"/>
      <c r="EJ890" s="240"/>
      <c r="EK890" s="240"/>
      <c r="EL890" s="359"/>
      <c r="EM890" s="245"/>
      <c r="EN890" s="245"/>
      <c r="EO890" s="245"/>
      <c r="EP890" s="245"/>
      <c r="EQ890" s="254"/>
      <c r="ER890" s="240"/>
      <c r="ES890" s="240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193"/>
    </row>
    <row r="891" spans="1:189" s="243" customFormat="1" ht="11.45" hidden="1" customHeight="1">
      <c r="B891" s="244"/>
      <c r="C891" s="240"/>
      <c r="D891" s="240"/>
      <c r="E891" s="240"/>
      <c r="F891" s="240"/>
      <c r="G891" s="240"/>
      <c r="H891" s="240"/>
      <c r="I891" s="240"/>
      <c r="J891" s="240"/>
      <c r="K891" s="240"/>
      <c r="L891" s="297"/>
      <c r="M891" s="297"/>
      <c r="N891" s="297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0"/>
      <c r="AO891" s="240"/>
      <c r="AP891" s="240"/>
      <c r="AQ891" s="240"/>
      <c r="AR891" s="240"/>
      <c r="AS891" s="240"/>
      <c r="AT891" s="240"/>
      <c r="AU891" s="240"/>
      <c r="AV891" s="240"/>
      <c r="AW891" s="240"/>
      <c r="AX891" s="240"/>
      <c r="AY891" s="240"/>
      <c r="AZ891" s="240"/>
      <c r="BA891" s="240"/>
      <c r="BB891" s="240"/>
      <c r="BC891" s="240"/>
      <c r="BD891" s="240"/>
      <c r="BE891" s="240"/>
      <c r="BF891" s="240"/>
      <c r="BG891" s="240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297"/>
      <c r="BT891" s="240"/>
      <c r="BU891" s="240"/>
      <c r="BV891" s="240"/>
      <c r="BW891" s="240"/>
      <c r="BX891" s="240"/>
      <c r="BY891" s="240"/>
      <c r="BZ891" s="240"/>
      <c r="CA891" s="240"/>
      <c r="CB891" s="240"/>
      <c r="CC891" s="240"/>
      <c r="CD891" s="240"/>
      <c r="CE891" s="240"/>
      <c r="CF891" s="240"/>
      <c r="CG891" s="240"/>
      <c r="CH891" s="240"/>
      <c r="CI891" s="240"/>
      <c r="CJ891" s="240"/>
      <c r="CK891" s="240"/>
      <c r="CL891" s="240"/>
      <c r="CM891" s="240"/>
      <c r="CN891" s="240"/>
      <c r="CO891" s="240"/>
      <c r="CP891" s="240"/>
      <c r="CQ891" s="240"/>
      <c r="CR891" s="240"/>
      <c r="CS891" s="240"/>
      <c r="CT891" s="240"/>
      <c r="CU891" s="240"/>
      <c r="CV891" s="240"/>
      <c r="CW891" s="240"/>
      <c r="CX891" s="240"/>
      <c r="CY891" s="240"/>
      <c r="CZ891" s="240"/>
      <c r="DA891" s="240"/>
      <c r="DB891" s="240"/>
      <c r="DC891" s="240"/>
      <c r="DD891" s="240"/>
      <c r="DE891" s="240"/>
      <c r="DF891" s="240"/>
      <c r="DG891" s="240"/>
      <c r="DH891" s="240"/>
      <c r="DI891" s="240"/>
      <c r="DJ891" s="240"/>
      <c r="DK891" s="240"/>
      <c r="DL891" s="240"/>
      <c r="DM891" s="240"/>
      <c r="DN891" s="240"/>
      <c r="DO891" s="240"/>
      <c r="DP891" s="240"/>
      <c r="DQ891" s="240"/>
      <c r="DR891" s="240"/>
      <c r="DS891" s="240"/>
      <c r="DT891" s="240"/>
      <c r="DU891" s="240"/>
      <c r="DV891" s="240"/>
      <c r="DW891" s="240"/>
      <c r="DX891" s="240"/>
      <c r="DY891" s="240"/>
      <c r="DZ891" s="240"/>
      <c r="EA891" s="240"/>
      <c r="EB891" s="240"/>
      <c r="EC891" s="240"/>
      <c r="ED891" s="240"/>
      <c r="EE891" s="240"/>
      <c r="EF891" s="240"/>
      <c r="EG891" s="240"/>
      <c r="EH891" s="240"/>
      <c r="EI891" s="240"/>
      <c r="EJ891" s="240"/>
      <c r="EK891" s="240"/>
      <c r="EL891" s="359"/>
      <c r="EM891" s="245"/>
      <c r="EN891" s="245"/>
      <c r="EO891" s="245"/>
      <c r="EP891" s="245"/>
      <c r="EQ891" s="254"/>
      <c r="ER891" s="240"/>
      <c r="ES891" s="240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193"/>
    </row>
    <row r="892" spans="1:189" s="243" customFormat="1" ht="11.45" hidden="1" customHeight="1">
      <c r="B892" s="244"/>
      <c r="C892" s="240"/>
      <c r="D892" s="240" t="s">
        <v>674</v>
      </c>
      <c r="E892" s="240"/>
      <c r="F892" s="240"/>
      <c r="G892" s="240" t="s">
        <v>742</v>
      </c>
      <c r="H892" s="240"/>
      <c r="I892" s="240"/>
      <c r="J892" s="240"/>
      <c r="K892" s="240"/>
      <c r="L892" s="297"/>
      <c r="M892" s="297"/>
      <c r="N892" s="297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0"/>
      <c r="AO892" s="240"/>
      <c r="AP892" s="240"/>
      <c r="AQ892" s="240"/>
      <c r="AR892" s="240"/>
      <c r="AS892" s="240"/>
      <c r="AT892" s="240"/>
      <c r="AU892" s="240"/>
      <c r="AV892" s="240"/>
      <c r="AW892" s="240"/>
      <c r="AX892" s="240"/>
      <c r="AY892" s="240"/>
      <c r="AZ892" s="240"/>
      <c r="BA892" s="240"/>
      <c r="BB892" s="240"/>
      <c r="BC892" s="240"/>
      <c r="BD892" s="240"/>
      <c r="BE892" s="240"/>
      <c r="BF892" s="240"/>
      <c r="BG892" s="240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297"/>
      <c r="BT892" s="240"/>
      <c r="BU892" s="240"/>
      <c r="BV892" s="240"/>
      <c r="BW892" s="240"/>
      <c r="BX892" s="240"/>
      <c r="BY892" s="240"/>
      <c r="BZ892" s="240"/>
      <c r="CA892" s="240"/>
      <c r="CB892" s="240"/>
      <c r="CC892" s="240"/>
      <c r="CD892" s="240"/>
      <c r="CE892" s="240"/>
      <c r="CF892" s="240"/>
      <c r="CG892" s="240"/>
      <c r="CH892" s="240"/>
      <c r="CI892" s="240"/>
      <c r="CJ892" s="240"/>
      <c r="CK892" s="240"/>
      <c r="CL892" s="240"/>
      <c r="CM892" s="240"/>
      <c r="CN892" s="240"/>
      <c r="CO892" s="240"/>
      <c r="CP892" s="240"/>
      <c r="CQ892" s="240"/>
      <c r="CR892" s="240"/>
      <c r="CS892" s="240"/>
      <c r="CT892" s="240"/>
      <c r="CU892" s="240"/>
      <c r="CV892" s="240"/>
      <c r="CW892" s="240"/>
      <c r="CX892" s="240"/>
      <c r="CY892" s="240"/>
      <c r="CZ892" s="240"/>
      <c r="DA892" s="240"/>
      <c r="DB892" s="240"/>
      <c r="DC892" s="240"/>
      <c r="DD892" s="240"/>
      <c r="DE892" s="240"/>
      <c r="DF892" s="240"/>
      <c r="DG892" s="240"/>
      <c r="DH892" s="240"/>
      <c r="DI892" s="240"/>
      <c r="DJ892" s="240"/>
      <c r="DK892" s="240"/>
      <c r="DL892" s="240"/>
      <c r="DM892" s="240"/>
      <c r="DN892" s="240"/>
      <c r="DO892" s="240"/>
      <c r="DP892" s="240"/>
      <c r="DQ892" s="240"/>
      <c r="DR892" s="240"/>
      <c r="DS892" s="240"/>
      <c r="DT892" s="240"/>
      <c r="DU892" s="240"/>
      <c r="DV892" s="240"/>
      <c r="DW892" s="240"/>
      <c r="DX892" s="240"/>
      <c r="DY892" s="240"/>
      <c r="DZ892" s="240"/>
      <c r="EA892" s="240"/>
      <c r="EB892" s="240"/>
      <c r="EC892" s="240"/>
      <c r="ED892" s="240"/>
      <c r="EE892" s="240"/>
      <c r="EF892" s="240"/>
      <c r="EG892" s="240"/>
      <c r="EH892" s="240"/>
      <c r="EI892" s="240"/>
      <c r="EJ892" s="240"/>
      <c r="EK892" s="240"/>
      <c r="EL892" s="359"/>
      <c r="EM892" s="245"/>
      <c r="EN892" s="245"/>
      <c r="EO892" s="245"/>
      <c r="EP892" s="245"/>
      <c r="EQ892" s="254"/>
      <c r="ER892" s="240"/>
      <c r="ES892" s="240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193"/>
    </row>
    <row r="893" spans="1:189" s="243" customFormat="1" ht="11.45" hidden="1" customHeight="1">
      <c r="B893" s="244"/>
      <c r="C893" s="240"/>
      <c r="D893" s="240"/>
      <c r="E893" s="240"/>
      <c r="F893" s="240"/>
      <c r="G893" s="240"/>
      <c r="H893" s="240"/>
      <c r="I893" s="240"/>
      <c r="J893" s="240"/>
      <c r="K893" s="240"/>
      <c r="L893" s="297"/>
      <c r="M893" s="297"/>
      <c r="N893" s="297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0"/>
      <c r="AO893" s="240"/>
      <c r="AP893" s="240"/>
      <c r="AQ893" s="240"/>
      <c r="AR893" s="240"/>
      <c r="AS893" s="240"/>
      <c r="AT893" s="240"/>
      <c r="AU893" s="240"/>
      <c r="AV893" s="240"/>
      <c r="AW893" s="240"/>
      <c r="AX893" s="240"/>
      <c r="AY893" s="240"/>
      <c r="AZ893" s="240"/>
      <c r="BA893" s="240"/>
      <c r="BB893" s="240"/>
      <c r="BC893" s="240"/>
      <c r="BD893" s="240"/>
      <c r="BE893" s="240"/>
      <c r="BF893" s="240"/>
      <c r="BG893" s="240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297"/>
      <c r="BT893" s="240"/>
      <c r="BU893" s="240"/>
      <c r="BV893" s="240"/>
      <c r="BW893" s="240"/>
      <c r="BX893" s="240"/>
      <c r="BY893" s="240"/>
      <c r="BZ893" s="240"/>
      <c r="CA893" s="240"/>
      <c r="CB893" s="240"/>
      <c r="CC893" s="240"/>
      <c r="CD893" s="240"/>
      <c r="CE893" s="240"/>
      <c r="CF893" s="240"/>
      <c r="CG893" s="240"/>
      <c r="CH893" s="240"/>
      <c r="CI893" s="240"/>
      <c r="CJ893" s="240"/>
      <c r="CK893" s="240"/>
      <c r="CL893" s="240"/>
      <c r="CM893" s="240"/>
      <c r="CN893" s="240"/>
      <c r="CO893" s="240"/>
      <c r="CP893" s="240"/>
      <c r="CQ893" s="240"/>
      <c r="CR893" s="240"/>
      <c r="CS893" s="240"/>
      <c r="CT893" s="240"/>
      <c r="CU893" s="240"/>
      <c r="CV893" s="240"/>
      <c r="CW893" s="240"/>
      <c r="CX893" s="240"/>
      <c r="CY893" s="240"/>
      <c r="CZ893" s="240"/>
      <c r="DA893" s="240"/>
      <c r="DB893" s="240"/>
      <c r="DC893" s="240"/>
      <c r="DD893" s="240"/>
      <c r="DE893" s="240"/>
      <c r="DF893" s="240"/>
      <c r="DG893" s="240"/>
      <c r="DH893" s="240"/>
      <c r="DI893" s="240"/>
      <c r="DJ893" s="240"/>
      <c r="DK893" s="240"/>
      <c r="DL893" s="240"/>
      <c r="DM893" s="240"/>
      <c r="DN893" s="240"/>
      <c r="DO893" s="240"/>
      <c r="DP893" s="240"/>
      <c r="DQ893" s="240"/>
      <c r="DR893" s="240"/>
      <c r="DS893" s="240"/>
      <c r="DT893" s="240"/>
      <c r="DU893" s="240"/>
      <c r="DV893" s="240"/>
      <c r="DW893" s="240"/>
      <c r="DX893" s="240"/>
      <c r="DY893" s="240"/>
      <c r="DZ893" s="240"/>
      <c r="EA893" s="240"/>
      <c r="EB893" s="240"/>
      <c r="EC893" s="240"/>
      <c r="ED893" s="240"/>
      <c r="EE893" s="240"/>
      <c r="EF893" s="240"/>
      <c r="EG893" s="240"/>
      <c r="EH893" s="240"/>
      <c r="EI893" s="240"/>
      <c r="EJ893" s="240"/>
      <c r="EK893" s="240"/>
      <c r="EL893" s="359"/>
      <c r="EM893" s="245"/>
      <c r="EN893" s="245"/>
      <c r="EO893" s="245"/>
      <c r="EP893" s="245"/>
      <c r="EQ893" s="254"/>
      <c r="ER893" s="240"/>
      <c r="ES893" s="240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193"/>
    </row>
    <row r="894" spans="1:189" s="243" customFormat="1" ht="11.45" hidden="1" customHeight="1">
      <c r="B894" s="244"/>
      <c r="C894" s="240"/>
      <c r="D894" s="240"/>
      <c r="E894" s="240"/>
      <c r="F894" s="240"/>
      <c r="G894" s="240"/>
      <c r="H894" s="240"/>
      <c r="I894" s="240"/>
      <c r="J894" s="240"/>
      <c r="K894" s="240"/>
      <c r="L894" s="297"/>
      <c r="M894" s="297"/>
      <c r="N894" s="297"/>
      <c r="O894" s="1775"/>
      <c r="P894" s="1775"/>
      <c r="Q894" s="1775"/>
      <c r="R894" s="1775"/>
      <c r="S894" s="1775"/>
      <c r="T894" s="1775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0"/>
      <c r="AO894" s="240"/>
      <c r="AP894" s="240"/>
      <c r="AQ894" s="240"/>
      <c r="AR894" s="240"/>
      <c r="AS894" s="240"/>
      <c r="AT894" s="240"/>
      <c r="AU894" s="240"/>
      <c r="AV894" s="240"/>
      <c r="AW894" s="240"/>
      <c r="AX894" s="240"/>
      <c r="AY894" s="240"/>
      <c r="AZ894" s="240"/>
      <c r="BA894" s="240"/>
      <c r="BB894" s="240"/>
      <c r="BC894" s="240"/>
      <c r="BD894" s="240"/>
      <c r="BQ894" s="240"/>
      <c r="BR894" s="240"/>
      <c r="BS894" s="297"/>
      <c r="BT894" s="240"/>
      <c r="BU894" s="240"/>
      <c r="BV894" s="240"/>
      <c r="BW894" s="240"/>
      <c r="BX894" s="240"/>
      <c r="BY894" s="240"/>
      <c r="BZ894" s="240"/>
      <c r="CA894" s="240"/>
      <c r="CB894" s="240"/>
      <c r="CC894" s="240"/>
      <c r="CD894" s="240"/>
      <c r="CE894" s="240"/>
      <c r="CF894" s="240"/>
      <c r="CG894" s="240"/>
      <c r="CH894" s="240"/>
      <c r="CI894" s="240"/>
      <c r="CJ894" s="240"/>
      <c r="CK894" s="240"/>
      <c r="CL894" s="240"/>
      <c r="CM894" s="240"/>
      <c r="CN894" s="240"/>
      <c r="CO894" s="240"/>
      <c r="CP894" s="240"/>
      <c r="CQ894" s="240"/>
      <c r="CR894" s="240"/>
      <c r="CS894" s="240"/>
      <c r="CT894" s="240"/>
      <c r="CU894" s="240"/>
      <c r="CV894" s="240"/>
      <c r="CW894" s="240"/>
      <c r="CX894" s="240"/>
      <c r="CY894" s="240"/>
      <c r="CZ894" s="240"/>
      <c r="DA894" s="240"/>
      <c r="DB894" s="240"/>
      <c r="DC894" s="240"/>
      <c r="DD894" s="240"/>
      <c r="DE894" s="240"/>
      <c r="DF894" s="240"/>
      <c r="DG894" s="240"/>
      <c r="DH894" s="240"/>
      <c r="DI894" s="240"/>
      <c r="DJ894" s="240"/>
      <c r="DK894" s="240"/>
      <c r="DL894" s="240"/>
      <c r="DM894" s="240"/>
      <c r="DN894" s="240"/>
      <c r="DO894" s="240"/>
      <c r="DP894" s="240"/>
      <c r="DQ894" s="240"/>
      <c r="DR894" s="240"/>
      <c r="DS894" s="240"/>
      <c r="DT894" s="240"/>
      <c r="DU894" s="240"/>
      <c r="DV894" s="240"/>
      <c r="DW894" s="240"/>
      <c r="DX894" s="240"/>
      <c r="DY894" s="240"/>
      <c r="DZ894" s="240"/>
      <c r="EA894" s="240"/>
      <c r="EB894" s="240"/>
      <c r="EC894" s="240"/>
      <c r="ED894" s="240"/>
      <c r="EE894" s="240"/>
      <c r="EF894" s="240"/>
      <c r="EG894" s="240"/>
      <c r="EH894" s="240"/>
      <c r="EI894" s="240"/>
      <c r="EJ894" s="240"/>
      <c r="EK894" s="240"/>
      <c r="EL894" s="359"/>
      <c r="EM894" s="245"/>
      <c r="EN894" s="245"/>
      <c r="EO894" s="245"/>
      <c r="EP894" s="245"/>
      <c r="EQ894" s="254"/>
      <c r="ER894" s="240"/>
      <c r="ES894" s="240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193"/>
    </row>
    <row r="895" spans="1:189" s="243" customFormat="1" ht="11.45" hidden="1" customHeight="1">
      <c r="B895" s="244"/>
      <c r="C895" s="240"/>
      <c r="D895" s="240"/>
      <c r="E895" s="240"/>
      <c r="F895" s="240"/>
      <c r="G895" s="240" t="s">
        <v>103</v>
      </c>
      <c r="H895" s="240"/>
      <c r="I895" s="240"/>
      <c r="J895" s="240"/>
      <c r="K895" s="240"/>
      <c r="L895" s="297"/>
      <c r="M895" s="297" t="s">
        <v>132</v>
      </c>
      <c r="N895" s="297"/>
      <c r="O895" s="1775">
        <f>VLOOKUP($G895,노임단가!$A:$B,2,FALSE)</f>
        <v>157068</v>
      </c>
      <c r="P895" s="1775"/>
      <c r="Q895" s="1775"/>
      <c r="R895" s="1775"/>
      <c r="S895" s="1775"/>
      <c r="T895" s="1775"/>
      <c r="U895" s="240" t="s">
        <v>652</v>
      </c>
      <c r="V895" s="240"/>
      <c r="W895" s="240"/>
      <c r="X895" s="240" t="str">
        <f>TEXT(2,"#,##0.#######")</f>
        <v>2.</v>
      </c>
      <c r="Y895" s="240"/>
      <c r="Z895" s="240" t="s">
        <v>102</v>
      </c>
      <c r="AA895" s="240"/>
      <c r="AB895" s="240" t="s">
        <v>683</v>
      </c>
      <c r="AC895" s="240"/>
      <c r="AD895" s="240"/>
      <c r="AE895" s="240" t="s">
        <v>743</v>
      </c>
      <c r="AF895" s="240"/>
      <c r="AG895" s="240"/>
      <c r="AH895" s="240" t="s">
        <v>134</v>
      </c>
      <c r="AI895" s="240"/>
      <c r="AJ895" s="240" t="str">
        <f>TEXT(O895,"#,##0.#######")</f>
        <v>157,068.</v>
      </c>
      <c r="AK895" s="240"/>
      <c r="AL895" s="240"/>
      <c r="AM895" s="240"/>
      <c r="AN895" s="240"/>
      <c r="AO895" s="240"/>
      <c r="AP895" s="240"/>
      <c r="AQ895" s="240" t="s">
        <v>652</v>
      </c>
      <c r="AR895" s="240"/>
      <c r="AS895" s="240"/>
      <c r="AT895" s="240" t="str">
        <f>TEXT(X895,"#,##0.#######")</f>
        <v>2.</v>
      </c>
      <c r="AU895" s="240"/>
      <c r="AV895" s="240" t="s">
        <v>683</v>
      </c>
      <c r="AW895" s="240"/>
      <c r="AX895" s="240"/>
      <c r="AY895" s="240" t="str">
        <f>TEXT(Z889,"#,##0.#######")</f>
        <v>8,000.</v>
      </c>
      <c r="AZ895" s="240"/>
      <c r="BA895" s="240"/>
      <c r="BB895" s="240" t="s">
        <v>134</v>
      </c>
      <c r="BC895" s="240"/>
      <c r="BD895" s="240" t="str">
        <f>TEXT(TRUNC(O895*X895/Z889,1),"#,##0.#######")</f>
        <v>39.2</v>
      </c>
      <c r="BE895" s="240"/>
      <c r="BF895" s="240"/>
      <c r="BG895" s="240"/>
      <c r="BR895" s="240"/>
      <c r="BS895" s="297"/>
      <c r="BT895" s="240"/>
      <c r="BU895" s="240"/>
      <c r="BV895" s="240"/>
      <c r="BW895" s="240"/>
      <c r="BX895" s="240"/>
      <c r="BY895" s="240"/>
      <c r="BZ895" s="240"/>
      <c r="CA895" s="240"/>
      <c r="CB895" s="240"/>
      <c r="CC895" s="240"/>
      <c r="CD895" s="240"/>
      <c r="CE895" s="240"/>
      <c r="CF895" s="240"/>
      <c r="CG895" s="240"/>
      <c r="CH895" s="240"/>
      <c r="CI895" s="240"/>
      <c r="CJ895" s="240"/>
      <c r="CK895" s="240"/>
      <c r="CL895" s="240"/>
      <c r="CM895" s="240"/>
      <c r="CN895" s="240"/>
      <c r="CO895" s="240"/>
      <c r="CP895" s="240"/>
      <c r="CQ895" s="240"/>
      <c r="CR895" s="240"/>
      <c r="CS895" s="240"/>
      <c r="CT895" s="240"/>
      <c r="CU895" s="240"/>
      <c r="CV895" s="240"/>
      <c r="CW895" s="240"/>
      <c r="CX895" s="240"/>
      <c r="CY895" s="240"/>
      <c r="CZ895" s="240"/>
      <c r="DA895" s="240"/>
      <c r="DB895" s="240"/>
      <c r="DC895" s="240"/>
      <c r="DD895" s="240"/>
      <c r="DE895" s="240"/>
      <c r="DF895" s="240"/>
      <c r="DG895" s="240"/>
      <c r="DH895" s="240"/>
      <c r="DI895" s="240"/>
      <c r="DJ895" s="240"/>
      <c r="DK895" s="240"/>
      <c r="DL895" s="240"/>
      <c r="DM895" s="240"/>
      <c r="DN895" s="240"/>
      <c r="DO895" s="240"/>
      <c r="DP895" s="240"/>
      <c r="DQ895" s="240"/>
      <c r="DR895" s="240"/>
      <c r="DS895" s="240"/>
      <c r="DT895" s="240"/>
      <c r="DU895" s="240"/>
      <c r="DV895" s="240"/>
      <c r="DW895" s="240"/>
      <c r="DX895" s="240"/>
      <c r="DY895" s="240"/>
      <c r="DZ895" s="240"/>
      <c r="EA895" s="240"/>
      <c r="EB895" s="240"/>
      <c r="EC895" s="240"/>
      <c r="ED895" s="240"/>
      <c r="EE895" s="240"/>
      <c r="EF895" s="240"/>
      <c r="EG895" s="240"/>
      <c r="EH895" s="240"/>
      <c r="EI895" s="240"/>
      <c r="EJ895" s="240"/>
      <c r="EK895" s="240"/>
      <c r="EL895" s="359"/>
      <c r="EM895" s="245"/>
      <c r="EN895" s="245"/>
      <c r="EO895" s="245"/>
      <c r="EP895" s="245"/>
      <c r="EQ895" s="254"/>
      <c r="ER895" s="240"/>
      <c r="ES895" s="240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193"/>
    </row>
    <row r="896" spans="1:189" s="243" customFormat="1" ht="11.45" hidden="1" customHeight="1">
      <c r="B896" s="244"/>
      <c r="C896" s="240"/>
      <c r="D896" s="240"/>
      <c r="E896" s="240"/>
      <c r="F896" s="240"/>
      <c r="G896" s="240" t="s">
        <v>684</v>
      </c>
      <c r="H896" s="240"/>
      <c r="I896" s="240"/>
      <c r="J896" s="240"/>
      <c r="K896" s="240"/>
      <c r="L896" s="297"/>
      <c r="M896" s="297" t="s">
        <v>132</v>
      </c>
      <c r="N896" s="297"/>
      <c r="O896" s="240" t="str">
        <f>TEXT(TRUNC(BD894+BD895,1),"#,##0.#######")</f>
        <v>39.2</v>
      </c>
      <c r="P896" s="240"/>
      <c r="Q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297"/>
      <c r="BT896" s="240"/>
      <c r="BU896" s="240"/>
      <c r="BV896" s="240"/>
      <c r="BW896" s="240"/>
      <c r="BX896" s="240"/>
      <c r="BY896" s="240"/>
      <c r="BZ896" s="240"/>
      <c r="CA896" s="240"/>
      <c r="CB896" s="240"/>
      <c r="CC896" s="240"/>
      <c r="CD896" s="240"/>
      <c r="CE896" s="240"/>
      <c r="CF896" s="240"/>
      <c r="CG896" s="240"/>
      <c r="CH896" s="240"/>
      <c r="CI896" s="240"/>
      <c r="CJ896" s="240"/>
      <c r="CK896" s="240"/>
      <c r="CL896" s="240"/>
      <c r="CM896" s="240"/>
      <c r="CN896" s="240"/>
      <c r="CO896" s="240"/>
      <c r="CP896" s="240"/>
      <c r="CQ896" s="240"/>
      <c r="CR896" s="240"/>
      <c r="CS896" s="240"/>
      <c r="CT896" s="240"/>
      <c r="CU896" s="240"/>
      <c r="CV896" s="240"/>
      <c r="CW896" s="240"/>
      <c r="CX896" s="240"/>
      <c r="CY896" s="240"/>
      <c r="CZ896" s="240"/>
      <c r="DA896" s="240"/>
      <c r="DB896" s="240"/>
      <c r="DC896" s="240"/>
      <c r="DD896" s="240"/>
      <c r="DE896" s="240"/>
      <c r="DF896" s="240"/>
      <c r="DG896" s="240"/>
      <c r="DH896" s="240"/>
      <c r="DI896" s="240"/>
      <c r="DJ896" s="240"/>
      <c r="DK896" s="240"/>
      <c r="DL896" s="240"/>
      <c r="DM896" s="240"/>
      <c r="DN896" s="240"/>
      <c r="DO896" s="240"/>
      <c r="DP896" s="240"/>
      <c r="DQ896" s="240"/>
      <c r="DR896" s="240"/>
      <c r="DS896" s="240"/>
      <c r="DT896" s="240"/>
      <c r="DU896" s="240"/>
      <c r="DV896" s="240"/>
      <c r="DW896" s="240"/>
      <c r="DX896" s="240"/>
      <c r="DY896" s="240"/>
      <c r="DZ896" s="240"/>
      <c r="EA896" s="240"/>
      <c r="EB896" s="240"/>
      <c r="EC896" s="240"/>
      <c r="ED896" s="240"/>
      <c r="EE896" s="240"/>
      <c r="EF896" s="240"/>
      <c r="EG896" s="240"/>
      <c r="EH896" s="240"/>
      <c r="EI896" s="240"/>
      <c r="EJ896" s="240"/>
      <c r="EK896" s="240"/>
      <c r="EL896" s="359"/>
      <c r="EM896" s="245"/>
      <c r="EN896" s="245" t="str">
        <f>O896</f>
        <v>39.2</v>
      </c>
      <c r="EO896" s="245"/>
      <c r="EP896" s="245"/>
      <c r="EQ896" s="254"/>
      <c r="ER896" s="240"/>
      <c r="ES896" s="240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193"/>
    </row>
    <row r="897" spans="2:189" s="243" customFormat="1" ht="11.45" hidden="1" customHeight="1">
      <c r="B897" s="244"/>
      <c r="C897" s="240"/>
      <c r="D897" s="240"/>
      <c r="E897" s="240"/>
      <c r="F897" s="240"/>
      <c r="G897" s="240"/>
      <c r="H897" s="240"/>
      <c r="I897" s="240"/>
      <c r="J897" s="240"/>
      <c r="K897" s="240"/>
      <c r="L897" s="297"/>
      <c r="M897" s="297"/>
      <c r="N897" s="297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297"/>
      <c r="BT897" s="240"/>
      <c r="BU897" s="240"/>
      <c r="BV897" s="240"/>
      <c r="BW897" s="240"/>
      <c r="BX897" s="240"/>
      <c r="BY897" s="240"/>
      <c r="BZ897" s="240"/>
      <c r="CA897" s="240"/>
      <c r="CB897" s="240"/>
      <c r="CC897" s="240"/>
      <c r="CD897" s="240"/>
      <c r="CE897" s="240"/>
      <c r="CF897" s="240"/>
      <c r="CG897" s="240"/>
      <c r="CH897" s="240"/>
      <c r="CI897" s="240"/>
      <c r="CJ897" s="240"/>
      <c r="CK897" s="240"/>
      <c r="CL897" s="240"/>
      <c r="CM897" s="240"/>
      <c r="CN897" s="240"/>
      <c r="CO897" s="240"/>
      <c r="CP897" s="240"/>
      <c r="CQ897" s="240"/>
      <c r="CR897" s="240"/>
      <c r="CS897" s="240"/>
      <c r="CT897" s="240"/>
      <c r="CU897" s="240"/>
      <c r="CV897" s="240"/>
      <c r="CW897" s="240"/>
      <c r="CX897" s="240"/>
      <c r="CY897" s="240"/>
      <c r="CZ897" s="240"/>
      <c r="DA897" s="240"/>
      <c r="DB897" s="240"/>
      <c r="DC897" s="240"/>
      <c r="DD897" s="240"/>
      <c r="DE897" s="240"/>
      <c r="DF897" s="240"/>
      <c r="DG897" s="240"/>
      <c r="DH897" s="240"/>
      <c r="DI897" s="240"/>
      <c r="DJ897" s="240"/>
      <c r="DK897" s="240"/>
      <c r="DL897" s="240"/>
      <c r="DM897" s="240"/>
      <c r="DN897" s="240"/>
      <c r="DO897" s="240"/>
      <c r="DP897" s="240"/>
      <c r="DQ897" s="240"/>
      <c r="DR897" s="240"/>
      <c r="DS897" s="240"/>
      <c r="DT897" s="240"/>
      <c r="DU897" s="240"/>
      <c r="DV897" s="240"/>
      <c r="DW897" s="240"/>
      <c r="DX897" s="240"/>
      <c r="DY897" s="240"/>
      <c r="DZ897" s="240"/>
      <c r="EA897" s="240"/>
      <c r="EB897" s="240"/>
      <c r="EC897" s="240"/>
      <c r="ED897" s="240"/>
      <c r="EE897" s="240"/>
      <c r="EF897" s="240"/>
      <c r="EG897" s="240"/>
      <c r="EH897" s="240"/>
      <c r="EI897" s="240"/>
      <c r="EJ897" s="240"/>
      <c r="EK897" s="240"/>
      <c r="EL897" s="359"/>
      <c r="EM897" s="245"/>
      <c r="EN897" s="245"/>
      <c r="EO897" s="245"/>
      <c r="EP897" s="245"/>
      <c r="EQ897" s="254"/>
      <c r="ER897" s="240"/>
      <c r="ES897" s="240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193"/>
    </row>
    <row r="898" spans="2:189" s="243" customFormat="1" ht="11.45" hidden="1" customHeight="1">
      <c r="B898" s="244"/>
      <c r="C898" s="240"/>
      <c r="D898" s="240"/>
      <c r="E898" s="240"/>
      <c r="F898" s="240"/>
      <c r="G898" s="240"/>
      <c r="H898" s="240"/>
      <c r="I898" s="240"/>
      <c r="J898" s="240"/>
      <c r="K898" s="240"/>
      <c r="L898" s="297"/>
      <c r="M898" s="297"/>
      <c r="N898" s="297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297"/>
      <c r="BT898" s="240"/>
      <c r="BU898" s="240"/>
      <c r="BV898" s="240"/>
      <c r="BW898" s="240"/>
      <c r="BX898" s="240"/>
      <c r="BY898" s="240"/>
      <c r="BZ898" s="240"/>
      <c r="CA898" s="240"/>
      <c r="CB898" s="240"/>
      <c r="CC898" s="240"/>
      <c r="CD898" s="240"/>
      <c r="CE898" s="240"/>
      <c r="CF898" s="240"/>
      <c r="CG898" s="240"/>
      <c r="CH898" s="240"/>
      <c r="CI898" s="240"/>
      <c r="CJ898" s="240"/>
      <c r="CK898" s="240"/>
      <c r="CL898" s="240"/>
      <c r="CM898" s="240"/>
      <c r="CN898" s="240"/>
      <c r="CO898" s="240"/>
      <c r="CP898" s="240"/>
      <c r="CQ898" s="240"/>
      <c r="CR898" s="240"/>
      <c r="CS898" s="240"/>
      <c r="CT898" s="240"/>
      <c r="CU898" s="240"/>
      <c r="CV898" s="240"/>
      <c r="CW898" s="240"/>
      <c r="CX898" s="240"/>
      <c r="CY898" s="240"/>
      <c r="CZ898" s="240"/>
      <c r="DA898" s="240"/>
      <c r="DB898" s="240"/>
      <c r="DC898" s="240"/>
      <c r="DD898" s="240"/>
      <c r="DE898" s="240"/>
      <c r="DF898" s="240"/>
      <c r="DG898" s="240"/>
      <c r="DH898" s="240"/>
      <c r="DI898" s="240"/>
      <c r="DJ898" s="240"/>
      <c r="DK898" s="240"/>
      <c r="DL898" s="240"/>
      <c r="DM898" s="240"/>
      <c r="DN898" s="240"/>
      <c r="DO898" s="240"/>
      <c r="DP898" s="240"/>
      <c r="DQ898" s="240"/>
      <c r="DR898" s="240"/>
      <c r="DS898" s="240"/>
      <c r="DT898" s="240"/>
      <c r="DU898" s="240"/>
      <c r="DV898" s="240"/>
      <c r="DW898" s="240"/>
      <c r="DX898" s="240"/>
      <c r="DY898" s="240"/>
      <c r="DZ898" s="240"/>
      <c r="EA898" s="240"/>
      <c r="EB898" s="240"/>
      <c r="EC898" s="240"/>
      <c r="ED898" s="240"/>
      <c r="EE898" s="240"/>
      <c r="EF898" s="240"/>
      <c r="EG898" s="240"/>
      <c r="EH898" s="240"/>
      <c r="EI898" s="240"/>
      <c r="EJ898" s="240"/>
      <c r="EK898" s="240"/>
      <c r="EL898" s="359"/>
      <c r="EM898" s="245"/>
      <c r="EN898" s="245"/>
      <c r="EO898" s="245"/>
      <c r="EP898" s="245"/>
      <c r="EQ898" s="254"/>
      <c r="ER898" s="240"/>
      <c r="ES898" s="240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193"/>
    </row>
    <row r="899" spans="2:189" s="243" customFormat="1" ht="11.45" hidden="1" customHeight="1">
      <c r="B899" s="244"/>
      <c r="C899" s="240"/>
      <c r="D899" s="240" t="s">
        <v>677</v>
      </c>
      <c r="E899" s="240"/>
      <c r="F899" s="240"/>
      <c r="G899" s="240" t="s">
        <v>734</v>
      </c>
      <c r="H899" s="240"/>
      <c r="I899" s="240"/>
      <c r="J899" s="240" t="s">
        <v>733</v>
      </c>
      <c r="K899" s="240"/>
      <c r="L899" s="297"/>
      <c r="M899" s="297" t="s">
        <v>132</v>
      </c>
      <c r="N899" s="297"/>
      <c r="O899" s="240" t="s">
        <v>748</v>
      </c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 t="s">
        <v>749</v>
      </c>
      <c r="AB899" s="240"/>
      <c r="AC899" s="240"/>
      <c r="AD899" s="240"/>
      <c r="AE899" s="240"/>
      <c r="AF899" s="240"/>
      <c r="AG899" s="240"/>
      <c r="AH899" s="240"/>
      <c r="AI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297"/>
      <c r="BT899" s="240"/>
      <c r="BU899" s="240"/>
      <c r="BV899" s="240"/>
      <c r="BW899" s="240"/>
      <c r="BX899" s="240"/>
      <c r="BY899" s="240"/>
      <c r="BZ899" s="240"/>
      <c r="CA899" s="240"/>
      <c r="CB899" s="240"/>
      <c r="CC899" s="240"/>
      <c r="CD899" s="240"/>
      <c r="CE899" s="240"/>
      <c r="CF899" s="240"/>
      <c r="CG899" s="240"/>
      <c r="CH899" s="240"/>
      <c r="CI899" s="240"/>
      <c r="CJ899" s="240"/>
      <c r="CK899" s="240"/>
      <c r="CL899" s="240"/>
      <c r="CM899" s="240"/>
      <c r="CN899" s="240"/>
      <c r="CO899" s="240"/>
      <c r="CP899" s="240"/>
      <c r="CQ899" s="240"/>
      <c r="CR899" s="240"/>
      <c r="CS899" s="240"/>
      <c r="CT899" s="240"/>
      <c r="CU899" s="240"/>
      <c r="CV899" s="240"/>
      <c r="CW899" s="240"/>
      <c r="CX899" s="240"/>
      <c r="CY899" s="240"/>
      <c r="CZ899" s="240"/>
      <c r="DA899" s="240"/>
      <c r="DB899" s="240"/>
      <c r="DC899" s="240"/>
      <c r="DD899" s="240"/>
      <c r="DE899" s="240"/>
      <c r="DF899" s="240"/>
      <c r="DG899" s="240"/>
      <c r="DH899" s="240"/>
      <c r="DI899" s="240"/>
      <c r="DJ899" s="240"/>
      <c r="DK899" s="240"/>
      <c r="DL899" s="240"/>
      <c r="DM899" s="240"/>
      <c r="DN899" s="240"/>
      <c r="DO899" s="240"/>
      <c r="DP899" s="240"/>
      <c r="DQ899" s="240"/>
      <c r="DR899" s="240"/>
      <c r="DS899" s="240"/>
      <c r="DT899" s="240"/>
      <c r="DU899" s="240"/>
      <c r="DV899" s="240"/>
      <c r="DW899" s="240"/>
      <c r="DX899" s="240"/>
      <c r="DY899" s="240"/>
      <c r="DZ899" s="240"/>
      <c r="EA899" s="240"/>
      <c r="EB899" s="240"/>
      <c r="EC899" s="240"/>
      <c r="ED899" s="240"/>
      <c r="EE899" s="240"/>
      <c r="EF899" s="240"/>
      <c r="EG899" s="240"/>
      <c r="EH899" s="240"/>
      <c r="EI899" s="240"/>
      <c r="EJ899" s="240"/>
      <c r="EK899" s="240"/>
      <c r="EL899" s="359"/>
      <c r="EM899" s="245"/>
      <c r="EN899" s="245"/>
      <c r="EO899" s="245"/>
      <c r="EP899" s="245"/>
      <c r="EQ899" s="254"/>
      <c r="ER899" s="240"/>
      <c r="ES899" s="240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193"/>
    </row>
    <row r="900" spans="2:189" s="243" customFormat="1" ht="11.45" hidden="1" customHeight="1">
      <c r="B900" s="244"/>
      <c r="C900" s="240"/>
      <c r="D900" s="240"/>
      <c r="E900" s="240"/>
      <c r="F900" s="240"/>
      <c r="G900" s="240" t="s">
        <v>616</v>
      </c>
      <c r="H900" s="240"/>
      <c r="I900" s="240"/>
      <c r="J900" s="240"/>
      <c r="K900" s="240"/>
      <c r="L900" s="297"/>
      <c r="M900" s="297" t="s">
        <v>132</v>
      </c>
      <c r="N900" s="307"/>
      <c r="O900" s="1775" t="e">
        <f>토목기계경비!$J$162</f>
        <v>#REF!</v>
      </c>
      <c r="P900" s="1775"/>
      <c r="Q900" s="1775"/>
      <c r="R900" s="1775"/>
      <c r="S900" s="1775"/>
      <c r="T900" s="240"/>
      <c r="U900" s="240" t="s">
        <v>683</v>
      </c>
      <c r="V900" s="240"/>
      <c r="W900" s="240"/>
      <c r="X900" s="240" t="str">
        <f>TEXT(AX890,"#,##0.#######")</f>
        <v>1,000.</v>
      </c>
      <c r="Z900" s="240"/>
      <c r="AA900" s="240"/>
      <c r="AB900" s="240" t="s">
        <v>134</v>
      </c>
      <c r="AC900" s="240"/>
      <c r="AD900" s="240" t="e">
        <f>TEXT(TRUNC(O900/AX890,1),"#,##0.#")</f>
        <v>#REF!</v>
      </c>
      <c r="AE900" s="240"/>
      <c r="AF900" s="240"/>
      <c r="AH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297"/>
      <c r="BT900" s="240"/>
      <c r="BU900" s="240"/>
      <c r="BV900" s="240"/>
      <c r="BW900" s="240"/>
      <c r="BX900" s="240"/>
      <c r="BY900" s="240"/>
      <c r="BZ900" s="240"/>
      <c r="CA900" s="240"/>
      <c r="CB900" s="240"/>
      <c r="CC900" s="240"/>
      <c r="CD900" s="240"/>
      <c r="CE900" s="240"/>
      <c r="CF900" s="240"/>
      <c r="CG900" s="240"/>
      <c r="CH900" s="240"/>
      <c r="CI900" s="240"/>
      <c r="CJ900" s="240"/>
      <c r="CK900" s="240"/>
      <c r="CL900" s="240"/>
      <c r="CM900" s="240"/>
      <c r="CN900" s="240"/>
      <c r="CO900" s="240"/>
      <c r="CP900" s="240"/>
      <c r="CQ900" s="240"/>
      <c r="CR900" s="240"/>
      <c r="CS900" s="240"/>
      <c r="CT900" s="240"/>
      <c r="CU900" s="240"/>
      <c r="CV900" s="240"/>
      <c r="CW900" s="240"/>
      <c r="CX900" s="240"/>
      <c r="CY900" s="240"/>
      <c r="CZ900" s="240"/>
      <c r="DA900" s="240"/>
      <c r="DB900" s="240"/>
      <c r="DC900" s="240"/>
      <c r="DD900" s="240"/>
      <c r="DE900" s="240"/>
      <c r="DF900" s="240"/>
      <c r="DG900" s="240"/>
      <c r="DH900" s="240"/>
      <c r="DI900" s="240"/>
      <c r="DJ900" s="240"/>
      <c r="DK900" s="240"/>
      <c r="DL900" s="240"/>
      <c r="DM900" s="240"/>
      <c r="DN900" s="240"/>
      <c r="DO900" s="240"/>
      <c r="DP900" s="240"/>
      <c r="DQ900" s="240"/>
      <c r="DR900" s="240"/>
      <c r="DS900" s="240"/>
      <c r="DT900" s="240"/>
      <c r="DU900" s="240"/>
      <c r="DV900" s="240"/>
      <c r="DW900" s="240"/>
      <c r="DX900" s="240"/>
      <c r="DY900" s="240"/>
      <c r="DZ900" s="240"/>
      <c r="EA900" s="240"/>
      <c r="EB900" s="240"/>
      <c r="EC900" s="240"/>
      <c r="ED900" s="240"/>
      <c r="EE900" s="240"/>
      <c r="EF900" s="240"/>
      <c r="EG900" s="240"/>
      <c r="EH900" s="240"/>
      <c r="EI900" s="240"/>
      <c r="EJ900" s="240"/>
      <c r="EK900" s="240"/>
      <c r="EL900" s="359"/>
      <c r="EM900" s="245"/>
      <c r="EN900" s="245"/>
      <c r="EO900" s="245"/>
      <c r="EP900" s="245"/>
      <c r="EQ900" s="254"/>
      <c r="ER900" s="240"/>
      <c r="ES900" s="240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193"/>
    </row>
    <row r="901" spans="2:189" s="243" customFormat="1" ht="11.45" hidden="1" customHeight="1">
      <c r="B901" s="244"/>
      <c r="C901" s="240"/>
      <c r="D901" s="240"/>
      <c r="E901" s="240"/>
      <c r="F901" s="240"/>
      <c r="G901" s="240" t="s">
        <v>617</v>
      </c>
      <c r="H901" s="240"/>
      <c r="I901" s="240"/>
      <c r="J901" s="240"/>
      <c r="K901" s="240"/>
      <c r="L901" s="297"/>
      <c r="M901" s="297" t="s">
        <v>132</v>
      </c>
      <c r="N901" s="307"/>
      <c r="O901" s="1775" t="e">
        <f>토목기계경비!$K$162</f>
        <v>#REF!</v>
      </c>
      <c r="P901" s="1775"/>
      <c r="Q901" s="1775"/>
      <c r="R901" s="1775"/>
      <c r="S901" s="1775"/>
      <c r="T901" s="240"/>
      <c r="U901" s="240" t="s">
        <v>683</v>
      </c>
      <c r="V901" s="240"/>
      <c r="W901" s="240"/>
      <c r="X901" s="240" t="str">
        <f>TEXT(AX890,"#,##0.#######")</f>
        <v>1,000.</v>
      </c>
      <c r="Z901" s="240"/>
      <c r="AA901" s="240"/>
      <c r="AB901" s="240" t="s">
        <v>134</v>
      </c>
      <c r="AC901" s="240"/>
      <c r="AD901" s="240" t="e">
        <f>TEXT(TRUNC(O901/AX890,1),"#,##0.#")</f>
        <v>#REF!</v>
      </c>
      <c r="AE901" s="240"/>
      <c r="AF901" s="240"/>
      <c r="AH901" s="240"/>
      <c r="AI901" s="240"/>
      <c r="AJ901" s="240"/>
      <c r="AL901" s="240"/>
      <c r="AM901" s="240"/>
      <c r="AN901" s="240"/>
      <c r="AO901" s="240"/>
      <c r="AP901" s="240"/>
      <c r="AQ901" s="240"/>
      <c r="AR901" s="240"/>
      <c r="AS901" s="240"/>
      <c r="AT901" s="240"/>
      <c r="AU901" s="240"/>
      <c r="AV901" s="240"/>
      <c r="AW901" s="240"/>
      <c r="AX901" s="240"/>
      <c r="AY901" s="240"/>
      <c r="AZ901" s="240"/>
      <c r="BA901" s="240"/>
      <c r="BB901" s="240"/>
      <c r="BC901" s="240"/>
      <c r="BD901" s="240"/>
      <c r="BE901" s="240"/>
      <c r="BF901" s="240"/>
      <c r="BG901" s="240"/>
      <c r="BH901" s="240"/>
      <c r="BI901" s="240"/>
      <c r="BJ901" s="240"/>
      <c r="BK901" s="240"/>
      <c r="BL901" s="240"/>
      <c r="BM901" s="240"/>
      <c r="BN901" s="240"/>
      <c r="BO901" s="240"/>
      <c r="BP901" s="240"/>
      <c r="BQ901" s="240"/>
      <c r="BR901" s="240"/>
      <c r="BS901" s="297"/>
      <c r="BT901" s="240"/>
      <c r="BU901" s="240"/>
      <c r="BV901" s="240"/>
      <c r="BW901" s="240"/>
      <c r="BX901" s="240"/>
      <c r="BY901" s="240"/>
      <c r="BZ901" s="240"/>
      <c r="CA901" s="240"/>
      <c r="CB901" s="240"/>
      <c r="CC901" s="240"/>
      <c r="CD901" s="240"/>
      <c r="CE901" s="240"/>
      <c r="CF901" s="240"/>
      <c r="CG901" s="240"/>
      <c r="CH901" s="240"/>
      <c r="CI901" s="240"/>
      <c r="CJ901" s="240"/>
      <c r="CK901" s="240"/>
      <c r="CL901" s="240"/>
      <c r="CM901" s="240"/>
      <c r="CN901" s="240"/>
      <c r="CO901" s="240"/>
      <c r="CP901" s="240"/>
      <c r="CQ901" s="240"/>
      <c r="CR901" s="240"/>
      <c r="CS901" s="240"/>
      <c r="CT901" s="240"/>
      <c r="CU901" s="240"/>
      <c r="CV901" s="240"/>
      <c r="CW901" s="240"/>
      <c r="CX901" s="240"/>
      <c r="CY901" s="240"/>
      <c r="CZ901" s="240"/>
      <c r="DA901" s="240"/>
      <c r="DB901" s="240"/>
      <c r="DC901" s="240"/>
      <c r="DD901" s="240"/>
      <c r="DE901" s="240"/>
      <c r="DF901" s="240"/>
      <c r="DG901" s="240"/>
      <c r="DH901" s="240"/>
      <c r="DI901" s="240"/>
      <c r="DJ901" s="240"/>
      <c r="DK901" s="240"/>
      <c r="DL901" s="240"/>
      <c r="DM901" s="240"/>
      <c r="DN901" s="240"/>
      <c r="DO901" s="240"/>
      <c r="DP901" s="240"/>
      <c r="DQ901" s="240"/>
      <c r="DR901" s="240"/>
      <c r="DS901" s="240"/>
      <c r="DT901" s="240"/>
      <c r="DU901" s="240"/>
      <c r="DV901" s="240"/>
      <c r="DW901" s="240"/>
      <c r="DX901" s="240"/>
      <c r="DY901" s="240"/>
      <c r="DZ901" s="240"/>
      <c r="EA901" s="240"/>
      <c r="EB901" s="240"/>
      <c r="EC901" s="240"/>
      <c r="ED901" s="240"/>
      <c r="EE901" s="240"/>
      <c r="EF901" s="240"/>
      <c r="EG901" s="240"/>
      <c r="EH901" s="240"/>
      <c r="EI901" s="240"/>
      <c r="EJ901" s="240"/>
      <c r="EK901" s="240"/>
      <c r="EL901" s="359"/>
      <c r="EM901" s="245"/>
      <c r="EN901" s="245"/>
      <c r="EO901" s="245"/>
      <c r="EP901" s="245"/>
      <c r="EQ901" s="254"/>
      <c r="ER901" s="240"/>
      <c r="ES901" s="240"/>
      <c r="ET901" s="241"/>
      <c r="EU901" s="241"/>
      <c r="EV901" s="241"/>
      <c r="EW901" s="241"/>
      <c r="EX901" s="241"/>
      <c r="EY901" s="241"/>
      <c r="EZ901" s="241"/>
      <c r="FA901" s="241"/>
      <c r="FB901" s="241"/>
      <c r="FC901" s="241"/>
      <c r="FD901" s="241"/>
      <c r="FE901" s="241"/>
      <c r="FF901" s="241"/>
      <c r="FG901" s="241"/>
      <c r="FH901" s="241"/>
      <c r="FI901" s="241"/>
      <c r="FJ901" s="241"/>
      <c r="FK901" s="241"/>
      <c r="FL901" s="241"/>
      <c r="FM901" s="241"/>
      <c r="FN901" s="241"/>
      <c r="FO901" s="241"/>
      <c r="FP901" s="241"/>
      <c r="FQ901" s="241"/>
      <c r="FR901" s="241"/>
      <c r="FS901" s="241"/>
      <c r="FT901" s="241"/>
      <c r="FU901" s="241"/>
      <c r="FV901" s="241"/>
      <c r="FW901" s="241"/>
      <c r="FX901" s="241"/>
      <c r="FY901" s="241"/>
      <c r="FZ901" s="241"/>
      <c r="GA901" s="241"/>
      <c r="GB901" s="241"/>
      <c r="GC901" s="241"/>
      <c r="GD901" s="241"/>
      <c r="GE901" s="241"/>
      <c r="GF901" s="241"/>
      <c r="GG901" s="193"/>
    </row>
    <row r="902" spans="2:189" s="243" customFormat="1" ht="11.45" hidden="1" customHeight="1">
      <c r="B902" s="244"/>
      <c r="C902" s="240"/>
      <c r="D902" s="240"/>
      <c r="E902" s="240"/>
      <c r="F902" s="240"/>
      <c r="G902" s="240" t="s">
        <v>679</v>
      </c>
      <c r="H902" s="240"/>
      <c r="I902" s="240" t="s">
        <v>680</v>
      </c>
      <c r="J902" s="240"/>
      <c r="K902" s="240"/>
      <c r="L902" s="297"/>
      <c r="M902" s="297" t="s">
        <v>132</v>
      </c>
      <c r="N902" s="307"/>
      <c r="O902" s="1775">
        <f>토목기계경비!$L$162</f>
        <v>687</v>
      </c>
      <c r="P902" s="1775"/>
      <c r="Q902" s="1775"/>
      <c r="R902" s="1775"/>
      <c r="S902" s="1775"/>
      <c r="T902" s="240"/>
      <c r="U902" s="240" t="s">
        <v>683</v>
      </c>
      <c r="V902" s="240"/>
      <c r="W902" s="240"/>
      <c r="X902" s="240" t="str">
        <f>TEXT(AX890,"#,##0.#######")</f>
        <v>1,000.</v>
      </c>
      <c r="Z902" s="240"/>
      <c r="AA902" s="240"/>
      <c r="AB902" s="240" t="s">
        <v>134</v>
      </c>
      <c r="AC902" s="240"/>
      <c r="AD902" s="240" t="str">
        <f>TEXT(TRUNC(O902/AX890,1),"#,##0.#")</f>
        <v>0.6</v>
      </c>
      <c r="AE902" s="240"/>
      <c r="AF902" s="240"/>
      <c r="AH902" s="240"/>
      <c r="AI902" s="240"/>
      <c r="AJ902" s="240"/>
      <c r="AK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297"/>
      <c r="BT902" s="240"/>
      <c r="BU902" s="240"/>
      <c r="BV902" s="240"/>
      <c r="BW902" s="240"/>
      <c r="BX902" s="240"/>
      <c r="BY902" s="240"/>
      <c r="BZ902" s="240"/>
      <c r="CA902" s="240"/>
      <c r="CB902" s="240"/>
      <c r="CC902" s="240"/>
      <c r="CD902" s="240"/>
      <c r="CE902" s="240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40"/>
      <c r="CP902" s="240"/>
      <c r="CQ902" s="240"/>
      <c r="CR902" s="240"/>
      <c r="CS902" s="240"/>
      <c r="CT902" s="240"/>
      <c r="CU902" s="240"/>
      <c r="CV902" s="240"/>
      <c r="CW902" s="240"/>
      <c r="CX902" s="240"/>
      <c r="CY902" s="240"/>
      <c r="CZ902" s="240"/>
      <c r="DA902" s="240"/>
      <c r="DB902" s="240"/>
      <c r="DC902" s="240"/>
      <c r="DD902" s="240"/>
      <c r="DE902" s="240"/>
      <c r="DF902" s="240"/>
      <c r="DG902" s="240"/>
      <c r="DH902" s="240"/>
      <c r="DI902" s="240"/>
      <c r="DJ902" s="240"/>
      <c r="DK902" s="240"/>
      <c r="DL902" s="240"/>
      <c r="DM902" s="240"/>
      <c r="DN902" s="240"/>
      <c r="DO902" s="240"/>
      <c r="DP902" s="240"/>
      <c r="DQ902" s="240"/>
      <c r="DR902" s="240"/>
      <c r="DS902" s="240"/>
      <c r="DT902" s="240"/>
      <c r="DU902" s="240"/>
      <c r="DV902" s="240"/>
      <c r="DW902" s="240"/>
      <c r="DX902" s="240"/>
      <c r="DY902" s="240"/>
      <c r="DZ902" s="240"/>
      <c r="EA902" s="240"/>
      <c r="EB902" s="240"/>
      <c r="EC902" s="240"/>
      <c r="ED902" s="240"/>
      <c r="EE902" s="240"/>
      <c r="EF902" s="240"/>
      <c r="EG902" s="240"/>
      <c r="EH902" s="240"/>
      <c r="EI902" s="240"/>
      <c r="EJ902" s="240"/>
      <c r="EK902" s="240"/>
      <c r="EL902" s="359"/>
      <c r="EM902" s="245"/>
      <c r="EN902" s="245"/>
      <c r="EO902" s="245"/>
      <c r="EP902" s="245"/>
      <c r="EQ902" s="254"/>
      <c r="ER902" s="240"/>
      <c r="ES902" s="240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193"/>
    </row>
    <row r="903" spans="2:189" s="243" customFormat="1" ht="11.45" hidden="1" customHeight="1">
      <c r="B903" s="244"/>
      <c r="C903" s="240"/>
      <c r="D903" s="240"/>
      <c r="E903" s="240"/>
      <c r="F903" s="240"/>
      <c r="G903" s="240" t="s">
        <v>688</v>
      </c>
      <c r="H903" s="240"/>
      <c r="I903" s="240" t="s">
        <v>96</v>
      </c>
      <c r="J903" s="240"/>
      <c r="K903" s="240"/>
      <c r="L903" s="297"/>
      <c r="M903" s="297" t="s">
        <v>132</v>
      </c>
      <c r="N903" s="307"/>
      <c r="O903" s="240" t="e">
        <f>TEXT(AD900+AD901+AD902,"#,##0.#######")</f>
        <v>#REF!</v>
      </c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F903" s="240"/>
      <c r="AG903" s="240"/>
      <c r="AH903" s="240"/>
      <c r="AI903" s="240"/>
      <c r="AJ903" s="240"/>
      <c r="AK903" s="240"/>
      <c r="AL903" s="240"/>
      <c r="AM903" s="240"/>
      <c r="AN903" s="240"/>
      <c r="AO903" s="240"/>
      <c r="AP903" s="240"/>
      <c r="AQ903" s="240"/>
      <c r="AR903" s="240"/>
      <c r="AS903" s="240"/>
      <c r="AT903" s="240"/>
      <c r="AU903" s="240"/>
      <c r="AV903" s="240"/>
      <c r="AW903" s="240"/>
      <c r="AX903" s="240"/>
      <c r="AY903" s="240"/>
      <c r="AZ903" s="240"/>
      <c r="BA903" s="240"/>
      <c r="BB903" s="240"/>
      <c r="BC903" s="240"/>
      <c r="BD903" s="240"/>
      <c r="BE903" s="240"/>
      <c r="BF903" s="240"/>
      <c r="BG903" s="240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297"/>
      <c r="BT903" s="240"/>
      <c r="BU903" s="240"/>
      <c r="BV903" s="240"/>
      <c r="BW903" s="240"/>
      <c r="BX903" s="240"/>
      <c r="BY903" s="240"/>
      <c r="BZ903" s="240"/>
      <c r="CA903" s="240"/>
      <c r="CB903" s="240"/>
      <c r="CC903" s="240"/>
      <c r="CD903" s="240"/>
      <c r="CE903" s="240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40"/>
      <c r="CP903" s="240"/>
      <c r="CQ903" s="240"/>
      <c r="CR903" s="240"/>
      <c r="CS903" s="240"/>
      <c r="CT903" s="240"/>
      <c r="CU903" s="240"/>
      <c r="CV903" s="240"/>
      <c r="CW903" s="240"/>
      <c r="CX903" s="240"/>
      <c r="CY903" s="240"/>
      <c r="CZ903" s="240"/>
      <c r="DA903" s="240"/>
      <c r="DB903" s="240"/>
      <c r="DC903" s="240"/>
      <c r="DD903" s="240"/>
      <c r="DE903" s="240"/>
      <c r="DF903" s="240"/>
      <c r="DG903" s="240"/>
      <c r="DH903" s="240"/>
      <c r="DI903" s="240"/>
      <c r="DJ903" s="240"/>
      <c r="DK903" s="240"/>
      <c r="DL903" s="240"/>
      <c r="DM903" s="240"/>
      <c r="DN903" s="240"/>
      <c r="DO903" s="240"/>
      <c r="DP903" s="240"/>
      <c r="DQ903" s="240"/>
      <c r="DR903" s="240"/>
      <c r="DS903" s="240"/>
      <c r="DT903" s="240"/>
      <c r="DU903" s="240"/>
      <c r="DV903" s="240"/>
      <c r="DW903" s="240"/>
      <c r="DX903" s="240"/>
      <c r="DY903" s="240"/>
      <c r="DZ903" s="240"/>
      <c r="EA903" s="240"/>
      <c r="EB903" s="240"/>
      <c r="EC903" s="240"/>
      <c r="ED903" s="240"/>
      <c r="EE903" s="240"/>
      <c r="EF903" s="240"/>
      <c r="EG903" s="240"/>
      <c r="EH903" s="240"/>
      <c r="EI903" s="240"/>
      <c r="EJ903" s="240"/>
      <c r="EK903" s="240"/>
      <c r="EL903" s="359"/>
      <c r="EM903" s="245" t="e">
        <f>EN903+EO903+EP903</f>
        <v>#REF!</v>
      </c>
      <c r="EN903" s="245" t="e">
        <f>TEXT(AD900,"#,###.0")</f>
        <v>#REF!</v>
      </c>
      <c r="EO903" s="245" t="e">
        <f>TEXT(AD901,"#,###.0")</f>
        <v>#REF!</v>
      </c>
      <c r="EP903" s="245" t="str">
        <f>TEXT(AD902,"#,###.0")</f>
        <v>.6</v>
      </c>
      <c r="EQ903" s="254"/>
      <c r="ER903" s="240"/>
      <c r="ES903" s="240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193"/>
    </row>
    <row r="904" spans="2:189" s="243" customFormat="1" ht="11.45" hidden="1" customHeight="1">
      <c r="B904" s="244"/>
      <c r="C904" s="240"/>
      <c r="D904" s="240"/>
      <c r="E904" s="240"/>
      <c r="F904" s="240"/>
      <c r="G904" s="240"/>
      <c r="H904" s="240"/>
      <c r="I904" s="240"/>
      <c r="J904" s="240"/>
      <c r="K904" s="240"/>
      <c r="L904" s="297"/>
      <c r="M904" s="297"/>
      <c r="N904" s="297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0"/>
      <c r="AO904" s="240"/>
      <c r="AP904" s="240"/>
      <c r="AQ904" s="240"/>
      <c r="AR904" s="240"/>
      <c r="AS904" s="240"/>
      <c r="AT904" s="240"/>
      <c r="AU904" s="240"/>
      <c r="AV904" s="240"/>
      <c r="AW904" s="240"/>
      <c r="AX904" s="240"/>
      <c r="AY904" s="240"/>
      <c r="AZ904" s="240"/>
      <c r="BA904" s="240"/>
      <c r="BB904" s="240"/>
      <c r="BC904" s="240"/>
      <c r="BD904" s="240"/>
      <c r="BE904" s="240"/>
      <c r="BF904" s="240"/>
      <c r="BG904" s="240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297"/>
      <c r="BT904" s="240"/>
      <c r="BU904" s="240"/>
      <c r="BV904" s="240"/>
      <c r="BW904" s="240"/>
      <c r="BX904" s="240"/>
      <c r="BY904" s="240"/>
      <c r="BZ904" s="240"/>
      <c r="CA904" s="240"/>
      <c r="CB904" s="240"/>
      <c r="CC904" s="240"/>
      <c r="CD904" s="240"/>
      <c r="CE904" s="240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40"/>
      <c r="CP904" s="240"/>
      <c r="CQ904" s="240"/>
      <c r="CR904" s="240"/>
      <c r="CS904" s="240"/>
      <c r="CT904" s="240"/>
      <c r="CU904" s="240"/>
      <c r="CV904" s="240"/>
      <c r="CW904" s="240"/>
      <c r="CX904" s="240"/>
      <c r="CY904" s="240"/>
      <c r="CZ904" s="240"/>
      <c r="DA904" s="240"/>
      <c r="DB904" s="240"/>
      <c r="DC904" s="240"/>
      <c r="DD904" s="240"/>
      <c r="DE904" s="240"/>
      <c r="DF904" s="240"/>
      <c r="DG904" s="240"/>
      <c r="DH904" s="240"/>
      <c r="DI904" s="240"/>
      <c r="DJ904" s="240"/>
      <c r="DK904" s="240"/>
      <c r="DL904" s="240"/>
      <c r="DM904" s="240"/>
      <c r="DN904" s="240"/>
      <c r="DO904" s="240"/>
      <c r="DP904" s="240"/>
      <c r="DQ904" s="240"/>
      <c r="DR904" s="240"/>
      <c r="DS904" s="240"/>
      <c r="DT904" s="240"/>
      <c r="DU904" s="240"/>
      <c r="DV904" s="240"/>
      <c r="DW904" s="240"/>
      <c r="DX904" s="240"/>
      <c r="DY904" s="240"/>
      <c r="DZ904" s="240"/>
      <c r="EA904" s="240"/>
      <c r="EB904" s="240"/>
      <c r="EC904" s="240"/>
      <c r="ED904" s="240"/>
      <c r="EE904" s="240"/>
      <c r="EF904" s="240"/>
      <c r="EG904" s="240"/>
      <c r="EH904" s="240"/>
      <c r="EI904" s="240"/>
      <c r="EJ904" s="240"/>
      <c r="EK904" s="240"/>
      <c r="EL904" s="359"/>
      <c r="EM904" s="245"/>
      <c r="EN904" s="245"/>
      <c r="EO904" s="245"/>
      <c r="EP904" s="245"/>
      <c r="EQ904" s="254"/>
      <c r="ER904" s="240"/>
      <c r="ES904" s="240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193"/>
    </row>
    <row r="905" spans="2:189" s="243" customFormat="1" ht="11.45" hidden="1" customHeight="1">
      <c r="B905" s="244"/>
      <c r="C905" s="240"/>
      <c r="D905" s="240" t="s">
        <v>695</v>
      </c>
      <c r="E905" s="240"/>
      <c r="F905" s="240"/>
      <c r="G905" s="240" t="s">
        <v>678</v>
      </c>
      <c r="H905" s="240"/>
      <c r="I905" s="240"/>
      <c r="J905" s="240"/>
      <c r="K905" s="240" t="s">
        <v>96</v>
      </c>
      <c r="L905" s="297"/>
      <c r="M905" s="297"/>
      <c r="N905" s="297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0"/>
      <c r="AO905" s="240"/>
      <c r="AP905" s="240"/>
      <c r="AQ905" s="240"/>
      <c r="AR905" s="240"/>
      <c r="AS905" s="240"/>
      <c r="AT905" s="240"/>
      <c r="AU905" s="240"/>
      <c r="AV905" s="240"/>
      <c r="AW905" s="240"/>
      <c r="AX905" s="240"/>
      <c r="AY905" s="240"/>
      <c r="AZ905" s="240"/>
      <c r="BA905" s="240"/>
      <c r="BB905" s="240"/>
      <c r="BC905" s="240"/>
      <c r="BD905" s="240"/>
      <c r="BE905" s="240"/>
      <c r="BF905" s="240"/>
      <c r="BG905" s="240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297"/>
      <c r="BT905" s="240"/>
      <c r="BU905" s="240"/>
      <c r="BV905" s="240"/>
      <c r="BW905" s="240"/>
      <c r="BX905" s="240"/>
      <c r="BY905" s="240"/>
      <c r="BZ905" s="240"/>
      <c r="CA905" s="240"/>
      <c r="CB905" s="240"/>
      <c r="CC905" s="240"/>
      <c r="CD905" s="240"/>
      <c r="CE905" s="240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40"/>
      <c r="CP905" s="240"/>
      <c r="CQ905" s="240"/>
      <c r="CR905" s="240"/>
      <c r="CS905" s="240"/>
      <c r="CT905" s="240"/>
      <c r="CU905" s="240"/>
      <c r="CV905" s="240"/>
      <c r="CW905" s="240"/>
      <c r="CX905" s="240"/>
      <c r="CY905" s="240"/>
      <c r="CZ905" s="240"/>
      <c r="DA905" s="240"/>
      <c r="DB905" s="240"/>
      <c r="DC905" s="240"/>
      <c r="DD905" s="240"/>
      <c r="DE905" s="240"/>
      <c r="DF905" s="240"/>
      <c r="DG905" s="240"/>
      <c r="DH905" s="240"/>
      <c r="DI905" s="240"/>
      <c r="DJ905" s="240"/>
      <c r="DK905" s="240"/>
      <c r="DL905" s="240"/>
      <c r="DM905" s="240"/>
      <c r="DN905" s="240"/>
      <c r="DO905" s="240"/>
      <c r="DP905" s="240"/>
      <c r="DQ905" s="240"/>
      <c r="DR905" s="240"/>
      <c r="DS905" s="240"/>
      <c r="DT905" s="240"/>
      <c r="DU905" s="240"/>
      <c r="DV905" s="240"/>
      <c r="DW905" s="240"/>
      <c r="DX905" s="240"/>
      <c r="DY905" s="240"/>
      <c r="DZ905" s="240"/>
      <c r="EA905" s="240"/>
      <c r="EB905" s="240"/>
      <c r="EC905" s="240"/>
      <c r="ED905" s="240"/>
      <c r="EE905" s="240"/>
      <c r="EF905" s="240"/>
      <c r="EG905" s="240"/>
      <c r="EH905" s="240"/>
      <c r="EI905" s="240"/>
      <c r="EJ905" s="240"/>
      <c r="EK905" s="240"/>
      <c r="EL905" s="359"/>
      <c r="EM905" s="245"/>
      <c r="EN905" s="245"/>
      <c r="EO905" s="245"/>
      <c r="EP905" s="245"/>
      <c r="EQ905" s="254"/>
      <c r="ER905" s="240"/>
      <c r="ES905" s="240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193"/>
    </row>
    <row r="906" spans="2:189" s="243" customFormat="1" ht="11.45" hidden="1" customHeight="1">
      <c r="B906" s="244"/>
      <c r="C906" s="240"/>
      <c r="D906" s="240"/>
      <c r="E906" s="240"/>
      <c r="F906" s="240"/>
      <c r="G906" s="240"/>
      <c r="H906" s="240" t="s">
        <v>616</v>
      </c>
      <c r="I906" s="240"/>
      <c r="J906" s="240"/>
      <c r="K906" s="240"/>
      <c r="L906" s="297"/>
      <c r="M906" s="297" t="s">
        <v>132</v>
      </c>
      <c r="N906" s="297"/>
      <c r="O906" s="240" t="str">
        <f>TEXT(EN896,"#,###.##")</f>
        <v>39.2</v>
      </c>
      <c r="P906" s="240"/>
      <c r="R906" s="240"/>
      <c r="S906" s="240"/>
      <c r="T906" s="240"/>
      <c r="U906" s="240" t="s">
        <v>130</v>
      </c>
      <c r="V906" s="240"/>
      <c r="W906" s="240" t="e">
        <f>TEXT(EN903,"#,###.##")</f>
        <v>#REF!</v>
      </c>
      <c r="X906" s="240"/>
      <c r="Y906" s="240"/>
      <c r="Z906" s="240"/>
      <c r="AA906" s="240"/>
      <c r="AB906" s="240"/>
      <c r="AC906" s="240" t="s">
        <v>134</v>
      </c>
      <c r="AD906" s="240"/>
      <c r="AE906" s="240"/>
      <c r="AF906" s="240" t="e">
        <f>TEXT(TRUNC(EN896+EN903,0),"#,##0")</f>
        <v>#REF!</v>
      </c>
      <c r="AG906" s="240"/>
      <c r="AI906" s="240"/>
      <c r="AJ906" s="240"/>
      <c r="AO906" s="240"/>
      <c r="AP906" s="240"/>
      <c r="AQ906" s="240"/>
      <c r="AR906" s="240"/>
      <c r="AS906" s="240"/>
      <c r="AT906" s="240"/>
      <c r="AU906" s="240"/>
      <c r="AV906" s="240"/>
      <c r="AW906" s="240"/>
      <c r="AX906" s="240"/>
      <c r="AY906" s="240"/>
      <c r="AZ906" s="240"/>
      <c r="BA906" s="240"/>
      <c r="BB906" s="240"/>
      <c r="BC906" s="240"/>
      <c r="BD906" s="240"/>
      <c r="BE906" s="240"/>
      <c r="BF906" s="240"/>
      <c r="BG906" s="240"/>
      <c r="BH906" s="240"/>
      <c r="BI906" s="240"/>
      <c r="BJ906" s="240"/>
      <c r="BK906" s="240"/>
      <c r="BL906" s="240"/>
      <c r="BM906" s="240"/>
      <c r="BN906" s="240"/>
      <c r="BO906" s="240"/>
      <c r="BP906" s="240"/>
      <c r="BQ906" s="240"/>
      <c r="BR906" s="240"/>
      <c r="BS906" s="297"/>
      <c r="BT906" s="240"/>
      <c r="BU906" s="240"/>
      <c r="BV906" s="240"/>
      <c r="BW906" s="240"/>
      <c r="BX906" s="240"/>
      <c r="BY906" s="240"/>
      <c r="BZ906" s="240"/>
      <c r="CA906" s="240"/>
      <c r="CB906" s="240"/>
      <c r="CC906" s="240"/>
      <c r="CD906" s="240"/>
      <c r="CE906" s="240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40"/>
      <c r="CP906" s="240"/>
      <c r="CQ906" s="240"/>
      <c r="CR906" s="240"/>
      <c r="CS906" s="240"/>
      <c r="CT906" s="240"/>
      <c r="CU906" s="240"/>
      <c r="CV906" s="240"/>
      <c r="CW906" s="240"/>
      <c r="CX906" s="240"/>
      <c r="CY906" s="240"/>
      <c r="CZ906" s="240"/>
      <c r="DA906" s="240"/>
      <c r="DB906" s="240"/>
      <c r="DC906" s="240"/>
      <c r="DD906" s="240"/>
      <c r="DE906" s="240"/>
      <c r="DF906" s="240"/>
      <c r="DG906" s="240"/>
      <c r="DH906" s="240"/>
      <c r="DI906" s="240"/>
      <c r="DJ906" s="240"/>
      <c r="DK906" s="240"/>
      <c r="DL906" s="240"/>
      <c r="DM906" s="240"/>
      <c r="DN906" s="240"/>
      <c r="DO906" s="240"/>
      <c r="DP906" s="240"/>
      <c r="DQ906" s="240"/>
      <c r="DR906" s="240"/>
      <c r="DS906" s="240"/>
      <c r="DT906" s="240"/>
      <c r="DU906" s="240"/>
      <c r="DV906" s="240"/>
      <c r="DW906" s="240"/>
      <c r="DX906" s="240"/>
      <c r="DY906" s="240"/>
      <c r="DZ906" s="240"/>
      <c r="EA906" s="240"/>
      <c r="EB906" s="240"/>
      <c r="EC906" s="240"/>
      <c r="ED906" s="240"/>
      <c r="EE906" s="240"/>
      <c r="EF906" s="240"/>
      <c r="EG906" s="240"/>
      <c r="EH906" s="240"/>
      <c r="EI906" s="240"/>
      <c r="EJ906" s="240"/>
      <c r="EK906" s="240"/>
      <c r="EL906" s="359"/>
      <c r="EM906" s="245"/>
      <c r="EN906" s="245"/>
      <c r="EO906" s="245"/>
      <c r="EP906" s="245"/>
      <c r="EQ906" s="254"/>
      <c r="ER906" s="240"/>
      <c r="ES906" s="240"/>
      <c r="ET906" s="241"/>
      <c r="EU906" s="241"/>
      <c r="EV906" s="241"/>
      <c r="EW906" s="241"/>
      <c r="EX906" s="241"/>
      <c r="EY906" s="241"/>
      <c r="EZ906" s="241"/>
      <c r="FA906" s="241"/>
      <c r="FB906" s="241"/>
      <c r="FC906" s="241"/>
      <c r="FD906" s="241"/>
      <c r="FE906" s="241"/>
      <c r="FF906" s="241"/>
      <c r="FG906" s="241"/>
      <c r="FH906" s="241"/>
      <c r="FI906" s="241"/>
      <c r="FJ906" s="241"/>
      <c r="FK906" s="241"/>
      <c r="FL906" s="241"/>
      <c r="FM906" s="241"/>
      <c r="FN906" s="241"/>
      <c r="FO906" s="241"/>
      <c r="FP906" s="241"/>
      <c r="FQ906" s="241"/>
      <c r="FR906" s="241"/>
      <c r="FS906" s="241"/>
      <c r="FT906" s="241"/>
      <c r="FU906" s="241"/>
      <c r="FV906" s="241"/>
      <c r="FW906" s="241"/>
      <c r="FX906" s="241"/>
      <c r="FY906" s="241"/>
      <c r="FZ906" s="241"/>
      <c r="GA906" s="241"/>
      <c r="GB906" s="241"/>
      <c r="GC906" s="241"/>
      <c r="GD906" s="241"/>
      <c r="GE906" s="241"/>
      <c r="GF906" s="241"/>
      <c r="GG906" s="193"/>
    </row>
    <row r="907" spans="2:189" s="243" customFormat="1" ht="11.45" hidden="1" customHeight="1">
      <c r="B907" s="244"/>
      <c r="C907" s="240"/>
      <c r="D907" s="240"/>
      <c r="E907" s="240"/>
      <c r="F907" s="240"/>
      <c r="G907" s="240"/>
      <c r="H907" s="240" t="s">
        <v>617</v>
      </c>
      <c r="I907" s="240"/>
      <c r="J907" s="240"/>
      <c r="K907" s="240"/>
      <c r="L907" s="297"/>
      <c r="M907" s="297" t="s">
        <v>132</v>
      </c>
      <c r="N907" s="297"/>
      <c r="O907" s="240"/>
      <c r="P907" s="240"/>
      <c r="R907" s="240"/>
      <c r="S907" s="240"/>
      <c r="T907" s="240"/>
      <c r="U907" s="240" t="s">
        <v>130</v>
      </c>
      <c r="V907" s="240"/>
      <c r="W907" s="240" t="e">
        <f>TEXT(EO903,"#,###.##")</f>
        <v>#REF!</v>
      </c>
      <c r="X907" s="240"/>
      <c r="Y907" s="240"/>
      <c r="Z907" s="240"/>
      <c r="AA907" s="240"/>
      <c r="AB907" s="240"/>
      <c r="AC907" s="240" t="s">
        <v>134</v>
      </c>
      <c r="AD907" s="240"/>
      <c r="AE907" s="240"/>
      <c r="AF907" s="240" t="e">
        <f>TEXT(TRUNC(EO903,0),"#,##0")</f>
        <v>#REF!</v>
      </c>
      <c r="AG907" s="240"/>
      <c r="AH907" s="240"/>
      <c r="AI907" s="240"/>
      <c r="AJ907" s="240"/>
      <c r="AO907" s="240"/>
      <c r="AP907" s="240"/>
      <c r="AQ907" s="240"/>
      <c r="AR907" s="240"/>
      <c r="AS907" s="240"/>
      <c r="AT907" s="240"/>
      <c r="AU907" s="240"/>
      <c r="AV907" s="240"/>
      <c r="AW907" s="240"/>
      <c r="AX907" s="240"/>
      <c r="AY907" s="240"/>
      <c r="AZ907" s="240"/>
      <c r="BA907" s="240"/>
      <c r="BB907" s="240"/>
      <c r="BC907" s="240"/>
      <c r="BD907" s="240"/>
      <c r="BE907" s="240"/>
      <c r="BF907" s="240"/>
      <c r="BG907" s="240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297"/>
      <c r="BT907" s="240"/>
      <c r="BU907" s="240"/>
      <c r="BV907" s="240"/>
      <c r="BW907" s="240"/>
      <c r="BX907" s="240"/>
      <c r="BY907" s="240"/>
      <c r="BZ907" s="240"/>
      <c r="CA907" s="240"/>
      <c r="CB907" s="240"/>
      <c r="CC907" s="240"/>
      <c r="CD907" s="240"/>
      <c r="CE907" s="240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40"/>
      <c r="CP907" s="240"/>
      <c r="CQ907" s="240"/>
      <c r="CR907" s="240"/>
      <c r="CS907" s="240"/>
      <c r="CT907" s="240"/>
      <c r="CU907" s="240"/>
      <c r="CV907" s="240"/>
      <c r="CW907" s="240"/>
      <c r="CX907" s="240"/>
      <c r="CY907" s="240"/>
      <c r="CZ907" s="240"/>
      <c r="DA907" s="240"/>
      <c r="DB907" s="240"/>
      <c r="DC907" s="240"/>
      <c r="DD907" s="240"/>
      <c r="DE907" s="240"/>
      <c r="DF907" s="240"/>
      <c r="DG907" s="240"/>
      <c r="DH907" s="240"/>
      <c r="DI907" s="240"/>
      <c r="DJ907" s="240"/>
      <c r="DK907" s="240"/>
      <c r="DL907" s="240"/>
      <c r="DM907" s="240"/>
      <c r="DN907" s="240"/>
      <c r="DO907" s="240"/>
      <c r="DP907" s="240"/>
      <c r="DQ907" s="240"/>
      <c r="DR907" s="240"/>
      <c r="DS907" s="240"/>
      <c r="DT907" s="240"/>
      <c r="DU907" s="240"/>
      <c r="DV907" s="240"/>
      <c r="DW907" s="240"/>
      <c r="DX907" s="240"/>
      <c r="DY907" s="240"/>
      <c r="DZ907" s="240"/>
      <c r="EA907" s="240"/>
      <c r="EB907" s="240"/>
      <c r="EC907" s="240"/>
      <c r="ED907" s="240"/>
      <c r="EE907" s="240"/>
      <c r="EF907" s="240"/>
      <c r="EG907" s="240"/>
      <c r="EH907" s="240"/>
      <c r="EI907" s="240"/>
      <c r="EJ907" s="240"/>
      <c r="EK907" s="240"/>
      <c r="EL907" s="359"/>
      <c r="EM907" s="245"/>
      <c r="EN907" s="245"/>
      <c r="EO907" s="245"/>
      <c r="EP907" s="245"/>
      <c r="EQ907" s="254"/>
      <c r="ER907" s="240"/>
      <c r="ES907" s="240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193"/>
    </row>
    <row r="908" spans="2:189" s="243" customFormat="1" ht="11.45" hidden="1" customHeight="1">
      <c r="B908" s="244"/>
      <c r="C908" s="240"/>
      <c r="D908" s="240"/>
      <c r="E908" s="240"/>
      <c r="F908" s="240"/>
      <c r="G908" s="240"/>
      <c r="H908" s="240" t="s">
        <v>679</v>
      </c>
      <c r="I908" s="240"/>
      <c r="J908" s="297" t="s">
        <v>680</v>
      </c>
      <c r="K908" s="240"/>
      <c r="L908" s="297"/>
      <c r="M908" s="297" t="s">
        <v>132</v>
      </c>
      <c r="N908" s="297"/>
      <c r="O908" s="240" t="str">
        <f>TEXT(TRUNC(EP903,0),"#,##0")</f>
        <v>0</v>
      </c>
      <c r="P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0"/>
      <c r="AO908" s="240"/>
      <c r="AP908" s="240"/>
      <c r="AQ908" s="240"/>
      <c r="AR908" s="240"/>
      <c r="AS908" s="240"/>
      <c r="AT908" s="240"/>
      <c r="AU908" s="240"/>
      <c r="AV908" s="240"/>
      <c r="AW908" s="240"/>
      <c r="AX908" s="240"/>
      <c r="AY908" s="240"/>
      <c r="AZ908" s="240"/>
      <c r="BA908" s="240"/>
      <c r="BB908" s="240"/>
      <c r="BC908" s="240"/>
      <c r="BD908" s="240"/>
      <c r="BE908" s="240"/>
      <c r="BF908" s="240"/>
      <c r="BG908" s="240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297"/>
      <c r="BT908" s="240"/>
      <c r="BU908" s="240"/>
      <c r="BV908" s="240"/>
      <c r="BW908" s="240"/>
      <c r="BX908" s="240"/>
      <c r="BY908" s="240"/>
      <c r="BZ908" s="240"/>
      <c r="CA908" s="240"/>
      <c r="CB908" s="240"/>
      <c r="CC908" s="240"/>
      <c r="CD908" s="240"/>
      <c r="CE908" s="240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40"/>
      <c r="CP908" s="240"/>
      <c r="CQ908" s="240"/>
      <c r="CR908" s="240"/>
      <c r="CS908" s="240"/>
      <c r="CT908" s="240"/>
      <c r="CU908" s="240"/>
      <c r="CV908" s="240"/>
      <c r="CW908" s="240"/>
      <c r="CX908" s="240"/>
      <c r="CY908" s="240"/>
      <c r="CZ908" s="240"/>
      <c r="DA908" s="240"/>
      <c r="DB908" s="240"/>
      <c r="DC908" s="240"/>
      <c r="DD908" s="240"/>
      <c r="DE908" s="240"/>
      <c r="DF908" s="240"/>
      <c r="DG908" s="240"/>
      <c r="DH908" s="240"/>
      <c r="DI908" s="240"/>
      <c r="DJ908" s="240"/>
      <c r="DK908" s="240"/>
      <c r="DL908" s="240"/>
      <c r="DM908" s="240"/>
      <c r="DN908" s="240"/>
      <c r="DO908" s="240"/>
      <c r="DP908" s="240"/>
      <c r="DQ908" s="240"/>
      <c r="DR908" s="240"/>
      <c r="DS908" s="240"/>
      <c r="DT908" s="240"/>
      <c r="DU908" s="240"/>
      <c r="DV908" s="240"/>
      <c r="DW908" s="240"/>
      <c r="DX908" s="240"/>
      <c r="DY908" s="240"/>
      <c r="DZ908" s="240"/>
      <c r="EA908" s="240"/>
      <c r="EB908" s="240"/>
      <c r="EC908" s="240"/>
      <c r="ED908" s="240"/>
      <c r="EE908" s="240"/>
      <c r="EF908" s="240"/>
      <c r="EG908" s="240"/>
      <c r="EH908" s="240"/>
      <c r="EI908" s="240"/>
      <c r="EJ908" s="240"/>
      <c r="EK908" s="240"/>
      <c r="EL908" s="359"/>
      <c r="EM908" s="245"/>
      <c r="EN908" s="245"/>
      <c r="EO908" s="245"/>
      <c r="EP908" s="245"/>
      <c r="EQ908" s="254"/>
      <c r="ER908" s="240"/>
      <c r="ES908" s="240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193"/>
    </row>
    <row r="909" spans="2:189" s="243" customFormat="1" ht="11.45" hidden="1" customHeight="1">
      <c r="B909" s="244"/>
      <c r="C909" s="240"/>
      <c r="D909" s="240"/>
      <c r="E909" s="240"/>
      <c r="F909" s="240"/>
      <c r="G909" s="240"/>
      <c r="H909" s="240"/>
      <c r="I909" s="240"/>
      <c r="J909" s="240" t="s">
        <v>96</v>
      </c>
      <c r="K909" s="240"/>
      <c r="L909" s="297"/>
      <c r="M909" s="297" t="s">
        <v>132</v>
      </c>
      <c r="N909" s="297"/>
      <c r="O909" s="240" t="e">
        <f>TEXT(AF906+AF907+O908,"#,##0")</f>
        <v>#REF!</v>
      </c>
      <c r="P909" s="240"/>
      <c r="Q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0"/>
      <c r="AO909" s="240"/>
      <c r="AP909" s="240"/>
      <c r="AQ909" s="240"/>
      <c r="AR909" s="240"/>
      <c r="AS909" s="240"/>
      <c r="AT909" s="240"/>
      <c r="AU909" s="240"/>
      <c r="AV909" s="240"/>
      <c r="AW909" s="240"/>
      <c r="AX909" s="240"/>
      <c r="AY909" s="240"/>
      <c r="AZ909" s="240"/>
      <c r="BA909" s="240"/>
      <c r="BB909" s="240"/>
      <c r="BC909" s="240"/>
      <c r="BD909" s="240"/>
      <c r="BE909" s="240"/>
      <c r="BF909" s="240"/>
      <c r="BG909" s="240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297"/>
      <c r="BT909" s="240"/>
      <c r="BU909" s="240"/>
      <c r="BV909" s="240"/>
      <c r="BW909" s="240"/>
      <c r="BX909" s="240"/>
      <c r="BY909" s="240"/>
      <c r="BZ909" s="240"/>
      <c r="CA909" s="240"/>
      <c r="CB909" s="240"/>
      <c r="CC909" s="240"/>
      <c r="CD909" s="240"/>
      <c r="CE909" s="240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40"/>
      <c r="CP909" s="240"/>
      <c r="CQ909" s="240"/>
      <c r="CR909" s="240"/>
      <c r="CS909" s="240"/>
      <c r="CT909" s="240"/>
      <c r="CU909" s="240"/>
      <c r="CV909" s="240"/>
      <c r="CW909" s="240"/>
      <c r="CX909" s="240"/>
      <c r="CY909" s="240"/>
      <c r="CZ909" s="240"/>
      <c r="DA909" s="240"/>
      <c r="DB909" s="240"/>
      <c r="DC909" s="240"/>
      <c r="DD909" s="240"/>
      <c r="DE909" s="240"/>
      <c r="DF909" s="240"/>
      <c r="DG909" s="240"/>
      <c r="DH909" s="240"/>
      <c r="DI909" s="240"/>
      <c r="DJ909" s="240"/>
      <c r="DK909" s="240"/>
      <c r="DL909" s="240"/>
      <c r="DM909" s="240"/>
      <c r="DN909" s="240"/>
      <c r="DO909" s="240"/>
      <c r="DP909" s="240"/>
      <c r="DQ909" s="240"/>
      <c r="DR909" s="240"/>
      <c r="DS909" s="240"/>
      <c r="DT909" s="240"/>
      <c r="DU909" s="240"/>
      <c r="DV909" s="240"/>
      <c r="DW909" s="240"/>
      <c r="DX909" s="240"/>
      <c r="DY909" s="240"/>
      <c r="DZ909" s="240"/>
      <c r="EA909" s="240"/>
      <c r="EB909" s="240"/>
      <c r="EC909" s="240"/>
      <c r="ED909" s="240"/>
      <c r="EE909" s="240"/>
      <c r="EF909" s="240"/>
      <c r="EG909" s="240"/>
      <c r="EH909" s="240"/>
      <c r="EI909" s="240"/>
      <c r="EJ909" s="240"/>
      <c r="EK909" s="240"/>
      <c r="EL909" s="359"/>
      <c r="EM909" s="250" t="e">
        <f>EN909+EO909+EP909</f>
        <v>#REF!</v>
      </c>
      <c r="EN909" s="245" t="e">
        <f>TEXT(AF906,"#,##0")</f>
        <v>#REF!</v>
      </c>
      <c r="EO909" s="245" t="e">
        <f>TEXT(AF907,"#,##0")</f>
        <v>#REF!</v>
      </c>
      <c r="EP909" s="245" t="str">
        <f>TEXT(O908,"#,##0")</f>
        <v>0</v>
      </c>
      <c r="EQ909" s="254"/>
      <c r="ER909" s="240"/>
      <c r="ES909" s="240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193"/>
    </row>
    <row r="910" spans="2:189" s="243" customFormat="1" ht="11.45" hidden="1" customHeight="1">
      <c r="B910" s="244"/>
      <c r="C910" s="240"/>
      <c r="D910" s="240"/>
      <c r="E910" s="240"/>
      <c r="F910" s="240"/>
      <c r="G910" s="240"/>
      <c r="H910" s="240"/>
      <c r="I910" s="240"/>
      <c r="J910" s="240"/>
      <c r="K910" s="240"/>
      <c r="L910" s="297"/>
      <c r="M910" s="297"/>
      <c r="N910" s="297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0"/>
      <c r="AO910" s="240"/>
      <c r="AP910" s="240"/>
      <c r="AQ910" s="240"/>
      <c r="AR910" s="240"/>
      <c r="AS910" s="240"/>
      <c r="AT910" s="240"/>
      <c r="AU910" s="240"/>
      <c r="AV910" s="240"/>
      <c r="AW910" s="240"/>
      <c r="AX910" s="240"/>
      <c r="AY910" s="240"/>
      <c r="AZ910" s="240"/>
      <c r="BA910" s="240"/>
      <c r="BB910" s="240"/>
      <c r="BC910" s="240"/>
      <c r="BD910" s="240"/>
      <c r="BE910" s="240"/>
      <c r="BF910" s="240"/>
      <c r="BG910" s="240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297"/>
      <c r="BT910" s="240"/>
      <c r="BU910" s="240"/>
      <c r="BV910" s="240"/>
      <c r="BW910" s="240"/>
      <c r="BX910" s="240"/>
      <c r="BY910" s="240"/>
      <c r="BZ910" s="240"/>
      <c r="CA910" s="240"/>
      <c r="CB910" s="240"/>
      <c r="CC910" s="240"/>
      <c r="CD910" s="240"/>
      <c r="CE910" s="240"/>
      <c r="CF910" s="240"/>
      <c r="CG910" s="240"/>
      <c r="CH910" s="240"/>
      <c r="CI910" s="240"/>
      <c r="CJ910" s="240"/>
      <c r="CK910" s="240"/>
      <c r="CL910" s="240"/>
      <c r="CM910" s="240"/>
      <c r="CN910" s="240"/>
      <c r="CO910" s="240"/>
      <c r="CP910" s="240"/>
      <c r="CQ910" s="240"/>
      <c r="CR910" s="240"/>
      <c r="CS910" s="240"/>
      <c r="CT910" s="240"/>
      <c r="CU910" s="240"/>
      <c r="CV910" s="240"/>
      <c r="CW910" s="240"/>
      <c r="CX910" s="240"/>
      <c r="CY910" s="240"/>
      <c r="CZ910" s="240"/>
      <c r="DA910" s="240"/>
      <c r="DB910" s="240"/>
      <c r="DC910" s="240"/>
      <c r="DD910" s="240"/>
      <c r="DE910" s="240"/>
      <c r="DF910" s="240"/>
      <c r="DG910" s="240"/>
      <c r="DH910" s="240"/>
      <c r="DI910" s="240"/>
      <c r="DJ910" s="240"/>
      <c r="DK910" s="240"/>
      <c r="DL910" s="240"/>
      <c r="DM910" s="240"/>
      <c r="DN910" s="240"/>
      <c r="DO910" s="240"/>
      <c r="DP910" s="240"/>
      <c r="DQ910" s="240"/>
      <c r="DR910" s="240"/>
      <c r="DS910" s="240"/>
      <c r="DT910" s="240"/>
      <c r="DU910" s="240"/>
      <c r="DV910" s="240"/>
      <c r="DW910" s="240"/>
      <c r="DX910" s="240"/>
      <c r="DY910" s="240"/>
      <c r="DZ910" s="240"/>
      <c r="EA910" s="240"/>
      <c r="EB910" s="240"/>
      <c r="EC910" s="240"/>
      <c r="ED910" s="240"/>
      <c r="EE910" s="240"/>
      <c r="EF910" s="240"/>
      <c r="EG910" s="240"/>
      <c r="EH910" s="240"/>
      <c r="EI910" s="240"/>
      <c r="EJ910" s="240"/>
      <c r="EK910" s="240"/>
      <c r="EL910" s="359"/>
      <c r="EM910" s="245"/>
      <c r="EN910" s="245"/>
      <c r="EO910" s="245"/>
      <c r="EP910" s="245"/>
      <c r="EQ910" s="254"/>
      <c r="ER910" s="240"/>
      <c r="ES910" s="240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193"/>
    </row>
    <row r="911" spans="2:189" s="243" customFormat="1" ht="11.45" hidden="1" customHeight="1">
      <c r="B911" s="244"/>
      <c r="C911" s="240"/>
      <c r="D911" s="240"/>
      <c r="E911" s="240"/>
      <c r="F911" s="240"/>
      <c r="G911" s="240"/>
      <c r="H911" s="240"/>
      <c r="I911" s="240"/>
      <c r="J911" s="240"/>
      <c r="K911" s="240"/>
      <c r="L911" s="297"/>
      <c r="M911" s="297"/>
      <c r="N911" s="297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0"/>
      <c r="AO911" s="240"/>
      <c r="AP911" s="240"/>
      <c r="AQ911" s="240"/>
      <c r="AR911" s="240"/>
      <c r="AS911" s="240"/>
      <c r="AT911" s="240"/>
      <c r="AU911" s="240"/>
      <c r="AV911" s="240"/>
      <c r="AW911" s="240"/>
      <c r="AX911" s="240"/>
      <c r="AY911" s="240"/>
      <c r="AZ911" s="240"/>
      <c r="BA911" s="240"/>
      <c r="BB911" s="240"/>
      <c r="BC911" s="240"/>
      <c r="BD911" s="240"/>
      <c r="BE911" s="240"/>
      <c r="BF911" s="240"/>
      <c r="BG911" s="240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297"/>
      <c r="BT911" s="240"/>
      <c r="BU911" s="240"/>
      <c r="BV911" s="240"/>
      <c r="BW911" s="240"/>
      <c r="BX911" s="240"/>
      <c r="BY911" s="240"/>
      <c r="BZ911" s="240"/>
      <c r="CA911" s="240"/>
      <c r="CB911" s="240"/>
      <c r="CC911" s="240"/>
      <c r="CD911" s="240"/>
      <c r="CE911" s="240"/>
      <c r="CF911" s="240"/>
      <c r="CG911" s="240"/>
      <c r="CH911" s="240"/>
      <c r="CI911" s="240"/>
      <c r="CJ911" s="240"/>
      <c r="CK911" s="240"/>
      <c r="CL911" s="240"/>
      <c r="CM911" s="240"/>
      <c r="CN911" s="240"/>
      <c r="CO911" s="240"/>
      <c r="CP911" s="240"/>
      <c r="CQ911" s="240"/>
      <c r="CR911" s="240"/>
      <c r="CS911" s="240"/>
      <c r="CT911" s="240"/>
      <c r="CU911" s="240"/>
      <c r="CV911" s="240"/>
      <c r="CW911" s="240"/>
      <c r="CX911" s="240"/>
      <c r="CY911" s="240"/>
      <c r="CZ911" s="240"/>
      <c r="DA911" s="240"/>
      <c r="DB911" s="240"/>
      <c r="DC911" s="240"/>
      <c r="DD911" s="240"/>
      <c r="DE911" s="240"/>
      <c r="DF911" s="240"/>
      <c r="DG911" s="240"/>
      <c r="DH911" s="240"/>
      <c r="DI911" s="240"/>
      <c r="DJ911" s="240"/>
      <c r="DK911" s="240"/>
      <c r="DL911" s="240"/>
      <c r="DM911" s="240"/>
      <c r="DN911" s="240"/>
      <c r="DO911" s="240"/>
      <c r="DP911" s="240"/>
      <c r="DQ911" s="240"/>
      <c r="DR911" s="240"/>
      <c r="DS911" s="240"/>
      <c r="DT911" s="240"/>
      <c r="DU911" s="240"/>
      <c r="DV911" s="240"/>
      <c r="DW911" s="240"/>
      <c r="DX911" s="240"/>
      <c r="DY911" s="240"/>
      <c r="DZ911" s="240"/>
      <c r="EA911" s="240"/>
      <c r="EB911" s="240"/>
      <c r="EC911" s="240"/>
      <c r="ED911" s="240"/>
      <c r="EE911" s="240"/>
      <c r="EF911" s="240"/>
      <c r="EG911" s="240"/>
      <c r="EH911" s="240"/>
      <c r="EI911" s="240"/>
      <c r="EJ911" s="240"/>
      <c r="EK911" s="240"/>
      <c r="EL911" s="359"/>
      <c r="EM911" s="245"/>
      <c r="EN911" s="245"/>
      <c r="EO911" s="245"/>
      <c r="EP911" s="245"/>
      <c r="EQ911" s="254"/>
      <c r="ER911" s="240"/>
      <c r="ES911" s="240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193"/>
    </row>
    <row r="912" spans="2:189" s="243" customFormat="1" ht="11.45" hidden="1" customHeight="1">
      <c r="B912" s="244"/>
      <c r="C912" s="240"/>
      <c r="D912" s="240"/>
      <c r="E912" s="240"/>
      <c r="F912" s="240"/>
      <c r="G912" s="240"/>
      <c r="H912" s="240"/>
      <c r="I912" s="240"/>
      <c r="J912" s="240"/>
      <c r="K912" s="240"/>
      <c r="L912" s="297"/>
      <c r="M912" s="297"/>
      <c r="N912" s="297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0"/>
      <c r="AO912" s="240"/>
      <c r="AP912" s="240"/>
      <c r="AQ912" s="240"/>
      <c r="AR912" s="240"/>
      <c r="AS912" s="240"/>
      <c r="AT912" s="240"/>
      <c r="AU912" s="240"/>
      <c r="AV912" s="240"/>
      <c r="AW912" s="240"/>
      <c r="AX912" s="240"/>
      <c r="AY912" s="240"/>
      <c r="AZ912" s="240"/>
      <c r="BA912" s="240"/>
      <c r="BB912" s="240"/>
      <c r="BC912" s="240"/>
      <c r="BD912" s="240"/>
      <c r="BE912" s="240"/>
      <c r="BF912" s="240"/>
      <c r="BG912" s="240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297"/>
      <c r="BT912" s="240"/>
      <c r="BU912" s="240"/>
      <c r="BV912" s="240"/>
      <c r="BW912" s="240"/>
      <c r="BX912" s="240"/>
      <c r="BY912" s="240"/>
      <c r="BZ912" s="240"/>
      <c r="CA912" s="240"/>
      <c r="CB912" s="240"/>
      <c r="CC912" s="240"/>
      <c r="CD912" s="240"/>
      <c r="CE912" s="240"/>
      <c r="CF912" s="240"/>
      <c r="CG912" s="240"/>
      <c r="CH912" s="240"/>
      <c r="CI912" s="240"/>
      <c r="CJ912" s="240"/>
      <c r="CK912" s="240"/>
      <c r="CL912" s="240"/>
      <c r="CM912" s="240"/>
      <c r="CN912" s="240"/>
      <c r="CO912" s="240"/>
      <c r="CP912" s="240"/>
      <c r="CQ912" s="240"/>
      <c r="CR912" s="240"/>
      <c r="CS912" s="240"/>
      <c r="CT912" s="240"/>
      <c r="CU912" s="240"/>
      <c r="CV912" s="240"/>
      <c r="CW912" s="240"/>
      <c r="CX912" s="240"/>
      <c r="CY912" s="240"/>
      <c r="CZ912" s="240"/>
      <c r="DA912" s="240"/>
      <c r="DB912" s="240"/>
      <c r="DC912" s="240"/>
      <c r="DD912" s="240"/>
      <c r="DE912" s="240"/>
      <c r="DF912" s="240"/>
      <c r="DG912" s="240"/>
      <c r="DH912" s="240"/>
      <c r="DI912" s="240"/>
      <c r="DJ912" s="240"/>
      <c r="DK912" s="240"/>
      <c r="DL912" s="240"/>
      <c r="DM912" s="240"/>
      <c r="DN912" s="240"/>
      <c r="DO912" s="240"/>
      <c r="DP912" s="240"/>
      <c r="DQ912" s="240"/>
      <c r="DR912" s="240"/>
      <c r="DS912" s="240"/>
      <c r="DT912" s="240"/>
      <c r="DU912" s="240"/>
      <c r="DV912" s="240"/>
      <c r="DW912" s="240"/>
      <c r="DX912" s="240"/>
      <c r="DY912" s="240"/>
      <c r="DZ912" s="240"/>
      <c r="EA912" s="240"/>
      <c r="EB912" s="240"/>
      <c r="EC912" s="240"/>
      <c r="ED912" s="240"/>
      <c r="EE912" s="240"/>
      <c r="EF912" s="240"/>
      <c r="EG912" s="240"/>
      <c r="EH912" s="240"/>
      <c r="EI912" s="240"/>
      <c r="EJ912" s="240"/>
      <c r="EK912" s="240"/>
      <c r="EL912" s="359"/>
      <c r="EM912" s="245"/>
      <c r="EN912" s="245"/>
      <c r="EO912" s="245"/>
      <c r="EP912" s="245"/>
      <c r="EQ912" s="254"/>
      <c r="ER912" s="240"/>
      <c r="ES912" s="240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193"/>
    </row>
    <row r="913" spans="2:189" s="243" customFormat="1" ht="11.45" hidden="1" customHeight="1">
      <c r="B913" s="244"/>
      <c r="C913" s="240"/>
      <c r="D913" s="240"/>
      <c r="E913" s="240"/>
      <c r="F913" s="240"/>
      <c r="G913" s="240"/>
      <c r="H913" s="240"/>
      <c r="I913" s="240"/>
      <c r="J913" s="240"/>
      <c r="K913" s="240"/>
      <c r="L913" s="297"/>
      <c r="M913" s="297"/>
      <c r="N913" s="297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0"/>
      <c r="AO913" s="240"/>
      <c r="AP913" s="240"/>
      <c r="AQ913" s="240"/>
      <c r="AR913" s="240"/>
      <c r="AS913" s="240"/>
      <c r="AT913" s="240"/>
      <c r="AU913" s="240"/>
      <c r="AV913" s="240"/>
      <c r="AW913" s="240"/>
      <c r="AX913" s="240"/>
      <c r="AY913" s="240"/>
      <c r="AZ913" s="240"/>
      <c r="BA913" s="240"/>
      <c r="BB913" s="240"/>
      <c r="BC913" s="240"/>
      <c r="BD913" s="240"/>
      <c r="BE913" s="240"/>
      <c r="BF913" s="240"/>
      <c r="BG913" s="240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297"/>
      <c r="BT913" s="240"/>
      <c r="BU913" s="240"/>
      <c r="BV913" s="240"/>
      <c r="BW913" s="240"/>
      <c r="BX913" s="240"/>
      <c r="BY913" s="240"/>
      <c r="BZ913" s="240"/>
      <c r="CA913" s="240"/>
      <c r="CB913" s="240"/>
      <c r="CC913" s="240"/>
      <c r="CD913" s="240"/>
      <c r="CE913" s="240"/>
      <c r="CF913" s="240"/>
      <c r="CG913" s="240"/>
      <c r="CH913" s="240"/>
      <c r="CI913" s="240"/>
      <c r="CJ913" s="240"/>
      <c r="CK913" s="240"/>
      <c r="CL913" s="240"/>
      <c r="CM913" s="240"/>
      <c r="CN913" s="240"/>
      <c r="CO913" s="240"/>
      <c r="CP913" s="240"/>
      <c r="CQ913" s="240"/>
      <c r="CR913" s="240"/>
      <c r="CS913" s="240"/>
      <c r="CT913" s="240"/>
      <c r="CU913" s="240"/>
      <c r="CV913" s="240"/>
      <c r="CW913" s="240"/>
      <c r="CX913" s="240"/>
      <c r="CY913" s="240"/>
      <c r="CZ913" s="240"/>
      <c r="DA913" s="240"/>
      <c r="DB913" s="240"/>
      <c r="DC913" s="240"/>
      <c r="DD913" s="240"/>
      <c r="DE913" s="240"/>
      <c r="DF913" s="240"/>
      <c r="DG913" s="240"/>
      <c r="DH913" s="240"/>
      <c r="DI913" s="240"/>
      <c r="DJ913" s="240"/>
      <c r="DK913" s="240"/>
      <c r="DL913" s="240"/>
      <c r="DM913" s="240"/>
      <c r="DN913" s="240"/>
      <c r="DO913" s="240"/>
      <c r="DP913" s="240"/>
      <c r="DQ913" s="240"/>
      <c r="DR913" s="240"/>
      <c r="DS913" s="240"/>
      <c r="DT913" s="240"/>
      <c r="DU913" s="240"/>
      <c r="DV913" s="240"/>
      <c r="DW913" s="240"/>
      <c r="DX913" s="240"/>
      <c r="DY913" s="240"/>
      <c r="DZ913" s="240"/>
      <c r="EA913" s="240"/>
      <c r="EB913" s="240"/>
      <c r="EC913" s="240"/>
      <c r="ED913" s="240"/>
      <c r="EE913" s="240"/>
      <c r="EF913" s="240"/>
      <c r="EG913" s="240"/>
      <c r="EH913" s="240"/>
      <c r="EI913" s="240"/>
      <c r="EJ913" s="240"/>
      <c r="EK913" s="240"/>
      <c r="EL913" s="359"/>
      <c r="EM913" s="245"/>
      <c r="EN913" s="245"/>
      <c r="EO913" s="245"/>
      <c r="EP913" s="245"/>
      <c r="EQ913" s="254"/>
      <c r="ER913" s="240"/>
      <c r="ES913" s="240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193"/>
    </row>
    <row r="914" spans="2:189" s="243" customFormat="1" ht="11.45" hidden="1" customHeight="1">
      <c r="B914" s="244"/>
      <c r="C914" s="240"/>
      <c r="D914" s="240"/>
      <c r="E914" s="240"/>
      <c r="F914" s="240"/>
      <c r="G914" s="240"/>
      <c r="H914" s="240"/>
      <c r="I914" s="240"/>
      <c r="J914" s="240"/>
      <c r="K914" s="240"/>
      <c r="L914" s="297"/>
      <c r="M914" s="297"/>
      <c r="N914" s="297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  <c r="AA914" s="240"/>
      <c r="AB914" s="240"/>
      <c r="AC914" s="240"/>
      <c r="AD914" s="240"/>
      <c r="AE914" s="240"/>
      <c r="AF914" s="240"/>
      <c r="AG914" s="240"/>
      <c r="AH914" s="240"/>
      <c r="AI914" s="240"/>
      <c r="AJ914" s="240"/>
      <c r="AK914" s="240"/>
      <c r="AL914" s="240"/>
      <c r="AM914" s="240"/>
      <c r="AN914" s="240"/>
      <c r="AO914" s="240"/>
      <c r="AP914" s="240"/>
      <c r="AQ914" s="240"/>
      <c r="AR914" s="240"/>
      <c r="AS914" s="240"/>
      <c r="AT914" s="240"/>
      <c r="AU914" s="240"/>
      <c r="AV914" s="240"/>
      <c r="AW914" s="240"/>
      <c r="AX914" s="240"/>
      <c r="AY914" s="240"/>
      <c r="AZ914" s="240"/>
      <c r="BA914" s="240"/>
      <c r="BB914" s="240"/>
      <c r="BC914" s="240"/>
      <c r="BD914" s="240"/>
      <c r="BE914" s="240"/>
      <c r="BF914" s="240"/>
      <c r="BG914" s="240"/>
      <c r="BH914" s="240"/>
      <c r="BI914" s="240"/>
      <c r="BJ914" s="240"/>
      <c r="BK914" s="240"/>
      <c r="BL914" s="240"/>
      <c r="BM914" s="240"/>
      <c r="BN914" s="240"/>
      <c r="BO914" s="240"/>
      <c r="BP914" s="240"/>
      <c r="BQ914" s="240"/>
      <c r="BR914" s="240"/>
      <c r="BS914" s="297"/>
      <c r="BT914" s="240"/>
      <c r="BU914" s="240"/>
      <c r="BV914" s="240"/>
      <c r="BW914" s="240"/>
      <c r="BX914" s="240"/>
      <c r="BY914" s="240"/>
      <c r="BZ914" s="240"/>
      <c r="CA914" s="240"/>
      <c r="CB914" s="240"/>
      <c r="CC914" s="240"/>
      <c r="CD914" s="240"/>
      <c r="CE914" s="240"/>
      <c r="CF914" s="240"/>
      <c r="CG914" s="240"/>
      <c r="CH914" s="240"/>
      <c r="CI914" s="240"/>
      <c r="CJ914" s="240"/>
      <c r="CK914" s="240"/>
      <c r="CL914" s="240"/>
      <c r="CM914" s="240"/>
      <c r="CN914" s="240"/>
      <c r="CO914" s="240"/>
      <c r="CP914" s="240"/>
      <c r="CQ914" s="240"/>
      <c r="CR914" s="240"/>
      <c r="CS914" s="240"/>
      <c r="CT914" s="240"/>
      <c r="CU914" s="240"/>
      <c r="CV914" s="240"/>
      <c r="CW914" s="240"/>
      <c r="CX914" s="240"/>
      <c r="CY914" s="240"/>
      <c r="CZ914" s="240"/>
      <c r="DA914" s="240"/>
      <c r="DB914" s="240"/>
      <c r="DC914" s="240"/>
      <c r="DD914" s="240"/>
      <c r="DE914" s="240"/>
      <c r="DF914" s="240"/>
      <c r="DG914" s="240"/>
      <c r="DH914" s="240"/>
      <c r="DI914" s="240"/>
      <c r="DJ914" s="240"/>
      <c r="DK914" s="240"/>
      <c r="DL914" s="240"/>
      <c r="DM914" s="240"/>
      <c r="DN914" s="240"/>
      <c r="DO914" s="240"/>
      <c r="DP914" s="240"/>
      <c r="DQ914" s="240"/>
      <c r="DR914" s="240"/>
      <c r="DS914" s="240"/>
      <c r="DT914" s="240"/>
      <c r="DU914" s="240"/>
      <c r="DV914" s="240"/>
      <c r="DW914" s="240"/>
      <c r="DX914" s="240"/>
      <c r="DY914" s="240"/>
      <c r="DZ914" s="240"/>
      <c r="EA914" s="240"/>
      <c r="EB914" s="240"/>
      <c r="EC914" s="240"/>
      <c r="ED914" s="240"/>
      <c r="EE914" s="240"/>
      <c r="EF914" s="240"/>
      <c r="EG914" s="240"/>
      <c r="EH914" s="240"/>
      <c r="EI914" s="240"/>
      <c r="EJ914" s="240"/>
      <c r="EK914" s="240"/>
      <c r="EL914" s="359"/>
      <c r="EM914" s="245"/>
      <c r="EN914" s="245"/>
      <c r="EO914" s="245"/>
      <c r="EP914" s="245"/>
      <c r="EQ914" s="254"/>
      <c r="ER914" s="240"/>
      <c r="ES914" s="240"/>
      <c r="ET914" s="241"/>
      <c r="EU914" s="241"/>
      <c r="EV914" s="241"/>
      <c r="EW914" s="241"/>
      <c r="EX914" s="241"/>
      <c r="EY914" s="241"/>
      <c r="EZ914" s="241"/>
      <c r="FA914" s="241"/>
      <c r="FB914" s="241"/>
      <c r="FC914" s="241"/>
      <c r="FD914" s="241"/>
      <c r="FE914" s="241"/>
      <c r="FF914" s="241"/>
      <c r="FG914" s="241"/>
      <c r="FH914" s="241"/>
      <c r="FI914" s="241"/>
      <c r="FJ914" s="241"/>
      <c r="FK914" s="241"/>
      <c r="FL914" s="241"/>
      <c r="FM914" s="241"/>
      <c r="FN914" s="241"/>
      <c r="FO914" s="241"/>
      <c r="FP914" s="241"/>
      <c r="FQ914" s="241"/>
      <c r="FR914" s="241"/>
      <c r="FS914" s="241"/>
      <c r="FT914" s="241"/>
      <c r="FU914" s="241"/>
      <c r="FV914" s="241"/>
      <c r="FW914" s="241"/>
      <c r="FX914" s="241"/>
      <c r="FY914" s="241"/>
      <c r="FZ914" s="241"/>
      <c r="GA914" s="241"/>
      <c r="GB914" s="241"/>
      <c r="GC914" s="241"/>
      <c r="GD914" s="241"/>
      <c r="GE914" s="241"/>
      <c r="GF914" s="241"/>
      <c r="GG914" s="193"/>
    </row>
    <row r="915" spans="2:189" s="243" customFormat="1" ht="11.45" hidden="1" customHeight="1">
      <c r="B915" s="244"/>
      <c r="C915" s="240"/>
      <c r="D915" s="240"/>
      <c r="E915" s="240"/>
      <c r="F915" s="240"/>
      <c r="G915" s="240"/>
      <c r="H915" s="240"/>
      <c r="I915" s="240"/>
      <c r="J915" s="240"/>
      <c r="K915" s="240"/>
      <c r="L915" s="297"/>
      <c r="M915" s="297"/>
      <c r="N915" s="297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0"/>
      <c r="AO915" s="240"/>
      <c r="AP915" s="240"/>
      <c r="AQ915" s="240"/>
      <c r="AR915" s="240"/>
      <c r="AS915" s="240"/>
      <c r="AT915" s="240"/>
      <c r="AU915" s="240"/>
      <c r="AV915" s="240"/>
      <c r="AW915" s="240"/>
      <c r="AX915" s="240"/>
      <c r="AY915" s="240"/>
      <c r="AZ915" s="240"/>
      <c r="BA915" s="240"/>
      <c r="BB915" s="240"/>
      <c r="BC915" s="240"/>
      <c r="BD915" s="240"/>
      <c r="BE915" s="240"/>
      <c r="BF915" s="240"/>
      <c r="BG915" s="240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297"/>
      <c r="BT915" s="240"/>
      <c r="BU915" s="240"/>
      <c r="BV915" s="240"/>
      <c r="BW915" s="240"/>
      <c r="BX915" s="240"/>
      <c r="BY915" s="240"/>
      <c r="BZ915" s="240"/>
      <c r="CA915" s="240"/>
      <c r="CB915" s="240"/>
      <c r="CC915" s="240"/>
      <c r="CD915" s="240"/>
      <c r="CE915" s="240"/>
      <c r="CF915" s="240"/>
      <c r="CG915" s="240"/>
      <c r="CH915" s="240"/>
      <c r="CI915" s="240"/>
      <c r="CJ915" s="240"/>
      <c r="CK915" s="240"/>
      <c r="CL915" s="240"/>
      <c r="CM915" s="240"/>
      <c r="CN915" s="240"/>
      <c r="CO915" s="240"/>
      <c r="CP915" s="240"/>
      <c r="CQ915" s="240"/>
      <c r="CR915" s="240"/>
      <c r="CS915" s="240"/>
      <c r="CT915" s="240"/>
      <c r="CU915" s="240"/>
      <c r="CV915" s="240"/>
      <c r="CW915" s="240"/>
      <c r="CX915" s="240"/>
      <c r="CY915" s="240"/>
      <c r="CZ915" s="240"/>
      <c r="DA915" s="240"/>
      <c r="DB915" s="240"/>
      <c r="DC915" s="240"/>
      <c r="DD915" s="240"/>
      <c r="DE915" s="240"/>
      <c r="DF915" s="240"/>
      <c r="DG915" s="240"/>
      <c r="DH915" s="240"/>
      <c r="DI915" s="240"/>
      <c r="DJ915" s="240"/>
      <c r="DK915" s="240"/>
      <c r="DL915" s="240"/>
      <c r="DM915" s="240"/>
      <c r="DN915" s="240"/>
      <c r="DO915" s="240"/>
      <c r="DP915" s="240"/>
      <c r="DQ915" s="240"/>
      <c r="DR915" s="240"/>
      <c r="DS915" s="240"/>
      <c r="DT915" s="240"/>
      <c r="DU915" s="240"/>
      <c r="DV915" s="240"/>
      <c r="DW915" s="240"/>
      <c r="DX915" s="240"/>
      <c r="DY915" s="240"/>
      <c r="DZ915" s="240"/>
      <c r="EA915" s="240"/>
      <c r="EB915" s="240"/>
      <c r="EC915" s="240"/>
      <c r="ED915" s="240"/>
      <c r="EE915" s="240"/>
      <c r="EF915" s="240"/>
      <c r="EG915" s="240"/>
      <c r="EH915" s="240"/>
      <c r="EI915" s="240"/>
      <c r="EJ915" s="240"/>
      <c r="EK915" s="240"/>
      <c r="EL915" s="359"/>
      <c r="EM915" s="245"/>
      <c r="EN915" s="245"/>
      <c r="EO915" s="245"/>
      <c r="EP915" s="245"/>
      <c r="EQ915" s="254"/>
      <c r="ER915" s="240"/>
      <c r="ES915" s="240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193"/>
    </row>
    <row r="916" spans="2:189" s="243" customFormat="1" ht="11.45" hidden="1" customHeight="1">
      <c r="B916" s="244"/>
      <c r="C916" s="240"/>
      <c r="D916" s="240"/>
      <c r="E916" s="240"/>
      <c r="F916" s="240"/>
      <c r="G916" s="240"/>
      <c r="H916" s="240"/>
      <c r="I916" s="240"/>
      <c r="J916" s="240"/>
      <c r="K916" s="240"/>
      <c r="L916" s="297"/>
      <c r="M916" s="297"/>
      <c r="N916" s="297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0"/>
      <c r="AO916" s="240"/>
      <c r="AP916" s="240"/>
      <c r="AQ916" s="240"/>
      <c r="AR916" s="240"/>
      <c r="AS916" s="240"/>
      <c r="AT916" s="240"/>
      <c r="AU916" s="240"/>
      <c r="AV916" s="240"/>
      <c r="AW916" s="240"/>
      <c r="AX916" s="240"/>
      <c r="AY916" s="240"/>
      <c r="AZ916" s="240"/>
      <c r="BA916" s="240"/>
      <c r="BB916" s="240"/>
      <c r="BC916" s="240"/>
      <c r="BD916" s="240"/>
      <c r="BE916" s="240"/>
      <c r="BF916" s="240"/>
      <c r="BG916" s="240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297"/>
      <c r="BT916" s="240"/>
      <c r="BU916" s="240"/>
      <c r="BV916" s="240"/>
      <c r="BW916" s="240"/>
      <c r="BX916" s="240"/>
      <c r="BY916" s="240"/>
      <c r="BZ916" s="240"/>
      <c r="CA916" s="240"/>
      <c r="CB916" s="240"/>
      <c r="CC916" s="240"/>
      <c r="CD916" s="240"/>
      <c r="CE916" s="240"/>
      <c r="CF916" s="240"/>
      <c r="CG916" s="240"/>
      <c r="CH916" s="240"/>
      <c r="CI916" s="240"/>
      <c r="CJ916" s="240"/>
      <c r="CK916" s="240"/>
      <c r="CL916" s="240"/>
      <c r="CM916" s="240"/>
      <c r="CN916" s="240"/>
      <c r="CO916" s="240"/>
      <c r="CP916" s="240"/>
      <c r="CQ916" s="240"/>
      <c r="CR916" s="240"/>
      <c r="CS916" s="240"/>
      <c r="CT916" s="240"/>
      <c r="CU916" s="240"/>
      <c r="CV916" s="240"/>
      <c r="CW916" s="240"/>
      <c r="CX916" s="240"/>
      <c r="CY916" s="240"/>
      <c r="CZ916" s="240"/>
      <c r="DA916" s="240"/>
      <c r="DB916" s="240"/>
      <c r="DC916" s="240"/>
      <c r="DD916" s="240"/>
      <c r="DE916" s="240"/>
      <c r="DF916" s="240"/>
      <c r="DG916" s="240"/>
      <c r="DH916" s="240"/>
      <c r="DI916" s="240"/>
      <c r="DJ916" s="240"/>
      <c r="DK916" s="240"/>
      <c r="DL916" s="240"/>
      <c r="DM916" s="240"/>
      <c r="DN916" s="240"/>
      <c r="DO916" s="240"/>
      <c r="DP916" s="240"/>
      <c r="DQ916" s="240"/>
      <c r="DR916" s="240"/>
      <c r="DS916" s="240"/>
      <c r="DT916" s="240"/>
      <c r="DU916" s="240"/>
      <c r="DV916" s="240"/>
      <c r="DW916" s="240"/>
      <c r="DX916" s="240"/>
      <c r="DY916" s="240"/>
      <c r="DZ916" s="240"/>
      <c r="EA916" s="240"/>
      <c r="EB916" s="240"/>
      <c r="EC916" s="240"/>
      <c r="ED916" s="240"/>
      <c r="EE916" s="240"/>
      <c r="EF916" s="240"/>
      <c r="EG916" s="240"/>
      <c r="EH916" s="240"/>
      <c r="EI916" s="240"/>
      <c r="EJ916" s="240"/>
      <c r="EK916" s="240"/>
      <c r="EL916" s="359"/>
      <c r="EM916" s="245"/>
      <c r="EN916" s="245"/>
      <c r="EO916" s="245"/>
      <c r="EP916" s="245"/>
      <c r="EQ916" s="254"/>
      <c r="ER916" s="240"/>
      <c r="ES916" s="240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193"/>
    </row>
    <row r="917" spans="2:189" s="243" customFormat="1" ht="11.45" hidden="1" customHeight="1">
      <c r="B917" s="244"/>
      <c r="C917" s="240"/>
      <c r="D917" s="240"/>
      <c r="E917" s="240"/>
      <c r="F917" s="240"/>
      <c r="G917" s="240"/>
      <c r="H917" s="240"/>
      <c r="I917" s="240"/>
      <c r="J917" s="240"/>
      <c r="K917" s="240"/>
      <c r="L917" s="297"/>
      <c r="M917" s="297"/>
      <c r="N917" s="297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0"/>
      <c r="AO917" s="240"/>
      <c r="AP917" s="240"/>
      <c r="AQ917" s="240"/>
      <c r="AR917" s="240"/>
      <c r="AS917" s="240"/>
      <c r="AT917" s="240"/>
      <c r="AU917" s="240"/>
      <c r="AV917" s="240"/>
      <c r="AW917" s="240"/>
      <c r="AX917" s="240"/>
      <c r="AY917" s="240"/>
      <c r="AZ917" s="240"/>
      <c r="BA917" s="240"/>
      <c r="BB917" s="240"/>
      <c r="BC917" s="240"/>
      <c r="BD917" s="240"/>
      <c r="BE917" s="240"/>
      <c r="BF917" s="240"/>
      <c r="BG917" s="240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297"/>
      <c r="BT917" s="240"/>
      <c r="BU917" s="240"/>
      <c r="BV917" s="240"/>
      <c r="BW917" s="240"/>
      <c r="BX917" s="240"/>
      <c r="BY917" s="240"/>
      <c r="BZ917" s="240"/>
      <c r="CA917" s="240"/>
      <c r="CB917" s="240"/>
      <c r="CC917" s="240"/>
      <c r="CD917" s="240"/>
      <c r="CE917" s="240"/>
      <c r="CF917" s="240"/>
      <c r="CG917" s="240"/>
      <c r="CH917" s="240"/>
      <c r="CI917" s="240"/>
      <c r="CJ917" s="240"/>
      <c r="CK917" s="240"/>
      <c r="CL917" s="240"/>
      <c r="CM917" s="240"/>
      <c r="CN917" s="240"/>
      <c r="CO917" s="240"/>
      <c r="CP917" s="240"/>
      <c r="CQ917" s="240"/>
      <c r="CR917" s="240"/>
      <c r="CS917" s="240"/>
      <c r="CT917" s="240"/>
      <c r="CU917" s="240"/>
      <c r="CV917" s="240"/>
      <c r="CW917" s="240"/>
      <c r="CX917" s="240"/>
      <c r="CY917" s="240"/>
      <c r="CZ917" s="240"/>
      <c r="DA917" s="240"/>
      <c r="DB917" s="240"/>
      <c r="DC917" s="240"/>
      <c r="DD917" s="240"/>
      <c r="DE917" s="240"/>
      <c r="DF917" s="240"/>
      <c r="DG917" s="240"/>
      <c r="DH917" s="240"/>
      <c r="DI917" s="240"/>
      <c r="DJ917" s="240"/>
      <c r="DK917" s="240"/>
      <c r="DL917" s="240"/>
      <c r="DM917" s="240"/>
      <c r="DN917" s="240"/>
      <c r="DO917" s="240"/>
      <c r="DP917" s="240"/>
      <c r="DQ917" s="240"/>
      <c r="DR917" s="240"/>
      <c r="DS917" s="240"/>
      <c r="DT917" s="240"/>
      <c r="DU917" s="240"/>
      <c r="DV917" s="240"/>
      <c r="DW917" s="240"/>
      <c r="DX917" s="240"/>
      <c r="DY917" s="240"/>
      <c r="DZ917" s="240"/>
      <c r="EA917" s="240"/>
      <c r="EB917" s="240"/>
      <c r="EC917" s="240"/>
      <c r="ED917" s="240"/>
      <c r="EE917" s="240"/>
      <c r="EF917" s="240"/>
      <c r="EG917" s="240"/>
      <c r="EH917" s="240"/>
      <c r="EI917" s="240"/>
      <c r="EJ917" s="240"/>
      <c r="EK917" s="240"/>
      <c r="EL917" s="359"/>
      <c r="EM917" s="245"/>
      <c r="EN917" s="245"/>
      <c r="EO917" s="245"/>
      <c r="EP917" s="245"/>
      <c r="EQ917" s="254"/>
      <c r="ER917" s="240"/>
      <c r="ES917" s="240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193"/>
    </row>
    <row r="918" spans="2:189" s="243" customFormat="1" ht="11.45" hidden="1" customHeight="1">
      <c r="B918" s="244"/>
      <c r="C918" s="240"/>
      <c r="D918" s="240"/>
      <c r="E918" s="240"/>
      <c r="F918" s="240"/>
      <c r="G918" s="240"/>
      <c r="H918" s="240"/>
      <c r="I918" s="240"/>
      <c r="J918" s="240"/>
      <c r="K918" s="240"/>
      <c r="L918" s="297"/>
      <c r="M918" s="297"/>
      <c r="N918" s="297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0"/>
      <c r="AO918" s="240"/>
      <c r="AP918" s="240"/>
      <c r="AQ918" s="240"/>
      <c r="AR918" s="240"/>
      <c r="AS918" s="240"/>
      <c r="AT918" s="240"/>
      <c r="AU918" s="240"/>
      <c r="AV918" s="240"/>
      <c r="AW918" s="240"/>
      <c r="AX918" s="240"/>
      <c r="AY918" s="240"/>
      <c r="AZ918" s="240"/>
      <c r="BA918" s="240"/>
      <c r="BB918" s="240"/>
      <c r="BC918" s="240"/>
      <c r="BD918" s="240"/>
      <c r="BE918" s="240"/>
      <c r="BF918" s="240"/>
      <c r="BG918" s="240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297"/>
      <c r="BT918" s="240"/>
      <c r="BU918" s="240"/>
      <c r="BV918" s="240"/>
      <c r="BW918" s="240"/>
      <c r="BX918" s="240"/>
      <c r="BY918" s="240"/>
      <c r="BZ918" s="240"/>
      <c r="CA918" s="240"/>
      <c r="CB918" s="240"/>
      <c r="CC918" s="240"/>
      <c r="CD918" s="240"/>
      <c r="CE918" s="240"/>
      <c r="CF918" s="240"/>
      <c r="CG918" s="240"/>
      <c r="CH918" s="240"/>
      <c r="CI918" s="240"/>
      <c r="CJ918" s="240"/>
      <c r="CK918" s="240"/>
      <c r="CL918" s="240"/>
      <c r="CM918" s="240"/>
      <c r="CN918" s="240"/>
      <c r="CO918" s="240"/>
      <c r="CP918" s="240"/>
      <c r="CQ918" s="240"/>
      <c r="CR918" s="240"/>
      <c r="CS918" s="240"/>
      <c r="CT918" s="240"/>
      <c r="CU918" s="240"/>
      <c r="CV918" s="240"/>
      <c r="CW918" s="240"/>
      <c r="CX918" s="240"/>
      <c r="CY918" s="240"/>
      <c r="CZ918" s="240"/>
      <c r="DA918" s="240"/>
      <c r="DB918" s="240"/>
      <c r="DC918" s="240"/>
      <c r="DD918" s="240"/>
      <c r="DE918" s="240"/>
      <c r="DF918" s="240"/>
      <c r="DG918" s="240"/>
      <c r="DH918" s="240"/>
      <c r="DI918" s="240"/>
      <c r="DJ918" s="240"/>
      <c r="DK918" s="240"/>
      <c r="DL918" s="240"/>
      <c r="DM918" s="240"/>
      <c r="DN918" s="240"/>
      <c r="DO918" s="240"/>
      <c r="DP918" s="240"/>
      <c r="DQ918" s="240"/>
      <c r="DR918" s="240"/>
      <c r="DS918" s="240"/>
      <c r="DT918" s="240"/>
      <c r="DU918" s="240"/>
      <c r="DV918" s="240"/>
      <c r="DW918" s="240"/>
      <c r="DX918" s="240"/>
      <c r="DY918" s="240"/>
      <c r="DZ918" s="240"/>
      <c r="EA918" s="240"/>
      <c r="EB918" s="240"/>
      <c r="EC918" s="240"/>
      <c r="ED918" s="240"/>
      <c r="EE918" s="240"/>
      <c r="EF918" s="240"/>
      <c r="EG918" s="240"/>
      <c r="EH918" s="240"/>
      <c r="EI918" s="240"/>
      <c r="EJ918" s="240"/>
      <c r="EK918" s="240"/>
      <c r="EL918" s="359"/>
      <c r="EM918" s="245"/>
      <c r="EN918" s="245"/>
      <c r="EO918" s="245"/>
      <c r="EP918" s="245"/>
      <c r="EQ918" s="254"/>
      <c r="ER918" s="240"/>
      <c r="ES918" s="240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193"/>
    </row>
    <row r="919" spans="2:189" s="243" customFormat="1" ht="11.45" hidden="1" customHeight="1">
      <c r="B919" s="244"/>
      <c r="C919" s="240"/>
      <c r="D919" s="240"/>
      <c r="E919" s="240"/>
      <c r="F919" s="240"/>
      <c r="G919" s="240"/>
      <c r="H919" s="240"/>
      <c r="I919" s="240"/>
      <c r="J919" s="240"/>
      <c r="K919" s="240"/>
      <c r="L919" s="297"/>
      <c r="M919" s="297"/>
      <c r="N919" s="297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0"/>
      <c r="AO919" s="240"/>
      <c r="AP919" s="240"/>
      <c r="AQ919" s="240"/>
      <c r="AR919" s="240"/>
      <c r="AS919" s="240"/>
      <c r="AT919" s="240"/>
      <c r="AU919" s="240"/>
      <c r="AV919" s="240"/>
      <c r="AW919" s="240"/>
      <c r="AX919" s="240"/>
      <c r="AY919" s="240"/>
      <c r="AZ919" s="240"/>
      <c r="BA919" s="240"/>
      <c r="BB919" s="240"/>
      <c r="BC919" s="240"/>
      <c r="BD919" s="240"/>
      <c r="BE919" s="240"/>
      <c r="BF919" s="240"/>
      <c r="BG919" s="240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297"/>
      <c r="BT919" s="240"/>
      <c r="BU919" s="240"/>
      <c r="BV919" s="240"/>
      <c r="BW919" s="240"/>
      <c r="BX919" s="240"/>
      <c r="BY919" s="240"/>
      <c r="BZ919" s="240"/>
      <c r="CA919" s="240"/>
      <c r="CB919" s="240"/>
      <c r="CC919" s="240"/>
      <c r="CD919" s="240"/>
      <c r="CE919" s="240"/>
      <c r="CF919" s="240"/>
      <c r="CG919" s="240"/>
      <c r="CH919" s="240"/>
      <c r="CI919" s="240"/>
      <c r="CJ919" s="240"/>
      <c r="CK919" s="240"/>
      <c r="CL919" s="240"/>
      <c r="CM919" s="240"/>
      <c r="CN919" s="240"/>
      <c r="CO919" s="240"/>
      <c r="CP919" s="240"/>
      <c r="CQ919" s="240"/>
      <c r="CR919" s="240"/>
      <c r="CS919" s="240"/>
      <c r="CT919" s="240"/>
      <c r="CU919" s="240"/>
      <c r="CV919" s="240"/>
      <c r="CW919" s="240"/>
      <c r="CX919" s="240"/>
      <c r="CY919" s="240"/>
      <c r="CZ919" s="240"/>
      <c r="DA919" s="240"/>
      <c r="DB919" s="240"/>
      <c r="DC919" s="240"/>
      <c r="DD919" s="240"/>
      <c r="DE919" s="240"/>
      <c r="DF919" s="240"/>
      <c r="DG919" s="240"/>
      <c r="DH919" s="240"/>
      <c r="DI919" s="240"/>
      <c r="DJ919" s="240"/>
      <c r="DK919" s="240"/>
      <c r="DL919" s="240"/>
      <c r="DM919" s="240"/>
      <c r="DN919" s="240"/>
      <c r="DO919" s="240"/>
      <c r="DP919" s="240"/>
      <c r="DQ919" s="240"/>
      <c r="DR919" s="240"/>
      <c r="DS919" s="240"/>
      <c r="DT919" s="240"/>
      <c r="DU919" s="240"/>
      <c r="DV919" s="240"/>
      <c r="DW919" s="240"/>
      <c r="DX919" s="240"/>
      <c r="DY919" s="240"/>
      <c r="DZ919" s="240"/>
      <c r="EA919" s="240"/>
      <c r="EB919" s="240"/>
      <c r="EC919" s="240"/>
      <c r="ED919" s="240"/>
      <c r="EE919" s="240"/>
      <c r="EF919" s="240"/>
      <c r="EG919" s="240"/>
      <c r="EH919" s="240"/>
      <c r="EI919" s="240"/>
      <c r="EJ919" s="240"/>
      <c r="EK919" s="240"/>
      <c r="EL919" s="359"/>
      <c r="EM919" s="245"/>
      <c r="EN919" s="245"/>
      <c r="EO919" s="245"/>
      <c r="EP919" s="245"/>
      <c r="EQ919" s="254"/>
      <c r="ER919" s="240"/>
      <c r="ES919" s="240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193"/>
    </row>
    <row r="920" spans="2:189" s="243" customFormat="1" ht="11.45" hidden="1" customHeight="1">
      <c r="B920" s="244"/>
      <c r="C920" s="240"/>
      <c r="D920" s="240"/>
      <c r="E920" s="240"/>
      <c r="F920" s="240"/>
      <c r="G920" s="240"/>
      <c r="H920" s="240"/>
      <c r="I920" s="240"/>
      <c r="J920" s="240"/>
      <c r="K920" s="240"/>
      <c r="L920" s="297"/>
      <c r="M920" s="297"/>
      <c r="N920" s="297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  <c r="AA920" s="240"/>
      <c r="AB920" s="240"/>
      <c r="AC920" s="240"/>
      <c r="AD920" s="240"/>
      <c r="AE920" s="240"/>
      <c r="AF920" s="240"/>
      <c r="AG920" s="240"/>
      <c r="AH920" s="240"/>
      <c r="AI920" s="240"/>
      <c r="AJ920" s="240"/>
      <c r="AK920" s="240"/>
      <c r="AL920" s="240"/>
      <c r="AM920" s="240"/>
      <c r="AN920" s="240"/>
      <c r="AO920" s="240"/>
      <c r="AP920" s="240"/>
      <c r="AQ920" s="240"/>
      <c r="AR920" s="240"/>
      <c r="AS920" s="240"/>
      <c r="AT920" s="240"/>
      <c r="AU920" s="240"/>
      <c r="AV920" s="240"/>
      <c r="AW920" s="240"/>
      <c r="AX920" s="240"/>
      <c r="AY920" s="240"/>
      <c r="AZ920" s="240"/>
      <c r="BA920" s="240"/>
      <c r="BB920" s="240"/>
      <c r="BC920" s="240"/>
      <c r="BD920" s="240"/>
      <c r="BE920" s="240"/>
      <c r="BF920" s="240"/>
      <c r="BG920" s="240"/>
      <c r="BH920" s="240"/>
      <c r="BI920" s="240"/>
      <c r="BJ920" s="240"/>
      <c r="BK920" s="240"/>
      <c r="BL920" s="240"/>
      <c r="BM920" s="240"/>
      <c r="BN920" s="240"/>
      <c r="BO920" s="240"/>
      <c r="BP920" s="240"/>
      <c r="BQ920" s="240"/>
      <c r="BR920" s="240"/>
      <c r="BS920" s="297"/>
      <c r="BT920" s="240"/>
      <c r="BU920" s="240"/>
      <c r="BV920" s="240"/>
      <c r="BW920" s="240"/>
      <c r="BX920" s="240"/>
      <c r="BY920" s="240"/>
      <c r="BZ920" s="240"/>
      <c r="CA920" s="240"/>
      <c r="CB920" s="240"/>
      <c r="CC920" s="240"/>
      <c r="CD920" s="240"/>
      <c r="CE920" s="240"/>
      <c r="CF920" s="240"/>
      <c r="CG920" s="240"/>
      <c r="CH920" s="240"/>
      <c r="CI920" s="240"/>
      <c r="CJ920" s="240"/>
      <c r="CK920" s="240"/>
      <c r="CL920" s="240"/>
      <c r="CM920" s="240"/>
      <c r="CN920" s="240"/>
      <c r="CO920" s="240"/>
      <c r="CP920" s="240"/>
      <c r="CQ920" s="240"/>
      <c r="CR920" s="240"/>
      <c r="CS920" s="240"/>
      <c r="CT920" s="240"/>
      <c r="CU920" s="240"/>
      <c r="CV920" s="240"/>
      <c r="CW920" s="240"/>
      <c r="CX920" s="240"/>
      <c r="CY920" s="240"/>
      <c r="CZ920" s="240"/>
      <c r="DA920" s="240"/>
      <c r="DB920" s="240"/>
      <c r="DC920" s="240"/>
      <c r="DD920" s="240"/>
      <c r="DE920" s="240"/>
      <c r="DF920" s="240"/>
      <c r="DG920" s="240"/>
      <c r="DH920" s="240"/>
      <c r="DI920" s="240"/>
      <c r="DJ920" s="240"/>
      <c r="DK920" s="240"/>
      <c r="DL920" s="240"/>
      <c r="DM920" s="240"/>
      <c r="DN920" s="240"/>
      <c r="DO920" s="240"/>
      <c r="DP920" s="240"/>
      <c r="DQ920" s="240"/>
      <c r="DR920" s="240"/>
      <c r="DS920" s="240"/>
      <c r="DT920" s="240"/>
      <c r="DU920" s="240"/>
      <c r="DV920" s="240"/>
      <c r="DW920" s="240"/>
      <c r="DX920" s="240"/>
      <c r="DY920" s="240"/>
      <c r="DZ920" s="240"/>
      <c r="EA920" s="240"/>
      <c r="EB920" s="240"/>
      <c r="EC920" s="240"/>
      <c r="ED920" s="240"/>
      <c r="EE920" s="240"/>
      <c r="EF920" s="240"/>
      <c r="EG920" s="240"/>
      <c r="EH920" s="240"/>
      <c r="EI920" s="240"/>
      <c r="EJ920" s="240"/>
      <c r="EK920" s="240"/>
      <c r="EL920" s="359"/>
      <c r="EM920" s="245"/>
      <c r="EN920" s="245"/>
      <c r="EO920" s="245"/>
      <c r="EP920" s="245"/>
      <c r="EQ920" s="254"/>
      <c r="ER920" s="240"/>
      <c r="ES920" s="240"/>
      <c r="ET920" s="241"/>
      <c r="EU920" s="241"/>
      <c r="EV920" s="241"/>
      <c r="EW920" s="241"/>
      <c r="EX920" s="241"/>
      <c r="EY920" s="241"/>
      <c r="EZ920" s="241"/>
      <c r="FA920" s="241"/>
      <c r="FB920" s="241"/>
      <c r="FC920" s="241"/>
      <c r="FD920" s="241"/>
      <c r="FE920" s="241"/>
      <c r="FF920" s="241"/>
      <c r="FG920" s="241"/>
      <c r="FH920" s="241"/>
      <c r="FI920" s="241"/>
      <c r="FJ920" s="241"/>
      <c r="FK920" s="241"/>
      <c r="FL920" s="241"/>
      <c r="FM920" s="241"/>
      <c r="FN920" s="241"/>
      <c r="FO920" s="241"/>
      <c r="FP920" s="241"/>
      <c r="FQ920" s="241"/>
      <c r="FR920" s="241"/>
      <c r="FS920" s="241"/>
      <c r="FT920" s="241"/>
      <c r="FU920" s="241"/>
      <c r="FV920" s="241"/>
      <c r="FW920" s="241"/>
      <c r="FX920" s="241"/>
      <c r="FY920" s="241"/>
      <c r="FZ920" s="241"/>
      <c r="GA920" s="241"/>
      <c r="GB920" s="241"/>
      <c r="GC920" s="241"/>
      <c r="GD920" s="241"/>
      <c r="GE920" s="241"/>
      <c r="GF920" s="241"/>
      <c r="GG920" s="193"/>
    </row>
    <row r="921" spans="2:189" s="243" customFormat="1" ht="11.45" hidden="1" customHeight="1">
      <c r="B921" s="244"/>
      <c r="C921" s="240"/>
      <c r="D921" s="240"/>
      <c r="E921" s="240"/>
      <c r="F921" s="240"/>
      <c r="G921" s="240"/>
      <c r="H921" s="240"/>
      <c r="I921" s="240"/>
      <c r="J921" s="240"/>
      <c r="K921" s="240"/>
      <c r="L921" s="297"/>
      <c r="M921" s="297"/>
      <c r="N921" s="297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0"/>
      <c r="AO921" s="240"/>
      <c r="AP921" s="240"/>
      <c r="AQ921" s="240"/>
      <c r="AR921" s="240"/>
      <c r="AS921" s="240"/>
      <c r="AT921" s="240"/>
      <c r="AU921" s="240"/>
      <c r="AV921" s="240"/>
      <c r="AW921" s="240"/>
      <c r="AX921" s="240"/>
      <c r="AY921" s="240"/>
      <c r="AZ921" s="240"/>
      <c r="BA921" s="240"/>
      <c r="BB921" s="240"/>
      <c r="BC921" s="240"/>
      <c r="BD921" s="240"/>
      <c r="BE921" s="240"/>
      <c r="BF921" s="240"/>
      <c r="BG921" s="240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297"/>
      <c r="BT921" s="240"/>
      <c r="BU921" s="240"/>
      <c r="BV921" s="240"/>
      <c r="BW921" s="240"/>
      <c r="BX921" s="240"/>
      <c r="BY921" s="240"/>
      <c r="BZ921" s="240"/>
      <c r="CA921" s="240"/>
      <c r="CB921" s="240"/>
      <c r="CC921" s="240"/>
      <c r="CD921" s="240"/>
      <c r="CE921" s="240"/>
      <c r="CF921" s="240"/>
      <c r="CG921" s="240"/>
      <c r="CH921" s="240"/>
      <c r="CI921" s="240"/>
      <c r="CJ921" s="240"/>
      <c r="CK921" s="240"/>
      <c r="CL921" s="240"/>
      <c r="CM921" s="240"/>
      <c r="CN921" s="240"/>
      <c r="CO921" s="240"/>
      <c r="CP921" s="240"/>
      <c r="CQ921" s="240"/>
      <c r="CR921" s="240"/>
      <c r="CS921" s="240"/>
      <c r="CT921" s="240"/>
      <c r="CU921" s="240"/>
      <c r="CV921" s="240"/>
      <c r="CW921" s="240"/>
      <c r="CX921" s="240"/>
      <c r="CY921" s="240"/>
      <c r="CZ921" s="240"/>
      <c r="DA921" s="240"/>
      <c r="DB921" s="240"/>
      <c r="DC921" s="240"/>
      <c r="DD921" s="240"/>
      <c r="DE921" s="240"/>
      <c r="DF921" s="240"/>
      <c r="DG921" s="240"/>
      <c r="DH921" s="240"/>
      <c r="DI921" s="240"/>
      <c r="DJ921" s="240"/>
      <c r="DK921" s="240"/>
      <c r="DL921" s="240"/>
      <c r="DM921" s="240"/>
      <c r="DN921" s="240"/>
      <c r="DO921" s="240"/>
      <c r="DP921" s="240"/>
      <c r="DQ921" s="240"/>
      <c r="DR921" s="240"/>
      <c r="DS921" s="240"/>
      <c r="DT921" s="240"/>
      <c r="DU921" s="240"/>
      <c r="DV921" s="240"/>
      <c r="DW921" s="240"/>
      <c r="DX921" s="240"/>
      <c r="DY921" s="240"/>
      <c r="DZ921" s="240"/>
      <c r="EA921" s="240"/>
      <c r="EB921" s="240"/>
      <c r="EC921" s="240"/>
      <c r="ED921" s="240"/>
      <c r="EE921" s="240"/>
      <c r="EF921" s="240"/>
      <c r="EG921" s="240"/>
      <c r="EH921" s="240"/>
      <c r="EI921" s="240"/>
      <c r="EJ921" s="240"/>
      <c r="EK921" s="240"/>
      <c r="EL921" s="359"/>
      <c r="EM921" s="245"/>
      <c r="EN921" s="245"/>
      <c r="EO921" s="245"/>
      <c r="EP921" s="245"/>
      <c r="EQ921" s="254"/>
      <c r="ER921" s="240"/>
      <c r="ES921" s="240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193"/>
    </row>
    <row r="922" spans="2:189" s="243" customFormat="1" ht="11.45" hidden="1" customHeight="1">
      <c r="B922" s="244"/>
      <c r="C922" s="240"/>
      <c r="D922" s="240"/>
      <c r="E922" s="240"/>
      <c r="F922" s="240"/>
      <c r="G922" s="240"/>
      <c r="H922" s="240"/>
      <c r="I922" s="240"/>
      <c r="J922" s="240"/>
      <c r="K922" s="240"/>
      <c r="L922" s="297"/>
      <c r="M922" s="297"/>
      <c r="N922" s="297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  <c r="AP922" s="240"/>
      <c r="AQ922" s="240"/>
      <c r="AR922" s="240"/>
      <c r="AS922" s="240"/>
      <c r="AT922" s="240"/>
      <c r="AU922" s="240"/>
      <c r="AV922" s="240"/>
      <c r="AW922" s="240"/>
      <c r="AX922" s="240"/>
      <c r="AY922" s="240"/>
      <c r="AZ922" s="240"/>
      <c r="BA922" s="240"/>
      <c r="BB922" s="240"/>
      <c r="BC922" s="240"/>
      <c r="BD922" s="240"/>
      <c r="BE922" s="240"/>
      <c r="BF922" s="240"/>
      <c r="BG922" s="240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297"/>
      <c r="BT922" s="240"/>
      <c r="BU922" s="240"/>
      <c r="BV922" s="240"/>
      <c r="BW922" s="240"/>
      <c r="BX922" s="240"/>
      <c r="BY922" s="240"/>
      <c r="BZ922" s="240"/>
      <c r="CA922" s="240"/>
      <c r="CB922" s="240"/>
      <c r="CC922" s="240"/>
      <c r="CD922" s="240"/>
      <c r="CE922" s="240"/>
      <c r="CF922" s="240"/>
      <c r="CG922" s="240"/>
      <c r="CH922" s="240"/>
      <c r="CI922" s="240"/>
      <c r="CJ922" s="240"/>
      <c r="CK922" s="240"/>
      <c r="CL922" s="240"/>
      <c r="CM922" s="240"/>
      <c r="CN922" s="240"/>
      <c r="CO922" s="240"/>
      <c r="CP922" s="240"/>
      <c r="CQ922" s="240"/>
      <c r="CR922" s="240"/>
      <c r="CS922" s="240"/>
      <c r="CT922" s="240"/>
      <c r="CU922" s="240"/>
      <c r="CV922" s="240"/>
      <c r="CW922" s="240"/>
      <c r="CX922" s="240"/>
      <c r="CY922" s="240"/>
      <c r="CZ922" s="240"/>
      <c r="DA922" s="240"/>
      <c r="DB922" s="240"/>
      <c r="DC922" s="240"/>
      <c r="DD922" s="240"/>
      <c r="DE922" s="240"/>
      <c r="DF922" s="240"/>
      <c r="DG922" s="240"/>
      <c r="DH922" s="240"/>
      <c r="DI922" s="240"/>
      <c r="DJ922" s="240"/>
      <c r="DK922" s="240"/>
      <c r="DL922" s="240"/>
      <c r="DM922" s="240"/>
      <c r="DN922" s="240"/>
      <c r="DO922" s="240"/>
      <c r="DP922" s="240"/>
      <c r="DQ922" s="240"/>
      <c r="DR922" s="240"/>
      <c r="DS922" s="240"/>
      <c r="DT922" s="240"/>
      <c r="DU922" s="240"/>
      <c r="DV922" s="240"/>
      <c r="DW922" s="240"/>
      <c r="DX922" s="240"/>
      <c r="DY922" s="240"/>
      <c r="DZ922" s="240"/>
      <c r="EA922" s="240"/>
      <c r="EB922" s="240"/>
      <c r="EC922" s="240"/>
      <c r="ED922" s="240"/>
      <c r="EE922" s="240"/>
      <c r="EF922" s="240"/>
      <c r="EG922" s="240"/>
      <c r="EH922" s="240"/>
      <c r="EI922" s="240"/>
      <c r="EJ922" s="240"/>
      <c r="EK922" s="240"/>
      <c r="EL922" s="359"/>
      <c r="EM922" s="245"/>
      <c r="EN922" s="245"/>
      <c r="EO922" s="245"/>
      <c r="EP922" s="245"/>
      <c r="EQ922" s="254"/>
      <c r="ER922" s="240"/>
      <c r="ES922" s="240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193"/>
    </row>
    <row r="923" spans="2:189" s="243" customFormat="1" ht="11.45" hidden="1" customHeight="1">
      <c r="B923" s="244"/>
      <c r="C923" s="240"/>
      <c r="D923" s="240"/>
      <c r="E923" s="240"/>
      <c r="F923" s="240"/>
      <c r="G923" s="240"/>
      <c r="H923" s="240"/>
      <c r="I923" s="240"/>
      <c r="J923" s="240"/>
      <c r="K923" s="240"/>
      <c r="L923" s="297"/>
      <c r="M923" s="297"/>
      <c r="N923" s="297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0"/>
      <c r="AO923" s="240"/>
      <c r="AP923" s="240"/>
      <c r="AQ923" s="240"/>
      <c r="AR923" s="240"/>
      <c r="AS923" s="240"/>
      <c r="AT923" s="240"/>
      <c r="AU923" s="240"/>
      <c r="AV923" s="240"/>
      <c r="AW923" s="240"/>
      <c r="AX923" s="240"/>
      <c r="AY923" s="240"/>
      <c r="AZ923" s="240"/>
      <c r="BA923" s="240"/>
      <c r="BB923" s="240"/>
      <c r="BC923" s="240"/>
      <c r="BD923" s="240"/>
      <c r="BE923" s="240"/>
      <c r="BF923" s="240"/>
      <c r="BG923" s="240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297"/>
      <c r="BT923" s="240"/>
      <c r="BU923" s="240"/>
      <c r="BV923" s="240"/>
      <c r="BW923" s="240"/>
      <c r="BX923" s="240"/>
      <c r="BY923" s="240"/>
      <c r="BZ923" s="240"/>
      <c r="CA923" s="240"/>
      <c r="CB923" s="240"/>
      <c r="CC923" s="240"/>
      <c r="CD923" s="240"/>
      <c r="CE923" s="240"/>
      <c r="CF923" s="240"/>
      <c r="CG923" s="240"/>
      <c r="CH923" s="240"/>
      <c r="CI923" s="240"/>
      <c r="CJ923" s="240"/>
      <c r="CK923" s="240"/>
      <c r="CL923" s="240"/>
      <c r="CM923" s="240"/>
      <c r="CN923" s="240"/>
      <c r="CO923" s="240"/>
      <c r="CP923" s="240"/>
      <c r="CQ923" s="240"/>
      <c r="CR923" s="240"/>
      <c r="CS923" s="240"/>
      <c r="CT923" s="240"/>
      <c r="CU923" s="240"/>
      <c r="CV923" s="240"/>
      <c r="CW923" s="240"/>
      <c r="CX923" s="240"/>
      <c r="CY923" s="240"/>
      <c r="CZ923" s="240"/>
      <c r="DA923" s="240"/>
      <c r="DB923" s="240"/>
      <c r="DC923" s="240"/>
      <c r="DD923" s="240"/>
      <c r="DE923" s="240"/>
      <c r="DF923" s="240"/>
      <c r="DG923" s="240"/>
      <c r="DH923" s="240"/>
      <c r="DI923" s="240"/>
      <c r="DJ923" s="240"/>
      <c r="DK923" s="240"/>
      <c r="DL923" s="240"/>
      <c r="DM923" s="240"/>
      <c r="DN923" s="240"/>
      <c r="DO923" s="240"/>
      <c r="DP923" s="240"/>
      <c r="DQ923" s="240"/>
      <c r="DR923" s="240"/>
      <c r="DS923" s="240"/>
      <c r="DT923" s="240"/>
      <c r="DU923" s="240"/>
      <c r="DV923" s="240"/>
      <c r="DW923" s="240"/>
      <c r="DX923" s="240"/>
      <c r="DY923" s="240"/>
      <c r="DZ923" s="240"/>
      <c r="EA923" s="240"/>
      <c r="EB923" s="240"/>
      <c r="EC923" s="240"/>
      <c r="ED923" s="240"/>
      <c r="EE923" s="240"/>
      <c r="EF923" s="240"/>
      <c r="EG923" s="240"/>
      <c r="EH923" s="240"/>
      <c r="EI923" s="240"/>
      <c r="EJ923" s="240"/>
      <c r="EK923" s="240"/>
      <c r="EL923" s="359"/>
      <c r="EM923" s="245"/>
      <c r="EN923" s="245"/>
      <c r="EO923" s="245"/>
      <c r="EP923" s="245"/>
      <c r="EQ923" s="254"/>
      <c r="ER923" s="240"/>
      <c r="ES923" s="240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193"/>
    </row>
    <row r="924" spans="2:189" s="243" customFormat="1" ht="11.45" hidden="1" customHeight="1">
      <c r="B924" s="244"/>
      <c r="C924" s="240"/>
      <c r="D924" s="240"/>
      <c r="E924" s="240"/>
      <c r="F924" s="240"/>
      <c r="G924" s="240"/>
      <c r="H924" s="240"/>
      <c r="I924" s="240"/>
      <c r="J924" s="240"/>
      <c r="K924" s="240"/>
      <c r="L924" s="297"/>
      <c r="M924" s="297"/>
      <c r="N924" s="297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0"/>
      <c r="AO924" s="240"/>
      <c r="AP924" s="240"/>
      <c r="AQ924" s="240"/>
      <c r="AR924" s="240"/>
      <c r="AS924" s="240"/>
      <c r="AT924" s="240"/>
      <c r="AU924" s="240"/>
      <c r="AV924" s="240"/>
      <c r="AW924" s="240"/>
      <c r="AX924" s="240"/>
      <c r="AY924" s="240"/>
      <c r="AZ924" s="240"/>
      <c r="BA924" s="240"/>
      <c r="BB924" s="240"/>
      <c r="BC924" s="240"/>
      <c r="BD924" s="240"/>
      <c r="BE924" s="240"/>
      <c r="BF924" s="240"/>
      <c r="BG924" s="240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297"/>
      <c r="BT924" s="240"/>
      <c r="BU924" s="240"/>
      <c r="BV924" s="240"/>
      <c r="BW924" s="240"/>
      <c r="BX924" s="240"/>
      <c r="BY924" s="240"/>
      <c r="BZ924" s="240"/>
      <c r="CA924" s="240"/>
      <c r="CB924" s="240"/>
      <c r="CC924" s="240"/>
      <c r="CD924" s="240"/>
      <c r="CE924" s="240"/>
      <c r="CF924" s="240"/>
      <c r="CG924" s="240"/>
      <c r="CH924" s="240"/>
      <c r="CI924" s="240"/>
      <c r="CJ924" s="240"/>
      <c r="CK924" s="240"/>
      <c r="CL924" s="240"/>
      <c r="CM924" s="240"/>
      <c r="CN924" s="240"/>
      <c r="CO924" s="240"/>
      <c r="CP924" s="240"/>
      <c r="CQ924" s="240"/>
      <c r="CR924" s="240"/>
      <c r="CS924" s="240"/>
      <c r="CT924" s="240"/>
      <c r="CU924" s="240"/>
      <c r="CV924" s="240"/>
      <c r="CW924" s="240"/>
      <c r="CX924" s="240"/>
      <c r="CY924" s="240"/>
      <c r="CZ924" s="240"/>
      <c r="DA924" s="240"/>
      <c r="DB924" s="240"/>
      <c r="DC924" s="240"/>
      <c r="DD924" s="240"/>
      <c r="DE924" s="240"/>
      <c r="DF924" s="240"/>
      <c r="DG924" s="240"/>
      <c r="DH924" s="240"/>
      <c r="DI924" s="240"/>
      <c r="DJ924" s="240"/>
      <c r="DK924" s="240"/>
      <c r="DL924" s="240"/>
      <c r="DM924" s="240"/>
      <c r="DN924" s="240"/>
      <c r="DO924" s="240"/>
      <c r="DP924" s="240"/>
      <c r="DQ924" s="240"/>
      <c r="DR924" s="240"/>
      <c r="DS924" s="240"/>
      <c r="DT924" s="240"/>
      <c r="DU924" s="240"/>
      <c r="DV924" s="240"/>
      <c r="DW924" s="240"/>
      <c r="DX924" s="240"/>
      <c r="DY924" s="240"/>
      <c r="DZ924" s="240"/>
      <c r="EA924" s="240"/>
      <c r="EB924" s="240"/>
      <c r="EC924" s="240"/>
      <c r="ED924" s="240"/>
      <c r="EE924" s="240"/>
      <c r="EF924" s="240"/>
      <c r="EG924" s="240"/>
      <c r="EH924" s="240"/>
      <c r="EI924" s="240"/>
      <c r="EJ924" s="240"/>
      <c r="EK924" s="240"/>
      <c r="EL924" s="359"/>
      <c r="EM924" s="245"/>
      <c r="EN924" s="245"/>
      <c r="EO924" s="245"/>
      <c r="EP924" s="245"/>
      <c r="EQ924" s="254"/>
      <c r="ER924" s="240"/>
      <c r="ES924" s="240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193"/>
    </row>
    <row r="925" spans="2:189" s="243" customFormat="1" ht="11.45" hidden="1" customHeight="1">
      <c r="B925" s="244"/>
      <c r="C925" s="240"/>
      <c r="D925" s="240"/>
      <c r="E925" s="240"/>
      <c r="F925" s="240"/>
      <c r="G925" s="240"/>
      <c r="H925" s="240"/>
      <c r="I925" s="240"/>
      <c r="J925" s="240"/>
      <c r="K925" s="240"/>
      <c r="L925" s="297"/>
      <c r="M925" s="297"/>
      <c r="N925" s="297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0"/>
      <c r="AO925" s="240"/>
      <c r="AP925" s="240"/>
      <c r="AQ925" s="240"/>
      <c r="AR925" s="240"/>
      <c r="AS925" s="240"/>
      <c r="AT925" s="240"/>
      <c r="AU925" s="240"/>
      <c r="AV925" s="240"/>
      <c r="AW925" s="240"/>
      <c r="AX925" s="240"/>
      <c r="AY925" s="240"/>
      <c r="AZ925" s="240"/>
      <c r="BA925" s="240"/>
      <c r="BB925" s="240"/>
      <c r="BC925" s="240"/>
      <c r="BD925" s="240"/>
      <c r="BE925" s="240"/>
      <c r="BF925" s="240"/>
      <c r="BG925" s="240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297"/>
      <c r="BT925" s="240"/>
      <c r="BU925" s="240"/>
      <c r="BV925" s="240"/>
      <c r="BW925" s="240"/>
      <c r="BX925" s="240"/>
      <c r="BY925" s="240"/>
      <c r="BZ925" s="240"/>
      <c r="CA925" s="240"/>
      <c r="CB925" s="240"/>
      <c r="CC925" s="240"/>
      <c r="CD925" s="240"/>
      <c r="CE925" s="240"/>
      <c r="CF925" s="240"/>
      <c r="CG925" s="240"/>
      <c r="CH925" s="240"/>
      <c r="CI925" s="240"/>
      <c r="CJ925" s="240"/>
      <c r="CK925" s="240"/>
      <c r="CL925" s="240"/>
      <c r="CM925" s="240"/>
      <c r="CN925" s="240"/>
      <c r="CO925" s="240"/>
      <c r="CP925" s="240"/>
      <c r="CQ925" s="240"/>
      <c r="CR925" s="240"/>
      <c r="CS925" s="240"/>
      <c r="CT925" s="240"/>
      <c r="CU925" s="240"/>
      <c r="CV925" s="240"/>
      <c r="CW925" s="240"/>
      <c r="CX925" s="240"/>
      <c r="CY925" s="240"/>
      <c r="CZ925" s="240"/>
      <c r="DA925" s="240"/>
      <c r="DB925" s="240"/>
      <c r="DC925" s="240"/>
      <c r="DD925" s="240"/>
      <c r="DE925" s="240"/>
      <c r="DF925" s="240"/>
      <c r="DG925" s="240"/>
      <c r="DH925" s="240"/>
      <c r="DI925" s="240"/>
      <c r="DJ925" s="240"/>
      <c r="DK925" s="240"/>
      <c r="DL925" s="240"/>
      <c r="DM925" s="240"/>
      <c r="DN925" s="240"/>
      <c r="DO925" s="240"/>
      <c r="DP925" s="240"/>
      <c r="DQ925" s="240"/>
      <c r="DR925" s="240"/>
      <c r="DS925" s="240"/>
      <c r="DT925" s="240"/>
      <c r="DU925" s="240"/>
      <c r="DV925" s="240"/>
      <c r="DW925" s="240"/>
      <c r="DX925" s="240"/>
      <c r="DY925" s="240"/>
      <c r="DZ925" s="240"/>
      <c r="EA925" s="240"/>
      <c r="EB925" s="240"/>
      <c r="EC925" s="240"/>
      <c r="ED925" s="240"/>
      <c r="EE925" s="240"/>
      <c r="EF925" s="240"/>
      <c r="EG925" s="240"/>
      <c r="EH925" s="240"/>
      <c r="EI925" s="240"/>
      <c r="EJ925" s="240"/>
      <c r="EK925" s="240"/>
      <c r="EL925" s="359"/>
      <c r="EM925" s="245"/>
      <c r="EN925" s="245"/>
      <c r="EO925" s="245"/>
      <c r="EP925" s="245"/>
      <c r="EQ925" s="254"/>
      <c r="ER925" s="240"/>
      <c r="ES925" s="240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193"/>
    </row>
    <row r="926" spans="2:189" s="243" customFormat="1" ht="11.45" hidden="1" customHeight="1">
      <c r="B926" s="244"/>
      <c r="C926" s="240"/>
      <c r="D926" s="240"/>
      <c r="E926" s="240"/>
      <c r="F926" s="240"/>
      <c r="G926" s="240"/>
      <c r="H926" s="240"/>
      <c r="I926" s="240"/>
      <c r="J926" s="240"/>
      <c r="K926" s="240"/>
      <c r="L926" s="297"/>
      <c r="M926" s="297"/>
      <c r="N926" s="297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0"/>
      <c r="AO926" s="240"/>
      <c r="AP926" s="240"/>
      <c r="AQ926" s="240"/>
      <c r="AR926" s="240"/>
      <c r="AS926" s="240"/>
      <c r="AT926" s="240"/>
      <c r="AU926" s="240"/>
      <c r="AV926" s="240"/>
      <c r="AW926" s="240"/>
      <c r="AX926" s="240"/>
      <c r="AY926" s="240"/>
      <c r="AZ926" s="240"/>
      <c r="BA926" s="240"/>
      <c r="BB926" s="240"/>
      <c r="BC926" s="240"/>
      <c r="BD926" s="240"/>
      <c r="BE926" s="240"/>
      <c r="BF926" s="240"/>
      <c r="BG926" s="240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297"/>
      <c r="BT926" s="240"/>
      <c r="BU926" s="240"/>
      <c r="BV926" s="240"/>
      <c r="BW926" s="240"/>
      <c r="BX926" s="240"/>
      <c r="BY926" s="240"/>
      <c r="BZ926" s="240"/>
      <c r="CA926" s="240"/>
      <c r="CB926" s="240"/>
      <c r="CC926" s="240"/>
      <c r="CD926" s="240"/>
      <c r="CE926" s="240"/>
      <c r="CF926" s="240"/>
      <c r="CG926" s="240"/>
      <c r="CH926" s="240"/>
      <c r="CI926" s="240"/>
      <c r="CJ926" s="240"/>
      <c r="CK926" s="240"/>
      <c r="CL926" s="240"/>
      <c r="CM926" s="240"/>
      <c r="CN926" s="240"/>
      <c r="CO926" s="240"/>
      <c r="CP926" s="240"/>
      <c r="CQ926" s="240"/>
      <c r="CR926" s="240"/>
      <c r="CS926" s="240"/>
      <c r="CT926" s="240"/>
      <c r="CU926" s="240"/>
      <c r="CV926" s="240"/>
      <c r="CW926" s="240"/>
      <c r="CX926" s="240"/>
      <c r="CY926" s="240"/>
      <c r="CZ926" s="240"/>
      <c r="DA926" s="240"/>
      <c r="DB926" s="240"/>
      <c r="DC926" s="240"/>
      <c r="DD926" s="240"/>
      <c r="DE926" s="240"/>
      <c r="DF926" s="240"/>
      <c r="DG926" s="240"/>
      <c r="DH926" s="240"/>
      <c r="DI926" s="240"/>
      <c r="DJ926" s="240"/>
      <c r="DK926" s="240"/>
      <c r="DL926" s="240"/>
      <c r="DM926" s="240"/>
      <c r="DN926" s="240"/>
      <c r="DO926" s="240"/>
      <c r="DP926" s="240"/>
      <c r="DQ926" s="240"/>
      <c r="DR926" s="240"/>
      <c r="DS926" s="240"/>
      <c r="DT926" s="240"/>
      <c r="DU926" s="240"/>
      <c r="DV926" s="240"/>
      <c r="DW926" s="240"/>
      <c r="DX926" s="240"/>
      <c r="DY926" s="240"/>
      <c r="DZ926" s="240"/>
      <c r="EA926" s="240"/>
      <c r="EB926" s="240"/>
      <c r="EC926" s="240"/>
      <c r="ED926" s="240"/>
      <c r="EE926" s="240"/>
      <c r="EF926" s="240"/>
      <c r="EG926" s="240"/>
      <c r="EH926" s="240"/>
      <c r="EI926" s="240"/>
      <c r="EJ926" s="240"/>
      <c r="EK926" s="240"/>
      <c r="EL926" s="359"/>
      <c r="EM926" s="245"/>
      <c r="EN926" s="245"/>
      <c r="EO926" s="245"/>
      <c r="EP926" s="245"/>
      <c r="EQ926" s="254"/>
      <c r="ER926" s="240"/>
      <c r="ES926" s="240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193"/>
    </row>
    <row r="927" spans="2:189" s="243" customFormat="1" ht="11.45" hidden="1" customHeight="1">
      <c r="B927" s="244"/>
      <c r="C927" s="240"/>
      <c r="D927" s="240"/>
      <c r="E927" s="240"/>
      <c r="F927" s="240"/>
      <c r="G927" s="240"/>
      <c r="H927" s="240"/>
      <c r="I927" s="240"/>
      <c r="J927" s="240"/>
      <c r="K927" s="240"/>
      <c r="L927" s="297"/>
      <c r="M927" s="297"/>
      <c r="N927" s="297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0"/>
      <c r="AO927" s="240"/>
      <c r="AP927" s="240"/>
      <c r="AQ927" s="240"/>
      <c r="AR927" s="240"/>
      <c r="AS927" s="240"/>
      <c r="AT927" s="240"/>
      <c r="AU927" s="240"/>
      <c r="AV927" s="240"/>
      <c r="AW927" s="240"/>
      <c r="AX927" s="240"/>
      <c r="AY927" s="240"/>
      <c r="AZ927" s="240"/>
      <c r="BA927" s="240"/>
      <c r="BB927" s="240"/>
      <c r="BC927" s="240"/>
      <c r="BD927" s="240"/>
      <c r="BE927" s="240"/>
      <c r="BF927" s="240"/>
      <c r="BG927" s="240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297"/>
      <c r="BT927" s="240"/>
      <c r="BU927" s="240"/>
      <c r="BV927" s="240"/>
      <c r="BW927" s="240"/>
      <c r="BX927" s="240"/>
      <c r="BY927" s="240"/>
      <c r="BZ927" s="240"/>
      <c r="CA927" s="240"/>
      <c r="CB927" s="240"/>
      <c r="CC927" s="240"/>
      <c r="CD927" s="240"/>
      <c r="CE927" s="240"/>
      <c r="CF927" s="240"/>
      <c r="CG927" s="240"/>
      <c r="CH927" s="240"/>
      <c r="CI927" s="240"/>
      <c r="CJ927" s="240"/>
      <c r="CK927" s="240"/>
      <c r="CL927" s="240"/>
      <c r="CM927" s="240"/>
      <c r="CN927" s="240"/>
      <c r="CO927" s="240"/>
      <c r="CP927" s="240"/>
      <c r="CQ927" s="240"/>
      <c r="CR927" s="240"/>
      <c r="CS927" s="240"/>
      <c r="CT927" s="240"/>
      <c r="CU927" s="240"/>
      <c r="CV927" s="240"/>
      <c r="CW927" s="240"/>
      <c r="CX927" s="240"/>
      <c r="CY927" s="240"/>
      <c r="CZ927" s="240"/>
      <c r="DA927" s="240"/>
      <c r="DB927" s="240"/>
      <c r="DC927" s="240"/>
      <c r="DD927" s="240"/>
      <c r="DE927" s="240"/>
      <c r="DF927" s="240"/>
      <c r="DG927" s="240"/>
      <c r="DH927" s="240"/>
      <c r="DI927" s="240"/>
      <c r="DJ927" s="240"/>
      <c r="DK927" s="240"/>
      <c r="DL927" s="240"/>
      <c r="DM927" s="240"/>
      <c r="DN927" s="240"/>
      <c r="DO927" s="240"/>
      <c r="DP927" s="240"/>
      <c r="DQ927" s="240"/>
      <c r="DR927" s="240"/>
      <c r="DS927" s="240"/>
      <c r="DT927" s="240"/>
      <c r="DU927" s="240"/>
      <c r="DV927" s="240"/>
      <c r="DW927" s="240"/>
      <c r="DX927" s="240"/>
      <c r="DY927" s="240"/>
      <c r="DZ927" s="240"/>
      <c r="EA927" s="240"/>
      <c r="EB927" s="240"/>
      <c r="EC927" s="240"/>
      <c r="ED927" s="240"/>
      <c r="EE927" s="240"/>
      <c r="EF927" s="240"/>
      <c r="EG927" s="240"/>
      <c r="EH927" s="240"/>
      <c r="EI927" s="240"/>
      <c r="EJ927" s="240"/>
      <c r="EK927" s="240"/>
      <c r="EL927" s="359"/>
      <c r="EM927" s="245"/>
      <c r="EN927" s="245"/>
      <c r="EO927" s="245"/>
      <c r="EP927" s="245"/>
      <c r="EQ927" s="254"/>
      <c r="ER927" s="240"/>
      <c r="ES927" s="240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193"/>
    </row>
    <row r="928" spans="2:189" s="243" customFormat="1" ht="11.45" hidden="1" customHeight="1">
      <c r="B928" s="244"/>
      <c r="C928" s="240"/>
      <c r="D928" s="240"/>
      <c r="E928" s="240"/>
      <c r="F928" s="240"/>
      <c r="G928" s="240"/>
      <c r="H928" s="240"/>
      <c r="I928" s="240"/>
      <c r="J928" s="240"/>
      <c r="K928" s="240"/>
      <c r="L928" s="297"/>
      <c r="M928" s="297"/>
      <c r="N928" s="297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0"/>
      <c r="AO928" s="240"/>
      <c r="AP928" s="240"/>
      <c r="AQ928" s="240"/>
      <c r="AR928" s="240"/>
      <c r="AS928" s="240"/>
      <c r="AT928" s="240"/>
      <c r="AU928" s="240"/>
      <c r="AV928" s="240"/>
      <c r="AW928" s="240"/>
      <c r="AX928" s="240"/>
      <c r="AY928" s="240"/>
      <c r="AZ928" s="240"/>
      <c r="BA928" s="240"/>
      <c r="BB928" s="240"/>
      <c r="BC928" s="240"/>
      <c r="BD928" s="240"/>
      <c r="BE928" s="240"/>
      <c r="BF928" s="240"/>
      <c r="BG928" s="240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297"/>
      <c r="BT928" s="240"/>
      <c r="BU928" s="240"/>
      <c r="BV928" s="240"/>
      <c r="BW928" s="240"/>
      <c r="BX928" s="240"/>
      <c r="BY928" s="240"/>
      <c r="BZ928" s="240"/>
      <c r="CA928" s="240"/>
      <c r="CB928" s="240"/>
      <c r="CC928" s="240"/>
      <c r="CD928" s="240"/>
      <c r="CE928" s="240"/>
      <c r="CF928" s="240"/>
      <c r="CG928" s="240"/>
      <c r="CH928" s="240"/>
      <c r="CI928" s="240"/>
      <c r="CJ928" s="240"/>
      <c r="CK928" s="240"/>
      <c r="CL928" s="240"/>
      <c r="CM928" s="240"/>
      <c r="CN928" s="240"/>
      <c r="CO928" s="240"/>
      <c r="CP928" s="240"/>
      <c r="CQ928" s="240"/>
      <c r="CR928" s="240"/>
      <c r="CS928" s="240"/>
      <c r="CT928" s="240"/>
      <c r="CU928" s="240"/>
      <c r="CV928" s="240"/>
      <c r="CW928" s="240"/>
      <c r="CX928" s="240"/>
      <c r="CY928" s="240"/>
      <c r="CZ928" s="240"/>
      <c r="DA928" s="240"/>
      <c r="DB928" s="240"/>
      <c r="DC928" s="240"/>
      <c r="DD928" s="240"/>
      <c r="DE928" s="240"/>
      <c r="DF928" s="240"/>
      <c r="DG928" s="240"/>
      <c r="DH928" s="240"/>
      <c r="DI928" s="240"/>
      <c r="DJ928" s="240"/>
      <c r="DK928" s="240"/>
      <c r="DL928" s="240"/>
      <c r="DM928" s="240"/>
      <c r="DN928" s="240"/>
      <c r="DO928" s="240"/>
      <c r="DP928" s="240"/>
      <c r="DQ928" s="240"/>
      <c r="DR928" s="240"/>
      <c r="DS928" s="240"/>
      <c r="DT928" s="240"/>
      <c r="DU928" s="240"/>
      <c r="DV928" s="240"/>
      <c r="DW928" s="240"/>
      <c r="DX928" s="240"/>
      <c r="DY928" s="240"/>
      <c r="DZ928" s="240"/>
      <c r="EA928" s="240"/>
      <c r="EB928" s="240"/>
      <c r="EC928" s="240"/>
      <c r="ED928" s="240"/>
      <c r="EE928" s="240"/>
      <c r="EF928" s="240"/>
      <c r="EG928" s="240"/>
      <c r="EH928" s="240"/>
      <c r="EI928" s="240"/>
      <c r="EJ928" s="240"/>
      <c r="EK928" s="240"/>
      <c r="EL928" s="359"/>
      <c r="EM928" s="245"/>
      <c r="EN928" s="245"/>
      <c r="EO928" s="245"/>
      <c r="EP928" s="245"/>
      <c r="EQ928" s="254"/>
      <c r="ER928" s="240"/>
      <c r="ES928" s="240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193"/>
    </row>
    <row r="929" spans="1:189" s="243" customFormat="1" ht="11.45" hidden="1" customHeight="1">
      <c r="B929" s="244"/>
      <c r="C929" s="240"/>
      <c r="D929" s="240"/>
      <c r="E929" s="240"/>
      <c r="F929" s="240"/>
      <c r="G929" s="240"/>
      <c r="H929" s="240"/>
      <c r="I929" s="240"/>
      <c r="J929" s="240"/>
      <c r="K929" s="240"/>
      <c r="L929" s="297"/>
      <c r="M929" s="297"/>
      <c r="N929" s="297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0"/>
      <c r="AO929" s="240"/>
      <c r="AP929" s="240"/>
      <c r="AQ929" s="240"/>
      <c r="AR929" s="240"/>
      <c r="AS929" s="240"/>
      <c r="AT929" s="240"/>
      <c r="AU929" s="240"/>
      <c r="AV929" s="240"/>
      <c r="AW929" s="240"/>
      <c r="AX929" s="240"/>
      <c r="AY929" s="240"/>
      <c r="AZ929" s="240"/>
      <c r="BA929" s="240"/>
      <c r="BB929" s="240"/>
      <c r="BC929" s="240"/>
      <c r="BD929" s="240"/>
      <c r="BE929" s="240"/>
      <c r="BF929" s="240"/>
      <c r="BG929" s="240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297"/>
      <c r="BT929" s="240"/>
      <c r="BU929" s="240"/>
      <c r="BV929" s="240"/>
      <c r="BW929" s="240"/>
      <c r="BX929" s="240"/>
      <c r="BY929" s="240"/>
      <c r="BZ929" s="240"/>
      <c r="CA929" s="240"/>
      <c r="CB929" s="240"/>
      <c r="CC929" s="240"/>
      <c r="CD929" s="240"/>
      <c r="CE929" s="240"/>
      <c r="CF929" s="240"/>
      <c r="CG929" s="240"/>
      <c r="CH929" s="240"/>
      <c r="CI929" s="240"/>
      <c r="CJ929" s="240"/>
      <c r="CK929" s="240"/>
      <c r="CL929" s="240"/>
      <c r="CM929" s="240"/>
      <c r="CN929" s="240"/>
      <c r="CO929" s="240"/>
      <c r="CP929" s="240"/>
      <c r="CQ929" s="240"/>
      <c r="CR929" s="240"/>
      <c r="CS929" s="240"/>
      <c r="CT929" s="240"/>
      <c r="CU929" s="240"/>
      <c r="CV929" s="240"/>
      <c r="CW929" s="240"/>
      <c r="CX929" s="240"/>
      <c r="CY929" s="240"/>
      <c r="CZ929" s="240"/>
      <c r="DA929" s="240"/>
      <c r="DB929" s="240"/>
      <c r="DC929" s="240"/>
      <c r="DD929" s="240"/>
      <c r="DE929" s="240"/>
      <c r="DF929" s="240"/>
      <c r="DG929" s="240"/>
      <c r="DH929" s="240"/>
      <c r="DI929" s="240"/>
      <c r="DJ929" s="240"/>
      <c r="DK929" s="240"/>
      <c r="DL929" s="240"/>
      <c r="DM929" s="240"/>
      <c r="DN929" s="240"/>
      <c r="DO929" s="240"/>
      <c r="DP929" s="240"/>
      <c r="DQ929" s="240"/>
      <c r="DR929" s="240"/>
      <c r="DS929" s="240"/>
      <c r="DT929" s="240"/>
      <c r="DU929" s="240"/>
      <c r="DV929" s="240"/>
      <c r="DW929" s="240"/>
      <c r="DX929" s="240"/>
      <c r="DY929" s="240"/>
      <c r="DZ929" s="240"/>
      <c r="EA929" s="240"/>
      <c r="EB929" s="240"/>
      <c r="EC929" s="240"/>
      <c r="ED929" s="240"/>
      <c r="EE929" s="240"/>
      <c r="EF929" s="240"/>
      <c r="EG929" s="240"/>
      <c r="EH929" s="240"/>
      <c r="EI929" s="240"/>
      <c r="EJ929" s="240"/>
      <c r="EK929" s="240"/>
      <c r="EL929" s="359"/>
      <c r="EM929" s="245"/>
      <c r="EN929" s="245"/>
      <c r="EO929" s="245"/>
      <c r="EP929" s="245"/>
      <c r="EQ929" s="254"/>
      <c r="ER929" s="240"/>
      <c r="ES929" s="240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193"/>
    </row>
    <row r="930" spans="1:189" s="243" customFormat="1" ht="11.45" hidden="1" customHeight="1">
      <c r="B930" s="244"/>
      <c r="C930" s="240"/>
      <c r="D930" s="240"/>
      <c r="E930" s="240"/>
      <c r="F930" s="240"/>
      <c r="G930" s="240"/>
      <c r="H930" s="240"/>
      <c r="I930" s="240"/>
      <c r="J930" s="240"/>
      <c r="K930" s="240"/>
      <c r="L930" s="297"/>
      <c r="M930" s="297"/>
      <c r="N930" s="297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0"/>
      <c r="AO930" s="240"/>
      <c r="AP930" s="240"/>
      <c r="AQ930" s="240"/>
      <c r="AR930" s="240"/>
      <c r="AS930" s="240"/>
      <c r="AT930" s="240"/>
      <c r="AU930" s="240"/>
      <c r="AV930" s="240"/>
      <c r="AW930" s="240"/>
      <c r="AX930" s="240"/>
      <c r="AY930" s="240"/>
      <c r="AZ930" s="240"/>
      <c r="BA930" s="240"/>
      <c r="BB930" s="240"/>
      <c r="BC930" s="240"/>
      <c r="BD930" s="240"/>
      <c r="BE930" s="240"/>
      <c r="BF930" s="240"/>
      <c r="BG930" s="240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297"/>
      <c r="BT930" s="240"/>
      <c r="BU930" s="240"/>
      <c r="BV930" s="240"/>
      <c r="BW930" s="240"/>
      <c r="BX930" s="240"/>
      <c r="BY930" s="240"/>
      <c r="BZ930" s="240"/>
      <c r="CA930" s="240"/>
      <c r="CB930" s="240"/>
      <c r="CC930" s="240"/>
      <c r="CD930" s="240"/>
      <c r="CE930" s="240"/>
      <c r="CF930" s="240"/>
      <c r="CG930" s="240"/>
      <c r="CH930" s="240"/>
      <c r="CI930" s="240"/>
      <c r="CJ930" s="240"/>
      <c r="CK930" s="240"/>
      <c r="CL930" s="240"/>
      <c r="CM930" s="240"/>
      <c r="CN930" s="240"/>
      <c r="CO930" s="240"/>
      <c r="CP930" s="240"/>
      <c r="CQ930" s="240"/>
      <c r="CR930" s="240"/>
      <c r="CS930" s="240"/>
      <c r="CT930" s="240"/>
      <c r="CU930" s="240"/>
      <c r="CV930" s="240"/>
      <c r="CW930" s="240"/>
      <c r="CX930" s="240"/>
      <c r="CY930" s="240"/>
      <c r="CZ930" s="240"/>
      <c r="DA930" s="240"/>
      <c r="DB930" s="240"/>
      <c r="DC930" s="240"/>
      <c r="DD930" s="240"/>
      <c r="DE930" s="240"/>
      <c r="DF930" s="240"/>
      <c r="DG930" s="240"/>
      <c r="DH930" s="240"/>
      <c r="DI930" s="240"/>
      <c r="DJ930" s="240"/>
      <c r="DK930" s="240"/>
      <c r="DL930" s="240"/>
      <c r="DM930" s="240"/>
      <c r="DN930" s="240"/>
      <c r="DO930" s="240"/>
      <c r="DP930" s="240"/>
      <c r="DQ930" s="240"/>
      <c r="DR930" s="240"/>
      <c r="DS930" s="240"/>
      <c r="DT930" s="240"/>
      <c r="DU930" s="240"/>
      <c r="DV930" s="240"/>
      <c r="DW930" s="240"/>
      <c r="DX930" s="240"/>
      <c r="DY930" s="240"/>
      <c r="DZ930" s="240"/>
      <c r="EA930" s="240"/>
      <c r="EB930" s="240"/>
      <c r="EC930" s="240"/>
      <c r="ED930" s="240"/>
      <c r="EE930" s="240"/>
      <c r="EF930" s="240"/>
      <c r="EG930" s="240"/>
      <c r="EH930" s="240"/>
      <c r="EI930" s="240"/>
      <c r="EJ930" s="240"/>
      <c r="EK930" s="240"/>
      <c r="EL930" s="359"/>
      <c r="EM930" s="245"/>
      <c r="EN930" s="245"/>
      <c r="EO930" s="245"/>
      <c r="EP930" s="245"/>
      <c r="EQ930" s="254"/>
      <c r="ER930" s="240"/>
      <c r="ES930" s="240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193"/>
    </row>
    <row r="931" spans="1:189" s="243" customFormat="1" ht="11.45" hidden="1" customHeight="1">
      <c r="B931" s="244"/>
      <c r="C931" s="240"/>
      <c r="D931" s="240"/>
      <c r="E931" s="240"/>
      <c r="F931" s="240"/>
      <c r="G931" s="240"/>
      <c r="H931" s="240"/>
      <c r="I931" s="240"/>
      <c r="J931" s="240"/>
      <c r="K931" s="240"/>
      <c r="L931" s="297"/>
      <c r="M931" s="297"/>
      <c r="N931" s="297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0"/>
      <c r="AO931" s="240"/>
      <c r="AP931" s="240"/>
      <c r="AQ931" s="240"/>
      <c r="AR931" s="240"/>
      <c r="AS931" s="240"/>
      <c r="AT931" s="240"/>
      <c r="AU931" s="240"/>
      <c r="AV931" s="240"/>
      <c r="AW931" s="240"/>
      <c r="AX931" s="240"/>
      <c r="AY931" s="240"/>
      <c r="AZ931" s="240"/>
      <c r="BA931" s="240"/>
      <c r="BB931" s="240"/>
      <c r="BC931" s="240"/>
      <c r="BD931" s="240"/>
      <c r="BE931" s="240"/>
      <c r="BF931" s="240"/>
      <c r="BG931" s="240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297"/>
      <c r="BT931" s="240"/>
      <c r="BU931" s="240"/>
      <c r="BV931" s="240"/>
      <c r="BW931" s="240"/>
      <c r="BX931" s="240"/>
      <c r="BY931" s="240"/>
      <c r="BZ931" s="240"/>
      <c r="CA931" s="240"/>
      <c r="CB931" s="240"/>
      <c r="CC931" s="240"/>
      <c r="CD931" s="240"/>
      <c r="CE931" s="240"/>
      <c r="CF931" s="240"/>
      <c r="CG931" s="240"/>
      <c r="CH931" s="240"/>
      <c r="CI931" s="240"/>
      <c r="CJ931" s="240"/>
      <c r="CK931" s="240"/>
      <c r="CL931" s="240"/>
      <c r="CM931" s="240"/>
      <c r="CN931" s="240"/>
      <c r="CO931" s="240"/>
      <c r="CP931" s="240"/>
      <c r="CQ931" s="240"/>
      <c r="CR931" s="240"/>
      <c r="CS931" s="240"/>
      <c r="CT931" s="240"/>
      <c r="CU931" s="240"/>
      <c r="CV931" s="240"/>
      <c r="CW931" s="240"/>
      <c r="CX931" s="240"/>
      <c r="CY931" s="240"/>
      <c r="CZ931" s="240"/>
      <c r="DA931" s="240"/>
      <c r="DB931" s="240"/>
      <c r="DC931" s="240"/>
      <c r="DD931" s="240"/>
      <c r="DE931" s="240"/>
      <c r="DF931" s="240"/>
      <c r="DG931" s="240"/>
      <c r="DH931" s="240"/>
      <c r="DI931" s="240"/>
      <c r="DJ931" s="240"/>
      <c r="DK931" s="240"/>
      <c r="DL931" s="240"/>
      <c r="DM931" s="240"/>
      <c r="DN931" s="240"/>
      <c r="DO931" s="240"/>
      <c r="DP931" s="240"/>
      <c r="DQ931" s="240"/>
      <c r="DR931" s="240"/>
      <c r="DS931" s="240"/>
      <c r="DT931" s="240"/>
      <c r="DU931" s="240"/>
      <c r="DV931" s="240"/>
      <c r="DW931" s="240"/>
      <c r="DX931" s="240"/>
      <c r="DY931" s="240"/>
      <c r="DZ931" s="240"/>
      <c r="EA931" s="240"/>
      <c r="EB931" s="240"/>
      <c r="EC931" s="240"/>
      <c r="ED931" s="240"/>
      <c r="EE931" s="240"/>
      <c r="EF931" s="240"/>
      <c r="EG931" s="240"/>
      <c r="EH931" s="240"/>
      <c r="EI931" s="240"/>
      <c r="EJ931" s="240"/>
      <c r="EK931" s="240"/>
      <c r="EL931" s="359"/>
      <c r="EM931" s="245"/>
      <c r="EN931" s="245"/>
      <c r="EO931" s="245"/>
      <c r="EP931" s="245"/>
      <c r="EQ931" s="254"/>
      <c r="ER931" s="240"/>
      <c r="ES931" s="240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193"/>
    </row>
    <row r="932" spans="1:189" s="243" customFormat="1" ht="11.45" hidden="1" customHeight="1">
      <c r="B932" s="246"/>
      <c r="C932" s="247"/>
      <c r="D932" s="247"/>
      <c r="E932" s="247"/>
      <c r="F932" s="247"/>
      <c r="G932" s="247"/>
      <c r="H932" s="247"/>
      <c r="I932" s="247"/>
      <c r="J932" s="247"/>
      <c r="K932" s="247"/>
      <c r="L932" s="301"/>
      <c r="M932" s="301"/>
      <c r="N932" s="301"/>
      <c r="O932" s="247"/>
      <c r="P932" s="247"/>
      <c r="Q932" s="247"/>
      <c r="R932" s="247"/>
      <c r="S932" s="247"/>
      <c r="T932" s="247"/>
      <c r="U932" s="247"/>
      <c r="V932" s="247"/>
      <c r="W932" s="247"/>
      <c r="X932" s="247"/>
      <c r="Y932" s="247"/>
      <c r="Z932" s="247"/>
      <c r="AA932" s="247"/>
      <c r="AB932" s="247"/>
      <c r="AC932" s="247"/>
      <c r="AD932" s="247"/>
      <c r="AE932" s="247"/>
      <c r="AF932" s="247"/>
      <c r="AG932" s="247"/>
      <c r="AH932" s="247"/>
      <c r="AI932" s="247"/>
      <c r="AJ932" s="247"/>
      <c r="AK932" s="247"/>
      <c r="AL932" s="247"/>
      <c r="AM932" s="247"/>
      <c r="AN932" s="247"/>
      <c r="AO932" s="247"/>
      <c r="AP932" s="247"/>
      <c r="AQ932" s="247"/>
      <c r="AR932" s="247"/>
      <c r="AS932" s="247"/>
      <c r="AT932" s="247"/>
      <c r="AU932" s="247"/>
      <c r="AV932" s="247"/>
      <c r="AW932" s="247"/>
      <c r="AX932" s="247"/>
      <c r="AY932" s="247"/>
      <c r="AZ932" s="247"/>
      <c r="BA932" s="247"/>
      <c r="BB932" s="247"/>
      <c r="BC932" s="247"/>
      <c r="BD932" s="247"/>
      <c r="BE932" s="247"/>
      <c r="BF932" s="247"/>
      <c r="BG932" s="247"/>
      <c r="BH932" s="247"/>
      <c r="BI932" s="247"/>
      <c r="BJ932" s="247"/>
      <c r="BK932" s="247"/>
      <c r="BL932" s="247"/>
      <c r="BM932" s="247"/>
      <c r="BN932" s="247"/>
      <c r="BO932" s="247"/>
      <c r="BP932" s="247"/>
      <c r="BQ932" s="247"/>
      <c r="BR932" s="247"/>
      <c r="BS932" s="301"/>
      <c r="BT932" s="247"/>
      <c r="BU932" s="247"/>
      <c r="BV932" s="247"/>
      <c r="BW932" s="247"/>
      <c r="BX932" s="247"/>
      <c r="BY932" s="247"/>
      <c r="BZ932" s="247"/>
      <c r="CA932" s="247"/>
      <c r="CB932" s="247"/>
      <c r="CC932" s="247"/>
      <c r="CD932" s="247"/>
      <c r="CE932" s="247"/>
      <c r="CF932" s="247"/>
      <c r="CG932" s="247"/>
      <c r="CH932" s="247"/>
      <c r="CI932" s="247"/>
      <c r="CJ932" s="247"/>
      <c r="CK932" s="247"/>
      <c r="CL932" s="247"/>
      <c r="CM932" s="247"/>
      <c r="CN932" s="247"/>
      <c r="CO932" s="247"/>
      <c r="CP932" s="247"/>
      <c r="CQ932" s="247"/>
      <c r="CR932" s="247"/>
      <c r="CS932" s="247"/>
      <c r="CT932" s="247"/>
      <c r="CU932" s="247"/>
      <c r="CV932" s="247"/>
      <c r="CW932" s="247"/>
      <c r="CX932" s="247"/>
      <c r="CY932" s="247"/>
      <c r="CZ932" s="247"/>
      <c r="DA932" s="247"/>
      <c r="DB932" s="247"/>
      <c r="DC932" s="247"/>
      <c r="DD932" s="247"/>
      <c r="DE932" s="247"/>
      <c r="DF932" s="247"/>
      <c r="DG932" s="247"/>
      <c r="DH932" s="247"/>
      <c r="DI932" s="247"/>
      <c r="DJ932" s="247"/>
      <c r="DK932" s="247"/>
      <c r="DL932" s="247"/>
      <c r="DM932" s="247"/>
      <c r="DN932" s="247"/>
      <c r="DO932" s="247"/>
      <c r="DP932" s="247"/>
      <c r="DQ932" s="247"/>
      <c r="DR932" s="247"/>
      <c r="DS932" s="247"/>
      <c r="DT932" s="247"/>
      <c r="DU932" s="247"/>
      <c r="DV932" s="247"/>
      <c r="DW932" s="247"/>
      <c r="DX932" s="247"/>
      <c r="DY932" s="247"/>
      <c r="DZ932" s="247"/>
      <c r="EA932" s="247"/>
      <c r="EB932" s="247"/>
      <c r="EC932" s="247"/>
      <c r="ED932" s="247"/>
      <c r="EE932" s="247"/>
      <c r="EF932" s="247"/>
      <c r="EG932" s="247"/>
      <c r="EH932" s="247"/>
      <c r="EI932" s="247"/>
      <c r="EJ932" s="247"/>
      <c r="EK932" s="247"/>
      <c r="EL932" s="360"/>
      <c r="EM932" s="249"/>
      <c r="EN932" s="249"/>
      <c r="EO932" s="249"/>
      <c r="EP932" s="249"/>
      <c r="EQ932" s="260"/>
      <c r="ER932" s="240"/>
      <c r="ES932" s="240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193"/>
    </row>
    <row r="933" spans="1:189" s="243" customFormat="1" ht="11.45" hidden="1" customHeight="1">
      <c r="B933" s="267"/>
      <c r="C933" s="265"/>
      <c r="D933" s="265"/>
      <c r="E933" s="265"/>
      <c r="F933" s="265"/>
      <c r="G933" s="265"/>
      <c r="H933" s="265"/>
      <c r="I933" s="265"/>
      <c r="J933" s="265"/>
      <c r="K933" s="265"/>
      <c r="L933" s="302"/>
      <c r="M933" s="302"/>
      <c r="N933" s="302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  <c r="Z933" s="265"/>
      <c r="AA933" s="265"/>
      <c r="AB933" s="265"/>
      <c r="AC933" s="265"/>
      <c r="AD933" s="265"/>
      <c r="AE933" s="265"/>
      <c r="AF933" s="265"/>
      <c r="AG933" s="265"/>
      <c r="AH933" s="265"/>
      <c r="AI933" s="265"/>
      <c r="AJ933" s="265"/>
      <c r="AK933" s="265"/>
      <c r="AL933" s="265"/>
      <c r="AM933" s="265"/>
      <c r="AN933" s="265"/>
      <c r="AO933" s="265"/>
      <c r="AP933" s="265"/>
      <c r="AQ933" s="265"/>
      <c r="AR933" s="265"/>
      <c r="AS933" s="265"/>
      <c r="AT933" s="265"/>
      <c r="AU933" s="265"/>
      <c r="AV933" s="265"/>
      <c r="AW933" s="265"/>
      <c r="AX933" s="265"/>
      <c r="AY933" s="265"/>
      <c r="AZ933" s="265"/>
      <c r="BA933" s="265"/>
      <c r="BB933" s="265"/>
      <c r="BC933" s="265"/>
      <c r="BD933" s="265"/>
      <c r="BE933" s="265"/>
      <c r="BF933" s="265"/>
      <c r="BG933" s="265"/>
      <c r="BH933" s="265"/>
      <c r="BI933" s="265"/>
      <c r="BJ933" s="265"/>
      <c r="BK933" s="265"/>
      <c r="BL933" s="265"/>
      <c r="BM933" s="265"/>
      <c r="BN933" s="265"/>
      <c r="BO933" s="265"/>
      <c r="BP933" s="265"/>
      <c r="BQ933" s="265"/>
      <c r="BR933" s="265"/>
      <c r="BS933" s="302"/>
      <c r="BT933" s="265"/>
      <c r="BU933" s="265"/>
      <c r="BV933" s="265"/>
      <c r="BW933" s="265"/>
      <c r="BX933" s="265"/>
      <c r="BY933" s="265"/>
      <c r="BZ933" s="265"/>
      <c r="CA933" s="265"/>
      <c r="CB933" s="265"/>
      <c r="CC933" s="265"/>
      <c r="CD933" s="265"/>
      <c r="CE933" s="265"/>
      <c r="CF933" s="265"/>
      <c r="CG933" s="265"/>
      <c r="CH933" s="265"/>
      <c r="CI933" s="265"/>
      <c r="CJ933" s="265"/>
      <c r="CK933" s="265"/>
      <c r="CL933" s="265"/>
      <c r="CM933" s="265"/>
      <c r="CN933" s="265"/>
      <c r="CO933" s="265"/>
      <c r="CP933" s="265"/>
      <c r="CQ933" s="265"/>
      <c r="CR933" s="265"/>
      <c r="CS933" s="265"/>
      <c r="CT933" s="265"/>
      <c r="CU933" s="265"/>
      <c r="CV933" s="265"/>
      <c r="CW933" s="265"/>
      <c r="CX933" s="265"/>
      <c r="CY933" s="265"/>
      <c r="CZ933" s="265"/>
      <c r="DA933" s="265"/>
      <c r="DB933" s="265"/>
      <c r="DC933" s="265"/>
      <c r="DD933" s="265"/>
      <c r="DE933" s="265"/>
      <c r="DF933" s="265"/>
      <c r="DG933" s="265"/>
      <c r="DH933" s="265"/>
      <c r="DI933" s="265"/>
      <c r="DJ933" s="265"/>
      <c r="DK933" s="265"/>
      <c r="DL933" s="265"/>
      <c r="DM933" s="265"/>
      <c r="DN933" s="265"/>
      <c r="DO933" s="265"/>
      <c r="DP933" s="265"/>
      <c r="DQ933" s="265"/>
      <c r="DR933" s="265"/>
      <c r="DS933" s="265"/>
      <c r="DT933" s="265"/>
      <c r="DU933" s="265"/>
      <c r="DV933" s="265"/>
      <c r="DW933" s="265"/>
      <c r="DX933" s="265"/>
      <c r="DY933" s="265"/>
      <c r="DZ933" s="265"/>
      <c r="EA933" s="265"/>
      <c r="EB933" s="265"/>
      <c r="EC933" s="265"/>
      <c r="ED933" s="265"/>
      <c r="EE933" s="265"/>
      <c r="EF933" s="265"/>
      <c r="EG933" s="265"/>
      <c r="EH933" s="265"/>
      <c r="EI933" s="265"/>
      <c r="EJ933" s="265"/>
      <c r="EK933" s="265"/>
      <c r="EL933" s="362"/>
      <c r="EM933" s="269"/>
      <c r="EN933" s="269"/>
      <c r="EO933" s="269"/>
      <c r="EP933" s="269"/>
      <c r="EQ933" s="266"/>
      <c r="ER933" s="240"/>
      <c r="ES933" s="240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193"/>
    </row>
    <row r="934" spans="1:189" s="243" customFormat="1" ht="11.45" hidden="1" customHeight="1">
      <c r="A934" s="243">
        <v>22</v>
      </c>
      <c r="B934" s="1782">
        <f>A934</f>
        <v>22</v>
      </c>
      <c r="C934" s="1781"/>
      <c r="D934" s="1781"/>
      <c r="E934" s="344" t="s">
        <v>896</v>
      </c>
      <c r="F934" s="240"/>
      <c r="G934" s="240"/>
      <c r="H934" s="240"/>
      <c r="I934" s="240"/>
      <c r="J934" s="240"/>
      <c r="K934" s="240"/>
      <c r="L934" s="297"/>
      <c r="M934" s="297"/>
      <c r="N934" s="297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0"/>
      <c r="AO934" s="240"/>
      <c r="AP934" s="240"/>
      <c r="AQ934" s="240"/>
      <c r="AR934" s="240"/>
      <c r="AS934" s="240"/>
      <c r="AT934" s="240"/>
      <c r="AU934" s="240"/>
      <c r="AV934" s="240"/>
      <c r="AW934" s="240"/>
      <c r="AX934" s="240"/>
      <c r="AY934" s="240"/>
      <c r="AZ934" s="240"/>
      <c r="BA934" s="240"/>
      <c r="BB934" s="240"/>
      <c r="BC934" s="240"/>
      <c r="BD934" s="240"/>
      <c r="BE934" s="240"/>
      <c r="BF934" s="240"/>
      <c r="BG934" s="240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297"/>
      <c r="BT934" s="240"/>
      <c r="BU934" s="240"/>
      <c r="BV934" s="240"/>
      <c r="BW934" s="240"/>
      <c r="BX934" s="240"/>
      <c r="BY934" s="240"/>
      <c r="BZ934" s="240"/>
      <c r="CA934" s="240"/>
      <c r="CB934" s="240"/>
      <c r="CC934" s="240"/>
      <c r="CD934" s="240"/>
      <c r="CE934" s="240"/>
      <c r="CF934" s="240"/>
      <c r="CG934" s="240"/>
      <c r="CH934" s="240"/>
      <c r="CI934" s="240"/>
      <c r="CJ934" s="240"/>
      <c r="CK934" s="240"/>
      <c r="CL934" s="240"/>
      <c r="CM934" s="240"/>
      <c r="CN934" s="240"/>
      <c r="CO934" s="240"/>
      <c r="CP934" s="240"/>
      <c r="CQ934" s="240"/>
      <c r="CR934" s="240"/>
      <c r="CS934" s="240"/>
      <c r="CT934" s="240"/>
      <c r="CU934" s="240"/>
      <c r="CV934" s="240"/>
      <c r="CW934" s="240"/>
      <c r="CX934" s="240"/>
      <c r="CY934" s="240"/>
      <c r="CZ934" s="240"/>
      <c r="DA934" s="240"/>
      <c r="DB934" s="240"/>
      <c r="DC934" s="240"/>
      <c r="DD934" s="240"/>
      <c r="DE934" s="240"/>
      <c r="DF934" s="240"/>
      <c r="DG934" s="240"/>
      <c r="DH934" s="240"/>
      <c r="DI934" s="240"/>
      <c r="DJ934" s="240"/>
      <c r="DK934" s="240"/>
      <c r="DL934" s="240"/>
      <c r="DM934" s="240"/>
      <c r="DN934" s="240"/>
      <c r="DO934" s="240"/>
      <c r="DP934" s="240"/>
      <c r="DQ934" s="240"/>
      <c r="DR934" s="240"/>
      <c r="DS934" s="240"/>
      <c r="DT934" s="240"/>
      <c r="DU934" s="240"/>
      <c r="DV934" s="240"/>
      <c r="DW934" s="240"/>
      <c r="DX934" s="240"/>
      <c r="DY934" s="240"/>
      <c r="DZ934" s="240"/>
      <c r="EA934" s="240"/>
      <c r="EB934" s="240"/>
      <c r="EC934" s="240"/>
      <c r="ED934" s="240"/>
      <c r="EE934" s="240"/>
      <c r="EF934" s="240"/>
      <c r="EG934" s="240"/>
      <c r="EH934" s="240"/>
      <c r="EI934" s="240"/>
      <c r="EJ934" s="240"/>
      <c r="EK934" s="240"/>
      <c r="EL934" s="359"/>
      <c r="EM934" s="242" t="e">
        <f>EM965</f>
        <v>#REF!</v>
      </c>
      <c r="EN934" s="242" t="e">
        <f>EN965</f>
        <v>#REF!</v>
      </c>
      <c r="EO934" s="242" t="e">
        <f>EO965</f>
        <v>#REF!</v>
      </c>
      <c r="EP934" s="242" t="str">
        <f>EP965</f>
        <v>1,433</v>
      </c>
      <c r="EQ934" s="312" t="s">
        <v>1337</v>
      </c>
      <c r="ER934" s="240"/>
      <c r="ES934" s="800">
        <f>A934</f>
        <v>22</v>
      </c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193"/>
    </row>
    <row r="935" spans="1:189" s="243" customFormat="1" ht="11.45" hidden="1" customHeight="1">
      <c r="B935" s="244"/>
      <c r="C935" s="240"/>
      <c r="D935" s="240"/>
      <c r="E935" s="240"/>
      <c r="F935" s="240"/>
      <c r="G935" s="240"/>
      <c r="H935" s="240"/>
      <c r="I935" s="240"/>
      <c r="J935" s="240"/>
      <c r="K935" s="240"/>
      <c r="L935" s="297"/>
      <c r="M935" s="297"/>
      <c r="N935" s="297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0"/>
      <c r="AO935" s="240"/>
      <c r="AP935" s="240"/>
      <c r="AQ935" s="240"/>
      <c r="AR935" s="240"/>
      <c r="AS935" s="240"/>
      <c r="AT935" s="240"/>
      <c r="AU935" s="240"/>
      <c r="AV935" s="240"/>
      <c r="AW935" s="240"/>
      <c r="AX935" s="240"/>
      <c r="AY935" s="240"/>
      <c r="AZ935" s="240"/>
      <c r="BA935" s="240"/>
      <c r="BB935" s="240"/>
      <c r="BC935" s="240"/>
      <c r="BD935" s="240"/>
      <c r="BE935" s="240"/>
      <c r="BF935" s="240"/>
      <c r="BG935" s="240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297"/>
      <c r="BT935" s="240"/>
      <c r="BU935" s="240"/>
      <c r="BV935" s="240"/>
      <c r="BW935" s="240"/>
      <c r="BX935" s="240"/>
      <c r="BY935" s="240"/>
      <c r="BZ935" s="240"/>
      <c r="CA935" s="240"/>
      <c r="CB935" s="240"/>
      <c r="CC935" s="240"/>
      <c r="CD935" s="240"/>
      <c r="CE935" s="240"/>
      <c r="CF935" s="240"/>
      <c r="CG935" s="240"/>
      <c r="CH935" s="240"/>
      <c r="CI935" s="240"/>
      <c r="CJ935" s="240"/>
      <c r="CK935" s="240"/>
      <c r="CL935" s="240"/>
      <c r="CM935" s="240"/>
      <c r="CN935" s="240"/>
      <c r="CO935" s="240"/>
      <c r="CP935" s="240"/>
      <c r="CQ935" s="240"/>
      <c r="CR935" s="240"/>
      <c r="CS935" s="240"/>
      <c r="CT935" s="240"/>
      <c r="CU935" s="240"/>
      <c r="CV935" s="240"/>
      <c r="CW935" s="240"/>
      <c r="CX935" s="240"/>
      <c r="CY935" s="240"/>
      <c r="CZ935" s="240"/>
      <c r="DA935" s="240"/>
      <c r="DB935" s="240"/>
      <c r="DC935" s="240"/>
      <c r="DD935" s="240"/>
      <c r="DE935" s="240"/>
      <c r="DF935" s="240"/>
      <c r="DG935" s="240"/>
      <c r="DH935" s="240"/>
      <c r="DI935" s="240"/>
      <c r="DJ935" s="240"/>
      <c r="DK935" s="240"/>
      <c r="DL935" s="240"/>
      <c r="DM935" s="240"/>
      <c r="DN935" s="240"/>
      <c r="DO935" s="240"/>
      <c r="DP935" s="240"/>
      <c r="DQ935" s="240"/>
      <c r="DR935" s="240"/>
      <c r="DS935" s="240"/>
      <c r="DT935" s="240"/>
      <c r="DU935" s="240"/>
      <c r="DV935" s="240"/>
      <c r="DW935" s="240"/>
      <c r="DX935" s="240"/>
      <c r="DY935" s="240"/>
      <c r="DZ935" s="240"/>
      <c r="EA935" s="240"/>
      <c r="EB935" s="240"/>
      <c r="EC935" s="240"/>
      <c r="ED935" s="240"/>
      <c r="EE935" s="240"/>
      <c r="EF935" s="240"/>
      <c r="EG935" s="240"/>
      <c r="EH935" s="240"/>
      <c r="EI935" s="240"/>
      <c r="EJ935" s="240"/>
      <c r="EK935" s="240"/>
      <c r="EL935" s="359"/>
      <c r="EM935" s="245"/>
      <c r="EN935" s="245"/>
      <c r="EO935" s="245"/>
      <c r="EP935" s="245"/>
      <c r="EQ935" s="254"/>
      <c r="ER935" s="240"/>
      <c r="ES935" s="240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193"/>
    </row>
    <row r="936" spans="1:189" s="243" customFormat="1" ht="11.45" hidden="1" customHeight="1">
      <c r="B936" s="244"/>
      <c r="C936" s="240"/>
      <c r="D936" s="240"/>
      <c r="E936" s="240" t="s">
        <v>681</v>
      </c>
      <c r="F936" s="240"/>
      <c r="G936" s="240"/>
      <c r="H936" s="240" t="s">
        <v>538</v>
      </c>
      <c r="I936" s="240" t="s">
        <v>724</v>
      </c>
      <c r="J936" s="240"/>
      <c r="K936" s="240"/>
      <c r="L936" s="297" t="s">
        <v>745</v>
      </c>
      <c r="M936" s="297"/>
      <c r="N936" s="297"/>
      <c r="O936" s="240"/>
      <c r="P936" s="240"/>
      <c r="Q936" s="240"/>
      <c r="R936" s="240"/>
      <c r="S936" s="240" t="s">
        <v>132</v>
      </c>
      <c r="T936" s="240"/>
      <c r="U936" s="240" t="s">
        <v>743</v>
      </c>
      <c r="V936" s="240"/>
      <c r="W936" s="240"/>
      <c r="X936" s="240" t="s">
        <v>134</v>
      </c>
      <c r="Y936" s="240"/>
      <c r="Z936" s="240" t="str">
        <f>TEXT(150,"#,##0.#######")</f>
        <v>150.</v>
      </c>
      <c r="AA936" s="240"/>
      <c r="AB936" s="240"/>
      <c r="AC936" s="240" t="s">
        <v>91</v>
      </c>
      <c r="AD936" s="240"/>
      <c r="AE936" s="240" t="s">
        <v>139</v>
      </c>
      <c r="AF936" s="240" t="s">
        <v>724</v>
      </c>
      <c r="AG936" s="240"/>
      <c r="AH936" s="240"/>
      <c r="AI936" s="240"/>
      <c r="AJ936" s="240"/>
      <c r="AK936" s="240"/>
      <c r="AL936" s="240"/>
      <c r="AM936" s="240"/>
      <c r="AN936" s="240"/>
      <c r="AO936" s="240"/>
      <c r="AP936" s="240"/>
      <c r="AQ936" s="240"/>
      <c r="AR936" s="240"/>
      <c r="AS936" s="240"/>
      <c r="AT936" s="240"/>
      <c r="AU936" s="240"/>
      <c r="AV936" s="240"/>
      <c r="AW936" s="240"/>
      <c r="AX936" s="240"/>
      <c r="AY936" s="240"/>
      <c r="AZ936" s="240"/>
      <c r="BA936" s="240"/>
      <c r="BB936" s="240"/>
      <c r="BC936" s="240"/>
      <c r="BD936" s="240"/>
      <c r="BE936" s="240"/>
      <c r="BF936" s="240"/>
      <c r="BG936" s="240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297"/>
      <c r="BT936" s="240"/>
      <c r="BU936" s="240"/>
      <c r="BV936" s="240"/>
      <c r="BW936" s="240"/>
      <c r="BX936" s="240"/>
      <c r="BY936" s="240"/>
      <c r="BZ936" s="240"/>
      <c r="CA936" s="240"/>
      <c r="CB936" s="240"/>
      <c r="CC936" s="240"/>
      <c r="CD936" s="240"/>
      <c r="CE936" s="240"/>
      <c r="CF936" s="240"/>
      <c r="CG936" s="240"/>
      <c r="CH936" s="240"/>
      <c r="CI936" s="240"/>
      <c r="CJ936" s="240"/>
      <c r="CK936" s="240"/>
      <c r="CL936" s="240"/>
      <c r="CM936" s="240"/>
      <c r="CN936" s="240"/>
      <c r="CO936" s="240"/>
      <c r="CP936" s="240"/>
      <c r="CQ936" s="240"/>
      <c r="CR936" s="240"/>
      <c r="CS936" s="240"/>
      <c r="CT936" s="240"/>
      <c r="CU936" s="240"/>
      <c r="CV936" s="240"/>
      <c r="CW936" s="240"/>
      <c r="CX936" s="240"/>
      <c r="CY936" s="240"/>
      <c r="CZ936" s="240"/>
      <c r="DA936" s="240"/>
      <c r="DB936" s="240"/>
      <c r="DC936" s="240"/>
      <c r="DD936" s="240"/>
      <c r="DE936" s="240"/>
      <c r="DF936" s="240"/>
      <c r="DG936" s="240"/>
      <c r="DH936" s="240"/>
      <c r="DI936" s="240"/>
      <c r="DJ936" s="240"/>
      <c r="DK936" s="240"/>
      <c r="DL936" s="240"/>
      <c r="DM936" s="240"/>
      <c r="DN936" s="240"/>
      <c r="DO936" s="240"/>
      <c r="DP936" s="240"/>
      <c r="DQ936" s="240"/>
      <c r="DR936" s="240"/>
      <c r="DS936" s="240"/>
      <c r="DT936" s="240"/>
      <c r="DU936" s="240"/>
      <c r="DV936" s="240"/>
      <c r="DW936" s="240"/>
      <c r="DX936" s="240"/>
      <c r="DY936" s="240"/>
      <c r="DZ936" s="240"/>
      <c r="EA936" s="240"/>
      <c r="EB936" s="240"/>
      <c r="EC936" s="240"/>
      <c r="ED936" s="240"/>
      <c r="EE936" s="240"/>
      <c r="EF936" s="240"/>
      <c r="EG936" s="240"/>
      <c r="EH936" s="240"/>
      <c r="EI936" s="240"/>
      <c r="EJ936" s="240"/>
      <c r="EK936" s="240"/>
      <c r="EL936" s="359"/>
      <c r="EM936" s="245"/>
      <c r="EN936" s="245"/>
      <c r="EO936" s="245"/>
      <c r="EP936" s="245"/>
      <c r="EQ936" s="254"/>
      <c r="ER936" s="240"/>
      <c r="ES936" s="240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193"/>
    </row>
    <row r="937" spans="1:189" s="243" customFormat="1" ht="11.45" hidden="1" customHeight="1">
      <c r="B937" s="244"/>
      <c r="C937" s="240"/>
      <c r="D937" s="240"/>
      <c r="E937" s="240"/>
      <c r="F937" s="240"/>
      <c r="G937" s="240"/>
      <c r="H937" s="240" t="s">
        <v>741</v>
      </c>
      <c r="I937" s="240"/>
      <c r="J937" s="240"/>
      <c r="K937" s="240"/>
      <c r="L937" s="297"/>
      <c r="M937" s="297"/>
      <c r="N937" s="297"/>
      <c r="O937" s="240" t="s">
        <v>745</v>
      </c>
      <c r="P937" s="240"/>
      <c r="Q937" s="240"/>
      <c r="R937" s="240"/>
      <c r="S937" s="240"/>
      <c r="T937" s="240"/>
      <c r="U937" s="240"/>
      <c r="V937" s="240" t="s">
        <v>132</v>
      </c>
      <c r="W937" s="240"/>
      <c r="X937" s="240" t="s">
        <v>687</v>
      </c>
      <c r="Y937" s="240"/>
      <c r="Z937" s="240" t="s">
        <v>134</v>
      </c>
      <c r="AA937" s="240"/>
      <c r="AB937" s="240" t="s">
        <v>743</v>
      </c>
      <c r="AC937" s="240"/>
      <c r="AD937" s="240"/>
      <c r="AE937" s="240" t="s">
        <v>683</v>
      </c>
      <c r="AF937" s="240"/>
      <c r="AG937" s="240"/>
      <c r="AH937" s="240" t="str">
        <f>TEXT(8,"#,##0.#######")</f>
        <v>8.</v>
      </c>
      <c r="AI937" s="240" t="s">
        <v>618</v>
      </c>
      <c r="AJ937" s="240"/>
      <c r="AK937" s="240"/>
      <c r="AL937" s="240" t="s">
        <v>134</v>
      </c>
      <c r="AM937" s="240"/>
      <c r="AN937" s="240" t="str">
        <f>TEXT(Z936,"#,##0.#######")</f>
        <v>150.</v>
      </c>
      <c r="AO937" s="240"/>
      <c r="AP937" s="240"/>
      <c r="AQ937" s="240"/>
      <c r="AR937" s="240" t="s">
        <v>683</v>
      </c>
      <c r="AS937" s="240"/>
      <c r="AT937" s="240"/>
      <c r="AU937" s="240" t="str">
        <f>TEXT(AH937,"#,##0.#######")</f>
        <v>8.</v>
      </c>
      <c r="AV937" s="240"/>
      <c r="AW937" s="240" t="s">
        <v>134</v>
      </c>
      <c r="AX937" s="240"/>
      <c r="AY937" s="240"/>
      <c r="AZ937" s="240" t="str">
        <f>TEXT(ROUND(Z936/AH937,2),"#,##0.#######")</f>
        <v>18.75</v>
      </c>
      <c r="BA937" s="240"/>
      <c r="BB937" s="240"/>
      <c r="BC937" s="240"/>
      <c r="BD937" s="240" t="s">
        <v>91</v>
      </c>
      <c r="BE937" s="240"/>
      <c r="BF937" s="240" t="s">
        <v>139</v>
      </c>
      <c r="BG937" s="240" t="s">
        <v>618</v>
      </c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297"/>
      <c r="BT937" s="240"/>
      <c r="BU937" s="240"/>
      <c r="BV937" s="240"/>
      <c r="BW937" s="240"/>
      <c r="BX937" s="240"/>
      <c r="BY937" s="240"/>
      <c r="BZ937" s="240"/>
      <c r="CA937" s="240"/>
      <c r="CB937" s="240"/>
      <c r="CC937" s="240"/>
      <c r="CD937" s="240"/>
      <c r="CE937" s="240"/>
      <c r="CF937" s="240"/>
      <c r="CG937" s="240"/>
      <c r="CH937" s="240"/>
      <c r="CI937" s="240"/>
      <c r="CJ937" s="240"/>
      <c r="CK937" s="240"/>
      <c r="CL937" s="240"/>
      <c r="CM937" s="240"/>
      <c r="CN937" s="240"/>
      <c r="CO937" s="240"/>
      <c r="CP937" s="240"/>
      <c r="CQ937" s="240"/>
      <c r="CR937" s="240"/>
      <c r="CS937" s="240"/>
      <c r="CT937" s="240"/>
      <c r="CU937" s="240"/>
      <c r="CV937" s="240"/>
      <c r="CW937" s="240"/>
      <c r="CX937" s="240"/>
      <c r="CY937" s="240"/>
      <c r="CZ937" s="240"/>
      <c r="DA937" s="240"/>
      <c r="DB937" s="240"/>
      <c r="DC937" s="240"/>
      <c r="DD937" s="240"/>
      <c r="DE937" s="240"/>
      <c r="DF937" s="240"/>
      <c r="DG937" s="240"/>
      <c r="DH937" s="240"/>
      <c r="DI937" s="240"/>
      <c r="DJ937" s="240"/>
      <c r="DK937" s="240"/>
      <c r="DL937" s="240"/>
      <c r="DM937" s="240"/>
      <c r="DN937" s="240"/>
      <c r="DO937" s="240"/>
      <c r="DP937" s="240"/>
      <c r="DQ937" s="240"/>
      <c r="DR937" s="240"/>
      <c r="DS937" s="240"/>
      <c r="DT937" s="240"/>
      <c r="DU937" s="240"/>
      <c r="DV937" s="240"/>
      <c r="DW937" s="240"/>
      <c r="DX937" s="240"/>
      <c r="DY937" s="240"/>
      <c r="DZ937" s="240"/>
      <c r="EA937" s="240"/>
      <c r="EB937" s="240"/>
      <c r="EC937" s="240"/>
      <c r="ED937" s="240"/>
      <c r="EE937" s="240"/>
      <c r="EF937" s="240"/>
      <c r="EG937" s="240"/>
      <c r="EH937" s="240"/>
      <c r="EI937" s="240"/>
      <c r="EJ937" s="240"/>
      <c r="EK937" s="240"/>
      <c r="EL937" s="359"/>
      <c r="EM937" s="245"/>
      <c r="EN937" s="245"/>
      <c r="EO937" s="245"/>
      <c r="EP937" s="245"/>
      <c r="EQ937" s="254"/>
      <c r="ER937" s="240"/>
      <c r="ES937" s="240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193"/>
    </row>
    <row r="938" spans="1:189" s="243" customFormat="1" ht="11.45" hidden="1" customHeight="1">
      <c r="B938" s="244"/>
      <c r="C938" s="240"/>
      <c r="D938" s="240"/>
      <c r="E938" s="240"/>
      <c r="F938" s="240"/>
      <c r="G938" s="240"/>
      <c r="H938" s="240"/>
      <c r="I938" s="240"/>
      <c r="J938" s="240"/>
      <c r="K938" s="240"/>
      <c r="L938" s="297"/>
      <c r="M938" s="297"/>
      <c r="N938" s="297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0"/>
      <c r="AO938" s="240"/>
      <c r="AP938" s="240"/>
      <c r="AQ938" s="240"/>
      <c r="AR938" s="240"/>
      <c r="AS938" s="240"/>
      <c r="AT938" s="240"/>
      <c r="AU938" s="240"/>
      <c r="AV938" s="240"/>
      <c r="AW938" s="240"/>
      <c r="AX938" s="240"/>
      <c r="AY938" s="240"/>
      <c r="AZ938" s="240"/>
      <c r="BA938" s="240"/>
      <c r="BB938" s="240"/>
      <c r="BC938" s="240"/>
      <c r="BD938" s="240"/>
      <c r="BE938" s="240"/>
      <c r="BF938" s="240"/>
      <c r="BG938" s="240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297"/>
      <c r="BT938" s="240"/>
      <c r="BU938" s="240"/>
      <c r="BV938" s="240"/>
      <c r="BW938" s="240"/>
      <c r="BX938" s="240"/>
      <c r="BY938" s="240"/>
      <c r="BZ938" s="240"/>
      <c r="CA938" s="240"/>
      <c r="CB938" s="240"/>
      <c r="CC938" s="240"/>
      <c r="CD938" s="240"/>
      <c r="CE938" s="240"/>
      <c r="CF938" s="240"/>
      <c r="CG938" s="240"/>
      <c r="CH938" s="240"/>
      <c r="CI938" s="240"/>
      <c r="CJ938" s="240"/>
      <c r="CK938" s="240"/>
      <c r="CL938" s="240"/>
      <c r="CM938" s="240"/>
      <c r="CN938" s="240"/>
      <c r="CO938" s="240"/>
      <c r="CP938" s="240"/>
      <c r="CQ938" s="240"/>
      <c r="CR938" s="240"/>
      <c r="CS938" s="240"/>
      <c r="CT938" s="240"/>
      <c r="CU938" s="240"/>
      <c r="CV938" s="240"/>
      <c r="CW938" s="240"/>
      <c r="CX938" s="240"/>
      <c r="CY938" s="240"/>
      <c r="CZ938" s="240"/>
      <c r="DA938" s="240"/>
      <c r="DB938" s="240"/>
      <c r="DC938" s="240"/>
      <c r="DD938" s="240"/>
      <c r="DE938" s="240"/>
      <c r="DF938" s="240"/>
      <c r="DG938" s="240"/>
      <c r="DH938" s="240"/>
      <c r="DI938" s="240"/>
      <c r="DJ938" s="240"/>
      <c r="DK938" s="240"/>
      <c r="DL938" s="240"/>
      <c r="DM938" s="240"/>
      <c r="DN938" s="240"/>
      <c r="DO938" s="240"/>
      <c r="DP938" s="240"/>
      <c r="DQ938" s="240"/>
      <c r="DR938" s="240"/>
      <c r="DS938" s="240"/>
      <c r="DT938" s="240"/>
      <c r="DU938" s="240"/>
      <c r="DV938" s="240"/>
      <c r="DW938" s="240"/>
      <c r="DX938" s="240"/>
      <c r="DY938" s="240"/>
      <c r="DZ938" s="240"/>
      <c r="EA938" s="240"/>
      <c r="EB938" s="240"/>
      <c r="EC938" s="240"/>
      <c r="ED938" s="240"/>
      <c r="EE938" s="240"/>
      <c r="EF938" s="240"/>
      <c r="EG938" s="240"/>
      <c r="EH938" s="240"/>
      <c r="EI938" s="240"/>
      <c r="EJ938" s="240"/>
      <c r="EK938" s="240"/>
      <c r="EL938" s="359"/>
      <c r="EM938" s="245"/>
      <c r="EN938" s="245"/>
      <c r="EO938" s="245"/>
      <c r="EP938" s="245"/>
      <c r="EQ938" s="254"/>
      <c r="ER938" s="240"/>
      <c r="ES938" s="240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193"/>
    </row>
    <row r="939" spans="1:189" s="243" customFormat="1" ht="11.45" hidden="1" customHeight="1">
      <c r="B939" s="244"/>
      <c r="C939" s="240"/>
      <c r="D939" s="240" t="s">
        <v>674</v>
      </c>
      <c r="E939" s="240"/>
      <c r="F939" s="240"/>
      <c r="G939" s="240" t="s">
        <v>742</v>
      </c>
      <c r="H939" s="240"/>
      <c r="I939" s="240"/>
      <c r="J939" s="240"/>
      <c r="K939" s="240"/>
      <c r="L939" s="297"/>
      <c r="M939" s="297"/>
      <c r="N939" s="297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0"/>
      <c r="AO939" s="240"/>
      <c r="AP939" s="240"/>
      <c r="AQ939" s="240"/>
      <c r="AR939" s="240"/>
      <c r="AS939" s="240"/>
      <c r="AT939" s="240"/>
      <c r="AU939" s="240"/>
      <c r="AV939" s="240"/>
      <c r="AW939" s="240"/>
      <c r="AX939" s="240"/>
      <c r="AY939" s="240"/>
      <c r="AZ939" s="240"/>
      <c r="BA939" s="240"/>
      <c r="BB939" s="240"/>
      <c r="BC939" s="240"/>
      <c r="BD939" s="240"/>
      <c r="BE939" s="240"/>
      <c r="BF939" s="240"/>
      <c r="BG939" s="240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297"/>
      <c r="BT939" s="240"/>
      <c r="BU939" s="240"/>
      <c r="BV939" s="240"/>
      <c r="BW939" s="240"/>
      <c r="BX939" s="240"/>
      <c r="BY939" s="240"/>
      <c r="BZ939" s="240"/>
      <c r="CA939" s="240"/>
      <c r="CB939" s="240"/>
      <c r="CC939" s="240"/>
      <c r="CD939" s="240"/>
      <c r="CE939" s="240"/>
      <c r="CF939" s="240"/>
      <c r="CG939" s="240"/>
      <c r="CH939" s="240"/>
      <c r="CI939" s="240"/>
      <c r="CJ939" s="240"/>
      <c r="CK939" s="240"/>
      <c r="CL939" s="240"/>
      <c r="CM939" s="240"/>
      <c r="CN939" s="240"/>
      <c r="CO939" s="240"/>
      <c r="CP939" s="240"/>
      <c r="CQ939" s="240"/>
      <c r="CR939" s="240"/>
      <c r="CS939" s="240"/>
      <c r="CT939" s="240"/>
      <c r="CU939" s="240"/>
      <c r="CV939" s="240"/>
      <c r="CW939" s="240"/>
      <c r="CX939" s="240"/>
      <c r="CY939" s="240"/>
      <c r="CZ939" s="240"/>
      <c r="DA939" s="240"/>
      <c r="DB939" s="240"/>
      <c r="DC939" s="240"/>
      <c r="DD939" s="240"/>
      <c r="DE939" s="240"/>
      <c r="DF939" s="240"/>
      <c r="DG939" s="240"/>
      <c r="DH939" s="240"/>
      <c r="DI939" s="240"/>
      <c r="DJ939" s="240"/>
      <c r="DK939" s="240"/>
      <c r="DL939" s="240"/>
      <c r="DM939" s="240"/>
      <c r="DN939" s="240"/>
      <c r="DO939" s="240"/>
      <c r="DP939" s="240"/>
      <c r="DQ939" s="240"/>
      <c r="DR939" s="240"/>
      <c r="DS939" s="240"/>
      <c r="DT939" s="240"/>
      <c r="DU939" s="240"/>
      <c r="DV939" s="240"/>
      <c r="DW939" s="240"/>
      <c r="DX939" s="240"/>
      <c r="DY939" s="240"/>
      <c r="DZ939" s="240"/>
      <c r="EA939" s="240"/>
      <c r="EB939" s="240"/>
      <c r="EC939" s="240"/>
      <c r="ED939" s="240"/>
      <c r="EE939" s="240"/>
      <c r="EF939" s="240"/>
      <c r="EG939" s="240"/>
      <c r="EH939" s="240"/>
      <c r="EI939" s="240"/>
      <c r="EJ939" s="240"/>
      <c r="EK939" s="240"/>
      <c r="EL939" s="359"/>
      <c r="EM939" s="245"/>
      <c r="EN939" s="245"/>
      <c r="EO939" s="245"/>
      <c r="EP939" s="245"/>
      <c r="EQ939" s="254"/>
      <c r="ER939" s="240"/>
      <c r="ES939" s="240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193"/>
    </row>
    <row r="940" spans="1:189" s="243" customFormat="1" ht="11.45" hidden="1" customHeight="1">
      <c r="B940" s="244"/>
      <c r="C940" s="240"/>
      <c r="D940" s="240"/>
      <c r="E940" s="240"/>
      <c r="F940" s="240"/>
      <c r="G940" s="240" t="s">
        <v>1673</v>
      </c>
      <c r="H940" s="240"/>
      <c r="I940" s="240"/>
      <c r="J940" s="240"/>
      <c r="K940" s="240"/>
      <c r="L940" s="297"/>
      <c r="M940" s="297" t="s">
        <v>132</v>
      </c>
      <c r="N940" s="297"/>
      <c r="O940" s="1775">
        <f>VLOOKUP($G940,노임단가!$A:$B,2,FALSE)</f>
        <v>194853</v>
      </c>
      <c r="P940" s="1775"/>
      <c r="Q940" s="1775"/>
      <c r="R940" s="1775"/>
      <c r="S940" s="1775"/>
      <c r="T940" s="1775"/>
      <c r="U940" s="240" t="s">
        <v>652</v>
      </c>
      <c r="V940" s="240"/>
      <c r="W940" s="240" t="str">
        <f>TEXT(2,"#,##0.#######")</f>
        <v>2.</v>
      </c>
      <c r="X940" s="240"/>
      <c r="Y940" s="240"/>
      <c r="Z940" s="240" t="s">
        <v>102</v>
      </c>
      <c r="AA940" s="240"/>
      <c r="AB940" s="240"/>
      <c r="AC940" s="240" t="s">
        <v>683</v>
      </c>
      <c r="AD940" s="240"/>
      <c r="AE940" s="240"/>
      <c r="AF940" s="240" t="s">
        <v>743</v>
      </c>
      <c r="AG940" s="240"/>
      <c r="AH940" s="240"/>
      <c r="AI940" s="240" t="s">
        <v>134</v>
      </c>
      <c r="AJ940" s="240"/>
      <c r="AK940" s="240" t="str">
        <f>TEXT(O940,"#,##0.#######")</f>
        <v>194,853.</v>
      </c>
      <c r="AL940" s="240"/>
      <c r="AM940" s="240"/>
      <c r="AN940" s="240"/>
      <c r="AO940" s="240"/>
      <c r="AP940" s="240" t="s">
        <v>652</v>
      </c>
      <c r="AQ940" s="240"/>
      <c r="AR940" s="240" t="str">
        <f>TEXT(W940,"#,##0.#######")</f>
        <v>2.</v>
      </c>
      <c r="AS940" s="240"/>
      <c r="AT940" s="240" t="s">
        <v>683</v>
      </c>
      <c r="AU940" s="240"/>
      <c r="AV940" s="240"/>
      <c r="AW940" s="240" t="str">
        <f>TEXT(Z936,"#,##0.#######")</f>
        <v>150.</v>
      </c>
      <c r="AX940" s="240"/>
      <c r="AY940" s="240"/>
      <c r="AZ940" s="240"/>
      <c r="BA940" s="240" t="s">
        <v>134</v>
      </c>
      <c r="BB940" s="240"/>
      <c r="BC940" s="240" t="str">
        <f>TEXT(TRUNC(O940*W940/Z936,1),"#,##0.#")</f>
        <v>2,598.</v>
      </c>
      <c r="BD940" s="240"/>
      <c r="BG940" s="240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297"/>
      <c r="BT940" s="240"/>
      <c r="BU940" s="240"/>
      <c r="BV940" s="240"/>
      <c r="BW940" s="240"/>
      <c r="BX940" s="240"/>
      <c r="BY940" s="240"/>
      <c r="BZ940" s="240"/>
      <c r="CA940" s="240"/>
      <c r="CB940" s="240"/>
      <c r="CC940" s="240"/>
      <c r="CD940" s="240"/>
      <c r="CE940" s="240"/>
      <c r="CF940" s="240"/>
      <c r="CG940" s="240"/>
      <c r="CH940" s="240"/>
      <c r="CI940" s="240"/>
      <c r="CJ940" s="240"/>
      <c r="CK940" s="240"/>
      <c r="CL940" s="240"/>
      <c r="CM940" s="240"/>
      <c r="CN940" s="240"/>
      <c r="CO940" s="240"/>
      <c r="CP940" s="240"/>
      <c r="CQ940" s="240"/>
      <c r="CR940" s="240"/>
      <c r="CS940" s="240"/>
      <c r="CT940" s="240"/>
      <c r="CU940" s="240"/>
      <c r="CV940" s="240"/>
      <c r="CW940" s="240"/>
      <c r="CX940" s="240"/>
      <c r="CY940" s="240"/>
      <c r="CZ940" s="240"/>
      <c r="DA940" s="240"/>
      <c r="DB940" s="240"/>
      <c r="DC940" s="240"/>
      <c r="DD940" s="240"/>
      <c r="DE940" s="240"/>
      <c r="DF940" s="240"/>
      <c r="DG940" s="240"/>
      <c r="DH940" s="240"/>
      <c r="DI940" s="240"/>
      <c r="DJ940" s="240"/>
      <c r="DK940" s="240"/>
      <c r="DL940" s="240"/>
      <c r="DM940" s="240"/>
      <c r="DN940" s="240"/>
      <c r="DO940" s="240"/>
      <c r="DP940" s="240"/>
      <c r="DQ940" s="240"/>
      <c r="DR940" s="240"/>
      <c r="DS940" s="240"/>
      <c r="DT940" s="240"/>
      <c r="DU940" s="240"/>
      <c r="DV940" s="240"/>
      <c r="DW940" s="240"/>
      <c r="DX940" s="240"/>
      <c r="DY940" s="240"/>
      <c r="DZ940" s="240"/>
      <c r="EA940" s="240"/>
      <c r="EB940" s="240"/>
      <c r="EC940" s="240"/>
      <c r="ED940" s="240"/>
      <c r="EE940" s="240"/>
      <c r="EF940" s="240"/>
      <c r="EG940" s="240"/>
      <c r="EH940" s="240"/>
      <c r="EI940" s="240"/>
      <c r="EJ940" s="240"/>
      <c r="EK940" s="240"/>
      <c r="EL940" s="359"/>
      <c r="EM940" s="245">
        <f>EN940+EO940+EP940</f>
        <v>2598</v>
      </c>
      <c r="EN940" s="245" t="str">
        <f>BC940</f>
        <v>2,598.</v>
      </c>
      <c r="EO940" s="245"/>
      <c r="EP940" s="245"/>
      <c r="EQ940" s="254"/>
      <c r="ER940" s="240"/>
      <c r="ES940" s="240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193"/>
    </row>
    <row r="941" spans="1:189" s="243" customFormat="1" ht="11.45" hidden="1" customHeight="1">
      <c r="B941" s="244"/>
      <c r="C941" s="240"/>
      <c r="D941" s="240"/>
      <c r="E941" s="240"/>
      <c r="F941" s="240"/>
      <c r="G941" s="240" t="s">
        <v>1629</v>
      </c>
      <c r="H941" s="240"/>
      <c r="I941" s="240"/>
      <c r="J941" s="240"/>
      <c r="K941" s="240"/>
      <c r="L941" s="297"/>
      <c r="M941" s="297" t="s">
        <v>132</v>
      </c>
      <c r="N941" s="297"/>
      <c r="O941" s="1775">
        <f>VLOOKUP($G941,노임단가!$A:$B,2,FALSE)</f>
        <v>157068</v>
      </c>
      <c r="P941" s="1775"/>
      <c r="Q941" s="1775"/>
      <c r="R941" s="1775"/>
      <c r="S941" s="1775"/>
      <c r="T941" s="1775"/>
      <c r="U941" s="240" t="s">
        <v>652</v>
      </c>
      <c r="V941" s="240"/>
      <c r="W941" s="240" t="str">
        <f>TEXT(2,"#,##0.#######")</f>
        <v>2.</v>
      </c>
      <c r="X941" s="240"/>
      <c r="Y941" s="240"/>
      <c r="Z941" s="240" t="s">
        <v>102</v>
      </c>
      <c r="AA941" s="240"/>
      <c r="AB941" s="240"/>
      <c r="AC941" s="240" t="s">
        <v>683</v>
      </c>
      <c r="AD941" s="240"/>
      <c r="AE941" s="240"/>
      <c r="AF941" s="240" t="s">
        <v>743</v>
      </c>
      <c r="AG941" s="240"/>
      <c r="AH941" s="240"/>
      <c r="AI941" s="240" t="s">
        <v>134</v>
      </c>
      <c r="AJ941" s="240"/>
      <c r="AK941" s="240" t="str">
        <f>TEXT(O941,"#,##0.#######")</f>
        <v>157,068.</v>
      </c>
      <c r="AL941" s="240"/>
      <c r="AM941" s="240"/>
      <c r="AN941" s="240"/>
      <c r="AO941" s="240"/>
      <c r="AP941" s="240" t="s">
        <v>652</v>
      </c>
      <c r="AQ941" s="240"/>
      <c r="AR941" s="240" t="str">
        <f>TEXT(W941,"#,##0.#######")</f>
        <v>2.</v>
      </c>
      <c r="AS941" s="240"/>
      <c r="AT941" s="240" t="s">
        <v>683</v>
      </c>
      <c r="AU941" s="240"/>
      <c r="AV941" s="240"/>
      <c r="AW941" s="240" t="str">
        <f>TEXT(Z936,"#,##0.#######")</f>
        <v>150.</v>
      </c>
      <c r="AX941" s="240"/>
      <c r="AY941" s="240"/>
      <c r="AZ941" s="240"/>
      <c r="BA941" s="240" t="s">
        <v>134</v>
      </c>
      <c r="BB941" s="240"/>
      <c r="BC941" s="240" t="str">
        <f>TEXT(TRUNC(O941*W941/Z936,1),"#,##0.#")</f>
        <v>2,094.2</v>
      </c>
      <c r="BD941" s="240"/>
      <c r="BG941" s="240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297"/>
      <c r="BT941" s="240"/>
      <c r="BU941" s="240"/>
      <c r="BV941" s="240"/>
      <c r="BW941" s="240"/>
      <c r="BX941" s="240"/>
      <c r="BY941" s="240"/>
      <c r="BZ941" s="240"/>
      <c r="CA941" s="240"/>
      <c r="CB941" s="240"/>
      <c r="CC941" s="240"/>
      <c r="CD941" s="240"/>
      <c r="CE941" s="240"/>
      <c r="CF941" s="240"/>
      <c r="CG941" s="240"/>
      <c r="CH941" s="240"/>
      <c r="CI941" s="240"/>
      <c r="CJ941" s="240"/>
      <c r="CK941" s="240"/>
      <c r="CL941" s="240"/>
      <c r="CM941" s="240"/>
      <c r="CN941" s="240"/>
      <c r="CO941" s="240"/>
      <c r="CP941" s="240"/>
      <c r="CQ941" s="240"/>
      <c r="CR941" s="240"/>
      <c r="CS941" s="240"/>
      <c r="CT941" s="240"/>
      <c r="CU941" s="240"/>
      <c r="CV941" s="240"/>
      <c r="CW941" s="240"/>
      <c r="CX941" s="240"/>
      <c r="CY941" s="240"/>
      <c r="CZ941" s="240"/>
      <c r="DA941" s="240"/>
      <c r="DB941" s="240"/>
      <c r="DC941" s="240"/>
      <c r="DD941" s="240"/>
      <c r="DE941" s="240"/>
      <c r="DF941" s="240"/>
      <c r="DG941" s="240"/>
      <c r="DH941" s="240"/>
      <c r="DI941" s="240"/>
      <c r="DJ941" s="240"/>
      <c r="DK941" s="240"/>
      <c r="DL941" s="240"/>
      <c r="DM941" s="240"/>
      <c r="DN941" s="240"/>
      <c r="DO941" s="240"/>
      <c r="DP941" s="240"/>
      <c r="DQ941" s="240"/>
      <c r="DR941" s="240"/>
      <c r="DS941" s="240"/>
      <c r="DT941" s="240"/>
      <c r="DU941" s="240"/>
      <c r="DV941" s="240"/>
      <c r="DW941" s="240"/>
      <c r="DX941" s="240"/>
      <c r="DY941" s="240"/>
      <c r="DZ941" s="240"/>
      <c r="EA941" s="240"/>
      <c r="EB941" s="240"/>
      <c r="EC941" s="240"/>
      <c r="ED941" s="240"/>
      <c r="EE941" s="240"/>
      <c r="EF941" s="240"/>
      <c r="EG941" s="240"/>
      <c r="EH941" s="240"/>
      <c r="EI941" s="240"/>
      <c r="EJ941" s="240"/>
      <c r="EK941" s="240"/>
      <c r="EL941" s="359"/>
      <c r="EM941" s="245">
        <f>EN941+EO941+EP941</f>
        <v>2094.1999999999998</v>
      </c>
      <c r="EN941" s="245" t="str">
        <f>BC941</f>
        <v>2,094.2</v>
      </c>
      <c r="EO941" s="245"/>
      <c r="EP941" s="245"/>
      <c r="EQ941" s="254"/>
      <c r="ER941" s="240"/>
      <c r="ES941" s="240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193"/>
    </row>
    <row r="942" spans="1:189" s="243" customFormat="1" ht="11.45" hidden="1" customHeight="1">
      <c r="B942" s="244"/>
      <c r="C942" s="240"/>
      <c r="D942" s="240"/>
      <c r="E942" s="240"/>
      <c r="F942" s="240"/>
      <c r="G942" s="240"/>
      <c r="H942" s="240"/>
      <c r="I942" s="240"/>
      <c r="J942" s="240"/>
      <c r="K942" s="240"/>
      <c r="L942" s="297"/>
      <c r="M942" s="297"/>
      <c r="N942" s="297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0"/>
      <c r="AO942" s="240"/>
      <c r="AP942" s="240"/>
      <c r="AQ942" s="240"/>
      <c r="AR942" s="240"/>
      <c r="AS942" s="240"/>
      <c r="AT942" s="240"/>
      <c r="AU942" s="240"/>
      <c r="AV942" s="240"/>
      <c r="AW942" s="240"/>
      <c r="AX942" s="240"/>
      <c r="AY942" s="240"/>
      <c r="AZ942" s="240"/>
      <c r="BA942" s="240"/>
      <c r="BB942" s="240"/>
      <c r="BC942" s="240"/>
      <c r="BD942" s="240"/>
      <c r="BE942" s="240"/>
      <c r="BF942" s="240"/>
      <c r="BG942" s="240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297"/>
      <c r="BT942" s="240"/>
      <c r="BU942" s="240"/>
      <c r="BV942" s="240"/>
      <c r="BW942" s="240"/>
      <c r="BX942" s="240"/>
      <c r="BY942" s="240"/>
      <c r="BZ942" s="240"/>
      <c r="CA942" s="240"/>
      <c r="CB942" s="240"/>
      <c r="CC942" s="240"/>
      <c r="CD942" s="240"/>
      <c r="CE942" s="240"/>
      <c r="CF942" s="240"/>
      <c r="CG942" s="240"/>
      <c r="CH942" s="240"/>
      <c r="CI942" s="240"/>
      <c r="CJ942" s="240"/>
      <c r="CK942" s="240"/>
      <c r="CL942" s="240"/>
      <c r="CM942" s="240"/>
      <c r="CN942" s="240"/>
      <c r="CO942" s="240"/>
      <c r="CP942" s="240"/>
      <c r="CQ942" s="240"/>
      <c r="CR942" s="240"/>
      <c r="CS942" s="240"/>
      <c r="CT942" s="240"/>
      <c r="CU942" s="240"/>
      <c r="CV942" s="240"/>
      <c r="CW942" s="240"/>
      <c r="CX942" s="240"/>
      <c r="CY942" s="240"/>
      <c r="CZ942" s="240"/>
      <c r="DA942" s="240"/>
      <c r="DB942" s="240"/>
      <c r="DC942" s="240"/>
      <c r="DD942" s="240"/>
      <c r="DE942" s="240"/>
      <c r="DF942" s="240"/>
      <c r="DG942" s="240"/>
      <c r="DH942" s="240"/>
      <c r="DI942" s="240"/>
      <c r="DJ942" s="240"/>
      <c r="DK942" s="240"/>
      <c r="DL942" s="240"/>
      <c r="DM942" s="240"/>
      <c r="DN942" s="240"/>
      <c r="DO942" s="240"/>
      <c r="DP942" s="240"/>
      <c r="DQ942" s="240"/>
      <c r="DR942" s="240"/>
      <c r="DS942" s="240"/>
      <c r="DT942" s="240"/>
      <c r="DU942" s="240"/>
      <c r="DV942" s="240"/>
      <c r="DW942" s="240"/>
      <c r="DX942" s="240"/>
      <c r="DY942" s="240"/>
      <c r="DZ942" s="240"/>
      <c r="EA942" s="240"/>
      <c r="EB942" s="240"/>
      <c r="EC942" s="240"/>
      <c r="ED942" s="240"/>
      <c r="EE942" s="240"/>
      <c r="EF942" s="240"/>
      <c r="EG942" s="240"/>
      <c r="EH942" s="240"/>
      <c r="EI942" s="240"/>
      <c r="EJ942" s="240"/>
      <c r="EK942" s="240"/>
      <c r="EL942" s="359"/>
      <c r="EM942" s="245"/>
      <c r="EN942" s="245"/>
      <c r="EO942" s="245"/>
      <c r="EP942" s="245"/>
      <c r="EQ942" s="254"/>
      <c r="ER942" s="240"/>
      <c r="ES942" s="240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193"/>
    </row>
    <row r="943" spans="1:189" s="243" customFormat="1" ht="11.45" hidden="1" customHeight="1">
      <c r="B943" s="244"/>
      <c r="C943" s="240"/>
      <c r="D943" s="240" t="s">
        <v>675</v>
      </c>
      <c r="E943" s="240"/>
      <c r="F943" s="240"/>
      <c r="G943" s="240" t="s">
        <v>733</v>
      </c>
      <c r="H943" s="240"/>
      <c r="I943" s="240"/>
      <c r="J943" s="240" t="s">
        <v>730</v>
      </c>
      <c r="K943" s="240"/>
      <c r="L943" s="297"/>
      <c r="M943" s="297" t="s">
        <v>132</v>
      </c>
      <c r="N943" s="297"/>
      <c r="O943" s="240" t="s">
        <v>691</v>
      </c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 t="s">
        <v>732</v>
      </c>
      <c r="AA943" s="240"/>
      <c r="AB943" s="240"/>
      <c r="AC943" s="240"/>
      <c r="AD943" s="240"/>
      <c r="AE943" s="240"/>
      <c r="AF943" s="240"/>
      <c r="AG943" s="240"/>
      <c r="AH943" s="240"/>
      <c r="AI943" s="240"/>
      <c r="AJ943" s="240"/>
      <c r="AK943" s="240"/>
      <c r="AL943" s="240"/>
      <c r="AM943" s="240"/>
      <c r="AN943" s="240"/>
      <c r="AO943" s="240"/>
      <c r="AP943" s="240"/>
      <c r="AQ943" s="240"/>
      <c r="AR943" s="240"/>
      <c r="AS943" s="240"/>
      <c r="AT943" s="240"/>
      <c r="AU943" s="240"/>
      <c r="AV943" s="240"/>
      <c r="AW943" s="240"/>
      <c r="AX943" s="240"/>
      <c r="AY943" s="240"/>
      <c r="AZ943" s="240"/>
      <c r="BA943" s="240"/>
      <c r="BB943" s="240"/>
      <c r="BC943" s="240"/>
      <c r="BD943" s="240"/>
      <c r="BE943" s="240"/>
      <c r="BF943" s="240"/>
      <c r="BG943" s="240"/>
      <c r="BH943" s="240"/>
      <c r="BI943" s="240"/>
      <c r="BJ943" s="240"/>
      <c r="BK943" s="240"/>
      <c r="BL943" s="240"/>
      <c r="BM943" s="240"/>
      <c r="BN943" s="240"/>
      <c r="BO943" s="240"/>
      <c r="BP943" s="240"/>
      <c r="BQ943" s="240"/>
      <c r="BR943" s="240"/>
      <c r="BS943" s="297"/>
      <c r="BT943" s="240"/>
      <c r="BU943" s="240"/>
      <c r="BV943" s="240"/>
      <c r="BW943" s="240"/>
      <c r="BX943" s="240"/>
      <c r="BY943" s="240"/>
      <c r="BZ943" s="240"/>
      <c r="CA943" s="240"/>
      <c r="CB943" s="240"/>
      <c r="CC943" s="240"/>
      <c r="CD943" s="240"/>
      <c r="CE943" s="240"/>
      <c r="CF943" s="240"/>
      <c r="CG943" s="240"/>
      <c r="CH943" s="240"/>
      <c r="CI943" s="240"/>
      <c r="CJ943" s="240"/>
      <c r="CK943" s="240"/>
      <c r="CL943" s="240"/>
      <c r="CM943" s="240"/>
      <c r="CN943" s="240"/>
      <c r="CO943" s="240"/>
      <c r="CP943" s="240"/>
      <c r="CQ943" s="240"/>
      <c r="CR943" s="240"/>
      <c r="CS943" s="240"/>
      <c r="CT943" s="240"/>
      <c r="CU943" s="240"/>
      <c r="CV943" s="240"/>
      <c r="CW943" s="240"/>
      <c r="CX943" s="240"/>
      <c r="CY943" s="240"/>
      <c r="CZ943" s="240"/>
      <c r="DA943" s="240"/>
      <c r="DB943" s="240"/>
      <c r="DC943" s="240"/>
      <c r="DD943" s="240"/>
      <c r="DE943" s="240"/>
      <c r="DF943" s="240"/>
      <c r="DG943" s="240"/>
      <c r="DH943" s="240"/>
      <c r="DI943" s="240"/>
      <c r="DJ943" s="240"/>
      <c r="DK943" s="240"/>
      <c r="DL943" s="240"/>
      <c r="DM943" s="240"/>
      <c r="DN943" s="240"/>
      <c r="DO943" s="240"/>
      <c r="DP943" s="240"/>
      <c r="DQ943" s="240"/>
      <c r="DR943" s="240"/>
      <c r="DS943" s="240"/>
      <c r="DT943" s="240"/>
      <c r="DU943" s="240"/>
      <c r="DV943" s="240"/>
      <c r="DW943" s="240"/>
      <c r="DX943" s="240"/>
      <c r="DY943" s="240"/>
      <c r="DZ943" s="240"/>
      <c r="EA943" s="240"/>
      <c r="EB943" s="240"/>
      <c r="EC943" s="240"/>
      <c r="ED943" s="240"/>
      <c r="EE943" s="240"/>
      <c r="EF943" s="240"/>
      <c r="EG943" s="240"/>
      <c r="EH943" s="240"/>
      <c r="EI943" s="240"/>
      <c r="EJ943" s="240"/>
      <c r="EK943" s="240"/>
      <c r="EL943" s="359"/>
      <c r="EM943" s="245"/>
      <c r="EN943" s="245"/>
      <c r="EO943" s="245"/>
      <c r="EP943" s="245"/>
      <c r="EQ943" s="254"/>
      <c r="ER943" s="240"/>
      <c r="ES943" s="240"/>
      <c r="ET943" s="241"/>
      <c r="EU943" s="241"/>
      <c r="EV943" s="241"/>
      <c r="EW943" s="241"/>
      <c r="EX943" s="241"/>
      <c r="EY943" s="241"/>
      <c r="EZ943" s="241"/>
      <c r="FA943" s="241"/>
      <c r="FB943" s="241"/>
      <c r="FC943" s="241"/>
      <c r="FD943" s="241"/>
      <c r="FE943" s="241"/>
      <c r="FF943" s="241"/>
      <c r="FG943" s="241"/>
      <c r="FH943" s="241"/>
      <c r="FI943" s="241"/>
      <c r="FJ943" s="241"/>
      <c r="FK943" s="241"/>
      <c r="FL943" s="241"/>
      <c r="FM943" s="241"/>
      <c r="FN943" s="241"/>
      <c r="FO943" s="241"/>
      <c r="FP943" s="241"/>
      <c r="FQ943" s="241"/>
      <c r="FR943" s="241"/>
      <c r="FS943" s="241"/>
      <c r="FT943" s="241"/>
      <c r="FU943" s="241"/>
      <c r="FV943" s="241"/>
      <c r="FW943" s="241"/>
      <c r="FX943" s="241"/>
      <c r="FY943" s="241"/>
      <c r="FZ943" s="241"/>
      <c r="GA943" s="241"/>
      <c r="GB943" s="241"/>
      <c r="GC943" s="241"/>
      <c r="GD943" s="241"/>
      <c r="GE943" s="241"/>
      <c r="GF943" s="241"/>
      <c r="GG943" s="193"/>
    </row>
    <row r="944" spans="1:189" s="243" customFormat="1" ht="11.45" hidden="1" customHeight="1">
      <c r="B944" s="244"/>
      <c r="C944" s="240"/>
      <c r="D944" s="240"/>
      <c r="E944" s="240"/>
      <c r="F944" s="240"/>
      <c r="G944" s="240" t="s">
        <v>616</v>
      </c>
      <c r="H944" s="240"/>
      <c r="I944" s="240"/>
      <c r="J944" s="240"/>
      <c r="K944" s="240"/>
      <c r="L944" s="297"/>
      <c r="M944" s="297" t="s">
        <v>132</v>
      </c>
      <c r="N944" s="297"/>
      <c r="O944" s="1775" t="e">
        <f>토목기계경비!$J$19</f>
        <v>#REF!</v>
      </c>
      <c r="P944" s="1775"/>
      <c r="Q944" s="1775"/>
      <c r="R944" s="1775"/>
      <c r="S944" s="1775"/>
      <c r="T944" s="240"/>
      <c r="U944" s="240" t="s">
        <v>683</v>
      </c>
      <c r="V944" s="240"/>
      <c r="W944" s="240"/>
      <c r="X944" s="240" t="str">
        <f>TEXT(AZ937,"#,##0.#######")</f>
        <v>18.75</v>
      </c>
      <c r="Y944" s="240"/>
      <c r="Z944" s="240"/>
      <c r="AA944" s="240"/>
      <c r="AB944" s="240"/>
      <c r="AC944" s="240" t="s">
        <v>134</v>
      </c>
      <c r="AD944" s="240"/>
      <c r="AE944" s="240" t="e">
        <f>TEXT(TRUNC(O944/AZ937,1),"#,##0.#")</f>
        <v>#REF!</v>
      </c>
      <c r="AM944" s="240"/>
      <c r="AN944" s="240"/>
      <c r="AO944" s="240"/>
      <c r="AP944" s="240"/>
      <c r="AQ944" s="240"/>
      <c r="AR944" s="240"/>
      <c r="AS944" s="240"/>
      <c r="AT944" s="240"/>
      <c r="AU944" s="240"/>
      <c r="AV944" s="240"/>
      <c r="AW944" s="240"/>
      <c r="AX944" s="240"/>
      <c r="AY944" s="240"/>
      <c r="AZ944" s="240"/>
      <c r="BA944" s="240"/>
      <c r="BB944" s="240"/>
      <c r="BC944" s="240"/>
      <c r="BD944" s="240"/>
      <c r="BE944" s="240"/>
      <c r="BF944" s="240"/>
      <c r="BG944" s="240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297"/>
      <c r="BT944" s="240"/>
      <c r="BU944" s="240"/>
      <c r="BV944" s="240"/>
      <c r="BW944" s="240"/>
      <c r="BX944" s="240"/>
      <c r="BY944" s="240"/>
      <c r="BZ944" s="240"/>
      <c r="CA944" s="240"/>
      <c r="CB944" s="240"/>
      <c r="CC944" s="240"/>
      <c r="CD944" s="240"/>
      <c r="CE944" s="240"/>
      <c r="CF944" s="240"/>
      <c r="CG944" s="240"/>
      <c r="CH944" s="240"/>
      <c r="CI944" s="240"/>
      <c r="CJ944" s="240"/>
      <c r="CK944" s="240"/>
      <c r="CL944" s="240"/>
      <c r="CM944" s="240"/>
      <c r="CN944" s="240"/>
      <c r="CO944" s="240"/>
      <c r="CP944" s="240"/>
      <c r="CQ944" s="240"/>
      <c r="CR944" s="240"/>
      <c r="CS944" s="240"/>
      <c r="CT944" s="240"/>
      <c r="CU944" s="240"/>
      <c r="CV944" s="240"/>
      <c r="CW944" s="240"/>
      <c r="CX944" s="240"/>
      <c r="CY944" s="240"/>
      <c r="CZ944" s="240"/>
      <c r="DA944" s="240"/>
      <c r="DB944" s="240"/>
      <c r="DC944" s="240"/>
      <c r="DD944" s="240"/>
      <c r="DE944" s="240"/>
      <c r="DF944" s="240"/>
      <c r="DG944" s="240"/>
      <c r="DH944" s="240"/>
      <c r="DI944" s="240"/>
      <c r="DJ944" s="240"/>
      <c r="DK944" s="240"/>
      <c r="DL944" s="240"/>
      <c r="DM944" s="240"/>
      <c r="DN944" s="240"/>
      <c r="DO944" s="240"/>
      <c r="DP944" s="240"/>
      <c r="DQ944" s="240"/>
      <c r="DR944" s="240"/>
      <c r="DS944" s="240"/>
      <c r="DT944" s="240"/>
      <c r="DU944" s="240"/>
      <c r="DV944" s="240"/>
      <c r="DW944" s="240"/>
      <c r="DX944" s="240"/>
      <c r="DY944" s="240"/>
      <c r="DZ944" s="240"/>
      <c r="EA944" s="240"/>
      <c r="EB944" s="240"/>
      <c r="EC944" s="240"/>
      <c r="ED944" s="240"/>
      <c r="EE944" s="240"/>
      <c r="EF944" s="240"/>
      <c r="EG944" s="240"/>
      <c r="EH944" s="240"/>
      <c r="EI944" s="240"/>
      <c r="EJ944" s="240"/>
      <c r="EK944" s="240"/>
      <c r="EL944" s="359"/>
      <c r="EM944" s="245"/>
      <c r="EN944" s="245"/>
      <c r="EO944" s="245"/>
      <c r="EP944" s="245"/>
      <c r="EQ944" s="254"/>
      <c r="ER944" s="240"/>
      <c r="ES944" s="240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193"/>
    </row>
    <row r="945" spans="2:189" s="243" customFormat="1" ht="11.45" hidden="1" customHeight="1">
      <c r="B945" s="244"/>
      <c r="C945" s="240"/>
      <c r="D945" s="240"/>
      <c r="E945" s="240"/>
      <c r="F945" s="240"/>
      <c r="G945" s="240" t="s">
        <v>617</v>
      </c>
      <c r="H945" s="240"/>
      <c r="I945" s="240"/>
      <c r="J945" s="240"/>
      <c r="K945" s="240"/>
      <c r="L945" s="297"/>
      <c r="M945" s="297" t="s">
        <v>132</v>
      </c>
      <c r="N945" s="297"/>
      <c r="O945" s="1775" t="e">
        <f>토목기계경비!$K$19</f>
        <v>#REF!</v>
      </c>
      <c r="P945" s="1775"/>
      <c r="Q945" s="1775"/>
      <c r="R945" s="1775"/>
      <c r="S945" s="1775"/>
      <c r="T945" s="240"/>
      <c r="U945" s="240" t="s">
        <v>683</v>
      </c>
      <c r="V945" s="240"/>
      <c r="W945" s="240"/>
      <c r="X945" s="240" t="str">
        <f>TEXT(AZ937,"#,##0.#######")</f>
        <v>18.75</v>
      </c>
      <c r="Y945" s="240"/>
      <c r="Z945" s="240"/>
      <c r="AA945" s="240"/>
      <c r="AB945" s="240"/>
      <c r="AC945" s="240" t="s">
        <v>134</v>
      </c>
      <c r="AD945" s="240"/>
      <c r="AE945" s="240" t="e">
        <f>TEXT(TRUNC(O945/AZ937,1),"#,##0.#")</f>
        <v>#REF!</v>
      </c>
      <c r="AM945" s="240"/>
      <c r="AN945" s="240"/>
      <c r="AO945" s="240"/>
      <c r="AP945" s="240"/>
      <c r="AQ945" s="240"/>
      <c r="AR945" s="240"/>
      <c r="AS945" s="240"/>
      <c r="AT945" s="240"/>
      <c r="AU945" s="240"/>
      <c r="AV945" s="240"/>
      <c r="AW945" s="240"/>
      <c r="AX945" s="240"/>
      <c r="AY945" s="240"/>
      <c r="AZ945" s="240"/>
      <c r="BA945" s="240"/>
      <c r="BB945" s="240"/>
      <c r="BC945" s="240"/>
      <c r="BD945" s="240"/>
      <c r="BE945" s="240"/>
      <c r="BF945" s="240"/>
      <c r="BG945" s="240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297"/>
      <c r="BT945" s="240"/>
      <c r="BU945" s="240"/>
      <c r="BV945" s="240"/>
      <c r="BW945" s="240"/>
      <c r="BX945" s="240"/>
      <c r="BY945" s="240"/>
      <c r="BZ945" s="240"/>
      <c r="CA945" s="240"/>
      <c r="CB945" s="240"/>
      <c r="CC945" s="240"/>
      <c r="CD945" s="240"/>
      <c r="CE945" s="240"/>
      <c r="CF945" s="240"/>
      <c r="CG945" s="240"/>
      <c r="CH945" s="240"/>
      <c r="CI945" s="240"/>
      <c r="CJ945" s="240"/>
      <c r="CK945" s="240"/>
      <c r="CL945" s="240"/>
      <c r="CM945" s="240"/>
      <c r="CN945" s="240"/>
      <c r="CO945" s="240"/>
      <c r="CP945" s="240"/>
      <c r="CQ945" s="240"/>
      <c r="CR945" s="240"/>
      <c r="CS945" s="240"/>
      <c r="CT945" s="240"/>
      <c r="CU945" s="240"/>
      <c r="CV945" s="240"/>
      <c r="CW945" s="240"/>
      <c r="CX945" s="240"/>
      <c r="CY945" s="240"/>
      <c r="CZ945" s="240"/>
      <c r="DA945" s="240"/>
      <c r="DB945" s="240"/>
      <c r="DC945" s="240"/>
      <c r="DD945" s="240"/>
      <c r="DE945" s="240"/>
      <c r="DF945" s="240"/>
      <c r="DG945" s="240"/>
      <c r="DH945" s="240"/>
      <c r="DI945" s="240"/>
      <c r="DJ945" s="240"/>
      <c r="DK945" s="240"/>
      <c r="DL945" s="240"/>
      <c r="DM945" s="240"/>
      <c r="DN945" s="240"/>
      <c r="DO945" s="240"/>
      <c r="DP945" s="240"/>
      <c r="DQ945" s="240"/>
      <c r="DR945" s="240"/>
      <c r="DS945" s="240"/>
      <c r="DT945" s="240"/>
      <c r="DU945" s="240"/>
      <c r="DV945" s="240"/>
      <c r="DW945" s="240"/>
      <c r="DX945" s="240"/>
      <c r="DY945" s="240"/>
      <c r="DZ945" s="240"/>
      <c r="EA945" s="240"/>
      <c r="EB945" s="240"/>
      <c r="EC945" s="240"/>
      <c r="ED945" s="240"/>
      <c r="EE945" s="240"/>
      <c r="EF945" s="240"/>
      <c r="EG945" s="240"/>
      <c r="EH945" s="240"/>
      <c r="EI945" s="240"/>
      <c r="EJ945" s="240"/>
      <c r="EK945" s="240"/>
      <c r="EL945" s="359"/>
      <c r="EM945" s="245"/>
      <c r="EN945" s="245"/>
      <c r="EO945" s="245"/>
      <c r="EP945" s="245"/>
      <c r="EQ945" s="254"/>
      <c r="ER945" s="240"/>
      <c r="ES945" s="240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193"/>
    </row>
    <row r="946" spans="2:189" s="243" customFormat="1" ht="11.45" hidden="1" customHeight="1">
      <c r="B946" s="244"/>
      <c r="C946" s="240"/>
      <c r="D946" s="240"/>
      <c r="E946" s="240"/>
      <c r="F946" s="240"/>
      <c r="G946" s="240" t="s">
        <v>679</v>
      </c>
      <c r="H946" s="240"/>
      <c r="I946" s="240" t="s">
        <v>680</v>
      </c>
      <c r="J946" s="240"/>
      <c r="K946" s="240"/>
      <c r="L946" s="297"/>
      <c r="M946" s="297" t="s">
        <v>132</v>
      </c>
      <c r="N946" s="297"/>
      <c r="O946" s="1775">
        <f>토목기계경비!$L$19</f>
        <v>20718</v>
      </c>
      <c r="P946" s="1775"/>
      <c r="Q946" s="1775"/>
      <c r="R946" s="1775"/>
      <c r="S946" s="1775"/>
      <c r="T946" s="240"/>
      <c r="U946" s="240" t="s">
        <v>683</v>
      </c>
      <c r="V946" s="240"/>
      <c r="W946" s="240"/>
      <c r="X946" s="240" t="str">
        <f>TEXT(AZ937,"#,##0.#######")</f>
        <v>18.75</v>
      </c>
      <c r="Y946" s="240"/>
      <c r="Z946" s="240"/>
      <c r="AA946" s="240"/>
      <c r="AB946" s="240"/>
      <c r="AC946" s="240" t="s">
        <v>134</v>
      </c>
      <c r="AD946" s="240"/>
      <c r="AE946" s="240" t="str">
        <f>TEXT(TRUNC(O946/AZ937,1),"#,##0.#")</f>
        <v>1,104.9</v>
      </c>
      <c r="AM946" s="240"/>
      <c r="AO946" s="240"/>
      <c r="AP946" s="240"/>
      <c r="AQ946" s="240"/>
      <c r="AR946" s="240"/>
      <c r="AS946" s="240"/>
      <c r="AT946" s="240"/>
      <c r="AU946" s="240"/>
      <c r="AV946" s="240"/>
      <c r="AW946" s="240"/>
      <c r="AX946" s="240"/>
      <c r="AY946" s="240"/>
      <c r="AZ946" s="240"/>
      <c r="BA946" s="240"/>
      <c r="BB946" s="240"/>
      <c r="BC946" s="240"/>
      <c r="BD946" s="240"/>
      <c r="BE946" s="240"/>
      <c r="BF946" s="240"/>
      <c r="BG946" s="240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297"/>
      <c r="BT946" s="240"/>
      <c r="BU946" s="240"/>
      <c r="BV946" s="240"/>
      <c r="BW946" s="240"/>
      <c r="BX946" s="240"/>
      <c r="BY946" s="240"/>
      <c r="BZ946" s="240"/>
      <c r="CA946" s="240"/>
      <c r="CB946" s="240"/>
      <c r="CC946" s="240"/>
      <c r="CD946" s="240"/>
      <c r="CE946" s="240"/>
      <c r="CF946" s="240"/>
      <c r="CG946" s="240"/>
      <c r="CH946" s="240"/>
      <c r="CI946" s="240"/>
      <c r="CJ946" s="240"/>
      <c r="CK946" s="240"/>
      <c r="CL946" s="240"/>
      <c r="CM946" s="240"/>
      <c r="CN946" s="240"/>
      <c r="CO946" s="240"/>
      <c r="CP946" s="240"/>
      <c r="CQ946" s="240"/>
      <c r="CR946" s="240"/>
      <c r="CS946" s="240"/>
      <c r="CT946" s="240"/>
      <c r="CU946" s="240"/>
      <c r="CV946" s="240"/>
      <c r="CW946" s="240"/>
      <c r="CX946" s="240"/>
      <c r="CY946" s="240"/>
      <c r="CZ946" s="240"/>
      <c r="DA946" s="240"/>
      <c r="DB946" s="240"/>
      <c r="DC946" s="240"/>
      <c r="DD946" s="240"/>
      <c r="DE946" s="240"/>
      <c r="DF946" s="240"/>
      <c r="DG946" s="240"/>
      <c r="DH946" s="240"/>
      <c r="DI946" s="240"/>
      <c r="DJ946" s="240"/>
      <c r="DK946" s="240"/>
      <c r="DL946" s="240"/>
      <c r="DM946" s="240"/>
      <c r="DN946" s="240"/>
      <c r="DO946" s="240"/>
      <c r="DP946" s="240"/>
      <c r="DQ946" s="240"/>
      <c r="DR946" s="240"/>
      <c r="DS946" s="240"/>
      <c r="DT946" s="240"/>
      <c r="DU946" s="240"/>
      <c r="DV946" s="240"/>
      <c r="DW946" s="240"/>
      <c r="DX946" s="240"/>
      <c r="DY946" s="240"/>
      <c r="DZ946" s="240"/>
      <c r="EA946" s="240"/>
      <c r="EB946" s="240"/>
      <c r="EC946" s="240"/>
      <c r="ED946" s="240"/>
      <c r="EE946" s="240"/>
      <c r="EF946" s="240"/>
      <c r="EG946" s="240"/>
      <c r="EH946" s="240"/>
      <c r="EI946" s="240"/>
      <c r="EJ946" s="240"/>
      <c r="EK946" s="240"/>
      <c r="EL946" s="359"/>
      <c r="EM946" s="245"/>
      <c r="EN946" s="245"/>
      <c r="EO946" s="245"/>
      <c r="EP946" s="245"/>
      <c r="EQ946" s="254"/>
      <c r="ER946" s="240"/>
      <c r="ES946" s="240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193"/>
    </row>
    <row r="947" spans="2:189" s="243" customFormat="1" ht="11.45" hidden="1" customHeight="1">
      <c r="B947" s="244"/>
      <c r="C947" s="240"/>
      <c r="D947" s="240"/>
      <c r="E947" s="240"/>
      <c r="F947" s="240"/>
      <c r="G947" s="240" t="s">
        <v>688</v>
      </c>
      <c r="H947" s="240"/>
      <c r="I947" s="240" t="s">
        <v>96</v>
      </c>
      <c r="J947" s="240"/>
      <c r="K947" s="240"/>
      <c r="L947" s="297"/>
      <c r="M947" s="297" t="s">
        <v>132</v>
      </c>
      <c r="N947" s="297"/>
      <c r="O947" s="240" t="e">
        <f>TEXT(AE944+AE945+AE946,"#,##0.#######")</f>
        <v>#REF!</v>
      </c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I947" s="240"/>
      <c r="AJ947" s="240"/>
      <c r="AK947" s="240"/>
      <c r="AL947" s="240"/>
      <c r="AM947" s="240"/>
      <c r="AN947" s="240"/>
      <c r="AO947" s="240"/>
      <c r="AP947" s="240"/>
      <c r="AQ947" s="240"/>
      <c r="AR947" s="240"/>
      <c r="AS947" s="240"/>
      <c r="AT947" s="240"/>
      <c r="AU947" s="240"/>
      <c r="AV947" s="240"/>
      <c r="AW947" s="240"/>
      <c r="AX947" s="240"/>
      <c r="AY947" s="240"/>
      <c r="AZ947" s="240"/>
      <c r="BA947" s="240"/>
      <c r="BB947" s="240"/>
      <c r="BC947" s="240"/>
      <c r="BD947" s="240"/>
      <c r="BE947" s="240"/>
      <c r="BF947" s="240"/>
      <c r="BG947" s="240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297"/>
      <c r="BT947" s="240"/>
      <c r="BU947" s="240"/>
      <c r="BV947" s="240"/>
      <c r="BW947" s="240"/>
      <c r="BX947" s="240"/>
      <c r="BY947" s="240"/>
      <c r="BZ947" s="240"/>
      <c r="CA947" s="240"/>
      <c r="CB947" s="240"/>
      <c r="CC947" s="240"/>
      <c r="CD947" s="240"/>
      <c r="CE947" s="240"/>
      <c r="CF947" s="240"/>
      <c r="CG947" s="240"/>
      <c r="CH947" s="240"/>
      <c r="CI947" s="240"/>
      <c r="CJ947" s="240"/>
      <c r="CK947" s="240"/>
      <c r="CL947" s="240"/>
      <c r="CM947" s="240"/>
      <c r="CN947" s="240"/>
      <c r="CO947" s="240"/>
      <c r="CP947" s="240"/>
      <c r="CQ947" s="240"/>
      <c r="CR947" s="240"/>
      <c r="CS947" s="240"/>
      <c r="CT947" s="240"/>
      <c r="CU947" s="240"/>
      <c r="CV947" s="240"/>
      <c r="CW947" s="240"/>
      <c r="CX947" s="240"/>
      <c r="CY947" s="240"/>
      <c r="CZ947" s="240"/>
      <c r="DA947" s="240"/>
      <c r="DB947" s="240"/>
      <c r="DC947" s="240"/>
      <c r="DD947" s="240"/>
      <c r="DE947" s="240"/>
      <c r="DF947" s="240"/>
      <c r="DG947" s="240"/>
      <c r="DH947" s="240"/>
      <c r="DI947" s="240"/>
      <c r="DJ947" s="240"/>
      <c r="DK947" s="240"/>
      <c r="DL947" s="240"/>
      <c r="DM947" s="240"/>
      <c r="DN947" s="240"/>
      <c r="DO947" s="240"/>
      <c r="DP947" s="240"/>
      <c r="DQ947" s="240"/>
      <c r="DR947" s="240"/>
      <c r="DS947" s="240"/>
      <c r="DT947" s="240"/>
      <c r="DU947" s="240"/>
      <c r="DV947" s="240"/>
      <c r="DW947" s="240"/>
      <c r="DX947" s="240"/>
      <c r="DY947" s="240"/>
      <c r="DZ947" s="240"/>
      <c r="EA947" s="240"/>
      <c r="EB947" s="240"/>
      <c r="EC947" s="240"/>
      <c r="ED947" s="240"/>
      <c r="EE947" s="240"/>
      <c r="EF947" s="240"/>
      <c r="EG947" s="240"/>
      <c r="EH947" s="240"/>
      <c r="EI947" s="240"/>
      <c r="EJ947" s="240"/>
      <c r="EK947" s="240"/>
      <c r="EL947" s="359"/>
      <c r="EM947" s="245" t="e">
        <f>EN947+EO947+EP947</f>
        <v>#REF!</v>
      </c>
      <c r="EN947" s="245" t="e">
        <f>TEXT(AE944,"#,###.0")</f>
        <v>#REF!</v>
      </c>
      <c r="EO947" s="245" t="e">
        <f>TEXT(AE945,"#,###.0")</f>
        <v>#REF!</v>
      </c>
      <c r="EP947" s="245" t="str">
        <f>TEXT(AE946,"#,###.0")</f>
        <v>1,104.9</v>
      </c>
      <c r="EQ947" s="254"/>
      <c r="ER947" s="240"/>
      <c r="ES947" s="240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193"/>
    </row>
    <row r="948" spans="2:189" s="243" customFormat="1" ht="11.45" hidden="1" customHeight="1">
      <c r="B948" s="244"/>
      <c r="C948" s="240"/>
      <c r="D948" s="240"/>
      <c r="E948" s="240"/>
      <c r="F948" s="240"/>
      <c r="G948" s="240"/>
      <c r="H948" s="240"/>
      <c r="I948" s="240"/>
      <c r="J948" s="240"/>
      <c r="K948" s="240"/>
      <c r="L948" s="297"/>
      <c r="M948" s="297"/>
      <c r="N948" s="297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  <c r="AA948" s="240"/>
      <c r="AB948" s="240"/>
      <c r="AC948" s="240"/>
      <c r="AD948" s="240"/>
      <c r="AE948" s="240"/>
      <c r="AF948" s="240"/>
      <c r="AG948" s="240"/>
      <c r="AH948" s="240"/>
      <c r="AI948" s="240"/>
      <c r="AJ948" s="240"/>
      <c r="AK948" s="240"/>
      <c r="AL948" s="240"/>
      <c r="AM948" s="240"/>
      <c r="AN948" s="240"/>
      <c r="AO948" s="240"/>
      <c r="AP948" s="240"/>
      <c r="AQ948" s="240"/>
      <c r="AR948" s="240"/>
      <c r="AS948" s="240"/>
      <c r="AT948" s="240"/>
      <c r="AU948" s="240"/>
      <c r="AV948" s="240"/>
      <c r="AW948" s="240"/>
      <c r="AX948" s="240"/>
      <c r="AY948" s="240"/>
      <c r="AZ948" s="240"/>
      <c r="BA948" s="240"/>
      <c r="BB948" s="240"/>
      <c r="BC948" s="240"/>
      <c r="BD948" s="240"/>
      <c r="BE948" s="240"/>
      <c r="BF948" s="240"/>
      <c r="BG948" s="240"/>
      <c r="BH948" s="240"/>
      <c r="BI948" s="240"/>
      <c r="BJ948" s="240"/>
      <c r="BK948" s="240"/>
      <c r="BL948" s="240"/>
      <c r="BM948" s="240"/>
      <c r="BN948" s="240"/>
      <c r="BO948" s="240"/>
      <c r="BP948" s="240"/>
      <c r="BQ948" s="240"/>
      <c r="BR948" s="240"/>
      <c r="BS948" s="297"/>
      <c r="BT948" s="240"/>
      <c r="BU948" s="240"/>
      <c r="BV948" s="240"/>
      <c r="BW948" s="240"/>
      <c r="BX948" s="240"/>
      <c r="BY948" s="240"/>
      <c r="BZ948" s="240"/>
      <c r="CA948" s="240"/>
      <c r="CB948" s="240"/>
      <c r="CC948" s="240"/>
      <c r="CD948" s="240"/>
      <c r="CE948" s="240"/>
      <c r="CF948" s="240"/>
      <c r="CG948" s="240"/>
      <c r="CH948" s="240"/>
      <c r="CI948" s="240"/>
      <c r="CJ948" s="240"/>
      <c r="CK948" s="240"/>
      <c r="CL948" s="240"/>
      <c r="CM948" s="240"/>
      <c r="CN948" s="240"/>
      <c r="CO948" s="240"/>
      <c r="CP948" s="240"/>
      <c r="CQ948" s="240"/>
      <c r="CR948" s="240"/>
      <c r="CS948" s="240"/>
      <c r="CT948" s="240"/>
      <c r="CU948" s="240"/>
      <c r="CV948" s="240"/>
      <c r="CW948" s="240"/>
      <c r="CX948" s="240"/>
      <c r="CY948" s="240"/>
      <c r="CZ948" s="240"/>
      <c r="DA948" s="240"/>
      <c r="DB948" s="240"/>
      <c r="DC948" s="240"/>
      <c r="DD948" s="240"/>
      <c r="DE948" s="240"/>
      <c r="DF948" s="240"/>
      <c r="DG948" s="240"/>
      <c r="DH948" s="240"/>
      <c r="DI948" s="240"/>
      <c r="DJ948" s="240"/>
      <c r="DK948" s="240"/>
      <c r="DL948" s="240"/>
      <c r="DM948" s="240"/>
      <c r="DN948" s="240"/>
      <c r="DO948" s="240"/>
      <c r="DP948" s="240"/>
      <c r="DQ948" s="240"/>
      <c r="DR948" s="240"/>
      <c r="DS948" s="240"/>
      <c r="DT948" s="240"/>
      <c r="DU948" s="240"/>
      <c r="DV948" s="240"/>
      <c r="DW948" s="240"/>
      <c r="DX948" s="240"/>
      <c r="DY948" s="240"/>
      <c r="DZ948" s="240"/>
      <c r="EA948" s="240"/>
      <c r="EB948" s="240"/>
      <c r="EC948" s="240"/>
      <c r="ED948" s="240"/>
      <c r="EE948" s="240"/>
      <c r="EF948" s="240"/>
      <c r="EG948" s="240"/>
      <c r="EH948" s="240"/>
      <c r="EI948" s="240"/>
      <c r="EJ948" s="240"/>
      <c r="EK948" s="240"/>
      <c r="EL948" s="359"/>
      <c r="EM948" s="245"/>
      <c r="EN948" s="245"/>
      <c r="EO948" s="245"/>
      <c r="EP948" s="245"/>
      <c r="EQ948" s="254"/>
      <c r="ER948" s="240"/>
      <c r="ES948" s="240"/>
      <c r="ET948" s="241"/>
      <c r="EU948" s="241"/>
      <c r="EV948" s="241"/>
      <c r="EW948" s="241"/>
      <c r="EX948" s="241"/>
      <c r="EY948" s="241"/>
      <c r="EZ948" s="241"/>
      <c r="FA948" s="241"/>
      <c r="FB948" s="241"/>
      <c r="FC948" s="241"/>
      <c r="FD948" s="241"/>
      <c r="FE948" s="241"/>
      <c r="FF948" s="241"/>
      <c r="FG948" s="241"/>
      <c r="FH948" s="241"/>
      <c r="FI948" s="241"/>
      <c r="FJ948" s="241"/>
      <c r="FK948" s="241"/>
      <c r="FL948" s="241"/>
      <c r="FM948" s="241"/>
      <c r="FN948" s="241"/>
      <c r="FO948" s="241"/>
      <c r="FP948" s="241"/>
      <c r="FQ948" s="241"/>
      <c r="FR948" s="241"/>
      <c r="FS948" s="241"/>
      <c r="FT948" s="241"/>
      <c r="FU948" s="241"/>
      <c r="FV948" s="241"/>
      <c r="FW948" s="241"/>
      <c r="FX948" s="241"/>
      <c r="FY948" s="241"/>
      <c r="FZ948" s="241"/>
      <c r="GA948" s="241"/>
      <c r="GB948" s="241"/>
      <c r="GC948" s="241"/>
      <c r="GD948" s="241"/>
      <c r="GE948" s="241"/>
      <c r="GF948" s="241"/>
      <c r="GG948" s="193"/>
    </row>
    <row r="949" spans="2:189" s="243" customFormat="1" ht="11.45" hidden="1" customHeight="1">
      <c r="B949" s="244"/>
      <c r="C949" s="240"/>
      <c r="D949" s="240" t="s">
        <v>677</v>
      </c>
      <c r="E949" s="240"/>
      <c r="F949" s="240"/>
      <c r="G949" s="240" t="s">
        <v>734</v>
      </c>
      <c r="H949" s="240"/>
      <c r="I949" s="240"/>
      <c r="J949" s="240" t="s">
        <v>729</v>
      </c>
      <c r="K949" s="240"/>
      <c r="L949" s="297"/>
      <c r="M949" s="297" t="s">
        <v>132</v>
      </c>
      <c r="N949" s="297"/>
      <c r="O949" s="240" t="s">
        <v>708</v>
      </c>
      <c r="P949" s="240"/>
      <c r="Q949" s="240"/>
      <c r="R949" s="240"/>
      <c r="S949" s="240"/>
      <c r="T949" s="240" t="s">
        <v>709</v>
      </c>
      <c r="U949" s="240"/>
      <c r="V949" s="240"/>
      <c r="W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  <c r="AP949" s="240"/>
      <c r="AQ949" s="240"/>
      <c r="AR949" s="240"/>
      <c r="AS949" s="240"/>
      <c r="AT949" s="240"/>
      <c r="AU949" s="240"/>
      <c r="AV949" s="240"/>
      <c r="AW949" s="240"/>
      <c r="AX949" s="240"/>
      <c r="AY949" s="240"/>
      <c r="AZ949" s="240"/>
      <c r="BA949" s="240"/>
      <c r="BB949" s="240"/>
      <c r="BC949" s="240"/>
      <c r="BD949" s="240"/>
      <c r="BE949" s="240"/>
      <c r="BF949" s="240"/>
      <c r="BG949" s="240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297"/>
      <c r="BT949" s="240"/>
      <c r="BU949" s="240"/>
      <c r="BV949" s="240"/>
      <c r="BW949" s="240"/>
      <c r="BX949" s="240"/>
      <c r="BY949" s="240"/>
      <c r="BZ949" s="240"/>
      <c r="CA949" s="240"/>
      <c r="CB949" s="240"/>
      <c r="CC949" s="240"/>
      <c r="CD949" s="240"/>
      <c r="CE949" s="240"/>
      <c r="CF949" s="240"/>
      <c r="CG949" s="240"/>
      <c r="CH949" s="240"/>
      <c r="CI949" s="240"/>
      <c r="CJ949" s="240"/>
      <c r="CK949" s="240"/>
      <c r="CL949" s="240"/>
      <c r="CM949" s="240"/>
      <c r="CN949" s="240"/>
      <c r="CO949" s="240"/>
      <c r="CP949" s="240"/>
      <c r="CQ949" s="240"/>
      <c r="CR949" s="240"/>
      <c r="CS949" s="240"/>
      <c r="CT949" s="240"/>
      <c r="CU949" s="240"/>
      <c r="CV949" s="240"/>
      <c r="CW949" s="240"/>
      <c r="CX949" s="240"/>
      <c r="CY949" s="240"/>
      <c r="CZ949" s="240"/>
      <c r="DA949" s="240"/>
      <c r="DB949" s="240"/>
      <c r="DC949" s="240"/>
      <c r="DD949" s="240"/>
      <c r="DE949" s="240"/>
      <c r="DF949" s="240"/>
      <c r="DG949" s="240"/>
      <c r="DH949" s="240"/>
      <c r="DI949" s="240"/>
      <c r="DJ949" s="240"/>
      <c r="DK949" s="240"/>
      <c r="DL949" s="240"/>
      <c r="DM949" s="240"/>
      <c r="DN949" s="240"/>
      <c r="DO949" s="240"/>
      <c r="DP949" s="240"/>
      <c r="DQ949" s="240"/>
      <c r="DR949" s="240"/>
      <c r="DS949" s="240"/>
      <c r="DT949" s="240"/>
      <c r="DU949" s="240"/>
      <c r="DV949" s="240"/>
      <c r="DW949" s="240"/>
      <c r="DX949" s="240"/>
      <c r="DY949" s="240"/>
      <c r="DZ949" s="240"/>
      <c r="EA949" s="240"/>
      <c r="EB949" s="240"/>
      <c r="EC949" s="240"/>
      <c r="ED949" s="240"/>
      <c r="EE949" s="240"/>
      <c r="EF949" s="240"/>
      <c r="EG949" s="240"/>
      <c r="EH949" s="240"/>
      <c r="EI949" s="240"/>
      <c r="EJ949" s="240"/>
      <c r="EK949" s="240"/>
      <c r="EL949" s="359"/>
      <c r="EM949" s="245"/>
      <c r="EN949" s="245"/>
      <c r="EO949" s="245"/>
      <c r="EP949" s="245"/>
      <c r="EQ949" s="254"/>
      <c r="ER949" s="240"/>
      <c r="ES949" s="240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193"/>
    </row>
    <row r="950" spans="2:189" s="243" customFormat="1" ht="11.45" hidden="1" customHeight="1">
      <c r="B950" s="244"/>
      <c r="C950" s="240"/>
      <c r="D950" s="240"/>
      <c r="E950" s="240"/>
      <c r="F950" s="240"/>
      <c r="G950" s="240" t="s">
        <v>616</v>
      </c>
      <c r="H950" s="240"/>
      <c r="I950" s="240"/>
      <c r="J950" s="240"/>
      <c r="K950" s="240"/>
      <c r="L950" s="297"/>
      <c r="M950" s="297" t="s">
        <v>132</v>
      </c>
      <c r="N950" s="297"/>
      <c r="O950" s="1775" t="e">
        <f>토목기계경비!$J$112</f>
        <v>#REF!</v>
      </c>
      <c r="P950" s="1775"/>
      <c r="Q950" s="1775"/>
      <c r="R950" s="1775"/>
      <c r="S950" s="1775"/>
      <c r="T950" s="240"/>
      <c r="U950" s="240" t="s">
        <v>683</v>
      </c>
      <c r="V950" s="240"/>
      <c r="W950" s="240"/>
      <c r="X950" s="240" t="str">
        <f>TEXT(AZ937,"#,##0.#######")</f>
        <v>18.75</v>
      </c>
      <c r="AB950" s="240" t="s">
        <v>1338</v>
      </c>
      <c r="AC950" s="240"/>
      <c r="AD950" s="240" t="str">
        <f>TEXT(0.5,"#,##0.#######")</f>
        <v>0.5</v>
      </c>
      <c r="AE950" s="240"/>
      <c r="AF950" s="240" t="s">
        <v>556</v>
      </c>
      <c r="AH950" s="240" t="s">
        <v>134</v>
      </c>
      <c r="AI950" s="240"/>
      <c r="AJ950" s="240" t="e">
        <f>TEXT(TRUNC(O950/AZ937*AD950,1),"#,##0.#")</f>
        <v>#REF!</v>
      </c>
      <c r="AK950" s="240"/>
      <c r="AL950" s="240"/>
      <c r="AM950" s="240"/>
      <c r="AN950" s="240"/>
      <c r="AQ950" s="240"/>
      <c r="AR950" s="240"/>
      <c r="AS950" s="240"/>
      <c r="AT950" s="240"/>
      <c r="AU950" s="240"/>
      <c r="AV950" s="240"/>
      <c r="AX950" s="240"/>
      <c r="AY950" s="240"/>
      <c r="AZ950" s="240"/>
      <c r="BA950" s="240"/>
      <c r="BB950" s="240"/>
      <c r="BC950" s="240"/>
      <c r="BD950" s="240"/>
      <c r="BE950" s="240"/>
      <c r="BF950" s="240"/>
      <c r="BG950" s="240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297"/>
      <c r="BT950" s="240"/>
      <c r="BU950" s="240"/>
      <c r="BV950" s="240"/>
      <c r="BW950" s="240"/>
      <c r="BX950" s="240"/>
      <c r="BY950" s="240"/>
      <c r="BZ950" s="240"/>
      <c r="CA950" s="240"/>
      <c r="CB950" s="240"/>
      <c r="CC950" s="240"/>
      <c r="CD950" s="240"/>
      <c r="CE950" s="240"/>
      <c r="CF950" s="240"/>
      <c r="CG950" s="240"/>
      <c r="CH950" s="240"/>
      <c r="CI950" s="240"/>
      <c r="CJ950" s="240"/>
      <c r="CK950" s="240"/>
      <c r="CL950" s="240"/>
      <c r="CM950" s="240"/>
      <c r="CN950" s="240"/>
      <c r="CO950" s="240"/>
      <c r="CP950" s="240"/>
      <c r="CQ950" s="240"/>
      <c r="CR950" s="240"/>
      <c r="CS950" s="240"/>
      <c r="CT950" s="240"/>
      <c r="CU950" s="240"/>
      <c r="CV950" s="240"/>
      <c r="CW950" s="240"/>
      <c r="CX950" s="240"/>
      <c r="CY950" s="240"/>
      <c r="CZ950" s="240"/>
      <c r="DA950" s="240"/>
      <c r="DB950" s="240"/>
      <c r="DC950" s="240"/>
      <c r="DD950" s="240"/>
      <c r="DE950" s="240"/>
      <c r="DF950" s="240"/>
      <c r="DG950" s="240"/>
      <c r="DH950" s="240"/>
      <c r="DI950" s="240"/>
      <c r="DJ950" s="240"/>
      <c r="DK950" s="240"/>
      <c r="DL950" s="240"/>
      <c r="DM950" s="240"/>
      <c r="DN950" s="240"/>
      <c r="DO950" s="240"/>
      <c r="DP950" s="240"/>
      <c r="DQ950" s="240"/>
      <c r="DR950" s="240"/>
      <c r="DS950" s="240"/>
      <c r="DT950" s="240"/>
      <c r="DU950" s="240"/>
      <c r="DV950" s="240"/>
      <c r="DW950" s="240"/>
      <c r="DX950" s="240"/>
      <c r="DY950" s="240"/>
      <c r="DZ950" s="240"/>
      <c r="EA950" s="240"/>
      <c r="EB950" s="240"/>
      <c r="EC950" s="240"/>
      <c r="ED950" s="240"/>
      <c r="EE950" s="240"/>
      <c r="EF950" s="240"/>
      <c r="EG950" s="240"/>
      <c r="EH950" s="240"/>
      <c r="EI950" s="240"/>
      <c r="EJ950" s="240"/>
      <c r="EK950" s="240"/>
      <c r="EL950" s="359"/>
      <c r="EM950" s="245"/>
      <c r="EN950" s="245"/>
      <c r="EO950" s="245"/>
      <c r="EP950" s="245"/>
      <c r="EQ950" s="254"/>
      <c r="ER950" s="240"/>
      <c r="ES950" s="240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193"/>
    </row>
    <row r="951" spans="2:189" s="243" customFormat="1" ht="11.45" hidden="1" customHeight="1">
      <c r="B951" s="244"/>
      <c r="C951" s="240"/>
      <c r="D951" s="240"/>
      <c r="E951" s="240"/>
      <c r="F951" s="240"/>
      <c r="G951" s="240" t="s">
        <v>617</v>
      </c>
      <c r="H951" s="240"/>
      <c r="I951" s="240"/>
      <c r="J951" s="240"/>
      <c r="K951" s="240"/>
      <c r="L951" s="297"/>
      <c r="M951" s="297" t="s">
        <v>132</v>
      </c>
      <c r="N951" s="297"/>
      <c r="O951" s="1775" t="e">
        <f>토목기계경비!$K$112</f>
        <v>#REF!</v>
      </c>
      <c r="P951" s="1775"/>
      <c r="Q951" s="1775"/>
      <c r="R951" s="1775"/>
      <c r="S951" s="1775"/>
      <c r="T951" s="240"/>
      <c r="U951" s="240" t="s">
        <v>683</v>
      </c>
      <c r="V951" s="240"/>
      <c r="W951" s="240"/>
      <c r="X951" s="240" t="str">
        <f>TEXT(AZ937,"#,##0.#######")</f>
        <v>18.75</v>
      </c>
      <c r="AB951" s="240" t="s">
        <v>1338</v>
      </c>
      <c r="AC951" s="240"/>
      <c r="AD951" s="240" t="str">
        <f>TEXT(0.5,"#,##0.#######")</f>
        <v>0.5</v>
      </c>
      <c r="AE951" s="240"/>
      <c r="AF951" s="240" t="s">
        <v>556</v>
      </c>
      <c r="AH951" s="240" t="s">
        <v>134</v>
      </c>
      <c r="AI951" s="240"/>
      <c r="AJ951" s="240" t="e">
        <f>TEXT(TRUNC(O951/AZ937*AD951,1),"#,##0.#")</f>
        <v>#REF!</v>
      </c>
      <c r="AK951" s="240"/>
      <c r="AL951" s="240"/>
      <c r="AM951" s="240"/>
      <c r="AN951" s="240"/>
      <c r="AQ951" s="240"/>
      <c r="AR951" s="240"/>
      <c r="AS951" s="240"/>
      <c r="AT951" s="240"/>
      <c r="AU951" s="240"/>
      <c r="AV951" s="240"/>
      <c r="AX951" s="240"/>
      <c r="AY951" s="240"/>
      <c r="AZ951" s="240"/>
      <c r="BA951" s="240"/>
      <c r="BB951" s="240"/>
      <c r="BC951" s="240"/>
      <c r="BD951" s="240"/>
      <c r="BE951" s="240"/>
      <c r="BF951" s="240"/>
      <c r="BG951" s="240"/>
      <c r="BH951" s="240"/>
      <c r="BI951" s="240"/>
      <c r="BJ951" s="240"/>
      <c r="BK951" s="240"/>
      <c r="BL951" s="240"/>
      <c r="BM951" s="240"/>
      <c r="BN951" s="240"/>
      <c r="BO951" s="240"/>
      <c r="BP951" s="240"/>
      <c r="BQ951" s="240"/>
      <c r="BR951" s="240"/>
      <c r="BS951" s="297"/>
      <c r="BT951" s="240"/>
      <c r="BU951" s="240"/>
      <c r="BV951" s="240"/>
      <c r="BW951" s="240"/>
      <c r="BX951" s="240"/>
      <c r="BY951" s="240"/>
      <c r="BZ951" s="240"/>
      <c r="CA951" s="240"/>
      <c r="CB951" s="240"/>
      <c r="CC951" s="240"/>
      <c r="CD951" s="240"/>
      <c r="CE951" s="240"/>
      <c r="CF951" s="240"/>
      <c r="CG951" s="240"/>
      <c r="CH951" s="240"/>
      <c r="CI951" s="240"/>
      <c r="CJ951" s="240"/>
      <c r="CK951" s="240"/>
      <c r="CL951" s="240"/>
      <c r="CM951" s="240"/>
      <c r="CN951" s="240"/>
      <c r="CO951" s="240"/>
      <c r="CP951" s="240"/>
      <c r="CQ951" s="240"/>
      <c r="CR951" s="240"/>
      <c r="CS951" s="240"/>
      <c r="CT951" s="240"/>
      <c r="CU951" s="240"/>
      <c r="CV951" s="240"/>
      <c r="CW951" s="240"/>
      <c r="CX951" s="240"/>
      <c r="CY951" s="240"/>
      <c r="CZ951" s="240"/>
      <c r="DA951" s="240"/>
      <c r="DB951" s="240"/>
      <c r="DC951" s="240"/>
      <c r="DD951" s="240"/>
      <c r="DE951" s="240"/>
      <c r="DF951" s="240"/>
      <c r="DG951" s="240"/>
      <c r="DH951" s="240"/>
      <c r="DI951" s="240"/>
      <c r="DJ951" s="240"/>
      <c r="DK951" s="240"/>
      <c r="DL951" s="240"/>
      <c r="DM951" s="240"/>
      <c r="DN951" s="240"/>
      <c r="DO951" s="240"/>
      <c r="DP951" s="240"/>
      <c r="DQ951" s="240"/>
      <c r="DR951" s="240"/>
      <c r="DS951" s="240"/>
      <c r="DT951" s="240"/>
      <c r="DU951" s="240"/>
      <c r="DV951" s="240"/>
      <c r="DW951" s="240"/>
      <c r="DX951" s="240"/>
      <c r="DY951" s="240"/>
      <c r="DZ951" s="240"/>
      <c r="EA951" s="240"/>
      <c r="EB951" s="240"/>
      <c r="EC951" s="240"/>
      <c r="ED951" s="240"/>
      <c r="EE951" s="240"/>
      <c r="EF951" s="240"/>
      <c r="EG951" s="240"/>
      <c r="EH951" s="240"/>
      <c r="EI951" s="240"/>
      <c r="EJ951" s="240"/>
      <c r="EK951" s="240"/>
      <c r="EL951" s="359"/>
      <c r="EM951" s="245"/>
      <c r="EN951" s="245"/>
      <c r="EO951" s="245"/>
      <c r="EP951" s="245"/>
      <c r="EQ951" s="254"/>
      <c r="ER951" s="240"/>
      <c r="ES951" s="240"/>
      <c r="ET951" s="241"/>
      <c r="EU951" s="241"/>
      <c r="EV951" s="241"/>
      <c r="EW951" s="241"/>
      <c r="EX951" s="241"/>
      <c r="EY951" s="241"/>
      <c r="EZ951" s="241"/>
      <c r="FA951" s="241"/>
      <c r="FB951" s="241"/>
      <c r="FC951" s="241"/>
      <c r="FD951" s="241"/>
      <c r="FE951" s="241"/>
      <c r="FF951" s="241"/>
      <c r="FG951" s="241"/>
      <c r="FH951" s="241"/>
      <c r="FI951" s="241"/>
      <c r="FJ951" s="241"/>
      <c r="FK951" s="241"/>
      <c r="FL951" s="241"/>
      <c r="FM951" s="241"/>
      <c r="FN951" s="241"/>
      <c r="FO951" s="241"/>
      <c r="FP951" s="241"/>
      <c r="FQ951" s="241"/>
      <c r="FR951" s="241"/>
      <c r="FS951" s="241"/>
      <c r="FT951" s="241"/>
      <c r="FU951" s="241"/>
      <c r="FV951" s="241"/>
      <c r="FW951" s="241"/>
      <c r="FX951" s="241"/>
      <c r="FY951" s="241"/>
      <c r="FZ951" s="241"/>
      <c r="GA951" s="241"/>
      <c r="GB951" s="241"/>
      <c r="GC951" s="241"/>
      <c r="GD951" s="241"/>
      <c r="GE951" s="241"/>
      <c r="GF951" s="241"/>
      <c r="GG951" s="193"/>
    </row>
    <row r="952" spans="2:189" s="243" customFormat="1" ht="11.45" hidden="1" customHeight="1">
      <c r="B952" s="244"/>
      <c r="C952" s="240"/>
      <c r="D952" s="240"/>
      <c r="E952" s="240"/>
      <c r="F952" s="240"/>
      <c r="G952" s="240" t="s">
        <v>679</v>
      </c>
      <c r="H952" s="240"/>
      <c r="I952" s="240" t="s">
        <v>680</v>
      </c>
      <c r="J952" s="240"/>
      <c r="K952" s="240"/>
      <c r="L952" s="297"/>
      <c r="M952" s="297" t="s">
        <v>132</v>
      </c>
      <c r="N952" s="297"/>
      <c r="O952" s="1775">
        <f>토목기계경비!$L$112</f>
        <v>8908</v>
      </c>
      <c r="P952" s="1775"/>
      <c r="Q952" s="1775"/>
      <c r="R952" s="1775"/>
      <c r="S952" s="1775"/>
      <c r="T952" s="240"/>
      <c r="U952" s="240" t="s">
        <v>683</v>
      </c>
      <c r="V952" s="240"/>
      <c r="W952" s="240"/>
      <c r="X952" s="240" t="str">
        <f>TEXT(AZ937,"#,##0.#######")</f>
        <v>18.75</v>
      </c>
      <c r="AB952" s="240" t="s">
        <v>1338</v>
      </c>
      <c r="AC952" s="240"/>
      <c r="AD952" s="240" t="str">
        <f>TEXT(0.5,"#,##0.#######")</f>
        <v>0.5</v>
      </c>
      <c r="AE952" s="240"/>
      <c r="AF952" s="240" t="s">
        <v>556</v>
      </c>
      <c r="AH952" s="240" t="s">
        <v>134</v>
      </c>
      <c r="AI952" s="240"/>
      <c r="AJ952" s="240" t="str">
        <f>TEXT(TRUNC(O952/AZ937*AD952,1),"#,##0.#")</f>
        <v>237.5</v>
      </c>
      <c r="AK952" s="240"/>
      <c r="AL952" s="240"/>
      <c r="AM952" s="240"/>
      <c r="AN952" s="240"/>
      <c r="AQ952" s="240"/>
      <c r="AR952" s="240"/>
      <c r="AS952" s="240"/>
      <c r="AT952" s="240"/>
      <c r="AU952" s="240"/>
      <c r="AV952" s="240"/>
      <c r="AX952" s="240"/>
      <c r="AY952" s="240"/>
      <c r="AZ952" s="240"/>
      <c r="BA952" s="240"/>
      <c r="BB952" s="240"/>
      <c r="BC952" s="240"/>
      <c r="BD952" s="240"/>
      <c r="BE952" s="240"/>
      <c r="BF952" s="240"/>
      <c r="BG952" s="240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297"/>
      <c r="BT952" s="240"/>
      <c r="BU952" s="240"/>
      <c r="BV952" s="240"/>
      <c r="BW952" s="240"/>
      <c r="BX952" s="240"/>
      <c r="BY952" s="240"/>
      <c r="BZ952" s="240"/>
      <c r="CA952" s="240"/>
      <c r="CB952" s="240"/>
      <c r="CC952" s="240"/>
      <c r="CD952" s="240"/>
      <c r="CE952" s="240"/>
      <c r="CF952" s="240"/>
      <c r="CG952" s="240"/>
      <c r="CH952" s="240"/>
      <c r="CI952" s="240"/>
      <c r="CJ952" s="240"/>
      <c r="CK952" s="240"/>
      <c r="CL952" s="240"/>
      <c r="CM952" s="240"/>
      <c r="CN952" s="240"/>
      <c r="CO952" s="240"/>
      <c r="CP952" s="240"/>
      <c r="CQ952" s="240"/>
      <c r="CR952" s="240"/>
      <c r="CS952" s="240"/>
      <c r="CT952" s="240"/>
      <c r="CU952" s="240"/>
      <c r="CV952" s="240"/>
      <c r="CW952" s="240"/>
      <c r="CX952" s="240"/>
      <c r="CY952" s="240"/>
      <c r="CZ952" s="240"/>
      <c r="DA952" s="240"/>
      <c r="DB952" s="240"/>
      <c r="DC952" s="240"/>
      <c r="DD952" s="240"/>
      <c r="DE952" s="240"/>
      <c r="DF952" s="240"/>
      <c r="DG952" s="240"/>
      <c r="DH952" s="240"/>
      <c r="DI952" s="240"/>
      <c r="DJ952" s="240"/>
      <c r="DK952" s="240"/>
      <c r="DL952" s="240"/>
      <c r="DM952" s="240"/>
      <c r="DN952" s="240"/>
      <c r="DO952" s="240"/>
      <c r="DP952" s="240"/>
      <c r="DQ952" s="240"/>
      <c r="DR952" s="240"/>
      <c r="DS952" s="240"/>
      <c r="DT952" s="240"/>
      <c r="DU952" s="240"/>
      <c r="DV952" s="240"/>
      <c r="DW952" s="240"/>
      <c r="DX952" s="240"/>
      <c r="DY952" s="240"/>
      <c r="DZ952" s="240"/>
      <c r="EA952" s="240"/>
      <c r="EB952" s="240"/>
      <c r="EC952" s="240"/>
      <c r="ED952" s="240"/>
      <c r="EE952" s="240"/>
      <c r="EF952" s="240"/>
      <c r="EG952" s="240"/>
      <c r="EH952" s="240"/>
      <c r="EI952" s="240"/>
      <c r="EJ952" s="240"/>
      <c r="EK952" s="240"/>
      <c r="EL952" s="359"/>
      <c r="EM952" s="245"/>
      <c r="EN952" s="245"/>
      <c r="EO952" s="245"/>
      <c r="EP952" s="245"/>
      <c r="EQ952" s="254"/>
      <c r="ER952" s="240"/>
      <c r="ES952" s="240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193"/>
    </row>
    <row r="953" spans="2:189" s="243" customFormat="1" ht="11.45" hidden="1" customHeight="1">
      <c r="B953" s="244"/>
      <c r="C953" s="240"/>
      <c r="D953" s="240"/>
      <c r="E953" s="240"/>
      <c r="F953" s="240"/>
      <c r="G953" s="240" t="s">
        <v>688</v>
      </c>
      <c r="H953" s="240"/>
      <c r="I953" s="240" t="s">
        <v>96</v>
      </c>
      <c r="J953" s="240"/>
      <c r="K953" s="240"/>
      <c r="L953" s="297"/>
      <c r="M953" s="297" t="s">
        <v>132</v>
      </c>
      <c r="N953" s="297"/>
      <c r="O953" s="240" t="str">
        <f>TEXT(AE950+AE951+AE952,"#,##0.#######")</f>
        <v>0.</v>
      </c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I953" s="240"/>
      <c r="AJ953" s="240"/>
      <c r="AK953" s="240"/>
      <c r="AL953" s="240"/>
      <c r="AM953" s="240"/>
      <c r="AN953" s="240"/>
      <c r="AO953" s="240"/>
      <c r="AP953" s="240"/>
      <c r="AQ953" s="240"/>
      <c r="AR953" s="240"/>
      <c r="AS953" s="240"/>
      <c r="AT953" s="240"/>
      <c r="AU953" s="240"/>
      <c r="AV953" s="240"/>
      <c r="AW953" s="240"/>
      <c r="AX953" s="240"/>
      <c r="AY953" s="240"/>
      <c r="AZ953" s="240"/>
      <c r="BA953" s="240"/>
      <c r="BB953" s="240"/>
      <c r="BC953" s="240"/>
      <c r="BD953" s="240"/>
      <c r="BE953" s="240"/>
      <c r="BF953" s="240"/>
      <c r="BG953" s="240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297"/>
      <c r="BT953" s="240"/>
      <c r="BU953" s="240"/>
      <c r="BV953" s="240"/>
      <c r="BW953" s="240"/>
      <c r="BX953" s="240"/>
      <c r="BY953" s="240"/>
      <c r="BZ953" s="240"/>
      <c r="CA953" s="240"/>
      <c r="CB953" s="240"/>
      <c r="CC953" s="240"/>
      <c r="CD953" s="240"/>
      <c r="CE953" s="240"/>
      <c r="CF953" s="240"/>
      <c r="CG953" s="240"/>
      <c r="CH953" s="240"/>
      <c r="CI953" s="240"/>
      <c r="CJ953" s="240"/>
      <c r="CK953" s="240"/>
      <c r="CL953" s="240"/>
      <c r="CM953" s="240"/>
      <c r="CN953" s="240"/>
      <c r="CO953" s="240"/>
      <c r="CP953" s="240"/>
      <c r="CQ953" s="240"/>
      <c r="CR953" s="240"/>
      <c r="CS953" s="240"/>
      <c r="CT953" s="240"/>
      <c r="CU953" s="240"/>
      <c r="CV953" s="240"/>
      <c r="CW953" s="240"/>
      <c r="CX953" s="240"/>
      <c r="CY953" s="240"/>
      <c r="CZ953" s="240"/>
      <c r="DA953" s="240"/>
      <c r="DB953" s="240"/>
      <c r="DC953" s="240"/>
      <c r="DD953" s="240"/>
      <c r="DE953" s="240"/>
      <c r="DF953" s="240"/>
      <c r="DG953" s="240"/>
      <c r="DH953" s="240"/>
      <c r="DI953" s="240"/>
      <c r="DJ953" s="240"/>
      <c r="DK953" s="240"/>
      <c r="DL953" s="240"/>
      <c r="DM953" s="240"/>
      <c r="DN953" s="240"/>
      <c r="DO953" s="240"/>
      <c r="DP953" s="240"/>
      <c r="DQ953" s="240"/>
      <c r="DR953" s="240"/>
      <c r="DS953" s="240"/>
      <c r="DT953" s="240"/>
      <c r="DU953" s="240"/>
      <c r="DV953" s="240"/>
      <c r="DW953" s="240"/>
      <c r="DX953" s="240"/>
      <c r="DY953" s="240"/>
      <c r="DZ953" s="240"/>
      <c r="EA953" s="240"/>
      <c r="EB953" s="240"/>
      <c r="EC953" s="240"/>
      <c r="ED953" s="240"/>
      <c r="EE953" s="240"/>
      <c r="EF953" s="240"/>
      <c r="EG953" s="240"/>
      <c r="EH953" s="240"/>
      <c r="EI953" s="240"/>
      <c r="EJ953" s="240"/>
      <c r="EK953" s="240"/>
      <c r="EL953" s="359"/>
      <c r="EM953" s="245" t="e">
        <f>EN953+EO953+EP953</f>
        <v>#REF!</v>
      </c>
      <c r="EN953" s="245" t="e">
        <f>TEXT(AJ950,"#,###.0")</f>
        <v>#REF!</v>
      </c>
      <c r="EO953" s="245" t="e">
        <f>TEXT(AJ951,"#,###.0")</f>
        <v>#REF!</v>
      </c>
      <c r="EP953" s="245" t="str">
        <f>TEXT(AJ952,"#,###.0")</f>
        <v>237.5</v>
      </c>
      <c r="EQ953" s="254"/>
      <c r="ER953" s="240"/>
      <c r="ES953" s="240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193"/>
    </row>
    <row r="954" spans="2:189" s="243" customFormat="1" ht="11.45" hidden="1" customHeight="1">
      <c r="B954" s="244"/>
      <c r="C954" s="240"/>
      <c r="D954" s="240"/>
      <c r="E954" s="240"/>
      <c r="F954" s="240"/>
      <c r="G954" s="240"/>
      <c r="H954" s="240"/>
      <c r="I954" s="240"/>
      <c r="J954" s="240"/>
      <c r="K954" s="240"/>
      <c r="L954" s="297"/>
      <c r="M954" s="297"/>
      <c r="N954" s="297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0"/>
      <c r="AO954" s="240"/>
      <c r="AP954" s="240"/>
      <c r="AQ954" s="240"/>
      <c r="AR954" s="240"/>
      <c r="AS954" s="240"/>
      <c r="AT954" s="240"/>
      <c r="AU954" s="240"/>
      <c r="AV954" s="240"/>
      <c r="AW954" s="240"/>
      <c r="AX954" s="240"/>
      <c r="AY954" s="240"/>
      <c r="AZ954" s="240"/>
      <c r="BA954" s="240"/>
      <c r="BB954" s="240"/>
      <c r="BC954" s="240"/>
      <c r="BD954" s="240"/>
      <c r="BE954" s="240"/>
      <c r="BF954" s="240"/>
      <c r="BG954" s="240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297"/>
      <c r="BT954" s="240"/>
      <c r="BU954" s="240"/>
      <c r="BV954" s="240"/>
      <c r="BW954" s="240"/>
      <c r="BX954" s="240"/>
      <c r="BY954" s="240"/>
      <c r="BZ954" s="240"/>
      <c r="CA954" s="240"/>
      <c r="CB954" s="240"/>
      <c r="CC954" s="240"/>
      <c r="CD954" s="240"/>
      <c r="CE954" s="240"/>
      <c r="CF954" s="240"/>
      <c r="CG954" s="240"/>
      <c r="CH954" s="240"/>
      <c r="CI954" s="240"/>
      <c r="CJ954" s="240"/>
      <c r="CK954" s="240"/>
      <c r="CL954" s="240"/>
      <c r="CM954" s="240"/>
      <c r="CN954" s="240"/>
      <c r="CO954" s="240"/>
      <c r="CP954" s="240"/>
      <c r="CQ954" s="240"/>
      <c r="CR954" s="240"/>
      <c r="CS954" s="240"/>
      <c r="CT954" s="240"/>
      <c r="CU954" s="240"/>
      <c r="CV954" s="240"/>
      <c r="CW954" s="240"/>
      <c r="CX954" s="240"/>
      <c r="CY954" s="240"/>
      <c r="CZ954" s="240"/>
      <c r="DA954" s="240"/>
      <c r="DB954" s="240"/>
      <c r="DC954" s="240"/>
      <c r="DD954" s="240"/>
      <c r="DE954" s="240"/>
      <c r="DF954" s="240"/>
      <c r="DG954" s="240"/>
      <c r="DH954" s="240"/>
      <c r="DI954" s="240"/>
      <c r="DJ954" s="240"/>
      <c r="DK954" s="240"/>
      <c r="DL954" s="240"/>
      <c r="DM954" s="240"/>
      <c r="DN954" s="240"/>
      <c r="DO954" s="240"/>
      <c r="DP954" s="240"/>
      <c r="DQ954" s="240"/>
      <c r="DR954" s="240"/>
      <c r="DS954" s="240"/>
      <c r="DT954" s="240"/>
      <c r="DU954" s="240"/>
      <c r="DV954" s="240"/>
      <c r="DW954" s="240"/>
      <c r="DX954" s="240"/>
      <c r="DY954" s="240"/>
      <c r="DZ954" s="240"/>
      <c r="EA954" s="240"/>
      <c r="EB954" s="240"/>
      <c r="EC954" s="240"/>
      <c r="ED954" s="240"/>
      <c r="EE954" s="240"/>
      <c r="EF954" s="240"/>
      <c r="EG954" s="240"/>
      <c r="EH954" s="240"/>
      <c r="EI954" s="240"/>
      <c r="EJ954" s="240"/>
      <c r="EK954" s="240"/>
      <c r="EL954" s="359"/>
      <c r="EM954" s="245"/>
      <c r="EN954" s="245"/>
      <c r="EO954" s="245"/>
      <c r="EP954" s="245"/>
      <c r="EQ954" s="254"/>
      <c r="ER954" s="247"/>
      <c r="ES954" s="247"/>
      <c r="ET954" s="248"/>
      <c r="EU954" s="248"/>
      <c r="EV954" s="248"/>
      <c r="EW954" s="248"/>
      <c r="EX954" s="248"/>
      <c r="EY954" s="248"/>
      <c r="EZ954" s="248"/>
      <c r="FA954" s="248"/>
      <c r="FB954" s="248"/>
      <c r="FC954" s="248"/>
      <c r="FD954" s="248"/>
      <c r="FE954" s="248"/>
      <c r="FF954" s="248"/>
      <c r="FG954" s="248"/>
      <c r="FH954" s="248"/>
      <c r="FI954" s="248"/>
      <c r="FJ954" s="248"/>
      <c r="FK954" s="248"/>
      <c r="FL954" s="248"/>
      <c r="FM954" s="248"/>
      <c r="FN954" s="248"/>
      <c r="FO954" s="248"/>
      <c r="FP954" s="248"/>
      <c r="FQ954" s="248"/>
      <c r="FR954" s="248"/>
      <c r="FS954" s="248"/>
      <c r="FT954" s="248"/>
      <c r="FU954" s="248"/>
      <c r="FV954" s="248"/>
      <c r="FW954" s="248"/>
      <c r="FX954" s="248"/>
      <c r="FY954" s="248"/>
      <c r="FZ954" s="248"/>
      <c r="GA954" s="248"/>
      <c r="GB954" s="248"/>
      <c r="GC954" s="248"/>
      <c r="GD954" s="248"/>
      <c r="GE954" s="248"/>
      <c r="GF954" s="248"/>
      <c r="GG954" s="193"/>
    </row>
    <row r="955" spans="2:189" s="243" customFormat="1" ht="11.45" hidden="1" customHeight="1">
      <c r="B955" s="244"/>
      <c r="C955" s="240"/>
      <c r="D955" s="240" t="s">
        <v>695</v>
      </c>
      <c r="E955" s="240"/>
      <c r="F955" s="240"/>
      <c r="G955" s="240" t="s">
        <v>690</v>
      </c>
      <c r="H955" s="240"/>
      <c r="I955" s="240"/>
      <c r="J955" s="240" t="s">
        <v>731</v>
      </c>
      <c r="K955" s="240"/>
      <c r="L955" s="297"/>
      <c r="M955" s="297" t="s">
        <v>132</v>
      </c>
      <c r="N955" s="297"/>
      <c r="O955" s="240" t="s">
        <v>737</v>
      </c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 t="s">
        <v>738</v>
      </c>
      <c r="AF955" s="240"/>
      <c r="AG955" s="240"/>
      <c r="AH955" s="240"/>
      <c r="AI955" s="240"/>
      <c r="AJ955" s="240"/>
      <c r="AK955" s="240"/>
      <c r="AL955" s="240"/>
      <c r="AM955" s="240"/>
      <c r="AN955" s="240"/>
      <c r="AO955" s="240"/>
      <c r="AQ955" s="240"/>
      <c r="AR955" s="240"/>
      <c r="AS955" s="240"/>
      <c r="AT955" s="240"/>
      <c r="AU955" s="240"/>
      <c r="AV955" s="240"/>
      <c r="AW955" s="240"/>
      <c r="AX955" s="240"/>
      <c r="AY955" s="240"/>
      <c r="AZ955" s="240"/>
      <c r="BA955" s="240"/>
      <c r="BB955" s="240"/>
      <c r="BC955" s="240"/>
      <c r="BD955" s="240"/>
      <c r="BE955" s="240"/>
      <c r="BF955" s="240"/>
      <c r="BG955" s="240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297"/>
      <c r="BT955" s="240"/>
      <c r="BU955" s="240"/>
      <c r="BV955" s="240"/>
      <c r="BW955" s="240"/>
      <c r="BX955" s="240"/>
      <c r="BY955" s="240"/>
      <c r="BZ955" s="240"/>
      <c r="CA955" s="240"/>
      <c r="CB955" s="240"/>
      <c r="CC955" s="240"/>
      <c r="CD955" s="240"/>
      <c r="CE955" s="240"/>
      <c r="CF955" s="240"/>
      <c r="CG955" s="240"/>
      <c r="CH955" s="240"/>
      <c r="CI955" s="240"/>
      <c r="CJ955" s="240"/>
      <c r="CK955" s="240"/>
      <c r="CL955" s="240"/>
      <c r="CM955" s="240"/>
      <c r="CN955" s="240"/>
      <c r="CO955" s="240"/>
      <c r="CP955" s="240"/>
      <c r="CQ955" s="240"/>
      <c r="CR955" s="240"/>
      <c r="CS955" s="240"/>
      <c r="CT955" s="240"/>
      <c r="CU955" s="240"/>
      <c r="CV955" s="240"/>
      <c r="CW955" s="240"/>
      <c r="CX955" s="240"/>
      <c r="CY955" s="240"/>
      <c r="CZ955" s="240"/>
      <c r="DA955" s="240"/>
      <c r="DB955" s="240"/>
      <c r="DC955" s="240"/>
      <c r="DD955" s="240"/>
      <c r="DE955" s="240"/>
      <c r="DF955" s="240"/>
      <c r="DG955" s="240"/>
      <c r="DH955" s="240"/>
      <c r="DI955" s="240"/>
      <c r="DJ955" s="240"/>
      <c r="DK955" s="240"/>
      <c r="DL955" s="240"/>
      <c r="DM955" s="240"/>
      <c r="DN955" s="240"/>
      <c r="DO955" s="240"/>
      <c r="DP955" s="240"/>
      <c r="DQ955" s="240"/>
      <c r="DR955" s="240"/>
      <c r="DS955" s="240"/>
      <c r="DT955" s="240"/>
      <c r="DU955" s="240"/>
      <c r="DV955" s="240"/>
      <c r="DW955" s="240"/>
      <c r="DX955" s="240"/>
      <c r="DY955" s="240"/>
      <c r="DZ955" s="240"/>
      <c r="EA955" s="240"/>
      <c r="EB955" s="240"/>
      <c r="EC955" s="240"/>
      <c r="ED955" s="240"/>
      <c r="EE955" s="240"/>
      <c r="EF955" s="240"/>
      <c r="EG955" s="240"/>
      <c r="EH955" s="240"/>
      <c r="EI955" s="240"/>
      <c r="EJ955" s="240"/>
      <c r="EK955" s="240"/>
      <c r="EL955" s="359"/>
      <c r="EM955" s="245"/>
      <c r="EN955" s="245"/>
      <c r="EO955" s="245"/>
      <c r="EP955" s="245"/>
      <c r="EQ955" s="254"/>
      <c r="ER955" s="240"/>
      <c r="ES955" s="240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193"/>
    </row>
    <row r="956" spans="2:189" s="243" customFormat="1" ht="11.45" hidden="1" customHeight="1">
      <c r="B956" s="244"/>
      <c r="C956" s="240"/>
      <c r="D956" s="240"/>
      <c r="E956" s="240"/>
      <c r="F956" s="240"/>
      <c r="G956" s="240" t="s">
        <v>616</v>
      </c>
      <c r="H956" s="240"/>
      <c r="I956" s="240"/>
      <c r="J956" s="240"/>
      <c r="K956" s="240"/>
      <c r="L956" s="297"/>
      <c r="M956" s="297" t="s">
        <v>132</v>
      </c>
      <c r="N956" s="297"/>
      <c r="O956" s="1775" t="e">
        <f>토목기계경비!$J$130</f>
        <v>#REF!</v>
      </c>
      <c r="P956" s="1775"/>
      <c r="Q956" s="1775"/>
      <c r="R956" s="1775"/>
      <c r="S956" s="1775"/>
      <c r="T956" s="240"/>
      <c r="U956" s="240" t="s">
        <v>683</v>
      </c>
      <c r="V956" s="240"/>
      <c r="W956" s="240"/>
      <c r="X956" s="240" t="str">
        <f>TEXT(AZ937,"#,##0.#######")</f>
        <v>18.75</v>
      </c>
      <c r="Y956" s="240"/>
      <c r="Z956" s="240"/>
      <c r="AA956" s="240"/>
      <c r="AB956" s="240"/>
      <c r="AC956" s="240" t="s">
        <v>134</v>
      </c>
      <c r="AD956" s="240"/>
      <c r="AE956" s="240" t="e">
        <f>TEXT(TRUNC(O956/AZ937,1),"#,##0.#")</f>
        <v>#REF!</v>
      </c>
      <c r="AN956" s="240"/>
      <c r="AO956" s="240"/>
      <c r="AP956" s="240"/>
      <c r="AQ956" s="240"/>
      <c r="AR956" s="240"/>
      <c r="AS956" s="240"/>
      <c r="AT956" s="240"/>
      <c r="AU956" s="240"/>
      <c r="AV956" s="240"/>
      <c r="AW956" s="240"/>
      <c r="AX956" s="240"/>
      <c r="AY956" s="240"/>
      <c r="AZ956" s="240"/>
      <c r="BA956" s="240"/>
      <c r="BB956" s="240"/>
      <c r="BC956" s="240"/>
      <c r="BD956" s="240"/>
      <c r="BE956" s="240"/>
      <c r="BF956" s="240"/>
      <c r="BG956" s="240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297"/>
      <c r="BT956" s="240"/>
      <c r="BU956" s="240"/>
      <c r="BV956" s="240"/>
      <c r="BW956" s="240"/>
      <c r="BX956" s="240"/>
      <c r="BY956" s="240"/>
      <c r="BZ956" s="240"/>
      <c r="CA956" s="240"/>
      <c r="CB956" s="240"/>
      <c r="CC956" s="240"/>
      <c r="CD956" s="240"/>
      <c r="CE956" s="240"/>
      <c r="CF956" s="240"/>
      <c r="CG956" s="240"/>
      <c r="CH956" s="240"/>
      <c r="CI956" s="240"/>
      <c r="CJ956" s="240"/>
      <c r="CK956" s="240"/>
      <c r="CL956" s="240"/>
      <c r="CM956" s="240"/>
      <c r="CN956" s="240"/>
      <c r="CO956" s="240"/>
      <c r="CP956" s="240"/>
      <c r="CQ956" s="240"/>
      <c r="CR956" s="240"/>
      <c r="CS956" s="240"/>
      <c r="CT956" s="240"/>
      <c r="CU956" s="240"/>
      <c r="CV956" s="240"/>
      <c r="CW956" s="240"/>
      <c r="CX956" s="240"/>
      <c r="CY956" s="240"/>
      <c r="CZ956" s="240"/>
      <c r="DA956" s="240"/>
      <c r="DB956" s="240"/>
      <c r="DC956" s="240"/>
      <c r="DD956" s="240"/>
      <c r="DE956" s="240"/>
      <c r="DF956" s="240"/>
      <c r="DG956" s="240"/>
      <c r="DH956" s="240"/>
      <c r="DI956" s="240"/>
      <c r="DJ956" s="240"/>
      <c r="DK956" s="240"/>
      <c r="DL956" s="240"/>
      <c r="DM956" s="240"/>
      <c r="DN956" s="240"/>
      <c r="DO956" s="240"/>
      <c r="DP956" s="240"/>
      <c r="DQ956" s="240"/>
      <c r="DR956" s="240"/>
      <c r="DS956" s="240"/>
      <c r="DT956" s="240"/>
      <c r="DU956" s="240"/>
      <c r="DV956" s="240"/>
      <c r="DW956" s="240"/>
      <c r="DX956" s="240"/>
      <c r="DY956" s="240"/>
      <c r="DZ956" s="240"/>
      <c r="EA956" s="240"/>
      <c r="EB956" s="240"/>
      <c r="EC956" s="240"/>
      <c r="ED956" s="240"/>
      <c r="EE956" s="240"/>
      <c r="EF956" s="240"/>
      <c r="EG956" s="240"/>
      <c r="EH956" s="240"/>
      <c r="EI956" s="240"/>
      <c r="EJ956" s="240"/>
      <c r="EK956" s="240"/>
      <c r="EL956" s="359"/>
      <c r="EM956" s="245"/>
      <c r="EN956" s="245"/>
      <c r="EO956" s="245"/>
      <c r="EP956" s="245"/>
      <c r="EQ956" s="254"/>
      <c r="ER956" s="240"/>
      <c r="ES956" s="240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193"/>
    </row>
    <row r="957" spans="2:189" s="243" customFormat="1" ht="11.45" hidden="1" customHeight="1">
      <c r="B957" s="244"/>
      <c r="C957" s="240"/>
      <c r="D957" s="240"/>
      <c r="E957" s="240"/>
      <c r="F957" s="240"/>
      <c r="G957" s="240" t="s">
        <v>617</v>
      </c>
      <c r="H957" s="240"/>
      <c r="I957" s="240"/>
      <c r="J957" s="240"/>
      <c r="K957" s="240"/>
      <c r="L957" s="297"/>
      <c r="M957" s="297" t="s">
        <v>132</v>
      </c>
      <c r="N957" s="297"/>
      <c r="O957" s="1775" t="e">
        <f>토목기계경비!$K$130</f>
        <v>#REF!</v>
      </c>
      <c r="P957" s="1775"/>
      <c r="Q957" s="1775"/>
      <c r="R957" s="1775"/>
      <c r="S957" s="1775"/>
      <c r="T957" s="240"/>
      <c r="U957" s="240" t="s">
        <v>683</v>
      </c>
      <c r="V957" s="240"/>
      <c r="W957" s="240"/>
      <c r="X957" s="240" t="str">
        <f>TEXT(AZ937,"#,##0.#######")</f>
        <v>18.75</v>
      </c>
      <c r="Y957" s="240"/>
      <c r="Z957" s="240"/>
      <c r="AA957" s="240"/>
      <c r="AB957" s="240"/>
      <c r="AC957" s="240" t="s">
        <v>134</v>
      </c>
      <c r="AD957" s="240"/>
      <c r="AE957" s="240" t="e">
        <f>TEXT(TRUNC(O957/AZ937,1),"#,##0.#")</f>
        <v>#REF!</v>
      </c>
      <c r="AN957" s="240"/>
      <c r="AO957" s="240"/>
      <c r="AP957" s="240"/>
      <c r="AQ957" s="240"/>
      <c r="AR957" s="240"/>
      <c r="AS957" s="240"/>
      <c r="AT957" s="240"/>
      <c r="AU957" s="240"/>
      <c r="AV957" s="240"/>
      <c r="AW957" s="240"/>
      <c r="AX957" s="240"/>
      <c r="AY957" s="240"/>
      <c r="AZ957" s="240"/>
      <c r="BA957" s="240"/>
      <c r="BB957" s="240"/>
      <c r="BC957" s="240"/>
      <c r="BD957" s="240"/>
      <c r="BE957" s="240"/>
      <c r="BF957" s="240"/>
      <c r="BG957" s="240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297"/>
      <c r="BT957" s="240"/>
      <c r="BU957" s="240"/>
      <c r="BV957" s="240"/>
      <c r="BW957" s="240"/>
      <c r="BX957" s="240"/>
      <c r="BY957" s="240"/>
      <c r="BZ957" s="240"/>
      <c r="CA957" s="240"/>
      <c r="CB957" s="240"/>
      <c r="CC957" s="240"/>
      <c r="CD957" s="240"/>
      <c r="CE957" s="240"/>
      <c r="CF957" s="240"/>
      <c r="CG957" s="240"/>
      <c r="CH957" s="240"/>
      <c r="CI957" s="240"/>
      <c r="CJ957" s="240"/>
      <c r="CK957" s="240"/>
      <c r="CL957" s="240"/>
      <c r="CM957" s="240"/>
      <c r="CN957" s="240"/>
      <c r="CO957" s="240"/>
      <c r="CP957" s="240"/>
      <c r="CQ957" s="240"/>
      <c r="CR957" s="240"/>
      <c r="CS957" s="240"/>
      <c r="CT957" s="240"/>
      <c r="CU957" s="240"/>
      <c r="CV957" s="240"/>
      <c r="CW957" s="240"/>
      <c r="CX957" s="240"/>
      <c r="CY957" s="240"/>
      <c r="CZ957" s="240"/>
      <c r="DA957" s="240"/>
      <c r="DB957" s="240"/>
      <c r="DC957" s="240"/>
      <c r="DD957" s="240"/>
      <c r="DE957" s="240"/>
      <c r="DF957" s="240"/>
      <c r="DG957" s="240"/>
      <c r="DH957" s="240"/>
      <c r="DI957" s="240"/>
      <c r="DJ957" s="240"/>
      <c r="DK957" s="240"/>
      <c r="DL957" s="240"/>
      <c r="DM957" s="240"/>
      <c r="DN957" s="240"/>
      <c r="DO957" s="240"/>
      <c r="DP957" s="240"/>
      <c r="DQ957" s="240"/>
      <c r="DR957" s="240"/>
      <c r="DS957" s="240"/>
      <c r="DT957" s="240"/>
      <c r="DU957" s="240"/>
      <c r="DV957" s="240"/>
      <c r="DW957" s="240"/>
      <c r="DX957" s="240"/>
      <c r="DY957" s="240"/>
      <c r="DZ957" s="240"/>
      <c r="EA957" s="240"/>
      <c r="EB957" s="240"/>
      <c r="EC957" s="240"/>
      <c r="ED957" s="240"/>
      <c r="EE957" s="240"/>
      <c r="EF957" s="240"/>
      <c r="EG957" s="240"/>
      <c r="EH957" s="240"/>
      <c r="EI957" s="240"/>
      <c r="EJ957" s="240"/>
      <c r="EK957" s="240"/>
      <c r="EL957" s="359"/>
      <c r="EM957" s="245"/>
      <c r="EN957" s="245"/>
      <c r="EO957" s="245"/>
      <c r="EP957" s="245"/>
      <c r="EQ957" s="254"/>
      <c r="ER957" s="240"/>
      <c r="ES957" s="240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193"/>
    </row>
    <row r="958" spans="2:189" s="243" customFormat="1" ht="11.45" hidden="1" customHeight="1">
      <c r="B958" s="244"/>
      <c r="C958" s="240"/>
      <c r="D958" s="240"/>
      <c r="E958" s="240"/>
      <c r="F958" s="240"/>
      <c r="G958" s="240" t="s">
        <v>679</v>
      </c>
      <c r="H958" s="240"/>
      <c r="I958" s="240" t="s">
        <v>680</v>
      </c>
      <c r="J958" s="240"/>
      <c r="K958" s="240"/>
      <c r="L958" s="297"/>
      <c r="M958" s="297" t="s">
        <v>132</v>
      </c>
      <c r="N958" s="297"/>
      <c r="O958" s="1775">
        <f>토목기계경비!$L$130</f>
        <v>1712</v>
      </c>
      <c r="P958" s="1775"/>
      <c r="Q958" s="1775"/>
      <c r="R958" s="1775"/>
      <c r="S958" s="1775"/>
      <c r="T958" s="240"/>
      <c r="U958" s="240" t="s">
        <v>683</v>
      </c>
      <c r="V958" s="240"/>
      <c r="W958" s="240"/>
      <c r="X958" s="240" t="str">
        <f>TEXT(AZ937,"#,##0.#######")</f>
        <v>18.75</v>
      </c>
      <c r="Y958" s="240"/>
      <c r="Z958" s="240"/>
      <c r="AA958" s="240"/>
      <c r="AB958" s="240"/>
      <c r="AC958" s="240" t="s">
        <v>134</v>
      </c>
      <c r="AD958" s="240"/>
      <c r="AE958" s="240" t="str">
        <f>TEXT(TRUNC(O958/AZ937,1),"#,##0.#")</f>
        <v>91.3</v>
      </c>
      <c r="AO958" s="240"/>
      <c r="AP958" s="240"/>
      <c r="AQ958" s="240"/>
      <c r="AR958" s="240"/>
      <c r="AS958" s="240"/>
      <c r="AT958" s="240"/>
      <c r="AU958" s="240"/>
      <c r="AV958" s="240"/>
      <c r="AW958" s="240"/>
      <c r="AX958" s="240"/>
      <c r="AY958" s="240"/>
      <c r="AZ958" s="240"/>
      <c r="BA958" s="240"/>
      <c r="BB958" s="240"/>
      <c r="BC958" s="240"/>
      <c r="BD958" s="240"/>
      <c r="BE958" s="240"/>
      <c r="BF958" s="240"/>
      <c r="BG958" s="240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297"/>
      <c r="BT958" s="240"/>
      <c r="BU958" s="240"/>
      <c r="BV958" s="240"/>
      <c r="BW958" s="240"/>
      <c r="BX958" s="240"/>
      <c r="BY958" s="240"/>
      <c r="BZ958" s="240"/>
      <c r="CA958" s="240"/>
      <c r="CB958" s="240"/>
      <c r="CC958" s="240"/>
      <c r="CD958" s="240"/>
      <c r="CE958" s="240"/>
      <c r="CF958" s="240"/>
      <c r="CG958" s="240"/>
      <c r="CH958" s="240"/>
      <c r="CI958" s="240"/>
      <c r="CJ958" s="240"/>
      <c r="CK958" s="240"/>
      <c r="CL958" s="240"/>
      <c r="CM958" s="240"/>
      <c r="CN958" s="240"/>
      <c r="CO958" s="240"/>
      <c r="CP958" s="240"/>
      <c r="CQ958" s="240"/>
      <c r="CR958" s="240"/>
      <c r="CS958" s="240"/>
      <c r="CT958" s="240"/>
      <c r="CU958" s="240"/>
      <c r="CV958" s="240"/>
      <c r="CW958" s="240"/>
      <c r="CX958" s="240"/>
      <c r="CY958" s="240"/>
      <c r="CZ958" s="240"/>
      <c r="DA958" s="240"/>
      <c r="DB958" s="240"/>
      <c r="DC958" s="240"/>
      <c r="DD958" s="240"/>
      <c r="DE958" s="240"/>
      <c r="DF958" s="240"/>
      <c r="DG958" s="240"/>
      <c r="DH958" s="240"/>
      <c r="DI958" s="240"/>
      <c r="DJ958" s="240"/>
      <c r="DK958" s="240"/>
      <c r="DL958" s="240"/>
      <c r="DM958" s="240"/>
      <c r="DN958" s="240"/>
      <c r="DO958" s="240"/>
      <c r="DP958" s="240"/>
      <c r="DQ958" s="240"/>
      <c r="DR958" s="240"/>
      <c r="DS958" s="240"/>
      <c r="DT958" s="240"/>
      <c r="DU958" s="240"/>
      <c r="DV958" s="240"/>
      <c r="DW958" s="240"/>
      <c r="DX958" s="240"/>
      <c r="DY958" s="240"/>
      <c r="DZ958" s="240"/>
      <c r="EA958" s="240"/>
      <c r="EB958" s="240"/>
      <c r="EC958" s="240"/>
      <c r="ED958" s="240"/>
      <c r="EE958" s="240"/>
      <c r="EF958" s="240"/>
      <c r="EG958" s="240"/>
      <c r="EH958" s="240"/>
      <c r="EI958" s="240"/>
      <c r="EJ958" s="240"/>
      <c r="EK958" s="240"/>
      <c r="EL958" s="359"/>
      <c r="EM958" s="245"/>
      <c r="EN958" s="245"/>
      <c r="EO958" s="245"/>
      <c r="EP958" s="245"/>
      <c r="EQ958" s="254"/>
      <c r="ER958" s="240"/>
      <c r="ES958" s="240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193"/>
    </row>
    <row r="959" spans="2:189" s="243" customFormat="1" ht="11.45" hidden="1" customHeight="1">
      <c r="B959" s="244"/>
      <c r="C959" s="240"/>
      <c r="D959" s="240"/>
      <c r="E959" s="240"/>
      <c r="F959" s="240"/>
      <c r="G959" s="240" t="s">
        <v>688</v>
      </c>
      <c r="H959" s="240"/>
      <c r="I959" s="240" t="s">
        <v>96</v>
      </c>
      <c r="J959" s="240"/>
      <c r="K959" s="240"/>
      <c r="L959" s="297"/>
      <c r="M959" s="297" t="s">
        <v>132</v>
      </c>
      <c r="N959" s="297"/>
      <c r="O959" s="240" t="e">
        <f>TEXT(AE956+AE957+AE958,"#,##0.#######")</f>
        <v>#REF!</v>
      </c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H959" s="240"/>
      <c r="AI959" s="240"/>
      <c r="AJ959" s="240"/>
      <c r="AK959" s="240"/>
      <c r="AL959" s="240"/>
      <c r="AM959" s="240"/>
      <c r="AN959" s="240"/>
      <c r="AO959" s="240"/>
      <c r="AP959" s="240"/>
      <c r="AQ959" s="240"/>
      <c r="AR959" s="240"/>
      <c r="AS959" s="240"/>
      <c r="AT959" s="240"/>
      <c r="AU959" s="240"/>
      <c r="AV959" s="240"/>
      <c r="AW959" s="240"/>
      <c r="AX959" s="240"/>
      <c r="AY959" s="240"/>
      <c r="AZ959" s="240"/>
      <c r="BA959" s="240"/>
      <c r="BB959" s="240"/>
      <c r="BC959" s="240"/>
      <c r="BD959" s="240"/>
      <c r="BE959" s="240"/>
      <c r="BF959" s="240"/>
      <c r="BG959" s="240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297"/>
      <c r="BT959" s="240"/>
      <c r="BU959" s="240"/>
      <c r="BV959" s="240"/>
      <c r="BW959" s="240"/>
      <c r="BX959" s="240"/>
      <c r="BY959" s="240"/>
      <c r="BZ959" s="240"/>
      <c r="CA959" s="240"/>
      <c r="CB959" s="240"/>
      <c r="CC959" s="240"/>
      <c r="CD959" s="240"/>
      <c r="CE959" s="240"/>
      <c r="CF959" s="240"/>
      <c r="CG959" s="240"/>
      <c r="CH959" s="240"/>
      <c r="CI959" s="240"/>
      <c r="CJ959" s="240"/>
      <c r="CK959" s="240"/>
      <c r="CL959" s="240"/>
      <c r="CM959" s="240"/>
      <c r="CN959" s="240"/>
      <c r="CO959" s="240"/>
      <c r="CP959" s="240"/>
      <c r="CQ959" s="240"/>
      <c r="CR959" s="240"/>
      <c r="CS959" s="240"/>
      <c r="CT959" s="240"/>
      <c r="CU959" s="240"/>
      <c r="CV959" s="240"/>
      <c r="CW959" s="240"/>
      <c r="CX959" s="240"/>
      <c r="CY959" s="240"/>
      <c r="CZ959" s="240"/>
      <c r="DA959" s="240"/>
      <c r="DB959" s="240"/>
      <c r="DC959" s="240"/>
      <c r="DD959" s="240"/>
      <c r="DE959" s="240"/>
      <c r="DF959" s="240"/>
      <c r="DG959" s="240"/>
      <c r="DH959" s="240"/>
      <c r="DI959" s="240"/>
      <c r="DJ959" s="240"/>
      <c r="DK959" s="240"/>
      <c r="DL959" s="240"/>
      <c r="DM959" s="240"/>
      <c r="DN959" s="240"/>
      <c r="DO959" s="240"/>
      <c r="DP959" s="240"/>
      <c r="DQ959" s="240"/>
      <c r="DR959" s="240"/>
      <c r="DS959" s="240"/>
      <c r="DT959" s="240"/>
      <c r="DU959" s="240"/>
      <c r="DV959" s="240"/>
      <c r="DW959" s="240"/>
      <c r="DX959" s="240"/>
      <c r="DY959" s="240"/>
      <c r="DZ959" s="240"/>
      <c r="EA959" s="240"/>
      <c r="EB959" s="240"/>
      <c r="EC959" s="240"/>
      <c r="ED959" s="240"/>
      <c r="EE959" s="240"/>
      <c r="EF959" s="240"/>
      <c r="EG959" s="240"/>
      <c r="EH959" s="240"/>
      <c r="EI959" s="240"/>
      <c r="EJ959" s="240"/>
      <c r="EK959" s="240"/>
      <c r="EL959" s="359"/>
      <c r="EM959" s="245" t="e">
        <f>EN959+EO959+EP959</f>
        <v>#REF!</v>
      </c>
      <c r="EN959" s="245" t="e">
        <f>TEXT(AE956,"#,###.0")</f>
        <v>#REF!</v>
      </c>
      <c r="EO959" s="245" t="e">
        <f>TEXT(AE957,"#,###.0")</f>
        <v>#REF!</v>
      </c>
      <c r="EP959" s="245" t="str">
        <f>TEXT(AE958,"#,###.0")</f>
        <v>91.3</v>
      </c>
      <c r="EQ959" s="254"/>
      <c r="ER959" s="240"/>
      <c r="ES959" s="240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193"/>
    </row>
    <row r="960" spans="2:189" s="243" customFormat="1" ht="11.45" hidden="1" customHeight="1">
      <c r="B960" s="244"/>
      <c r="C960" s="240"/>
      <c r="D960" s="240"/>
      <c r="E960" s="240"/>
      <c r="F960" s="240"/>
      <c r="G960" s="240"/>
      <c r="H960" s="240"/>
      <c r="I960" s="240"/>
      <c r="J960" s="240"/>
      <c r="K960" s="240"/>
      <c r="L960" s="297"/>
      <c r="M960" s="297"/>
      <c r="N960" s="297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0"/>
      <c r="AO960" s="240"/>
      <c r="AP960" s="240"/>
      <c r="AQ960" s="240"/>
      <c r="AR960" s="240"/>
      <c r="AS960" s="240"/>
      <c r="AT960" s="240"/>
      <c r="AU960" s="240"/>
      <c r="AV960" s="240"/>
      <c r="AW960" s="240"/>
      <c r="AX960" s="240"/>
      <c r="AY960" s="240"/>
      <c r="AZ960" s="240"/>
      <c r="BA960" s="240"/>
      <c r="BB960" s="240"/>
      <c r="BC960" s="240"/>
      <c r="BD960" s="240"/>
      <c r="BE960" s="240"/>
      <c r="BF960" s="240"/>
      <c r="BG960" s="240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297"/>
      <c r="BT960" s="240"/>
      <c r="BU960" s="240"/>
      <c r="BV960" s="240"/>
      <c r="BW960" s="240"/>
      <c r="BX960" s="240"/>
      <c r="BY960" s="240"/>
      <c r="BZ960" s="240"/>
      <c r="CA960" s="240"/>
      <c r="CB960" s="240"/>
      <c r="CC960" s="240"/>
      <c r="CD960" s="240"/>
      <c r="CE960" s="240"/>
      <c r="CF960" s="240"/>
      <c r="CG960" s="240"/>
      <c r="CH960" s="240"/>
      <c r="CI960" s="240"/>
      <c r="CJ960" s="240"/>
      <c r="CK960" s="240"/>
      <c r="CL960" s="240"/>
      <c r="CM960" s="240"/>
      <c r="CN960" s="240"/>
      <c r="CO960" s="240"/>
      <c r="CP960" s="240"/>
      <c r="CQ960" s="240"/>
      <c r="CR960" s="240"/>
      <c r="CS960" s="240"/>
      <c r="CT960" s="240"/>
      <c r="CU960" s="240"/>
      <c r="CV960" s="240"/>
      <c r="CW960" s="240"/>
      <c r="CX960" s="240"/>
      <c r="CY960" s="240"/>
      <c r="CZ960" s="240"/>
      <c r="DA960" s="240"/>
      <c r="DB960" s="240"/>
      <c r="DC960" s="240"/>
      <c r="DD960" s="240"/>
      <c r="DE960" s="240"/>
      <c r="DF960" s="240"/>
      <c r="DG960" s="240"/>
      <c r="DH960" s="240"/>
      <c r="DI960" s="240"/>
      <c r="DJ960" s="240"/>
      <c r="DK960" s="240"/>
      <c r="DL960" s="240"/>
      <c r="DM960" s="240"/>
      <c r="DN960" s="240"/>
      <c r="DO960" s="240"/>
      <c r="DP960" s="240"/>
      <c r="DQ960" s="240"/>
      <c r="DR960" s="240"/>
      <c r="DS960" s="240"/>
      <c r="DT960" s="240"/>
      <c r="DU960" s="240"/>
      <c r="DV960" s="240"/>
      <c r="DW960" s="240"/>
      <c r="DX960" s="240"/>
      <c r="DY960" s="240"/>
      <c r="DZ960" s="240"/>
      <c r="EA960" s="240"/>
      <c r="EB960" s="240"/>
      <c r="EC960" s="240"/>
      <c r="ED960" s="240"/>
      <c r="EE960" s="240"/>
      <c r="EF960" s="240"/>
      <c r="EG960" s="240"/>
      <c r="EH960" s="240"/>
      <c r="EI960" s="240"/>
      <c r="EJ960" s="240"/>
      <c r="EK960" s="240"/>
      <c r="EL960" s="359"/>
      <c r="EM960" s="245"/>
      <c r="EN960" s="245"/>
      <c r="EO960" s="245"/>
      <c r="EP960" s="245"/>
      <c r="EQ960" s="254"/>
      <c r="ER960" s="240"/>
      <c r="ES960" s="240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193"/>
    </row>
    <row r="961" spans="2:189" s="243" customFormat="1" ht="11.45" hidden="1" customHeight="1">
      <c r="B961" s="244"/>
      <c r="C961" s="240"/>
      <c r="D961" s="240" t="s">
        <v>696</v>
      </c>
      <c r="E961" s="240"/>
      <c r="F961" s="240"/>
      <c r="G961" s="240" t="s">
        <v>678</v>
      </c>
      <c r="H961" s="240"/>
      <c r="I961" s="240"/>
      <c r="J961" s="240"/>
      <c r="K961" s="240" t="s">
        <v>96</v>
      </c>
      <c r="L961" s="297"/>
      <c r="M961" s="297"/>
      <c r="N961" s="297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0"/>
      <c r="AO961" s="240"/>
      <c r="AP961" s="240"/>
      <c r="AQ961" s="240"/>
      <c r="AR961" s="240"/>
      <c r="AS961" s="240"/>
      <c r="AT961" s="240"/>
      <c r="AU961" s="240"/>
      <c r="AV961" s="240"/>
      <c r="AW961" s="240"/>
      <c r="AX961" s="240"/>
      <c r="AY961" s="240"/>
      <c r="AZ961" s="240"/>
      <c r="BA961" s="240"/>
      <c r="BB961" s="240"/>
      <c r="BC961" s="240"/>
      <c r="BD961" s="240"/>
      <c r="BE961" s="240"/>
      <c r="BF961" s="240"/>
      <c r="BG961" s="240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297"/>
      <c r="BT961" s="240"/>
      <c r="BU961" s="240"/>
      <c r="BV961" s="240"/>
      <c r="BW961" s="240"/>
      <c r="BX961" s="240"/>
      <c r="BY961" s="240"/>
      <c r="BZ961" s="240"/>
      <c r="CA961" s="240"/>
      <c r="CB961" s="240"/>
      <c r="CC961" s="240"/>
      <c r="CD961" s="240"/>
      <c r="CE961" s="240"/>
      <c r="CF961" s="240"/>
      <c r="CG961" s="240"/>
      <c r="CH961" s="240"/>
      <c r="CI961" s="240"/>
      <c r="CJ961" s="240"/>
      <c r="CK961" s="240"/>
      <c r="CL961" s="240"/>
      <c r="CM961" s="240"/>
      <c r="CN961" s="240"/>
      <c r="CO961" s="240"/>
      <c r="CP961" s="240"/>
      <c r="CQ961" s="240"/>
      <c r="CR961" s="240"/>
      <c r="CS961" s="240"/>
      <c r="CT961" s="240"/>
      <c r="CU961" s="240"/>
      <c r="CV961" s="240"/>
      <c r="CW961" s="240"/>
      <c r="CX961" s="240"/>
      <c r="CY961" s="240"/>
      <c r="CZ961" s="240"/>
      <c r="DA961" s="240"/>
      <c r="DB961" s="240"/>
      <c r="DC961" s="240"/>
      <c r="DD961" s="240"/>
      <c r="DE961" s="240"/>
      <c r="DF961" s="240"/>
      <c r="DG961" s="240"/>
      <c r="DH961" s="240"/>
      <c r="DI961" s="240"/>
      <c r="DJ961" s="240"/>
      <c r="DK961" s="240"/>
      <c r="DL961" s="240"/>
      <c r="DM961" s="240"/>
      <c r="DN961" s="240"/>
      <c r="DO961" s="240"/>
      <c r="DP961" s="240"/>
      <c r="DQ961" s="240"/>
      <c r="DR961" s="240"/>
      <c r="DS961" s="240"/>
      <c r="DT961" s="240"/>
      <c r="DU961" s="240"/>
      <c r="DV961" s="240"/>
      <c r="DW961" s="240"/>
      <c r="DX961" s="240"/>
      <c r="DY961" s="240"/>
      <c r="DZ961" s="240"/>
      <c r="EA961" s="240"/>
      <c r="EB961" s="240"/>
      <c r="EC961" s="240"/>
      <c r="ED961" s="240"/>
      <c r="EE961" s="240"/>
      <c r="EF961" s="240"/>
      <c r="EG961" s="240"/>
      <c r="EH961" s="240"/>
      <c r="EI961" s="240"/>
      <c r="EJ961" s="240"/>
      <c r="EK961" s="240"/>
      <c r="EL961" s="359"/>
      <c r="EM961" s="245"/>
      <c r="EN961" s="245"/>
      <c r="EO961" s="245"/>
      <c r="EP961" s="245"/>
      <c r="EQ961" s="254"/>
      <c r="ER961" s="240"/>
      <c r="ES961" s="240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193"/>
    </row>
    <row r="962" spans="2:189" s="243" customFormat="1" ht="11.45" hidden="1" customHeight="1">
      <c r="B962" s="244"/>
      <c r="C962" s="240"/>
      <c r="D962" s="240"/>
      <c r="E962" s="240"/>
      <c r="F962" s="240"/>
      <c r="G962" s="240"/>
      <c r="H962" s="240" t="s">
        <v>616</v>
      </c>
      <c r="I962" s="240"/>
      <c r="J962" s="240"/>
      <c r="K962" s="240"/>
      <c r="L962" s="297"/>
      <c r="M962" s="297"/>
      <c r="N962" s="297"/>
      <c r="O962" s="240" t="s">
        <v>132</v>
      </c>
      <c r="P962" s="240"/>
      <c r="Q962" s="240" t="str">
        <f>TEXT(EN940+EN941,"#,###.##")</f>
        <v>4,692.2</v>
      </c>
      <c r="R962" s="240"/>
      <c r="S962" s="240"/>
      <c r="T962" s="240"/>
      <c r="U962" s="240"/>
      <c r="V962" s="240"/>
      <c r="W962" s="240"/>
      <c r="X962" s="240"/>
      <c r="Y962" s="240" t="s">
        <v>130</v>
      </c>
      <c r="Z962" s="240"/>
      <c r="AA962" s="240" t="e">
        <f>TEXT(EN947,"#,###.##")</f>
        <v>#REF!</v>
      </c>
      <c r="AB962" s="240"/>
      <c r="AC962" s="240"/>
      <c r="AD962" s="240"/>
      <c r="AE962" s="240"/>
      <c r="AF962" s="240"/>
      <c r="AG962" s="240"/>
      <c r="AH962" s="240"/>
      <c r="AI962" s="240" t="s">
        <v>130</v>
      </c>
      <c r="AJ962" s="240"/>
      <c r="AK962" s="240" t="e">
        <f>TEXT(EN953,"#,###.##")</f>
        <v>#REF!</v>
      </c>
      <c r="AL962" s="240"/>
      <c r="AM962" s="240"/>
      <c r="AN962" s="240"/>
      <c r="AO962" s="240"/>
      <c r="AP962" s="240"/>
      <c r="AQ962" s="240" t="s">
        <v>130</v>
      </c>
      <c r="AR962" s="240"/>
      <c r="AS962" s="240" t="e">
        <f>TEXT(EN959,"#,###.##")</f>
        <v>#REF!</v>
      </c>
      <c r="AT962" s="240"/>
      <c r="AU962" s="240"/>
      <c r="AV962" s="240"/>
      <c r="AW962" s="240"/>
      <c r="AX962" s="240"/>
      <c r="AY962" s="240"/>
      <c r="AZ962" s="240"/>
      <c r="BA962" s="240" t="s">
        <v>134</v>
      </c>
      <c r="BB962" s="240"/>
      <c r="BC962" s="240"/>
      <c r="BD962" s="240" t="e">
        <f>TEXT(TRUNC(EN940+EN941+EN947+EN953+EN959,0),"#,##0")</f>
        <v>#REF!</v>
      </c>
      <c r="BE962" s="240"/>
      <c r="BF962" s="240"/>
      <c r="BG962" s="240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297"/>
      <c r="BT962" s="240"/>
      <c r="BU962" s="240"/>
      <c r="BV962" s="240"/>
      <c r="BW962" s="240"/>
      <c r="BX962" s="240"/>
      <c r="BY962" s="240"/>
      <c r="BZ962" s="240"/>
      <c r="CA962" s="240"/>
      <c r="CB962" s="240"/>
      <c r="CC962" s="240"/>
      <c r="CD962" s="240"/>
      <c r="CE962" s="240"/>
      <c r="CF962" s="240"/>
      <c r="CG962" s="240"/>
      <c r="CH962" s="240"/>
      <c r="CI962" s="240"/>
      <c r="CJ962" s="240"/>
      <c r="CK962" s="240"/>
      <c r="CL962" s="240"/>
      <c r="CM962" s="240"/>
      <c r="CN962" s="240"/>
      <c r="CO962" s="240"/>
      <c r="CP962" s="240"/>
      <c r="CQ962" s="240"/>
      <c r="CR962" s="240"/>
      <c r="CS962" s="240"/>
      <c r="CT962" s="240"/>
      <c r="CU962" s="240"/>
      <c r="CV962" s="240"/>
      <c r="CW962" s="240"/>
      <c r="CX962" s="240"/>
      <c r="CY962" s="240"/>
      <c r="CZ962" s="240"/>
      <c r="DA962" s="240"/>
      <c r="DB962" s="240"/>
      <c r="DC962" s="240"/>
      <c r="DD962" s="240"/>
      <c r="DE962" s="240"/>
      <c r="DF962" s="240"/>
      <c r="DG962" s="240"/>
      <c r="DH962" s="240"/>
      <c r="DI962" s="240"/>
      <c r="DJ962" s="240"/>
      <c r="DK962" s="240"/>
      <c r="DL962" s="240"/>
      <c r="DM962" s="240"/>
      <c r="DN962" s="240"/>
      <c r="DO962" s="240"/>
      <c r="DP962" s="240"/>
      <c r="DQ962" s="240"/>
      <c r="DR962" s="240"/>
      <c r="DS962" s="240"/>
      <c r="DT962" s="240"/>
      <c r="DU962" s="240"/>
      <c r="DV962" s="240"/>
      <c r="DW962" s="240"/>
      <c r="DX962" s="240"/>
      <c r="DY962" s="240"/>
      <c r="DZ962" s="240"/>
      <c r="EA962" s="240"/>
      <c r="EB962" s="240"/>
      <c r="EC962" s="240"/>
      <c r="ED962" s="240"/>
      <c r="EE962" s="240"/>
      <c r="EF962" s="240"/>
      <c r="EG962" s="240"/>
      <c r="EH962" s="240"/>
      <c r="EI962" s="240"/>
      <c r="EJ962" s="240"/>
      <c r="EK962" s="240"/>
      <c r="EL962" s="359"/>
      <c r="EM962" s="245"/>
      <c r="EN962" s="245"/>
      <c r="EO962" s="245"/>
      <c r="EP962" s="245"/>
      <c r="EQ962" s="254"/>
      <c r="ER962" s="240"/>
      <c r="ES962" s="240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193"/>
    </row>
    <row r="963" spans="2:189" s="243" customFormat="1" ht="11.45" hidden="1" customHeight="1">
      <c r="B963" s="244"/>
      <c r="C963" s="240"/>
      <c r="D963" s="240"/>
      <c r="E963" s="240"/>
      <c r="F963" s="240"/>
      <c r="G963" s="240"/>
      <c r="H963" s="240" t="s">
        <v>617</v>
      </c>
      <c r="I963" s="240"/>
      <c r="J963" s="240"/>
      <c r="K963" s="240"/>
      <c r="L963" s="297"/>
      <c r="M963" s="297"/>
      <c r="N963" s="297"/>
      <c r="O963" s="240" t="s">
        <v>132</v>
      </c>
      <c r="P963" s="240"/>
      <c r="Q963" s="240" t="e">
        <f>TEXT(EO947,"#,###.##")</f>
        <v>#REF!</v>
      </c>
      <c r="R963" s="240"/>
      <c r="S963" s="240"/>
      <c r="T963" s="240"/>
      <c r="U963" s="240"/>
      <c r="V963" s="240"/>
      <c r="W963" s="240" t="s">
        <v>130</v>
      </c>
      <c r="X963" s="240"/>
      <c r="Y963" s="240" t="e">
        <f>TEXT(EO953,"#,###.##")</f>
        <v>#REF!</v>
      </c>
      <c r="Z963" s="240"/>
      <c r="AA963" s="240"/>
      <c r="AB963" s="240"/>
      <c r="AC963" s="240"/>
      <c r="AD963" s="240"/>
      <c r="AE963" s="240" t="s">
        <v>130</v>
      </c>
      <c r="AF963" s="240"/>
      <c r="AG963" s="240" t="e">
        <f>TEXT(EO959,"#,###.##")</f>
        <v>#REF!</v>
      </c>
      <c r="AH963" s="240"/>
      <c r="AI963" s="240"/>
      <c r="AJ963" s="240"/>
      <c r="AK963" s="240"/>
      <c r="AL963" s="240"/>
      <c r="AM963" s="240" t="s">
        <v>134</v>
      </c>
      <c r="AN963" s="240"/>
      <c r="AO963" s="240"/>
      <c r="AP963" s="240" t="e">
        <f>TEXT(TRUNC(EO947+EO953+EO959,0),"#,##0")</f>
        <v>#REF!</v>
      </c>
      <c r="AQ963" s="240"/>
      <c r="AR963" s="240"/>
      <c r="AS963" s="240"/>
      <c r="AT963" s="240"/>
      <c r="AU963" s="240"/>
      <c r="AV963" s="240"/>
      <c r="AW963" s="240"/>
      <c r="AX963" s="240"/>
      <c r="AY963" s="240"/>
      <c r="AZ963" s="240"/>
      <c r="BA963" s="240"/>
      <c r="BB963" s="240"/>
      <c r="BC963" s="240"/>
      <c r="BD963" s="240"/>
      <c r="BE963" s="240"/>
      <c r="BF963" s="240"/>
      <c r="BG963" s="240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297"/>
      <c r="BT963" s="240"/>
      <c r="BU963" s="240"/>
      <c r="BV963" s="240"/>
      <c r="BW963" s="240"/>
      <c r="BX963" s="240"/>
      <c r="BY963" s="240"/>
      <c r="BZ963" s="240"/>
      <c r="CA963" s="240"/>
      <c r="CB963" s="240"/>
      <c r="CC963" s="240"/>
      <c r="CD963" s="240"/>
      <c r="CE963" s="240"/>
      <c r="CF963" s="240"/>
      <c r="CG963" s="240"/>
      <c r="CH963" s="240"/>
      <c r="CI963" s="240"/>
      <c r="CJ963" s="240"/>
      <c r="CK963" s="240"/>
      <c r="CL963" s="240"/>
      <c r="CM963" s="240"/>
      <c r="CN963" s="240"/>
      <c r="CO963" s="240"/>
      <c r="CP963" s="240"/>
      <c r="CQ963" s="240"/>
      <c r="CR963" s="240"/>
      <c r="CS963" s="240"/>
      <c r="CT963" s="240"/>
      <c r="CU963" s="240"/>
      <c r="CV963" s="240"/>
      <c r="CW963" s="240"/>
      <c r="CX963" s="240"/>
      <c r="CY963" s="240"/>
      <c r="CZ963" s="240"/>
      <c r="DA963" s="240"/>
      <c r="DB963" s="240"/>
      <c r="DC963" s="240"/>
      <c r="DD963" s="240"/>
      <c r="DE963" s="240"/>
      <c r="DF963" s="240"/>
      <c r="DG963" s="240"/>
      <c r="DH963" s="240"/>
      <c r="DI963" s="240"/>
      <c r="DJ963" s="240"/>
      <c r="DK963" s="240"/>
      <c r="DL963" s="240"/>
      <c r="DM963" s="240"/>
      <c r="DN963" s="240"/>
      <c r="DO963" s="240"/>
      <c r="DP963" s="240"/>
      <c r="DQ963" s="240"/>
      <c r="DR963" s="240"/>
      <c r="DS963" s="240"/>
      <c r="DT963" s="240"/>
      <c r="DU963" s="240"/>
      <c r="DV963" s="240"/>
      <c r="DW963" s="240"/>
      <c r="DX963" s="240"/>
      <c r="DY963" s="240"/>
      <c r="DZ963" s="240"/>
      <c r="EA963" s="240"/>
      <c r="EB963" s="240"/>
      <c r="EC963" s="240"/>
      <c r="ED963" s="240"/>
      <c r="EE963" s="240"/>
      <c r="EF963" s="240"/>
      <c r="EG963" s="240"/>
      <c r="EH963" s="240"/>
      <c r="EI963" s="240"/>
      <c r="EJ963" s="240"/>
      <c r="EK963" s="240"/>
      <c r="EL963" s="359"/>
      <c r="EM963" s="245"/>
      <c r="EN963" s="245"/>
      <c r="EO963" s="245"/>
      <c r="EP963" s="245"/>
      <c r="EQ963" s="254"/>
      <c r="ER963" s="240"/>
      <c r="ES963" s="240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193"/>
    </row>
    <row r="964" spans="2:189" s="243" customFormat="1" ht="11.45" hidden="1" customHeight="1">
      <c r="B964" s="244"/>
      <c r="C964" s="240"/>
      <c r="D964" s="240"/>
      <c r="E964" s="240"/>
      <c r="F964" s="240"/>
      <c r="G964" s="240"/>
      <c r="H964" s="240" t="s">
        <v>679</v>
      </c>
      <c r="I964" s="240"/>
      <c r="J964" s="297" t="s">
        <v>680</v>
      </c>
      <c r="K964" s="240"/>
      <c r="M964" s="297"/>
      <c r="N964" s="297"/>
      <c r="O964" s="240" t="s">
        <v>132</v>
      </c>
      <c r="P964" s="240"/>
      <c r="Q964" s="240" t="str">
        <f>TEXT(EP947,"#,###.##")</f>
        <v>1,104.9</v>
      </c>
      <c r="R964" s="240"/>
      <c r="S964" s="240"/>
      <c r="T964" s="240"/>
      <c r="U964" s="240"/>
      <c r="V964" s="240"/>
      <c r="W964" s="240" t="s">
        <v>130</v>
      </c>
      <c r="X964" s="240"/>
      <c r="Y964" s="240" t="str">
        <f>TEXT(EP953,"#,###.##")</f>
        <v>237.5</v>
      </c>
      <c r="Z964" s="240"/>
      <c r="AA964" s="240"/>
      <c r="AB964" s="240"/>
      <c r="AC964" s="240"/>
      <c r="AD964" s="240"/>
      <c r="AE964" s="240" t="s">
        <v>130</v>
      </c>
      <c r="AF964" s="240"/>
      <c r="AG964" s="240" t="str">
        <f>TEXT(EP959,"#,###.##")</f>
        <v>91.3</v>
      </c>
      <c r="AH964" s="240"/>
      <c r="AI964" s="240"/>
      <c r="AJ964" s="240"/>
      <c r="AK964" s="240"/>
      <c r="AL964" s="240" t="s">
        <v>134</v>
      </c>
      <c r="AM964" s="240"/>
      <c r="AN964" s="240"/>
      <c r="AO964" s="240" t="str">
        <f>TEXT(TRUNC(EP947+EP953+EP959,0),"#,##0")</f>
        <v>1,433</v>
      </c>
      <c r="AP964" s="240"/>
      <c r="AQ964" s="240"/>
      <c r="AR964" s="240"/>
      <c r="AS964" s="240"/>
      <c r="AT964" s="240"/>
      <c r="AU964" s="240"/>
      <c r="AV964" s="240"/>
      <c r="AW964" s="240"/>
      <c r="AX964" s="240"/>
      <c r="AY964" s="240"/>
      <c r="AZ964" s="240"/>
      <c r="BA964" s="240"/>
      <c r="BB964" s="240"/>
      <c r="BC964" s="240"/>
      <c r="BD964" s="240"/>
      <c r="BE964" s="240"/>
      <c r="BF964" s="240"/>
      <c r="BG964" s="240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297"/>
      <c r="BT964" s="240"/>
      <c r="BU964" s="240"/>
      <c r="BV964" s="240"/>
      <c r="BW964" s="240"/>
      <c r="BX964" s="240"/>
      <c r="BY964" s="240"/>
      <c r="BZ964" s="240"/>
      <c r="CA964" s="240"/>
      <c r="CB964" s="240"/>
      <c r="CC964" s="240"/>
      <c r="CD964" s="240"/>
      <c r="CE964" s="240"/>
      <c r="CF964" s="240"/>
      <c r="CG964" s="240"/>
      <c r="CH964" s="240"/>
      <c r="CI964" s="240"/>
      <c r="CJ964" s="240"/>
      <c r="CK964" s="240"/>
      <c r="CL964" s="240"/>
      <c r="CM964" s="240"/>
      <c r="CN964" s="240"/>
      <c r="CO964" s="240"/>
      <c r="CP964" s="240"/>
      <c r="CQ964" s="240"/>
      <c r="CR964" s="240"/>
      <c r="CS964" s="240"/>
      <c r="CT964" s="240"/>
      <c r="CU964" s="240"/>
      <c r="CV964" s="240"/>
      <c r="CW964" s="240"/>
      <c r="CX964" s="240"/>
      <c r="CY964" s="240"/>
      <c r="CZ964" s="240"/>
      <c r="DA964" s="240"/>
      <c r="DB964" s="240"/>
      <c r="DC964" s="240"/>
      <c r="DD964" s="240"/>
      <c r="DE964" s="240"/>
      <c r="DF964" s="240"/>
      <c r="DG964" s="240"/>
      <c r="DH964" s="240"/>
      <c r="DI964" s="240"/>
      <c r="DJ964" s="240"/>
      <c r="DK964" s="240"/>
      <c r="DL964" s="240"/>
      <c r="DM964" s="240"/>
      <c r="DN964" s="240"/>
      <c r="DO964" s="240"/>
      <c r="DP964" s="240"/>
      <c r="DQ964" s="240"/>
      <c r="DR964" s="240"/>
      <c r="DS964" s="240"/>
      <c r="DT964" s="240"/>
      <c r="DU964" s="240"/>
      <c r="DV964" s="240"/>
      <c r="DW964" s="240"/>
      <c r="DX964" s="240"/>
      <c r="DY964" s="240"/>
      <c r="DZ964" s="240"/>
      <c r="EA964" s="240"/>
      <c r="EB964" s="240"/>
      <c r="EC964" s="240"/>
      <c r="ED964" s="240"/>
      <c r="EE964" s="240"/>
      <c r="EF964" s="240"/>
      <c r="EG964" s="240"/>
      <c r="EH964" s="240"/>
      <c r="EI964" s="240"/>
      <c r="EJ964" s="240"/>
      <c r="EK964" s="240"/>
      <c r="EL964" s="359"/>
      <c r="EM964" s="245"/>
      <c r="EN964" s="245"/>
      <c r="EO964" s="245"/>
      <c r="EP964" s="245"/>
      <c r="EQ964" s="254"/>
      <c r="ER964" s="240"/>
      <c r="ES964" s="240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193"/>
    </row>
    <row r="965" spans="2:189" s="243" customFormat="1" ht="11.45" hidden="1" customHeight="1">
      <c r="B965" s="244"/>
      <c r="C965" s="240"/>
      <c r="D965" s="240"/>
      <c r="E965" s="240"/>
      <c r="F965" s="240"/>
      <c r="G965" s="240"/>
      <c r="H965" s="240"/>
      <c r="I965" s="240"/>
      <c r="J965" s="240" t="s">
        <v>96</v>
      </c>
      <c r="K965" s="240"/>
      <c r="L965" s="297"/>
      <c r="M965" s="297"/>
      <c r="N965" s="297"/>
      <c r="O965" s="240" t="s">
        <v>132</v>
      </c>
      <c r="P965" s="240"/>
      <c r="Q965" s="240"/>
      <c r="R965" s="240" t="e">
        <f>TEXT(BD962+AP963+AO964,"#,##0")</f>
        <v>#REF!</v>
      </c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0"/>
      <c r="AO965" s="240"/>
      <c r="AP965" s="240"/>
      <c r="AQ965" s="240"/>
      <c r="AR965" s="240"/>
      <c r="AS965" s="240"/>
      <c r="AT965" s="240"/>
      <c r="AU965" s="240"/>
      <c r="AV965" s="240"/>
      <c r="AW965" s="240"/>
      <c r="AX965" s="240"/>
      <c r="AY965" s="240"/>
      <c r="AZ965" s="240"/>
      <c r="BA965" s="240"/>
      <c r="BB965" s="240"/>
      <c r="BC965" s="240"/>
      <c r="BD965" s="240"/>
      <c r="BE965" s="240"/>
      <c r="BF965" s="240"/>
      <c r="BG965" s="240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297"/>
      <c r="BT965" s="240"/>
      <c r="BU965" s="240"/>
      <c r="BV965" s="240"/>
      <c r="BW965" s="240"/>
      <c r="BX965" s="240"/>
      <c r="BY965" s="240"/>
      <c r="BZ965" s="240"/>
      <c r="CA965" s="240"/>
      <c r="CB965" s="240"/>
      <c r="CC965" s="240"/>
      <c r="CD965" s="240"/>
      <c r="CE965" s="240"/>
      <c r="CF965" s="240"/>
      <c r="CG965" s="240"/>
      <c r="CH965" s="240"/>
      <c r="CI965" s="240"/>
      <c r="CJ965" s="240"/>
      <c r="CK965" s="240"/>
      <c r="CL965" s="240"/>
      <c r="CM965" s="240"/>
      <c r="CN965" s="240"/>
      <c r="CO965" s="240"/>
      <c r="CP965" s="240"/>
      <c r="CQ965" s="240"/>
      <c r="CR965" s="240"/>
      <c r="CS965" s="240"/>
      <c r="CT965" s="240"/>
      <c r="CU965" s="240"/>
      <c r="CV965" s="240"/>
      <c r="CW965" s="240"/>
      <c r="CX965" s="240"/>
      <c r="CY965" s="240"/>
      <c r="CZ965" s="240"/>
      <c r="DA965" s="240"/>
      <c r="DB965" s="240"/>
      <c r="DC965" s="240"/>
      <c r="DD965" s="240"/>
      <c r="DE965" s="240"/>
      <c r="DF965" s="240"/>
      <c r="DG965" s="240"/>
      <c r="DH965" s="240"/>
      <c r="DI965" s="240"/>
      <c r="DJ965" s="240"/>
      <c r="DK965" s="240"/>
      <c r="DL965" s="240"/>
      <c r="DM965" s="240"/>
      <c r="DN965" s="240"/>
      <c r="DO965" s="240"/>
      <c r="DP965" s="240"/>
      <c r="DQ965" s="240"/>
      <c r="DR965" s="240"/>
      <c r="DS965" s="240"/>
      <c r="DT965" s="240"/>
      <c r="DU965" s="240"/>
      <c r="DV965" s="240"/>
      <c r="DW965" s="240"/>
      <c r="DX965" s="240"/>
      <c r="DY965" s="240"/>
      <c r="DZ965" s="240"/>
      <c r="EA965" s="240"/>
      <c r="EB965" s="240"/>
      <c r="EC965" s="240"/>
      <c r="ED965" s="240"/>
      <c r="EE965" s="240"/>
      <c r="EF965" s="240"/>
      <c r="EG965" s="240"/>
      <c r="EH965" s="240"/>
      <c r="EI965" s="240"/>
      <c r="EJ965" s="240"/>
      <c r="EK965" s="240"/>
      <c r="EL965" s="359"/>
      <c r="EM965" s="250" t="e">
        <f>EN965+EO965+EP965</f>
        <v>#REF!</v>
      </c>
      <c r="EN965" s="245" t="e">
        <f>TEXT(BD962,"#,##0")</f>
        <v>#REF!</v>
      </c>
      <c r="EO965" s="245" t="e">
        <f>TEXT(AP963,"#,##0")</f>
        <v>#REF!</v>
      </c>
      <c r="EP965" s="245" t="str">
        <f>TEXT(AO964,"#,##0")</f>
        <v>1,433</v>
      </c>
      <c r="EQ965" s="254"/>
      <c r="ER965" s="240"/>
      <c r="ES965" s="240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193"/>
    </row>
    <row r="966" spans="2:189" s="243" customFormat="1" ht="11.45" hidden="1" customHeight="1">
      <c r="B966" s="244"/>
      <c r="C966" s="240"/>
      <c r="D966" s="240"/>
      <c r="E966" s="240"/>
      <c r="F966" s="240"/>
      <c r="G966" s="240"/>
      <c r="H966" s="240"/>
      <c r="I966" s="240"/>
      <c r="J966" s="240"/>
      <c r="K966" s="240"/>
      <c r="L966" s="297"/>
      <c r="M966" s="297"/>
      <c r="N966" s="297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0"/>
      <c r="AO966" s="240"/>
      <c r="AP966" s="240"/>
      <c r="AQ966" s="240"/>
      <c r="AR966" s="240"/>
      <c r="AS966" s="240"/>
      <c r="AT966" s="240"/>
      <c r="AU966" s="240"/>
      <c r="AV966" s="240"/>
      <c r="AW966" s="240"/>
      <c r="AX966" s="240"/>
      <c r="AY966" s="240"/>
      <c r="AZ966" s="240"/>
      <c r="BA966" s="240"/>
      <c r="BB966" s="240"/>
      <c r="BC966" s="240"/>
      <c r="BD966" s="240"/>
      <c r="BE966" s="240"/>
      <c r="BF966" s="240"/>
      <c r="BG966" s="240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297"/>
      <c r="BT966" s="240"/>
      <c r="BU966" s="240"/>
      <c r="BV966" s="240"/>
      <c r="BW966" s="240"/>
      <c r="BX966" s="240"/>
      <c r="BY966" s="240"/>
      <c r="BZ966" s="240"/>
      <c r="CA966" s="240"/>
      <c r="CB966" s="240"/>
      <c r="CC966" s="240"/>
      <c r="CD966" s="240"/>
      <c r="CE966" s="240"/>
      <c r="CF966" s="240"/>
      <c r="CG966" s="240"/>
      <c r="CH966" s="240"/>
      <c r="CI966" s="240"/>
      <c r="CJ966" s="240"/>
      <c r="CK966" s="240"/>
      <c r="CL966" s="240"/>
      <c r="CM966" s="240"/>
      <c r="CN966" s="240"/>
      <c r="CO966" s="240"/>
      <c r="CP966" s="240"/>
      <c r="CQ966" s="240"/>
      <c r="CR966" s="240"/>
      <c r="CS966" s="240"/>
      <c r="CT966" s="240"/>
      <c r="CU966" s="240"/>
      <c r="CV966" s="240"/>
      <c r="CW966" s="240"/>
      <c r="CX966" s="240"/>
      <c r="CY966" s="240"/>
      <c r="CZ966" s="240"/>
      <c r="DA966" s="240"/>
      <c r="DB966" s="240"/>
      <c r="DC966" s="240"/>
      <c r="DD966" s="240"/>
      <c r="DE966" s="240"/>
      <c r="DF966" s="240"/>
      <c r="DG966" s="240"/>
      <c r="DH966" s="240"/>
      <c r="DI966" s="240"/>
      <c r="DJ966" s="240"/>
      <c r="DK966" s="240"/>
      <c r="DL966" s="240"/>
      <c r="DM966" s="240"/>
      <c r="DN966" s="240"/>
      <c r="DO966" s="240"/>
      <c r="DP966" s="240"/>
      <c r="DQ966" s="240"/>
      <c r="DR966" s="240"/>
      <c r="DS966" s="240"/>
      <c r="DT966" s="240"/>
      <c r="DU966" s="240"/>
      <c r="DV966" s="240"/>
      <c r="DW966" s="240"/>
      <c r="DX966" s="240"/>
      <c r="DY966" s="240"/>
      <c r="DZ966" s="240"/>
      <c r="EA966" s="240"/>
      <c r="EB966" s="240"/>
      <c r="EC966" s="240"/>
      <c r="ED966" s="240"/>
      <c r="EE966" s="240"/>
      <c r="EF966" s="240"/>
      <c r="EG966" s="240"/>
      <c r="EH966" s="240"/>
      <c r="EI966" s="240"/>
      <c r="EJ966" s="240"/>
      <c r="EK966" s="240"/>
      <c r="EL966" s="359"/>
      <c r="EM966" s="245"/>
      <c r="EN966" s="245"/>
      <c r="EO966" s="245"/>
      <c r="EP966" s="245"/>
      <c r="EQ966" s="254"/>
      <c r="ER966" s="240"/>
      <c r="ES966" s="240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193"/>
    </row>
    <row r="967" spans="2:189" ht="11.45" hidden="1" customHeight="1">
      <c r="B967" s="228"/>
      <c r="C967" s="229"/>
      <c r="D967" s="229"/>
      <c r="E967" s="229"/>
      <c r="F967" s="229"/>
      <c r="G967" s="229"/>
      <c r="H967" s="229"/>
      <c r="I967" s="229"/>
      <c r="J967" s="229"/>
      <c r="K967" s="229"/>
      <c r="L967" s="296"/>
      <c r="M967" s="296"/>
      <c r="N967" s="296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  <c r="AH967" s="229"/>
      <c r="AI967" s="229"/>
      <c r="AJ967" s="229"/>
      <c r="AK967" s="229"/>
      <c r="AL967" s="229"/>
      <c r="AM967" s="229"/>
      <c r="AN967" s="229"/>
      <c r="AO967" s="229"/>
      <c r="AP967" s="229"/>
      <c r="AQ967" s="229"/>
      <c r="AR967" s="229"/>
      <c r="AS967" s="229"/>
      <c r="AT967" s="229"/>
      <c r="AU967" s="229"/>
      <c r="AV967" s="229"/>
      <c r="AW967" s="229"/>
      <c r="AX967" s="229"/>
      <c r="AY967" s="229"/>
      <c r="AZ967" s="229"/>
      <c r="BA967" s="229"/>
      <c r="BB967" s="229"/>
      <c r="BC967" s="229"/>
      <c r="BD967" s="229"/>
      <c r="BE967" s="229"/>
      <c r="BF967" s="229"/>
      <c r="BG967" s="229"/>
      <c r="BH967" s="229"/>
      <c r="BI967" s="229"/>
      <c r="BJ967" s="229"/>
      <c r="BK967" s="229"/>
      <c r="BL967" s="229"/>
      <c r="BM967" s="229"/>
      <c r="BN967" s="229"/>
      <c r="BO967" s="229"/>
      <c r="BP967" s="229"/>
      <c r="BQ967" s="229"/>
      <c r="BR967" s="229"/>
      <c r="BS967" s="296"/>
      <c r="BT967" s="229"/>
      <c r="BU967" s="229"/>
      <c r="BV967" s="229"/>
      <c r="BW967" s="229"/>
      <c r="BX967" s="229"/>
      <c r="BY967" s="229"/>
      <c r="BZ967" s="229"/>
      <c r="CA967" s="229"/>
      <c r="CB967" s="229"/>
      <c r="CC967" s="229"/>
      <c r="CD967" s="229"/>
      <c r="CE967" s="229"/>
      <c r="CF967" s="229"/>
      <c r="CG967" s="229"/>
      <c r="CH967" s="229"/>
      <c r="CI967" s="229"/>
      <c r="CJ967" s="229"/>
      <c r="CK967" s="229"/>
      <c r="CL967" s="229"/>
      <c r="CM967" s="229"/>
      <c r="CN967" s="229"/>
      <c r="CO967" s="229"/>
      <c r="CP967" s="229"/>
      <c r="CQ967" s="229"/>
      <c r="CR967" s="229"/>
      <c r="CS967" s="229"/>
      <c r="CT967" s="229"/>
      <c r="CU967" s="229"/>
      <c r="CV967" s="229"/>
      <c r="CW967" s="229"/>
      <c r="CX967" s="229"/>
      <c r="CY967" s="229"/>
      <c r="CZ967" s="229"/>
      <c r="DA967" s="229"/>
      <c r="DB967" s="229"/>
      <c r="DC967" s="229"/>
      <c r="DD967" s="229"/>
      <c r="DE967" s="229"/>
      <c r="DF967" s="229"/>
      <c r="DG967" s="229"/>
      <c r="DH967" s="229"/>
      <c r="DI967" s="229"/>
      <c r="DJ967" s="229"/>
      <c r="DK967" s="229"/>
      <c r="DL967" s="229"/>
      <c r="DM967" s="229"/>
      <c r="DN967" s="229"/>
      <c r="DO967" s="229"/>
      <c r="DP967" s="229"/>
      <c r="DQ967" s="229"/>
      <c r="DR967" s="229"/>
      <c r="DS967" s="229"/>
      <c r="DT967" s="229"/>
      <c r="DU967" s="229"/>
      <c r="DV967" s="229"/>
      <c r="DW967" s="229"/>
      <c r="DX967" s="229"/>
      <c r="DY967" s="229"/>
      <c r="DZ967" s="229"/>
      <c r="EA967" s="229"/>
      <c r="EB967" s="229"/>
      <c r="EC967" s="229"/>
      <c r="ED967" s="229"/>
      <c r="EE967" s="229"/>
      <c r="EF967" s="229"/>
      <c r="EG967" s="229"/>
      <c r="EH967" s="229"/>
      <c r="EI967" s="229"/>
      <c r="EJ967" s="229"/>
      <c r="EK967" s="229"/>
      <c r="EL967" s="305"/>
      <c r="EM967" s="234"/>
      <c r="EN967" s="234"/>
      <c r="EO967" s="234"/>
      <c r="EP967" s="234"/>
      <c r="EQ967" s="233"/>
    </row>
    <row r="968" spans="2:189" ht="11.45" hidden="1" customHeight="1">
      <c r="B968" s="228"/>
      <c r="C968" s="229"/>
      <c r="D968" s="229"/>
      <c r="E968" s="229"/>
      <c r="F968" s="229"/>
      <c r="G968" s="229"/>
      <c r="H968" s="229"/>
      <c r="I968" s="229"/>
      <c r="J968" s="229"/>
      <c r="K968" s="229"/>
      <c r="L968" s="296"/>
      <c r="M968" s="296"/>
      <c r="N968" s="296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  <c r="AH968" s="229"/>
      <c r="AI968" s="229"/>
      <c r="AJ968" s="229"/>
      <c r="AK968" s="229"/>
      <c r="AL968" s="229"/>
      <c r="AM968" s="229"/>
      <c r="AN968" s="229"/>
      <c r="AO968" s="229"/>
      <c r="AP968" s="229"/>
      <c r="AQ968" s="229"/>
      <c r="AR968" s="229"/>
      <c r="AS968" s="229"/>
      <c r="AT968" s="229"/>
      <c r="AU968" s="229"/>
      <c r="AV968" s="229"/>
      <c r="AW968" s="229"/>
      <c r="AX968" s="229"/>
      <c r="AY968" s="229"/>
      <c r="AZ968" s="229"/>
      <c r="BA968" s="229"/>
      <c r="BB968" s="229"/>
      <c r="BC968" s="229"/>
      <c r="BD968" s="229"/>
      <c r="BE968" s="229"/>
      <c r="BF968" s="229"/>
      <c r="BG968" s="229"/>
      <c r="BH968" s="229"/>
      <c r="BI968" s="229"/>
      <c r="BJ968" s="229"/>
      <c r="BK968" s="229"/>
      <c r="BL968" s="229"/>
      <c r="BM968" s="229"/>
      <c r="BN968" s="229"/>
      <c r="BO968" s="229"/>
      <c r="BP968" s="229"/>
      <c r="BQ968" s="229"/>
      <c r="BR968" s="229"/>
      <c r="BS968" s="296"/>
      <c r="BT968" s="229"/>
      <c r="BU968" s="229"/>
      <c r="BV968" s="229"/>
      <c r="BW968" s="229"/>
      <c r="BX968" s="229"/>
      <c r="BY968" s="229"/>
      <c r="BZ968" s="229"/>
      <c r="CA968" s="229"/>
      <c r="CB968" s="229"/>
      <c r="CC968" s="229"/>
      <c r="CD968" s="229"/>
      <c r="CE968" s="229"/>
      <c r="CF968" s="229"/>
      <c r="CG968" s="229"/>
      <c r="CH968" s="229"/>
      <c r="CI968" s="229"/>
      <c r="CJ968" s="229"/>
      <c r="CK968" s="229"/>
      <c r="CL968" s="229"/>
      <c r="CM968" s="229"/>
      <c r="CN968" s="229"/>
      <c r="CO968" s="229"/>
      <c r="CP968" s="229"/>
      <c r="CQ968" s="229"/>
      <c r="CR968" s="229"/>
      <c r="CS968" s="229"/>
      <c r="CT968" s="229"/>
      <c r="CU968" s="229"/>
      <c r="CV968" s="229"/>
      <c r="CW968" s="229"/>
      <c r="CX968" s="229"/>
      <c r="CY968" s="229"/>
      <c r="CZ968" s="229"/>
      <c r="DA968" s="229"/>
      <c r="DB968" s="229"/>
      <c r="DC968" s="229"/>
      <c r="DD968" s="229"/>
      <c r="DE968" s="229"/>
      <c r="DF968" s="229"/>
      <c r="DG968" s="229"/>
      <c r="DH968" s="229"/>
      <c r="DI968" s="229"/>
      <c r="DJ968" s="229"/>
      <c r="DK968" s="229"/>
      <c r="DL968" s="229"/>
      <c r="DM968" s="229"/>
      <c r="DN968" s="229"/>
      <c r="DO968" s="229"/>
      <c r="DP968" s="229"/>
      <c r="DQ968" s="229"/>
      <c r="DR968" s="229"/>
      <c r="DS968" s="229"/>
      <c r="DT968" s="229"/>
      <c r="DU968" s="229"/>
      <c r="DV968" s="229"/>
      <c r="DW968" s="229"/>
      <c r="DX968" s="229"/>
      <c r="DY968" s="229"/>
      <c r="DZ968" s="229"/>
      <c r="EA968" s="229"/>
      <c r="EB968" s="229"/>
      <c r="EC968" s="229"/>
      <c r="ED968" s="229"/>
      <c r="EE968" s="229"/>
      <c r="EF968" s="229"/>
      <c r="EG968" s="229"/>
      <c r="EH968" s="229"/>
      <c r="EI968" s="229"/>
      <c r="EJ968" s="229"/>
      <c r="EK968" s="229"/>
      <c r="EL968" s="305"/>
      <c r="EM968" s="234"/>
      <c r="EN968" s="234"/>
      <c r="EO968" s="234"/>
      <c r="EP968" s="234"/>
      <c r="EQ968" s="233"/>
    </row>
    <row r="969" spans="2:189" ht="11.45" hidden="1" customHeight="1">
      <c r="B969" s="228"/>
      <c r="C969" s="229"/>
      <c r="D969" s="229"/>
      <c r="E969" s="229"/>
      <c r="F969" s="229"/>
      <c r="G969" s="229"/>
      <c r="H969" s="229"/>
      <c r="I969" s="229"/>
      <c r="J969" s="229"/>
      <c r="K969" s="229"/>
      <c r="L969" s="296"/>
      <c r="M969" s="296"/>
      <c r="N969" s="296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  <c r="AH969" s="229"/>
      <c r="AI969" s="229"/>
      <c r="AJ969" s="229"/>
      <c r="AK969" s="229"/>
      <c r="AL969" s="229"/>
      <c r="AM969" s="229"/>
      <c r="AN969" s="229"/>
      <c r="AO969" s="229"/>
      <c r="AP969" s="229"/>
      <c r="AQ969" s="229"/>
      <c r="AR969" s="229"/>
      <c r="AS969" s="229"/>
      <c r="AT969" s="229"/>
      <c r="AU969" s="229"/>
      <c r="AV969" s="229"/>
      <c r="AW969" s="229"/>
      <c r="AX969" s="229"/>
      <c r="AY969" s="229"/>
      <c r="AZ969" s="229"/>
      <c r="BA969" s="229"/>
      <c r="BB969" s="229"/>
      <c r="BC969" s="229"/>
      <c r="BD969" s="229"/>
      <c r="BE969" s="229"/>
      <c r="BF969" s="229"/>
      <c r="BG969" s="229"/>
      <c r="BH969" s="229"/>
      <c r="BI969" s="229"/>
      <c r="BJ969" s="229"/>
      <c r="BK969" s="229"/>
      <c r="BL969" s="229"/>
      <c r="BM969" s="229"/>
      <c r="BN969" s="229"/>
      <c r="BO969" s="229"/>
      <c r="BP969" s="229"/>
      <c r="BQ969" s="229"/>
      <c r="BR969" s="229"/>
      <c r="BS969" s="296"/>
      <c r="BT969" s="229"/>
      <c r="BU969" s="229"/>
      <c r="BV969" s="229"/>
      <c r="BW969" s="229"/>
      <c r="BX969" s="229"/>
      <c r="BY969" s="229"/>
      <c r="BZ969" s="229"/>
      <c r="CA969" s="229"/>
      <c r="CB969" s="229"/>
      <c r="CC969" s="229"/>
      <c r="CD969" s="229"/>
      <c r="CE969" s="229"/>
      <c r="CF969" s="229"/>
      <c r="CG969" s="229"/>
      <c r="CH969" s="229"/>
      <c r="CI969" s="229"/>
      <c r="CJ969" s="229"/>
      <c r="CK969" s="229"/>
      <c r="CL969" s="229"/>
      <c r="CM969" s="229"/>
      <c r="CN969" s="229"/>
      <c r="CO969" s="229"/>
      <c r="CP969" s="229"/>
      <c r="CQ969" s="229"/>
      <c r="CR969" s="229"/>
      <c r="CS969" s="229"/>
      <c r="CT969" s="229"/>
      <c r="CU969" s="229"/>
      <c r="CV969" s="229"/>
      <c r="CW969" s="229"/>
      <c r="CX969" s="229"/>
      <c r="CY969" s="229"/>
      <c r="CZ969" s="229"/>
      <c r="DA969" s="229"/>
      <c r="DB969" s="229"/>
      <c r="DC969" s="229"/>
      <c r="DD969" s="229"/>
      <c r="DE969" s="229"/>
      <c r="DF969" s="229"/>
      <c r="DG969" s="229"/>
      <c r="DH969" s="229"/>
      <c r="DI969" s="229"/>
      <c r="DJ969" s="229"/>
      <c r="DK969" s="229"/>
      <c r="DL969" s="229"/>
      <c r="DM969" s="229"/>
      <c r="DN969" s="229"/>
      <c r="DO969" s="229"/>
      <c r="DP969" s="229"/>
      <c r="DQ969" s="229"/>
      <c r="DR969" s="229"/>
      <c r="DS969" s="229"/>
      <c r="DT969" s="229"/>
      <c r="DU969" s="229"/>
      <c r="DV969" s="229"/>
      <c r="DW969" s="229"/>
      <c r="DX969" s="229"/>
      <c r="DY969" s="229"/>
      <c r="DZ969" s="229"/>
      <c r="EA969" s="229"/>
      <c r="EB969" s="229"/>
      <c r="EC969" s="229"/>
      <c r="ED969" s="229"/>
      <c r="EE969" s="229"/>
      <c r="EF969" s="229"/>
      <c r="EG969" s="229"/>
      <c r="EH969" s="229"/>
      <c r="EI969" s="229"/>
      <c r="EJ969" s="229"/>
      <c r="EK969" s="229"/>
      <c r="EL969" s="305"/>
      <c r="EM969" s="234"/>
      <c r="EN969" s="234"/>
      <c r="EO969" s="234"/>
      <c r="EP969" s="234"/>
      <c r="EQ969" s="233"/>
    </row>
    <row r="970" spans="2:189" ht="11.45" hidden="1" customHeight="1">
      <c r="B970" s="228"/>
      <c r="C970" s="229"/>
      <c r="D970" s="229"/>
      <c r="E970" s="229"/>
      <c r="F970" s="229"/>
      <c r="G970" s="229"/>
      <c r="H970" s="229"/>
      <c r="I970" s="229"/>
      <c r="J970" s="229"/>
      <c r="K970" s="229"/>
      <c r="L970" s="296"/>
      <c r="M970" s="296"/>
      <c r="N970" s="296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  <c r="AH970" s="229"/>
      <c r="AI970" s="229"/>
      <c r="AJ970" s="229"/>
      <c r="AK970" s="229"/>
      <c r="AL970" s="229"/>
      <c r="AM970" s="229"/>
      <c r="AN970" s="229"/>
      <c r="AO970" s="229"/>
      <c r="AP970" s="229"/>
      <c r="AQ970" s="229"/>
      <c r="AR970" s="229"/>
      <c r="AS970" s="229"/>
      <c r="AT970" s="229"/>
      <c r="AU970" s="229"/>
      <c r="AV970" s="229"/>
      <c r="AW970" s="229"/>
      <c r="AX970" s="229"/>
      <c r="AY970" s="229"/>
      <c r="AZ970" s="229"/>
      <c r="BA970" s="229"/>
      <c r="BB970" s="229"/>
      <c r="BC970" s="229"/>
      <c r="BD970" s="229"/>
      <c r="BE970" s="229"/>
      <c r="BF970" s="229"/>
      <c r="BG970" s="229"/>
      <c r="BH970" s="229"/>
      <c r="BI970" s="229"/>
      <c r="BJ970" s="229"/>
      <c r="BK970" s="229"/>
      <c r="BL970" s="229"/>
      <c r="BM970" s="229"/>
      <c r="BN970" s="229"/>
      <c r="BO970" s="229"/>
      <c r="BP970" s="229"/>
      <c r="BQ970" s="229"/>
      <c r="BR970" s="229"/>
      <c r="BS970" s="296"/>
      <c r="BT970" s="229"/>
      <c r="BU970" s="229"/>
      <c r="BV970" s="229"/>
      <c r="BW970" s="229"/>
      <c r="BX970" s="229"/>
      <c r="BY970" s="229"/>
      <c r="BZ970" s="229"/>
      <c r="CA970" s="229"/>
      <c r="CB970" s="229"/>
      <c r="CC970" s="229"/>
      <c r="CD970" s="229"/>
      <c r="CE970" s="229"/>
      <c r="CF970" s="229"/>
      <c r="CG970" s="229"/>
      <c r="CH970" s="229"/>
      <c r="CI970" s="229"/>
      <c r="CJ970" s="229"/>
      <c r="CK970" s="229"/>
      <c r="CL970" s="229"/>
      <c r="CM970" s="229"/>
      <c r="CN970" s="229"/>
      <c r="CO970" s="229"/>
      <c r="CP970" s="229"/>
      <c r="CQ970" s="229"/>
      <c r="CR970" s="229"/>
      <c r="CS970" s="229"/>
      <c r="CT970" s="229"/>
      <c r="CU970" s="229"/>
      <c r="CV970" s="229"/>
      <c r="CW970" s="229"/>
      <c r="CX970" s="229"/>
      <c r="CY970" s="229"/>
      <c r="CZ970" s="229"/>
      <c r="DA970" s="229"/>
      <c r="DB970" s="229"/>
      <c r="DC970" s="229"/>
      <c r="DD970" s="229"/>
      <c r="DE970" s="229"/>
      <c r="DF970" s="229"/>
      <c r="DG970" s="229"/>
      <c r="DH970" s="229"/>
      <c r="DI970" s="229"/>
      <c r="DJ970" s="229"/>
      <c r="DK970" s="229"/>
      <c r="DL970" s="229"/>
      <c r="DM970" s="229"/>
      <c r="DN970" s="229"/>
      <c r="DO970" s="229"/>
      <c r="DP970" s="229"/>
      <c r="DQ970" s="229"/>
      <c r="DR970" s="229"/>
      <c r="DS970" s="229"/>
      <c r="DT970" s="229"/>
      <c r="DU970" s="229"/>
      <c r="DV970" s="229"/>
      <c r="DW970" s="229"/>
      <c r="DX970" s="229"/>
      <c r="DY970" s="229"/>
      <c r="DZ970" s="229"/>
      <c r="EA970" s="229"/>
      <c r="EB970" s="229"/>
      <c r="EC970" s="229"/>
      <c r="ED970" s="229"/>
      <c r="EE970" s="229"/>
      <c r="EF970" s="229"/>
      <c r="EG970" s="229"/>
      <c r="EH970" s="229"/>
      <c r="EI970" s="229"/>
      <c r="EJ970" s="229"/>
      <c r="EK970" s="229"/>
      <c r="EL970" s="305"/>
      <c r="EM970" s="234"/>
      <c r="EN970" s="234"/>
      <c r="EO970" s="234"/>
      <c r="EP970" s="234"/>
      <c r="EQ970" s="233"/>
    </row>
    <row r="971" spans="2:189" ht="11.45" hidden="1" customHeight="1">
      <c r="B971" s="228"/>
      <c r="C971" s="229"/>
      <c r="D971" s="229"/>
      <c r="E971" s="229"/>
      <c r="F971" s="229"/>
      <c r="G971" s="229"/>
      <c r="H971" s="229"/>
      <c r="I971" s="229"/>
      <c r="J971" s="229"/>
      <c r="K971" s="229"/>
      <c r="L971" s="296"/>
      <c r="M971" s="296"/>
      <c r="N971" s="296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  <c r="AH971" s="229"/>
      <c r="AI971" s="229"/>
      <c r="AJ971" s="229"/>
      <c r="AK971" s="229"/>
      <c r="AL971" s="229"/>
      <c r="AM971" s="229"/>
      <c r="AN971" s="229"/>
      <c r="AO971" s="229"/>
      <c r="AP971" s="229"/>
      <c r="AQ971" s="229"/>
      <c r="AR971" s="229"/>
      <c r="AS971" s="229"/>
      <c r="AT971" s="229"/>
      <c r="AU971" s="229"/>
      <c r="AV971" s="229"/>
      <c r="AW971" s="229"/>
      <c r="AX971" s="229"/>
      <c r="AY971" s="229"/>
      <c r="AZ971" s="229"/>
      <c r="BA971" s="229"/>
      <c r="BB971" s="229"/>
      <c r="BC971" s="229"/>
      <c r="BD971" s="229"/>
      <c r="BE971" s="229"/>
      <c r="BF971" s="229"/>
      <c r="BG971" s="229"/>
      <c r="BH971" s="229"/>
      <c r="BI971" s="229"/>
      <c r="BJ971" s="229"/>
      <c r="BK971" s="229"/>
      <c r="BL971" s="229"/>
      <c r="BM971" s="229"/>
      <c r="BN971" s="229"/>
      <c r="BO971" s="229"/>
      <c r="BP971" s="229"/>
      <c r="BQ971" s="229"/>
      <c r="BR971" s="229"/>
      <c r="BS971" s="296"/>
      <c r="BT971" s="229"/>
      <c r="BU971" s="229"/>
      <c r="BV971" s="229"/>
      <c r="BW971" s="229"/>
      <c r="BX971" s="229"/>
      <c r="BY971" s="229"/>
      <c r="BZ971" s="229"/>
      <c r="CA971" s="229"/>
      <c r="CB971" s="229"/>
      <c r="CC971" s="229"/>
      <c r="CD971" s="229"/>
      <c r="CE971" s="229"/>
      <c r="CF971" s="229"/>
      <c r="CG971" s="229"/>
      <c r="CH971" s="229"/>
      <c r="CI971" s="229"/>
      <c r="CJ971" s="229"/>
      <c r="CK971" s="229"/>
      <c r="CL971" s="229"/>
      <c r="CM971" s="229"/>
      <c r="CN971" s="229"/>
      <c r="CO971" s="229"/>
      <c r="CP971" s="229"/>
      <c r="CQ971" s="229"/>
      <c r="CR971" s="229"/>
      <c r="CS971" s="229"/>
      <c r="CT971" s="229"/>
      <c r="CU971" s="229"/>
      <c r="CV971" s="229"/>
      <c r="CW971" s="229"/>
      <c r="CX971" s="229"/>
      <c r="CY971" s="229"/>
      <c r="CZ971" s="229"/>
      <c r="DA971" s="229"/>
      <c r="DB971" s="229"/>
      <c r="DC971" s="229"/>
      <c r="DD971" s="229"/>
      <c r="DE971" s="229"/>
      <c r="DF971" s="229"/>
      <c r="DG971" s="229"/>
      <c r="DH971" s="229"/>
      <c r="DI971" s="229"/>
      <c r="DJ971" s="229"/>
      <c r="DK971" s="229"/>
      <c r="DL971" s="229"/>
      <c r="DM971" s="229"/>
      <c r="DN971" s="229"/>
      <c r="DO971" s="229"/>
      <c r="DP971" s="229"/>
      <c r="DQ971" s="229"/>
      <c r="DR971" s="229"/>
      <c r="DS971" s="229"/>
      <c r="DT971" s="229"/>
      <c r="DU971" s="229"/>
      <c r="DV971" s="229"/>
      <c r="DW971" s="229"/>
      <c r="DX971" s="229"/>
      <c r="DY971" s="229"/>
      <c r="DZ971" s="229"/>
      <c r="EA971" s="229"/>
      <c r="EB971" s="229"/>
      <c r="EC971" s="229"/>
      <c r="ED971" s="229"/>
      <c r="EE971" s="229"/>
      <c r="EF971" s="229"/>
      <c r="EG971" s="229"/>
      <c r="EH971" s="229"/>
      <c r="EI971" s="229"/>
      <c r="EJ971" s="229"/>
      <c r="EK971" s="229"/>
      <c r="EL971" s="305"/>
      <c r="EM971" s="234"/>
      <c r="EN971" s="234"/>
      <c r="EO971" s="234"/>
      <c r="EP971" s="234"/>
      <c r="EQ971" s="233"/>
    </row>
    <row r="972" spans="2:189" ht="11.45" hidden="1" customHeight="1">
      <c r="B972" s="228"/>
      <c r="C972" s="229"/>
      <c r="D972" s="229"/>
      <c r="E972" s="229"/>
      <c r="F972" s="229"/>
      <c r="G972" s="229"/>
      <c r="H972" s="229"/>
      <c r="I972" s="229"/>
      <c r="J972" s="229"/>
      <c r="K972" s="229"/>
      <c r="L972" s="296"/>
      <c r="M972" s="296"/>
      <c r="N972" s="296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  <c r="AH972" s="229"/>
      <c r="AI972" s="229"/>
      <c r="AJ972" s="229"/>
      <c r="AK972" s="229"/>
      <c r="AL972" s="229"/>
      <c r="AM972" s="229"/>
      <c r="AN972" s="229"/>
      <c r="AO972" s="229"/>
      <c r="AP972" s="229"/>
      <c r="AQ972" s="229"/>
      <c r="AR972" s="229"/>
      <c r="AS972" s="229"/>
      <c r="AT972" s="229"/>
      <c r="AU972" s="229"/>
      <c r="AV972" s="229"/>
      <c r="AW972" s="229"/>
      <c r="AX972" s="229"/>
      <c r="AY972" s="229"/>
      <c r="AZ972" s="229"/>
      <c r="BA972" s="229"/>
      <c r="BB972" s="229"/>
      <c r="BC972" s="229"/>
      <c r="BD972" s="229"/>
      <c r="BE972" s="229"/>
      <c r="BF972" s="229"/>
      <c r="BG972" s="229"/>
      <c r="BH972" s="229"/>
      <c r="BI972" s="229"/>
      <c r="BJ972" s="229"/>
      <c r="BK972" s="229"/>
      <c r="BL972" s="229"/>
      <c r="BM972" s="229"/>
      <c r="BN972" s="229"/>
      <c r="BO972" s="229"/>
      <c r="BP972" s="229"/>
      <c r="BQ972" s="229"/>
      <c r="BR972" s="229"/>
      <c r="BS972" s="296"/>
      <c r="BT972" s="229"/>
      <c r="BU972" s="229"/>
      <c r="BV972" s="229"/>
      <c r="BW972" s="229"/>
      <c r="BX972" s="229"/>
      <c r="BY972" s="229"/>
      <c r="BZ972" s="229"/>
      <c r="CA972" s="229"/>
      <c r="CB972" s="229"/>
      <c r="CC972" s="229"/>
      <c r="CD972" s="229"/>
      <c r="CE972" s="229"/>
      <c r="CF972" s="229"/>
      <c r="CG972" s="229"/>
      <c r="CH972" s="229"/>
      <c r="CI972" s="229"/>
      <c r="CJ972" s="229"/>
      <c r="CK972" s="229"/>
      <c r="CL972" s="229"/>
      <c r="CM972" s="229"/>
      <c r="CN972" s="229"/>
      <c r="CO972" s="229"/>
      <c r="CP972" s="229"/>
      <c r="CQ972" s="229"/>
      <c r="CR972" s="229"/>
      <c r="CS972" s="229"/>
      <c r="CT972" s="229"/>
      <c r="CU972" s="229"/>
      <c r="CV972" s="229"/>
      <c r="CW972" s="229"/>
      <c r="CX972" s="229"/>
      <c r="CY972" s="229"/>
      <c r="CZ972" s="229"/>
      <c r="DA972" s="229"/>
      <c r="DB972" s="229"/>
      <c r="DC972" s="229"/>
      <c r="DD972" s="229"/>
      <c r="DE972" s="229"/>
      <c r="DF972" s="229"/>
      <c r="DG972" s="229"/>
      <c r="DH972" s="229"/>
      <c r="DI972" s="229"/>
      <c r="DJ972" s="229"/>
      <c r="DK972" s="229"/>
      <c r="DL972" s="229"/>
      <c r="DM972" s="229"/>
      <c r="DN972" s="229"/>
      <c r="DO972" s="229"/>
      <c r="DP972" s="229"/>
      <c r="DQ972" s="229"/>
      <c r="DR972" s="229"/>
      <c r="DS972" s="229"/>
      <c r="DT972" s="229"/>
      <c r="DU972" s="229"/>
      <c r="DV972" s="229"/>
      <c r="DW972" s="229"/>
      <c r="DX972" s="229"/>
      <c r="DY972" s="229"/>
      <c r="DZ972" s="229"/>
      <c r="EA972" s="229"/>
      <c r="EB972" s="229"/>
      <c r="EC972" s="229"/>
      <c r="ED972" s="229"/>
      <c r="EE972" s="229"/>
      <c r="EF972" s="229"/>
      <c r="EG972" s="229"/>
      <c r="EH972" s="229"/>
      <c r="EI972" s="229"/>
      <c r="EJ972" s="229"/>
      <c r="EK972" s="229"/>
      <c r="EL972" s="305"/>
      <c r="EM972" s="234"/>
      <c r="EN972" s="234"/>
      <c r="EO972" s="234"/>
      <c r="EP972" s="234"/>
      <c r="EQ972" s="233"/>
    </row>
    <row r="973" spans="2:189" ht="11.45" hidden="1" customHeight="1">
      <c r="B973" s="228"/>
      <c r="C973" s="229"/>
      <c r="D973" s="229"/>
      <c r="E973" s="229"/>
      <c r="F973" s="229"/>
      <c r="G973" s="229"/>
      <c r="H973" s="229"/>
      <c r="I973" s="229"/>
      <c r="J973" s="229"/>
      <c r="K973" s="229"/>
      <c r="L973" s="296"/>
      <c r="M973" s="296"/>
      <c r="N973" s="296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  <c r="AH973" s="229"/>
      <c r="AI973" s="229"/>
      <c r="AJ973" s="229"/>
      <c r="AK973" s="229"/>
      <c r="AL973" s="229"/>
      <c r="AM973" s="229"/>
      <c r="AN973" s="229"/>
      <c r="AO973" s="229"/>
      <c r="AP973" s="229"/>
      <c r="AQ973" s="229"/>
      <c r="AR973" s="229"/>
      <c r="AS973" s="229"/>
      <c r="AT973" s="229"/>
      <c r="AU973" s="229"/>
      <c r="AV973" s="229"/>
      <c r="AW973" s="229"/>
      <c r="AX973" s="229"/>
      <c r="AY973" s="229"/>
      <c r="AZ973" s="229"/>
      <c r="BA973" s="229"/>
      <c r="BB973" s="229"/>
      <c r="BC973" s="229"/>
      <c r="BD973" s="229"/>
      <c r="BE973" s="229"/>
      <c r="BF973" s="229"/>
      <c r="BG973" s="229"/>
      <c r="BH973" s="229"/>
      <c r="BI973" s="229"/>
      <c r="BJ973" s="229"/>
      <c r="BK973" s="229"/>
      <c r="BL973" s="229"/>
      <c r="BM973" s="229"/>
      <c r="BN973" s="229"/>
      <c r="BO973" s="229"/>
      <c r="BP973" s="229"/>
      <c r="BQ973" s="229"/>
      <c r="BR973" s="229"/>
      <c r="BS973" s="296"/>
      <c r="BT973" s="229"/>
      <c r="BU973" s="229"/>
      <c r="BV973" s="229"/>
      <c r="BW973" s="229"/>
      <c r="BX973" s="229"/>
      <c r="BY973" s="229"/>
      <c r="BZ973" s="229"/>
      <c r="CA973" s="229"/>
      <c r="CB973" s="229"/>
      <c r="CC973" s="229"/>
      <c r="CD973" s="229"/>
      <c r="CE973" s="229"/>
      <c r="CF973" s="229"/>
      <c r="CG973" s="229"/>
      <c r="CH973" s="229"/>
      <c r="CI973" s="229"/>
      <c r="CJ973" s="229"/>
      <c r="CK973" s="229"/>
      <c r="CL973" s="229"/>
      <c r="CM973" s="229"/>
      <c r="CN973" s="229"/>
      <c r="CO973" s="229"/>
      <c r="CP973" s="229"/>
      <c r="CQ973" s="229"/>
      <c r="CR973" s="229"/>
      <c r="CS973" s="229"/>
      <c r="CT973" s="229"/>
      <c r="CU973" s="229"/>
      <c r="CV973" s="229"/>
      <c r="CW973" s="229"/>
      <c r="CX973" s="229"/>
      <c r="CY973" s="229"/>
      <c r="CZ973" s="229"/>
      <c r="DA973" s="229"/>
      <c r="DB973" s="229"/>
      <c r="DC973" s="229"/>
      <c r="DD973" s="229"/>
      <c r="DE973" s="229"/>
      <c r="DF973" s="229"/>
      <c r="DG973" s="229"/>
      <c r="DH973" s="229"/>
      <c r="DI973" s="229"/>
      <c r="DJ973" s="229"/>
      <c r="DK973" s="229"/>
      <c r="DL973" s="229"/>
      <c r="DM973" s="229"/>
      <c r="DN973" s="229"/>
      <c r="DO973" s="229"/>
      <c r="DP973" s="229"/>
      <c r="DQ973" s="229"/>
      <c r="DR973" s="229"/>
      <c r="DS973" s="229"/>
      <c r="DT973" s="229"/>
      <c r="DU973" s="229"/>
      <c r="DV973" s="229"/>
      <c r="DW973" s="229"/>
      <c r="DX973" s="229"/>
      <c r="DY973" s="229"/>
      <c r="DZ973" s="229"/>
      <c r="EA973" s="229"/>
      <c r="EB973" s="229"/>
      <c r="EC973" s="229"/>
      <c r="ED973" s="229"/>
      <c r="EE973" s="229"/>
      <c r="EF973" s="229"/>
      <c r="EG973" s="229"/>
      <c r="EH973" s="229"/>
      <c r="EI973" s="229"/>
      <c r="EJ973" s="229"/>
      <c r="EK973" s="229"/>
      <c r="EL973" s="305"/>
      <c r="EM973" s="234"/>
      <c r="EN973" s="234"/>
      <c r="EO973" s="234"/>
      <c r="EP973" s="234"/>
      <c r="EQ973" s="233"/>
    </row>
    <row r="974" spans="2:189" ht="11.45" hidden="1" customHeight="1">
      <c r="B974" s="228"/>
      <c r="C974" s="229"/>
      <c r="D974" s="229"/>
      <c r="E974" s="229"/>
      <c r="F974" s="229"/>
      <c r="G974" s="229"/>
      <c r="H974" s="229"/>
      <c r="I974" s="229"/>
      <c r="J974" s="229"/>
      <c r="K974" s="229"/>
      <c r="L974" s="296"/>
      <c r="M974" s="296"/>
      <c r="N974" s="296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  <c r="AH974" s="229"/>
      <c r="AI974" s="229"/>
      <c r="AJ974" s="229"/>
      <c r="AK974" s="229"/>
      <c r="AL974" s="229"/>
      <c r="AM974" s="229"/>
      <c r="AN974" s="229"/>
      <c r="AO974" s="229"/>
      <c r="AP974" s="229"/>
      <c r="AQ974" s="229"/>
      <c r="AR974" s="229"/>
      <c r="AS974" s="229"/>
      <c r="AT974" s="229"/>
      <c r="AU974" s="229"/>
      <c r="AV974" s="229"/>
      <c r="AW974" s="229"/>
      <c r="AX974" s="229"/>
      <c r="AY974" s="229"/>
      <c r="AZ974" s="229"/>
      <c r="BA974" s="229"/>
      <c r="BB974" s="229"/>
      <c r="BC974" s="229"/>
      <c r="BD974" s="229"/>
      <c r="BE974" s="229"/>
      <c r="BF974" s="229"/>
      <c r="BG974" s="229"/>
      <c r="BH974" s="229"/>
      <c r="BI974" s="229"/>
      <c r="BJ974" s="229"/>
      <c r="BK974" s="229"/>
      <c r="BL974" s="229"/>
      <c r="BM974" s="229"/>
      <c r="BN974" s="229"/>
      <c r="BO974" s="229"/>
      <c r="BP974" s="229"/>
      <c r="BQ974" s="229"/>
      <c r="BR974" s="229"/>
      <c r="BS974" s="296"/>
      <c r="BT974" s="229"/>
      <c r="BU974" s="229"/>
      <c r="BV974" s="229"/>
      <c r="BW974" s="229"/>
      <c r="BX974" s="229"/>
      <c r="BY974" s="229"/>
      <c r="BZ974" s="229"/>
      <c r="CA974" s="229"/>
      <c r="CB974" s="229"/>
      <c r="CC974" s="229"/>
      <c r="CD974" s="229"/>
      <c r="CE974" s="229"/>
      <c r="CF974" s="229"/>
      <c r="CG974" s="229"/>
      <c r="CH974" s="229"/>
      <c r="CI974" s="229"/>
      <c r="CJ974" s="229"/>
      <c r="CK974" s="229"/>
      <c r="CL974" s="229"/>
      <c r="CM974" s="229"/>
      <c r="CN974" s="229"/>
      <c r="CO974" s="229"/>
      <c r="CP974" s="229"/>
      <c r="CQ974" s="229"/>
      <c r="CR974" s="229"/>
      <c r="CS974" s="229"/>
      <c r="CT974" s="229"/>
      <c r="CU974" s="229"/>
      <c r="CV974" s="229"/>
      <c r="CW974" s="229"/>
      <c r="CX974" s="229"/>
      <c r="CY974" s="229"/>
      <c r="CZ974" s="229"/>
      <c r="DA974" s="229"/>
      <c r="DB974" s="229"/>
      <c r="DC974" s="229"/>
      <c r="DD974" s="229"/>
      <c r="DE974" s="229"/>
      <c r="DF974" s="229"/>
      <c r="DG974" s="229"/>
      <c r="DH974" s="229"/>
      <c r="DI974" s="229"/>
      <c r="DJ974" s="229"/>
      <c r="DK974" s="229"/>
      <c r="DL974" s="229"/>
      <c r="DM974" s="229"/>
      <c r="DN974" s="229"/>
      <c r="DO974" s="229"/>
      <c r="DP974" s="229"/>
      <c r="DQ974" s="229"/>
      <c r="DR974" s="229"/>
      <c r="DS974" s="229"/>
      <c r="DT974" s="229"/>
      <c r="DU974" s="229"/>
      <c r="DV974" s="229"/>
      <c r="DW974" s="229"/>
      <c r="DX974" s="229"/>
      <c r="DY974" s="229"/>
      <c r="DZ974" s="229"/>
      <c r="EA974" s="229"/>
      <c r="EB974" s="229"/>
      <c r="EC974" s="229"/>
      <c r="ED974" s="229"/>
      <c r="EE974" s="229"/>
      <c r="EF974" s="229"/>
      <c r="EG974" s="229"/>
      <c r="EH974" s="229"/>
      <c r="EI974" s="229"/>
      <c r="EJ974" s="229"/>
      <c r="EK974" s="229"/>
      <c r="EL974" s="305"/>
      <c r="EM974" s="234"/>
      <c r="EN974" s="234"/>
      <c r="EO974" s="234"/>
      <c r="EP974" s="234"/>
      <c r="EQ974" s="233"/>
    </row>
    <row r="975" spans="2:189" ht="11.45" hidden="1" customHeight="1">
      <c r="B975" s="228"/>
      <c r="C975" s="229"/>
      <c r="D975" s="229"/>
      <c r="E975" s="229"/>
      <c r="F975" s="229"/>
      <c r="G975" s="229"/>
      <c r="H975" s="229"/>
      <c r="I975" s="229"/>
      <c r="J975" s="229"/>
      <c r="K975" s="229"/>
      <c r="L975" s="296"/>
      <c r="M975" s="296"/>
      <c r="N975" s="296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  <c r="AH975" s="229"/>
      <c r="AI975" s="229"/>
      <c r="AJ975" s="229"/>
      <c r="AK975" s="229"/>
      <c r="AL975" s="229"/>
      <c r="AM975" s="229"/>
      <c r="AN975" s="229"/>
      <c r="AO975" s="229"/>
      <c r="AP975" s="229"/>
      <c r="AQ975" s="229"/>
      <c r="AR975" s="229"/>
      <c r="AS975" s="229"/>
      <c r="AT975" s="229"/>
      <c r="AU975" s="229"/>
      <c r="AV975" s="229"/>
      <c r="AW975" s="229"/>
      <c r="AX975" s="229"/>
      <c r="AY975" s="229"/>
      <c r="AZ975" s="229"/>
      <c r="BA975" s="229"/>
      <c r="BB975" s="229"/>
      <c r="BC975" s="229"/>
      <c r="BD975" s="229"/>
      <c r="BE975" s="229"/>
      <c r="BF975" s="229"/>
      <c r="BG975" s="229"/>
      <c r="BH975" s="229"/>
      <c r="BI975" s="229"/>
      <c r="BJ975" s="229"/>
      <c r="BK975" s="229"/>
      <c r="BL975" s="229"/>
      <c r="BM975" s="229"/>
      <c r="BN975" s="229"/>
      <c r="BO975" s="229"/>
      <c r="BP975" s="229"/>
      <c r="BQ975" s="229"/>
      <c r="BR975" s="229"/>
      <c r="BS975" s="296"/>
      <c r="BT975" s="229"/>
      <c r="BU975" s="229"/>
      <c r="BV975" s="229"/>
      <c r="BW975" s="229"/>
      <c r="BX975" s="229"/>
      <c r="BY975" s="229"/>
      <c r="BZ975" s="229"/>
      <c r="CA975" s="229"/>
      <c r="CB975" s="229"/>
      <c r="CC975" s="229"/>
      <c r="CD975" s="229"/>
      <c r="CE975" s="229"/>
      <c r="CF975" s="229"/>
      <c r="CG975" s="229"/>
      <c r="CH975" s="229"/>
      <c r="CI975" s="229"/>
      <c r="CJ975" s="229"/>
      <c r="CK975" s="229"/>
      <c r="CL975" s="229"/>
      <c r="CM975" s="229"/>
      <c r="CN975" s="229"/>
      <c r="CO975" s="229"/>
      <c r="CP975" s="229"/>
      <c r="CQ975" s="229"/>
      <c r="CR975" s="229"/>
      <c r="CS975" s="229"/>
      <c r="CT975" s="229"/>
      <c r="CU975" s="229"/>
      <c r="CV975" s="229"/>
      <c r="CW975" s="229"/>
      <c r="CX975" s="229"/>
      <c r="CY975" s="229"/>
      <c r="CZ975" s="229"/>
      <c r="DA975" s="229"/>
      <c r="DB975" s="229"/>
      <c r="DC975" s="229"/>
      <c r="DD975" s="229"/>
      <c r="DE975" s="229"/>
      <c r="DF975" s="229"/>
      <c r="DG975" s="229"/>
      <c r="DH975" s="229"/>
      <c r="DI975" s="229"/>
      <c r="DJ975" s="229"/>
      <c r="DK975" s="229"/>
      <c r="DL975" s="229"/>
      <c r="DM975" s="229"/>
      <c r="DN975" s="229"/>
      <c r="DO975" s="229"/>
      <c r="DP975" s="229"/>
      <c r="DQ975" s="229"/>
      <c r="DR975" s="229"/>
      <c r="DS975" s="229"/>
      <c r="DT975" s="229"/>
      <c r="DU975" s="229"/>
      <c r="DV975" s="229"/>
      <c r="DW975" s="229"/>
      <c r="DX975" s="229"/>
      <c r="DY975" s="229"/>
      <c r="DZ975" s="229"/>
      <c r="EA975" s="229"/>
      <c r="EB975" s="229"/>
      <c r="EC975" s="229"/>
      <c r="ED975" s="229"/>
      <c r="EE975" s="229"/>
      <c r="EF975" s="229"/>
      <c r="EG975" s="229"/>
      <c r="EH975" s="229"/>
      <c r="EI975" s="229"/>
      <c r="EJ975" s="229"/>
      <c r="EK975" s="229"/>
      <c r="EL975" s="305"/>
      <c r="EM975" s="234"/>
      <c r="EN975" s="234"/>
      <c r="EO975" s="234"/>
      <c r="EP975" s="234"/>
      <c r="EQ975" s="233"/>
    </row>
    <row r="976" spans="2:189" ht="11.45" hidden="1" customHeight="1">
      <c r="B976" s="228"/>
      <c r="C976" s="229"/>
      <c r="D976" s="229"/>
      <c r="E976" s="229"/>
      <c r="F976" s="229"/>
      <c r="G976" s="229"/>
      <c r="H976" s="229"/>
      <c r="I976" s="229"/>
      <c r="J976" s="229"/>
      <c r="K976" s="229"/>
      <c r="L976" s="296"/>
      <c r="M976" s="296"/>
      <c r="N976" s="296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  <c r="AH976" s="229"/>
      <c r="AI976" s="229"/>
      <c r="AJ976" s="229"/>
      <c r="AK976" s="229"/>
      <c r="AL976" s="229"/>
      <c r="AM976" s="229"/>
      <c r="AN976" s="229"/>
      <c r="AO976" s="229"/>
      <c r="AP976" s="229"/>
      <c r="AQ976" s="229"/>
      <c r="AR976" s="229"/>
      <c r="AS976" s="229"/>
      <c r="AT976" s="229"/>
      <c r="AU976" s="229"/>
      <c r="AV976" s="229"/>
      <c r="AW976" s="229"/>
      <c r="AX976" s="229"/>
      <c r="AY976" s="229"/>
      <c r="AZ976" s="229"/>
      <c r="BA976" s="229"/>
      <c r="BB976" s="229"/>
      <c r="BC976" s="229"/>
      <c r="BD976" s="229"/>
      <c r="BE976" s="229"/>
      <c r="BF976" s="229"/>
      <c r="BG976" s="229"/>
      <c r="BH976" s="229"/>
      <c r="BI976" s="229"/>
      <c r="BJ976" s="229"/>
      <c r="BK976" s="229"/>
      <c r="BL976" s="229"/>
      <c r="BM976" s="229"/>
      <c r="BN976" s="229"/>
      <c r="BO976" s="229"/>
      <c r="BP976" s="229"/>
      <c r="BQ976" s="229"/>
      <c r="BR976" s="229"/>
      <c r="BS976" s="296"/>
      <c r="BT976" s="229"/>
      <c r="BU976" s="229"/>
      <c r="BV976" s="229"/>
      <c r="BW976" s="229"/>
      <c r="BX976" s="229"/>
      <c r="BY976" s="229"/>
      <c r="BZ976" s="229"/>
      <c r="CA976" s="229"/>
      <c r="CB976" s="229"/>
      <c r="CC976" s="229"/>
      <c r="CD976" s="229"/>
      <c r="CE976" s="229"/>
      <c r="CF976" s="229"/>
      <c r="CG976" s="229"/>
      <c r="CH976" s="229"/>
      <c r="CI976" s="229"/>
      <c r="CJ976" s="229"/>
      <c r="CK976" s="229"/>
      <c r="CL976" s="229"/>
      <c r="CM976" s="229"/>
      <c r="CN976" s="229"/>
      <c r="CO976" s="229"/>
      <c r="CP976" s="229"/>
      <c r="CQ976" s="229"/>
      <c r="CR976" s="229"/>
      <c r="CS976" s="229"/>
      <c r="CT976" s="229"/>
      <c r="CU976" s="229"/>
      <c r="CV976" s="229"/>
      <c r="CW976" s="229"/>
      <c r="CX976" s="229"/>
      <c r="CY976" s="229"/>
      <c r="CZ976" s="229"/>
      <c r="DA976" s="229"/>
      <c r="DB976" s="229"/>
      <c r="DC976" s="229"/>
      <c r="DD976" s="229"/>
      <c r="DE976" s="229"/>
      <c r="DF976" s="229"/>
      <c r="DG976" s="229"/>
      <c r="DH976" s="229"/>
      <c r="DI976" s="229"/>
      <c r="DJ976" s="229"/>
      <c r="DK976" s="229"/>
      <c r="DL976" s="229"/>
      <c r="DM976" s="229"/>
      <c r="DN976" s="229"/>
      <c r="DO976" s="229"/>
      <c r="DP976" s="229"/>
      <c r="DQ976" s="229"/>
      <c r="DR976" s="229"/>
      <c r="DS976" s="229"/>
      <c r="DT976" s="229"/>
      <c r="DU976" s="229"/>
      <c r="DV976" s="229"/>
      <c r="DW976" s="229"/>
      <c r="DX976" s="229"/>
      <c r="DY976" s="229"/>
      <c r="DZ976" s="229"/>
      <c r="EA976" s="229"/>
      <c r="EB976" s="229"/>
      <c r="EC976" s="229"/>
      <c r="ED976" s="229"/>
      <c r="EE976" s="229"/>
      <c r="EF976" s="229"/>
      <c r="EG976" s="229"/>
      <c r="EH976" s="229"/>
      <c r="EI976" s="229"/>
      <c r="EJ976" s="229"/>
      <c r="EK976" s="229"/>
      <c r="EL976" s="305"/>
      <c r="EM976" s="234"/>
      <c r="EN976" s="234"/>
      <c r="EO976" s="234"/>
      <c r="EP976" s="234"/>
      <c r="EQ976" s="233"/>
    </row>
    <row r="977" spans="1:149" ht="11.45" hidden="1" customHeight="1">
      <c r="B977" s="228"/>
      <c r="C977" s="229"/>
      <c r="D977" s="229"/>
      <c r="E977" s="229"/>
      <c r="F977" s="229"/>
      <c r="G977" s="229"/>
      <c r="H977" s="229"/>
      <c r="I977" s="229"/>
      <c r="J977" s="229"/>
      <c r="K977" s="229"/>
      <c r="L977" s="296"/>
      <c r="M977" s="296"/>
      <c r="N977" s="296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  <c r="AH977" s="229"/>
      <c r="AI977" s="229"/>
      <c r="AJ977" s="229"/>
      <c r="AK977" s="229"/>
      <c r="AL977" s="229"/>
      <c r="AM977" s="229"/>
      <c r="AN977" s="229"/>
      <c r="AO977" s="229"/>
      <c r="AP977" s="229"/>
      <c r="AQ977" s="229"/>
      <c r="AR977" s="229"/>
      <c r="AS977" s="229"/>
      <c r="AT977" s="229"/>
      <c r="AU977" s="229"/>
      <c r="AV977" s="229"/>
      <c r="AW977" s="229"/>
      <c r="AX977" s="229"/>
      <c r="AY977" s="229"/>
      <c r="AZ977" s="229"/>
      <c r="BA977" s="229"/>
      <c r="BB977" s="229"/>
      <c r="BC977" s="229"/>
      <c r="BD977" s="229"/>
      <c r="BE977" s="229"/>
      <c r="BF977" s="229"/>
      <c r="BG977" s="229"/>
      <c r="BH977" s="229"/>
      <c r="BI977" s="229"/>
      <c r="BJ977" s="229"/>
      <c r="BK977" s="229"/>
      <c r="BL977" s="229"/>
      <c r="BM977" s="229"/>
      <c r="BN977" s="229"/>
      <c r="BO977" s="229"/>
      <c r="BP977" s="229"/>
      <c r="BQ977" s="229"/>
      <c r="BR977" s="229"/>
      <c r="BS977" s="296"/>
      <c r="BT977" s="229"/>
      <c r="BU977" s="229"/>
      <c r="BV977" s="229"/>
      <c r="BW977" s="229"/>
      <c r="BX977" s="229"/>
      <c r="BY977" s="229"/>
      <c r="BZ977" s="229"/>
      <c r="CA977" s="229"/>
      <c r="CB977" s="229"/>
      <c r="CC977" s="229"/>
      <c r="CD977" s="229"/>
      <c r="CE977" s="229"/>
      <c r="CF977" s="229"/>
      <c r="CG977" s="229"/>
      <c r="CH977" s="229"/>
      <c r="CI977" s="229"/>
      <c r="CJ977" s="229"/>
      <c r="CK977" s="229"/>
      <c r="CL977" s="229"/>
      <c r="CM977" s="229"/>
      <c r="CN977" s="229"/>
      <c r="CO977" s="229"/>
      <c r="CP977" s="229"/>
      <c r="CQ977" s="229"/>
      <c r="CR977" s="229"/>
      <c r="CS977" s="229"/>
      <c r="CT977" s="229"/>
      <c r="CU977" s="229"/>
      <c r="CV977" s="229"/>
      <c r="CW977" s="229"/>
      <c r="CX977" s="229"/>
      <c r="CY977" s="229"/>
      <c r="CZ977" s="229"/>
      <c r="DA977" s="229"/>
      <c r="DB977" s="229"/>
      <c r="DC977" s="229"/>
      <c r="DD977" s="229"/>
      <c r="DE977" s="229"/>
      <c r="DF977" s="229"/>
      <c r="DG977" s="229"/>
      <c r="DH977" s="229"/>
      <c r="DI977" s="229"/>
      <c r="DJ977" s="229"/>
      <c r="DK977" s="229"/>
      <c r="DL977" s="229"/>
      <c r="DM977" s="229"/>
      <c r="DN977" s="229"/>
      <c r="DO977" s="229"/>
      <c r="DP977" s="229"/>
      <c r="DQ977" s="229"/>
      <c r="DR977" s="229"/>
      <c r="DS977" s="229"/>
      <c r="DT977" s="229"/>
      <c r="DU977" s="229"/>
      <c r="DV977" s="229"/>
      <c r="DW977" s="229"/>
      <c r="DX977" s="229"/>
      <c r="DY977" s="229"/>
      <c r="DZ977" s="229"/>
      <c r="EA977" s="229"/>
      <c r="EB977" s="229"/>
      <c r="EC977" s="229"/>
      <c r="ED977" s="229"/>
      <c r="EE977" s="229"/>
      <c r="EF977" s="229"/>
      <c r="EG977" s="229"/>
      <c r="EH977" s="229"/>
      <c r="EI977" s="229"/>
      <c r="EJ977" s="229"/>
      <c r="EK977" s="229"/>
      <c r="EL977" s="305"/>
      <c r="EM977" s="234"/>
      <c r="EN977" s="234"/>
      <c r="EO977" s="234"/>
      <c r="EP977" s="234"/>
      <c r="EQ977" s="233"/>
    </row>
    <row r="978" spans="1:149" ht="11.45" hidden="1" customHeight="1">
      <c r="B978" s="228"/>
      <c r="C978" s="229"/>
      <c r="D978" s="229"/>
      <c r="E978" s="229"/>
      <c r="F978" s="229"/>
      <c r="G978" s="229"/>
      <c r="H978" s="229"/>
      <c r="I978" s="229"/>
      <c r="J978" s="229"/>
      <c r="K978" s="229"/>
      <c r="L978" s="296"/>
      <c r="M978" s="296"/>
      <c r="N978" s="296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  <c r="AH978" s="229"/>
      <c r="AI978" s="229"/>
      <c r="AJ978" s="229"/>
      <c r="AK978" s="229"/>
      <c r="AL978" s="229"/>
      <c r="AM978" s="229"/>
      <c r="AN978" s="229"/>
      <c r="AO978" s="229"/>
      <c r="AP978" s="229"/>
      <c r="AQ978" s="229"/>
      <c r="AR978" s="229"/>
      <c r="AS978" s="229"/>
      <c r="AT978" s="229"/>
      <c r="AU978" s="229"/>
      <c r="AV978" s="229"/>
      <c r="AW978" s="229"/>
      <c r="AX978" s="229"/>
      <c r="AY978" s="229"/>
      <c r="AZ978" s="229"/>
      <c r="BA978" s="229"/>
      <c r="BB978" s="229"/>
      <c r="BC978" s="229"/>
      <c r="BD978" s="229"/>
      <c r="BE978" s="229"/>
      <c r="BF978" s="229"/>
      <c r="BG978" s="229"/>
      <c r="BH978" s="229"/>
      <c r="BI978" s="229"/>
      <c r="BJ978" s="229"/>
      <c r="BK978" s="229"/>
      <c r="BL978" s="229"/>
      <c r="BM978" s="229"/>
      <c r="BN978" s="229"/>
      <c r="BO978" s="229"/>
      <c r="BP978" s="229"/>
      <c r="BQ978" s="229"/>
      <c r="BR978" s="229"/>
      <c r="BS978" s="296"/>
      <c r="BT978" s="229"/>
      <c r="BU978" s="229"/>
      <c r="BV978" s="229"/>
      <c r="BW978" s="229"/>
      <c r="BX978" s="229"/>
      <c r="BY978" s="229"/>
      <c r="BZ978" s="229"/>
      <c r="CA978" s="229"/>
      <c r="CB978" s="229"/>
      <c r="CC978" s="229"/>
      <c r="CD978" s="229"/>
      <c r="CE978" s="229"/>
      <c r="CF978" s="229"/>
      <c r="CG978" s="229"/>
      <c r="CH978" s="229"/>
      <c r="CI978" s="229"/>
      <c r="CJ978" s="229"/>
      <c r="CK978" s="229"/>
      <c r="CL978" s="229"/>
      <c r="CM978" s="229"/>
      <c r="CN978" s="229"/>
      <c r="CO978" s="229"/>
      <c r="CP978" s="229"/>
      <c r="CQ978" s="229"/>
      <c r="CR978" s="229"/>
      <c r="CS978" s="229"/>
      <c r="CT978" s="229"/>
      <c r="CU978" s="229"/>
      <c r="CV978" s="229"/>
      <c r="CW978" s="229"/>
      <c r="CX978" s="229"/>
      <c r="CY978" s="229"/>
      <c r="CZ978" s="229"/>
      <c r="DA978" s="229"/>
      <c r="DB978" s="229"/>
      <c r="DC978" s="229"/>
      <c r="DD978" s="229"/>
      <c r="DE978" s="229"/>
      <c r="DF978" s="229"/>
      <c r="DG978" s="229"/>
      <c r="DH978" s="229"/>
      <c r="DI978" s="229"/>
      <c r="DJ978" s="229"/>
      <c r="DK978" s="229"/>
      <c r="DL978" s="229"/>
      <c r="DM978" s="229"/>
      <c r="DN978" s="229"/>
      <c r="DO978" s="229"/>
      <c r="DP978" s="229"/>
      <c r="DQ978" s="229"/>
      <c r="DR978" s="229"/>
      <c r="DS978" s="229"/>
      <c r="DT978" s="229"/>
      <c r="DU978" s="229"/>
      <c r="DV978" s="229"/>
      <c r="DW978" s="229"/>
      <c r="DX978" s="229"/>
      <c r="DY978" s="229"/>
      <c r="DZ978" s="229"/>
      <c r="EA978" s="229"/>
      <c r="EB978" s="229"/>
      <c r="EC978" s="229"/>
      <c r="ED978" s="229"/>
      <c r="EE978" s="229"/>
      <c r="EF978" s="229"/>
      <c r="EG978" s="229"/>
      <c r="EH978" s="229"/>
      <c r="EI978" s="229"/>
      <c r="EJ978" s="229"/>
      <c r="EK978" s="229"/>
      <c r="EL978" s="305"/>
      <c r="EM978" s="234"/>
      <c r="EN978" s="234"/>
      <c r="EO978" s="234"/>
      <c r="EP978" s="234"/>
      <c r="EQ978" s="233"/>
    </row>
    <row r="979" spans="1:149" ht="11.45" hidden="1" customHeight="1">
      <c r="B979" s="228"/>
      <c r="C979" s="229"/>
      <c r="D979" s="229"/>
      <c r="E979" s="229"/>
      <c r="F979" s="229"/>
      <c r="G979" s="229"/>
      <c r="H979" s="229"/>
      <c r="I979" s="229"/>
      <c r="J979" s="229"/>
      <c r="K979" s="229"/>
      <c r="L979" s="296"/>
      <c r="M979" s="296"/>
      <c r="N979" s="296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  <c r="AH979" s="229"/>
      <c r="AI979" s="229"/>
      <c r="AJ979" s="229"/>
      <c r="AK979" s="229"/>
      <c r="AL979" s="229"/>
      <c r="AM979" s="229"/>
      <c r="AN979" s="229"/>
      <c r="AO979" s="229"/>
      <c r="AP979" s="229"/>
      <c r="AQ979" s="229"/>
      <c r="AR979" s="229"/>
      <c r="AS979" s="229"/>
      <c r="AT979" s="229"/>
      <c r="AU979" s="229"/>
      <c r="AV979" s="229"/>
      <c r="AW979" s="229"/>
      <c r="AX979" s="229"/>
      <c r="AY979" s="229"/>
      <c r="AZ979" s="229"/>
      <c r="BA979" s="229"/>
      <c r="BB979" s="229"/>
      <c r="BC979" s="229"/>
      <c r="BD979" s="229"/>
      <c r="BE979" s="229"/>
      <c r="BF979" s="229"/>
      <c r="BG979" s="229"/>
      <c r="BH979" s="229"/>
      <c r="BI979" s="229"/>
      <c r="BJ979" s="229"/>
      <c r="BK979" s="229"/>
      <c r="BL979" s="229"/>
      <c r="BM979" s="229"/>
      <c r="BN979" s="229"/>
      <c r="BO979" s="229"/>
      <c r="BP979" s="229"/>
      <c r="BQ979" s="229"/>
      <c r="BR979" s="229"/>
      <c r="BS979" s="296"/>
      <c r="BT979" s="229"/>
      <c r="BU979" s="229"/>
      <c r="BV979" s="229"/>
      <c r="BW979" s="229"/>
      <c r="BX979" s="229"/>
      <c r="BY979" s="229"/>
      <c r="BZ979" s="229"/>
      <c r="CA979" s="229"/>
      <c r="CB979" s="229"/>
      <c r="CC979" s="229"/>
      <c r="CD979" s="229"/>
      <c r="CE979" s="229"/>
      <c r="CF979" s="229"/>
      <c r="CG979" s="229"/>
      <c r="CH979" s="229"/>
      <c r="CI979" s="229"/>
      <c r="CJ979" s="229"/>
      <c r="CK979" s="229"/>
      <c r="CL979" s="229"/>
      <c r="CM979" s="229"/>
      <c r="CN979" s="229"/>
      <c r="CO979" s="229"/>
      <c r="CP979" s="229"/>
      <c r="CQ979" s="229"/>
      <c r="CR979" s="229"/>
      <c r="CS979" s="229"/>
      <c r="CT979" s="229"/>
      <c r="CU979" s="229"/>
      <c r="CV979" s="229"/>
      <c r="CW979" s="229"/>
      <c r="CX979" s="229"/>
      <c r="CY979" s="229"/>
      <c r="CZ979" s="229"/>
      <c r="DA979" s="229"/>
      <c r="DB979" s="229"/>
      <c r="DC979" s="229"/>
      <c r="DD979" s="229"/>
      <c r="DE979" s="229"/>
      <c r="DF979" s="229"/>
      <c r="DG979" s="229"/>
      <c r="DH979" s="229"/>
      <c r="DI979" s="229"/>
      <c r="DJ979" s="229"/>
      <c r="DK979" s="229"/>
      <c r="DL979" s="229"/>
      <c r="DM979" s="229"/>
      <c r="DN979" s="229"/>
      <c r="DO979" s="229"/>
      <c r="DP979" s="229"/>
      <c r="DQ979" s="229"/>
      <c r="DR979" s="229"/>
      <c r="DS979" s="229"/>
      <c r="DT979" s="229"/>
      <c r="DU979" s="229"/>
      <c r="DV979" s="229"/>
      <c r="DW979" s="229"/>
      <c r="DX979" s="229"/>
      <c r="DY979" s="229"/>
      <c r="DZ979" s="229"/>
      <c r="EA979" s="229"/>
      <c r="EB979" s="229"/>
      <c r="EC979" s="229"/>
      <c r="ED979" s="229"/>
      <c r="EE979" s="229"/>
      <c r="EF979" s="229"/>
      <c r="EG979" s="229"/>
      <c r="EH979" s="229"/>
      <c r="EI979" s="229"/>
      <c r="EJ979" s="229"/>
      <c r="EK979" s="229"/>
      <c r="EL979" s="305"/>
      <c r="EM979" s="234"/>
      <c r="EN979" s="234"/>
      <c r="EO979" s="234"/>
      <c r="EP979" s="234"/>
      <c r="EQ979" s="233"/>
    </row>
    <row r="980" spans="1:149" ht="11.45" hidden="1" customHeight="1">
      <c r="B980" s="228"/>
      <c r="C980" s="229"/>
      <c r="D980" s="229"/>
      <c r="E980" s="229"/>
      <c r="F980" s="229"/>
      <c r="G980" s="229"/>
      <c r="H980" s="229"/>
      <c r="I980" s="229"/>
      <c r="J980" s="229"/>
      <c r="K980" s="229"/>
      <c r="L980" s="296"/>
      <c r="M980" s="296"/>
      <c r="N980" s="296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  <c r="AH980" s="229"/>
      <c r="AI980" s="229"/>
      <c r="AJ980" s="229"/>
      <c r="AK980" s="229"/>
      <c r="AL980" s="229"/>
      <c r="AM980" s="229"/>
      <c r="AN980" s="229"/>
      <c r="AO980" s="229"/>
      <c r="AP980" s="229"/>
      <c r="AQ980" s="229"/>
      <c r="AR980" s="229"/>
      <c r="AS980" s="229"/>
      <c r="AT980" s="229"/>
      <c r="AU980" s="229"/>
      <c r="AV980" s="229"/>
      <c r="AW980" s="229"/>
      <c r="AX980" s="229"/>
      <c r="AY980" s="229"/>
      <c r="AZ980" s="229"/>
      <c r="BA980" s="229"/>
      <c r="BB980" s="229"/>
      <c r="BC980" s="229"/>
      <c r="BD980" s="229"/>
      <c r="BE980" s="229"/>
      <c r="BF980" s="229"/>
      <c r="BG980" s="229"/>
      <c r="BH980" s="229"/>
      <c r="BI980" s="229"/>
      <c r="BJ980" s="229"/>
      <c r="BK980" s="229"/>
      <c r="BL980" s="229"/>
      <c r="BM980" s="229"/>
      <c r="BN980" s="229"/>
      <c r="BO980" s="229"/>
      <c r="BP980" s="229"/>
      <c r="BQ980" s="229"/>
      <c r="BR980" s="229"/>
      <c r="BS980" s="296"/>
      <c r="BT980" s="229"/>
      <c r="BU980" s="229"/>
      <c r="BV980" s="229"/>
      <c r="BW980" s="229"/>
      <c r="BX980" s="229"/>
      <c r="BY980" s="229"/>
      <c r="BZ980" s="229"/>
      <c r="CA980" s="229"/>
      <c r="CB980" s="229"/>
      <c r="CC980" s="229"/>
      <c r="CD980" s="229"/>
      <c r="CE980" s="229"/>
      <c r="CF980" s="229"/>
      <c r="CG980" s="229"/>
      <c r="CH980" s="229"/>
      <c r="CI980" s="229"/>
      <c r="CJ980" s="229"/>
      <c r="CK980" s="229"/>
      <c r="CL980" s="229"/>
      <c r="CM980" s="229"/>
      <c r="CN980" s="229"/>
      <c r="CO980" s="229"/>
      <c r="CP980" s="229"/>
      <c r="CQ980" s="229"/>
      <c r="CR980" s="229"/>
      <c r="CS980" s="229"/>
      <c r="CT980" s="229"/>
      <c r="CU980" s="229"/>
      <c r="CV980" s="229"/>
      <c r="CW980" s="229"/>
      <c r="CX980" s="229"/>
      <c r="CY980" s="229"/>
      <c r="CZ980" s="229"/>
      <c r="DA980" s="229"/>
      <c r="DB980" s="229"/>
      <c r="DC980" s="229"/>
      <c r="DD980" s="229"/>
      <c r="DE980" s="229"/>
      <c r="DF980" s="229"/>
      <c r="DG980" s="229"/>
      <c r="DH980" s="229"/>
      <c r="DI980" s="229"/>
      <c r="DJ980" s="229"/>
      <c r="DK980" s="229"/>
      <c r="DL980" s="229"/>
      <c r="DM980" s="229"/>
      <c r="DN980" s="229"/>
      <c r="DO980" s="229"/>
      <c r="DP980" s="229"/>
      <c r="DQ980" s="229"/>
      <c r="DR980" s="229"/>
      <c r="DS980" s="229"/>
      <c r="DT980" s="229"/>
      <c r="DU980" s="229"/>
      <c r="DV980" s="229"/>
      <c r="DW980" s="229"/>
      <c r="DX980" s="229"/>
      <c r="DY980" s="229"/>
      <c r="DZ980" s="229"/>
      <c r="EA980" s="229"/>
      <c r="EB980" s="229"/>
      <c r="EC980" s="229"/>
      <c r="ED980" s="229"/>
      <c r="EE980" s="229"/>
      <c r="EF980" s="229"/>
      <c r="EG980" s="229"/>
      <c r="EH980" s="229"/>
      <c r="EI980" s="229"/>
      <c r="EJ980" s="229"/>
      <c r="EK980" s="229"/>
      <c r="EL980" s="305"/>
      <c r="EM980" s="234"/>
      <c r="EN980" s="234"/>
      <c r="EO980" s="234"/>
      <c r="EP980" s="234"/>
      <c r="EQ980" s="233"/>
    </row>
    <row r="981" spans="1:149" ht="11.45" hidden="1" customHeight="1">
      <c r="B981" s="230"/>
      <c r="C981" s="227"/>
      <c r="D981" s="227"/>
      <c r="E981" s="227"/>
      <c r="F981" s="227"/>
      <c r="G981" s="227"/>
      <c r="H981" s="227"/>
      <c r="I981" s="227"/>
      <c r="J981" s="227"/>
      <c r="K981" s="227"/>
      <c r="L981" s="299"/>
      <c r="M981" s="299"/>
      <c r="N981" s="299"/>
      <c r="O981" s="227"/>
      <c r="P981" s="227"/>
      <c r="Q981" s="227"/>
      <c r="R981" s="227"/>
      <c r="S981" s="227"/>
      <c r="T981" s="227"/>
      <c r="U981" s="227"/>
      <c r="V981" s="227"/>
      <c r="W981" s="227"/>
      <c r="X981" s="227"/>
      <c r="Y981" s="227"/>
      <c r="Z981" s="227"/>
      <c r="AA981" s="227"/>
      <c r="AB981" s="227"/>
      <c r="AC981" s="227"/>
      <c r="AD981" s="227"/>
      <c r="AE981" s="227"/>
      <c r="AF981" s="227"/>
      <c r="AG981" s="227"/>
      <c r="AH981" s="227"/>
      <c r="AI981" s="227"/>
      <c r="AJ981" s="227"/>
      <c r="AK981" s="227"/>
      <c r="AL981" s="227"/>
      <c r="AM981" s="227"/>
      <c r="AN981" s="227"/>
      <c r="AO981" s="227"/>
      <c r="AP981" s="227"/>
      <c r="AQ981" s="227"/>
      <c r="AR981" s="227"/>
      <c r="AS981" s="227"/>
      <c r="AT981" s="227"/>
      <c r="AU981" s="227"/>
      <c r="AV981" s="227"/>
      <c r="AW981" s="227"/>
      <c r="AX981" s="227"/>
      <c r="AY981" s="227"/>
      <c r="AZ981" s="227"/>
      <c r="BA981" s="227"/>
      <c r="BB981" s="227"/>
      <c r="BC981" s="227"/>
      <c r="BD981" s="227"/>
      <c r="BE981" s="227"/>
      <c r="BF981" s="227"/>
      <c r="BG981" s="227"/>
      <c r="BH981" s="227"/>
      <c r="BI981" s="227"/>
      <c r="BJ981" s="227"/>
      <c r="BK981" s="227"/>
      <c r="BL981" s="227"/>
      <c r="BM981" s="227"/>
      <c r="BN981" s="227"/>
      <c r="BO981" s="227"/>
      <c r="BP981" s="227"/>
      <c r="BQ981" s="227"/>
      <c r="BR981" s="227"/>
      <c r="BS981" s="299"/>
      <c r="BT981" s="227"/>
      <c r="BU981" s="227"/>
      <c r="BV981" s="227"/>
      <c r="BW981" s="227"/>
      <c r="BX981" s="227"/>
      <c r="BY981" s="227"/>
      <c r="BZ981" s="227"/>
      <c r="CA981" s="227"/>
      <c r="CB981" s="227"/>
      <c r="CC981" s="227"/>
      <c r="CD981" s="227"/>
      <c r="CE981" s="227"/>
      <c r="CF981" s="227"/>
      <c r="CG981" s="227"/>
      <c r="CH981" s="227"/>
      <c r="CI981" s="227"/>
      <c r="CJ981" s="227"/>
      <c r="CK981" s="227"/>
      <c r="CL981" s="227"/>
      <c r="CM981" s="227"/>
      <c r="CN981" s="227"/>
      <c r="CO981" s="227"/>
      <c r="CP981" s="227"/>
      <c r="CQ981" s="227"/>
      <c r="CR981" s="227"/>
      <c r="CS981" s="227"/>
      <c r="CT981" s="227"/>
      <c r="CU981" s="227"/>
      <c r="CV981" s="227"/>
      <c r="CW981" s="227"/>
      <c r="CX981" s="227"/>
      <c r="CY981" s="227"/>
      <c r="CZ981" s="227"/>
      <c r="DA981" s="227"/>
      <c r="DB981" s="227"/>
      <c r="DC981" s="227"/>
      <c r="DD981" s="227"/>
      <c r="DE981" s="227"/>
      <c r="DF981" s="227"/>
      <c r="DG981" s="227"/>
      <c r="DH981" s="227"/>
      <c r="DI981" s="227"/>
      <c r="DJ981" s="227"/>
      <c r="DK981" s="227"/>
      <c r="DL981" s="227"/>
      <c r="DM981" s="227"/>
      <c r="DN981" s="227"/>
      <c r="DO981" s="227"/>
      <c r="DP981" s="227"/>
      <c r="DQ981" s="227"/>
      <c r="DR981" s="227"/>
      <c r="DS981" s="227"/>
      <c r="DT981" s="227"/>
      <c r="DU981" s="227"/>
      <c r="DV981" s="227"/>
      <c r="DW981" s="227"/>
      <c r="DX981" s="227"/>
      <c r="DY981" s="227"/>
      <c r="DZ981" s="227"/>
      <c r="EA981" s="227"/>
      <c r="EB981" s="227"/>
      <c r="EC981" s="227"/>
      <c r="ED981" s="227"/>
      <c r="EE981" s="227"/>
      <c r="EF981" s="227"/>
      <c r="EG981" s="227"/>
      <c r="EH981" s="227"/>
      <c r="EI981" s="227"/>
      <c r="EJ981" s="227"/>
      <c r="EK981" s="227"/>
      <c r="EL981" s="306"/>
      <c r="EM981" s="237"/>
      <c r="EN981" s="237"/>
      <c r="EO981" s="237"/>
      <c r="EP981" s="237"/>
      <c r="EQ981" s="238"/>
    </row>
    <row r="982" spans="1:149" ht="11.45" hidden="1" customHeight="1">
      <c r="B982" s="255"/>
      <c r="C982" s="256"/>
      <c r="D982" s="256"/>
      <c r="E982" s="256"/>
      <c r="F982" s="256"/>
      <c r="G982" s="256"/>
      <c r="H982" s="256"/>
      <c r="I982" s="256"/>
      <c r="J982" s="256"/>
      <c r="K982" s="256"/>
      <c r="L982" s="300"/>
      <c r="M982" s="300"/>
      <c r="N982" s="300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  <c r="AA982" s="256"/>
      <c r="AB982" s="256"/>
      <c r="AC982" s="256"/>
      <c r="AD982" s="256"/>
      <c r="AE982" s="256"/>
      <c r="AF982" s="256"/>
      <c r="AG982" s="256"/>
      <c r="AH982" s="256"/>
      <c r="AI982" s="256"/>
      <c r="AJ982" s="256"/>
      <c r="AK982" s="256"/>
      <c r="AL982" s="256"/>
      <c r="AM982" s="256"/>
      <c r="AN982" s="256"/>
      <c r="AO982" s="256"/>
      <c r="AP982" s="256"/>
      <c r="AQ982" s="256"/>
      <c r="AR982" s="256"/>
      <c r="AS982" s="256"/>
      <c r="AT982" s="256"/>
      <c r="AU982" s="256"/>
      <c r="AV982" s="256"/>
      <c r="AW982" s="256"/>
      <c r="AX982" s="256"/>
      <c r="AY982" s="256"/>
      <c r="AZ982" s="256"/>
      <c r="BA982" s="256"/>
      <c r="BB982" s="256"/>
      <c r="BC982" s="256"/>
      <c r="BD982" s="256"/>
      <c r="BE982" s="256"/>
      <c r="BF982" s="256"/>
      <c r="BG982" s="256"/>
      <c r="BH982" s="256"/>
      <c r="BI982" s="256"/>
      <c r="BJ982" s="256"/>
      <c r="BK982" s="256"/>
      <c r="BL982" s="256"/>
      <c r="BM982" s="256"/>
      <c r="BN982" s="256"/>
      <c r="BO982" s="256"/>
      <c r="BP982" s="256"/>
      <c r="BQ982" s="256"/>
      <c r="BR982" s="256"/>
      <c r="BS982" s="300"/>
      <c r="BT982" s="256"/>
      <c r="BU982" s="256"/>
      <c r="BV982" s="256"/>
      <c r="BW982" s="256"/>
      <c r="BX982" s="256"/>
      <c r="BY982" s="256"/>
      <c r="BZ982" s="256"/>
      <c r="CA982" s="256"/>
      <c r="CB982" s="256"/>
      <c r="CC982" s="256"/>
      <c r="CD982" s="256"/>
      <c r="CE982" s="256"/>
      <c r="CF982" s="256"/>
      <c r="CG982" s="256"/>
      <c r="CH982" s="256"/>
      <c r="CI982" s="256"/>
      <c r="CJ982" s="256"/>
      <c r="CK982" s="256"/>
      <c r="CL982" s="256"/>
      <c r="CM982" s="256"/>
      <c r="CN982" s="256"/>
      <c r="CO982" s="256"/>
      <c r="CP982" s="256"/>
      <c r="CQ982" s="256"/>
      <c r="CR982" s="256"/>
      <c r="CS982" s="256"/>
      <c r="CT982" s="256"/>
      <c r="CU982" s="256"/>
      <c r="CV982" s="256"/>
      <c r="CW982" s="256"/>
      <c r="CX982" s="256"/>
      <c r="CY982" s="256"/>
      <c r="CZ982" s="256"/>
      <c r="DA982" s="256"/>
      <c r="DB982" s="256"/>
      <c r="DC982" s="256"/>
      <c r="DD982" s="256"/>
      <c r="DE982" s="256"/>
      <c r="DF982" s="256"/>
      <c r="DG982" s="256"/>
      <c r="DH982" s="256"/>
      <c r="DI982" s="256"/>
      <c r="DJ982" s="256"/>
      <c r="DK982" s="256"/>
      <c r="DL982" s="256"/>
      <c r="DM982" s="256"/>
      <c r="DN982" s="256"/>
      <c r="DO982" s="256"/>
      <c r="DP982" s="256"/>
      <c r="DQ982" s="256"/>
      <c r="DR982" s="256"/>
      <c r="DS982" s="256"/>
      <c r="DT982" s="256"/>
      <c r="DU982" s="256"/>
      <c r="DV982" s="256"/>
      <c r="DW982" s="256"/>
      <c r="DX982" s="256"/>
      <c r="DY982" s="256"/>
      <c r="DZ982" s="256"/>
      <c r="EA982" s="256"/>
      <c r="EB982" s="256"/>
      <c r="EC982" s="256"/>
      <c r="ED982" s="256"/>
      <c r="EE982" s="256"/>
      <c r="EF982" s="256"/>
      <c r="EG982" s="256"/>
      <c r="EH982" s="256"/>
      <c r="EI982" s="256"/>
      <c r="EJ982" s="256"/>
      <c r="EK982" s="256"/>
      <c r="EL982" s="361"/>
      <c r="EM982" s="258"/>
      <c r="EN982" s="258"/>
      <c r="EO982" s="258"/>
      <c r="EP982" s="258"/>
      <c r="EQ982" s="259"/>
    </row>
    <row r="983" spans="1:149" s="243" customFormat="1" ht="11.25" hidden="1" customHeight="1">
      <c r="A983" s="243">
        <v>23</v>
      </c>
      <c r="B983" s="1782">
        <f>A983</f>
        <v>23</v>
      </c>
      <c r="C983" s="1781"/>
      <c r="D983" s="1781"/>
      <c r="E983" s="344" t="s">
        <v>897</v>
      </c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0"/>
      <c r="AO983" s="240"/>
      <c r="AP983" s="240"/>
      <c r="AQ983" s="240"/>
      <c r="AR983" s="240"/>
      <c r="AS983" s="240"/>
      <c r="AT983" s="240"/>
      <c r="AU983" s="240"/>
      <c r="AV983" s="240"/>
      <c r="AW983" s="240"/>
      <c r="AX983" s="240"/>
      <c r="AY983" s="240"/>
      <c r="AZ983" s="240"/>
      <c r="BA983" s="240"/>
      <c r="BB983" s="240"/>
      <c r="BC983" s="240"/>
      <c r="BD983" s="240"/>
      <c r="BE983" s="240"/>
      <c r="BF983" s="240"/>
      <c r="BG983" s="240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240"/>
      <c r="BT983" s="240"/>
      <c r="BU983" s="240"/>
      <c r="BV983" s="240"/>
      <c r="BW983" s="240"/>
      <c r="BX983" s="240"/>
      <c r="BY983" s="240"/>
      <c r="BZ983" s="240"/>
      <c r="CA983" s="240"/>
      <c r="CB983" s="240"/>
      <c r="CC983" s="240"/>
      <c r="CD983" s="240"/>
      <c r="CE983" s="240"/>
      <c r="CF983" s="240"/>
      <c r="CG983" s="240"/>
      <c r="CH983" s="240"/>
      <c r="CI983" s="240"/>
      <c r="CJ983" s="240"/>
      <c r="CK983" s="240"/>
      <c r="CL983" s="240"/>
      <c r="CM983" s="240"/>
      <c r="CN983" s="240"/>
      <c r="CO983" s="240"/>
      <c r="CP983" s="240"/>
      <c r="CQ983" s="240"/>
      <c r="CR983" s="240"/>
      <c r="CS983" s="240"/>
      <c r="CT983" s="240"/>
      <c r="CU983" s="240"/>
      <c r="CV983" s="240"/>
      <c r="CW983" s="240"/>
      <c r="CX983" s="240"/>
      <c r="CY983" s="240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1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345"/>
      <c r="EM983" s="242" t="e">
        <f>EM1038</f>
        <v>#REF!</v>
      </c>
      <c r="EN983" s="242" t="e">
        <f>EN1038</f>
        <v>#REF!</v>
      </c>
      <c r="EO983" s="242" t="e">
        <f>EO1038</f>
        <v>#REF!</v>
      </c>
      <c r="EP983" s="242" t="e">
        <f>EP1038</f>
        <v>#REF!</v>
      </c>
      <c r="EQ983" s="312" t="s">
        <v>905</v>
      </c>
      <c r="ES983" s="800">
        <f>A983</f>
        <v>23</v>
      </c>
    </row>
    <row r="984" spans="1:149" s="243" customFormat="1" ht="11.25" hidden="1" customHeight="1">
      <c r="B984" s="343"/>
      <c r="C984" s="240"/>
      <c r="D984" s="240"/>
      <c r="E984" s="240" t="s">
        <v>674</v>
      </c>
      <c r="F984" s="240"/>
      <c r="G984" s="240"/>
      <c r="H984" s="240" t="s">
        <v>875</v>
      </c>
      <c r="I984" s="240"/>
      <c r="J984" s="240"/>
      <c r="K984" s="240"/>
      <c r="L984" s="240"/>
      <c r="M984" s="240"/>
      <c r="N984" s="240"/>
      <c r="O984" s="240"/>
      <c r="P984" s="240"/>
      <c r="Q984" s="240" t="s">
        <v>698</v>
      </c>
      <c r="R984" s="240"/>
      <c r="S984" s="240"/>
      <c r="T984" s="240"/>
      <c r="U984" s="240"/>
      <c r="V984" s="240" t="s">
        <v>876</v>
      </c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0"/>
      <c r="AO984" s="240"/>
      <c r="AP984" s="240"/>
      <c r="AQ984" s="240"/>
      <c r="AR984" s="240"/>
      <c r="AS984" s="240"/>
      <c r="AT984" s="240"/>
      <c r="AU984" s="240"/>
      <c r="AV984" s="240"/>
      <c r="AW984" s="240"/>
      <c r="AX984" s="240"/>
      <c r="AY984" s="240"/>
      <c r="AZ984" s="240"/>
      <c r="BA984" s="240"/>
      <c r="BB984" s="240"/>
      <c r="BC984" s="240"/>
      <c r="BD984" s="240"/>
      <c r="BE984" s="240"/>
      <c r="BF984" s="240"/>
      <c r="BG984" s="240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240"/>
      <c r="BT984" s="240"/>
      <c r="BU984" s="240"/>
      <c r="BV984" s="240"/>
      <c r="BW984" s="240"/>
      <c r="BX984" s="240"/>
      <c r="BY984" s="240"/>
      <c r="BZ984" s="240"/>
      <c r="CA984" s="240"/>
      <c r="CB984" s="240"/>
      <c r="CC984" s="240"/>
      <c r="CD984" s="240"/>
      <c r="CE984" s="240"/>
      <c r="CF984" s="240"/>
      <c r="CG984" s="240"/>
      <c r="CH984" s="240"/>
      <c r="CI984" s="240"/>
      <c r="CJ984" s="240"/>
      <c r="CK984" s="240"/>
      <c r="CL984" s="240"/>
      <c r="CM984" s="240"/>
      <c r="CN984" s="240"/>
      <c r="CO984" s="240"/>
      <c r="CP984" s="240"/>
      <c r="CQ984" s="240"/>
      <c r="CR984" s="240"/>
      <c r="CS984" s="240"/>
      <c r="CT984" s="240"/>
      <c r="CU984" s="240"/>
      <c r="CV984" s="240"/>
      <c r="CW984" s="240"/>
      <c r="CX984" s="240"/>
      <c r="CY984" s="240"/>
      <c r="CZ984" s="241"/>
      <c r="DA984" s="241"/>
      <c r="DB984" s="241"/>
      <c r="DC984" s="241"/>
      <c r="DD984" s="241"/>
      <c r="DE984" s="241"/>
      <c r="DF984" s="241"/>
      <c r="DG984" s="241"/>
      <c r="DH984" s="241"/>
      <c r="DI984" s="241"/>
      <c r="DJ984" s="241"/>
      <c r="DK984" s="241"/>
      <c r="DL984" s="241"/>
      <c r="DM984" s="241"/>
      <c r="DN984" s="241"/>
      <c r="DO984" s="241"/>
      <c r="DP984" s="241"/>
      <c r="DQ984" s="241"/>
      <c r="DR984" s="241"/>
      <c r="DS984" s="241"/>
      <c r="DT984" s="241"/>
      <c r="DU984" s="241"/>
      <c r="DV984" s="241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345"/>
      <c r="EM984" s="245"/>
      <c r="EN984" s="245"/>
      <c r="EO984" s="245"/>
      <c r="EP984" s="245"/>
      <c r="EQ984" s="351"/>
    </row>
    <row r="985" spans="1:149" s="243" customFormat="1" ht="11.25" hidden="1" customHeight="1">
      <c r="B985" s="343"/>
      <c r="C985" s="240"/>
      <c r="D985" s="240"/>
      <c r="E985" s="240"/>
      <c r="F985" s="240" t="s">
        <v>685</v>
      </c>
      <c r="G985" s="240"/>
      <c r="H985" s="240" t="s">
        <v>686</v>
      </c>
      <c r="I985" s="240"/>
      <c r="J985" s="240" t="s">
        <v>699</v>
      </c>
      <c r="K985" s="240"/>
      <c r="L985" s="240"/>
      <c r="M985" s="240"/>
      <c r="N985" s="240"/>
      <c r="O985" s="240"/>
      <c r="P985" s="240"/>
      <c r="Q985" s="240" t="s">
        <v>700</v>
      </c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0"/>
      <c r="AO985" s="240"/>
      <c r="AP985" s="240"/>
      <c r="AQ985" s="240"/>
      <c r="AR985" s="240"/>
      <c r="AS985" s="240"/>
      <c r="AT985" s="240"/>
      <c r="AU985" s="240"/>
      <c r="AV985" s="240"/>
      <c r="AW985" s="240"/>
      <c r="AX985" s="240"/>
      <c r="AY985" s="240"/>
      <c r="AZ985" s="240"/>
      <c r="BA985" s="240"/>
      <c r="BB985" s="240"/>
      <c r="BC985" s="240"/>
      <c r="BD985" s="240"/>
      <c r="BE985" s="240"/>
      <c r="BF985" s="240"/>
      <c r="BG985" s="240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240"/>
      <c r="BT985" s="240"/>
      <c r="BU985" s="240"/>
      <c r="BV985" s="240"/>
      <c r="BW985" s="240"/>
      <c r="BX985" s="240"/>
      <c r="BY985" s="240"/>
      <c r="BZ985" s="240"/>
      <c r="CA985" s="240"/>
      <c r="CB985" s="240"/>
      <c r="CC985" s="240"/>
      <c r="CD985" s="240"/>
      <c r="CE985" s="240"/>
      <c r="CF985" s="240"/>
      <c r="CG985" s="240"/>
      <c r="CH985" s="240"/>
      <c r="CI985" s="240"/>
      <c r="CJ985" s="240"/>
      <c r="CK985" s="240"/>
      <c r="CL985" s="240"/>
      <c r="CM985" s="240"/>
      <c r="CN985" s="240"/>
      <c r="CO985" s="240"/>
      <c r="CP985" s="240"/>
      <c r="CQ985" s="240"/>
      <c r="CR985" s="240"/>
      <c r="CS985" s="240"/>
      <c r="CT985" s="240"/>
      <c r="CU985" s="240"/>
      <c r="CV985" s="240"/>
      <c r="CW985" s="240"/>
      <c r="CX985" s="240"/>
      <c r="CY985" s="240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1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345"/>
      <c r="EM985" s="245"/>
      <c r="EN985" s="245"/>
      <c r="EO985" s="245"/>
      <c r="EP985" s="245"/>
      <c r="EQ985" s="351"/>
    </row>
    <row r="986" spans="1:149" s="243" customFormat="1" ht="11.25" hidden="1" customHeight="1">
      <c r="B986" s="343"/>
      <c r="C986" s="240"/>
      <c r="D986" s="240"/>
      <c r="E986" s="240"/>
      <c r="F986" s="240"/>
      <c r="G986" s="240"/>
      <c r="H986" s="240" t="s">
        <v>701</v>
      </c>
      <c r="I986" s="240"/>
      <c r="J986" s="240"/>
      <c r="K986" s="240"/>
      <c r="L986" s="240"/>
      <c r="M986" s="240" t="s">
        <v>702</v>
      </c>
      <c r="N986" s="240"/>
      <c r="O986" s="240"/>
      <c r="P986" s="240"/>
      <c r="Q986" s="240"/>
      <c r="R986" s="240"/>
      <c r="S986" s="240"/>
      <c r="T986" s="240" t="s">
        <v>132</v>
      </c>
      <c r="U986" s="240"/>
      <c r="V986" s="240">
        <v>500</v>
      </c>
      <c r="W986" s="240"/>
      <c r="X986" s="240"/>
      <c r="Y986" s="240" t="s">
        <v>90</v>
      </c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0"/>
      <c r="AO986" s="240"/>
      <c r="AP986" s="240"/>
      <c r="AQ986" s="240"/>
      <c r="AR986" s="240"/>
      <c r="AS986" s="240"/>
      <c r="AT986" s="240"/>
      <c r="AU986" s="240"/>
      <c r="AV986" s="240"/>
      <c r="AW986" s="240"/>
      <c r="AX986" s="240"/>
      <c r="AY986" s="240"/>
      <c r="AZ986" s="240"/>
      <c r="BA986" s="240"/>
      <c r="BB986" s="240"/>
      <c r="BC986" s="240"/>
      <c r="BD986" s="240"/>
      <c r="BE986" s="240"/>
      <c r="BF986" s="240"/>
      <c r="BG986" s="240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240"/>
      <c r="BT986" s="240"/>
      <c r="BU986" s="240"/>
      <c r="BV986" s="240"/>
      <c r="BW986" s="240"/>
      <c r="BX986" s="240"/>
      <c r="BY986" s="240"/>
      <c r="BZ986" s="240"/>
      <c r="CA986" s="240"/>
      <c r="CB986" s="240"/>
      <c r="CC986" s="240"/>
      <c r="CD986" s="240"/>
      <c r="CE986" s="240"/>
      <c r="CF986" s="240"/>
      <c r="CG986" s="240"/>
      <c r="CH986" s="240"/>
      <c r="CI986" s="240"/>
      <c r="CJ986" s="240"/>
      <c r="CK986" s="240"/>
      <c r="CL986" s="240"/>
      <c r="CM986" s="240"/>
      <c r="CN986" s="240"/>
      <c r="CO986" s="240"/>
      <c r="CP986" s="240"/>
      <c r="CQ986" s="240"/>
      <c r="CR986" s="240"/>
      <c r="CS986" s="240"/>
      <c r="CT986" s="240"/>
      <c r="CU986" s="240"/>
      <c r="CV986" s="240"/>
      <c r="CW986" s="240"/>
      <c r="CX986" s="240"/>
      <c r="CY986" s="240"/>
      <c r="CZ986" s="241"/>
      <c r="DA986" s="241"/>
      <c r="DB986" s="241"/>
      <c r="DC986" s="241"/>
      <c r="DD986" s="241"/>
      <c r="DE986" s="241"/>
      <c r="DF986" s="241"/>
      <c r="DG986" s="241"/>
      <c r="DH986" s="241"/>
      <c r="DI986" s="241"/>
      <c r="DJ986" s="241"/>
      <c r="DK986" s="241"/>
      <c r="DL986" s="241"/>
      <c r="DM986" s="241"/>
      <c r="DN986" s="241"/>
      <c r="DO986" s="241"/>
      <c r="DP986" s="241"/>
      <c r="DQ986" s="241"/>
      <c r="DR986" s="241"/>
      <c r="DS986" s="241"/>
      <c r="DT986" s="241"/>
      <c r="DU986" s="241"/>
      <c r="DV986" s="241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345"/>
      <c r="EM986" s="245"/>
      <c r="EN986" s="245"/>
      <c r="EO986" s="245"/>
      <c r="EP986" s="245"/>
      <c r="EQ986" s="351"/>
    </row>
    <row r="987" spans="1:149" s="243" customFormat="1" ht="11.25" hidden="1" customHeight="1">
      <c r="B987" s="343"/>
      <c r="C987" s="240"/>
      <c r="D987" s="240"/>
      <c r="E987" s="240"/>
      <c r="F987" s="240"/>
      <c r="G987" s="240"/>
      <c r="H987" s="240" t="s">
        <v>687</v>
      </c>
      <c r="I987" s="240"/>
      <c r="J987" s="240" t="s">
        <v>134</v>
      </c>
      <c r="K987" s="240"/>
      <c r="L987" s="240" t="str">
        <f>TEXT(450,"#,##0.#######")</f>
        <v>450.</v>
      </c>
      <c r="M987" s="240"/>
      <c r="N987" s="240"/>
      <c r="O987" s="240" t="s">
        <v>90</v>
      </c>
      <c r="P987" s="240"/>
      <c r="Q987" s="240" t="s">
        <v>683</v>
      </c>
      <c r="R987" s="240"/>
      <c r="S987" s="240"/>
      <c r="T987" s="240" t="str">
        <f>TEXT(8,"#,##0.#######")</f>
        <v>8.</v>
      </c>
      <c r="U987" s="240" t="s">
        <v>618</v>
      </c>
      <c r="V987" s="240"/>
      <c r="W987" s="240"/>
      <c r="X987" s="240" t="s">
        <v>134</v>
      </c>
      <c r="Y987" s="240"/>
      <c r="Z987" s="240" t="str">
        <f>TEXT(ROUND(L987/T987,2),"#,##0.#######")</f>
        <v>56.25</v>
      </c>
      <c r="AA987" s="240"/>
      <c r="AB987" s="240"/>
      <c r="AC987" s="240"/>
      <c r="AD987" s="240" t="s">
        <v>90</v>
      </c>
      <c r="AE987" s="240" t="s">
        <v>139</v>
      </c>
      <c r="AF987" s="240" t="s">
        <v>618</v>
      </c>
      <c r="AG987" s="240"/>
      <c r="AK987" s="240"/>
      <c r="AL987" s="240"/>
      <c r="AM987" s="240"/>
      <c r="AN987" s="240"/>
      <c r="AO987" s="240"/>
      <c r="AP987" s="240"/>
      <c r="AQ987" s="240"/>
      <c r="AR987" s="240"/>
      <c r="AS987" s="240"/>
      <c r="AT987" s="240"/>
      <c r="AU987" s="240"/>
      <c r="AV987" s="240"/>
      <c r="AW987" s="240"/>
      <c r="AX987" s="240"/>
      <c r="AY987" s="240"/>
      <c r="AZ987" s="240"/>
      <c r="BA987" s="240"/>
      <c r="BB987" s="240"/>
      <c r="BC987" s="240"/>
      <c r="BD987" s="240"/>
      <c r="BE987" s="240"/>
      <c r="BF987" s="240"/>
      <c r="BG987" s="240"/>
      <c r="BH987" s="240"/>
      <c r="BI987" s="240"/>
      <c r="BJ987" s="240"/>
      <c r="BK987" s="240"/>
      <c r="BL987" s="240"/>
      <c r="BM987" s="240"/>
      <c r="BN987" s="240"/>
      <c r="BO987" s="240"/>
      <c r="BP987" s="240"/>
      <c r="BQ987" s="240"/>
      <c r="BR987" s="240"/>
      <c r="BS987" s="240"/>
      <c r="BT987" s="240"/>
      <c r="BU987" s="240"/>
      <c r="BV987" s="240"/>
      <c r="BW987" s="240"/>
      <c r="BX987" s="240"/>
      <c r="BY987" s="240"/>
      <c r="BZ987" s="240"/>
      <c r="CA987" s="240"/>
      <c r="CB987" s="240"/>
      <c r="CC987" s="240"/>
      <c r="CD987" s="240"/>
      <c r="CE987" s="240"/>
      <c r="CF987" s="240"/>
      <c r="CG987" s="240"/>
      <c r="CH987" s="240"/>
      <c r="CI987" s="240"/>
      <c r="CJ987" s="240"/>
      <c r="CK987" s="240"/>
      <c r="CL987" s="240"/>
      <c r="CM987" s="240"/>
      <c r="CN987" s="240"/>
      <c r="CO987" s="240"/>
      <c r="CP987" s="240"/>
      <c r="CQ987" s="240"/>
      <c r="CR987" s="240"/>
      <c r="CS987" s="240"/>
      <c r="CT987" s="240"/>
      <c r="CU987" s="240"/>
      <c r="CV987" s="240"/>
      <c r="CW987" s="240"/>
      <c r="CX987" s="240"/>
      <c r="CY987" s="240"/>
      <c r="CZ987" s="241"/>
      <c r="DA987" s="241"/>
      <c r="DB987" s="241"/>
      <c r="DC987" s="241"/>
      <c r="DD987" s="241"/>
      <c r="DE987" s="241"/>
      <c r="DF987" s="241"/>
      <c r="DG987" s="241"/>
      <c r="DH987" s="241"/>
      <c r="DI987" s="241"/>
      <c r="DJ987" s="241"/>
      <c r="DK987" s="241"/>
      <c r="DL987" s="241"/>
      <c r="DM987" s="241"/>
      <c r="DN987" s="241"/>
      <c r="DO987" s="241"/>
      <c r="DP987" s="241"/>
      <c r="DQ987" s="241"/>
      <c r="DR987" s="241"/>
      <c r="DS987" s="241"/>
      <c r="DT987" s="241"/>
      <c r="DU987" s="241"/>
      <c r="DV987" s="241"/>
      <c r="DW987" s="241"/>
      <c r="DX987" s="241"/>
      <c r="DY987" s="241"/>
      <c r="DZ987" s="241"/>
      <c r="EA987" s="241"/>
      <c r="EB987" s="241"/>
      <c r="EC987" s="241"/>
      <c r="ED987" s="241"/>
      <c r="EE987" s="241"/>
      <c r="EF987" s="241"/>
      <c r="EG987" s="241"/>
      <c r="EH987" s="241"/>
      <c r="EI987" s="241"/>
      <c r="EJ987" s="241"/>
      <c r="EK987" s="241"/>
      <c r="EL987" s="345"/>
      <c r="EM987" s="245"/>
      <c r="EN987" s="245"/>
      <c r="EO987" s="245"/>
      <c r="EP987" s="245"/>
      <c r="EQ987" s="351"/>
    </row>
    <row r="988" spans="1:149" s="243" customFormat="1" ht="11.25" hidden="1" customHeight="1">
      <c r="B988" s="343"/>
      <c r="C988" s="240"/>
      <c r="D988" s="240"/>
      <c r="E988" s="240"/>
      <c r="F988" s="240"/>
      <c r="G988" s="240"/>
      <c r="H988" s="240" t="s">
        <v>616</v>
      </c>
      <c r="I988" s="240"/>
      <c r="J988" s="240"/>
      <c r="K988" s="240"/>
      <c r="L988" s="240"/>
      <c r="M988" s="240"/>
      <c r="N988" s="240"/>
      <c r="O988" s="240" t="s">
        <v>132</v>
      </c>
      <c r="P988" s="240"/>
      <c r="Q988" s="1775" t="e">
        <f>#REF!</f>
        <v>#REF!</v>
      </c>
      <c r="R988" s="1775"/>
      <c r="S988" s="1775"/>
      <c r="T988" s="1775"/>
      <c r="U988" s="1775"/>
      <c r="W988" s="240" t="s">
        <v>683</v>
      </c>
      <c r="X988" s="240"/>
      <c r="Y988" s="240"/>
      <c r="Z988" s="240" t="str">
        <f>TEXT(Z987,"#,##0.#######")</f>
        <v>56.25</v>
      </c>
      <c r="AA988" s="240"/>
      <c r="AB988" s="240"/>
      <c r="AC988" s="240"/>
      <c r="AD988" s="240"/>
      <c r="AE988" s="240" t="s">
        <v>134</v>
      </c>
      <c r="AF988" s="240"/>
      <c r="AG988" s="240" t="e">
        <f>TEXT(TRUNC(Q988/Z987,1),"#,##0.#")</f>
        <v>#REF!</v>
      </c>
      <c r="BA988" s="240"/>
      <c r="BB988" s="240"/>
      <c r="BC988" s="240"/>
      <c r="BD988" s="240"/>
      <c r="BE988" s="240"/>
      <c r="BF988" s="240"/>
      <c r="BG988" s="240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240"/>
      <c r="BT988" s="240"/>
      <c r="BU988" s="240"/>
      <c r="BV988" s="240"/>
      <c r="BW988" s="240"/>
      <c r="BX988" s="240"/>
      <c r="BY988" s="240"/>
      <c r="BZ988" s="240"/>
      <c r="CA988" s="240"/>
      <c r="CB988" s="240"/>
      <c r="CC988" s="240"/>
      <c r="CD988" s="240"/>
      <c r="CE988" s="240"/>
      <c r="CF988" s="240"/>
      <c r="CG988" s="240"/>
      <c r="CH988" s="240"/>
      <c r="CI988" s="240"/>
      <c r="CJ988" s="240"/>
      <c r="CK988" s="240"/>
      <c r="CL988" s="240"/>
      <c r="CM988" s="240"/>
      <c r="CN988" s="240"/>
      <c r="CO988" s="240"/>
      <c r="CP988" s="240"/>
      <c r="CQ988" s="240"/>
      <c r="CR988" s="240"/>
      <c r="CS988" s="240"/>
      <c r="CT988" s="240"/>
      <c r="CU988" s="240"/>
      <c r="CV988" s="240"/>
      <c r="CW988" s="240"/>
      <c r="CX988" s="240"/>
      <c r="CY988" s="240"/>
      <c r="CZ988" s="241"/>
      <c r="DA988" s="241"/>
      <c r="DB988" s="241"/>
      <c r="DC988" s="241"/>
      <c r="DD988" s="241"/>
      <c r="DE988" s="241"/>
      <c r="DF988" s="241"/>
      <c r="DG988" s="241"/>
      <c r="DH988" s="241"/>
      <c r="DI988" s="241"/>
      <c r="DJ988" s="241"/>
      <c r="DK988" s="241"/>
      <c r="DL988" s="241"/>
      <c r="DM988" s="241"/>
      <c r="DN988" s="241"/>
      <c r="DO988" s="241"/>
      <c r="DP988" s="241"/>
      <c r="DQ988" s="241"/>
      <c r="DR988" s="241"/>
      <c r="DS988" s="241"/>
      <c r="DT988" s="241"/>
      <c r="DU988" s="241"/>
      <c r="DV988" s="241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345"/>
      <c r="EM988" s="245"/>
      <c r="EN988" s="245"/>
      <c r="EO988" s="245"/>
      <c r="EP988" s="245"/>
      <c r="EQ988" s="351"/>
    </row>
    <row r="989" spans="1:149" s="243" customFormat="1" ht="11.25" hidden="1" customHeight="1">
      <c r="B989" s="343"/>
      <c r="C989" s="240"/>
      <c r="D989" s="240"/>
      <c r="E989" s="240"/>
      <c r="F989" s="240"/>
      <c r="G989" s="240"/>
      <c r="H989" s="240" t="s">
        <v>617</v>
      </c>
      <c r="I989" s="240"/>
      <c r="J989" s="240"/>
      <c r="K989" s="240"/>
      <c r="L989" s="240"/>
      <c r="M989" s="240"/>
      <c r="N989" s="240"/>
      <c r="O989" s="240" t="s">
        <v>132</v>
      </c>
      <c r="P989" s="240"/>
      <c r="Q989" s="1775" t="e">
        <f>#REF!</f>
        <v>#REF!</v>
      </c>
      <c r="R989" s="1775"/>
      <c r="S989" s="1775"/>
      <c r="T989" s="1775"/>
      <c r="U989" s="1775"/>
      <c r="W989" s="240" t="s">
        <v>683</v>
      </c>
      <c r="X989" s="240"/>
      <c r="Y989" s="240"/>
      <c r="Z989" s="240" t="str">
        <f>TEXT(Z987,"#,##0.#######")</f>
        <v>56.25</v>
      </c>
      <c r="AA989" s="240"/>
      <c r="AB989" s="240"/>
      <c r="AC989" s="240"/>
      <c r="AD989" s="240"/>
      <c r="AE989" s="240" t="s">
        <v>134</v>
      </c>
      <c r="AF989" s="240"/>
      <c r="AG989" s="240" t="e">
        <f>TEXT(TRUNC(Q989/Z987,1),"#,##0.#")</f>
        <v>#REF!</v>
      </c>
      <c r="BA989" s="240"/>
      <c r="BB989" s="240"/>
      <c r="BC989" s="240"/>
      <c r="BD989" s="240"/>
      <c r="BE989" s="240"/>
      <c r="BF989" s="240"/>
      <c r="BG989" s="240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240"/>
      <c r="BT989" s="240"/>
      <c r="BU989" s="240"/>
      <c r="BV989" s="240"/>
      <c r="BW989" s="240"/>
      <c r="BX989" s="240"/>
      <c r="BY989" s="240"/>
      <c r="BZ989" s="240"/>
      <c r="CA989" s="240"/>
      <c r="CB989" s="240"/>
      <c r="CC989" s="240"/>
      <c r="CD989" s="240"/>
      <c r="CE989" s="240"/>
      <c r="CF989" s="240"/>
      <c r="CG989" s="240"/>
      <c r="CH989" s="240"/>
      <c r="CI989" s="240"/>
      <c r="CJ989" s="240"/>
      <c r="CK989" s="240"/>
      <c r="CL989" s="240"/>
      <c r="CM989" s="240"/>
      <c r="CN989" s="240"/>
      <c r="CO989" s="240"/>
      <c r="CP989" s="240"/>
      <c r="CQ989" s="240"/>
      <c r="CR989" s="240"/>
      <c r="CS989" s="240"/>
      <c r="CT989" s="240"/>
      <c r="CU989" s="240"/>
      <c r="CV989" s="240"/>
      <c r="CW989" s="240"/>
      <c r="CX989" s="240"/>
      <c r="CY989" s="240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1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345"/>
      <c r="EM989" s="245"/>
      <c r="EN989" s="245"/>
      <c r="EO989" s="245"/>
      <c r="EP989" s="245"/>
      <c r="EQ989" s="351"/>
    </row>
    <row r="990" spans="1:149" s="243" customFormat="1" ht="11.25" hidden="1" customHeight="1">
      <c r="B990" s="343"/>
      <c r="C990" s="240"/>
      <c r="D990" s="240"/>
      <c r="E990" s="240"/>
      <c r="F990" s="240"/>
      <c r="G990" s="240"/>
      <c r="H990" s="240" t="s">
        <v>679</v>
      </c>
      <c r="I990" s="240"/>
      <c r="J990" s="240" t="s">
        <v>680</v>
      </c>
      <c r="K990" s="240"/>
      <c r="L990" s="240"/>
      <c r="M990" s="240"/>
      <c r="N990" s="240"/>
      <c r="O990" s="240" t="s">
        <v>132</v>
      </c>
      <c r="P990" s="240"/>
      <c r="Q990" s="1775" t="e">
        <f>#REF!</f>
        <v>#REF!</v>
      </c>
      <c r="R990" s="1775"/>
      <c r="S990" s="1775"/>
      <c r="T990" s="1775"/>
      <c r="U990" s="1775"/>
      <c r="W990" s="240" t="s">
        <v>683</v>
      </c>
      <c r="X990" s="240"/>
      <c r="Y990" s="240"/>
      <c r="Z990" s="240" t="str">
        <f>TEXT(Z987,"#,##0.#######")</f>
        <v>56.25</v>
      </c>
      <c r="AA990" s="240"/>
      <c r="AB990" s="240"/>
      <c r="AC990" s="240"/>
      <c r="AD990" s="240"/>
      <c r="AE990" s="240" t="s">
        <v>134</v>
      </c>
      <c r="AF990" s="240"/>
      <c r="AG990" s="240" t="e">
        <f>TEXT(TRUNC(Q990/Z987,1),"#,##0.#")</f>
        <v>#REF!</v>
      </c>
      <c r="BA990" s="240"/>
      <c r="BB990" s="240"/>
      <c r="BC990" s="240"/>
      <c r="BD990" s="240"/>
      <c r="BE990" s="240"/>
      <c r="BF990" s="240"/>
      <c r="BG990" s="240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240"/>
      <c r="BT990" s="240"/>
      <c r="BU990" s="240"/>
      <c r="BV990" s="240"/>
      <c r="BW990" s="240"/>
      <c r="BX990" s="240"/>
      <c r="BY990" s="240"/>
      <c r="BZ990" s="240"/>
      <c r="CA990" s="240"/>
      <c r="CB990" s="240"/>
      <c r="CC990" s="240"/>
      <c r="CD990" s="240"/>
      <c r="CE990" s="240"/>
      <c r="CF990" s="240"/>
      <c r="CG990" s="240"/>
      <c r="CH990" s="240"/>
      <c r="CI990" s="240"/>
      <c r="CJ990" s="240"/>
      <c r="CK990" s="240"/>
      <c r="CL990" s="240"/>
      <c r="CM990" s="240"/>
      <c r="CN990" s="240"/>
      <c r="CO990" s="240"/>
      <c r="CP990" s="240"/>
      <c r="CQ990" s="240"/>
      <c r="CR990" s="240"/>
      <c r="CS990" s="240"/>
      <c r="CT990" s="240"/>
      <c r="CU990" s="240"/>
      <c r="CV990" s="240"/>
      <c r="CW990" s="240"/>
      <c r="CX990" s="240"/>
      <c r="CY990" s="240"/>
      <c r="CZ990" s="241"/>
      <c r="DA990" s="241"/>
      <c r="DB990" s="241"/>
      <c r="DC990" s="241"/>
      <c r="DD990" s="241"/>
      <c r="DE990" s="241"/>
      <c r="DF990" s="241"/>
      <c r="DG990" s="241"/>
      <c r="DH990" s="241"/>
      <c r="DI990" s="241"/>
      <c r="DJ990" s="241"/>
      <c r="DK990" s="241"/>
      <c r="DL990" s="241"/>
      <c r="DM990" s="241"/>
      <c r="DN990" s="241"/>
      <c r="DO990" s="241"/>
      <c r="DP990" s="241"/>
      <c r="DQ990" s="241"/>
      <c r="DR990" s="241"/>
      <c r="DS990" s="241"/>
      <c r="DT990" s="241"/>
      <c r="DU990" s="241"/>
      <c r="DV990" s="241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345"/>
      <c r="EM990" s="245"/>
      <c r="EN990" s="245"/>
      <c r="EO990" s="245"/>
      <c r="EP990" s="245"/>
      <c r="EQ990" s="351"/>
    </row>
    <row r="991" spans="1:149" s="243" customFormat="1" ht="11.25" hidden="1" customHeight="1">
      <c r="B991" s="343"/>
      <c r="C991" s="240"/>
      <c r="D991" s="240"/>
      <c r="E991" s="240"/>
      <c r="F991" s="240"/>
      <c r="G991" s="240"/>
      <c r="H991" s="240" t="s">
        <v>688</v>
      </c>
      <c r="I991" s="240"/>
      <c r="J991" s="240" t="s">
        <v>96</v>
      </c>
      <c r="K991" s="240"/>
      <c r="L991" s="240"/>
      <c r="M991" s="240"/>
      <c r="N991" s="240"/>
      <c r="O991" s="240" t="s">
        <v>132</v>
      </c>
      <c r="P991" s="240"/>
      <c r="Q991" s="240" t="e">
        <f>TEXT(AG988+AG989+AG990,"#,##0.#######")</f>
        <v>#REF!</v>
      </c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J991" s="240"/>
      <c r="AK991" s="240"/>
      <c r="AL991" s="240"/>
      <c r="AM991" s="240"/>
      <c r="AN991" s="240"/>
      <c r="AO991" s="240"/>
      <c r="AP991" s="240"/>
      <c r="AQ991" s="240"/>
      <c r="AR991" s="240"/>
      <c r="AS991" s="240"/>
      <c r="AT991" s="240"/>
      <c r="AU991" s="240"/>
      <c r="AV991" s="240"/>
      <c r="AW991" s="240"/>
      <c r="AX991" s="240"/>
      <c r="AY991" s="240"/>
      <c r="AZ991" s="240"/>
      <c r="BA991" s="240"/>
      <c r="BB991" s="240"/>
      <c r="BC991" s="240"/>
      <c r="BD991" s="240"/>
      <c r="BE991" s="240"/>
      <c r="BF991" s="240"/>
      <c r="BG991" s="240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240"/>
      <c r="BT991" s="240"/>
      <c r="BU991" s="240"/>
      <c r="BV991" s="240"/>
      <c r="BW991" s="240"/>
      <c r="BX991" s="240"/>
      <c r="BY991" s="240"/>
      <c r="BZ991" s="240"/>
      <c r="CA991" s="240"/>
      <c r="CB991" s="240"/>
      <c r="CC991" s="240"/>
      <c r="CD991" s="240"/>
      <c r="CE991" s="240"/>
      <c r="CF991" s="240"/>
      <c r="CG991" s="240"/>
      <c r="CH991" s="240"/>
      <c r="CI991" s="240"/>
      <c r="CJ991" s="240"/>
      <c r="CK991" s="240"/>
      <c r="CL991" s="240"/>
      <c r="CM991" s="240"/>
      <c r="CN991" s="240"/>
      <c r="CO991" s="240"/>
      <c r="CP991" s="240"/>
      <c r="CQ991" s="240"/>
      <c r="CR991" s="240"/>
      <c r="CS991" s="240"/>
      <c r="CT991" s="240"/>
      <c r="CU991" s="240"/>
      <c r="CV991" s="240"/>
      <c r="CW991" s="240"/>
      <c r="CX991" s="240"/>
      <c r="CY991" s="240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1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345"/>
      <c r="EM991" s="245" t="e">
        <f>EN991+EO991+EP991</f>
        <v>#REF!</v>
      </c>
      <c r="EN991" s="245" t="e">
        <f>TEXT(AG988,"#,###.0")</f>
        <v>#REF!</v>
      </c>
      <c r="EO991" s="245" t="e">
        <f>TEXT(AG989,"#,###.0")</f>
        <v>#REF!</v>
      </c>
      <c r="EP991" s="245" t="e">
        <f>TEXT(AG990,"#,###.0")</f>
        <v>#REF!</v>
      </c>
      <c r="EQ991" s="351"/>
    </row>
    <row r="992" spans="1:149" s="243" customFormat="1" ht="11.25" hidden="1" customHeight="1">
      <c r="B992" s="343"/>
      <c r="C992" s="240"/>
      <c r="D992" s="240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0"/>
      <c r="AO992" s="240"/>
      <c r="AP992" s="240"/>
      <c r="AQ992" s="240"/>
      <c r="AR992" s="240"/>
      <c r="AS992" s="240"/>
      <c r="AT992" s="240"/>
      <c r="AU992" s="240"/>
      <c r="AV992" s="240"/>
      <c r="AW992" s="240"/>
      <c r="AX992" s="240"/>
      <c r="AY992" s="240"/>
      <c r="AZ992" s="240"/>
      <c r="BA992" s="240"/>
      <c r="BB992" s="240"/>
      <c r="BC992" s="240"/>
      <c r="BD992" s="240"/>
      <c r="BE992" s="240"/>
      <c r="BF992" s="240"/>
      <c r="BG992" s="240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240"/>
      <c r="BT992" s="240"/>
      <c r="BU992" s="240"/>
      <c r="BV992" s="240"/>
      <c r="BW992" s="240"/>
      <c r="BX992" s="240"/>
      <c r="BY992" s="240"/>
      <c r="BZ992" s="240"/>
      <c r="CA992" s="240"/>
      <c r="CB992" s="240"/>
      <c r="CC992" s="240"/>
      <c r="CD992" s="240"/>
      <c r="CE992" s="240"/>
      <c r="CF992" s="240"/>
      <c r="CG992" s="240"/>
      <c r="CH992" s="240"/>
      <c r="CI992" s="240"/>
      <c r="CJ992" s="240"/>
      <c r="CK992" s="240"/>
      <c r="CL992" s="240"/>
      <c r="CM992" s="240"/>
      <c r="CN992" s="240"/>
      <c r="CO992" s="240"/>
      <c r="CP992" s="240"/>
      <c r="CQ992" s="240"/>
      <c r="CR992" s="240"/>
      <c r="CS992" s="240"/>
      <c r="CT992" s="240"/>
      <c r="CU992" s="240"/>
      <c r="CV992" s="240"/>
      <c r="CW992" s="240"/>
      <c r="CX992" s="240"/>
      <c r="CY992" s="240"/>
      <c r="CZ992" s="241"/>
      <c r="DA992" s="241"/>
      <c r="DB992" s="241"/>
      <c r="DC992" s="241"/>
      <c r="DD992" s="241"/>
      <c r="DE992" s="241"/>
      <c r="DF992" s="241"/>
      <c r="DG992" s="241"/>
      <c r="DH992" s="241"/>
      <c r="DI992" s="241"/>
      <c r="DJ992" s="241"/>
      <c r="DK992" s="241"/>
      <c r="DL992" s="241"/>
      <c r="DM992" s="241"/>
      <c r="DN992" s="241"/>
      <c r="DO992" s="241"/>
      <c r="DP992" s="241"/>
      <c r="DQ992" s="241"/>
      <c r="DR992" s="241"/>
      <c r="DS992" s="241"/>
      <c r="DT992" s="241"/>
      <c r="DU992" s="241"/>
      <c r="DV992" s="241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345"/>
      <c r="EM992" s="245"/>
      <c r="EN992" s="245"/>
      <c r="EO992" s="245"/>
      <c r="EP992" s="245"/>
      <c r="EQ992" s="351"/>
    </row>
    <row r="993" spans="2:147" s="243" customFormat="1" ht="11.25" hidden="1" customHeight="1">
      <c r="B993" s="343"/>
      <c r="C993" s="240"/>
      <c r="D993" s="240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  <c r="AA993" s="240"/>
      <c r="AB993" s="240"/>
      <c r="AC993" s="240"/>
      <c r="AD993" s="240"/>
      <c r="AE993" s="240"/>
      <c r="AF993" s="240"/>
      <c r="AG993" s="240"/>
      <c r="AH993" s="240"/>
      <c r="AI993" s="240"/>
      <c r="AJ993" s="240"/>
      <c r="AK993" s="240"/>
      <c r="AL993" s="240"/>
      <c r="AM993" s="240"/>
      <c r="AN993" s="240"/>
      <c r="AO993" s="240"/>
      <c r="AP993" s="240"/>
      <c r="AQ993" s="240"/>
      <c r="AR993" s="240"/>
      <c r="AS993" s="240"/>
      <c r="AT993" s="240"/>
      <c r="AU993" s="240"/>
      <c r="AV993" s="240"/>
      <c r="AW993" s="240"/>
      <c r="AX993" s="240"/>
      <c r="AY993" s="240"/>
      <c r="AZ993" s="240"/>
      <c r="BA993" s="240"/>
      <c r="BB993" s="240"/>
      <c r="BC993" s="240"/>
      <c r="BD993" s="240"/>
      <c r="BE993" s="240"/>
      <c r="BF993" s="240"/>
      <c r="BG993" s="240"/>
      <c r="BH993" s="240"/>
      <c r="BI993" s="240"/>
      <c r="BJ993" s="240"/>
      <c r="BK993" s="240"/>
      <c r="BL993" s="240"/>
      <c r="BM993" s="240"/>
      <c r="BN993" s="240"/>
      <c r="BO993" s="240"/>
      <c r="BP993" s="240"/>
      <c r="BQ993" s="240"/>
      <c r="BR993" s="240"/>
      <c r="BS993" s="240"/>
      <c r="BT993" s="240"/>
      <c r="BU993" s="240"/>
      <c r="BV993" s="240"/>
      <c r="BW993" s="240"/>
      <c r="BX993" s="240"/>
      <c r="BY993" s="240"/>
      <c r="BZ993" s="240"/>
      <c r="CA993" s="240"/>
      <c r="CB993" s="240"/>
      <c r="CC993" s="240"/>
      <c r="CD993" s="240"/>
      <c r="CE993" s="240"/>
      <c r="CF993" s="240"/>
      <c r="CG993" s="240"/>
      <c r="CH993" s="240"/>
      <c r="CI993" s="240"/>
      <c r="CJ993" s="240"/>
      <c r="CK993" s="240"/>
      <c r="CL993" s="240"/>
      <c r="CM993" s="240"/>
      <c r="CN993" s="240"/>
      <c r="CO993" s="240"/>
      <c r="CP993" s="240"/>
      <c r="CQ993" s="240"/>
      <c r="CR993" s="240"/>
      <c r="CS993" s="240"/>
      <c r="CT993" s="240"/>
      <c r="CU993" s="240"/>
      <c r="CV993" s="240"/>
      <c r="CW993" s="240"/>
      <c r="CX993" s="240"/>
      <c r="CY993" s="240"/>
      <c r="CZ993" s="241"/>
      <c r="DA993" s="241"/>
      <c r="DB993" s="241"/>
      <c r="DC993" s="241"/>
      <c r="DD993" s="241"/>
      <c r="DE993" s="241"/>
      <c r="DF993" s="241"/>
      <c r="DG993" s="241"/>
      <c r="DH993" s="241"/>
      <c r="DI993" s="241"/>
      <c r="DJ993" s="241"/>
      <c r="DK993" s="241"/>
      <c r="DL993" s="241"/>
      <c r="DM993" s="241"/>
      <c r="DN993" s="241"/>
      <c r="DO993" s="241"/>
      <c r="DP993" s="241"/>
      <c r="DQ993" s="241"/>
      <c r="DR993" s="241"/>
      <c r="DS993" s="241"/>
      <c r="DT993" s="241"/>
      <c r="DU993" s="241"/>
      <c r="DV993" s="241"/>
      <c r="DW993" s="241"/>
      <c r="DX993" s="241"/>
      <c r="DY993" s="241"/>
      <c r="DZ993" s="241"/>
      <c r="EA993" s="241"/>
      <c r="EB993" s="241"/>
      <c r="EC993" s="241"/>
      <c r="ED993" s="241"/>
      <c r="EE993" s="241"/>
      <c r="EF993" s="241"/>
      <c r="EG993" s="241"/>
      <c r="EH993" s="241"/>
      <c r="EI993" s="241"/>
      <c r="EJ993" s="241"/>
      <c r="EK993" s="241"/>
      <c r="EL993" s="345"/>
      <c r="EM993" s="245"/>
      <c r="EN993" s="245"/>
      <c r="EO993" s="245"/>
      <c r="EP993" s="245"/>
      <c r="EQ993" s="351"/>
    </row>
    <row r="994" spans="2:147" s="243" customFormat="1" ht="11.25" hidden="1" customHeight="1">
      <c r="B994" s="343"/>
      <c r="C994" s="240"/>
      <c r="D994" s="240"/>
      <c r="E994" s="240"/>
      <c r="F994" s="240" t="s">
        <v>689</v>
      </c>
      <c r="G994" s="240"/>
      <c r="H994" s="240" t="s">
        <v>686</v>
      </c>
      <c r="I994" s="240"/>
      <c r="J994" s="240" t="s">
        <v>1330</v>
      </c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 t="s">
        <v>1331</v>
      </c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0"/>
      <c r="AO994" s="240"/>
      <c r="AP994" s="240"/>
      <c r="AQ994" s="240"/>
      <c r="AR994" s="240"/>
      <c r="AS994" s="240"/>
      <c r="AT994" s="240"/>
      <c r="AU994" s="240"/>
      <c r="AV994" s="240"/>
      <c r="AW994" s="240"/>
      <c r="AX994" s="240"/>
      <c r="AY994" s="240"/>
      <c r="AZ994" s="240"/>
      <c r="BA994" s="240"/>
      <c r="BB994" s="240"/>
      <c r="BC994" s="240"/>
      <c r="BD994" s="240"/>
      <c r="BE994" s="240"/>
      <c r="BF994" s="240"/>
      <c r="BG994" s="240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240"/>
      <c r="BT994" s="240"/>
      <c r="BU994" s="240"/>
      <c r="BV994" s="240"/>
      <c r="BW994" s="240"/>
      <c r="BX994" s="240"/>
      <c r="BY994" s="240"/>
      <c r="BZ994" s="240"/>
      <c r="CA994" s="240"/>
      <c r="CB994" s="240"/>
      <c r="CC994" s="240"/>
      <c r="CD994" s="240"/>
      <c r="CE994" s="240"/>
      <c r="CF994" s="240"/>
      <c r="CG994" s="240"/>
      <c r="CH994" s="240"/>
      <c r="CI994" s="240"/>
      <c r="CJ994" s="240"/>
      <c r="CK994" s="240"/>
      <c r="CL994" s="240"/>
      <c r="CM994" s="240"/>
      <c r="CN994" s="240"/>
      <c r="CO994" s="240"/>
      <c r="CP994" s="240"/>
      <c r="CQ994" s="240"/>
      <c r="CR994" s="240"/>
      <c r="CS994" s="240"/>
      <c r="CT994" s="240"/>
      <c r="CU994" s="240"/>
      <c r="CV994" s="240"/>
      <c r="CW994" s="240"/>
      <c r="CX994" s="240"/>
      <c r="CY994" s="240"/>
      <c r="CZ994" s="241"/>
      <c r="DA994" s="241"/>
      <c r="DB994" s="241"/>
      <c r="DC994" s="241"/>
      <c r="DD994" s="241"/>
      <c r="DE994" s="241"/>
      <c r="DF994" s="241"/>
      <c r="DG994" s="241"/>
      <c r="DH994" s="241"/>
      <c r="DI994" s="241"/>
      <c r="DJ994" s="241"/>
      <c r="DK994" s="241"/>
      <c r="DL994" s="241"/>
      <c r="DM994" s="241"/>
      <c r="DN994" s="241"/>
      <c r="DO994" s="241"/>
      <c r="DP994" s="241"/>
      <c r="DQ994" s="241"/>
      <c r="DR994" s="241"/>
      <c r="DS994" s="241"/>
      <c r="DT994" s="241"/>
      <c r="DU994" s="241"/>
      <c r="DV994" s="241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345"/>
      <c r="EM994" s="245"/>
      <c r="EN994" s="245"/>
      <c r="EO994" s="245"/>
      <c r="EP994" s="245"/>
      <c r="EQ994" s="351"/>
    </row>
    <row r="995" spans="2:147" s="243" customFormat="1" ht="11.25" hidden="1" customHeight="1">
      <c r="B995" s="343"/>
      <c r="C995" s="240"/>
      <c r="D995" s="240"/>
      <c r="E995" s="240"/>
      <c r="F995" s="240"/>
      <c r="G995" s="240"/>
      <c r="H995" s="240" t="s">
        <v>616</v>
      </c>
      <c r="I995" s="240"/>
      <c r="J995" s="240"/>
      <c r="K995" s="240"/>
      <c r="L995" s="240"/>
      <c r="M995" s="240"/>
      <c r="N995" s="240"/>
      <c r="O995" s="240" t="s">
        <v>132</v>
      </c>
      <c r="P995" s="240"/>
      <c r="Q995" s="1775" t="e">
        <f>#REF!</f>
        <v>#REF!</v>
      </c>
      <c r="R995" s="1775"/>
      <c r="S995" s="1775"/>
      <c r="T995" s="1775"/>
      <c r="U995" s="1775"/>
      <c r="V995" s="240"/>
      <c r="W995" s="240"/>
      <c r="X995" s="240"/>
      <c r="Y995" s="240"/>
      <c r="Z995" s="240" t="s">
        <v>683</v>
      </c>
      <c r="AA995" s="240"/>
      <c r="AB995" s="240"/>
      <c r="AC995" s="240" t="str">
        <f>TEXT(Z989,"#,##0.#######")</f>
        <v>56.25</v>
      </c>
      <c r="AD995" s="240"/>
      <c r="AE995" s="240"/>
      <c r="AG995" s="240" t="s">
        <v>652</v>
      </c>
      <c r="AH995" s="240"/>
      <c r="AI995" s="240" t="str">
        <f>TEXT(0.5,"#,##0.#######")</f>
        <v>0.5</v>
      </c>
      <c r="AJ995" s="240"/>
      <c r="AK995" s="240"/>
      <c r="AL995" s="240" t="s">
        <v>556</v>
      </c>
      <c r="AM995" s="240"/>
      <c r="AN995" s="240"/>
      <c r="AO995" s="240" t="s">
        <v>134</v>
      </c>
      <c r="AP995" s="240"/>
      <c r="AQ995" s="240" t="e">
        <f>TEXT(TRUNC(Q995/Z989*AI995,1),"#,##0.#")</f>
        <v>#REF!</v>
      </c>
      <c r="AR995" s="240"/>
      <c r="AS995" s="240"/>
      <c r="AT995" s="240"/>
      <c r="AU995" s="240"/>
      <c r="AV995" s="240"/>
      <c r="AW995" s="240"/>
      <c r="AX995" s="240"/>
      <c r="AY995" s="240"/>
      <c r="AZ995" s="240"/>
      <c r="BA995" s="240"/>
      <c r="BB995" s="240"/>
      <c r="BC995" s="240"/>
      <c r="BD995" s="240"/>
      <c r="BE995" s="240"/>
      <c r="BF995" s="240"/>
      <c r="BG995" s="240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240"/>
      <c r="BT995" s="240"/>
      <c r="BU995" s="240"/>
      <c r="BV995" s="240"/>
      <c r="BW995" s="240"/>
      <c r="BX995" s="240"/>
      <c r="BY995" s="240"/>
      <c r="BZ995" s="240"/>
      <c r="CA995" s="240"/>
      <c r="CB995" s="240"/>
      <c r="CC995" s="240"/>
      <c r="CD995" s="240"/>
      <c r="CE995" s="240"/>
      <c r="CF995" s="240"/>
      <c r="CG995" s="240"/>
      <c r="CH995" s="240"/>
      <c r="CI995" s="240"/>
      <c r="CJ995" s="240"/>
      <c r="CK995" s="240"/>
      <c r="CL995" s="240"/>
      <c r="CM995" s="240"/>
      <c r="CN995" s="240"/>
      <c r="CO995" s="240"/>
      <c r="CP995" s="240"/>
      <c r="CQ995" s="240"/>
      <c r="CR995" s="240"/>
      <c r="CS995" s="240"/>
      <c r="CT995" s="240"/>
      <c r="CU995" s="240"/>
      <c r="CV995" s="240"/>
      <c r="CW995" s="240"/>
      <c r="CX995" s="240"/>
      <c r="CY995" s="240"/>
      <c r="CZ995" s="241"/>
      <c r="DA995" s="241"/>
      <c r="DB995" s="241"/>
      <c r="DC995" s="241"/>
      <c r="DD995" s="241"/>
      <c r="DE995" s="241"/>
      <c r="DF995" s="241"/>
      <c r="DG995" s="241"/>
      <c r="DH995" s="241"/>
      <c r="DI995" s="241"/>
      <c r="DJ995" s="241"/>
      <c r="DK995" s="241"/>
      <c r="DL995" s="241"/>
      <c r="DM995" s="241"/>
      <c r="DN995" s="241"/>
      <c r="DO995" s="241"/>
      <c r="DP995" s="241"/>
      <c r="DQ995" s="241"/>
      <c r="DR995" s="241"/>
      <c r="DS995" s="241"/>
      <c r="DT995" s="241"/>
      <c r="DU995" s="241"/>
      <c r="DV995" s="241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345"/>
      <c r="EM995" s="245"/>
      <c r="EN995" s="245"/>
      <c r="EO995" s="245"/>
      <c r="EP995" s="245"/>
      <c r="EQ995" s="351"/>
    </row>
    <row r="996" spans="2:147" s="243" customFormat="1" ht="11.25" hidden="1" customHeight="1">
      <c r="B996" s="343"/>
      <c r="C996" s="240"/>
      <c r="D996" s="240"/>
      <c r="E996" s="240"/>
      <c r="F996" s="240"/>
      <c r="G996" s="240"/>
      <c r="H996" s="240" t="s">
        <v>617</v>
      </c>
      <c r="I996" s="240"/>
      <c r="J996" s="240"/>
      <c r="K996" s="240"/>
      <c r="L996" s="240"/>
      <c r="M996" s="240"/>
      <c r="N996" s="240"/>
      <c r="O996" s="240" t="s">
        <v>132</v>
      </c>
      <c r="P996" s="240"/>
      <c r="Q996" s="1775" t="e">
        <f>#REF!</f>
        <v>#REF!</v>
      </c>
      <c r="R996" s="1775"/>
      <c r="S996" s="1775"/>
      <c r="T996" s="1775"/>
      <c r="U996" s="1775"/>
      <c r="V996" s="240"/>
      <c r="W996" s="240"/>
      <c r="X996" s="240"/>
      <c r="Y996" s="240"/>
      <c r="Z996" s="240" t="s">
        <v>683</v>
      </c>
      <c r="AA996" s="240"/>
      <c r="AB996" s="240"/>
      <c r="AC996" s="240" t="str">
        <f>TEXT(Z989,"#,##0.#######")</f>
        <v>56.25</v>
      </c>
      <c r="AD996" s="240"/>
      <c r="AE996" s="240"/>
      <c r="AG996" s="240" t="s">
        <v>652</v>
      </c>
      <c r="AH996" s="240"/>
      <c r="AI996" s="240" t="str">
        <f>TEXT(0.5,"#,##0.#######")</f>
        <v>0.5</v>
      </c>
      <c r="AJ996" s="240"/>
      <c r="AK996" s="240"/>
      <c r="AL996" s="240" t="s">
        <v>556</v>
      </c>
      <c r="AM996" s="240"/>
      <c r="AN996" s="240"/>
      <c r="AO996" s="240" t="s">
        <v>134</v>
      </c>
      <c r="AP996" s="240"/>
      <c r="AQ996" s="240" t="e">
        <f>TEXT(TRUNC(Q996/Z989*AI996,1),"#,##0.#")</f>
        <v>#REF!</v>
      </c>
      <c r="AR996" s="240"/>
      <c r="AS996" s="240"/>
      <c r="AT996" s="240"/>
      <c r="AU996" s="240"/>
      <c r="AV996" s="240"/>
      <c r="AW996" s="240"/>
      <c r="AX996" s="240"/>
      <c r="AY996" s="240"/>
      <c r="AZ996" s="240"/>
      <c r="BA996" s="240"/>
      <c r="BB996" s="240"/>
      <c r="BC996" s="240"/>
      <c r="BD996" s="240"/>
      <c r="BE996" s="240"/>
      <c r="BF996" s="240"/>
      <c r="BG996" s="240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240"/>
      <c r="BT996" s="240"/>
      <c r="BU996" s="240"/>
      <c r="BV996" s="240"/>
      <c r="BW996" s="240"/>
      <c r="BX996" s="240"/>
      <c r="BY996" s="240"/>
      <c r="BZ996" s="240"/>
      <c r="CA996" s="240"/>
      <c r="CB996" s="240"/>
      <c r="CC996" s="240"/>
      <c r="CD996" s="240"/>
      <c r="CE996" s="240"/>
      <c r="CF996" s="240"/>
      <c r="CG996" s="240"/>
      <c r="CH996" s="240"/>
      <c r="CI996" s="240"/>
      <c r="CJ996" s="240"/>
      <c r="CK996" s="240"/>
      <c r="CL996" s="240"/>
      <c r="CM996" s="240"/>
      <c r="CN996" s="240"/>
      <c r="CO996" s="240"/>
      <c r="CP996" s="240"/>
      <c r="CQ996" s="240"/>
      <c r="CR996" s="240"/>
      <c r="CS996" s="240"/>
      <c r="CT996" s="240"/>
      <c r="CU996" s="240"/>
      <c r="CV996" s="240"/>
      <c r="CW996" s="240"/>
      <c r="CX996" s="240"/>
      <c r="CY996" s="240"/>
      <c r="CZ996" s="241"/>
      <c r="DA996" s="241"/>
      <c r="DB996" s="241"/>
      <c r="DC996" s="241"/>
      <c r="DD996" s="241"/>
      <c r="DE996" s="241"/>
      <c r="DF996" s="241"/>
      <c r="DG996" s="241"/>
      <c r="DH996" s="241"/>
      <c r="DI996" s="241"/>
      <c r="DJ996" s="241"/>
      <c r="DK996" s="241"/>
      <c r="DL996" s="241"/>
      <c r="DM996" s="241"/>
      <c r="DN996" s="241"/>
      <c r="DO996" s="241"/>
      <c r="DP996" s="241"/>
      <c r="DQ996" s="241"/>
      <c r="DR996" s="241"/>
      <c r="DS996" s="241"/>
      <c r="DT996" s="241"/>
      <c r="DU996" s="241"/>
      <c r="DV996" s="241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345"/>
      <c r="EM996" s="245"/>
      <c r="EN996" s="245"/>
      <c r="EO996" s="245"/>
      <c r="EP996" s="245"/>
      <c r="EQ996" s="351"/>
    </row>
    <row r="997" spans="2:147" s="243" customFormat="1" ht="11.25" hidden="1" customHeight="1">
      <c r="B997" s="343"/>
      <c r="C997" s="240"/>
      <c r="D997" s="240"/>
      <c r="E997" s="240"/>
      <c r="F997" s="240"/>
      <c r="G997" s="240"/>
      <c r="H997" s="240" t="s">
        <v>679</v>
      </c>
      <c r="I997" s="240"/>
      <c r="J997" s="240" t="s">
        <v>680</v>
      </c>
      <c r="K997" s="240"/>
      <c r="L997" s="240"/>
      <c r="M997" s="240"/>
      <c r="N997" s="240"/>
      <c r="O997" s="240" t="s">
        <v>132</v>
      </c>
      <c r="P997" s="240"/>
      <c r="Q997" s="1775" t="e">
        <f>#REF!</f>
        <v>#REF!</v>
      </c>
      <c r="R997" s="1775"/>
      <c r="S997" s="1775"/>
      <c r="T997" s="1775"/>
      <c r="U997" s="1775"/>
      <c r="V997" s="240"/>
      <c r="W997" s="240"/>
      <c r="X997" s="240"/>
      <c r="Y997" s="240"/>
      <c r="Z997" s="240" t="s">
        <v>683</v>
      </c>
      <c r="AA997" s="240"/>
      <c r="AB997" s="240"/>
      <c r="AC997" s="240" t="str">
        <f>TEXT(Z989,"#,##0.#######")</f>
        <v>56.25</v>
      </c>
      <c r="AD997" s="240"/>
      <c r="AE997" s="240"/>
      <c r="AG997" s="240" t="s">
        <v>652</v>
      </c>
      <c r="AH997" s="240"/>
      <c r="AI997" s="240" t="str">
        <f>TEXT(0.5,"#,##0.#######")</f>
        <v>0.5</v>
      </c>
      <c r="AJ997" s="240"/>
      <c r="AK997" s="240"/>
      <c r="AL997" s="240" t="s">
        <v>556</v>
      </c>
      <c r="AM997" s="240"/>
      <c r="AN997" s="240"/>
      <c r="AO997" s="240" t="s">
        <v>134</v>
      </c>
      <c r="AP997" s="240"/>
      <c r="AQ997" s="240" t="e">
        <f>TEXT(TRUNC(Q997/Z989*AI997,1),"#,##0.#")</f>
        <v>#REF!</v>
      </c>
      <c r="AR997" s="240"/>
      <c r="AS997" s="240"/>
      <c r="AT997" s="240"/>
      <c r="AU997" s="240"/>
      <c r="AV997" s="240"/>
      <c r="AW997" s="240"/>
      <c r="AX997" s="240"/>
      <c r="AY997" s="240"/>
      <c r="AZ997" s="240"/>
      <c r="BA997" s="240"/>
      <c r="BB997" s="240"/>
      <c r="BC997" s="240"/>
      <c r="BD997" s="240"/>
      <c r="BE997" s="240"/>
      <c r="BF997" s="240"/>
      <c r="BG997" s="240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240"/>
      <c r="BT997" s="240"/>
      <c r="BU997" s="240"/>
      <c r="BV997" s="240"/>
      <c r="BW997" s="240"/>
      <c r="BX997" s="240"/>
      <c r="BY997" s="240"/>
      <c r="BZ997" s="240"/>
      <c r="CA997" s="240"/>
      <c r="CB997" s="240"/>
      <c r="CC997" s="240"/>
      <c r="CD997" s="240"/>
      <c r="CE997" s="240"/>
      <c r="CF997" s="240"/>
      <c r="CG997" s="240"/>
      <c r="CH997" s="240"/>
      <c r="CI997" s="240"/>
      <c r="CJ997" s="240"/>
      <c r="CK997" s="240"/>
      <c r="CL997" s="240"/>
      <c r="CM997" s="240"/>
      <c r="CN997" s="240"/>
      <c r="CO997" s="240"/>
      <c r="CP997" s="240"/>
      <c r="CQ997" s="240"/>
      <c r="CR997" s="240"/>
      <c r="CS997" s="240"/>
      <c r="CT997" s="240"/>
      <c r="CU997" s="240"/>
      <c r="CV997" s="240"/>
      <c r="CW997" s="240"/>
      <c r="CX997" s="240"/>
      <c r="CY997" s="240"/>
      <c r="CZ997" s="241"/>
      <c r="DA997" s="241"/>
      <c r="DB997" s="241"/>
      <c r="DC997" s="241"/>
      <c r="DD997" s="241"/>
      <c r="DE997" s="241"/>
      <c r="DF997" s="241"/>
      <c r="DG997" s="241"/>
      <c r="DH997" s="241"/>
      <c r="DI997" s="241"/>
      <c r="DJ997" s="241"/>
      <c r="DK997" s="241"/>
      <c r="DL997" s="241"/>
      <c r="DM997" s="241"/>
      <c r="DN997" s="241"/>
      <c r="DO997" s="241"/>
      <c r="DP997" s="241"/>
      <c r="DQ997" s="241"/>
      <c r="DR997" s="241"/>
      <c r="DS997" s="241"/>
      <c r="DT997" s="241"/>
      <c r="DU997" s="241"/>
      <c r="DV997" s="241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345"/>
      <c r="EM997" s="245" t="e">
        <f>EN997+EO997+EP997</f>
        <v>#REF!</v>
      </c>
      <c r="EN997" s="245" t="str">
        <f>TEXT(AP994,"#,###.0")</f>
        <v>.0</v>
      </c>
      <c r="EO997" s="245" t="e">
        <f>TEXT(AQ996,"#,###.0")</f>
        <v>#REF!</v>
      </c>
      <c r="EP997" s="245" t="e">
        <f>TEXT(AQ997,"#,###.0")</f>
        <v>#REF!</v>
      </c>
      <c r="EQ997" s="351"/>
    </row>
    <row r="998" spans="2:147" s="243" customFormat="1" ht="11.25" hidden="1" customHeight="1">
      <c r="B998" s="343"/>
      <c r="C998" s="240"/>
      <c r="D998" s="240"/>
      <c r="E998" s="240"/>
      <c r="F998" s="240"/>
      <c r="G998" s="240"/>
      <c r="H998" s="240" t="s">
        <v>688</v>
      </c>
      <c r="I998" s="240"/>
      <c r="J998" s="240" t="s">
        <v>96</v>
      </c>
      <c r="K998" s="240"/>
      <c r="L998" s="240"/>
      <c r="M998" s="240"/>
      <c r="N998" s="240"/>
      <c r="O998" s="240" t="s">
        <v>132</v>
      </c>
      <c r="P998" s="240"/>
      <c r="Q998" s="240" t="e">
        <f>TEXT(AQ995+AQ996+AQ997,"#,##0.#######")</f>
        <v>#REF!</v>
      </c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I998" s="240"/>
      <c r="AJ998" s="240"/>
      <c r="AK998" s="240"/>
      <c r="AL998" s="240"/>
      <c r="AM998" s="240"/>
      <c r="AN998" s="240"/>
      <c r="AO998" s="240"/>
      <c r="AP998" s="240"/>
      <c r="AQ998" s="240"/>
      <c r="AR998" s="240"/>
      <c r="AS998" s="240"/>
      <c r="AT998" s="240"/>
      <c r="AU998" s="240"/>
      <c r="AV998" s="240"/>
      <c r="AW998" s="240"/>
      <c r="AX998" s="240"/>
      <c r="AY998" s="240"/>
      <c r="AZ998" s="240"/>
      <c r="BA998" s="240"/>
      <c r="BB998" s="240"/>
      <c r="BC998" s="240"/>
      <c r="BD998" s="240"/>
      <c r="BE998" s="240"/>
      <c r="BF998" s="240"/>
      <c r="BG998" s="240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240"/>
      <c r="BT998" s="240"/>
      <c r="BU998" s="240"/>
      <c r="BV998" s="240"/>
      <c r="BW998" s="240"/>
      <c r="BX998" s="240"/>
      <c r="BY998" s="240"/>
      <c r="BZ998" s="240"/>
      <c r="CA998" s="240"/>
      <c r="CB998" s="240"/>
      <c r="CC998" s="240"/>
      <c r="CD998" s="240"/>
      <c r="CE998" s="240"/>
      <c r="CF998" s="240"/>
      <c r="CG998" s="240"/>
      <c r="CH998" s="240"/>
      <c r="CI998" s="240"/>
      <c r="CJ998" s="240"/>
      <c r="CK998" s="240"/>
      <c r="CL998" s="240"/>
      <c r="CM998" s="240"/>
      <c r="CN998" s="240"/>
      <c r="CO998" s="240"/>
      <c r="CP998" s="240"/>
      <c r="CQ998" s="240"/>
      <c r="CR998" s="240"/>
      <c r="CS998" s="240"/>
      <c r="CT998" s="240"/>
      <c r="CU998" s="240"/>
      <c r="CV998" s="240"/>
      <c r="CW998" s="240"/>
      <c r="CX998" s="240"/>
      <c r="CY998" s="240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1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345"/>
      <c r="EM998" s="245"/>
      <c r="EN998" s="245"/>
      <c r="EO998" s="245"/>
      <c r="EP998" s="245"/>
      <c r="EQ998" s="351"/>
    </row>
    <row r="999" spans="2:147" s="243" customFormat="1" ht="11.25" hidden="1" customHeight="1">
      <c r="B999" s="343"/>
      <c r="C999" s="240"/>
      <c r="D999" s="240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0"/>
      <c r="AO999" s="240"/>
      <c r="AP999" s="240"/>
      <c r="AQ999" s="240"/>
      <c r="AR999" s="240"/>
      <c r="AS999" s="240"/>
      <c r="AT999" s="240"/>
      <c r="AU999" s="240"/>
      <c r="AV999" s="240"/>
      <c r="AW999" s="240"/>
      <c r="AX999" s="240"/>
      <c r="AY999" s="240"/>
      <c r="AZ999" s="240"/>
      <c r="BA999" s="240"/>
      <c r="BB999" s="240"/>
      <c r="BC999" s="240"/>
      <c r="BD999" s="240"/>
      <c r="BE999" s="240"/>
      <c r="BF999" s="240"/>
      <c r="BG999" s="240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240"/>
      <c r="BT999" s="240"/>
      <c r="BU999" s="240"/>
      <c r="BV999" s="240"/>
      <c r="BW999" s="240"/>
      <c r="BX999" s="240"/>
      <c r="BY999" s="240"/>
      <c r="BZ999" s="240"/>
      <c r="CA999" s="240"/>
      <c r="CB999" s="240"/>
      <c r="CC999" s="240"/>
      <c r="CD999" s="240"/>
      <c r="CE999" s="240"/>
      <c r="CF999" s="240"/>
      <c r="CG999" s="240"/>
      <c r="CH999" s="240"/>
      <c r="CI999" s="240"/>
      <c r="CJ999" s="240"/>
      <c r="CK999" s="240"/>
      <c r="CL999" s="240"/>
      <c r="CM999" s="240"/>
      <c r="CN999" s="240"/>
      <c r="CO999" s="240"/>
      <c r="CP999" s="240"/>
      <c r="CQ999" s="240"/>
      <c r="CR999" s="240"/>
      <c r="CS999" s="240"/>
      <c r="CT999" s="240"/>
      <c r="CU999" s="240"/>
      <c r="CV999" s="240"/>
      <c r="CW999" s="240"/>
      <c r="CX999" s="240"/>
      <c r="CY999" s="240"/>
      <c r="CZ999" s="241"/>
      <c r="DA999" s="241"/>
      <c r="DB999" s="241"/>
      <c r="DC999" s="241"/>
      <c r="DD999" s="241"/>
      <c r="DE999" s="241"/>
      <c r="DF999" s="241"/>
      <c r="DG999" s="241"/>
      <c r="DH999" s="241"/>
      <c r="DI999" s="241"/>
      <c r="DJ999" s="241"/>
      <c r="DK999" s="241"/>
      <c r="DL999" s="241"/>
      <c r="DM999" s="241"/>
      <c r="DN999" s="241"/>
      <c r="DO999" s="241"/>
      <c r="DP999" s="241"/>
      <c r="DQ999" s="241"/>
      <c r="DR999" s="241"/>
      <c r="DS999" s="241"/>
      <c r="DT999" s="241"/>
      <c r="DU999" s="241"/>
      <c r="DV999" s="241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345"/>
      <c r="EM999" s="245"/>
      <c r="EN999" s="245"/>
      <c r="EO999" s="245"/>
      <c r="EP999" s="245"/>
      <c r="EQ999" s="351"/>
    </row>
    <row r="1000" spans="2:147" s="243" customFormat="1" ht="11.25" hidden="1" customHeight="1">
      <c r="B1000" s="343"/>
      <c r="C1000" s="240"/>
      <c r="D1000" s="240"/>
      <c r="E1000" s="240"/>
      <c r="F1000" s="240" t="s">
        <v>1630</v>
      </c>
      <c r="G1000" s="240"/>
      <c r="H1000" s="240" t="s">
        <v>686</v>
      </c>
      <c r="I1000" s="240"/>
      <c r="J1000" s="240" t="s">
        <v>1631</v>
      </c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0"/>
      <c r="AO1000" s="240"/>
      <c r="AP1000" s="240"/>
      <c r="AQ1000" s="240"/>
      <c r="AR1000" s="240"/>
      <c r="AS1000" s="240"/>
      <c r="AT1000" s="240"/>
      <c r="AU1000" s="240"/>
      <c r="AV1000" s="240"/>
      <c r="AW1000" s="240"/>
      <c r="AX1000" s="240"/>
      <c r="AY1000" s="240"/>
      <c r="AZ1000" s="240"/>
      <c r="BA1000" s="240"/>
      <c r="BB1000" s="240"/>
      <c r="BC1000" s="240"/>
      <c r="BD1000" s="240"/>
      <c r="BE1000" s="240"/>
      <c r="BF1000" s="240"/>
      <c r="BG1000" s="240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240"/>
      <c r="BT1000" s="240"/>
      <c r="BU1000" s="240"/>
      <c r="BV1000" s="240"/>
      <c r="BW1000" s="240"/>
      <c r="BX1000" s="240"/>
      <c r="BY1000" s="240"/>
      <c r="BZ1000" s="240"/>
      <c r="CA1000" s="240"/>
      <c r="CB1000" s="240"/>
      <c r="CC1000" s="240"/>
      <c r="CD1000" s="240"/>
      <c r="CE1000" s="240"/>
      <c r="CF1000" s="240"/>
      <c r="CG1000" s="240"/>
      <c r="CH1000" s="240"/>
      <c r="CI1000" s="240"/>
      <c r="CJ1000" s="240"/>
      <c r="CK1000" s="240"/>
      <c r="CL1000" s="240"/>
      <c r="CM1000" s="240"/>
      <c r="CN1000" s="240"/>
      <c r="CO1000" s="240"/>
      <c r="CP1000" s="240"/>
      <c r="CQ1000" s="240"/>
      <c r="CR1000" s="240"/>
      <c r="CS1000" s="240"/>
      <c r="CT1000" s="240"/>
      <c r="CU1000" s="240"/>
      <c r="CV1000" s="240"/>
      <c r="CW1000" s="240"/>
      <c r="CX1000" s="240"/>
      <c r="CY1000" s="240"/>
      <c r="CZ1000" s="241"/>
      <c r="DA1000" s="241"/>
      <c r="DB1000" s="241"/>
      <c r="DC1000" s="241"/>
      <c r="DD1000" s="241"/>
      <c r="DE1000" s="241"/>
      <c r="DF1000" s="241"/>
      <c r="DG1000" s="241"/>
      <c r="DH1000" s="241"/>
      <c r="DI1000" s="241"/>
      <c r="DJ1000" s="241"/>
      <c r="DK1000" s="241"/>
      <c r="DL1000" s="241"/>
      <c r="DM1000" s="241"/>
      <c r="DN1000" s="241"/>
      <c r="DO1000" s="241"/>
      <c r="DP1000" s="241"/>
      <c r="DQ1000" s="241"/>
      <c r="DR1000" s="241"/>
      <c r="DS1000" s="241"/>
      <c r="DT1000" s="241"/>
      <c r="DU1000" s="241"/>
      <c r="DV1000" s="241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345"/>
      <c r="EM1000" s="245"/>
      <c r="EN1000" s="245"/>
      <c r="EO1000" s="245"/>
      <c r="EP1000" s="245"/>
      <c r="EQ1000" s="351"/>
    </row>
    <row r="1001" spans="2:147" s="243" customFormat="1" ht="11.25" hidden="1" customHeight="1">
      <c r="B1001" s="343"/>
      <c r="C1001" s="240"/>
      <c r="D1001" s="240"/>
      <c r="E1001" s="240"/>
      <c r="F1001" s="240"/>
      <c r="G1001" s="240"/>
      <c r="H1001" s="240" t="s">
        <v>703</v>
      </c>
      <c r="I1001" s="240"/>
      <c r="J1001" s="240"/>
      <c r="K1001" s="240"/>
      <c r="L1001" s="240"/>
      <c r="M1001" s="240"/>
      <c r="N1001" s="240" t="s">
        <v>704</v>
      </c>
      <c r="O1001" s="240"/>
      <c r="P1001" s="240"/>
      <c r="Q1001" s="240"/>
      <c r="R1001" s="240"/>
      <c r="S1001" s="240"/>
      <c r="T1001" s="240"/>
      <c r="U1001" s="240"/>
      <c r="V1001" s="240"/>
      <c r="W1001" s="240" t="str">
        <f>TEXT(169800,"#,##0.#######")</f>
        <v>169,800.</v>
      </c>
      <c r="X1001" s="240"/>
      <c r="Y1001" s="240"/>
      <c r="Z1001" s="240"/>
      <c r="AA1001" s="240"/>
      <c r="AB1001" s="240" t="s">
        <v>652</v>
      </c>
      <c r="AC1001" s="240"/>
      <c r="AD1001" s="240" t="str">
        <f>TEXT(0.31,"#,##0.#######")</f>
        <v>0.31</v>
      </c>
      <c r="AE1001" s="240"/>
      <c r="AF1001" s="240"/>
      <c r="AG1001" s="240"/>
      <c r="AH1001" s="240" t="s">
        <v>87</v>
      </c>
      <c r="AI1001" s="240"/>
      <c r="AJ1001" s="240"/>
      <c r="AK1001" s="240" t="s">
        <v>683</v>
      </c>
      <c r="AL1001" s="240"/>
      <c r="AM1001" s="240"/>
      <c r="AN1001" s="240" t="str">
        <f>TEXT(100,"#,##0.#######")</f>
        <v>100.</v>
      </c>
      <c r="AO1001" s="240"/>
      <c r="AP1001" s="240"/>
      <c r="AQ1001" s="240" t="s">
        <v>90</v>
      </c>
      <c r="AR1001" s="240"/>
      <c r="AS1001" s="240" t="s">
        <v>134</v>
      </c>
      <c r="AT1001" s="240"/>
      <c r="AU1001" s="240" t="str">
        <f>TEXT(TRUNC(W1001*AD1001/AN1001,1),"#,##0.#")</f>
        <v>526.3</v>
      </c>
      <c r="AX1001" s="240"/>
      <c r="AY1001" s="240"/>
      <c r="AZ1001" s="240"/>
      <c r="BA1001" s="240"/>
      <c r="BB1001" s="240"/>
      <c r="BC1001" s="240"/>
      <c r="BD1001" s="240"/>
      <c r="BE1001" s="240"/>
      <c r="BF1001" s="240"/>
      <c r="BG1001" s="240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240"/>
      <c r="BT1001" s="240"/>
      <c r="BU1001" s="240"/>
      <c r="BV1001" s="240"/>
      <c r="BW1001" s="240"/>
      <c r="BX1001" s="240"/>
      <c r="BY1001" s="240"/>
      <c r="BZ1001" s="240"/>
      <c r="CA1001" s="240"/>
      <c r="CB1001" s="240"/>
      <c r="CC1001" s="240"/>
      <c r="CD1001" s="240"/>
      <c r="CE1001" s="240"/>
      <c r="CF1001" s="240"/>
      <c r="CG1001" s="240"/>
      <c r="CH1001" s="240"/>
      <c r="CI1001" s="240"/>
      <c r="CJ1001" s="240"/>
      <c r="CK1001" s="240"/>
      <c r="CL1001" s="240"/>
      <c r="CM1001" s="240"/>
      <c r="CN1001" s="240"/>
      <c r="CO1001" s="240"/>
      <c r="CP1001" s="240"/>
      <c r="CQ1001" s="240"/>
      <c r="CR1001" s="240"/>
      <c r="CS1001" s="240"/>
      <c r="CT1001" s="240"/>
      <c r="CU1001" s="240"/>
      <c r="CV1001" s="240"/>
      <c r="CW1001" s="240"/>
      <c r="CX1001" s="240"/>
      <c r="CY1001" s="240"/>
      <c r="CZ1001" s="241"/>
      <c r="DA1001" s="241"/>
      <c r="DB1001" s="241"/>
      <c r="DC1001" s="241"/>
      <c r="DD1001" s="241"/>
      <c r="DE1001" s="241"/>
      <c r="DF1001" s="241"/>
      <c r="DG1001" s="241"/>
      <c r="DH1001" s="241"/>
      <c r="DI1001" s="241"/>
      <c r="DJ1001" s="241"/>
      <c r="DK1001" s="241"/>
      <c r="DL1001" s="241"/>
      <c r="DM1001" s="241"/>
      <c r="DN1001" s="241"/>
      <c r="DO1001" s="241"/>
      <c r="DP1001" s="241"/>
      <c r="DQ1001" s="241"/>
      <c r="DR1001" s="241"/>
      <c r="DS1001" s="241"/>
      <c r="DT1001" s="241"/>
      <c r="DU1001" s="241"/>
      <c r="DV1001" s="241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345"/>
      <c r="EM1001" s="245">
        <f>EN1001+EO1001+EP1001</f>
        <v>526.29999999999995</v>
      </c>
      <c r="EN1001" s="245"/>
      <c r="EO1001" s="245" t="str">
        <f>AU1001</f>
        <v>526.3</v>
      </c>
      <c r="EP1001" s="245"/>
      <c r="EQ1001" s="351"/>
    </row>
    <row r="1002" spans="2:147" s="243" customFormat="1" ht="11.25" hidden="1" customHeight="1">
      <c r="B1002" s="343"/>
      <c r="C1002" s="240"/>
      <c r="D1002" s="240"/>
      <c r="E1002" s="240"/>
      <c r="F1002" s="240"/>
      <c r="G1002" s="240"/>
      <c r="H1002" s="240" t="s">
        <v>706</v>
      </c>
      <c r="I1002" s="240"/>
      <c r="J1002" s="240"/>
      <c r="K1002" s="240"/>
      <c r="L1002" s="240"/>
      <c r="M1002" s="1774" t="e">
        <f>VLOOKUP(H1002,#REF!,10,FALSE)</f>
        <v>#REF!</v>
      </c>
      <c r="N1002" s="1774"/>
      <c r="O1002" s="1774"/>
      <c r="P1002" s="1774"/>
      <c r="Q1002" s="1774"/>
      <c r="R1002" s="1774"/>
      <c r="S1002" s="240"/>
      <c r="T1002" s="240" t="s">
        <v>652</v>
      </c>
      <c r="U1002" s="240"/>
      <c r="V1002" s="240"/>
      <c r="W1002" s="240" t="str">
        <f>TEXT(3000,"#,##0.#######")</f>
        <v>3,000.</v>
      </c>
      <c r="X1002" s="240"/>
      <c r="Y1002" s="240"/>
      <c r="Z1002" s="240"/>
      <c r="AA1002" s="240" t="s">
        <v>369</v>
      </c>
      <c r="AB1002" s="240"/>
      <c r="AC1002" s="240"/>
      <c r="AD1002" s="240" t="s">
        <v>683</v>
      </c>
      <c r="AE1002" s="240"/>
      <c r="AF1002" s="240"/>
      <c r="AG1002" s="240" t="str">
        <f>TEXT(100,"#,##0.#######")</f>
        <v>100.</v>
      </c>
      <c r="AH1002" s="240"/>
      <c r="AI1002" s="240"/>
      <c r="AJ1002" s="240" t="s">
        <v>90</v>
      </c>
      <c r="AK1002" s="240"/>
      <c r="AL1002" s="240" t="s">
        <v>134</v>
      </c>
      <c r="AM1002" s="240"/>
      <c r="AN1002" s="240" t="e">
        <f>TEXT(TRUNC(M1002*W1002/AG1002,1),"#,##0.#")</f>
        <v>#REF!</v>
      </c>
      <c r="AO1002" s="240"/>
      <c r="AP1002" s="240"/>
      <c r="AQ1002" s="240"/>
      <c r="AR1002" s="240"/>
      <c r="AS1002" s="240"/>
      <c r="AT1002" s="240"/>
      <c r="AU1002" s="240"/>
      <c r="AV1002" s="240"/>
      <c r="AW1002" s="240"/>
      <c r="AX1002" s="240"/>
      <c r="AY1002" s="240"/>
      <c r="AZ1002" s="240"/>
      <c r="BA1002" s="240"/>
      <c r="BB1002" s="240"/>
      <c r="BC1002" s="240"/>
      <c r="BD1002" s="240"/>
      <c r="BE1002" s="240"/>
      <c r="BF1002" s="240"/>
      <c r="BG1002" s="240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240"/>
      <c r="BT1002" s="240"/>
      <c r="BU1002" s="240"/>
      <c r="BV1002" s="240"/>
      <c r="BW1002" s="240"/>
      <c r="BX1002" s="240"/>
      <c r="BY1002" s="240"/>
      <c r="BZ1002" s="240"/>
      <c r="CA1002" s="240"/>
      <c r="CB1002" s="240"/>
      <c r="CC1002" s="240"/>
      <c r="CD1002" s="240"/>
      <c r="CE1002" s="240"/>
      <c r="CF1002" s="240"/>
      <c r="CG1002" s="240"/>
      <c r="CH1002" s="240"/>
      <c r="CI1002" s="240"/>
      <c r="CJ1002" s="240"/>
      <c r="CK1002" s="240"/>
      <c r="CL1002" s="240"/>
      <c r="CM1002" s="240"/>
      <c r="CN1002" s="240"/>
      <c r="CO1002" s="240"/>
      <c r="CP1002" s="240"/>
      <c r="CQ1002" s="240"/>
      <c r="CR1002" s="240"/>
      <c r="CS1002" s="240"/>
      <c r="CT1002" s="240"/>
      <c r="CU1002" s="240"/>
      <c r="CV1002" s="240"/>
      <c r="CW1002" s="240"/>
      <c r="CX1002" s="240"/>
      <c r="CY1002" s="240"/>
      <c r="CZ1002" s="241"/>
      <c r="DA1002" s="241"/>
      <c r="DB1002" s="241"/>
      <c r="DC1002" s="241"/>
      <c r="DD1002" s="241"/>
      <c r="DE1002" s="241"/>
      <c r="DF1002" s="241"/>
      <c r="DG1002" s="241"/>
      <c r="DH1002" s="241"/>
      <c r="DI1002" s="241"/>
      <c r="DJ1002" s="241"/>
      <c r="DK1002" s="241"/>
      <c r="DL1002" s="241"/>
      <c r="DM1002" s="241"/>
      <c r="DN1002" s="241"/>
      <c r="DO1002" s="241"/>
      <c r="DP1002" s="241"/>
      <c r="DQ1002" s="241"/>
      <c r="DR1002" s="241"/>
      <c r="DS1002" s="241"/>
      <c r="DT1002" s="241"/>
      <c r="DU1002" s="241"/>
      <c r="DV1002" s="241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345"/>
      <c r="EM1002" s="245" t="e">
        <f>EN1002+EO1002+EP1002</f>
        <v>#REF!</v>
      </c>
      <c r="EN1002" s="245"/>
      <c r="EO1002" s="245" t="e">
        <f>AN1002</f>
        <v>#REF!</v>
      </c>
      <c r="EP1002" s="245"/>
      <c r="EQ1002" s="351"/>
    </row>
    <row r="1003" spans="2:147" s="243" customFormat="1" ht="11.25" hidden="1" customHeight="1">
      <c r="B1003" s="343"/>
      <c r="C1003" s="240"/>
      <c r="D1003" s="240"/>
      <c r="E1003" s="240"/>
      <c r="F1003" s="240"/>
      <c r="G1003" s="240"/>
      <c r="H1003" s="240"/>
      <c r="I1003" s="240"/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  <c r="AP1003" s="240"/>
      <c r="AQ1003" s="240"/>
      <c r="AR1003" s="240"/>
      <c r="AS1003" s="240"/>
      <c r="AT1003" s="240"/>
      <c r="AU1003" s="240"/>
      <c r="AV1003" s="240"/>
      <c r="AW1003" s="240"/>
      <c r="AX1003" s="240"/>
      <c r="AY1003" s="240"/>
      <c r="AZ1003" s="240"/>
      <c r="BA1003" s="240"/>
      <c r="BB1003" s="240"/>
      <c r="BC1003" s="240"/>
      <c r="BD1003" s="240"/>
      <c r="BE1003" s="240"/>
      <c r="BF1003" s="240"/>
      <c r="BG1003" s="240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240"/>
      <c r="BT1003" s="240"/>
      <c r="BU1003" s="240"/>
      <c r="BV1003" s="240"/>
      <c r="BW1003" s="240"/>
      <c r="BX1003" s="240"/>
      <c r="BY1003" s="240"/>
      <c r="BZ1003" s="240"/>
      <c r="CA1003" s="240"/>
      <c r="CB1003" s="240"/>
      <c r="CC1003" s="240"/>
      <c r="CD1003" s="240"/>
      <c r="CE1003" s="240"/>
      <c r="CF1003" s="240"/>
      <c r="CG1003" s="240"/>
      <c r="CH1003" s="240"/>
      <c r="CI1003" s="240"/>
      <c r="CJ1003" s="240"/>
      <c r="CK1003" s="240"/>
      <c r="CL1003" s="240"/>
      <c r="CM1003" s="240"/>
      <c r="CN1003" s="240"/>
      <c r="CO1003" s="240"/>
      <c r="CP1003" s="240"/>
      <c r="CQ1003" s="240"/>
      <c r="CR1003" s="240"/>
      <c r="CS1003" s="240"/>
      <c r="CT1003" s="240"/>
      <c r="CU1003" s="240"/>
      <c r="CV1003" s="240"/>
      <c r="CW1003" s="240"/>
      <c r="CX1003" s="240"/>
      <c r="CY1003" s="240"/>
      <c r="CZ1003" s="241"/>
      <c r="DA1003" s="241"/>
      <c r="DB1003" s="241"/>
      <c r="DC1003" s="241"/>
      <c r="DD1003" s="241"/>
      <c r="DE1003" s="241"/>
      <c r="DF1003" s="241"/>
      <c r="DG1003" s="241"/>
      <c r="DH1003" s="241"/>
      <c r="DI1003" s="241"/>
      <c r="DJ1003" s="241"/>
      <c r="DK1003" s="241"/>
      <c r="DL1003" s="241"/>
      <c r="DM1003" s="241"/>
      <c r="DN1003" s="241"/>
      <c r="DO1003" s="241"/>
      <c r="DP1003" s="241"/>
      <c r="DQ1003" s="241"/>
      <c r="DR1003" s="241"/>
      <c r="DS1003" s="241"/>
      <c r="DT1003" s="241"/>
      <c r="DU1003" s="241"/>
      <c r="DV1003" s="241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345"/>
      <c r="EM1003" s="245"/>
      <c r="EN1003" s="245"/>
      <c r="EO1003" s="245"/>
      <c r="EP1003" s="245"/>
      <c r="EQ1003" s="351"/>
    </row>
    <row r="1004" spans="2:147" s="243" customFormat="1" ht="11.25" hidden="1" customHeight="1">
      <c r="B1004" s="343"/>
      <c r="C1004" s="240"/>
      <c r="D1004" s="240"/>
      <c r="E1004" s="240"/>
      <c r="F1004" s="240"/>
      <c r="G1004" s="240"/>
      <c r="H1004" s="240"/>
      <c r="I1004" s="240"/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  <c r="AA1004" s="240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240"/>
      <c r="AM1004" s="240"/>
      <c r="AN1004" s="240"/>
      <c r="AO1004" s="240"/>
      <c r="AP1004" s="240"/>
      <c r="AQ1004" s="240"/>
      <c r="AR1004" s="240"/>
      <c r="AS1004" s="240"/>
      <c r="AT1004" s="240"/>
      <c r="AU1004" s="240"/>
      <c r="AV1004" s="240"/>
      <c r="AW1004" s="240"/>
      <c r="AX1004" s="240"/>
      <c r="AY1004" s="240"/>
      <c r="AZ1004" s="240"/>
      <c r="BA1004" s="240"/>
      <c r="BB1004" s="240"/>
      <c r="BC1004" s="240"/>
      <c r="BD1004" s="240"/>
      <c r="BE1004" s="240"/>
      <c r="BF1004" s="240"/>
      <c r="BG1004" s="240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240"/>
      <c r="BT1004" s="240"/>
      <c r="BU1004" s="240"/>
      <c r="BV1004" s="240"/>
      <c r="BW1004" s="240"/>
      <c r="BX1004" s="240"/>
      <c r="BY1004" s="240"/>
      <c r="BZ1004" s="240"/>
      <c r="CA1004" s="240"/>
      <c r="CB1004" s="240"/>
      <c r="CC1004" s="240"/>
      <c r="CD1004" s="240"/>
      <c r="CE1004" s="240"/>
      <c r="CF1004" s="240"/>
      <c r="CG1004" s="240"/>
      <c r="CH1004" s="240"/>
      <c r="CI1004" s="240"/>
      <c r="CJ1004" s="240"/>
      <c r="CK1004" s="240"/>
      <c r="CL1004" s="240"/>
      <c r="CM1004" s="240"/>
      <c r="CN1004" s="240"/>
      <c r="CO1004" s="240"/>
      <c r="CP1004" s="240"/>
      <c r="CQ1004" s="240"/>
      <c r="CR1004" s="240"/>
      <c r="CS1004" s="240"/>
      <c r="CT1004" s="240"/>
      <c r="CU1004" s="240"/>
      <c r="CV1004" s="240"/>
      <c r="CW1004" s="240"/>
      <c r="CX1004" s="240"/>
      <c r="CY1004" s="240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1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345"/>
      <c r="EM1004" s="245"/>
      <c r="EN1004" s="245"/>
      <c r="EO1004" s="245"/>
      <c r="EP1004" s="245"/>
      <c r="EQ1004" s="351"/>
    </row>
    <row r="1005" spans="2:147" s="243" customFormat="1" ht="11.25" hidden="1" customHeight="1">
      <c r="B1005" s="343"/>
      <c r="C1005" s="240"/>
      <c r="D1005" s="240"/>
      <c r="E1005" s="240"/>
      <c r="F1005" s="240" t="s">
        <v>690</v>
      </c>
      <c r="G1005" s="240"/>
      <c r="H1005" s="240" t="s">
        <v>686</v>
      </c>
      <c r="I1005" s="240"/>
      <c r="J1005" s="240" t="s">
        <v>616</v>
      </c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  <c r="AA1005" s="240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240"/>
      <c r="AM1005" s="240"/>
      <c r="AN1005" s="240"/>
      <c r="AO1005" s="240"/>
      <c r="AP1005" s="240"/>
      <c r="AQ1005" s="240"/>
      <c r="AR1005" s="240"/>
      <c r="AS1005" s="240"/>
      <c r="AT1005" s="240"/>
      <c r="AU1005" s="240"/>
      <c r="AV1005" s="240"/>
      <c r="AW1005" s="240"/>
      <c r="AX1005" s="240"/>
      <c r="AY1005" s="240"/>
      <c r="AZ1005" s="240"/>
      <c r="BA1005" s="240"/>
      <c r="BB1005" s="240"/>
      <c r="BC1005" s="240"/>
      <c r="BD1005" s="240"/>
      <c r="BE1005" s="240"/>
      <c r="BF1005" s="240"/>
      <c r="BG1005" s="240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240"/>
      <c r="BT1005" s="240"/>
      <c r="BU1005" s="240"/>
      <c r="BV1005" s="240"/>
      <c r="BW1005" s="240"/>
      <c r="BX1005" s="240"/>
      <c r="BY1005" s="240"/>
      <c r="BZ1005" s="240"/>
      <c r="CA1005" s="240"/>
      <c r="CB1005" s="240"/>
      <c r="CC1005" s="240"/>
      <c r="CD1005" s="240"/>
      <c r="CE1005" s="240"/>
      <c r="CF1005" s="240"/>
      <c r="CG1005" s="240"/>
      <c r="CH1005" s="240"/>
      <c r="CI1005" s="240"/>
      <c r="CJ1005" s="240"/>
      <c r="CK1005" s="240"/>
      <c r="CL1005" s="240"/>
      <c r="CM1005" s="240"/>
      <c r="CN1005" s="240"/>
      <c r="CO1005" s="240"/>
      <c r="CP1005" s="240"/>
      <c r="CQ1005" s="240"/>
      <c r="CR1005" s="240"/>
      <c r="CS1005" s="240"/>
      <c r="CT1005" s="240"/>
      <c r="CU1005" s="240"/>
      <c r="CV1005" s="240"/>
      <c r="CW1005" s="240"/>
      <c r="CX1005" s="240"/>
      <c r="CY1005" s="240"/>
      <c r="CZ1005" s="241"/>
      <c r="DA1005" s="241"/>
      <c r="DB1005" s="241"/>
      <c r="DC1005" s="241"/>
      <c r="DD1005" s="241"/>
      <c r="DE1005" s="241"/>
      <c r="DF1005" s="241"/>
      <c r="DG1005" s="241"/>
      <c r="DH1005" s="241"/>
      <c r="DI1005" s="241"/>
      <c r="DJ1005" s="241"/>
      <c r="DK1005" s="241"/>
      <c r="DL1005" s="241"/>
      <c r="DM1005" s="241"/>
      <c r="DN1005" s="241"/>
      <c r="DO1005" s="241"/>
      <c r="DP1005" s="241"/>
      <c r="DQ1005" s="241"/>
      <c r="DR1005" s="241"/>
      <c r="DS1005" s="241"/>
      <c r="DT1005" s="241"/>
      <c r="DU1005" s="241"/>
      <c r="DV1005" s="241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345"/>
      <c r="EM1005" s="245"/>
      <c r="EN1005" s="245"/>
      <c r="EO1005" s="245"/>
      <c r="EP1005" s="245"/>
      <c r="EQ1005" s="351"/>
    </row>
    <row r="1006" spans="2:147" s="243" customFormat="1" ht="11.25" hidden="1" customHeight="1">
      <c r="B1006" s="343"/>
      <c r="C1006" s="240"/>
      <c r="D1006" s="240"/>
      <c r="E1006" s="240"/>
      <c r="F1006" s="240"/>
      <c r="G1006" s="240"/>
      <c r="H1006" s="240" t="s">
        <v>127</v>
      </c>
      <c r="I1006" s="240"/>
      <c r="J1006" s="240"/>
      <c r="K1006" s="240"/>
      <c r="L1006" s="240"/>
      <c r="M1006" s="240"/>
      <c r="N1006" s="240" t="s">
        <v>132</v>
      </c>
      <c r="O1006" s="240"/>
      <c r="P1006" s="1775">
        <f>VLOOKUP($H1006,노임단가!$A:$B,2,FALSE)</f>
        <v>197450</v>
      </c>
      <c r="Q1006" s="1775"/>
      <c r="R1006" s="1775"/>
      <c r="S1006" s="1775"/>
      <c r="T1006" s="1775"/>
      <c r="U1006" s="1775"/>
      <c r="V1006" s="240" t="s">
        <v>652</v>
      </c>
      <c r="W1006" s="240"/>
      <c r="X1006" s="240" t="str">
        <f>TEXT(1,"#,##0.#######")</f>
        <v>1.</v>
      </c>
      <c r="Y1006" s="240"/>
      <c r="Z1006" s="240"/>
      <c r="AA1006" s="240" t="s">
        <v>102</v>
      </c>
      <c r="AB1006" s="240"/>
      <c r="AC1006" s="240"/>
      <c r="AD1006" s="240" t="s">
        <v>683</v>
      </c>
      <c r="AE1006" s="240"/>
      <c r="AF1006" s="240"/>
      <c r="AG1006" s="240" t="str">
        <f>TEXT(450,"#,##0.#######")</f>
        <v>450.</v>
      </c>
      <c r="AH1006" s="240"/>
      <c r="AI1006" s="240"/>
      <c r="AJ1006" s="240" t="s">
        <v>90</v>
      </c>
      <c r="AK1006" s="240"/>
      <c r="AL1006" s="240" t="s">
        <v>134</v>
      </c>
      <c r="AM1006" s="240"/>
      <c r="AN1006" s="240" t="str">
        <f>TEXT(TRUNC(P1006*X1006/AG1006,1),"#,##0.#######")</f>
        <v>438.7</v>
      </c>
      <c r="AX1006" s="240"/>
      <c r="AY1006" s="240"/>
      <c r="AZ1006" s="240"/>
      <c r="BA1006" s="240"/>
      <c r="BB1006" s="240"/>
      <c r="BC1006" s="240"/>
      <c r="BD1006" s="240"/>
      <c r="BE1006" s="240"/>
      <c r="BF1006" s="240"/>
      <c r="BG1006" s="240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240"/>
      <c r="BT1006" s="240"/>
      <c r="BU1006" s="240"/>
      <c r="BV1006" s="240"/>
      <c r="BW1006" s="240"/>
      <c r="BX1006" s="240"/>
      <c r="BY1006" s="240"/>
      <c r="BZ1006" s="240"/>
      <c r="CA1006" s="240"/>
      <c r="CB1006" s="240"/>
      <c r="CC1006" s="240"/>
      <c r="CD1006" s="240"/>
      <c r="CE1006" s="240"/>
      <c r="CF1006" s="240"/>
      <c r="CG1006" s="240"/>
      <c r="CH1006" s="240"/>
      <c r="CI1006" s="240"/>
      <c r="CJ1006" s="240"/>
      <c r="CK1006" s="240"/>
      <c r="CL1006" s="240"/>
      <c r="CM1006" s="240"/>
      <c r="CN1006" s="240"/>
      <c r="CO1006" s="240"/>
      <c r="CP1006" s="240"/>
      <c r="CQ1006" s="240"/>
      <c r="CR1006" s="240"/>
      <c r="CS1006" s="240"/>
      <c r="CT1006" s="240"/>
      <c r="CU1006" s="240"/>
      <c r="CV1006" s="240"/>
      <c r="CW1006" s="240"/>
      <c r="CX1006" s="240"/>
      <c r="CY1006" s="240"/>
      <c r="CZ1006" s="241"/>
      <c r="DA1006" s="241"/>
      <c r="DB1006" s="241"/>
      <c r="DC1006" s="241"/>
      <c r="DD1006" s="241"/>
      <c r="DE1006" s="241"/>
      <c r="DF1006" s="241"/>
      <c r="DG1006" s="241"/>
      <c r="DH1006" s="241"/>
      <c r="DI1006" s="241"/>
      <c r="DJ1006" s="241"/>
      <c r="DK1006" s="241"/>
      <c r="DL1006" s="241"/>
      <c r="DM1006" s="241"/>
      <c r="DN1006" s="241"/>
      <c r="DO1006" s="241"/>
      <c r="DP1006" s="241"/>
      <c r="DQ1006" s="241"/>
      <c r="DR1006" s="241"/>
      <c r="DS1006" s="241"/>
      <c r="DT1006" s="241"/>
      <c r="DU1006" s="241"/>
      <c r="DV1006" s="241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345"/>
      <c r="EM1006" s="245"/>
      <c r="EN1006" s="245"/>
      <c r="EO1006" s="245"/>
      <c r="EP1006" s="245"/>
      <c r="EQ1006" s="351"/>
    </row>
    <row r="1007" spans="2:147" s="243" customFormat="1" ht="11.25" hidden="1" customHeight="1">
      <c r="B1007" s="343"/>
      <c r="C1007" s="240"/>
      <c r="D1007" s="240"/>
      <c r="E1007" s="240"/>
      <c r="F1007" s="240"/>
      <c r="G1007" s="240"/>
      <c r="H1007" s="240" t="s">
        <v>103</v>
      </c>
      <c r="I1007" s="240"/>
      <c r="J1007" s="240"/>
      <c r="K1007" s="240"/>
      <c r="L1007" s="240"/>
      <c r="M1007" s="240"/>
      <c r="N1007" s="240" t="s">
        <v>132</v>
      </c>
      <c r="O1007" s="240"/>
      <c r="P1007" s="1775">
        <f>VLOOKUP($H1007,노임단가!$A:$B,2,FALSE)</f>
        <v>157068</v>
      </c>
      <c r="Q1007" s="1775"/>
      <c r="R1007" s="1775"/>
      <c r="S1007" s="1775"/>
      <c r="T1007" s="1775"/>
      <c r="U1007" s="1775"/>
      <c r="V1007" s="240" t="s">
        <v>652</v>
      </c>
      <c r="W1007" s="240"/>
      <c r="X1007" s="240" t="str">
        <f>TEXT(1,"#,##0.#######")</f>
        <v>1.</v>
      </c>
      <c r="Y1007" s="240"/>
      <c r="Z1007" s="240"/>
      <c r="AA1007" s="240" t="s">
        <v>102</v>
      </c>
      <c r="AB1007" s="240"/>
      <c r="AC1007" s="240"/>
      <c r="AD1007" s="240" t="s">
        <v>683</v>
      </c>
      <c r="AE1007" s="240"/>
      <c r="AF1007" s="240"/>
      <c r="AG1007" s="240" t="str">
        <f>TEXT(450,"#,##0.#######")</f>
        <v>450.</v>
      </c>
      <c r="AH1007" s="240"/>
      <c r="AI1007" s="240"/>
      <c r="AJ1007" s="240" t="s">
        <v>90</v>
      </c>
      <c r="AK1007" s="240"/>
      <c r="AL1007" s="240" t="s">
        <v>134</v>
      </c>
      <c r="AM1007" s="240"/>
      <c r="AN1007" s="240" t="str">
        <f>TEXT(TRUNC(P1007*X1007/AG1007,1),"#,##0.#######")</f>
        <v>349.</v>
      </c>
      <c r="AW1007" s="240"/>
      <c r="AX1007" s="240"/>
      <c r="AY1007" s="240"/>
      <c r="AZ1007" s="240"/>
      <c r="BA1007" s="240"/>
      <c r="BB1007" s="240"/>
      <c r="BC1007" s="240"/>
      <c r="BD1007" s="240"/>
      <c r="BE1007" s="240"/>
      <c r="BF1007" s="240"/>
      <c r="BG1007" s="240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240"/>
      <c r="BT1007" s="240"/>
      <c r="BU1007" s="240"/>
      <c r="BV1007" s="240"/>
      <c r="BW1007" s="240"/>
      <c r="BX1007" s="240"/>
      <c r="BY1007" s="240"/>
      <c r="BZ1007" s="240"/>
      <c r="CA1007" s="240"/>
      <c r="CB1007" s="240"/>
      <c r="CC1007" s="240"/>
      <c r="CD1007" s="240"/>
      <c r="CE1007" s="240"/>
      <c r="CF1007" s="240"/>
      <c r="CG1007" s="240"/>
      <c r="CH1007" s="240"/>
      <c r="CI1007" s="240"/>
      <c r="CJ1007" s="240"/>
      <c r="CK1007" s="240"/>
      <c r="CL1007" s="240"/>
      <c r="CM1007" s="240"/>
      <c r="CN1007" s="240"/>
      <c r="CO1007" s="240"/>
      <c r="CP1007" s="240"/>
      <c r="CQ1007" s="240"/>
      <c r="CR1007" s="240"/>
      <c r="CS1007" s="240"/>
      <c r="CT1007" s="240"/>
      <c r="CU1007" s="240"/>
      <c r="CV1007" s="240"/>
      <c r="CW1007" s="240"/>
      <c r="CX1007" s="240"/>
      <c r="CY1007" s="240"/>
      <c r="CZ1007" s="241"/>
      <c r="DA1007" s="241"/>
      <c r="DB1007" s="241"/>
      <c r="DC1007" s="241"/>
      <c r="DD1007" s="241"/>
      <c r="DE1007" s="241"/>
      <c r="DF1007" s="241"/>
      <c r="DG1007" s="241"/>
      <c r="DH1007" s="241"/>
      <c r="DI1007" s="241"/>
      <c r="DJ1007" s="241"/>
      <c r="DK1007" s="241"/>
      <c r="DL1007" s="241"/>
      <c r="DM1007" s="241"/>
      <c r="DN1007" s="241"/>
      <c r="DO1007" s="241"/>
      <c r="DP1007" s="241"/>
      <c r="DQ1007" s="241"/>
      <c r="DR1007" s="241"/>
      <c r="DS1007" s="241"/>
      <c r="DT1007" s="241"/>
      <c r="DU1007" s="241"/>
      <c r="DV1007" s="241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345"/>
      <c r="EM1007" s="245"/>
      <c r="EN1007" s="245"/>
      <c r="EO1007" s="245"/>
      <c r="EP1007" s="245"/>
      <c r="EQ1007" s="351"/>
    </row>
    <row r="1008" spans="2:147" s="243" customFormat="1" ht="11.25" hidden="1" customHeight="1">
      <c r="B1008" s="343"/>
      <c r="C1008" s="240"/>
      <c r="D1008" s="240"/>
      <c r="E1008" s="240"/>
      <c r="F1008" s="240"/>
      <c r="G1008" s="240"/>
      <c r="H1008" s="240" t="s">
        <v>684</v>
      </c>
      <c r="I1008" s="240"/>
      <c r="J1008" s="240"/>
      <c r="K1008" s="240"/>
      <c r="L1008" s="240"/>
      <c r="M1008" s="240"/>
      <c r="N1008" s="240" t="s">
        <v>132</v>
      </c>
      <c r="O1008" s="240"/>
      <c r="P1008" s="240" t="str">
        <f>TEXT(TRUNC(AN1006+AN1007,1),"#,##0.#######")</f>
        <v>787.7</v>
      </c>
      <c r="Q1008" s="240"/>
      <c r="U1008" s="240"/>
      <c r="V1008" s="240"/>
      <c r="W1008" s="240"/>
      <c r="X1008" s="240"/>
      <c r="Y1008" s="240"/>
      <c r="Z1008" s="240"/>
      <c r="AA1008" s="240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240"/>
      <c r="AM1008" s="240"/>
      <c r="AN1008" s="240"/>
      <c r="AO1008" s="240"/>
      <c r="AP1008" s="240"/>
      <c r="AQ1008" s="240"/>
      <c r="AR1008" s="240"/>
      <c r="AS1008" s="240"/>
      <c r="AT1008" s="240"/>
      <c r="AU1008" s="240"/>
      <c r="AV1008" s="240"/>
      <c r="AW1008" s="240"/>
      <c r="AX1008" s="240"/>
      <c r="AY1008" s="240"/>
      <c r="AZ1008" s="240"/>
      <c r="BA1008" s="240"/>
      <c r="BB1008" s="240"/>
      <c r="BC1008" s="240"/>
      <c r="BD1008" s="240"/>
      <c r="BE1008" s="240"/>
      <c r="BF1008" s="240"/>
      <c r="BG1008" s="240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240"/>
      <c r="BT1008" s="240"/>
      <c r="BU1008" s="240"/>
      <c r="BV1008" s="240"/>
      <c r="BW1008" s="240"/>
      <c r="BX1008" s="240"/>
      <c r="BY1008" s="240"/>
      <c r="BZ1008" s="240"/>
      <c r="CA1008" s="240"/>
      <c r="CB1008" s="240"/>
      <c r="CC1008" s="240"/>
      <c r="CD1008" s="240"/>
      <c r="CE1008" s="240"/>
      <c r="CF1008" s="240"/>
      <c r="CG1008" s="240"/>
      <c r="CH1008" s="240"/>
      <c r="CI1008" s="240"/>
      <c r="CJ1008" s="240"/>
      <c r="CK1008" s="240"/>
      <c r="CL1008" s="240"/>
      <c r="CM1008" s="240"/>
      <c r="CN1008" s="240"/>
      <c r="CO1008" s="240"/>
      <c r="CP1008" s="240"/>
      <c r="CQ1008" s="240"/>
      <c r="CR1008" s="240"/>
      <c r="CS1008" s="240"/>
      <c r="CT1008" s="240"/>
      <c r="CU1008" s="240"/>
      <c r="CV1008" s="240"/>
      <c r="CW1008" s="240"/>
      <c r="CX1008" s="240"/>
      <c r="CY1008" s="240"/>
      <c r="CZ1008" s="241"/>
      <c r="DA1008" s="241"/>
      <c r="DB1008" s="241"/>
      <c r="DC1008" s="241"/>
      <c r="DD1008" s="241"/>
      <c r="DE1008" s="241"/>
      <c r="DF1008" s="241"/>
      <c r="DG1008" s="241"/>
      <c r="DH1008" s="241"/>
      <c r="DI1008" s="241"/>
      <c r="DJ1008" s="241"/>
      <c r="DK1008" s="241"/>
      <c r="DL1008" s="241"/>
      <c r="DM1008" s="241"/>
      <c r="DN1008" s="241"/>
      <c r="DO1008" s="241"/>
      <c r="DP1008" s="241"/>
      <c r="DQ1008" s="241"/>
      <c r="DR1008" s="241"/>
      <c r="DS1008" s="241"/>
      <c r="DT1008" s="241"/>
      <c r="DU1008" s="241"/>
      <c r="DV1008" s="241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345"/>
      <c r="EM1008" s="245"/>
      <c r="EN1008" s="245" t="str">
        <f>P1008</f>
        <v>787.7</v>
      </c>
      <c r="EO1008" s="245"/>
      <c r="EP1008" s="245"/>
      <c r="EQ1008" s="351"/>
    </row>
    <row r="1009" spans="2:147" s="243" customFormat="1" ht="11.25" hidden="1" customHeight="1">
      <c r="B1009" s="343"/>
      <c r="C1009" s="240"/>
      <c r="D1009" s="240"/>
      <c r="E1009" s="240"/>
      <c r="F1009" s="240"/>
      <c r="G1009" s="240"/>
      <c r="H1009" s="240"/>
      <c r="I1009" s="240"/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  <c r="AA1009" s="240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240"/>
      <c r="AM1009" s="240"/>
      <c r="AN1009" s="240"/>
      <c r="AO1009" s="240"/>
      <c r="AP1009" s="240"/>
      <c r="AQ1009" s="240"/>
      <c r="AR1009" s="240"/>
      <c r="AS1009" s="240"/>
      <c r="AT1009" s="240"/>
      <c r="AU1009" s="240"/>
      <c r="AV1009" s="240"/>
      <c r="AW1009" s="240"/>
      <c r="AX1009" s="240"/>
      <c r="AY1009" s="240"/>
      <c r="AZ1009" s="240"/>
      <c r="BA1009" s="240"/>
      <c r="BB1009" s="240"/>
      <c r="BC1009" s="240"/>
      <c r="BD1009" s="240"/>
      <c r="BE1009" s="240"/>
      <c r="BF1009" s="240"/>
      <c r="BG1009" s="240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240"/>
      <c r="BT1009" s="240"/>
      <c r="BU1009" s="240"/>
      <c r="BV1009" s="240"/>
      <c r="BW1009" s="240"/>
      <c r="BX1009" s="240"/>
      <c r="BY1009" s="240"/>
      <c r="BZ1009" s="240"/>
      <c r="CA1009" s="240"/>
      <c r="CB1009" s="240"/>
      <c r="CC1009" s="240"/>
      <c r="CD1009" s="240"/>
      <c r="CE1009" s="240"/>
      <c r="CF1009" s="240"/>
      <c r="CG1009" s="240"/>
      <c r="CH1009" s="240"/>
      <c r="CI1009" s="240"/>
      <c r="CJ1009" s="240"/>
      <c r="CK1009" s="240"/>
      <c r="CL1009" s="240"/>
      <c r="CM1009" s="240"/>
      <c r="CN1009" s="240"/>
      <c r="CO1009" s="240"/>
      <c r="CP1009" s="240"/>
      <c r="CQ1009" s="240"/>
      <c r="CR1009" s="240"/>
      <c r="CS1009" s="240"/>
      <c r="CT1009" s="240"/>
      <c r="CU1009" s="240"/>
      <c r="CV1009" s="240"/>
      <c r="CW1009" s="240"/>
      <c r="CX1009" s="240"/>
      <c r="CY1009" s="240"/>
      <c r="CZ1009" s="241"/>
      <c r="DA1009" s="241"/>
      <c r="DB1009" s="241"/>
      <c r="DC1009" s="241"/>
      <c r="DD1009" s="241"/>
      <c r="DE1009" s="241"/>
      <c r="DF1009" s="241"/>
      <c r="DG1009" s="241"/>
      <c r="DH1009" s="241"/>
      <c r="DI1009" s="241"/>
      <c r="DJ1009" s="241"/>
      <c r="DK1009" s="241"/>
      <c r="DL1009" s="241"/>
      <c r="DM1009" s="241"/>
      <c r="DN1009" s="241"/>
      <c r="DO1009" s="241"/>
      <c r="DP1009" s="241"/>
      <c r="DQ1009" s="241"/>
      <c r="DR1009" s="241"/>
      <c r="DS1009" s="241"/>
      <c r="DT1009" s="241"/>
      <c r="DU1009" s="241"/>
      <c r="DV1009" s="241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345"/>
      <c r="EM1009" s="245"/>
      <c r="EN1009" s="245"/>
      <c r="EO1009" s="245"/>
      <c r="EP1009" s="245"/>
      <c r="EQ1009" s="351"/>
    </row>
    <row r="1010" spans="2:147" s="243" customFormat="1" ht="11.25" hidden="1" customHeight="1">
      <c r="B1010" s="343"/>
      <c r="C1010" s="240"/>
      <c r="D1010" s="240"/>
      <c r="E1010" s="240"/>
      <c r="F1010" s="240" t="s">
        <v>697</v>
      </c>
      <c r="G1010" s="240"/>
      <c r="H1010" s="240" t="s">
        <v>686</v>
      </c>
      <c r="I1010" s="240"/>
      <c r="J1010" s="240" t="s">
        <v>688</v>
      </c>
      <c r="K1010" s="240"/>
      <c r="L1010" s="240"/>
      <c r="M1010" s="240" t="s">
        <v>96</v>
      </c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  <c r="AA1010" s="240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240"/>
      <c r="AM1010" s="240"/>
      <c r="AN1010" s="240"/>
      <c r="AO1010" s="240"/>
      <c r="AP1010" s="240"/>
      <c r="AQ1010" s="240"/>
      <c r="AR1010" s="240"/>
      <c r="AS1010" s="240"/>
      <c r="AT1010" s="240"/>
      <c r="AU1010" s="240"/>
      <c r="AV1010" s="240"/>
      <c r="AW1010" s="240"/>
      <c r="AX1010" s="240"/>
      <c r="AY1010" s="240"/>
      <c r="AZ1010" s="240"/>
      <c r="BA1010" s="240"/>
      <c r="BB1010" s="240"/>
      <c r="BC1010" s="240"/>
      <c r="BD1010" s="240"/>
      <c r="BE1010" s="240"/>
      <c r="BF1010" s="240"/>
      <c r="BG1010" s="240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240"/>
      <c r="BT1010" s="240"/>
      <c r="BU1010" s="240"/>
      <c r="BV1010" s="240"/>
      <c r="BW1010" s="240"/>
      <c r="BX1010" s="240"/>
      <c r="BY1010" s="240"/>
      <c r="BZ1010" s="240"/>
      <c r="CA1010" s="240"/>
      <c r="CB1010" s="240"/>
      <c r="CC1010" s="240"/>
      <c r="CD1010" s="240"/>
      <c r="CE1010" s="240"/>
      <c r="CF1010" s="240"/>
      <c r="CG1010" s="240"/>
      <c r="CH1010" s="240"/>
      <c r="CI1010" s="240"/>
      <c r="CJ1010" s="240"/>
      <c r="CK1010" s="240"/>
      <c r="CL1010" s="240"/>
      <c r="CM1010" s="240"/>
      <c r="CN1010" s="240"/>
      <c r="CO1010" s="240"/>
      <c r="CP1010" s="240"/>
      <c r="CQ1010" s="240"/>
      <c r="CR1010" s="240"/>
      <c r="CS1010" s="240"/>
      <c r="CT1010" s="240"/>
      <c r="CU1010" s="240"/>
      <c r="CV1010" s="240"/>
      <c r="CW1010" s="240"/>
      <c r="CX1010" s="240"/>
      <c r="CY1010" s="240"/>
      <c r="CZ1010" s="241"/>
      <c r="DA1010" s="241"/>
      <c r="DB1010" s="241"/>
      <c r="DC1010" s="241"/>
      <c r="DD1010" s="241"/>
      <c r="DE1010" s="241"/>
      <c r="DF1010" s="241"/>
      <c r="DG1010" s="241"/>
      <c r="DH1010" s="241"/>
      <c r="DI1010" s="241"/>
      <c r="DJ1010" s="241"/>
      <c r="DK1010" s="241"/>
      <c r="DL1010" s="241"/>
      <c r="DM1010" s="241"/>
      <c r="DN1010" s="241"/>
      <c r="DO1010" s="241"/>
      <c r="DP1010" s="241"/>
      <c r="DQ1010" s="241"/>
      <c r="DR1010" s="241"/>
      <c r="DS1010" s="241"/>
      <c r="DT1010" s="241"/>
      <c r="DU1010" s="241"/>
      <c r="DV1010" s="241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345"/>
      <c r="EM1010" s="245"/>
      <c r="EN1010" s="245"/>
      <c r="EO1010" s="245"/>
      <c r="EP1010" s="245"/>
      <c r="EQ1010" s="351"/>
    </row>
    <row r="1011" spans="2:147" s="243" customFormat="1" ht="11.25" hidden="1" customHeight="1">
      <c r="B1011" s="343"/>
      <c r="C1011" s="240"/>
      <c r="D1011" s="240"/>
      <c r="E1011" s="240"/>
      <c r="F1011" s="240"/>
      <c r="G1011" s="240"/>
      <c r="H1011" s="240"/>
      <c r="I1011" s="240" t="s">
        <v>616</v>
      </c>
      <c r="J1011" s="240"/>
      <c r="K1011" s="240"/>
      <c r="L1011" s="240"/>
      <c r="M1011" s="240"/>
      <c r="N1011" s="240"/>
      <c r="O1011" s="240"/>
      <c r="P1011" s="240" t="s">
        <v>132</v>
      </c>
      <c r="Q1011" s="240"/>
      <c r="R1011" s="240" t="e">
        <f>TEXT(EN991,"#,###.##")</f>
        <v>#REF!</v>
      </c>
      <c r="S1011" s="240"/>
      <c r="T1011" s="240"/>
      <c r="U1011" s="240"/>
      <c r="V1011" s="240"/>
      <c r="W1011" s="240"/>
      <c r="X1011" s="240" t="s">
        <v>130</v>
      </c>
      <c r="Y1011" s="240"/>
      <c r="Z1011" s="240" t="str">
        <f>TEXT(EN1008,"#,###.##")</f>
        <v>787.7</v>
      </c>
      <c r="AA1011" s="240"/>
      <c r="AB1011" s="240"/>
      <c r="AC1011" s="240"/>
      <c r="AD1011" s="240"/>
      <c r="AE1011" s="240"/>
      <c r="AF1011" s="240" t="s">
        <v>134</v>
      </c>
      <c r="AG1011" s="240"/>
      <c r="AH1011" s="240"/>
      <c r="AI1011" s="240" t="e">
        <f>TEXT(TRUNC(EN991+EN1008,1),"#,##0.#")</f>
        <v>#REF!</v>
      </c>
      <c r="AJ1011" s="240"/>
      <c r="AK1011" s="240"/>
      <c r="AL1011" s="240"/>
      <c r="AM1011" s="240"/>
      <c r="AN1011" s="240"/>
      <c r="AO1011" s="240"/>
      <c r="AP1011" s="240"/>
      <c r="AQ1011" s="240"/>
      <c r="AR1011" s="240"/>
      <c r="AS1011" s="240"/>
      <c r="AT1011" s="240"/>
      <c r="AU1011" s="240"/>
      <c r="AV1011" s="240"/>
      <c r="AW1011" s="240"/>
      <c r="AX1011" s="240"/>
      <c r="AY1011" s="240"/>
      <c r="AZ1011" s="240"/>
      <c r="BA1011" s="240"/>
      <c r="BB1011" s="240"/>
      <c r="BC1011" s="240"/>
      <c r="BD1011" s="240"/>
      <c r="BE1011" s="240"/>
      <c r="BF1011" s="240"/>
      <c r="BG1011" s="240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240"/>
      <c r="BT1011" s="240"/>
      <c r="BU1011" s="240"/>
      <c r="BV1011" s="240"/>
      <c r="BW1011" s="240"/>
      <c r="BX1011" s="240"/>
      <c r="BY1011" s="240"/>
      <c r="BZ1011" s="240"/>
      <c r="CA1011" s="240"/>
      <c r="CB1011" s="240"/>
      <c r="CC1011" s="240"/>
      <c r="CD1011" s="240"/>
      <c r="CE1011" s="240"/>
      <c r="CF1011" s="240"/>
      <c r="CG1011" s="240"/>
      <c r="CH1011" s="240"/>
      <c r="CI1011" s="240"/>
      <c r="CJ1011" s="240"/>
      <c r="CK1011" s="240"/>
      <c r="CL1011" s="240"/>
      <c r="CM1011" s="240"/>
      <c r="CN1011" s="240"/>
      <c r="CO1011" s="240"/>
      <c r="CP1011" s="240"/>
      <c r="CQ1011" s="240"/>
      <c r="CR1011" s="240"/>
      <c r="CS1011" s="240"/>
      <c r="CT1011" s="240"/>
      <c r="CU1011" s="240"/>
      <c r="CV1011" s="240"/>
      <c r="CW1011" s="240"/>
      <c r="CX1011" s="240"/>
      <c r="CY1011" s="240"/>
      <c r="CZ1011" s="241"/>
      <c r="DA1011" s="241"/>
      <c r="DB1011" s="241"/>
      <c r="DC1011" s="241"/>
      <c r="DD1011" s="241"/>
      <c r="DE1011" s="241"/>
      <c r="DF1011" s="241"/>
      <c r="DG1011" s="241"/>
      <c r="DH1011" s="241"/>
      <c r="DI1011" s="241"/>
      <c r="DJ1011" s="241"/>
      <c r="DK1011" s="241"/>
      <c r="DL1011" s="241"/>
      <c r="DM1011" s="241"/>
      <c r="DN1011" s="241"/>
      <c r="DO1011" s="241"/>
      <c r="DP1011" s="241"/>
      <c r="DQ1011" s="241"/>
      <c r="DR1011" s="241"/>
      <c r="DS1011" s="241"/>
      <c r="DT1011" s="241"/>
      <c r="DU1011" s="241"/>
      <c r="DV1011" s="241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345"/>
      <c r="EM1011" s="245"/>
      <c r="EN1011" s="245"/>
      <c r="EO1011" s="245"/>
      <c r="EP1011" s="245"/>
      <c r="EQ1011" s="351"/>
    </row>
    <row r="1012" spans="2:147" s="243" customFormat="1" ht="11.25" hidden="1" customHeight="1">
      <c r="B1012" s="343"/>
      <c r="C1012" s="240"/>
      <c r="D1012" s="240"/>
      <c r="E1012" s="240"/>
      <c r="F1012" s="240"/>
      <c r="G1012" s="240"/>
      <c r="H1012" s="240"/>
      <c r="I1012" s="240" t="s">
        <v>617</v>
      </c>
      <c r="J1012" s="240"/>
      <c r="K1012" s="240"/>
      <c r="L1012" s="240"/>
      <c r="M1012" s="240"/>
      <c r="N1012" s="240"/>
      <c r="O1012" s="240"/>
      <c r="P1012" s="240" t="s">
        <v>132</v>
      </c>
      <c r="Q1012" s="240"/>
      <c r="R1012" s="240" t="e">
        <f>TEXT(EO991,"#,###.##")</f>
        <v>#REF!</v>
      </c>
      <c r="S1012" s="240"/>
      <c r="T1012" s="240"/>
      <c r="U1012" s="240"/>
      <c r="V1012" s="240"/>
      <c r="W1012" s="240"/>
      <c r="X1012" s="240" t="s">
        <v>130</v>
      </c>
      <c r="Y1012" s="240"/>
      <c r="Z1012" s="240" t="e">
        <f>TEXT(EO997,"#,###.##")</f>
        <v>#REF!</v>
      </c>
      <c r="AA1012" s="240"/>
      <c r="AB1012" s="240"/>
      <c r="AC1012" s="240" t="s">
        <v>130</v>
      </c>
      <c r="AD1012" s="240"/>
      <c r="AE1012" s="240" t="str">
        <f>TEXT(EO1001,"#,###.##")</f>
        <v>526.3</v>
      </c>
      <c r="AF1012" s="240"/>
      <c r="AG1012" s="240"/>
      <c r="AH1012" s="240"/>
      <c r="AI1012" s="240" t="s">
        <v>130</v>
      </c>
      <c r="AJ1012" s="240"/>
      <c r="AK1012" s="240" t="e">
        <f>TEXT(EO1002,"#,###.##")</f>
        <v>#REF!</v>
      </c>
      <c r="AL1012" s="240"/>
      <c r="AM1012" s="240"/>
      <c r="AN1012" s="240"/>
      <c r="AO1012" s="240" t="s">
        <v>134</v>
      </c>
      <c r="AP1012" s="240"/>
      <c r="AQ1012" s="240"/>
      <c r="AR1012" s="240" t="e">
        <f>TEXT(TRUNC(EO991+EO997+EO1001+EO1002,1),"#,##0.#")</f>
        <v>#REF!</v>
      </c>
      <c r="AS1012" s="240"/>
      <c r="AT1012" s="240"/>
      <c r="AU1012" s="240"/>
      <c r="AV1012" s="240"/>
      <c r="AW1012" s="240"/>
      <c r="AX1012" s="240"/>
      <c r="AY1012" s="240"/>
      <c r="AZ1012" s="240"/>
      <c r="BA1012" s="240"/>
      <c r="BB1012" s="240"/>
      <c r="BC1012" s="240"/>
      <c r="BD1012" s="240"/>
      <c r="BE1012" s="240"/>
      <c r="BF1012" s="240"/>
      <c r="BG1012" s="240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240"/>
      <c r="BT1012" s="240"/>
      <c r="BU1012" s="240"/>
      <c r="BV1012" s="240"/>
      <c r="BW1012" s="240"/>
      <c r="BX1012" s="240"/>
      <c r="BY1012" s="240"/>
      <c r="BZ1012" s="240"/>
      <c r="CA1012" s="240"/>
      <c r="CB1012" s="240"/>
      <c r="CC1012" s="240"/>
      <c r="CD1012" s="240"/>
      <c r="CE1012" s="240"/>
      <c r="CF1012" s="240"/>
      <c r="CG1012" s="240"/>
      <c r="CH1012" s="240"/>
      <c r="CI1012" s="240"/>
      <c r="CJ1012" s="240"/>
      <c r="CK1012" s="240"/>
      <c r="CL1012" s="240"/>
      <c r="CM1012" s="240"/>
      <c r="CN1012" s="240"/>
      <c r="CO1012" s="240"/>
      <c r="CP1012" s="240"/>
      <c r="CQ1012" s="240"/>
      <c r="CR1012" s="240"/>
      <c r="CS1012" s="240"/>
      <c r="CT1012" s="240"/>
      <c r="CU1012" s="240"/>
      <c r="CV1012" s="240"/>
      <c r="CW1012" s="240"/>
      <c r="CX1012" s="240"/>
      <c r="CY1012" s="240"/>
      <c r="CZ1012" s="241"/>
      <c r="DA1012" s="241"/>
      <c r="DB1012" s="241"/>
      <c r="DC1012" s="241"/>
      <c r="DD1012" s="241"/>
      <c r="DE1012" s="241"/>
      <c r="DF1012" s="241"/>
      <c r="DG1012" s="241"/>
      <c r="DH1012" s="241"/>
      <c r="DI1012" s="241"/>
      <c r="DJ1012" s="241"/>
      <c r="DK1012" s="241"/>
      <c r="DL1012" s="241"/>
      <c r="DM1012" s="241"/>
      <c r="DN1012" s="241"/>
      <c r="DO1012" s="241"/>
      <c r="DP1012" s="241"/>
      <c r="DQ1012" s="241"/>
      <c r="DR1012" s="241"/>
      <c r="DS1012" s="241"/>
      <c r="DT1012" s="241"/>
      <c r="DU1012" s="241"/>
      <c r="DV1012" s="241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345"/>
      <c r="EM1012" s="245"/>
      <c r="EN1012" s="245"/>
      <c r="EO1012" s="245"/>
      <c r="EP1012" s="245"/>
      <c r="EQ1012" s="351"/>
    </row>
    <row r="1013" spans="2:147" s="243" customFormat="1" ht="11.25" hidden="1" customHeight="1">
      <c r="B1013" s="343"/>
      <c r="C1013" s="240"/>
      <c r="D1013" s="240"/>
      <c r="E1013" s="240"/>
      <c r="F1013" s="240"/>
      <c r="G1013" s="240"/>
      <c r="H1013" s="240"/>
      <c r="I1013" s="240" t="s">
        <v>679</v>
      </c>
      <c r="J1013" s="240"/>
      <c r="K1013" s="240"/>
      <c r="L1013" s="240"/>
      <c r="M1013" s="240" t="s">
        <v>680</v>
      </c>
      <c r="N1013" s="240"/>
      <c r="O1013" s="240"/>
      <c r="P1013" s="240" t="s">
        <v>132</v>
      </c>
      <c r="Q1013" s="240"/>
      <c r="R1013" s="240" t="e">
        <f>EP991</f>
        <v>#REF!</v>
      </c>
      <c r="S1013" s="240"/>
      <c r="T1013" s="240"/>
      <c r="U1013" s="240" t="s">
        <v>130</v>
      </c>
      <c r="V1013" s="240"/>
      <c r="W1013" s="240" t="e">
        <f>TEXT(EP997,"#,###.##")</f>
        <v>#REF!</v>
      </c>
      <c r="X1013" s="240"/>
      <c r="Y1013" s="240"/>
      <c r="Z1013" s="240" t="s">
        <v>134</v>
      </c>
      <c r="AA1013" s="240"/>
      <c r="AB1013" s="240"/>
      <c r="AC1013" s="240" t="e">
        <f>TEXT(TRUNC(EP991+EP997,1),"#,##0.#")</f>
        <v>#REF!</v>
      </c>
      <c r="AD1013" s="240"/>
      <c r="AE1013" s="240"/>
      <c r="AF1013" s="240"/>
      <c r="AG1013" s="240"/>
      <c r="AH1013" s="240"/>
      <c r="AI1013" s="240"/>
      <c r="AJ1013" s="240"/>
      <c r="AK1013" s="240"/>
      <c r="AL1013" s="240"/>
      <c r="AM1013" s="240"/>
      <c r="AN1013" s="240"/>
      <c r="AO1013" s="240"/>
      <c r="AP1013" s="240"/>
      <c r="AQ1013" s="240"/>
      <c r="AR1013" s="240"/>
      <c r="AS1013" s="240"/>
      <c r="AT1013" s="240"/>
      <c r="AU1013" s="240"/>
      <c r="AV1013" s="240"/>
      <c r="AW1013" s="240"/>
      <c r="AX1013" s="240"/>
      <c r="AY1013" s="240"/>
      <c r="AZ1013" s="240"/>
      <c r="BA1013" s="240"/>
      <c r="BB1013" s="240"/>
      <c r="BC1013" s="240"/>
      <c r="BD1013" s="240"/>
      <c r="BE1013" s="240"/>
      <c r="BF1013" s="240"/>
      <c r="BG1013" s="240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240"/>
      <c r="BT1013" s="240"/>
      <c r="BU1013" s="240"/>
      <c r="BV1013" s="240"/>
      <c r="BW1013" s="240"/>
      <c r="BX1013" s="240"/>
      <c r="BY1013" s="240"/>
      <c r="BZ1013" s="240"/>
      <c r="CA1013" s="240"/>
      <c r="CB1013" s="240"/>
      <c r="CC1013" s="240"/>
      <c r="CD1013" s="240"/>
      <c r="CE1013" s="240"/>
      <c r="CF1013" s="240"/>
      <c r="CG1013" s="240"/>
      <c r="CH1013" s="240"/>
      <c r="CI1013" s="240"/>
      <c r="CJ1013" s="240"/>
      <c r="CK1013" s="240"/>
      <c r="CL1013" s="240"/>
      <c r="CM1013" s="240"/>
      <c r="CN1013" s="240"/>
      <c r="CO1013" s="240"/>
      <c r="CP1013" s="240"/>
      <c r="CQ1013" s="240"/>
      <c r="CR1013" s="240"/>
      <c r="CS1013" s="240"/>
      <c r="CT1013" s="240"/>
      <c r="CU1013" s="240"/>
      <c r="CV1013" s="240"/>
      <c r="CW1013" s="240"/>
      <c r="CX1013" s="240"/>
      <c r="CY1013" s="240"/>
      <c r="CZ1013" s="241"/>
      <c r="DA1013" s="241"/>
      <c r="DB1013" s="241"/>
      <c r="DC1013" s="241"/>
      <c r="DD1013" s="241"/>
      <c r="DE1013" s="241"/>
      <c r="DF1013" s="241"/>
      <c r="DG1013" s="241"/>
      <c r="DH1013" s="241"/>
      <c r="DI1013" s="241"/>
      <c r="DJ1013" s="241"/>
      <c r="DK1013" s="241"/>
      <c r="DL1013" s="241"/>
      <c r="DM1013" s="241"/>
      <c r="DN1013" s="241"/>
      <c r="DO1013" s="241"/>
      <c r="DP1013" s="241"/>
      <c r="DQ1013" s="241"/>
      <c r="DR1013" s="241"/>
      <c r="DS1013" s="241"/>
      <c r="DT1013" s="241"/>
      <c r="DU1013" s="241"/>
      <c r="DV1013" s="241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345"/>
      <c r="EM1013" s="245"/>
      <c r="EN1013" s="245"/>
      <c r="EO1013" s="245"/>
      <c r="EP1013" s="245"/>
      <c r="EQ1013" s="351"/>
    </row>
    <row r="1014" spans="2:147" s="243" customFormat="1" ht="11.25" hidden="1" customHeight="1">
      <c r="B1014" s="343"/>
      <c r="C1014" s="240"/>
      <c r="D1014" s="240"/>
      <c r="E1014" s="240"/>
      <c r="F1014" s="240"/>
      <c r="G1014" s="240"/>
      <c r="H1014" s="240"/>
      <c r="I1014" s="240"/>
      <c r="J1014" s="240"/>
      <c r="K1014" s="240" t="s">
        <v>96</v>
      </c>
      <c r="L1014" s="240"/>
      <c r="M1014" s="240"/>
      <c r="N1014" s="240"/>
      <c r="O1014" s="240"/>
      <c r="P1014" s="240" t="s">
        <v>132</v>
      </c>
      <c r="Q1014" s="240"/>
      <c r="R1014" s="240"/>
      <c r="S1014" s="240" t="e">
        <f>TEXT(AI1011+AR1012+AC1013,"#,##0.#######")</f>
        <v>#REF!</v>
      </c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  <c r="AP1014" s="240"/>
      <c r="AQ1014" s="240"/>
      <c r="AR1014" s="240"/>
      <c r="AS1014" s="240"/>
      <c r="AT1014" s="240"/>
      <c r="AU1014" s="240"/>
      <c r="AV1014" s="240"/>
      <c r="AW1014" s="240"/>
      <c r="AX1014" s="240"/>
      <c r="AY1014" s="240"/>
      <c r="AZ1014" s="240"/>
      <c r="BA1014" s="240"/>
      <c r="BB1014" s="240"/>
      <c r="BC1014" s="240"/>
      <c r="BD1014" s="240"/>
      <c r="BE1014" s="240"/>
      <c r="BF1014" s="240"/>
      <c r="BG1014" s="240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240"/>
      <c r="BT1014" s="240"/>
      <c r="BU1014" s="240"/>
      <c r="BV1014" s="240"/>
      <c r="BW1014" s="240"/>
      <c r="BX1014" s="240"/>
      <c r="BY1014" s="240"/>
      <c r="BZ1014" s="240"/>
      <c r="CA1014" s="240"/>
      <c r="CB1014" s="240"/>
      <c r="CC1014" s="240"/>
      <c r="CD1014" s="240"/>
      <c r="CE1014" s="240"/>
      <c r="CF1014" s="240"/>
      <c r="CG1014" s="240"/>
      <c r="CH1014" s="240"/>
      <c r="CI1014" s="240"/>
      <c r="CJ1014" s="240"/>
      <c r="CK1014" s="240"/>
      <c r="CL1014" s="240"/>
      <c r="CM1014" s="240"/>
      <c r="CN1014" s="240"/>
      <c r="CO1014" s="240"/>
      <c r="CP1014" s="240"/>
      <c r="CQ1014" s="240"/>
      <c r="CR1014" s="240"/>
      <c r="CS1014" s="240"/>
      <c r="CT1014" s="240"/>
      <c r="CU1014" s="240"/>
      <c r="CV1014" s="240"/>
      <c r="CW1014" s="240"/>
      <c r="CX1014" s="240"/>
      <c r="CY1014" s="240"/>
      <c r="CZ1014" s="241"/>
      <c r="DA1014" s="241"/>
      <c r="DB1014" s="241"/>
      <c r="DC1014" s="241"/>
      <c r="DD1014" s="241"/>
      <c r="DE1014" s="241"/>
      <c r="DF1014" s="241"/>
      <c r="DG1014" s="241"/>
      <c r="DH1014" s="241"/>
      <c r="DI1014" s="241"/>
      <c r="DJ1014" s="241"/>
      <c r="DK1014" s="241"/>
      <c r="DL1014" s="241"/>
      <c r="DM1014" s="241"/>
      <c r="DN1014" s="241"/>
      <c r="DO1014" s="241"/>
      <c r="DP1014" s="241"/>
      <c r="DQ1014" s="241"/>
      <c r="DR1014" s="241"/>
      <c r="DS1014" s="241"/>
      <c r="DT1014" s="241"/>
      <c r="DU1014" s="241"/>
      <c r="DV1014" s="241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345"/>
      <c r="EM1014" s="245" t="e">
        <f>EN1014+EO1014+EP1014</f>
        <v>#REF!</v>
      </c>
      <c r="EN1014" s="245" t="e">
        <f>TEXT(AI1011,"#,###.0")</f>
        <v>#REF!</v>
      </c>
      <c r="EO1014" s="245" t="e">
        <f>TEXT(AR1012,"#,###.0")</f>
        <v>#REF!</v>
      </c>
      <c r="EP1014" s="245" t="e">
        <f>TEXT(AC1013,"#,###.0")</f>
        <v>#REF!</v>
      </c>
      <c r="EQ1014" s="351"/>
    </row>
    <row r="1015" spans="2:147" s="243" customFormat="1" ht="11.25" hidden="1" customHeight="1">
      <c r="B1015" s="343"/>
      <c r="C1015" s="240"/>
      <c r="D1015" s="240"/>
      <c r="E1015" s="240"/>
      <c r="F1015" s="240"/>
      <c r="G1015" s="240"/>
      <c r="H1015" s="240"/>
      <c r="I1015" s="240"/>
      <c r="J1015" s="240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  <c r="W1015" s="240"/>
      <c r="X1015" s="240"/>
      <c r="Y1015" s="240"/>
      <c r="Z1015" s="240"/>
      <c r="AA1015" s="240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240"/>
      <c r="AM1015" s="240"/>
      <c r="AN1015" s="240"/>
      <c r="AO1015" s="240"/>
      <c r="AP1015" s="240"/>
      <c r="AQ1015" s="240"/>
      <c r="AR1015" s="240"/>
      <c r="AS1015" s="240"/>
      <c r="AT1015" s="240"/>
      <c r="AU1015" s="240"/>
      <c r="AV1015" s="240"/>
      <c r="AW1015" s="240"/>
      <c r="AX1015" s="240"/>
      <c r="AY1015" s="240"/>
      <c r="AZ1015" s="240"/>
      <c r="BA1015" s="240"/>
      <c r="BB1015" s="240"/>
      <c r="BC1015" s="240"/>
      <c r="BD1015" s="240"/>
      <c r="BE1015" s="240"/>
      <c r="BF1015" s="240"/>
      <c r="BG1015" s="240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240"/>
      <c r="BT1015" s="240"/>
      <c r="BU1015" s="240"/>
      <c r="BV1015" s="240"/>
      <c r="BW1015" s="240"/>
      <c r="BX1015" s="240"/>
      <c r="BY1015" s="240"/>
      <c r="BZ1015" s="240"/>
      <c r="CA1015" s="240"/>
      <c r="CB1015" s="240"/>
      <c r="CC1015" s="240"/>
      <c r="CD1015" s="240"/>
      <c r="CE1015" s="240"/>
      <c r="CF1015" s="240"/>
      <c r="CG1015" s="240"/>
      <c r="CH1015" s="240"/>
      <c r="CI1015" s="240"/>
      <c r="CJ1015" s="240"/>
      <c r="CK1015" s="240"/>
      <c r="CL1015" s="240"/>
      <c r="CM1015" s="240"/>
      <c r="CN1015" s="240"/>
      <c r="CO1015" s="240"/>
      <c r="CP1015" s="240"/>
      <c r="CQ1015" s="240"/>
      <c r="CR1015" s="240"/>
      <c r="CS1015" s="240"/>
      <c r="CT1015" s="240"/>
      <c r="CU1015" s="240"/>
      <c r="CV1015" s="240"/>
      <c r="CW1015" s="240"/>
      <c r="CX1015" s="240"/>
      <c r="CY1015" s="240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1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345"/>
      <c r="EM1015" s="245"/>
      <c r="EN1015" s="245"/>
      <c r="EO1015" s="245"/>
      <c r="EP1015" s="245"/>
      <c r="EQ1015" s="351"/>
    </row>
    <row r="1016" spans="2:147" s="243" customFormat="1" ht="11.25" hidden="1" customHeight="1">
      <c r="B1016" s="343"/>
      <c r="C1016" s="240"/>
      <c r="D1016" s="240"/>
      <c r="E1016" s="240" t="s">
        <v>675</v>
      </c>
      <c r="F1016" s="240"/>
      <c r="G1016" s="240"/>
      <c r="H1016" s="240" t="s">
        <v>705</v>
      </c>
      <c r="I1016" s="240"/>
      <c r="J1016" s="240"/>
      <c r="K1016" s="240"/>
      <c r="L1016" s="240"/>
      <c r="M1016" s="240"/>
      <c r="N1016" s="240" t="s">
        <v>147</v>
      </c>
      <c r="O1016" s="240" t="s">
        <v>706</v>
      </c>
      <c r="P1016" s="240"/>
      <c r="Q1016" s="240"/>
      <c r="R1016" s="240" t="s">
        <v>550</v>
      </c>
      <c r="S1016" s="240"/>
      <c r="T1016" s="240" t="s">
        <v>707</v>
      </c>
      <c r="U1016" s="240"/>
      <c r="V1016" s="240"/>
      <c r="W1016" s="240"/>
      <c r="X1016" s="240"/>
      <c r="Y1016" s="240"/>
      <c r="Z1016" s="240" t="s">
        <v>148</v>
      </c>
      <c r="AA1016" s="240"/>
      <c r="AB1016" s="240" t="s">
        <v>132</v>
      </c>
      <c r="AC1016" s="240"/>
      <c r="AD1016" s="240" t="s">
        <v>708</v>
      </c>
      <c r="AE1016" s="240"/>
      <c r="AF1016" s="240"/>
      <c r="AG1016" s="240"/>
      <c r="AH1016" s="240"/>
      <c r="AI1016" s="240"/>
      <c r="AJ1016" s="240"/>
      <c r="AK1016" s="240"/>
      <c r="AL1016" s="240"/>
      <c r="AM1016" s="240" t="s">
        <v>709</v>
      </c>
      <c r="AN1016" s="240"/>
      <c r="AO1016" s="240"/>
      <c r="AP1016" s="240"/>
      <c r="AQ1016" s="240"/>
      <c r="AR1016" s="240"/>
      <c r="AS1016" s="240"/>
      <c r="AT1016" s="240"/>
      <c r="AU1016" s="240"/>
      <c r="AV1016" s="240"/>
      <c r="AW1016" s="240"/>
      <c r="AX1016" s="240"/>
      <c r="AY1016" s="240"/>
      <c r="AZ1016" s="240"/>
      <c r="BA1016" s="240"/>
      <c r="BB1016" s="240"/>
      <c r="BC1016" s="240"/>
      <c r="BD1016" s="240"/>
      <c r="BE1016" s="240"/>
      <c r="BF1016" s="240"/>
      <c r="BG1016" s="240"/>
      <c r="BH1016" s="240"/>
      <c r="BI1016" s="240"/>
      <c r="BJ1016" s="240"/>
      <c r="BK1016" s="240"/>
      <c r="BL1016" s="240"/>
      <c r="BM1016" s="240"/>
      <c r="BN1016" s="240"/>
      <c r="BO1016" s="240"/>
      <c r="BP1016" s="240"/>
      <c r="BQ1016" s="240"/>
      <c r="BR1016" s="240"/>
      <c r="BS1016" s="240"/>
      <c r="BT1016" s="240"/>
      <c r="BU1016" s="240"/>
      <c r="BV1016" s="240"/>
      <c r="BW1016" s="240"/>
      <c r="BX1016" s="240"/>
      <c r="BY1016" s="240"/>
      <c r="BZ1016" s="240"/>
      <c r="CA1016" s="240"/>
      <c r="CB1016" s="240"/>
      <c r="CC1016" s="240"/>
      <c r="CD1016" s="240"/>
      <c r="CE1016" s="240"/>
      <c r="CF1016" s="240"/>
      <c r="CG1016" s="240"/>
      <c r="CH1016" s="240"/>
      <c r="CI1016" s="240"/>
      <c r="CJ1016" s="240"/>
      <c r="CK1016" s="240"/>
      <c r="CL1016" s="240"/>
      <c r="CM1016" s="240"/>
      <c r="CN1016" s="240"/>
      <c r="CO1016" s="240"/>
      <c r="CP1016" s="240"/>
      <c r="CQ1016" s="240"/>
      <c r="CR1016" s="240"/>
      <c r="CS1016" s="240"/>
      <c r="CT1016" s="240"/>
      <c r="CU1016" s="240"/>
      <c r="CV1016" s="240"/>
      <c r="CW1016" s="240"/>
      <c r="CX1016" s="240"/>
      <c r="CY1016" s="240"/>
      <c r="CZ1016" s="241"/>
      <c r="DA1016" s="241"/>
      <c r="DB1016" s="241"/>
      <c r="DC1016" s="241"/>
      <c r="DD1016" s="241"/>
      <c r="DE1016" s="241"/>
      <c r="DF1016" s="241"/>
      <c r="DG1016" s="241"/>
      <c r="DH1016" s="241"/>
      <c r="DI1016" s="241"/>
      <c r="DJ1016" s="241"/>
      <c r="DK1016" s="241"/>
      <c r="DL1016" s="241"/>
      <c r="DM1016" s="241"/>
      <c r="DN1016" s="241"/>
      <c r="DO1016" s="241"/>
      <c r="DP1016" s="241"/>
      <c r="DQ1016" s="241"/>
      <c r="DR1016" s="241"/>
      <c r="DS1016" s="241"/>
      <c r="DT1016" s="241"/>
      <c r="DU1016" s="241"/>
      <c r="DV1016" s="241"/>
      <c r="DW1016" s="241"/>
      <c r="DX1016" s="241"/>
      <c r="DY1016" s="241"/>
      <c r="DZ1016" s="241"/>
      <c r="EA1016" s="241"/>
      <c r="EB1016" s="241"/>
      <c r="EC1016" s="241"/>
      <c r="ED1016" s="241"/>
      <c r="EE1016" s="241"/>
      <c r="EF1016" s="241"/>
      <c r="EG1016" s="241"/>
      <c r="EH1016" s="241"/>
      <c r="EI1016" s="241"/>
      <c r="EJ1016" s="241"/>
      <c r="EK1016" s="241"/>
      <c r="EL1016" s="345"/>
      <c r="EM1016" s="245"/>
      <c r="EN1016" s="245"/>
      <c r="EO1016" s="245"/>
      <c r="EP1016" s="245"/>
      <c r="EQ1016" s="351"/>
    </row>
    <row r="1017" spans="2:147" s="243" customFormat="1" ht="11.25" hidden="1" customHeight="1">
      <c r="B1017" s="343"/>
      <c r="C1017" s="240"/>
      <c r="D1017" s="240"/>
      <c r="E1017" s="240"/>
      <c r="F1017" s="240"/>
      <c r="G1017" s="240"/>
      <c r="H1017" s="240"/>
      <c r="I1017" s="240"/>
      <c r="J1017" s="240"/>
      <c r="K1017" s="240"/>
      <c r="L1017" s="240"/>
      <c r="M1017" s="240"/>
      <c r="N1017" s="240"/>
      <c r="O1017" s="240"/>
      <c r="P1017" s="240"/>
      <c r="Q1017" s="240"/>
      <c r="R1017" s="240"/>
      <c r="S1017" s="240"/>
      <c r="T1017" s="240"/>
      <c r="U1017" s="240"/>
      <c r="V1017" s="240"/>
      <c r="W1017" s="240"/>
      <c r="X1017" s="240"/>
      <c r="Y1017" s="240"/>
      <c r="Z1017" s="240"/>
      <c r="AA1017" s="240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240"/>
      <c r="AM1017" s="240"/>
      <c r="AN1017" s="240"/>
      <c r="AO1017" s="240"/>
      <c r="AP1017" s="240"/>
      <c r="AQ1017" s="240"/>
      <c r="AR1017" s="240"/>
      <c r="AS1017" s="240"/>
      <c r="AT1017" s="240"/>
      <c r="AU1017" s="240"/>
      <c r="AV1017" s="240"/>
      <c r="AW1017" s="240"/>
      <c r="AX1017" s="240"/>
      <c r="AY1017" s="240"/>
      <c r="AZ1017" s="240"/>
      <c r="BA1017" s="240"/>
      <c r="BB1017" s="240"/>
      <c r="BC1017" s="240"/>
      <c r="BD1017" s="240"/>
      <c r="BE1017" s="240"/>
      <c r="BF1017" s="240"/>
      <c r="BG1017" s="240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240"/>
      <c r="BT1017" s="240"/>
      <c r="BU1017" s="240"/>
      <c r="BV1017" s="240"/>
      <c r="BW1017" s="240"/>
      <c r="BX1017" s="240"/>
      <c r="BY1017" s="240"/>
      <c r="BZ1017" s="240"/>
      <c r="CA1017" s="240"/>
      <c r="CB1017" s="240"/>
      <c r="CC1017" s="240"/>
      <c r="CD1017" s="240"/>
      <c r="CE1017" s="240"/>
      <c r="CF1017" s="240"/>
      <c r="CG1017" s="240"/>
      <c r="CH1017" s="240"/>
      <c r="CI1017" s="240"/>
      <c r="CJ1017" s="240"/>
      <c r="CK1017" s="240"/>
      <c r="CL1017" s="240"/>
      <c r="CM1017" s="240"/>
      <c r="CN1017" s="240"/>
      <c r="CO1017" s="240"/>
      <c r="CP1017" s="240"/>
      <c r="CQ1017" s="240"/>
      <c r="CR1017" s="240"/>
      <c r="CS1017" s="240"/>
      <c r="CT1017" s="240"/>
      <c r="CU1017" s="240"/>
      <c r="CV1017" s="240"/>
      <c r="CW1017" s="240"/>
      <c r="CX1017" s="240"/>
      <c r="CY1017" s="240"/>
      <c r="CZ1017" s="241"/>
      <c r="DA1017" s="241"/>
      <c r="DB1017" s="241"/>
      <c r="DC1017" s="241"/>
      <c r="DD1017" s="241"/>
      <c r="DE1017" s="241"/>
      <c r="DF1017" s="241"/>
      <c r="DG1017" s="241"/>
      <c r="DH1017" s="241"/>
      <c r="DI1017" s="241"/>
      <c r="DJ1017" s="241"/>
      <c r="DK1017" s="241"/>
      <c r="DL1017" s="241"/>
      <c r="DM1017" s="241"/>
      <c r="DN1017" s="241"/>
      <c r="DO1017" s="241"/>
      <c r="DP1017" s="241"/>
      <c r="DQ1017" s="241"/>
      <c r="DR1017" s="241"/>
      <c r="DS1017" s="241"/>
      <c r="DT1017" s="241"/>
      <c r="DU1017" s="241"/>
      <c r="DV1017" s="241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345"/>
      <c r="EM1017" s="245"/>
      <c r="EN1017" s="245"/>
      <c r="EO1017" s="245"/>
      <c r="EP1017" s="245"/>
      <c r="EQ1017" s="351"/>
    </row>
    <row r="1018" spans="2:147" s="243" customFormat="1" ht="11.25" hidden="1" customHeight="1">
      <c r="B1018" s="343"/>
      <c r="C1018" s="240"/>
      <c r="D1018" s="240"/>
      <c r="E1018" s="240"/>
      <c r="F1018" s="240"/>
      <c r="G1018" s="240"/>
      <c r="H1018" s="240" t="s">
        <v>710</v>
      </c>
      <c r="I1018" s="240"/>
      <c r="J1018" s="240" t="s">
        <v>134</v>
      </c>
      <c r="K1018" s="240"/>
      <c r="L1018" s="240" t="str">
        <f>TEXT(1,"#,##0.#######")</f>
        <v>1.</v>
      </c>
      <c r="M1018" s="240"/>
      <c r="N1018" s="240"/>
      <c r="O1018" s="240" t="s">
        <v>621</v>
      </c>
      <c r="P1018" s="240"/>
      <c r="Q1018" s="240"/>
      <c r="R1018" s="240"/>
      <c r="S1018" s="240"/>
      <c r="T1018" s="240"/>
      <c r="U1018" s="240"/>
      <c r="V1018" s="240" t="s">
        <v>711</v>
      </c>
      <c r="W1018" s="240"/>
      <c r="X1018" s="240" t="s">
        <v>134</v>
      </c>
      <c r="Y1018" s="240"/>
      <c r="Z1018" s="240" t="str">
        <f>TEXT(20,"#,##0.#######")</f>
        <v>20.</v>
      </c>
      <c r="AA1018" s="240"/>
      <c r="AB1018" s="240" t="s">
        <v>621</v>
      </c>
      <c r="AC1018" s="240"/>
      <c r="AD1018" s="240" t="s">
        <v>139</v>
      </c>
      <c r="AE1018" s="240" t="s">
        <v>618</v>
      </c>
      <c r="AF1018" s="240"/>
      <c r="AG1018" s="240"/>
      <c r="AH1018" s="240"/>
      <c r="AI1018" s="240"/>
      <c r="AJ1018" s="240"/>
      <c r="AK1018" s="240"/>
      <c r="AL1018" s="240"/>
      <c r="AM1018" s="240" t="s">
        <v>692</v>
      </c>
      <c r="AN1018" s="240"/>
      <c r="AO1018" s="240" t="s">
        <v>134</v>
      </c>
      <c r="AP1018" s="240"/>
      <c r="AQ1018" s="240" t="str">
        <f>TEXT(0.9,"#,##0.#######")</f>
        <v>0.9</v>
      </c>
      <c r="AR1018" s="240"/>
      <c r="AS1018" s="240"/>
      <c r="AT1018" s="240"/>
      <c r="AU1018" s="240"/>
      <c r="AV1018" s="240"/>
      <c r="AW1018" s="240"/>
      <c r="AX1018" s="240"/>
      <c r="AY1018" s="240"/>
      <c r="AZ1018" s="240"/>
      <c r="BA1018" s="240"/>
      <c r="BB1018" s="240"/>
      <c r="BC1018" s="240"/>
      <c r="BD1018" s="240"/>
      <c r="BE1018" s="240"/>
      <c r="BF1018" s="240"/>
      <c r="BG1018" s="240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240"/>
      <c r="BT1018" s="240"/>
      <c r="BU1018" s="240"/>
      <c r="BV1018" s="240"/>
      <c r="BW1018" s="240"/>
      <c r="BX1018" s="240"/>
      <c r="BY1018" s="240"/>
      <c r="BZ1018" s="240"/>
      <c r="CA1018" s="240"/>
      <c r="CB1018" s="240"/>
      <c r="CC1018" s="240"/>
      <c r="CD1018" s="240"/>
      <c r="CE1018" s="240"/>
      <c r="CF1018" s="240"/>
      <c r="CG1018" s="240"/>
      <c r="CH1018" s="240"/>
      <c r="CI1018" s="240"/>
      <c r="CJ1018" s="240"/>
      <c r="CK1018" s="240"/>
      <c r="CL1018" s="240"/>
      <c r="CM1018" s="240"/>
      <c r="CN1018" s="240"/>
      <c r="CO1018" s="240"/>
      <c r="CP1018" s="240"/>
      <c r="CQ1018" s="240"/>
      <c r="CR1018" s="240"/>
      <c r="CS1018" s="240"/>
      <c r="CT1018" s="240"/>
      <c r="CU1018" s="240"/>
      <c r="CV1018" s="240"/>
      <c r="CW1018" s="240"/>
      <c r="CX1018" s="240"/>
      <c r="CY1018" s="240"/>
      <c r="CZ1018" s="241"/>
      <c r="DA1018" s="241"/>
      <c r="DB1018" s="241"/>
      <c r="DC1018" s="241"/>
      <c r="DD1018" s="241"/>
      <c r="DE1018" s="241"/>
      <c r="DF1018" s="241"/>
      <c r="DG1018" s="241"/>
      <c r="DH1018" s="241"/>
      <c r="DI1018" s="241"/>
      <c r="DJ1018" s="241"/>
      <c r="DK1018" s="241"/>
      <c r="DL1018" s="241"/>
      <c r="DM1018" s="241"/>
      <c r="DN1018" s="241"/>
      <c r="DO1018" s="241"/>
      <c r="DP1018" s="241"/>
      <c r="DQ1018" s="241"/>
      <c r="DR1018" s="241"/>
      <c r="DS1018" s="241"/>
      <c r="DT1018" s="241"/>
      <c r="DU1018" s="241"/>
      <c r="DV1018" s="241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345"/>
      <c r="EM1018" s="245"/>
      <c r="EN1018" s="245"/>
      <c r="EO1018" s="245"/>
      <c r="EP1018" s="245"/>
      <c r="EQ1018" s="351"/>
    </row>
    <row r="1019" spans="2:147" s="243" customFormat="1" ht="11.25" hidden="1" customHeight="1">
      <c r="B1019" s="343"/>
      <c r="C1019" s="240"/>
      <c r="D1019" s="240"/>
      <c r="E1019" s="240"/>
      <c r="F1019" s="240"/>
      <c r="G1019" s="240"/>
      <c r="H1019" s="240" t="s">
        <v>712</v>
      </c>
      <c r="I1019" s="240"/>
      <c r="J1019" s="240"/>
      <c r="K1019" s="240" t="s">
        <v>134</v>
      </c>
      <c r="L1019" s="240"/>
      <c r="M1019" s="240" t="str">
        <f>TEXT(5,"#,##0.#######")</f>
        <v>5.</v>
      </c>
      <c r="N1019" s="240" t="s">
        <v>713</v>
      </c>
      <c r="O1019" s="240"/>
      <c r="P1019" s="240" t="s">
        <v>147</v>
      </c>
      <c r="Q1019" s="240" t="s">
        <v>714</v>
      </c>
      <c r="R1019" s="240"/>
      <c r="S1019" s="240"/>
      <c r="T1019" s="240"/>
      <c r="U1019" s="240" t="s">
        <v>148</v>
      </c>
      <c r="V1019" s="240"/>
      <c r="W1019" s="240"/>
      <c r="X1019" s="240"/>
      <c r="Y1019" s="240"/>
      <c r="Z1019" s="240" t="s">
        <v>715</v>
      </c>
      <c r="AA1019" s="240"/>
      <c r="AB1019" s="240"/>
      <c r="AC1019" s="240" t="s">
        <v>134</v>
      </c>
      <c r="AD1019" s="240"/>
      <c r="AE1019" s="240" t="str">
        <f>TEXT(10,"#,##0.#######")</f>
        <v>10.</v>
      </c>
      <c r="AF1019" s="240"/>
      <c r="AG1019" s="240" t="s">
        <v>713</v>
      </c>
      <c r="AH1019" s="240"/>
      <c r="AI1019" s="240" t="s">
        <v>147</v>
      </c>
      <c r="AJ1019" s="240" t="s">
        <v>716</v>
      </c>
      <c r="AK1019" s="240"/>
      <c r="AL1019" s="240"/>
      <c r="AM1019" s="240"/>
      <c r="AN1019" s="240" t="s">
        <v>148</v>
      </c>
      <c r="AO1019" s="240"/>
      <c r="AP1019" s="240"/>
      <c r="AQ1019" s="240"/>
      <c r="AR1019" s="240"/>
      <c r="AS1019" s="240"/>
      <c r="AT1019" s="240"/>
      <c r="AU1019" s="240"/>
      <c r="AV1019" s="240"/>
      <c r="AW1019" s="240"/>
      <c r="AX1019" s="240"/>
      <c r="AY1019" s="240"/>
      <c r="AZ1019" s="240"/>
      <c r="BA1019" s="240"/>
      <c r="BB1019" s="240"/>
      <c r="BC1019" s="240"/>
      <c r="BD1019" s="240"/>
      <c r="BE1019" s="240"/>
      <c r="BF1019" s="240"/>
      <c r="BG1019" s="240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240"/>
      <c r="BT1019" s="240"/>
      <c r="BU1019" s="240"/>
      <c r="BV1019" s="240"/>
      <c r="BW1019" s="240"/>
      <c r="BX1019" s="240"/>
      <c r="BY1019" s="240"/>
      <c r="BZ1019" s="240"/>
      <c r="CA1019" s="240"/>
      <c r="CB1019" s="240"/>
      <c r="CC1019" s="240"/>
      <c r="CD1019" s="240"/>
      <c r="CE1019" s="240"/>
      <c r="CF1019" s="240"/>
      <c r="CG1019" s="240"/>
      <c r="CH1019" s="240"/>
      <c r="CI1019" s="240"/>
      <c r="CJ1019" s="240"/>
      <c r="CK1019" s="240"/>
      <c r="CL1019" s="240"/>
      <c r="CM1019" s="240"/>
      <c r="CN1019" s="240"/>
      <c r="CO1019" s="240"/>
      <c r="CP1019" s="240"/>
      <c r="CQ1019" s="240"/>
      <c r="CR1019" s="240"/>
      <c r="CS1019" s="240"/>
      <c r="CT1019" s="240"/>
      <c r="CU1019" s="240"/>
      <c r="CV1019" s="240"/>
      <c r="CW1019" s="240"/>
      <c r="CX1019" s="240"/>
      <c r="CY1019" s="240"/>
      <c r="CZ1019" s="241"/>
      <c r="DA1019" s="241"/>
      <c r="DB1019" s="241"/>
      <c r="DC1019" s="241"/>
      <c r="DD1019" s="241"/>
      <c r="DE1019" s="241"/>
      <c r="DF1019" s="241"/>
      <c r="DG1019" s="241"/>
      <c r="DH1019" s="241"/>
      <c r="DI1019" s="241"/>
      <c r="DJ1019" s="241"/>
      <c r="DK1019" s="241"/>
      <c r="DL1019" s="241"/>
      <c r="DM1019" s="241"/>
      <c r="DN1019" s="241"/>
      <c r="DO1019" s="241"/>
      <c r="DP1019" s="241"/>
      <c r="DQ1019" s="241"/>
      <c r="DR1019" s="241"/>
      <c r="DS1019" s="241"/>
      <c r="DT1019" s="241"/>
      <c r="DU1019" s="241"/>
      <c r="DV1019" s="241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345"/>
      <c r="EM1019" s="245"/>
      <c r="EN1019" s="245"/>
      <c r="EO1019" s="245"/>
      <c r="EP1019" s="245"/>
      <c r="EQ1019" s="351"/>
    </row>
    <row r="1020" spans="2:147" s="243" customFormat="1" ht="11.25" hidden="1" customHeight="1">
      <c r="B1020" s="343"/>
      <c r="C1020" s="240"/>
      <c r="D1020" s="240"/>
      <c r="E1020" s="240"/>
      <c r="F1020" s="240"/>
      <c r="G1020" s="240"/>
      <c r="H1020" s="240" t="s">
        <v>717</v>
      </c>
      <c r="I1020" s="240"/>
      <c r="J1020" s="240"/>
      <c r="K1020" s="240" t="s">
        <v>134</v>
      </c>
      <c r="L1020" s="240"/>
      <c r="M1020" s="240" t="str">
        <f>TEXT(5,"#,##0.#######")</f>
        <v>5.</v>
      </c>
      <c r="N1020" s="240" t="s">
        <v>713</v>
      </c>
      <c r="O1020" s="240"/>
      <c r="P1020" s="240" t="s">
        <v>147</v>
      </c>
      <c r="Q1020" s="240" t="s">
        <v>718</v>
      </c>
      <c r="R1020" s="240"/>
      <c r="S1020" s="240"/>
      <c r="T1020" s="240"/>
      <c r="U1020" s="240" t="s">
        <v>148</v>
      </c>
      <c r="V1020" s="240"/>
      <c r="W1020" s="240"/>
      <c r="X1020" s="240"/>
      <c r="Y1020" s="240"/>
      <c r="Z1020" s="240" t="s">
        <v>719</v>
      </c>
      <c r="AA1020" s="240"/>
      <c r="AB1020" s="240"/>
      <c r="AC1020" s="240" t="s">
        <v>134</v>
      </c>
      <c r="AD1020" s="240"/>
      <c r="AE1020" s="240" t="str">
        <f>TEXT(20,"#,##0.#######")</f>
        <v>20.</v>
      </c>
      <c r="AF1020" s="240"/>
      <c r="AG1020" s="240" t="s">
        <v>713</v>
      </c>
      <c r="AH1020" s="240"/>
      <c r="AI1020" s="240" t="s">
        <v>147</v>
      </c>
      <c r="AJ1020" s="240" t="s">
        <v>720</v>
      </c>
      <c r="AK1020" s="240"/>
      <c r="AL1020" s="240"/>
      <c r="AM1020" s="240"/>
      <c r="AN1020" s="240" t="s">
        <v>148</v>
      </c>
      <c r="AO1020" s="240"/>
      <c r="AP1020" s="240"/>
      <c r="AQ1020" s="240"/>
      <c r="AR1020" s="240"/>
      <c r="AS1020" s="240"/>
      <c r="AT1020" s="240"/>
      <c r="AU1020" s="240"/>
      <c r="AV1020" s="240"/>
      <c r="AW1020" s="240"/>
      <c r="AX1020" s="240"/>
      <c r="AY1020" s="240"/>
      <c r="AZ1020" s="240"/>
      <c r="BA1020" s="240"/>
      <c r="BB1020" s="240"/>
      <c r="BC1020" s="240"/>
      <c r="BD1020" s="240"/>
      <c r="BE1020" s="240"/>
      <c r="BF1020" s="240"/>
      <c r="BG1020" s="240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240"/>
      <c r="BT1020" s="240"/>
      <c r="BU1020" s="240"/>
      <c r="BV1020" s="240"/>
      <c r="BW1020" s="240"/>
      <c r="BX1020" s="240"/>
      <c r="BY1020" s="240"/>
      <c r="BZ1020" s="240"/>
      <c r="CA1020" s="240"/>
      <c r="CB1020" s="240"/>
      <c r="CC1020" s="240"/>
      <c r="CD1020" s="240"/>
      <c r="CE1020" s="240"/>
      <c r="CF1020" s="240"/>
      <c r="CG1020" s="240"/>
      <c r="CH1020" s="240"/>
      <c r="CI1020" s="240"/>
      <c r="CJ1020" s="240"/>
      <c r="CK1020" s="240"/>
      <c r="CL1020" s="240"/>
      <c r="CM1020" s="240"/>
      <c r="CN1020" s="240"/>
      <c r="CO1020" s="240"/>
      <c r="CP1020" s="240"/>
      <c r="CQ1020" s="240"/>
      <c r="CR1020" s="240"/>
      <c r="CS1020" s="240"/>
      <c r="CT1020" s="240"/>
      <c r="CU1020" s="240"/>
      <c r="CV1020" s="240"/>
      <c r="CW1020" s="240"/>
      <c r="CX1020" s="240"/>
      <c r="CY1020" s="240"/>
      <c r="CZ1020" s="241"/>
      <c r="DA1020" s="241"/>
      <c r="DB1020" s="241"/>
      <c r="DC1020" s="241"/>
      <c r="DD1020" s="241"/>
      <c r="DE1020" s="241"/>
      <c r="DF1020" s="241"/>
      <c r="DG1020" s="241"/>
      <c r="DH1020" s="241"/>
      <c r="DI1020" s="241"/>
      <c r="DJ1020" s="241"/>
      <c r="DK1020" s="241"/>
      <c r="DL1020" s="241"/>
      <c r="DM1020" s="241"/>
      <c r="DN1020" s="241"/>
      <c r="DO1020" s="241"/>
      <c r="DP1020" s="241"/>
      <c r="DQ1020" s="241"/>
      <c r="DR1020" s="241"/>
      <c r="DS1020" s="241"/>
      <c r="DT1020" s="241"/>
      <c r="DU1020" s="241"/>
      <c r="DV1020" s="241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345"/>
      <c r="EM1020" s="245"/>
      <c r="EN1020" s="245"/>
      <c r="EO1020" s="245"/>
      <c r="EP1020" s="245"/>
      <c r="EQ1020" s="351"/>
    </row>
    <row r="1021" spans="2:147" s="243" customFormat="1" ht="11.25" hidden="1" customHeight="1">
      <c r="B1021" s="343"/>
      <c r="C1021" s="240"/>
      <c r="D1021" s="240"/>
      <c r="E1021" s="240"/>
      <c r="F1021" s="240"/>
      <c r="G1021" s="240"/>
      <c r="H1021" s="240" t="s">
        <v>721</v>
      </c>
      <c r="I1021" s="240"/>
      <c r="J1021" s="240"/>
      <c r="K1021" s="240" t="s">
        <v>134</v>
      </c>
      <c r="L1021" s="240"/>
      <c r="M1021" s="240" t="s">
        <v>147</v>
      </c>
      <c r="N1021" s="240" t="s">
        <v>710</v>
      </c>
      <c r="O1021" s="240"/>
      <c r="P1021" s="240" t="s">
        <v>139</v>
      </c>
      <c r="Q1021" s="240"/>
      <c r="R1021" s="240" t="s">
        <v>711</v>
      </c>
      <c r="S1021" s="240" t="s">
        <v>148</v>
      </c>
      <c r="T1021" s="240" t="s">
        <v>652</v>
      </c>
      <c r="U1021" s="240"/>
      <c r="V1021" s="240" t="str">
        <f>TEXT(2,"#,##0.#######")</f>
        <v>2.</v>
      </c>
      <c r="W1021" s="240" t="s">
        <v>652</v>
      </c>
      <c r="X1021" s="240"/>
      <c r="Y1021" s="240" t="str">
        <f>TEXT(60,"#,##0.#######")</f>
        <v>60.</v>
      </c>
      <c r="Z1021" s="240"/>
      <c r="AA1021" s="240"/>
      <c r="AB1021" s="240" t="s">
        <v>134</v>
      </c>
      <c r="AC1021" s="240"/>
      <c r="AD1021" s="240" t="s">
        <v>147</v>
      </c>
      <c r="AE1021" s="240" t="str">
        <f>TEXT(L1018,"#,##0.#######")</f>
        <v>1.</v>
      </c>
      <c r="AF1021" s="240"/>
      <c r="AG1021" s="240" t="s">
        <v>139</v>
      </c>
      <c r="AH1021" s="240"/>
      <c r="AI1021" s="240" t="str">
        <f>TEXT(Z1018,"#,##0.#######")</f>
        <v>20.</v>
      </c>
      <c r="AJ1021" s="240"/>
      <c r="AK1021" s="240" t="s">
        <v>148</v>
      </c>
      <c r="AL1021" s="240" t="s">
        <v>652</v>
      </c>
      <c r="AM1021" s="240"/>
      <c r="AN1021" s="240" t="str">
        <f>TEXT(V1021,"#,##0.#######")</f>
        <v>2.</v>
      </c>
      <c r="AO1021" s="240" t="s">
        <v>652</v>
      </c>
      <c r="AP1021" s="240"/>
      <c r="AQ1021" s="240" t="str">
        <f>TEXT(Y1021,"#,##0.#######")</f>
        <v>60.</v>
      </c>
      <c r="AR1021" s="240"/>
      <c r="AS1021" s="240"/>
      <c r="AT1021" s="240" t="s">
        <v>134</v>
      </c>
      <c r="AU1021" s="240"/>
      <c r="AV1021" s="240" t="str">
        <f>TEXT(ROUND((L1018/Z1018)*V1021*Y1021,2),"#,##0.#######")</f>
        <v>6.</v>
      </c>
      <c r="AW1021" s="240"/>
      <c r="AX1021" s="240"/>
      <c r="AY1021" s="240"/>
      <c r="AZ1021" s="240" t="s">
        <v>713</v>
      </c>
      <c r="BA1021" s="240"/>
      <c r="BB1021" s="240"/>
      <c r="BC1021" s="240"/>
      <c r="BD1021" s="240"/>
      <c r="BE1021" s="240"/>
      <c r="BF1021" s="240"/>
      <c r="BG1021" s="240"/>
      <c r="BH1021" s="240"/>
      <c r="BI1021" s="240"/>
      <c r="BJ1021" s="240"/>
      <c r="BK1021" s="240"/>
      <c r="BL1021" s="240"/>
      <c r="BM1021" s="240"/>
      <c r="BN1021" s="240"/>
      <c r="BO1021" s="240"/>
      <c r="BP1021" s="240"/>
      <c r="BQ1021" s="240"/>
      <c r="BR1021" s="240"/>
      <c r="BS1021" s="240"/>
      <c r="BT1021" s="240"/>
      <c r="BU1021" s="240"/>
      <c r="BV1021" s="240"/>
      <c r="BW1021" s="240"/>
      <c r="BX1021" s="240"/>
      <c r="BY1021" s="240"/>
      <c r="BZ1021" s="240"/>
      <c r="CA1021" s="240"/>
      <c r="CB1021" s="240"/>
      <c r="CC1021" s="240"/>
      <c r="CD1021" s="240"/>
      <c r="CE1021" s="240"/>
      <c r="CF1021" s="240"/>
      <c r="CG1021" s="240"/>
      <c r="CH1021" s="240"/>
      <c r="CI1021" s="240"/>
      <c r="CJ1021" s="240"/>
      <c r="CK1021" s="240"/>
      <c r="CL1021" s="240"/>
      <c r="CM1021" s="240"/>
      <c r="CN1021" s="240"/>
      <c r="CO1021" s="240"/>
      <c r="CP1021" s="240"/>
      <c r="CQ1021" s="240"/>
      <c r="CR1021" s="240"/>
      <c r="CS1021" s="240"/>
      <c r="CT1021" s="240"/>
      <c r="CU1021" s="240"/>
      <c r="CV1021" s="240"/>
      <c r="CW1021" s="240"/>
      <c r="CX1021" s="240"/>
      <c r="CY1021" s="240"/>
      <c r="CZ1021" s="241"/>
      <c r="DA1021" s="241"/>
      <c r="DB1021" s="241"/>
      <c r="DC1021" s="241"/>
      <c r="DD1021" s="241"/>
      <c r="DE1021" s="241"/>
      <c r="DF1021" s="241"/>
      <c r="DG1021" s="241"/>
      <c r="DH1021" s="241"/>
      <c r="DI1021" s="241"/>
      <c r="DJ1021" s="241"/>
      <c r="DK1021" s="241"/>
      <c r="DL1021" s="241"/>
      <c r="DM1021" s="241"/>
      <c r="DN1021" s="241"/>
      <c r="DO1021" s="241"/>
      <c r="DP1021" s="241"/>
      <c r="DQ1021" s="241"/>
      <c r="DR1021" s="241"/>
      <c r="DS1021" s="241"/>
      <c r="DT1021" s="241"/>
      <c r="DU1021" s="241"/>
      <c r="DV1021" s="241"/>
      <c r="DW1021" s="241"/>
      <c r="DX1021" s="241"/>
      <c r="DY1021" s="241"/>
      <c r="DZ1021" s="241"/>
      <c r="EA1021" s="241"/>
      <c r="EB1021" s="241"/>
      <c r="EC1021" s="241"/>
      <c r="ED1021" s="241"/>
      <c r="EE1021" s="241"/>
      <c r="EF1021" s="241"/>
      <c r="EG1021" s="241"/>
      <c r="EH1021" s="241"/>
      <c r="EI1021" s="241"/>
      <c r="EJ1021" s="241"/>
      <c r="EK1021" s="241"/>
      <c r="EL1021" s="345"/>
      <c r="EM1021" s="245"/>
      <c r="EN1021" s="245"/>
      <c r="EO1021" s="245"/>
      <c r="EP1021" s="245"/>
      <c r="EQ1021" s="351"/>
    </row>
    <row r="1022" spans="2:147" s="243" customFormat="1" ht="11.25" hidden="1" customHeight="1">
      <c r="B1022" s="343"/>
      <c r="C1022" s="240"/>
      <c r="D1022" s="240"/>
      <c r="E1022" s="240"/>
      <c r="F1022" s="240"/>
      <c r="G1022" s="240"/>
      <c r="H1022" s="240" t="s">
        <v>693</v>
      </c>
      <c r="I1022" s="240"/>
      <c r="J1022" s="240"/>
      <c r="K1022" s="240" t="s">
        <v>134</v>
      </c>
      <c r="L1022" s="240"/>
      <c r="M1022" s="240" t="s">
        <v>712</v>
      </c>
      <c r="N1022" s="240"/>
      <c r="O1022" s="240"/>
      <c r="P1022" s="240" t="s">
        <v>130</v>
      </c>
      <c r="Q1022" s="240"/>
      <c r="R1022" s="240" t="s">
        <v>721</v>
      </c>
      <c r="S1022" s="240"/>
      <c r="T1022" s="240"/>
      <c r="U1022" s="240" t="s">
        <v>130</v>
      </c>
      <c r="V1022" s="240"/>
      <c r="W1022" s="240" t="s">
        <v>715</v>
      </c>
      <c r="X1022" s="240"/>
      <c r="Y1022" s="240"/>
      <c r="Z1022" s="240" t="s">
        <v>130</v>
      </c>
      <c r="AA1022" s="240"/>
      <c r="AB1022" s="240" t="s">
        <v>717</v>
      </c>
      <c r="AC1022" s="240"/>
      <c r="AD1022" s="240"/>
      <c r="AE1022" s="240" t="s">
        <v>130</v>
      </c>
      <c r="AF1022" s="240"/>
      <c r="AG1022" s="240" t="s">
        <v>719</v>
      </c>
      <c r="AH1022" s="240"/>
      <c r="AI1022" s="240"/>
      <c r="AJ1022" s="240" t="s">
        <v>134</v>
      </c>
      <c r="AK1022" s="240"/>
      <c r="AL1022" s="240" t="str">
        <f>TEXT(M1019,"#,##0.#######")</f>
        <v>5.</v>
      </c>
      <c r="AM1022" s="240"/>
      <c r="AN1022" s="240" t="s">
        <v>130</v>
      </c>
      <c r="AO1022" s="240"/>
      <c r="AP1022" s="240" t="str">
        <f>TEXT(AV1021,"#,##0.#######")</f>
        <v>6.</v>
      </c>
      <c r="AQ1022" s="240"/>
      <c r="AR1022" s="240" t="s">
        <v>130</v>
      </c>
      <c r="AS1022" s="240"/>
      <c r="AT1022" s="240" t="str">
        <f>TEXT(AE1019,"#,##0.#######")</f>
        <v>10.</v>
      </c>
      <c r="AU1022" s="240"/>
      <c r="AV1022" s="240"/>
      <c r="AW1022" s="240" t="s">
        <v>130</v>
      </c>
      <c r="AX1022" s="240"/>
      <c r="AY1022" s="240" t="str">
        <f>TEXT(M1020,"#,##0.#######")</f>
        <v>5.</v>
      </c>
      <c r="AZ1022" s="240"/>
      <c r="BA1022" s="240" t="s">
        <v>130</v>
      </c>
      <c r="BB1022" s="240"/>
      <c r="BC1022" s="240" t="str">
        <f>TEXT(AE1020,"#,##0.#######")</f>
        <v>20.</v>
      </c>
      <c r="BD1022" s="240"/>
      <c r="BE1022" s="240"/>
      <c r="BF1022" s="240" t="s">
        <v>134</v>
      </c>
      <c r="BG1022" s="240"/>
      <c r="BH1022" s="240" t="str">
        <f>TEXT(ROUND(M1019+AV1021+AE1019+M1020+AE1020,2),"#,##0.#######")</f>
        <v>46.</v>
      </c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240"/>
      <c r="BT1022" s="240"/>
      <c r="BU1022" s="240"/>
      <c r="BV1022" s="240"/>
      <c r="BW1022" s="240"/>
      <c r="BX1022" s="240"/>
      <c r="BY1022" s="240"/>
      <c r="BZ1022" s="240"/>
      <c r="CA1022" s="240"/>
      <c r="CB1022" s="240"/>
      <c r="CC1022" s="240"/>
      <c r="CD1022" s="240"/>
      <c r="CE1022" s="240"/>
      <c r="CF1022" s="240"/>
      <c r="CG1022" s="240"/>
      <c r="CH1022" s="240"/>
      <c r="CI1022" s="240"/>
      <c r="CJ1022" s="240"/>
      <c r="CK1022" s="240"/>
      <c r="CL1022" s="240"/>
      <c r="CM1022" s="240"/>
      <c r="CN1022" s="240"/>
      <c r="CO1022" s="240"/>
      <c r="CP1022" s="240"/>
      <c r="CQ1022" s="240"/>
      <c r="CR1022" s="240"/>
      <c r="CS1022" s="240"/>
      <c r="CT1022" s="240"/>
      <c r="CU1022" s="240"/>
      <c r="CV1022" s="240"/>
      <c r="CW1022" s="240"/>
      <c r="CX1022" s="240"/>
      <c r="CY1022" s="240"/>
      <c r="CZ1022" s="241"/>
      <c r="DA1022" s="241"/>
      <c r="DB1022" s="241"/>
      <c r="DC1022" s="241"/>
      <c r="DD1022" s="241"/>
      <c r="DE1022" s="241"/>
      <c r="DF1022" s="241"/>
      <c r="DG1022" s="241"/>
      <c r="DH1022" s="241"/>
      <c r="DI1022" s="241"/>
      <c r="DJ1022" s="241"/>
      <c r="DK1022" s="241"/>
      <c r="DL1022" s="241"/>
      <c r="DM1022" s="241"/>
      <c r="DN1022" s="241"/>
      <c r="DO1022" s="241"/>
      <c r="DP1022" s="241"/>
      <c r="DQ1022" s="241"/>
      <c r="DR1022" s="241"/>
      <c r="DS1022" s="241"/>
      <c r="DT1022" s="241"/>
      <c r="DU1022" s="241"/>
      <c r="DV1022" s="241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345"/>
      <c r="EM1022" s="245"/>
      <c r="EN1022" s="245"/>
      <c r="EO1022" s="245"/>
      <c r="EP1022" s="245"/>
      <c r="EQ1022" s="351"/>
    </row>
    <row r="1023" spans="2:147" s="243" customFormat="1" ht="11.25" hidden="1" customHeight="1">
      <c r="B1023" s="343"/>
      <c r="C1023" s="240"/>
      <c r="D1023" s="240"/>
      <c r="E1023" s="240"/>
      <c r="F1023" s="240"/>
      <c r="G1023" s="240"/>
      <c r="H1023" s="240" t="s">
        <v>722</v>
      </c>
      <c r="I1023" s="240"/>
      <c r="J1023" s="240"/>
      <c r="K1023" s="240" t="s">
        <v>134</v>
      </c>
      <c r="L1023" s="240"/>
      <c r="M1023" s="240" t="s">
        <v>147</v>
      </c>
      <c r="N1023" s="240" t="s">
        <v>693</v>
      </c>
      <c r="O1023" s="240"/>
      <c r="P1023" s="240" t="s">
        <v>131</v>
      </c>
      <c r="Q1023" s="240" t="s">
        <v>715</v>
      </c>
      <c r="R1023" s="240"/>
      <c r="S1023" s="240" t="s">
        <v>148</v>
      </c>
      <c r="T1023" s="240"/>
      <c r="U1023" s="240" t="s">
        <v>139</v>
      </c>
      <c r="V1023" s="240"/>
      <c r="W1023" s="240" t="s">
        <v>693</v>
      </c>
      <c r="X1023" s="240"/>
      <c r="Y1023" s="240"/>
      <c r="Z1023" s="240" t="s">
        <v>134</v>
      </c>
      <c r="AA1023" s="240"/>
      <c r="AB1023" s="240" t="s">
        <v>147</v>
      </c>
      <c r="AC1023" s="240" t="str">
        <f>TEXT(BH1022,"#,##0.#######")</f>
        <v>46.</v>
      </c>
      <c r="AD1023" s="240"/>
      <c r="AE1023" s="240" t="s">
        <v>131</v>
      </c>
      <c r="AF1023" s="240" t="str">
        <f>TEXT(AE1019,"#,##0.#######")</f>
        <v>10.</v>
      </c>
      <c r="AG1023" s="240"/>
      <c r="AH1023" s="240" t="s">
        <v>148</v>
      </c>
      <c r="AI1023" s="240"/>
      <c r="AJ1023" s="240" t="s">
        <v>139</v>
      </c>
      <c r="AK1023" s="240"/>
      <c r="AL1023" s="240" t="str">
        <f>TEXT(BH1022,"#,##0.#######")</f>
        <v>46.</v>
      </c>
      <c r="AM1023" s="240"/>
      <c r="AN1023" s="240"/>
      <c r="AO1023" s="240" t="s">
        <v>134</v>
      </c>
      <c r="AP1023" s="240"/>
      <c r="AQ1023" s="240" t="str">
        <f>TEXT(ROUND((BH1022-AE1019)/BH1022,2),"#,##0.#######")</f>
        <v>0.78</v>
      </c>
      <c r="AR1023" s="240"/>
      <c r="AS1023" s="240"/>
      <c r="AT1023" s="240"/>
      <c r="AU1023" s="240"/>
      <c r="AV1023" s="240"/>
      <c r="AW1023" s="240"/>
      <c r="AX1023" s="240"/>
      <c r="AY1023" s="240"/>
      <c r="AZ1023" s="240"/>
      <c r="BA1023" s="240"/>
      <c r="BB1023" s="240"/>
      <c r="BC1023" s="240"/>
      <c r="BD1023" s="240"/>
      <c r="BE1023" s="240"/>
      <c r="BF1023" s="240"/>
      <c r="BG1023" s="240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240"/>
      <c r="BT1023" s="240"/>
      <c r="BU1023" s="240"/>
      <c r="BV1023" s="240"/>
      <c r="BW1023" s="240"/>
      <c r="BX1023" s="240"/>
      <c r="BY1023" s="240"/>
      <c r="BZ1023" s="240"/>
      <c r="CA1023" s="240"/>
      <c r="CB1023" s="240"/>
      <c r="CC1023" s="240"/>
      <c r="CD1023" s="240"/>
      <c r="CE1023" s="240"/>
      <c r="CF1023" s="240"/>
      <c r="CG1023" s="240"/>
      <c r="CH1023" s="240"/>
      <c r="CI1023" s="240"/>
      <c r="CJ1023" s="240"/>
      <c r="CK1023" s="240"/>
      <c r="CL1023" s="240"/>
      <c r="CM1023" s="240"/>
      <c r="CN1023" s="240"/>
      <c r="CO1023" s="240"/>
      <c r="CP1023" s="240"/>
      <c r="CQ1023" s="240"/>
      <c r="CR1023" s="240"/>
      <c r="CS1023" s="240"/>
      <c r="CT1023" s="240"/>
      <c r="CU1023" s="240"/>
      <c r="CV1023" s="240"/>
      <c r="CW1023" s="240"/>
      <c r="CX1023" s="240"/>
      <c r="CY1023" s="240"/>
      <c r="CZ1023" s="241"/>
      <c r="DA1023" s="241"/>
      <c r="DB1023" s="241"/>
      <c r="DC1023" s="241"/>
      <c r="DD1023" s="241"/>
      <c r="DE1023" s="241"/>
      <c r="DF1023" s="241"/>
      <c r="DG1023" s="241"/>
      <c r="DH1023" s="241"/>
      <c r="DI1023" s="241"/>
      <c r="DJ1023" s="241"/>
      <c r="DK1023" s="241"/>
      <c r="DL1023" s="241"/>
      <c r="DM1023" s="241"/>
      <c r="DN1023" s="241"/>
      <c r="DO1023" s="241"/>
      <c r="DP1023" s="241"/>
      <c r="DQ1023" s="241"/>
      <c r="DR1023" s="241"/>
      <c r="DS1023" s="241"/>
      <c r="DT1023" s="241"/>
      <c r="DU1023" s="241"/>
      <c r="DV1023" s="241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345"/>
      <c r="EM1023" s="245"/>
      <c r="EN1023" s="245"/>
      <c r="EO1023" s="245"/>
      <c r="EP1023" s="245"/>
      <c r="EQ1023" s="351"/>
    </row>
    <row r="1024" spans="2:147" s="243" customFormat="1" ht="11.25" hidden="1" customHeight="1">
      <c r="B1024" s="343"/>
      <c r="C1024" s="240"/>
      <c r="D1024" s="240"/>
      <c r="E1024" s="240"/>
      <c r="F1024" s="240"/>
      <c r="G1024" s="240"/>
      <c r="H1024" s="240"/>
      <c r="I1024" s="240"/>
      <c r="J1024" s="240"/>
      <c r="K1024" s="240"/>
      <c r="L1024" s="240"/>
      <c r="M1024" s="240"/>
      <c r="N1024" s="240"/>
      <c r="O1024" s="240"/>
      <c r="P1024" s="240"/>
      <c r="Q1024" s="240"/>
      <c r="R1024" s="240"/>
      <c r="S1024" s="240"/>
      <c r="T1024" s="240"/>
      <c r="U1024" s="240"/>
      <c r="V1024" s="240"/>
      <c r="W1024" s="240"/>
      <c r="X1024" s="240"/>
      <c r="Y1024" s="240"/>
      <c r="Z1024" s="240"/>
      <c r="AA1024" s="240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240"/>
      <c r="AM1024" s="240"/>
      <c r="AN1024" s="240"/>
      <c r="AO1024" s="240"/>
      <c r="AP1024" s="240"/>
      <c r="AQ1024" s="240"/>
      <c r="AR1024" s="240"/>
      <c r="AS1024" s="240"/>
      <c r="AT1024" s="240"/>
      <c r="AU1024" s="240"/>
      <c r="AV1024" s="240"/>
      <c r="AW1024" s="240"/>
      <c r="AX1024" s="240"/>
      <c r="AY1024" s="240"/>
      <c r="AZ1024" s="240"/>
      <c r="BA1024" s="240"/>
      <c r="BB1024" s="240"/>
      <c r="BC1024" s="240"/>
      <c r="BD1024" s="240"/>
      <c r="BE1024" s="240"/>
      <c r="BF1024" s="240"/>
      <c r="BG1024" s="240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240"/>
      <c r="BT1024" s="240"/>
      <c r="BU1024" s="240"/>
      <c r="BV1024" s="240"/>
      <c r="BW1024" s="240"/>
      <c r="BX1024" s="240"/>
      <c r="BY1024" s="240"/>
      <c r="BZ1024" s="240"/>
      <c r="CA1024" s="240"/>
      <c r="CB1024" s="240"/>
      <c r="CC1024" s="240"/>
      <c r="CD1024" s="240"/>
      <c r="CE1024" s="240"/>
      <c r="CF1024" s="240"/>
      <c r="CG1024" s="240"/>
      <c r="CH1024" s="240"/>
      <c r="CI1024" s="240"/>
      <c r="CJ1024" s="240"/>
      <c r="CK1024" s="240"/>
      <c r="CL1024" s="240"/>
      <c r="CM1024" s="240"/>
      <c r="CN1024" s="240"/>
      <c r="CO1024" s="240"/>
      <c r="CP1024" s="240"/>
      <c r="CQ1024" s="240"/>
      <c r="CR1024" s="240"/>
      <c r="CS1024" s="240"/>
      <c r="CT1024" s="240"/>
      <c r="CU1024" s="240"/>
      <c r="CV1024" s="240"/>
      <c r="CW1024" s="240"/>
      <c r="CX1024" s="240"/>
      <c r="CY1024" s="240"/>
      <c r="CZ1024" s="241"/>
      <c r="DA1024" s="241"/>
      <c r="DB1024" s="241"/>
      <c r="DC1024" s="241"/>
      <c r="DD1024" s="241"/>
      <c r="DE1024" s="241"/>
      <c r="DF1024" s="241"/>
      <c r="DG1024" s="241"/>
      <c r="DH1024" s="241"/>
      <c r="DI1024" s="241"/>
      <c r="DJ1024" s="241"/>
      <c r="DK1024" s="241"/>
      <c r="DL1024" s="241"/>
      <c r="DM1024" s="241"/>
      <c r="DN1024" s="241"/>
      <c r="DO1024" s="241"/>
      <c r="DP1024" s="241"/>
      <c r="DQ1024" s="241"/>
      <c r="DR1024" s="241"/>
      <c r="DS1024" s="241"/>
      <c r="DT1024" s="241"/>
      <c r="DU1024" s="241"/>
      <c r="DV1024" s="241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345"/>
      <c r="EM1024" s="245"/>
      <c r="EN1024" s="245"/>
      <c r="EO1024" s="245"/>
      <c r="EP1024" s="245"/>
      <c r="EQ1024" s="351"/>
    </row>
    <row r="1025" spans="2:147" s="243" customFormat="1" ht="11.25" hidden="1" customHeight="1">
      <c r="B1025" s="343"/>
      <c r="C1025" s="240"/>
      <c r="D1025" s="240"/>
      <c r="E1025" s="240"/>
      <c r="F1025" s="240"/>
      <c r="G1025" s="240"/>
      <c r="H1025" s="240"/>
      <c r="I1025" s="240"/>
      <c r="J1025" s="240"/>
      <c r="K1025" s="240"/>
      <c r="L1025" s="240"/>
      <c r="M1025" s="240" t="str">
        <f>TEXT(60,"#,##0.#######")</f>
        <v>60.</v>
      </c>
      <c r="N1025" s="240"/>
      <c r="O1025" s="240"/>
      <c r="P1025" s="240" t="s">
        <v>652</v>
      </c>
      <c r="Q1025" s="240"/>
      <c r="R1025" s="240"/>
      <c r="S1025" s="240" t="str">
        <f>TEXT(5500,"#,##0.#######")</f>
        <v>5,500.</v>
      </c>
      <c r="T1025" s="240"/>
      <c r="U1025" s="240"/>
      <c r="V1025" s="240"/>
      <c r="W1025" s="240"/>
      <c r="X1025" s="240"/>
      <c r="Y1025" s="240" t="s">
        <v>652</v>
      </c>
      <c r="Z1025" s="240"/>
      <c r="AA1025" s="240"/>
      <c r="AB1025" s="240" t="s">
        <v>692</v>
      </c>
      <c r="AC1025" s="240"/>
      <c r="AD1025" s="240"/>
      <c r="AE1025" s="240"/>
      <c r="AF1025" s="240"/>
      <c r="AG1025" s="240"/>
      <c r="AH1025" s="240"/>
      <c r="AI1025" s="240"/>
      <c r="AJ1025" s="240" t="str">
        <f>TEXT(M1025,"#,##0.#######")</f>
        <v>60.</v>
      </c>
      <c r="AK1025" s="240"/>
      <c r="AL1025" s="240"/>
      <c r="AM1025" s="240" t="s">
        <v>652</v>
      </c>
      <c r="AN1025" s="240"/>
      <c r="AO1025" s="240"/>
      <c r="AP1025" s="240" t="str">
        <f>TEXT(S1025,"#,##0.#######")</f>
        <v>5,500.</v>
      </c>
      <c r="AQ1025" s="240"/>
      <c r="AR1025" s="240"/>
      <c r="AS1025" s="240"/>
      <c r="AT1025" s="240"/>
      <c r="AU1025" s="240"/>
      <c r="AV1025" s="240" t="s">
        <v>652</v>
      </c>
      <c r="AW1025" s="240"/>
      <c r="AX1025" s="240"/>
      <c r="AY1025" s="240" t="str">
        <f>TEXT(AQ1018,"#,##0.#######")</f>
        <v>0.9</v>
      </c>
      <c r="AZ1025" s="240"/>
      <c r="BA1025" s="240"/>
      <c r="BB1025" s="240"/>
      <c r="BC1025" s="240"/>
      <c r="BD1025" s="240"/>
      <c r="BE1025" s="240"/>
      <c r="BF1025" s="240"/>
      <c r="BG1025" s="240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240"/>
      <c r="BT1025" s="240"/>
      <c r="BU1025" s="240"/>
      <c r="BV1025" s="240"/>
      <c r="BW1025" s="240"/>
      <c r="BX1025" s="240"/>
      <c r="BY1025" s="240"/>
      <c r="BZ1025" s="240"/>
      <c r="CA1025" s="240"/>
      <c r="CB1025" s="240"/>
      <c r="CC1025" s="240"/>
      <c r="CD1025" s="240"/>
      <c r="CE1025" s="240"/>
      <c r="CF1025" s="240"/>
      <c r="CG1025" s="240"/>
      <c r="CH1025" s="240"/>
      <c r="CI1025" s="240"/>
      <c r="CJ1025" s="240"/>
      <c r="CK1025" s="240"/>
      <c r="CL1025" s="240"/>
      <c r="CM1025" s="240"/>
      <c r="CN1025" s="240"/>
      <c r="CO1025" s="240"/>
      <c r="CP1025" s="240"/>
      <c r="CQ1025" s="240"/>
      <c r="CR1025" s="240"/>
      <c r="CS1025" s="240"/>
      <c r="CT1025" s="240"/>
      <c r="CU1025" s="240"/>
      <c r="CV1025" s="240"/>
      <c r="CW1025" s="240"/>
      <c r="CX1025" s="240"/>
      <c r="CY1025" s="240"/>
      <c r="CZ1025" s="241"/>
      <c r="DA1025" s="241"/>
      <c r="DB1025" s="241"/>
      <c r="DC1025" s="241"/>
      <c r="DD1025" s="241"/>
      <c r="DE1025" s="241"/>
      <c r="DF1025" s="241"/>
      <c r="DG1025" s="241"/>
      <c r="DH1025" s="241"/>
      <c r="DI1025" s="241"/>
      <c r="DJ1025" s="241"/>
      <c r="DK1025" s="241"/>
      <c r="DL1025" s="241"/>
      <c r="DM1025" s="241"/>
      <c r="DN1025" s="241"/>
      <c r="DO1025" s="241"/>
      <c r="DP1025" s="241"/>
      <c r="DQ1025" s="241"/>
      <c r="DR1025" s="241"/>
      <c r="DS1025" s="241"/>
      <c r="DT1025" s="241"/>
      <c r="DU1025" s="241"/>
      <c r="DV1025" s="241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345"/>
      <c r="EM1025" s="245"/>
      <c r="EN1025" s="245"/>
      <c r="EO1025" s="245"/>
      <c r="EP1025" s="245"/>
      <c r="EQ1025" s="351"/>
    </row>
    <row r="1026" spans="2:147" s="243" customFormat="1" ht="11.25" hidden="1" customHeight="1">
      <c r="B1026" s="343"/>
      <c r="C1026" s="240"/>
      <c r="D1026" s="240"/>
      <c r="E1026" s="240"/>
      <c r="F1026" s="240"/>
      <c r="G1026" s="240"/>
      <c r="H1026" s="240" t="s">
        <v>687</v>
      </c>
      <c r="I1026" s="240"/>
      <c r="J1026" s="240" t="s">
        <v>134</v>
      </c>
      <c r="K1026" s="240"/>
      <c r="L1026" s="240" t="s">
        <v>694</v>
      </c>
      <c r="M1026" s="240"/>
      <c r="N1026" s="240" t="s">
        <v>694</v>
      </c>
      <c r="O1026" s="240"/>
      <c r="P1026" s="240" t="s">
        <v>694</v>
      </c>
      <c r="Q1026" s="240"/>
      <c r="R1026" s="240" t="s">
        <v>694</v>
      </c>
      <c r="S1026" s="240"/>
      <c r="T1026" s="240" t="s">
        <v>694</v>
      </c>
      <c r="U1026" s="240"/>
      <c r="V1026" s="240" t="s">
        <v>694</v>
      </c>
      <c r="W1026" s="240"/>
      <c r="X1026" s="240" t="s">
        <v>694</v>
      </c>
      <c r="Y1026" s="240"/>
      <c r="Z1026" s="240" t="s">
        <v>694</v>
      </c>
      <c r="AA1026" s="240"/>
      <c r="AB1026" s="240" t="s">
        <v>694</v>
      </c>
      <c r="AC1026" s="240"/>
      <c r="AD1026" s="240" t="s">
        <v>694</v>
      </c>
      <c r="AE1026" s="240"/>
      <c r="AF1026" s="240"/>
      <c r="AG1026" s="240" t="s">
        <v>134</v>
      </c>
      <c r="AH1026" s="240"/>
      <c r="AI1026" s="240" t="s">
        <v>694</v>
      </c>
      <c r="AJ1026" s="240"/>
      <c r="AK1026" s="240" t="s">
        <v>694</v>
      </c>
      <c r="AL1026" s="240"/>
      <c r="AM1026" s="240" t="s">
        <v>694</v>
      </c>
      <c r="AN1026" s="240"/>
      <c r="AO1026" s="240" t="s">
        <v>694</v>
      </c>
      <c r="AP1026" s="240"/>
      <c r="AQ1026" s="240" t="s">
        <v>694</v>
      </c>
      <c r="AR1026" s="240"/>
      <c r="AS1026" s="240" t="s">
        <v>694</v>
      </c>
      <c r="AT1026" s="240"/>
      <c r="AU1026" s="240" t="s">
        <v>694</v>
      </c>
      <c r="AV1026" s="240"/>
      <c r="AW1026" s="240" t="s">
        <v>694</v>
      </c>
      <c r="AX1026" s="240"/>
      <c r="AY1026" s="240" t="s">
        <v>694</v>
      </c>
      <c r="AZ1026" s="240"/>
      <c r="BA1026" s="240" t="s">
        <v>694</v>
      </c>
      <c r="BB1026" s="240"/>
      <c r="BC1026" s="240"/>
      <c r="BD1026" s="240" t="s">
        <v>134</v>
      </c>
      <c r="BE1026" s="240"/>
      <c r="BF1026" s="240" t="str">
        <f>TEXT(ROUND((60*5500*AQ1018)/(BH1022),2),"#,##0.#######")</f>
        <v>6,456.52</v>
      </c>
      <c r="BG1026" s="240"/>
      <c r="BH1026" s="240"/>
      <c r="BI1026" s="240"/>
      <c r="BJ1026" s="240"/>
      <c r="BK1026" s="240"/>
      <c r="BL1026" s="240" t="s">
        <v>369</v>
      </c>
      <c r="BM1026" s="240"/>
      <c r="BN1026" s="240" t="s">
        <v>139</v>
      </c>
      <c r="BO1026" s="240" t="s">
        <v>618</v>
      </c>
      <c r="BP1026" s="240"/>
      <c r="BQ1026" s="240"/>
      <c r="BR1026" s="240"/>
      <c r="BS1026" s="240"/>
      <c r="BT1026" s="240"/>
      <c r="BU1026" s="240"/>
      <c r="CA1026" s="240"/>
      <c r="CB1026" s="240"/>
      <c r="CC1026" s="240"/>
      <c r="CD1026" s="240"/>
      <c r="CE1026" s="240"/>
      <c r="CF1026" s="240"/>
      <c r="CG1026" s="240"/>
      <c r="CH1026" s="240"/>
      <c r="CI1026" s="240"/>
      <c r="CJ1026" s="240"/>
      <c r="CK1026" s="240"/>
      <c r="CL1026" s="240"/>
      <c r="CM1026" s="240"/>
      <c r="CN1026" s="240"/>
      <c r="CO1026" s="240"/>
      <c r="CP1026" s="240"/>
      <c r="CQ1026" s="240"/>
      <c r="CR1026" s="240"/>
      <c r="CS1026" s="240"/>
      <c r="CT1026" s="240"/>
      <c r="CU1026" s="240"/>
      <c r="CV1026" s="240"/>
      <c r="CW1026" s="240"/>
      <c r="CX1026" s="240"/>
      <c r="CY1026" s="240"/>
      <c r="CZ1026" s="241"/>
      <c r="DA1026" s="241"/>
      <c r="DB1026" s="241"/>
      <c r="DC1026" s="241"/>
      <c r="DD1026" s="241"/>
      <c r="DE1026" s="241"/>
      <c r="DF1026" s="241"/>
      <c r="DG1026" s="241"/>
      <c r="DH1026" s="241"/>
      <c r="DI1026" s="241"/>
      <c r="DJ1026" s="241"/>
      <c r="DK1026" s="241"/>
      <c r="DL1026" s="241"/>
      <c r="DM1026" s="241"/>
      <c r="DN1026" s="241"/>
      <c r="DO1026" s="241"/>
      <c r="DP1026" s="241"/>
      <c r="DQ1026" s="241"/>
      <c r="DR1026" s="241"/>
      <c r="DS1026" s="241"/>
      <c r="DT1026" s="241"/>
      <c r="DU1026" s="241"/>
      <c r="DV1026" s="241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345"/>
      <c r="EM1026" s="245"/>
      <c r="EN1026" s="245"/>
      <c r="EO1026" s="245"/>
      <c r="EP1026" s="245"/>
      <c r="EQ1026" s="351"/>
    </row>
    <row r="1027" spans="2:147" s="243" customFormat="1" ht="11.25" hidden="1" customHeight="1">
      <c r="B1027" s="343"/>
      <c r="C1027" s="240"/>
      <c r="D1027" s="240"/>
      <c r="E1027" s="240"/>
      <c r="F1027" s="240"/>
      <c r="G1027" s="240"/>
      <c r="H1027" s="240"/>
      <c r="I1027" s="240"/>
      <c r="J1027" s="240"/>
      <c r="K1027" s="240"/>
      <c r="L1027" s="240"/>
      <c r="M1027" s="240"/>
      <c r="N1027" s="240"/>
      <c r="O1027" s="240"/>
      <c r="P1027" s="240"/>
      <c r="Q1027" s="240"/>
      <c r="R1027" s="240" t="s">
        <v>693</v>
      </c>
      <c r="S1027" s="240"/>
      <c r="T1027" s="240"/>
      <c r="U1027" s="240"/>
      <c r="V1027" s="240"/>
      <c r="W1027" s="240"/>
      <c r="X1027" s="240"/>
      <c r="Y1027" s="240"/>
      <c r="Z1027" s="240"/>
      <c r="AA1027" s="240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240"/>
      <c r="AM1027" s="240"/>
      <c r="AN1027" s="240"/>
      <c r="AO1027" s="240"/>
      <c r="AP1027" s="240"/>
      <c r="AQ1027" s="240"/>
      <c r="AR1027" s="240" t="str">
        <f>TEXT(BH1022,"#,##0.#######")</f>
        <v>46.</v>
      </c>
      <c r="AS1027" s="240"/>
      <c r="AT1027" s="240"/>
      <c r="AU1027" s="240"/>
      <c r="AV1027" s="240"/>
      <c r="AW1027" s="240"/>
      <c r="AX1027" s="240"/>
      <c r="AY1027" s="240"/>
      <c r="AZ1027" s="240"/>
      <c r="BA1027" s="240"/>
      <c r="BB1027" s="240"/>
      <c r="BC1027" s="240"/>
      <c r="BD1027" s="240"/>
      <c r="BE1027" s="240"/>
      <c r="BF1027" s="240"/>
      <c r="BG1027" s="240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240"/>
      <c r="BT1027" s="240"/>
      <c r="BU1027" s="240"/>
      <c r="BV1027" s="240"/>
      <c r="BW1027" s="240"/>
      <c r="BX1027" s="240"/>
      <c r="BY1027" s="240"/>
      <c r="BZ1027" s="240"/>
      <c r="CA1027" s="240"/>
      <c r="CB1027" s="240"/>
      <c r="CC1027" s="240"/>
      <c r="CD1027" s="240"/>
      <c r="CE1027" s="240"/>
      <c r="CF1027" s="240"/>
      <c r="CG1027" s="240"/>
      <c r="CH1027" s="240"/>
      <c r="CI1027" s="240"/>
      <c r="CJ1027" s="240"/>
      <c r="CK1027" s="240"/>
      <c r="CL1027" s="240"/>
      <c r="CM1027" s="240"/>
      <c r="CN1027" s="240"/>
      <c r="CO1027" s="240"/>
      <c r="CP1027" s="240"/>
      <c r="CQ1027" s="240"/>
      <c r="CR1027" s="240"/>
      <c r="CS1027" s="240"/>
      <c r="CT1027" s="240"/>
      <c r="CU1027" s="240"/>
      <c r="CV1027" s="240"/>
      <c r="CW1027" s="240"/>
      <c r="CX1027" s="240"/>
      <c r="CY1027" s="240"/>
      <c r="CZ1027" s="241"/>
      <c r="DA1027" s="241"/>
      <c r="DB1027" s="241"/>
      <c r="DC1027" s="241"/>
      <c r="DD1027" s="241"/>
      <c r="DE1027" s="241"/>
      <c r="DF1027" s="241"/>
      <c r="DG1027" s="241"/>
      <c r="DH1027" s="241"/>
      <c r="DI1027" s="241"/>
      <c r="DJ1027" s="241"/>
      <c r="DK1027" s="241"/>
      <c r="DL1027" s="241"/>
      <c r="DM1027" s="241"/>
      <c r="DN1027" s="241"/>
      <c r="DO1027" s="241"/>
      <c r="DP1027" s="241"/>
      <c r="DQ1027" s="241"/>
      <c r="DR1027" s="241"/>
      <c r="DS1027" s="241"/>
      <c r="DT1027" s="241"/>
      <c r="DU1027" s="241"/>
      <c r="DV1027" s="241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345"/>
      <c r="EM1027" s="245"/>
      <c r="EN1027" s="245"/>
      <c r="EO1027" s="245"/>
      <c r="EP1027" s="245"/>
      <c r="EQ1027" s="351"/>
    </row>
    <row r="1028" spans="2:147" s="243" customFormat="1" ht="11.25" hidden="1" customHeight="1">
      <c r="B1028" s="343"/>
      <c r="C1028" s="240"/>
      <c r="D1028" s="240"/>
      <c r="E1028" s="240"/>
      <c r="F1028" s="240"/>
      <c r="G1028" s="240"/>
      <c r="H1028" s="240"/>
      <c r="I1028" s="240"/>
      <c r="J1028" s="240"/>
      <c r="K1028" s="240"/>
      <c r="L1028" s="240"/>
      <c r="M1028" s="240"/>
      <c r="N1028" s="240"/>
      <c r="O1028" s="240"/>
      <c r="P1028" s="240"/>
      <c r="Q1028" s="240"/>
      <c r="R1028" s="240"/>
      <c r="S1028" s="240"/>
      <c r="T1028" s="240"/>
      <c r="U1028" s="240"/>
      <c r="V1028" s="240"/>
      <c r="W1028" s="240"/>
      <c r="X1028" s="240"/>
      <c r="Y1028" s="240"/>
      <c r="Z1028" s="240"/>
      <c r="AA1028" s="240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240"/>
      <c r="AM1028" s="240"/>
      <c r="AN1028" s="240"/>
      <c r="AO1028" s="240"/>
      <c r="AP1028" s="240"/>
      <c r="AQ1028" s="240"/>
      <c r="AR1028" s="240"/>
      <c r="AS1028" s="240"/>
      <c r="AT1028" s="240"/>
      <c r="AU1028" s="240"/>
      <c r="AV1028" s="240"/>
      <c r="AW1028" s="240"/>
      <c r="AX1028" s="240"/>
      <c r="AY1028" s="240"/>
      <c r="AZ1028" s="240"/>
      <c r="BA1028" s="240"/>
      <c r="BB1028" s="240"/>
      <c r="BC1028" s="240"/>
      <c r="BD1028" s="240"/>
      <c r="BE1028" s="240"/>
      <c r="BF1028" s="240"/>
      <c r="BG1028" s="240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240"/>
      <c r="BT1028" s="240"/>
      <c r="BU1028" s="240"/>
      <c r="BV1028" s="240"/>
      <c r="BW1028" s="240"/>
      <c r="BX1028" s="240"/>
      <c r="BY1028" s="240"/>
      <c r="BZ1028" s="240"/>
      <c r="CA1028" s="240"/>
      <c r="CB1028" s="240"/>
      <c r="CC1028" s="240"/>
      <c r="CD1028" s="240"/>
      <c r="CE1028" s="240"/>
      <c r="CF1028" s="240"/>
      <c r="CG1028" s="240"/>
      <c r="CH1028" s="240"/>
      <c r="CI1028" s="240"/>
      <c r="CJ1028" s="240"/>
      <c r="CK1028" s="240"/>
      <c r="CL1028" s="240"/>
      <c r="CM1028" s="240"/>
      <c r="CN1028" s="240"/>
      <c r="CO1028" s="240"/>
      <c r="CP1028" s="240"/>
      <c r="CQ1028" s="240"/>
      <c r="CR1028" s="240"/>
      <c r="CS1028" s="240"/>
      <c r="CT1028" s="240"/>
      <c r="CU1028" s="240"/>
      <c r="CV1028" s="240"/>
      <c r="CW1028" s="240"/>
      <c r="CX1028" s="240"/>
      <c r="CY1028" s="240"/>
      <c r="CZ1028" s="241"/>
      <c r="DA1028" s="241"/>
      <c r="DB1028" s="241"/>
      <c r="DC1028" s="241"/>
      <c r="DD1028" s="241"/>
      <c r="DE1028" s="241"/>
      <c r="DF1028" s="241"/>
      <c r="DG1028" s="241"/>
      <c r="DH1028" s="241"/>
      <c r="DI1028" s="241"/>
      <c r="DJ1028" s="241"/>
      <c r="DK1028" s="241"/>
      <c r="DL1028" s="241"/>
      <c r="DM1028" s="241"/>
      <c r="DN1028" s="241"/>
      <c r="DO1028" s="241"/>
      <c r="DP1028" s="241"/>
      <c r="DQ1028" s="241"/>
      <c r="DR1028" s="241"/>
      <c r="DS1028" s="241"/>
      <c r="DT1028" s="241"/>
      <c r="DU1028" s="241"/>
      <c r="DV1028" s="241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345"/>
      <c r="EM1028" s="245"/>
      <c r="EN1028" s="245"/>
      <c r="EO1028" s="245"/>
      <c r="EP1028" s="245"/>
      <c r="EQ1028" s="351"/>
    </row>
    <row r="1029" spans="2:147" s="243" customFormat="1" ht="11.25" hidden="1" customHeight="1">
      <c r="B1029" s="343"/>
      <c r="C1029" s="240"/>
      <c r="D1029" s="240"/>
      <c r="E1029" s="240"/>
      <c r="F1029" s="240"/>
      <c r="G1029" s="240"/>
      <c r="H1029" s="240" t="s">
        <v>616</v>
      </c>
      <c r="I1029" s="240"/>
      <c r="J1029" s="240"/>
      <c r="K1029" s="240"/>
      <c r="L1029" s="240"/>
      <c r="M1029" s="240"/>
      <c r="N1029" s="240"/>
      <c r="O1029" s="240" t="s">
        <v>132</v>
      </c>
      <c r="P1029" s="240"/>
      <c r="Q1029" s="1775" t="e">
        <f>#REF!</f>
        <v>#REF!</v>
      </c>
      <c r="R1029" s="1775"/>
      <c r="S1029" s="1775"/>
      <c r="T1029" s="1775"/>
      <c r="U1029" s="1775"/>
      <c r="V1029" s="240"/>
      <c r="W1029" s="240" t="s">
        <v>683</v>
      </c>
      <c r="X1029" s="240"/>
      <c r="Y1029" s="240"/>
      <c r="Z1029" s="240" t="str">
        <f>TEXT(BF1026,"#,##0.#######")</f>
        <v>6,456.52</v>
      </c>
      <c r="AA1029" s="240"/>
      <c r="AB1029" s="240"/>
      <c r="AC1029" s="240"/>
      <c r="AD1029" s="240"/>
      <c r="AE1029" s="240"/>
      <c r="AF1029" s="240" t="s">
        <v>652</v>
      </c>
      <c r="AG1029" s="240"/>
      <c r="AH1029" s="240" t="str">
        <f>TEXT(30,"#,##0.#######")</f>
        <v>30.</v>
      </c>
      <c r="AI1029" s="240"/>
      <c r="AJ1029" s="240" t="s">
        <v>369</v>
      </c>
      <c r="AK1029" s="240"/>
      <c r="AL1029" s="240" t="s">
        <v>134</v>
      </c>
      <c r="AM1029" s="240"/>
      <c r="AN1029" s="240" t="e">
        <f>TEXT(TRUNC(Q1029/BF1026*AH1029,1),"#,##0.#")</f>
        <v>#REF!</v>
      </c>
      <c r="AO1029" s="240"/>
      <c r="AP1029" s="240"/>
      <c r="AQ1029" s="240"/>
      <c r="AR1029" s="240"/>
      <c r="AS1029" s="240"/>
      <c r="AT1029" s="240"/>
      <c r="AU1029" s="240"/>
      <c r="AV1029" s="240"/>
      <c r="AW1029" s="240"/>
      <c r="AX1029" s="240"/>
      <c r="AY1029" s="240"/>
      <c r="AZ1029" s="240"/>
      <c r="BA1029" s="240"/>
      <c r="BB1029" s="240"/>
      <c r="BC1029" s="240"/>
      <c r="BD1029" s="240"/>
      <c r="BE1029" s="240"/>
      <c r="BN1029" s="240"/>
      <c r="BO1029" s="240"/>
      <c r="BP1029" s="240"/>
      <c r="BQ1029" s="240"/>
      <c r="BR1029" s="240"/>
      <c r="BS1029" s="240"/>
      <c r="BT1029" s="240"/>
      <c r="BU1029" s="240"/>
      <c r="BV1029" s="240"/>
      <c r="BW1029" s="240"/>
      <c r="BX1029" s="240"/>
      <c r="BY1029" s="240"/>
      <c r="BZ1029" s="240"/>
      <c r="CA1029" s="240"/>
      <c r="CB1029" s="240"/>
      <c r="CC1029" s="240"/>
      <c r="CD1029" s="240"/>
      <c r="CE1029" s="240"/>
      <c r="CF1029" s="240"/>
      <c r="CG1029" s="240"/>
      <c r="CH1029" s="240"/>
      <c r="CI1029" s="240"/>
      <c r="CJ1029" s="240"/>
      <c r="CK1029" s="240"/>
      <c r="CL1029" s="240"/>
      <c r="CM1029" s="240"/>
      <c r="CN1029" s="240"/>
      <c r="CO1029" s="240"/>
      <c r="CP1029" s="240"/>
      <c r="CQ1029" s="240"/>
      <c r="CR1029" s="240"/>
      <c r="CS1029" s="240"/>
      <c r="CT1029" s="240"/>
      <c r="CU1029" s="240"/>
      <c r="CV1029" s="240"/>
      <c r="CW1029" s="240"/>
      <c r="CX1029" s="240"/>
      <c r="CY1029" s="240"/>
      <c r="CZ1029" s="241"/>
      <c r="DA1029" s="241"/>
      <c r="DB1029" s="241"/>
      <c r="DC1029" s="241"/>
      <c r="DD1029" s="241"/>
      <c r="DE1029" s="241"/>
      <c r="DF1029" s="241"/>
      <c r="DG1029" s="241"/>
      <c r="DH1029" s="241"/>
      <c r="DI1029" s="241"/>
      <c r="DJ1029" s="241"/>
      <c r="DK1029" s="241"/>
      <c r="DL1029" s="241"/>
      <c r="DM1029" s="241"/>
      <c r="DN1029" s="241"/>
      <c r="DO1029" s="241"/>
      <c r="DP1029" s="241"/>
      <c r="DQ1029" s="241"/>
      <c r="DR1029" s="241"/>
      <c r="DS1029" s="241"/>
      <c r="DT1029" s="241"/>
      <c r="DU1029" s="241"/>
      <c r="DV1029" s="241"/>
      <c r="DW1029" s="241"/>
      <c r="DX1029" s="241"/>
      <c r="DY1029" s="241"/>
      <c r="DZ1029" s="241"/>
      <c r="EA1029" s="241"/>
      <c r="EB1029" s="241"/>
      <c r="EC1029" s="241"/>
      <c r="ED1029" s="241"/>
      <c r="EE1029" s="241"/>
      <c r="EF1029" s="241"/>
      <c r="EG1029" s="241"/>
      <c r="EH1029" s="241"/>
      <c r="EI1029" s="241"/>
      <c r="EJ1029" s="241"/>
      <c r="EK1029" s="241"/>
      <c r="EL1029" s="345"/>
      <c r="EM1029" s="245"/>
      <c r="EN1029" s="245"/>
      <c r="EO1029" s="245"/>
      <c r="EP1029" s="245"/>
      <c r="EQ1029" s="351"/>
    </row>
    <row r="1030" spans="2:147" s="243" customFormat="1" ht="11.25" hidden="1" customHeight="1">
      <c r="B1030" s="343"/>
      <c r="C1030" s="240"/>
      <c r="D1030" s="240"/>
      <c r="E1030" s="240"/>
      <c r="F1030" s="240"/>
      <c r="G1030" s="240"/>
      <c r="H1030" s="240" t="s">
        <v>617</v>
      </c>
      <c r="I1030" s="240"/>
      <c r="J1030" s="240"/>
      <c r="K1030" s="240"/>
      <c r="L1030" s="240"/>
      <c r="M1030" s="240"/>
      <c r="N1030" s="240"/>
      <c r="O1030" s="240" t="s">
        <v>132</v>
      </c>
      <c r="P1030" s="240"/>
      <c r="Q1030" s="1775" t="e">
        <f>#REF!</f>
        <v>#REF!</v>
      </c>
      <c r="R1030" s="1775"/>
      <c r="S1030" s="1775"/>
      <c r="T1030" s="1775"/>
      <c r="U1030" s="1775"/>
      <c r="V1030" s="240"/>
      <c r="W1030" s="240" t="s">
        <v>683</v>
      </c>
      <c r="X1030" s="240"/>
      <c r="Y1030" s="240"/>
      <c r="Z1030" s="240" t="str">
        <f>TEXT(BF1026,"#,##0.#######")</f>
        <v>6,456.52</v>
      </c>
      <c r="AA1030" s="240"/>
      <c r="AB1030" s="240"/>
      <c r="AC1030" s="240"/>
      <c r="AD1030" s="240"/>
      <c r="AE1030" s="240"/>
      <c r="AF1030" s="240" t="s">
        <v>652</v>
      </c>
      <c r="AG1030" s="240"/>
      <c r="AH1030" s="240" t="str">
        <f>TEXT(30,"#,##0.#######")</f>
        <v>30.</v>
      </c>
      <c r="AI1030" s="240"/>
      <c r="AJ1030" s="240" t="s">
        <v>369</v>
      </c>
      <c r="AK1030" s="240"/>
      <c r="AL1030" s="240" t="s">
        <v>652</v>
      </c>
      <c r="AM1030" s="240"/>
      <c r="AN1030" s="240" t="s">
        <v>722</v>
      </c>
      <c r="AO1030" s="240"/>
      <c r="AP1030" s="240"/>
      <c r="AQ1030" s="240" t="s">
        <v>134</v>
      </c>
      <c r="AR1030" s="240"/>
      <c r="AS1030" s="240" t="e">
        <f>TEXT(Q1030,"#,##0.#######")</f>
        <v>#REF!</v>
      </c>
      <c r="AT1030" s="240"/>
      <c r="AU1030" s="240"/>
      <c r="AV1030" s="240"/>
      <c r="AW1030" s="240" t="s">
        <v>683</v>
      </c>
      <c r="AX1030" s="240"/>
      <c r="AY1030" s="240" t="str">
        <f>TEXT(BF1026,"#,##0.#######")</f>
        <v>6,456.52</v>
      </c>
      <c r="BA1030" s="240"/>
      <c r="BB1030" s="240"/>
      <c r="BD1030" s="240" t="s">
        <v>652</v>
      </c>
      <c r="BE1030" s="240"/>
      <c r="BF1030" s="240" t="str">
        <f>TEXT(AH1030,"#,##0.#######")</f>
        <v>30.</v>
      </c>
      <c r="BG1030" s="240"/>
      <c r="BH1030" s="240" t="s">
        <v>652</v>
      </c>
      <c r="BI1030" s="240"/>
      <c r="BJ1030" s="240" t="str">
        <f>TEXT(AQ1023,"#,##0.#######")</f>
        <v>0.78</v>
      </c>
      <c r="BK1030" s="240"/>
      <c r="BL1030" s="240"/>
      <c r="BM1030" s="240" t="s">
        <v>134</v>
      </c>
      <c r="BN1030" s="240"/>
      <c r="BO1030" s="240" t="e">
        <f>TEXT(TRUNC(Q1030/BF1026*AH1030*AQ1023,1),"#,##0.#")</f>
        <v>#REF!</v>
      </c>
      <c r="BR1030" s="240"/>
      <c r="BS1030" s="240"/>
      <c r="BT1030" s="240"/>
      <c r="BU1030" s="240"/>
      <c r="BV1030" s="240"/>
      <c r="CM1030" s="240"/>
      <c r="CN1030" s="240"/>
      <c r="CO1030" s="240"/>
      <c r="CP1030" s="240"/>
      <c r="CQ1030" s="240"/>
      <c r="CR1030" s="240"/>
      <c r="CS1030" s="240"/>
      <c r="CT1030" s="240"/>
      <c r="CU1030" s="240"/>
      <c r="CV1030" s="240"/>
      <c r="CW1030" s="240"/>
      <c r="CX1030" s="240"/>
      <c r="CY1030" s="240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1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345"/>
      <c r="EM1030" s="245"/>
      <c r="EN1030" s="245"/>
      <c r="EO1030" s="245"/>
      <c r="EP1030" s="245"/>
      <c r="EQ1030" s="351"/>
    </row>
    <row r="1031" spans="2:147" s="243" customFormat="1" ht="11.25" hidden="1" customHeight="1">
      <c r="B1031" s="343"/>
      <c r="C1031" s="240"/>
      <c r="D1031" s="240"/>
      <c r="E1031" s="240"/>
      <c r="F1031" s="240"/>
      <c r="G1031" s="240"/>
      <c r="H1031" s="240" t="s">
        <v>679</v>
      </c>
      <c r="I1031" s="240"/>
      <c r="J1031" s="240" t="s">
        <v>680</v>
      </c>
      <c r="K1031" s="240"/>
      <c r="L1031" s="240"/>
      <c r="M1031" s="240"/>
      <c r="N1031" s="240"/>
      <c r="O1031" s="240" t="s">
        <v>132</v>
      </c>
      <c r="P1031" s="240"/>
      <c r="Q1031" s="1775" t="e">
        <f>#REF!</f>
        <v>#REF!</v>
      </c>
      <c r="R1031" s="1775"/>
      <c r="S1031" s="1775"/>
      <c r="T1031" s="1775"/>
      <c r="U1031" s="1775"/>
      <c r="V1031" s="240"/>
      <c r="W1031" s="240" t="s">
        <v>683</v>
      </c>
      <c r="X1031" s="240"/>
      <c r="Y1031" s="240"/>
      <c r="Z1031" s="240" t="str">
        <f>TEXT(BF1026,"#,##0.#######")</f>
        <v>6,456.52</v>
      </c>
      <c r="AA1031" s="240"/>
      <c r="AB1031" s="240"/>
      <c r="AC1031" s="240"/>
      <c r="AD1031" s="240"/>
      <c r="AE1031" s="240"/>
      <c r="AF1031" s="240" t="s">
        <v>652</v>
      </c>
      <c r="AG1031" s="240"/>
      <c r="AH1031" s="240" t="str">
        <f>TEXT(30,"#,##0.#######")</f>
        <v>30.</v>
      </c>
      <c r="AI1031" s="240"/>
      <c r="AJ1031" s="240" t="s">
        <v>369</v>
      </c>
      <c r="AK1031" s="240"/>
      <c r="AL1031" s="240"/>
      <c r="AM1031" s="240" t="s">
        <v>134</v>
      </c>
      <c r="AN1031" s="240"/>
      <c r="AO1031" s="240" t="e">
        <f>TEXT(TRUNC(Q1031/BF1026*AH1031,1),"#,##0.#")</f>
        <v>#REF!</v>
      </c>
      <c r="AP1031" s="240"/>
      <c r="AQ1031" s="240"/>
      <c r="AR1031" s="240"/>
      <c r="AS1031" s="240"/>
      <c r="AT1031" s="240"/>
      <c r="AU1031" s="240"/>
      <c r="AV1031" s="240"/>
      <c r="AW1031" s="240"/>
      <c r="AX1031" s="240"/>
      <c r="AY1031" s="240"/>
      <c r="AZ1031" s="240"/>
      <c r="BA1031" s="240"/>
      <c r="BB1031" s="240"/>
      <c r="BC1031" s="240"/>
      <c r="BD1031" s="240"/>
      <c r="BE1031" s="240"/>
      <c r="BN1031" s="240"/>
      <c r="BO1031" s="240"/>
      <c r="BP1031" s="240"/>
      <c r="BQ1031" s="240"/>
      <c r="BR1031" s="240"/>
      <c r="BS1031" s="240"/>
      <c r="BT1031" s="240"/>
      <c r="BU1031" s="240"/>
      <c r="BV1031" s="240"/>
      <c r="BW1031" s="240"/>
      <c r="BX1031" s="240"/>
      <c r="BY1031" s="240"/>
      <c r="BZ1031" s="240"/>
      <c r="CA1031" s="240"/>
      <c r="CB1031" s="240"/>
      <c r="CC1031" s="240"/>
      <c r="CD1031" s="240"/>
      <c r="CE1031" s="240"/>
      <c r="CF1031" s="240"/>
      <c r="CG1031" s="240"/>
      <c r="CH1031" s="240"/>
      <c r="CI1031" s="240"/>
      <c r="CJ1031" s="240"/>
      <c r="CK1031" s="240"/>
      <c r="CL1031" s="240"/>
      <c r="CM1031" s="240"/>
      <c r="CN1031" s="240"/>
      <c r="CO1031" s="240"/>
      <c r="CP1031" s="240"/>
      <c r="CQ1031" s="240"/>
      <c r="CR1031" s="240"/>
      <c r="CS1031" s="240"/>
      <c r="CT1031" s="240"/>
      <c r="CU1031" s="240"/>
      <c r="CV1031" s="240"/>
      <c r="CW1031" s="240"/>
      <c r="CX1031" s="240"/>
      <c r="CY1031" s="240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1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345"/>
      <c r="EM1031" s="245"/>
      <c r="EN1031" s="245"/>
      <c r="EO1031" s="245"/>
      <c r="EP1031" s="245"/>
      <c r="EQ1031" s="351"/>
    </row>
    <row r="1032" spans="2:147" s="243" customFormat="1" ht="11.25" hidden="1" customHeight="1">
      <c r="B1032" s="343"/>
      <c r="C1032" s="240"/>
      <c r="D1032" s="240"/>
      <c r="E1032" s="240"/>
      <c r="F1032" s="240"/>
      <c r="G1032" s="240"/>
      <c r="H1032" s="240" t="s">
        <v>688</v>
      </c>
      <c r="I1032" s="240"/>
      <c r="J1032" s="240" t="s">
        <v>96</v>
      </c>
      <c r="K1032" s="240"/>
      <c r="L1032" s="240"/>
      <c r="M1032" s="240"/>
      <c r="N1032" s="240"/>
      <c r="O1032" s="240" t="s">
        <v>132</v>
      </c>
      <c r="P1032" s="240"/>
      <c r="Q1032" s="240" t="e">
        <f>TEXT(AN1029+BO1030+AO1031,"#,##0.#######")</f>
        <v>#REF!</v>
      </c>
      <c r="R1032" s="240"/>
      <c r="S1032" s="240"/>
      <c r="T1032" s="240"/>
      <c r="U1032" s="240"/>
      <c r="V1032" s="240"/>
      <c r="W1032" s="240"/>
      <c r="X1032" s="240"/>
      <c r="Y1032" s="240"/>
      <c r="Z1032" s="240"/>
      <c r="AA1032" s="240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240"/>
      <c r="AN1032" s="240"/>
      <c r="AO1032" s="240"/>
      <c r="AP1032" s="240"/>
      <c r="AQ1032" s="240"/>
      <c r="AR1032" s="240"/>
      <c r="AS1032" s="240"/>
      <c r="AT1032" s="240"/>
      <c r="AU1032" s="240"/>
      <c r="AV1032" s="240"/>
      <c r="AW1032" s="240"/>
      <c r="AX1032" s="240"/>
      <c r="AY1032" s="240"/>
      <c r="AZ1032" s="240"/>
      <c r="BA1032" s="240"/>
      <c r="BB1032" s="240"/>
      <c r="BC1032" s="240"/>
      <c r="BD1032" s="240"/>
      <c r="BE1032" s="240"/>
      <c r="BF1032" s="240"/>
      <c r="BL1032" s="240"/>
      <c r="BM1032" s="240"/>
      <c r="BN1032" s="240"/>
      <c r="BO1032" s="240"/>
      <c r="BP1032" s="240"/>
      <c r="BQ1032" s="240"/>
      <c r="BR1032" s="240"/>
      <c r="BS1032" s="240"/>
      <c r="BT1032" s="240"/>
      <c r="BU1032" s="240"/>
      <c r="BV1032" s="240"/>
      <c r="BW1032" s="240"/>
      <c r="BX1032" s="240"/>
      <c r="BY1032" s="240"/>
      <c r="BZ1032" s="240"/>
      <c r="CA1032" s="240"/>
      <c r="CB1032" s="240"/>
      <c r="CC1032" s="240"/>
      <c r="CD1032" s="240"/>
      <c r="CE1032" s="240"/>
      <c r="CF1032" s="240"/>
      <c r="CG1032" s="240"/>
      <c r="CH1032" s="240"/>
      <c r="CI1032" s="240"/>
      <c r="CJ1032" s="240"/>
      <c r="CK1032" s="240"/>
      <c r="CL1032" s="240"/>
      <c r="CM1032" s="240"/>
      <c r="CN1032" s="240"/>
      <c r="CO1032" s="240"/>
      <c r="CP1032" s="240"/>
      <c r="CQ1032" s="240"/>
      <c r="CR1032" s="240"/>
      <c r="CS1032" s="240"/>
      <c r="CT1032" s="240"/>
      <c r="CU1032" s="240"/>
      <c r="CV1032" s="240"/>
      <c r="CW1032" s="240"/>
      <c r="CX1032" s="240"/>
      <c r="CY1032" s="240"/>
      <c r="CZ1032" s="241"/>
      <c r="DA1032" s="241"/>
      <c r="DB1032" s="241"/>
      <c r="DC1032" s="241"/>
      <c r="DD1032" s="241"/>
      <c r="DE1032" s="241"/>
      <c r="DF1032" s="241"/>
      <c r="DG1032" s="241"/>
      <c r="DH1032" s="241"/>
      <c r="DI1032" s="241"/>
      <c r="DJ1032" s="241"/>
      <c r="DK1032" s="241"/>
      <c r="DL1032" s="241"/>
      <c r="DM1032" s="241"/>
      <c r="DN1032" s="241"/>
      <c r="DO1032" s="241"/>
      <c r="DP1032" s="241"/>
      <c r="DQ1032" s="241"/>
      <c r="DR1032" s="241"/>
      <c r="DS1032" s="241"/>
      <c r="DT1032" s="241"/>
      <c r="DU1032" s="241"/>
      <c r="DV1032" s="241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345"/>
      <c r="EM1032" s="245" t="e">
        <f>EN1032+EO1032+EP1032</f>
        <v>#REF!</v>
      </c>
      <c r="EN1032" s="245" t="e">
        <f>TEXT(AN1029,"#,###.0")</f>
        <v>#REF!</v>
      </c>
      <c r="EO1032" s="245" t="e">
        <f>TEXT(BO1030,"#,###.0")</f>
        <v>#REF!</v>
      </c>
      <c r="EP1032" s="245" t="e">
        <f>TEXT(AO1031,"#,###.0")</f>
        <v>#REF!</v>
      </c>
      <c r="EQ1032" s="351"/>
    </row>
    <row r="1033" spans="2:147" s="243" customFormat="1" ht="11.25" hidden="1" customHeight="1">
      <c r="B1033" s="343"/>
      <c r="C1033" s="240"/>
      <c r="D1033" s="240"/>
      <c r="E1033" s="240"/>
      <c r="F1033" s="240"/>
      <c r="G1033" s="240"/>
      <c r="H1033" s="240"/>
      <c r="I1033" s="240"/>
      <c r="J1033" s="240"/>
      <c r="K1033" s="240"/>
      <c r="L1033" s="240"/>
      <c r="M1033" s="240"/>
      <c r="N1033" s="240"/>
      <c r="O1033" s="240"/>
      <c r="P1033" s="240"/>
      <c r="Q1033" s="240"/>
      <c r="R1033" s="240"/>
      <c r="S1033" s="240"/>
      <c r="T1033" s="240"/>
      <c r="U1033" s="240"/>
      <c r="V1033" s="240"/>
      <c r="W1033" s="240"/>
      <c r="X1033" s="240"/>
      <c r="Y1033" s="240"/>
      <c r="Z1033" s="240"/>
      <c r="AA1033" s="240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240"/>
      <c r="AM1033" s="240"/>
      <c r="AN1033" s="240"/>
      <c r="AO1033" s="240"/>
      <c r="AP1033" s="240"/>
      <c r="AQ1033" s="240"/>
      <c r="AR1033" s="240"/>
      <c r="AS1033" s="240"/>
      <c r="AT1033" s="240"/>
      <c r="AU1033" s="240"/>
      <c r="AV1033" s="240"/>
      <c r="AW1033" s="240"/>
      <c r="AX1033" s="240"/>
      <c r="AY1033" s="240"/>
      <c r="AZ1033" s="240"/>
      <c r="BA1033" s="240"/>
      <c r="BB1033" s="240"/>
      <c r="BC1033" s="240"/>
      <c r="BD1033" s="240"/>
      <c r="BE1033" s="240"/>
      <c r="BF1033" s="240"/>
      <c r="BG1033" s="240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240"/>
      <c r="BT1033" s="240"/>
      <c r="BU1033" s="240"/>
      <c r="BV1033" s="240"/>
      <c r="BW1033" s="240"/>
      <c r="BX1033" s="240"/>
      <c r="BY1033" s="240"/>
      <c r="BZ1033" s="240"/>
      <c r="CA1033" s="240"/>
      <c r="CB1033" s="240"/>
      <c r="CC1033" s="240"/>
      <c r="CD1033" s="240"/>
      <c r="CE1033" s="240"/>
      <c r="CF1033" s="240"/>
      <c r="CG1033" s="240"/>
      <c r="CH1033" s="240"/>
      <c r="CI1033" s="240"/>
      <c r="CJ1033" s="240"/>
      <c r="CK1033" s="240"/>
      <c r="CL1033" s="240"/>
      <c r="CM1033" s="240"/>
      <c r="CN1033" s="240"/>
      <c r="CO1033" s="240"/>
      <c r="CP1033" s="240"/>
      <c r="CQ1033" s="240"/>
      <c r="CR1033" s="240"/>
      <c r="CS1033" s="240"/>
      <c r="CT1033" s="240"/>
      <c r="CU1033" s="240"/>
      <c r="CV1033" s="240"/>
      <c r="CW1033" s="240"/>
      <c r="CX1033" s="240"/>
      <c r="CY1033" s="240"/>
      <c r="CZ1033" s="241"/>
      <c r="DA1033" s="241"/>
      <c r="DB1033" s="241"/>
      <c r="DC1033" s="241"/>
      <c r="DD1033" s="241"/>
      <c r="DE1033" s="241"/>
      <c r="DF1033" s="241"/>
      <c r="DG1033" s="241"/>
      <c r="DH1033" s="241"/>
      <c r="DI1033" s="241"/>
      <c r="DJ1033" s="241"/>
      <c r="DK1033" s="241"/>
      <c r="DL1033" s="241"/>
      <c r="DM1033" s="241"/>
      <c r="DN1033" s="241"/>
      <c r="DO1033" s="241"/>
      <c r="DP1033" s="241"/>
      <c r="DQ1033" s="241"/>
      <c r="DR1033" s="241"/>
      <c r="DS1033" s="241"/>
      <c r="DT1033" s="241"/>
      <c r="DU1033" s="241"/>
      <c r="DV1033" s="241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345"/>
      <c r="EM1033" s="245"/>
      <c r="EN1033" s="245"/>
      <c r="EO1033" s="245"/>
      <c r="EP1033" s="245"/>
      <c r="EQ1033" s="351"/>
    </row>
    <row r="1034" spans="2:147" s="243" customFormat="1" ht="11.25" hidden="1" customHeight="1">
      <c r="B1034" s="343"/>
      <c r="C1034" s="240"/>
      <c r="D1034" s="240"/>
      <c r="E1034" s="240" t="s">
        <v>677</v>
      </c>
      <c r="F1034" s="240"/>
      <c r="G1034" s="240"/>
      <c r="H1034" s="240" t="s">
        <v>678</v>
      </c>
      <c r="I1034" s="240"/>
      <c r="J1034" s="240"/>
      <c r="K1034" s="240" t="s">
        <v>96</v>
      </c>
      <c r="L1034" s="240"/>
      <c r="M1034" s="240"/>
      <c r="N1034" s="240"/>
      <c r="O1034" s="240"/>
      <c r="P1034" s="240"/>
      <c r="Q1034" s="240"/>
      <c r="R1034" s="240"/>
      <c r="S1034" s="240"/>
      <c r="T1034" s="240"/>
      <c r="U1034" s="240"/>
      <c r="V1034" s="240"/>
      <c r="W1034" s="240"/>
      <c r="X1034" s="240"/>
      <c r="Y1034" s="240"/>
      <c r="Z1034" s="240"/>
      <c r="AA1034" s="240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240"/>
      <c r="AM1034" s="240"/>
      <c r="AN1034" s="240"/>
      <c r="AO1034" s="240"/>
      <c r="AP1034" s="240"/>
      <c r="AQ1034" s="240"/>
      <c r="AR1034" s="240"/>
      <c r="AS1034" s="240"/>
      <c r="AT1034" s="240"/>
      <c r="AU1034" s="240"/>
      <c r="AV1034" s="240"/>
      <c r="AW1034" s="240"/>
      <c r="AX1034" s="240"/>
      <c r="AY1034" s="240"/>
      <c r="AZ1034" s="240"/>
      <c r="BA1034" s="240"/>
      <c r="BB1034" s="240"/>
      <c r="BC1034" s="240"/>
      <c r="BD1034" s="240"/>
      <c r="BE1034" s="240"/>
      <c r="BF1034" s="240"/>
      <c r="BG1034" s="240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240"/>
      <c r="BT1034" s="240"/>
      <c r="BU1034" s="240"/>
      <c r="BV1034" s="240"/>
      <c r="BW1034" s="240"/>
      <c r="BX1034" s="240"/>
      <c r="BY1034" s="240"/>
      <c r="BZ1034" s="240"/>
      <c r="CA1034" s="240"/>
      <c r="CB1034" s="240"/>
      <c r="CC1034" s="240"/>
      <c r="CD1034" s="240"/>
      <c r="CE1034" s="240"/>
      <c r="CF1034" s="240"/>
      <c r="CG1034" s="240"/>
      <c r="CH1034" s="240"/>
      <c r="CI1034" s="240"/>
      <c r="CJ1034" s="240"/>
      <c r="CK1034" s="240"/>
      <c r="CL1034" s="240"/>
      <c r="CM1034" s="240"/>
      <c r="CN1034" s="240"/>
      <c r="CO1034" s="240"/>
      <c r="CP1034" s="240"/>
      <c r="CQ1034" s="240"/>
      <c r="CR1034" s="240"/>
      <c r="CS1034" s="240"/>
      <c r="CT1034" s="240"/>
      <c r="CU1034" s="240"/>
      <c r="CV1034" s="240"/>
      <c r="CW1034" s="240"/>
      <c r="CX1034" s="240"/>
      <c r="CY1034" s="240"/>
      <c r="CZ1034" s="241"/>
      <c r="DA1034" s="241"/>
      <c r="DB1034" s="241"/>
      <c r="DC1034" s="241"/>
      <c r="DD1034" s="241"/>
      <c r="DE1034" s="241"/>
      <c r="DF1034" s="241"/>
      <c r="DG1034" s="241"/>
      <c r="DH1034" s="241"/>
      <c r="DI1034" s="241"/>
      <c r="DJ1034" s="241"/>
      <c r="DK1034" s="241"/>
      <c r="DL1034" s="241"/>
      <c r="DM1034" s="241"/>
      <c r="DN1034" s="241"/>
      <c r="DO1034" s="241"/>
      <c r="DP1034" s="241"/>
      <c r="DQ1034" s="241"/>
      <c r="DR1034" s="241"/>
      <c r="DS1034" s="241"/>
      <c r="DT1034" s="241"/>
      <c r="DU1034" s="241"/>
      <c r="DV1034" s="241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345"/>
      <c r="EM1034" s="245"/>
      <c r="EN1034" s="245"/>
      <c r="EO1034" s="245"/>
      <c r="EP1034" s="245"/>
      <c r="EQ1034" s="351"/>
    </row>
    <row r="1035" spans="2:147" s="243" customFormat="1" ht="11.25" hidden="1" customHeight="1">
      <c r="B1035" s="343"/>
      <c r="C1035" s="240"/>
      <c r="D1035" s="240"/>
      <c r="E1035" s="240"/>
      <c r="F1035" s="240"/>
      <c r="G1035" s="240"/>
      <c r="H1035" s="240"/>
      <c r="I1035" s="240" t="s">
        <v>616</v>
      </c>
      <c r="J1035" s="240"/>
      <c r="K1035" s="240"/>
      <c r="L1035" s="240"/>
      <c r="M1035" s="240"/>
      <c r="N1035" s="240"/>
      <c r="O1035" s="240"/>
      <c r="P1035" s="240" t="s">
        <v>132</v>
      </c>
      <c r="Q1035" s="240"/>
      <c r="R1035" s="240" t="e">
        <f>TEXT(EN1014,"#,###.##")</f>
        <v>#REF!</v>
      </c>
      <c r="S1035" s="240"/>
      <c r="T1035" s="240"/>
      <c r="U1035" s="240"/>
      <c r="V1035" s="240"/>
      <c r="W1035" s="240" t="s">
        <v>130</v>
      </c>
      <c r="X1035" s="240"/>
      <c r="Y1035" s="240" t="e">
        <f>TEXT(EN1032,"#,###.##")</f>
        <v>#REF!</v>
      </c>
      <c r="Z1035" s="240"/>
      <c r="AA1035" s="240"/>
      <c r="AB1035" s="240"/>
      <c r="AC1035" s="240" t="s">
        <v>134</v>
      </c>
      <c r="AD1035" s="240"/>
      <c r="AE1035" s="240"/>
      <c r="AF1035" s="240" t="e">
        <f>TEXT(TRUNC(EN1014+EN1032,0),"#,##0")</f>
        <v>#REF!</v>
      </c>
      <c r="AL1035" s="240"/>
      <c r="AM1035" s="240"/>
      <c r="AN1035" s="240"/>
      <c r="AO1035" s="240"/>
      <c r="AP1035" s="240"/>
      <c r="AQ1035" s="240"/>
      <c r="AR1035" s="240"/>
      <c r="AS1035" s="240"/>
      <c r="AT1035" s="240"/>
      <c r="AU1035" s="240"/>
      <c r="AV1035" s="240"/>
      <c r="AW1035" s="240"/>
      <c r="AX1035" s="240"/>
      <c r="AY1035" s="240"/>
      <c r="AZ1035" s="240"/>
      <c r="BA1035" s="240"/>
      <c r="BB1035" s="240"/>
      <c r="BC1035" s="240"/>
      <c r="BD1035" s="240"/>
      <c r="BE1035" s="240"/>
      <c r="BF1035" s="240"/>
      <c r="BG1035" s="240"/>
      <c r="BH1035" s="240"/>
      <c r="BI1035" s="240"/>
      <c r="BJ1035" s="240"/>
      <c r="BK1035" s="240"/>
      <c r="BL1035" s="240"/>
      <c r="BM1035" s="240"/>
      <c r="BN1035" s="240"/>
      <c r="BO1035" s="240"/>
      <c r="BP1035" s="240"/>
      <c r="BQ1035" s="240"/>
      <c r="BR1035" s="240"/>
      <c r="BS1035" s="240"/>
      <c r="BT1035" s="240"/>
      <c r="BU1035" s="240"/>
      <c r="BV1035" s="240"/>
      <c r="BW1035" s="240"/>
      <c r="BX1035" s="240"/>
      <c r="BY1035" s="240"/>
      <c r="BZ1035" s="240"/>
      <c r="CA1035" s="240"/>
      <c r="CB1035" s="240"/>
      <c r="CC1035" s="240"/>
      <c r="CD1035" s="240"/>
      <c r="CE1035" s="240"/>
      <c r="CF1035" s="240"/>
      <c r="CG1035" s="240"/>
      <c r="CH1035" s="240"/>
      <c r="CI1035" s="240"/>
      <c r="CJ1035" s="240"/>
      <c r="CK1035" s="240"/>
      <c r="CL1035" s="240"/>
      <c r="CM1035" s="240"/>
      <c r="CN1035" s="240"/>
      <c r="CO1035" s="240"/>
      <c r="CP1035" s="240"/>
      <c r="CQ1035" s="240"/>
      <c r="CR1035" s="240"/>
      <c r="CS1035" s="240"/>
      <c r="CT1035" s="240"/>
      <c r="CU1035" s="240"/>
      <c r="CV1035" s="240"/>
      <c r="CW1035" s="240"/>
      <c r="CX1035" s="240"/>
      <c r="CY1035" s="240"/>
      <c r="CZ1035" s="241"/>
      <c r="DA1035" s="241"/>
      <c r="DB1035" s="241"/>
      <c r="DC1035" s="241"/>
      <c r="DD1035" s="241"/>
      <c r="DE1035" s="241"/>
      <c r="DF1035" s="241"/>
      <c r="DG1035" s="241"/>
      <c r="DH1035" s="241"/>
      <c r="DI1035" s="241"/>
      <c r="DJ1035" s="241"/>
      <c r="DK1035" s="241"/>
      <c r="DL1035" s="241"/>
      <c r="DM1035" s="241"/>
      <c r="DN1035" s="241"/>
      <c r="DO1035" s="241"/>
      <c r="DP1035" s="241"/>
      <c r="DQ1035" s="241"/>
      <c r="DR1035" s="241"/>
      <c r="DS1035" s="241"/>
      <c r="DT1035" s="241"/>
      <c r="DU1035" s="241"/>
      <c r="DV1035" s="241"/>
      <c r="DW1035" s="241"/>
      <c r="DX1035" s="241"/>
      <c r="DY1035" s="241"/>
      <c r="DZ1035" s="241"/>
      <c r="EA1035" s="241"/>
      <c r="EB1035" s="241"/>
      <c r="EC1035" s="241"/>
      <c r="ED1035" s="241"/>
      <c r="EE1035" s="241"/>
      <c r="EF1035" s="241"/>
      <c r="EG1035" s="241"/>
      <c r="EH1035" s="241"/>
      <c r="EI1035" s="241"/>
      <c r="EJ1035" s="241"/>
      <c r="EK1035" s="241"/>
      <c r="EL1035" s="345"/>
      <c r="EM1035" s="245"/>
      <c r="EN1035" s="245"/>
      <c r="EO1035" s="245"/>
      <c r="EP1035" s="245"/>
      <c r="EQ1035" s="351"/>
    </row>
    <row r="1036" spans="2:147" s="243" customFormat="1" ht="11.25" hidden="1" customHeight="1">
      <c r="B1036" s="343"/>
      <c r="C1036" s="240"/>
      <c r="D1036" s="240"/>
      <c r="E1036" s="240"/>
      <c r="F1036" s="240"/>
      <c r="G1036" s="240"/>
      <c r="H1036" s="240"/>
      <c r="I1036" s="240" t="s">
        <v>617</v>
      </c>
      <c r="J1036" s="240"/>
      <c r="K1036" s="240"/>
      <c r="L1036" s="240"/>
      <c r="M1036" s="240"/>
      <c r="N1036" s="240"/>
      <c r="O1036" s="240"/>
      <c r="P1036" s="240" t="s">
        <v>132</v>
      </c>
      <c r="Q1036" s="240"/>
      <c r="R1036" s="240" t="e">
        <f>TEXT(EO1014,"#,###.##")</f>
        <v>#REF!</v>
      </c>
      <c r="S1036" s="240"/>
      <c r="T1036" s="240"/>
      <c r="U1036" s="240"/>
      <c r="V1036" s="240"/>
      <c r="W1036" s="240" t="s">
        <v>130</v>
      </c>
      <c r="X1036" s="240"/>
      <c r="Y1036" s="240" t="e">
        <f>TEXT(EO1032,"#,###.##")</f>
        <v>#REF!</v>
      </c>
      <c r="Z1036" s="240"/>
      <c r="AA1036" s="240"/>
      <c r="AC1036" s="240" t="s">
        <v>134</v>
      </c>
      <c r="AD1036" s="240"/>
      <c r="AE1036" s="240"/>
      <c r="AF1036" s="240" t="e">
        <f>TEXT(TRUNC(EO1014+EO1032,0),"#,##0")</f>
        <v>#REF!</v>
      </c>
      <c r="AG1036" s="240"/>
      <c r="AH1036" s="240"/>
      <c r="AJ1036" s="240"/>
      <c r="AK1036" s="240"/>
      <c r="AL1036" s="240"/>
      <c r="AM1036" s="240"/>
      <c r="AN1036" s="240"/>
      <c r="AO1036" s="240"/>
      <c r="AP1036" s="240"/>
      <c r="AQ1036" s="240"/>
      <c r="AR1036" s="240"/>
      <c r="AS1036" s="240"/>
      <c r="AT1036" s="240"/>
      <c r="AU1036" s="240"/>
      <c r="AV1036" s="240"/>
      <c r="AW1036" s="240"/>
      <c r="AX1036" s="240"/>
      <c r="AY1036" s="240"/>
      <c r="AZ1036" s="240"/>
      <c r="BA1036" s="240"/>
      <c r="BB1036" s="240"/>
      <c r="BC1036" s="240"/>
      <c r="BD1036" s="240"/>
      <c r="BE1036" s="240"/>
      <c r="BF1036" s="240"/>
      <c r="BG1036" s="240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240"/>
      <c r="BT1036" s="240"/>
      <c r="BU1036" s="240"/>
      <c r="BV1036" s="240"/>
      <c r="BW1036" s="240"/>
      <c r="BX1036" s="240"/>
      <c r="BY1036" s="240"/>
      <c r="BZ1036" s="240"/>
      <c r="CA1036" s="240"/>
      <c r="CB1036" s="240"/>
      <c r="CC1036" s="240"/>
      <c r="CD1036" s="240"/>
      <c r="CE1036" s="240"/>
      <c r="CF1036" s="240"/>
      <c r="CG1036" s="240"/>
      <c r="CH1036" s="240"/>
      <c r="CI1036" s="240"/>
      <c r="CJ1036" s="240"/>
      <c r="CK1036" s="240"/>
      <c r="CL1036" s="240"/>
      <c r="CM1036" s="240"/>
      <c r="CN1036" s="240"/>
      <c r="CO1036" s="240"/>
      <c r="CP1036" s="240"/>
      <c r="CQ1036" s="240"/>
      <c r="CR1036" s="240"/>
      <c r="CS1036" s="240"/>
      <c r="CT1036" s="240"/>
      <c r="CU1036" s="240"/>
      <c r="CV1036" s="240"/>
      <c r="CW1036" s="240"/>
      <c r="CX1036" s="240"/>
      <c r="CY1036" s="240"/>
      <c r="CZ1036" s="241"/>
      <c r="DA1036" s="241"/>
      <c r="DB1036" s="241"/>
      <c r="DC1036" s="241"/>
      <c r="DD1036" s="241"/>
      <c r="DE1036" s="241"/>
      <c r="DF1036" s="241"/>
      <c r="DG1036" s="241"/>
      <c r="DH1036" s="241"/>
      <c r="DI1036" s="241"/>
      <c r="DJ1036" s="241"/>
      <c r="DK1036" s="241"/>
      <c r="DL1036" s="241"/>
      <c r="DM1036" s="241"/>
      <c r="DN1036" s="241"/>
      <c r="DO1036" s="241"/>
      <c r="DP1036" s="241"/>
      <c r="DQ1036" s="241"/>
      <c r="DR1036" s="241"/>
      <c r="DS1036" s="241"/>
      <c r="DT1036" s="241"/>
      <c r="DU1036" s="241"/>
      <c r="DV1036" s="241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345"/>
      <c r="EM1036" s="245"/>
      <c r="EN1036" s="245"/>
      <c r="EO1036" s="245"/>
      <c r="EP1036" s="245"/>
      <c r="EQ1036" s="351"/>
    </row>
    <row r="1037" spans="2:147" s="243" customFormat="1" ht="11.25" hidden="1" customHeight="1">
      <c r="B1037" s="343"/>
      <c r="C1037" s="240"/>
      <c r="D1037" s="240"/>
      <c r="E1037" s="240"/>
      <c r="F1037" s="240"/>
      <c r="G1037" s="240"/>
      <c r="H1037" s="240"/>
      <c r="I1037" s="240" t="s">
        <v>679</v>
      </c>
      <c r="J1037" s="240"/>
      <c r="K1037" s="240" t="s">
        <v>680</v>
      </c>
      <c r="L1037" s="240"/>
      <c r="M1037" s="240"/>
      <c r="N1037" s="240"/>
      <c r="O1037" s="240"/>
      <c r="P1037" s="240" t="s">
        <v>132</v>
      </c>
      <c r="Q1037" s="240"/>
      <c r="R1037" s="240" t="e">
        <f>TEXT(EP1014,"#,###.##")</f>
        <v>#REF!</v>
      </c>
      <c r="S1037" s="240"/>
      <c r="T1037" s="240"/>
      <c r="U1037" s="240"/>
      <c r="V1037" s="240"/>
      <c r="W1037" s="240" t="s">
        <v>130</v>
      </c>
      <c r="X1037" s="240"/>
      <c r="Y1037" s="240" t="e">
        <f>TEXT(EP1032,"#,###.##")</f>
        <v>#REF!</v>
      </c>
      <c r="Z1037" s="240"/>
      <c r="AA1037" s="240"/>
      <c r="AB1037" s="240"/>
      <c r="AC1037" s="240" t="s">
        <v>134</v>
      </c>
      <c r="AD1037" s="240"/>
      <c r="AE1037" s="240"/>
      <c r="AF1037" s="240" t="e">
        <f>TEXT(TRUNC(EP1014+EP1032,0),"#,##0")</f>
        <v>#REF!</v>
      </c>
      <c r="AH1037" s="240"/>
      <c r="AI1037" s="240"/>
      <c r="AJ1037" s="240"/>
      <c r="AK1037" s="240"/>
      <c r="AL1037" s="240"/>
      <c r="AM1037" s="240"/>
      <c r="AN1037" s="240"/>
      <c r="AO1037" s="240"/>
      <c r="AP1037" s="240"/>
      <c r="AQ1037" s="240"/>
      <c r="AR1037" s="240"/>
      <c r="AS1037" s="240"/>
      <c r="AT1037" s="240"/>
      <c r="AU1037" s="240"/>
      <c r="AV1037" s="240"/>
      <c r="AW1037" s="240"/>
      <c r="AX1037" s="240"/>
      <c r="AY1037" s="240"/>
      <c r="AZ1037" s="240"/>
      <c r="BA1037" s="240"/>
      <c r="BB1037" s="240"/>
      <c r="BC1037" s="240"/>
      <c r="BD1037" s="240"/>
      <c r="BE1037" s="240"/>
      <c r="BF1037" s="240"/>
      <c r="BG1037" s="240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240"/>
      <c r="BT1037" s="240"/>
      <c r="BU1037" s="240"/>
      <c r="BV1037" s="240"/>
      <c r="BW1037" s="240"/>
      <c r="BX1037" s="240"/>
      <c r="BY1037" s="240"/>
      <c r="BZ1037" s="240"/>
      <c r="CA1037" s="240"/>
      <c r="CB1037" s="240"/>
      <c r="CC1037" s="240"/>
      <c r="CD1037" s="240"/>
      <c r="CE1037" s="240"/>
      <c r="CF1037" s="240"/>
      <c r="CG1037" s="240"/>
      <c r="CH1037" s="240"/>
      <c r="CI1037" s="240"/>
      <c r="CJ1037" s="240"/>
      <c r="CK1037" s="240"/>
      <c r="CL1037" s="240"/>
      <c r="CM1037" s="240"/>
      <c r="CN1037" s="240"/>
      <c r="CO1037" s="240"/>
      <c r="CP1037" s="240"/>
      <c r="CQ1037" s="240"/>
      <c r="CR1037" s="240"/>
      <c r="CS1037" s="240"/>
      <c r="CT1037" s="240"/>
      <c r="CU1037" s="240"/>
      <c r="CV1037" s="240"/>
      <c r="CW1037" s="240"/>
      <c r="CX1037" s="240"/>
      <c r="CY1037" s="240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1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345"/>
      <c r="EM1037" s="245"/>
      <c r="EN1037" s="245"/>
      <c r="EO1037" s="245"/>
      <c r="EP1037" s="245"/>
      <c r="EQ1037" s="351"/>
    </row>
    <row r="1038" spans="2:147" s="243" customFormat="1" ht="11.25" hidden="1" customHeight="1">
      <c r="B1038" s="343"/>
      <c r="C1038" s="240"/>
      <c r="D1038" s="240"/>
      <c r="E1038" s="240"/>
      <c r="F1038" s="240"/>
      <c r="G1038" s="240"/>
      <c r="H1038" s="240"/>
      <c r="I1038" s="240"/>
      <c r="J1038" s="240"/>
      <c r="K1038" s="240" t="s">
        <v>96</v>
      </c>
      <c r="L1038" s="240"/>
      <c r="M1038" s="240"/>
      <c r="N1038" s="240"/>
      <c r="O1038" s="240"/>
      <c r="P1038" s="240" t="s">
        <v>132</v>
      </c>
      <c r="Q1038" s="240"/>
      <c r="R1038" s="240" t="e">
        <f>TEXT(AF1035+AF1036+AF1037,"#,##0")</f>
        <v>#REF!</v>
      </c>
      <c r="T1038" s="240"/>
      <c r="U1038" s="240"/>
      <c r="V1038" s="240"/>
      <c r="W1038" s="240"/>
      <c r="X1038" s="240"/>
      <c r="Y1038" s="240"/>
      <c r="Z1038" s="240"/>
      <c r="AA1038" s="240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240"/>
      <c r="AM1038" s="240"/>
      <c r="AN1038" s="240"/>
      <c r="AO1038" s="240"/>
      <c r="AP1038" s="240"/>
      <c r="AQ1038" s="240"/>
      <c r="AR1038" s="240"/>
      <c r="AS1038" s="240"/>
      <c r="AT1038" s="240"/>
      <c r="AU1038" s="240"/>
      <c r="AV1038" s="240"/>
      <c r="AW1038" s="240"/>
      <c r="AX1038" s="240"/>
      <c r="AY1038" s="240"/>
      <c r="AZ1038" s="240"/>
      <c r="BA1038" s="240"/>
      <c r="BB1038" s="240"/>
      <c r="BC1038" s="240"/>
      <c r="BD1038" s="240"/>
      <c r="BE1038" s="240"/>
      <c r="BF1038" s="240"/>
      <c r="BG1038" s="240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240"/>
      <c r="BT1038" s="240"/>
      <c r="BU1038" s="240"/>
      <c r="BV1038" s="240"/>
      <c r="BW1038" s="240"/>
      <c r="BX1038" s="240"/>
      <c r="BY1038" s="240"/>
      <c r="BZ1038" s="240"/>
      <c r="CA1038" s="240"/>
      <c r="CB1038" s="240"/>
      <c r="CC1038" s="240"/>
      <c r="CD1038" s="240"/>
      <c r="CE1038" s="240"/>
      <c r="CF1038" s="240"/>
      <c r="CG1038" s="240"/>
      <c r="CH1038" s="240"/>
      <c r="CI1038" s="240"/>
      <c r="CJ1038" s="240"/>
      <c r="CK1038" s="240"/>
      <c r="CL1038" s="240"/>
      <c r="CM1038" s="240"/>
      <c r="CN1038" s="240"/>
      <c r="CO1038" s="240"/>
      <c r="CP1038" s="240"/>
      <c r="CQ1038" s="240"/>
      <c r="CR1038" s="240"/>
      <c r="CS1038" s="240"/>
      <c r="CT1038" s="240"/>
      <c r="CU1038" s="240"/>
      <c r="CV1038" s="240"/>
      <c r="CW1038" s="240"/>
      <c r="CX1038" s="240"/>
      <c r="CY1038" s="240"/>
      <c r="CZ1038" s="241"/>
      <c r="DA1038" s="241"/>
      <c r="DB1038" s="241"/>
      <c r="DC1038" s="241"/>
      <c r="DD1038" s="241"/>
      <c r="DE1038" s="241"/>
      <c r="DF1038" s="241"/>
      <c r="DG1038" s="241"/>
      <c r="DH1038" s="241"/>
      <c r="DI1038" s="241"/>
      <c r="DJ1038" s="241"/>
      <c r="DK1038" s="241"/>
      <c r="DL1038" s="241"/>
      <c r="DM1038" s="241"/>
      <c r="DN1038" s="241"/>
      <c r="DO1038" s="241"/>
      <c r="DP1038" s="241"/>
      <c r="DQ1038" s="241"/>
      <c r="DR1038" s="241"/>
      <c r="DS1038" s="241"/>
      <c r="DT1038" s="241"/>
      <c r="DU1038" s="241"/>
      <c r="DV1038" s="241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345"/>
      <c r="EM1038" s="250" t="e">
        <f>EN1038+EO1038+EP1038</f>
        <v>#REF!</v>
      </c>
      <c r="EN1038" s="245" t="e">
        <f>TEXT(AF1035,"#,##0")</f>
        <v>#REF!</v>
      </c>
      <c r="EO1038" s="245" t="e">
        <f>TEXT(AF1036,"#,##0")</f>
        <v>#REF!</v>
      </c>
      <c r="EP1038" s="245" t="e">
        <f>TEXT(AF1037,"#,##0")</f>
        <v>#REF!</v>
      </c>
      <c r="EQ1038" s="351"/>
    </row>
    <row r="1039" spans="2:147" s="243" customFormat="1" ht="11.25" hidden="1" customHeight="1">
      <c r="B1039" s="350"/>
      <c r="C1039" s="247"/>
      <c r="D1039" s="247"/>
      <c r="E1039" s="247"/>
      <c r="F1039" s="247"/>
      <c r="G1039" s="247"/>
      <c r="H1039" s="247"/>
      <c r="I1039" s="247"/>
      <c r="J1039" s="247"/>
      <c r="K1039" s="247"/>
      <c r="L1039" s="247"/>
      <c r="M1039" s="247"/>
      <c r="N1039" s="247"/>
      <c r="O1039" s="247"/>
      <c r="P1039" s="247"/>
      <c r="Q1039" s="247"/>
      <c r="R1039" s="247"/>
      <c r="S1039" s="247"/>
      <c r="T1039" s="247"/>
      <c r="U1039" s="247"/>
      <c r="V1039" s="247"/>
      <c r="W1039" s="247"/>
      <c r="X1039" s="247"/>
      <c r="Y1039" s="247"/>
      <c r="Z1039" s="247"/>
      <c r="AA1039" s="247"/>
      <c r="AB1039" s="247"/>
      <c r="AC1039" s="247"/>
      <c r="AD1039" s="247"/>
      <c r="AE1039" s="247"/>
      <c r="AF1039" s="247"/>
      <c r="AG1039" s="247"/>
      <c r="AH1039" s="247"/>
      <c r="AI1039" s="247"/>
      <c r="AJ1039" s="247"/>
      <c r="AK1039" s="247"/>
      <c r="AL1039" s="247"/>
      <c r="AM1039" s="247"/>
      <c r="AN1039" s="247"/>
      <c r="AO1039" s="247"/>
      <c r="AP1039" s="247"/>
      <c r="AQ1039" s="247"/>
      <c r="AR1039" s="247"/>
      <c r="AS1039" s="247"/>
      <c r="AT1039" s="247"/>
      <c r="AU1039" s="247"/>
      <c r="AV1039" s="247"/>
      <c r="AW1039" s="247"/>
      <c r="AX1039" s="247"/>
      <c r="AY1039" s="247"/>
      <c r="AZ1039" s="247"/>
      <c r="BA1039" s="247"/>
      <c r="BB1039" s="247"/>
      <c r="BC1039" s="247"/>
      <c r="BD1039" s="247"/>
      <c r="BE1039" s="247"/>
      <c r="BF1039" s="247"/>
      <c r="BG1039" s="247"/>
      <c r="BH1039" s="247"/>
      <c r="BI1039" s="247"/>
      <c r="BJ1039" s="247"/>
      <c r="BK1039" s="247"/>
      <c r="BL1039" s="247"/>
      <c r="BM1039" s="247"/>
      <c r="BN1039" s="247"/>
      <c r="BO1039" s="247"/>
      <c r="BP1039" s="247"/>
      <c r="BQ1039" s="247"/>
      <c r="BR1039" s="247"/>
      <c r="BS1039" s="247"/>
      <c r="BT1039" s="247"/>
      <c r="BU1039" s="247"/>
      <c r="BV1039" s="247"/>
      <c r="BW1039" s="247"/>
      <c r="BX1039" s="247"/>
      <c r="BY1039" s="247"/>
      <c r="BZ1039" s="247"/>
      <c r="CA1039" s="247"/>
      <c r="CB1039" s="247"/>
      <c r="CC1039" s="247"/>
      <c r="CD1039" s="247"/>
      <c r="CE1039" s="247"/>
      <c r="CF1039" s="247"/>
      <c r="CG1039" s="247"/>
      <c r="CH1039" s="247"/>
      <c r="CI1039" s="247"/>
      <c r="CJ1039" s="247"/>
      <c r="CK1039" s="247"/>
      <c r="CL1039" s="247"/>
      <c r="CM1039" s="247"/>
      <c r="CN1039" s="247"/>
      <c r="CO1039" s="247"/>
      <c r="CP1039" s="247"/>
      <c r="CQ1039" s="247"/>
      <c r="CR1039" s="247"/>
      <c r="CS1039" s="247"/>
      <c r="CT1039" s="247"/>
      <c r="CU1039" s="247"/>
      <c r="CV1039" s="247"/>
      <c r="CW1039" s="247"/>
      <c r="CX1039" s="247"/>
      <c r="CY1039" s="247"/>
      <c r="CZ1039" s="248"/>
      <c r="DA1039" s="248"/>
      <c r="DB1039" s="248"/>
      <c r="DC1039" s="248"/>
      <c r="DD1039" s="248"/>
      <c r="DE1039" s="248"/>
      <c r="DF1039" s="248"/>
      <c r="DG1039" s="248"/>
      <c r="DH1039" s="248"/>
      <c r="DI1039" s="248"/>
      <c r="DJ1039" s="248"/>
      <c r="DK1039" s="248"/>
      <c r="DL1039" s="248"/>
      <c r="DM1039" s="248"/>
      <c r="DN1039" s="248"/>
      <c r="DO1039" s="248"/>
      <c r="DP1039" s="248"/>
      <c r="DQ1039" s="248"/>
      <c r="DR1039" s="248"/>
      <c r="DS1039" s="248"/>
      <c r="DT1039" s="248"/>
      <c r="DU1039" s="248"/>
      <c r="DV1039" s="248"/>
      <c r="DW1039" s="248"/>
      <c r="DX1039" s="248"/>
      <c r="DY1039" s="248"/>
      <c r="DZ1039" s="248"/>
      <c r="EA1039" s="248"/>
      <c r="EB1039" s="248"/>
      <c r="EC1039" s="248"/>
      <c r="ED1039" s="248"/>
      <c r="EE1039" s="248"/>
      <c r="EF1039" s="248"/>
      <c r="EG1039" s="248"/>
      <c r="EH1039" s="248"/>
      <c r="EI1039" s="248"/>
      <c r="EJ1039" s="248"/>
      <c r="EK1039" s="248"/>
      <c r="EL1039" s="357"/>
      <c r="EM1039" s="249"/>
      <c r="EN1039" s="249"/>
      <c r="EO1039" s="249"/>
      <c r="EP1039" s="249"/>
      <c r="EQ1039" s="352"/>
    </row>
    <row r="1040" spans="2:147" s="243" customFormat="1" ht="11.25" hidden="1" customHeight="1">
      <c r="B1040" s="355"/>
      <c r="C1040" s="265"/>
      <c r="D1040" s="265"/>
      <c r="E1040" s="265"/>
      <c r="F1040" s="265"/>
      <c r="G1040" s="265"/>
      <c r="H1040" s="265"/>
      <c r="I1040" s="265"/>
      <c r="J1040" s="265"/>
      <c r="K1040" s="265"/>
      <c r="L1040" s="265"/>
      <c r="M1040" s="265"/>
      <c r="N1040" s="265"/>
      <c r="O1040" s="265"/>
      <c r="P1040" s="265"/>
      <c r="Q1040" s="265"/>
      <c r="R1040" s="265"/>
      <c r="S1040" s="265"/>
      <c r="T1040" s="265"/>
      <c r="U1040" s="265"/>
      <c r="V1040" s="265"/>
      <c r="W1040" s="265"/>
      <c r="X1040" s="265"/>
      <c r="Y1040" s="265"/>
      <c r="Z1040" s="265"/>
      <c r="AA1040" s="265"/>
      <c r="AB1040" s="265"/>
      <c r="AC1040" s="265"/>
      <c r="AD1040" s="265"/>
      <c r="AE1040" s="265"/>
      <c r="AF1040" s="265"/>
      <c r="AG1040" s="265"/>
      <c r="AH1040" s="265"/>
      <c r="AI1040" s="265"/>
      <c r="AJ1040" s="265"/>
      <c r="AK1040" s="265"/>
      <c r="AL1040" s="265"/>
      <c r="AM1040" s="265"/>
      <c r="AN1040" s="265"/>
      <c r="AO1040" s="265"/>
      <c r="AP1040" s="265"/>
      <c r="AQ1040" s="265"/>
      <c r="AR1040" s="265"/>
      <c r="AS1040" s="265"/>
      <c r="AT1040" s="265"/>
      <c r="AU1040" s="265"/>
      <c r="AV1040" s="265"/>
      <c r="AW1040" s="265"/>
      <c r="AX1040" s="265"/>
      <c r="AY1040" s="265"/>
      <c r="AZ1040" s="265"/>
      <c r="BA1040" s="265"/>
      <c r="BB1040" s="265"/>
      <c r="BC1040" s="265"/>
      <c r="BD1040" s="265"/>
      <c r="BE1040" s="265"/>
      <c r="BF1040" s="265"/>
      <c r="BG1040" s="265"/>
      <c r="BH1040" s="265"/>
      <c r="BI1040" s="265"/>
      <c r="BJ1040" s="265"/>
      <c r="BK1040" s="265"/>
      <c r="BL1040" s="265"/>
      <c r="BM1040" s="265"/>
      <c r="BN1040" s="265"/>
      <c r="BO1040" s="265"/>
      <c r="BP1040" s="265"/>
      <c r="BQ1040" s="265"/>
      <c r="BR1040" s="265"/>
      <c r="BS1040" s="265"/>
      <c r="BT1040" s="265"/>
      <c r="BU1040" s="265"/>
      <c r="BV1040" s="265"/>
      <c r="BW1040" s="265"/>
      <c r="BX1040" s="265"/>
      <c r="BY1040" s="265"/>
      <c r="BZ1040" s="265"/>
      <c r="CA1040" s="265"/>
      <c r="CB1040" s="265"/>
      <c r="CC1040" s="265"/>
      <c r="CD1040" s="265"/>
      <c r="CE1040" s="265"/>
      <c r="CF1040" s="265"/>
      <c r="CG1040" s="265"/>
      <c r="CH1040" s="265"/>
      <c r="CI1040" s="265"/>
      <c r="CJ1040" s="265"/>
      <c r="CK1040" s="265"/>
      <c r="CL1040" s="265"/>
      <c r="CM1040" s="265"/>
      <c r="CN1040" s="265"/>
      <c r="CO1040" s="265"/>
      <c r="CP1040" s="265"/>
      <c r="CQ1040" s="265"/>
      <c r="CR1040" s="265"/>
      <c r="CS1040" s="265"/>
      <c r="CT1040" s="265"/>
      <c r="CU1040" s="265"/>
      <c r="CV1040" s="265"/>
      <c r="CW1040" s="265"/>
      <c r="CX1040" s="265"/>
      <c r="CY1040" s="265"/>
      <c r="CZ1040" s="314"/>
      <c r="DA1040" s="314"/>
      <c r="DB1040" s="314"/>
      <c r="DC1040" s="314"/>
      <c r="DD1040" s="314"/>
      <c r="DE1040" s="314"/>
      <c r="DF1040" s="314"/>
      <c r="DG1040" s="314"/>
      <c r="DH1040" s="314"/>
      <c r="DI1040" s="314"/>
      <c r="DJ1040" s="314"/>
      <c r="DK1040" s="314"/>
      <c r="DL1040" s="314"/>
      <c r="DM1040" s="314"/>
      <c r="DN1040" s="314"/>
      <c r="DO1040" s="314"/>
      <c r="DP1040" s="314"/>
      <c r="DQ1040" s="314"/>
      <c r="DR1040" s="314"/>
      <c r="DS1040" s="314"/>
      <c r="DT1040" s="314"/>
      <c r="DU1040" s="314"/>
      <c r="DV1040" s="314"/>
      <c r="DW1040" s="314"/>
      <c r="DX1040" s="314"/>
      <c r="DY1040" s="314"/>
      <c r="DZ1040" s="314"/>
      <c r="EA1040" s="314"/>
      <c r="EB1040" s="314"/>
      <c r="EC1040" s="314"/>
      <c r="ED1040" s="314"/>
      <c r="EE1040" s="314"/>
      <c r="EF1040" s="314"/>
      <c r="EG1040" s="314"/>
      <c r="EH1040" s="314"/>
      <c r="EI1040" s="314"/>
      <c r="EJ1040" s="314"/>
      <c r="EK1040" s="314"/>
      <c r="EL1040" s="356"/>
      <c r="EM1040" s="269"/>
      <c r="EN1040" s="269"/>
      <c r="EO1040" s="269"/>
      <c r="EP1040" s="269"/>
      <c r="EQ1040" s="358"/>
    </row>
    <row r="1041" spans="1:149" s="243" customFormat="1" ht="11.25" hidden="1" customHeight="1">
      <c r="A1041" s="243">
        <v>24</v>
      </c>
      <c r="B1041" s="1782">
        <f>A1041</f>
        <v>24</v>
      </c>
      <c r="C1041" s="1781"/>
      <c r="D1041" s="1781"/>
      <c r="E1041" s="344" t="s">
        <v>1234</v>
      </c>
      <c r="F1041" s="240"/>
      <c r="G1041" s="240"/>
      <c r="H1041" s="240"/>
      <c r="I1041" s="240"/>
      <c r="J1041" s="240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240"/>
      <c r="BT1041" s="240"/>
      <c r="BU1041" s="240"/>
      <c r="BV1041" s="240"/>
      <c r="BW1041" s="240"/>
      <c r="BX1041" s="240"/>
      <c r="BY1041" s="240"/>
      <c r="BZ1041" s="240"/>
      <c r="CA1041" s="240"/>
      <c r="CB1041" s="240"/>
      <c r="CC1041" s="240"/>
      <c r="CD1041" s="240"/>
      <c r="CE1041" s="240"/>
      <c r="CF1041" s="240"/>
      <c r="CG1041" s="240"/>
      <c r="CH1041" s="240"/>
      <c r="CI1041" s="240"/>
      <c r="CJ1041" s="240"/>
      <c r="CK1041" s="240"/>
      <c r="CL1041" s="240"/>
      <c r="CM1041" s="240"/>
      <c r="CN1041" s="240"/>
      <c r="CO1041" s="240"/>
      <c r="CP1041" s="240"/>
      <c r="CQ1041" s="240"/>
      <c r="CR1041" s="240"/>
      <c r="CS1041" s="240"/>
      <c r="CT1041" s="240"/>
      <c r="CU1041" s="240"/>
      <c r="CV1041" s="240"/>
      <c r="CW1041" s="240"/>
      <c r="CX1041" s="240"/>
      <c r="CY1041" s="240"/>
      <c r="CZ1041" s="241"/>
      <c r="DA1041" s="241"/>
      <c r="DB1041" s="241"/>
      <c r="DC1041" s="241"/>
      <c r="DD1041" s="241"/>
      <c r="DE1041" s="241"/>
      <c r="DF1041" s="241"/>
      <c r="DG1041" s="241"/>
      <c r="DH1041" s="241"/>
      <c r="DI1041" s="241"/>
      <c r="DJ1041" s="241"/>
      <c r="DK1041" s="241"/>
      <c r="DL1041" s="241"/>
      <c r="DM1041" s="241"/>
      <c r="DN1041" s="241"/>
      <c r="DO1041" s="241"/>
      <c r="DP1041" s="241"/>
      <c r="DQ1041" s="241"/>
      <c r="DR1041" s="241"/>
      <c r="DS1041" s="241"/>
      <c r="DT1041" s="241"/>
      <c r="DU1041" s="241"/>
      <c r="DV1041" s="241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345"/>
      <c r="EM1041" s="242" t="e">
        <f>EM1063</f>
        <v>#REF!</v>
      </c>
      <c r="EN1041" s="242" t="e">
        <f>EN1063</f>
        <v>#REF!</v>
      </c>
      <c r="EO1041" s="242" t="e">
        <f>EO1063</f>
        <v>#REF!</v>
      </c>
      <c r="EP1041" s="242" t="e">
        <f>EP1063</f>
        <v>#REF!</v>
      </c>
      <c r="EQ1041" s="312" t="s">
        <v>906</v>
      </c>
      <c r="ES1041" s="800">
        <f>A1041</f>
        <v>24</v>
      </c>
    </row>
    <row r="1042" spans="1:149" s="243" customFormat="1" ht="11.25" hidden="1" customHeight="1">
      <c r="B1042" s="343"/>
      <c r="C1042" s="240"/>
      <c r="D1042" s="240"/>
      <c r="E1042" s="240"/>
      <c r="F1042" s="240"/>
      <c r="G1042" s="240"/>
      <c r="H1042" s="240"/>
      <c r="I1042" s="240"/>
      <c r="J1042" s="240"/>
      <c r="K1042" s="240"/>
      <c r="L1042" s="240"/>
      <c r="M1042" s="240"/>
      <c r="N1042" s="240"/>
      <c r="O1042" s="240"/>
      <c r="P1042" s="240"/>
      <c r="Q1042" s="240"/>
      <c r="R1042" s="240"/>
      <c r="S1042" s="240"/>
      <c r="T1042" s="240"/>
      <c r="U1042" s="240"/>
      <c r="V1042" s="240"/>
      <c r="W1042" s="240"/>
      <c r="X1042" s="240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240"/>
      <c r="BT1042" s="240"/>
      <c r="BU1042" s="240"/>
      <c r="BV1042" s="240"/>
      <c r="BW1042" s="240"/>
      <c r="BX1042" s="240"/>
      <c r="BY1042" s="240"/>
      <c r="BZ1042" s="240"/>
      <c r="CA1042" s="240"/>
      <c r="CB1042" s="240"/>
      <c r="CC1042" s="240"/>
      <c r="CD1042" s="240"/>
      <c r="CE1042" s="240"/>
      <c r="CF1042" s="240"/>
      <c r="CG1042" s="240"/>
      <c r="CH1042" s="240"/>
      <c r="CI1042" s="240"/>
      <c r="CJ1042" s="240"/>
      <c r="CK1042" s="240"/>
      <c r="CL1042" s="240"/>
      <c r="CM1042" s="240"/>
      <c r="CN1042" s="240"/>
      <c r="CO1042" s="240"/>
      <c r="CP1042" s="240"/>
      <c r="CQ1042" s="240"/>
      <c r="CR1042" s="240"/>
      <c r="CS1042" s="240"/>
      <c r="CT1042" s="240"/>
      <c r="CU1042" s="240"/>
      <c r="CV1042" s="240"/>
      <c r="CW1042" s="240"/>
      <c r="CX1042" s="240"/>
      <c r="CY1042" s="240"/>
      <c r="CZ1042" s="241"/>
      <c r="DA1042" s="241"/>
      <c r="DB1042" s="241"/>
      <c r="DC1042" s="241"/>
      <c r="DD1042" s="241"/>
      <c r="DE1042" s="241"/>
      <c r="DF1042" s="241"/>
      <c r="DG1042" s="241"/>
      <c r="DH1042" s="241"/>
      <c r="DI1042" s="241"/>
      <c r="DJ1042" s="241"/>
      <c r="DK1042" s="241"/>
      <c r="DL1042" s="241"/>
      <c r="DM1042" s="241"/>
      <c r="DN1042" s="241"/>
      <c r="DO1042" s="241"/>
      <c r="DP1042" s="241"/>
      <c r="DQ1042" s="241"/>
      <c r="DR1042" s="241"/>
      <c r="DS1042" s="241"/>
      <c r="DT1042" s="241"/>
      <c r="DU1042" s="241"/>
      <c r="DV1042" s="241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345"/>
      <c r="EM1042" s="245"/>
      <c r="EN1042" s="245"/>
      <c r="EO1042" s="245"/>
      <c r="EP1042" s="245"/>
      <c r="EQ1042" s="351"/>
    </row>
    <row r="1043" spans="1:149" s="243" customFormat="1" ht="11.25" hidden="1" customHeight="1">
      <c r="B1043" s="343"/>
      <c r="C1043" s="240"/>
      <c r="D1043" s="240"/>
      <c r="E1043" s="240" t="s">
        <v>674</v>
      </c>
      <c r="F1043" s="240"/>
      <c r="G1043" s="240"/>
      <c r="H1043" s="240" t="s">
        <v>840</v>
      </c>
      <c r="I1043" s="240"/>
      <c r="J1043" s="240"/>
      <c r="K1043" s="240"/>
      <c r="L1043" s="240"/>
      <c r="M1043" s="240" t="s">
        <v>841</v>
      </c>
      <c r="N1043" s="240"/>
      <c r="O1043" s="240"/>
      <c r="P1043" s="240"/>
      <c r="Q1043" s="240"/>
      <c r="R1043" s="240"/>
      <c r="S1043" s="240"/>
      <c r="T1043" s="240"/>
      <c r="U1043" s="240"/>
      <c r="V1043" s="240"/>
      <c r="W1043" s="240"/>
      <c r="X1043" s="240"/>
      <c r="Y1043" s="240"/>
      <c r="Z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240"/>
      <c r="BT1043" s="240"/>
      <c r="BU1043" s="240"/>
      <c r="BV1043" s="240"/>
      <c r="BW1043" s="240"/>
      <c r="BX1043" s="240"/>
      <c r="BY1043" s="240"/>
      <c r="BZ1043" s="240"/>
      <c r="CA1043" s="240"/>
      <c r="CB1043" s="240"/>
      <c r="CC1043" s="240"/>
      <c r="CD1043" s="240"/>
      <c r="CE1043" s="240"/>
      <c r="CF1043" s="240"/>
      <c r="CG1043" s="240"/>
      <c r="CH1043" s="240"/>
      <c r="CI1043" s="240"/>
      <c r="CJ1043" s="240"/>
      <c r="CK1043" s="240"/>
      <c r="CL1043" s="240"/>
      <c r="CM1043" s="240"/>
      <c r="CN1043" s="240"/>
      <c r="CO1043" s="240"/>
      <c r="CP1043" s="240"/>
      <c r="CQ1043" s="240"/>
      <c r="CR1043" s="240"/>
      <c r="CS1043" s="240"/>
      <c r="CT1043" s="240"/>
      <c r="CU1043" s="240"/>
      <c r="CV1043" s="240"/>
      <c r="CW1043" s="240"/>
      <c r="CX1043" s="240"/>
      <c r="CY1043" s="240"/>
      <c r="CZ1043" s="241"/>
      <c r="DA1043" s="241"/>
      <c r="DB1043" s="241"/>
      <c r="DC1043" s="241"/>
      <c r="DD1043" s="241"/>
      <c r="DE1043" s="241"/>
      <c r="DF1043" s="241"/>
      <c r="DG1043" s="241"/>
      <c r="DH1043" s="241"/>
      <c r="DI1043" s="241"/>
      <c r="DJ1043" s="241"/>
      <c r="DK1043" s="241"/>
      <c r="DL1043" s="241"/>
      <c r="DM1043" s="241"/>
      <c r="DN1043" s="241"/>
      <c r="DO1043" s="241"/>
      <c r="DP1043" s="241"/>
      <c r="DQ1043" s="241"/>
      <c r="DR1043" s="241"/>
      <c r="DS1043" s="241"/>
      <c r="DT1043" s="241"/>
      <c r="DU1043" s="241"/>
      <c r="DV1043" s="241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345"/>
      <c r="EM1043" s="245"/>
      <c r="EN1043" s="245"/>
      <c r="EO1043" s="245"/>
      <c r="EP1043" s="245"/>
      <c r="EQ1043" s="351"/>
    </row>
    <row r="1044" spans="1:149" s="243" customFormat="1" ht="11.25" hidden="1" customHeight="1">
      <c r="B1044" s="343"/>
      <c r="C1044" s="240"/>
      <c r="D1044" s="240"/>
      <c r="E1044" s="240"/>
      <c r="F1044" s="240"/>
      <c r="G1044" s="240"/>
      <c r="H1044" s="240"/>
      <c r="I1044" s="240"/>
      <c r="J1044" s="240"/>
      <c r="K1044" s="240"/>
      <c r="L1044" s="240"/>
      <c r="M1044" s="240"/>
      <c r="N1044" s="240"/>
      <c r="O1044" s="240"/>
      <c r="P1044" s="240"/>
      <c r="Q1044" s="240"/>
      <c r="R1044" s="240"/>
      <c r="S1044" s="240"/>
      <c r="T1044" s="240"/>
      <c r="U1044" s="240"/>
      <c r="V1044" s="240"/>
      <c r="W1044" s="240"/>
      <c r="X1044" s="240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240"/>
      <c r="BT1044" s="240"/>
      <c r="BU1044" s="240"/>
      <c r="BV1044" s="240"/>
      <c r="BW1044" s="240"/>
      <c r="BX1044" s="240"/>
      <c r="BY1044" s="240"/>
      <c r="BZ1044" s="240"/>
      <c r="CA1044" s="240"/>
      <c r="CB1044" s="240"/>
      <c r="CC1044" s="240"/>
      <c r="CD1044" s="240"/>
      <c r="CE1044" s="240"/>
      <c r="CF1044" s="240"/>
      <c r="CG1044" s="240"/>
      <c r="CH1044" s="240"/>
      <c r="CI1044" s="240"/>
      <c r="CJ1044" s="240"/>
      <c r="CK1044" s="240"/>
      <c r="CL1044" s="240"/>
      <c r="CM1044" s="240"/>
      <c r="CN1044" s="240"/>
      <c r="CO1044" s="240"/>
      <c r="CP1044" s="240"/>
      <c r="CQ1044" s="240"/>
      <c r="CR1044" s="240"/>
      <c r="CS1044" s="240"/>
      <c r="CT1044" s="240"/>
      <c r="CU1044" s="240"/>
      <c r="CV1044" s="240"/>
      <c r="CW1044" s="240"/>
      <c r="CX1044" s="240"/>
      <c r="CY1044" s="240"/>
      <c r="CZ1044" s="241"/>
      <c r="DA1044" s="241"/>
      <c r="DB1044" s="241"/>
      <c r="DC1044" s="241"/>
      <c r="DD1044" s="241"/>
      <c r="DE1044" s="241"/>
      <c r="DF1044" s="241"/>
      <c r="DG1044" s="241"/>
      <c r="DH1044" s="241"/>
      <c r="DI1044" s="241"/>
      <c r="DJ1044" s="241"/>
      <c r="DK1044" s="241"/>
      <c r="DL1044" s="241"/>
      <c r="DM1044" s="241"/>
      <c r="DN1044" s="241"/>
      <c r="DO1044" s="241"/>
      <c r="DP1044" s="241"/>
      <c r="DQ1044" s="241"/>
      <c r="DR1044" s="241"/>
      <c r="DS1044" s="241"/>
      <c r="DT1044" s="241"/>
      <c r="DU1044" s="241"/>
      <c r="DV1044" s="241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345"/>
      <c r="EM1044" s="245"/>
      <c r="EN1044" s="245"/>
      <c r="EO1044" s="245"/>
      <c r="EP1044" s="245"/>
      <c r="EQ1044" s="351"/>
    </row>
    <row r="1045" spans="1:149" s="243" customFormat="1" ht="11.25" hidden="1" customHeight="1">
      <c r="B1045" s="343"/>
      <c r="C1045" s="240"/>
      <c r="D1045" s="240"/>
      <c r="E1045" s="240"/>
      <c r="F1045" s="240"/>
      <c r="G1045" s="240"/>
      <c r="H1045" s="240" t="s">
        <v>773</v>
      </c>
      <c r="I1045" s="240"/>
      <c r="J1045" s="240" t="s">
        <v>134</v>
      </c>
      <c r="K1045" s="240"/>
      <c r="L1045" s="240" t="str">
        <f>TEXT(0.4,"#,##0.#######")</f>
        <v>0.4</v>
      </c>
      <c r="M1045" s="240"/>
      <c r="N1045" s="240"/>
      <c r="O1045" s="240"/>
      <c r="P1045" s="240"/>
      <c r="Q1045" s="240"/>
      <c r="R1045" s="240"/>
      <c r="S1045" s="240"/>
      <c r="T1045" s="240"/>
      <c r="U1045" s="240" t="s">
        <v>774</v>
      </c>
      <c r="V1045" s="240"/>
      <c r="W1045" s="240" t="s">
        <v>134</v>
      </c>
      <c r="X1045" s="240"/>
      <c r="Y1045" s="240" t="str">
        <f>TEXT(1,"#,##0.#######")</f>
        <v>1.</v>
      </c>
      <c r="Z1045" s="240"/>
      <c r="AA1045" s="240" t="s">
        <v>139</v>
      </c>
      <c r="AB1045" s="240"/>
      <c r="AC1045" s="240" t="str">
        <f>TEXT(1.5,"#,##0.#######")</f>
        <v>1.5</v>
      </c>
      <c r="AD1045" s="240"/>
      <c r="AE1045" s="240"/>
      <c r="AF1045" s="240"/>
      <c r="AG1045" s="240" t="s">
        <v>134</v>
      </c>
      <c r="AH1045" s="240"/>
      <c r="AI1045" s="240" t="str">
        <f>TEXT(ROUND(Y1045/AC1045,2),"#,##0.#######")</f>
        <v>0.67</v>
      </c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 t="s">
        <v>775</v>
      </c>
      <c r="AU1045" s="240"/>
      <c r="AV1045" s="240" t="s">
        <v>134</v>
      </c>
      <c r="AW1045" s="240"/>
      <c r="AX1045" s="240" t="str">
        <f>TEXT(0.55,"#,##0.#######")</f>
        <v>0.55</v>
      </c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240"/>
      <c r="BT1045" s="240"/>
      <c r="BU1045" s="240"/>
      <c r="BV1045" s="240"/>
      <c r="BW1045" s="240"/>
      <c r="BX1045" s="240"/>
      <c r="BY1045" s="240"/>
      <c r="BZ1045" s="240"/>
      <c r="CA1045" s="240"/>
      <c r="CB1045" s="240"/>
      <c r="CC1045" s="240"/>
      <c r="CD1045" s="240"/>
      <c r="CE1045" s="240"/>
      <c r="CF1045" s="240"/>
      <c r="CG1045" s="240"/>
      <c r="CH1045" s="240"/>
      <c r="CI1045" s="240"/>
      <c r="CJ1045" s="240"/>
      <c r="CK1045" s="240"/>
      <c r="CL1045" s="240"/>
      <c r="CM1045" s="240"/>
      <c r="CN1045" s="240"/>
      <c r="CO1045" s="240"/>
      <c r="CP1045" s="240"/>
      <c r="CQ1045" s="240"/>
      <c r="CR1045" s="240"/>
      <c r="CS1045" s="240"/>
      <c r="CT1045" s="240"/>
      <c r="CU1045" s="240"/>
      <c r="CV1045" s="240"/>
      <c r="CW1045" s="240"/>
      <c r="CX1045" s="240"/>
      <c r="CY1045" s="240"/>
      <c r="CZ1045" s="241"/>
      <c r="DA1045" s="241"/>
      <c r="DB1045" s="241"/>
      <c r="DC1045" s="241"/>
      <c r="DD1045" s="241"/>
      <c r="DE1045" s="241"/>
      <c r="DF1045" s="241"/>
      <c r="DG1045" s="241"/>
      <c r="DH1045" s="241"/>
      <c r="DI1045" s="241"/>
      <c r="DJ1045" s="241"/>
      <c r="DK1045" s="241"/>
      <c r="DL1045" s="241"/>
      <c r="DM1045" s="241"/>
      <c r="DN1045" s="241"/>
      <c r="DO1045" s="241"/>
      <c r="DP1045" s="241"/>
      <c r="DQ1045" s="241"/>
      <c r="DR1045" s="241"/>
      <c r="DS1045" s="241"/>
      <c r="DT1045" s="241"/>
      <c r="DU1045" s="241"/>
      <c r="DV1045" s="241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345"/>
      <c r="EM1045" s="245"/>
      <c r="EN1045" s="245"/>
      <c r="EO1045" s="245"/>
      <c r="EP1045" s="245"/>
      <c r="EQ1045" s="351"/>
    </row>
    <row r="1046" spans="1:149" s="243" customFormat="1" ht="11.25" hidden="1" customHeight="1">
      <c r="B1046" s="343"/>
      <c r="C1046" s="240"/>
      <c r="D1046" s="240"/>
      <c r="E1046" s="240"/>
      <c r="F1046" s="240"/>
      <c r="G1046" s="240"/>
      <c r="H1046" s="240"/>
      <c r="I1046" s="240"/>
      <c r="J1046" s="240"/>
      <c r="K1046" s="240"/>
      <c r="L1046" s="240"/>
      <c r="M1046" s="240"/>
      <c r="N1046" s="240"/>
      <c r="O1046" s="240"/>
      <c r="P1046" s="240"/>
      <c r="Q1046" s="240"/>
      <c r="R1046" s="240"/>
      <c r="S1046" s="240"/>
      <c r="T1046" s="240"/>
      <c r="U1046" s="240"/>
      <c r="V1046" s="240"/>
      <c r="W1046" s="240"/>
      <c r="X1046" s="240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240"/>
      <c r="BT1046" s="240"/>
      <c r="BU1046" s="240"/>
      <c r="BV1046" s="240"/>
      <c r="BW1046" s="240"/>
      <c r="BX1046" s="240"/>
      <c r="BY1046" s="240"/>
      <c r="BZ1046" s="240"/>
      <c r="CA1046" s="240"/>
      <c r="CB1046" s="240"/>
      <c r="CC1046" s="240"/>
      <c r="CD1046" s="240"/>
      <c r="CE1046" s="240"/>
      <c r="CF1046" s="240"/>
      <c r="CG1046" s="240"/>
      <c r="CH1046" s="240"/>
      <c r="CI1046" s="240"/>
      <c r="CJ1046" s="240"/>
      <c r="CK1046" s="240"/>
      <c r="CL1046" s="240"/>
      <c r="CM1046" s="240"/>
      <c r="CN1046" s="240"/>
      <c r="CO1046" s="240"/>
      <c r="CP1046" s="240"/>
      <c r="CQ1046" s="240"/>
      <c r="CR1046" s="240"/>
      <c r="CS1046" s="240"/>
      <c r="CT1046" s="240"/>
      <c r="CU1046" s="240"/>
      <c r="CV1046" s="240"/>
      <c r="CW1046" s="240"/>
      <c r="CX1046" s="240"/>
      <c r="CY1046" s="240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1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345"/>
      <c r="EM1046" s="245"/>
      <c r="EN1046" s="245"/>
      <c r="EO1046" s="245"/>
      <c r="EP1046" s="245"/>
      <c r="EQ1046" s="351"/>
    </row>
    <row r="1047" spans="1:149" s="243" customFormat="1" ht="11.25" hidden="1" customHeight="1">
      <c r="B1047" s="343"/>
      <c r="C1047" s="240"/>
      <c r="D1047" s="240"/>
      <c r="E1047" s="240"/>
      <c r="F1047" s="240"/>
      <c r="G1047" s="240"/>
      <c r="H1047" s="240" t="s">
        <v>692</v>
      </c>
      <c r="I1047" s="240"/>
      <c r="J1047" s="240" t="s">
        <v>134</v>
      </c>
      <c r="K1047" s="240"/>
      <c r="L1047" s="240" t="str">
        <f>TEXT(0.45,"#,##0.#######")</f>
        <v>0.45</v>
      </c>
      <c r="M1047" s="240"/>
      <c r="N1047" s="240"/>
      <c r="O1047" s="240"/>
      <c r="P1047" s="240"/>
      <c r="Q1047" s="240"/>
      <c r="R1047" s="240"/>
      <c r="S1047" s="240"/>
      <c r="T1047" s="240"/>
      <c r="U1047" s="240" t="s">
        <v>693</v>
      </c>
      <c r="V1047" s="240"/>
      <c r="W1047" s="240"/>
      <c r="X1047" s="240" t="s">
        <v>134</v>
      </c>
      <c r="Y1047" s="240"/>
      <c r="Z1047" s="240" t="str">
        <f>TEXT(18,"#,##0.#######")</f>
        <v>18.</v>
      </c>
      <c r="AA1047" s="240"/>
      <c r="AB1047" s="240" t="s">
        <v>776</v>
      </c>
      <c r="AC1047" s="240"/>
      <c r="AD1047" s="240"/>
      <c r="AE1047" s="240"/>
      <c r="AF1047" s="240" t="s">
        <v>147</v>
      </c>
      <c r="AG1047" s="240" t="s">
        <v>553</v>
      </c>
      <c r="AH1047" s="240"/>
      <c r="AI1047" s="240"/>
      <c r="AJ1047" s="240" t="s">
        <v>777</v>
      </c>
      <c r="AK1047" s="240"/>
      <c r="AL1047" s="240" t="s">
        <v>148</v>
      </c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240"/>
      <c r="BT1047" s="240"/>
      <c r="BU1047" s="240"/>
      <c r="BV1047" s="240"/>
      <c r="BW1047" s="240"/>
      <c r="BX1047" s="240"/>
      <c r="BY1047" s="240"/>
      <c r="BZ1047" s="240"/>
      <c r="CA1047" s="240"/>
      <c r="CB1047" s="240"/>
      <c r="CC1047" s="240"/>
      <c r="CD1047" s="240"/>
      <c r="CE1047" s="240"/>
      <c r="CF1047" s="240"/>
      <c r="CG1047" s="240"/>
      <c r="CH1047" s="240"/>
      <c r="CI1047" s="240"/>
      <c r="CJ1047" s="240"/>
      <c r="CK1047" s="240"/>
      <c r="CL1047" s="240"/>
      <c r="CM1047" s="240"/>
      <c r="CN1047" s="240"/>
      <c r="CO1047" s="240"/>
      <c r="CP1047" s="240"/>
      <c r="CQ1047" s="240"/>
      <c r="CR1047" s="240"/>
      <c r="CS1047" s="240"/>
      <c r="CT1047" s="240"/>
      <c r="CU1047" s="240"/>
      <c r="CV1047" s="240"/>
      <c r="CW1047" s="240"/>
      <c r="CX1047" s="240"/>
      <c r="CY1047" s="240"/>
      <c r="CZ1047" s="241"/>
      <c r="DA1047" s="241"/>
      <c r="DB1047" s="241"/>
      <c r="DC1047" s="241"/>
      <c r="DD1047" s="241"/>
      <c r="DE1047" s="241"/>
      <c r="DF1047" s="241"/>
      <c r="DG1047" s="241"/>
      <c r="DH1047" s="241"/>
      <c r="DI1047" s="241"/>
      <c r="DJ1047" s="241"/>
      <c r="DK1047" s="241"/>
      <c r="DL1047" s="241"/>
      <c r="DM1047" s="241"/>
      <c r="DN1047" s="241"/>
      <c r="DO1047" s="241"/>
      <c r="DP1047" s="241"/>
      <c r="DQ1047" s="241"/>
      <c r="DR1047" s="241"/>
      <c r="DS1047" s="241"/>
      <c r="DT1047" s="241"/>
      <c r="DU1047" s="241"/>
      <c r="DV1047" s="241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345"/>
      <c r="EM1047" s="245"/>
      <c r="EN1047" s="245"/>
      <c r="EO1047" s="245"/>
      <c r="EP1047" s="245"/>
      <c r="EQ1047" s="351"/>
    </row>
    <row r="1048" spans="1:149" s="243" customFormat="1" ht="11.25" hidden="1" customHeight="1">
      <c r="B1048" s="343"/>
      <c r="C1048" s="240"/>
      <c r="D1048" s="240"/>
      <c r="E1048" s="240"/>
      <c r="F1048" s="240"/>
      <c r="G1048" s="240"/>
      <c r="H1048" s="240"/>
      <c r="I1048" s="240"/>
      <c r="J1048" s="240"/>
      <c r="K1048" s="240"/>
      <c r="L1048" s="240"/>
      <c r="M1048" s="240"/>
      <c r="N1048" s="240"/>
      <c r="O1048" s="240"/>
      <c r="P1048" s="240"/>
      <c r="Q1048" s="240"/>
      <c r="R1048" s="240"/>
      <c r="S1048" s="240"/>
      <c r="T1048" s="240"/>
      <c r="U1048" s="240"/>
      <c r="V1048" s="240"/>
      <c r="W1048" s="240"/>
      <c r="X1048" s="240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240"/>
      <c r="BT1048" s="240"/>
      <c r="BU1048" s="240"/>
      <c r="BV1048" s="240"/>
      <c r="BW1048" s="240"/>
      <c r="BX1048" s="240"/>
      <c r="BY1048" s="240"/>
      <c r="BZ1048" s="240"/>
      <c r="CA1048" s="240"/>
      <c r="CB1048" s="240"/>
      <c r="CC1048" s="240"/>
      <c r="CD1048" s="240"/>
      <c r="CE1048" s="240"/>
      <c r="CF1048" s="240"/>
      <c r="CG1048" s="240"/>
      <c r="CH1048" s="240"/>
      <c r="CI1048" s="240"/>
      <c r="CJ1048" s="240"/>
      <c r="CK1048" s="240"/>
      <c r="CL1048" s="240"/>
      <c r="CM1048" s="240"/>
      <c r="CN1048" s="240"/>
      <c r="CO1048" s="240"/>
      <c r="CP1048" s="240"/>
      <c r="CQ1048" s="240"/>
      <c r="CR1048" s="240"/>
      <c r="CS1048" s="240"/>
      <c r="CT1048" s="240"/>
      <c r="CU1048" s="240"/>
      <c r="CV1048" s="240"/>
      <c r="CW1048" s="240"/>
      <c r="CX1048" s="240"/>
      <c r="CY1048" s="240"/>
      <c r="CZ1048" s="241"/>
      <c r="DA1048" s="241"/>
      <c r="DB1048" s="241"/>
      <c r="DC1048" s="241"/>
      <c r="DD1048" s="241"/>
      <c r="DE1048" s="241"/>
      <c r="DF1048" s="241"/>
      <c r="DG1048" s="241"/>
      <c r="DH1048" s="241"/>
      <c r="DI1048" s="241"/>
      <c r="DJ1048" s="241"/>
      <c r="DK1048" s="241"/>
      <c r="DL1048" s="241"/>
      <c r="DM1048" s="241"/>
      <c r="DN1048" s="241"/>
      <c r="DO1048" s="241"/>
      <c r="DP1048" s="241"/>
      <c r="DQ1048" s="241"/>
      <c r="DR1048" s="241"/>
      <c r="DS1048" s="241"/>
      <c r="DT1048" s="241"/>
      <c r="DU1048" s="241"/>
      <c r="DV1048" s="241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345"/>
      <c r="EM1048" s="245"/>
      <c r="EN1048" s="245"/>
      <c r="EO1048" s="245"/>
      <c r="EP1048" s="245"/>
      <c r="EQ1048" s="351"/>
    </row>
    <row r="1049" spans="1:149" s="243" customFormat="1" ht="11.25" hidden="1" customHeight="1">
      <c r="B1049" s="343"/>
      <c r="C1049" s="240"/>
      <c r="D1049" s="240"/>
      <c r="E1049" s="240"/>
      <c r="F1049" s="240"/>
      <c r="G1049" s="240"/>
      <c r="H1049" s="240"/>
      <c r="I1049" s="240"/>
      <c r="J1049" s="240"/>
      <c r="K1049" s="240"/>
      <c r="L1049" s="240"/>
      <c r="M1049" s="240" t="str">
        <f>TEXT(3600,"#,##0.#######")</f>
        <v>3,600.</v>
      </c>
      <c r="N1049" s="240"/>
      <c r="O1049" s="240"/>
      <c r="P1049" s="240"/>
      <c r="Q1049" s="240"/>
      <c r="R1049" s="240" t="s">
        <v>652</v>
      </c>
      <c r="S1049" s="240"/>
      <c r="T1049" s="240" t="s">
        <v>773</v>
      </c>
      <c r="U1049" s="240" t="s">
        <v>652</v>
      </c>
      <c r="V1049" s="240"/>
      <c r="W1049" s="240" t="s">
        <v>775</v>
      </c>
      <c r="X1049" s="240" t="s">
        <v>652</v>
      </c>
      <c r="Y1049" s="240"/>
      <c r="Z1049" s="240" t="s">
        <v>774</v>
      </c>
      <c r="AA1049" s="240" t="s">
        <v>652</v>
      </c>
      <c r="AB1049" s="240"/>
      <c r="AC1049" s="240" t="s">
        <v>692</v>
      </c>
      <c r="AD1049" s="240"/>
      <c r="AE1049" s="240"/>
      <c r="AF1049" s="240"/>
      <c r="AG1049" s="240"/>
      <c r="AH1049" s="240" t="str">
        <f>TEXT(M1049,"#,##0.#######")</f>
        <v>3,600.</v>
      </c>
      <c r="AI1049" s="240"/>
      <c r="AJ1049" s="240"/>
      <c r="AK1049" s="240"/>
      <c r="AL1049" s="240"/>
      <c r="AM1049" s="240" t="s">
        <v>652</v>
      </c>
      <c r="AN1049" s="240"/>
      <c r="AO1049" s="240" t="str">
        <f>TEXT(L1045,"#,##0.#######")</f>
        <v>0.4</v>
      </c>
      <c r="AP1049" s="240"/>
      <c r="AQ1049" s="240"/>
      <c r="AR1049" s="240" t="s">
        <v>652</v>
      </c>
      <c r="AS1049" s="240"/>
      <c r="AT1049" s="240" t="str">
        <f>TEXT(AX1045,"#,##0.#######")</f>
        <v>0.55</v>
      </c>
      <c r="AU1049" s="240"/>
      <c r="AV1049" s="240"/>
      <c r="AW1049" s="240"/>
      <c r="AX1049" s="240" t="s">
        <v>652</v>
      </c>
      <c r="AY1049" s="240"/>
      <c r="AZ1049" s="240" t="str">
        <f>TEXT(AI1045,"#,##0.#######")</f>
        <v>0.67</v>
      </c>
      <c r="BA1049" s="240"/>
      <c r="BB1049" s="240"/>
      <c r="BC1049" s="240"/>
      <c r="BD1049" s="240" t="s">
        <v>652</v>
      </c>
      <c r="BE1049" s="240"/>
      <c r="BF1049" s="240" t="str">
        <f>TEXT(L1047,"#,##0.#######")</f>
        <v>0.45</v>
      </c>
      <c r="BG1049" s="240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S1049" s="240"/>
      <c r="BT1049" s="240"/>
      <c r="BU1049" s="240"/>
      <c r="BV1049" s="240"/>
      <c r="BW1049" s="240"/>
      <c r="BX1049" s="240"/>
      <c r="BY1049" s="240"/>
      <c r="BZ1049" s="240"/>
      <c r="CA1049" s="240"/>
      <c r="CB1049" s="240"/>
      <c r="CC1049" s="240"/>
      <c r="CD1049" s="240"/>
      <c r="CE1049" s="240"/>
      <c r="CF1049" s="240"/>
      <c r="CG1049" s="240"/>
      <c r="CH1049" s="240"/>
      <c r="CI1049" s="240"/>
      <c r="CJ1049" s="240"/>
      <c r="CK1049" s="240"/>
      <c r="CL1049" s="240"/>
      <c r="CM1049" s="240"/>
      <c r="CN1049" s="240"/>
      <c r="CO1049" s="240"/>
      <c r="CP1049" s="240"/>
      <c r="CQ1049" s="240"/>
      <c r="CR1049" s="240"/>
      <c r="CS1049" s="240"/>
      <c r="CT1049" s="240"/>
      <c r="CU1049" s="240"/>
      <c r="CV1049" s="240"/>
      <c r="CW1049" s="240"/>
      <c r="CX1049" s="240"/>
      <c r="CY1049" s="240"/>
      <c r="CZ1049" s="241"/>
      <c r="DA1049" s="241"/>
      <c r="DB1049" s="241"/>
      <c r="DC1049" s="241"/>
      <c r="DD1049" s="241"/>
      <c r="DE1049" s="241"/>
      <c r="DF1049" s="241"/>
      <c r="DG1049" s="241"/>
      <c r="DH1049" s="241"/>
      <c r="DI1049" s="241"/>
      <c r="DJ1049" s="241"/>
      <c r="DK1049" s="241"/>
      <c r="DL1049" s="241"/>
      <c r="DM1049" s="241"/>
      <c r="DN1049" s="241"/>
      <c r="DO1049" s="241"/>
      <c r="DP1049" s="241"/>
      <c r="DQ1049" s="241"/>
      <c r="DR1049" s="241"/>
      <c r="DS1049" s="241"/>
      <c r="DT1049" s="241"/>
      <c r="DU1049" s="241"/>
      <c r="DV1049" s="241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345"/>
      <c r="EM1049" s="245"/>
      <c r="EN1049" s="245"/>
      <c r="EO1049" s="245"/>
      <c r="EP1049" s="245"/>
      <c r="EQ1049" s="351"/>
    </row>
    <row r="1050" spans="1:149" s="243" customFormat="1" ht="11.25" hidden="1" customHeight="1">
      <c r="B1050" s="343"/>
      <c r="C1050" s="240"/>
      <c r="D1050" s="240"/>
      <c r="E1050" s="240"/>
      <c r="F1050" s="240"/>
      <c r="G1050" s="240"/>
      <c r="H1050" s="240" t="s">
        <v>687</v>
      </c>
      <c r="I1050" s="240"/>
      <c r="J1050" s="240" t="s">
        <v>134</v>
      </c>
      <c r="K1050" s="240"/>
      <c r="L1050" s="240" t="s">
        <v>694</v>
      </c>
      <c r="M1050" s="240"/>
      <c r="N1050" s="240" t="s">
        <v>694</v>
      </c>
      <c r="O1050" s="240"/>
      <c r="P1050" s="240" t="s">
        <v>694</v>
      </c>
      <c r="Q1050" s="240"/>
      <c r="R1050" s="240" t="s">
        <v>694</v>
      </c>
      <c r="S1050" s="240"/>
      <c r="T1050" s="240" t="s">
        <v>694</v>
      </c>
      <c r="U1050" s="240"/>
      <c r="V1050" s="240" t="s">
        <v>694</v>
      </c>
      <c r="W1050" s="240"/>
      <c r="X1050" s="240" t="s">
        <v>694</v>
      </c>
      <c r="Y1050" s="240"/>
      <c r="Z1050" s="240" t="s">
        <v>694</v>
      </c>
      <c r="AA1050" s="240"/>
      <c r="AB1050" s="240" t="s">
        <v>694</v>
      </c>
      <c r="AC1050" s="240"/>
      <c r="AD1050" s="240"/>
      <c r="AE1050" s="240" t="s">
        <v>134</v>
      </c>
      <c r="AF1050" s="240"/>
      <c r="AG1050" s="240" t="s">
        <v>694</v>
      </c>
      <c r="AH1050" s="240"/>
      <c r="AI1050" s="240" t="s">
        <v>694</v>
      </c>
      <c r="AJ1050" s="240"/>
      <c r="AK1050" s="240" t="s">
        <v>694</v>
      </c>
      <c r="AL1050" s="240"/>
      <c r="AM1050" s="240" t="s">
        <v>694</v>
      </c>
      <c r="AN1050" s="240"/>
      <c r="AO1050" s="240" t="s">
        <v>694</v>
      </c>
      <c r="AP1050" s="240"/>
      <c r="AQ1050" s="240" t="s">
        <v>694</v>
      </c>
      <c r="AR1050" s="240"/>
      <c r="AS1050" s="240" t="s">
        <v>694</v>
      </c>
      <c r="AT1050" s="240"/>
      <c r="AU1050" s="240" t="s">
        <v>694</v>
      </c>
      <c r="AV1050" s="240"/>
      <c r="AW1050" s="240" t="s">
        <v>694</v>
      </c>
      <c r="AX1050" s="240"/>
      <c r="AY1050" s="240" t="s">
        <v>694</v>
      </c>
      <c r="AZ1050" s="240"/>
      <c r="BA1050" s="240" t="s">
        <v>694</v>
      </c>
      <c r="BB1050" s="240"/>
      <c r="BC1050" s="240" t="s">
        <v>694</v>
      </c>
      <c r="BD1050" s="240"/>
      <c r="BE1050" s="240" t="s">
        <v>694</v>
      </c>
      <c r="BF1050" s="240"/>
      <c r="BG1050" s="240" t="s">
        <v>694</v>
      </c>
      <c r="BH1050" s="240"/>
      <c r="BI1050" s="240" t="s">
        <v>694</v>
      </c>
      <c r="BJ1050" s="240"/>
      <c r="BK1050" s="240" t="s">
        <v>134</v>
      </c>
      <c r="BL1050" s="240"/>
      <c r="BM1050" s="240" t="str">
        <f>TEXT(ROUND((3600*L1045*AX1045*AI1045*L1047)/(Z1047),2),"#,##0.#######")</f>
        <v>13.27</v>
      </c>
      <c r="BN1050" s="240"/>
      <c r="BO1050" s="240"/>
      <c r="BP1050" s="240" t="s">
        <v>91</v>
      </c>
      <c r="BQ1050" s="240"/>
      <c r="BR1050" s="240" t="s">
        <v>139</v>
      </c>
      <c r="BS1050" s="240" t="s">
        <v>618</v>
      </c>
      <c r="BT1050" s="240"/>
      <c r="BU1050" s="240"/>
      <c r="BV1050" s="240"/>
      <c r="BW1050" s="240"/>
      <c r="BX1050" s="240"/>
      <c r="BY1050" s="240"/>
      <c r="BZ1050" s="240"/>
      <c r="CA1050" s="240"/>
      <c r="CB1050" s="240"/>
      <c r="CC1050" s="240"/>
      <c r="CD1050" s="240"/>
      <c r="CE1050" s="240"/>
      <c r="CF1050" s="240"/>
      <c r="CG1050" s="240"/>
      <c r="CH1050" s="240"/>
      <c r="CI1050" s="240"/>
      <c r="CJ1050" s="240"/>
      <c r="CK1050" s="240"/>
      <c r="CL1050" s="240"/>
      <c r="CM1050" s="240"/>
      <c r="CN1050" s="240"/>
      <c r="CO1050" s="240"/>
      <c r="CP1050" s="240"/>
      <c r="CQ1050" s="240"/>
      <c r="CR1050" s="240"/>
      <c r="CS1050" s="240"/>
      <c r="CT1050" s="240"/>
      <c r="CU1050" s="240"/>
      <c r="CV1050" s="240"/>
      <c r="CW1050" s="240"/>
      <c r="CX1050" s="240"/>
      <c r="CY1050" s="240"/>
      <c r="CZ1050" s="241"/>
      <c r="DA1050" s="241"/>
      <c r="DB1050" s="241"/>
      <c r="DC1050" s="241"/>
      <c r="DD1050" s="241"/>
      <c r="DE1050" s="241"/>
      <c r="DF1050" s="241"/>
      <c r="DG1050" s="241"/>
      <c r="DH1050" s="241"/>
      <c r="DI1050" s="241"/>
      <c r="DJ1050" s="241"/>
      <c r="DK1050" s="241"/>
      <c r="DL1050" s="241"/>
      <c r="DM1050" s="241"/>
      <c r="DN1050" s="241"/>
      <c r="DO1050" s="241"/>
      <c r="DP1050" s="241"/>
      <c r="DQ1050" s="241"/>
      <c r="DR1050" s="241"/>
      <c r="DS1050" s="241"/>
      <c r="DT1050" s="241"/>
      <c r="DU1050" s="241"/>
      <c r="DV1050" s="241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345"/>
      <c r="EM1050" s="245"/>
      <c r="EN1050" s="245"/>
      <c r="EO1050" s="245"/>
      <c r="EP1050" s="245"/>
      <c r="EQ1050" s="351"/>
    </row>
    <row r="1051" spans="1:149" s="243" customFormat="1" ht="11.25" hidden="1" customHeight="1">
      <c r="B1051" s="343"/>
      <c r="C1051" s="240"/>
      <c r="D1051" s="240"/>
      <c r="E1051" s="240"/>
      <c r="F1051" s="240"/>
      <c r="G1051" s="240"/>
      <c r="H1051" s="240"/>
      <c r="I1051" s="240"/>
      <c r="J1051" s="240"/>
      <c r="K1051" s="240"/>
      <c r="L1051" s="240"/>
      <c r="M1051" s="240"/>
      <c r="N1051" s="240"/>
      <c r="O1051" s="240"/>
      <c r="P1051" s="240"/>
      <c r="Q1051" s="240"/>
      <c r="R1051" s="240"/>
      <c r="S1051" s="240"/>
      <c r="T1051" s="240" t="s">
        <v>693</v>
      </c>
      <c r="U1051" s="240"/>
      <c r="V1051" s="240"/>
      <c r="W1051" s="240"/>
      <c r="X1051" s="240"/>
      <c r="Y1051" s="240"/>
      <c r="Z1051" s="240"/>
      <c r="AA1051" s="240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240"/>
      <c r="AM1051" s="240"/>
      <c r="AN1051" s="240"/>
      <c r="AO1051" s="240"/>
      <c r="AP1051" s="240"/>
      <c r="AQ1051" s="240"/>
      <c r="AR1051" s="240"/>
      <c r="AS1051" s="240"/>
      <c r="AT1051" s="240"/>
      <c r="AU1051" s="240" t="str">
        <f>TEXT(Z1047,"#,##0.#######")</f>
        <v>18.</v>
      </c>
      <c r="AV1051" s="240"/>
      <c r="AW1051" s="240"/>
      <c r="AX1051" s="240"/>
      <c r="AY1051" s="240"/>
      <c r="AZ1051" s="240"/>
      <c r="BA1051" s="240"/>
      <c r="BB1051" s="240"/>
      <c r="BC1051" s="240"/>
      <c r="BD1051" s="240"/>
      <c r="BE1051" s="240"/>
      <c r="BF1051" s="240"/>
      <c r="BG1051" s="240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S1051" s="240"/>
      <c r="BT1051" s="240"/>
      <c r="BU1051" s="240"/>
      <c r="BV1051" s="240"/>
      <c r="BW1051" s="240"/>
      <c r="BX1051" s="240"/>
      <c r="BY1051" s="240"/>
      <c r="BZ1051" s="240"/>
      <c r="CA1051" s="240"/>
      <c r="CB1051" s="240"/>
      <c r="CC1051" s="240"/>
      <c r="CD1051" s="240"/>
      <c r="CE1051" s="240"/>
      <c r="CF1051" s="240"/>
      <c r="CG1051" s="240"/>
      <c r="CH1051" s="240"/>
      <c r="CI1051" s="240"/>
      <c r="CJ1051" s="240"/>
      <c r="CK1051" s="240"/>
      <c r="CL1051" s="240"/>
      <c r="CM1051" s="240"/>
      <c r="CN1051" s="240"/>
      <c r="CO1051" s="240"/>
      <c r="CP1051" s="240"/>
      <c r="CQ1051" s="240"/>
      <c r="CR1051" s="240"/>
      <c r="CS1051" s="240"/>
      <c r="CT1051" s="240"/>
      <c r="CU1051" s="240"/>
      <c r="CV1051" s="240"/>
      <c r="CW1051" s="240"/>
      <c r="CX1051" s="240"/>
      <c r="CY1051" s="240"/>
      <c r="CZ1051" s="241"/>
      <c r="DA1051" s="241"/>
      <c r="DB1051" s="241"/>
      <c r="DC1051" s="241"/>
      <c r="DD1051" s="241"/>
      <c r="DE1051" s="241"/>
      <c r="DF1051" s="241"/>
      <c r="DG1051" s="241"/>
      <c r="DH1051" s="241"/>
      <c r="DI1051" s="241"/>
      <c r="DJ1051" s="241"/>
      <c r="DK1051" s="241"/>
      <c r="DL1051" s="241"/>
      <c r="DM1051" s="241"/>
      <c r="DN1051" s="241"/>
      <c r="DO1051" s="241"/>
      <c r="DP1051" s="241"/>
      <c r="DQ1051" s="241"/>
      <c r="DR1051" s="241"/>
      <c r="DS1051" s="241"/>
      <c r="DT1051" s="241"/>
      <c r="DU1051" s="241"/>
      <c r="DV1051" s="241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345"/>
      <c r="EM1051" s="245"/>
      <c r="EN1051" s="245"/>
      <c r="EO1051" s="245"/>
      <c r="EP1051" s="245"/>
      <c r="EQ1051" s="351"/>
    </row>
    <row r="1052" spans="1:149" s="243" customFormat="1" ht="11.25" hidden="1" customHeight="1">
      <c r="B1052" s="343"/>
      <c r="C1052" s="240"/>
      <c r="D1052" s="240"/>
      <c r="E1052" s="240"/>
      <c r="F1052" s="240"/>
      <c r="G1052" s="240"/>
      <c r="H1052" s="240"/>
      <c r="I1052" s="240"/>
      <c r="J1052" s="240"/>
      <c r="K1052" s="240"/>
      <c r="L1052" s="240"/>
      <c r="M1052" s="240"/>
      <c r="N1052" s="240"/>
      <c r="O1052" s="240"/>
      <c r="P1052" s="240"/>
      <c r="Q1052" s="240"/>
      <c r="R1052" s="240"/>
      <c r="S1052" s="240"/>
      <c r="T1052" s="240"/>
      <c r="U1052" s="240"/>
      <c r="V1052" s="240"/>
      <c r="W1052" s="240"/>
      <c r="X1052" s="240"/>
      <c r="Y1052" s="240"/>
      <c r="Z1052" s="240"/>
      <c r="AA1052" s="240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240"/>
      <c r="AM1052" s="240"/>
      <c r="AN1052" s="240"/>
      <c r="AO1052" s="240"/>
      <c r="AP1052" s="240"/>
      <c r="AQ1052" s="240"/>
      <c r="AR1052" s="240"/>
      <c r="AS1052" s="240"/>
      <c r="AT1052" s="240"/>
      <c r="AU1052" s="240"/>
      <c r="AV1052" s="240"/>
      <c r="AW1052" s="240"/>
      <c r="AX1052" s="240"/>
      <c r="AY1052" s="240"/>
      <c r="AZ1052" s="240"/>
      <c r="BA1052" s="240"/>
      <c r="BB1052" s="240"/>
      <c r="BC1052" s="240"/>
      <c r="BD1052" s="240"/>
      <c r="BE1052" s="240"/>
      <c r="BF1052" s="240"/>
      <c r="BG1052" s="240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240"/>
      <c r="BT1052" s="240"/>
      <c r="BU1052" s="240"/>
      <c r="BV1052" s="240"/>
      <c r="BW1052" s="240"/>
      <c r="BX1052" s="240"/>
      <c r="BY1052" s="240"/>
      <c r="BZ1052" s="240"/>
      <c r="CA1052" s="240"/>
      <c r="CB1052" s="240"/>
      <c r="CC1052" s="240"/>
      <c r="CD1052" s="240"/>
      <c r="CE1052" s="240"/>
      <c r="CF1052" s="240"/>
      <c r="CG1052" s="240"/>
      <c r="CH1052" s="240"/>
      <c r="CI1052" s="240"/>
      <c r="CJ1052" s="240"/>
      <c r="CK1052" s="240"/>
      <c r="CL1052" s="240"/>
      <c r="CM1052" s="240"/>
      <c r="CN1052" s="240"/>
      <c r="CO1052" s="240"/>
      <c r="CP1052" s="240"/>
      <c r="CQ1052" s="240"/>
      <c r="CR1052" s="240"/>
      <c r="CS1052" s="240"/>
      <c r="CT1052" s="240"/>
      <c r="CU1052" s="240"/>
      <c r="CV1052" s="240"/>
      <c r="CW1052" s="240"/>
      <c r="CX1052" s="240"/>
      <c r="CY1052" s="240"/>
      <c r="CZ1052" s="241"/>
      <c r="DA1052" s="241"/>
      <c r="DB1052" s="241"/>
      <c r="DC1052" s="241"/>
      <c r="DD1052" s="241"/>
      <c r="DE1052" s="241"/>
      <c r="DF1052" s="241"/>
      <c r="DG1052" s="241"/>
      <c r="DH1052" s="241"/>
      <c r="DI1052" s="241"/>
      <c r="DJ1052" s="241"/>
      <c r="DK1052" s="241"/>
      <c r="DL1052" s="241"/>
      <c r="DM1052" s="241"/>
      <c r="DN1052" s="241"/>
      <c r="DO1052" s="241"/>
      <c r="DP1052" s="241"/>
      <c r="DQ1052" s="241"/>
      <c r="DR1052" s="241"/>
      <c r="DS1052" s="241"/>
      <c r="DT1052" s="241"/>
      <c r="DU1052" s="241"/>
      <c r="DV1052" s="241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345"/>
      <c r="EM1052" s="245"/>
      <c r="EN1052" s="245"/>
      <c r="EO1052" s="245"/>
      <c r="EP1052" s="245"/>
      <c r="EQ1052" s="351"/>
    </row>
    <row r="1053" spans="1:149" s="243" customFormat="1" ht="11.25" hidden="1" customHeight="1">
      <c r="B1053" s="343"/>
      <c r="C1053" s="240"/>
      <c r="D1053" s="240"/>
      <c r="E1053" s="240"/>
      <c r="F1053" s="240"/>
      <c r="G1053" s="240"/>
      <c r="H1053" s="240" t="s">
        <v>616</v>
      </c>
      <c r="I1053" s="240"/>
      <c r="J1053" s="240"/>
      <c r="K1053" s="240"/>
      <c r="L1053" s="240"/>
      <c r="M1053" s="240"/>
      <c r="N1053" s="240"/>
      <c r="O1053" s="240" t="s">
        <v>132</v>
      </c>
      <c r="P1053" s="240"/>
      <c r="Q1053" s="1775" t="e">
        <f>#REF!</f>
        <v>#REF!</v>
      </c>
      <c r="R1053" s="1775"/>
      <c r="S1053" s="1775"/>
      <c r="T1053" s="1775"/>
      <c r="U1053" s="1775"/>
      <c r="V1053" s="240" t="s">
        <v>683</v>
      </c>
      <c r="W1053" s="240"/>
      <c r="X1053" s="240"/>
      <c r="Y1053" s="240" t="str">
        <f>TEXT(BM1050,"#,##0.#######")</f>
        <v>13.27</v>
      </c>
      <c r="Z1053" s="240"/>
      <c r="AA1053" s="240"/>
      <c r="AB1053" s="240"/>
      <c r="AC1053" s="240"/>
      <c r="AD1053" s="240" t="s">
        <v>134</v>
      </c>
      <c r="AE1053" s="240"/>
      <c r="AF1053" s="240" t="e">
        <f>TEXT(TRUNC(Q1053/BM1050,1),"#,##0.#")</f>
        <v>#REF!</v>
      </c>
      <c r="AN1053" s="240"/>
      <c r="AO1053" s="240"/>
      <c r="AP1053" s="240"/>
      <c r="AQ1053" s="240"/>
      <c r="AR1053" s="240"/>
      <c r="AS1053" s="240"/>
      <c r="AT1053" s="240"/>
      <c r="AU1053" s="240"/>
      <c r="AV1053" s="240"/>
      <c r="AW1053" s="240"/>
      <c r="AX1053" s="240"/>
      <c r="AY1053" s="240"/>
      <c r="AZ1053" s="240"/>
      <c r="BA1053" s="240"/>
      <c r="BB1053" s="240"/>
      <c r="BC1053" s="240"/>
      <c r="BD1053" s="240"/>
      <c r="BE1053" s="240"/>
      <c r="BF1053" s="240"/>
      <c r="BG1053" s="240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240"/>
      <c r="BT1053" s="240"/>
      <c r="BU1053" s="240"/>
      <c r="BV1053" s="240"/>
      <c r="BW1053" s="240"/>
      <c r="BX1053" s="240"/>
      <c r="BY1053" s="240"/>
      <c r="BZ1053" s="240"/>
      <c r="CA1053" s="240"/>
      <c r="CB1053" s="240"/>
      <c r="CC1053" s="240"/>
      <c r="CD1053" s="240"/>
      <c r="CE1053" s="240"/>
      <c r="CF1053" s="240"/>
      <c r="CG1053" s="240"/>
      <c r="CH1053" s="240"/>
      <c r="CI1053" s="240"/>
      <c r="CJ1053" s="240"/>
      <c r="CK1053" s="240"/>
      <c r="CL1053" s="240"/>
      <c r="CM1053" s="240"/>
      <c r="CN1053" s="240"/>
      <c r="CO1053" s="240"/>
      <c r="CP1053" s="240"/>
      <c r="CQ1053" s="240"/>
      <c r="CR1053" s="240"/>
      <c r="CS1053" s="240"/>
      <c r="CT1053" s="240"/>
      <c r="CU1053" s="240"/>
      <c r="CV1053" s="240"/>
      <c r="CW1053" s="240"/>
      <c r="CX1053" s="240"/>
      <c r="CY1053" s="240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1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345"/>
      <c r="EM1053" s="245"/>
      <c r="EN1053" s="245"/>
      <c r="EO1053" s="245"/>
      <c r="EP1053" s="245"/>
      <c r="EQ1053" s="351"/>
    </row>
    <row r="1054" spans="1:149" s="243" customFormat="1" ht="11.25" hidden="1" customHeight="1">
      <c r="B1054" s="343"/>
      <c r="C1054" s="240"/>
      <c r="D1054" s="240"/>
      <c r="E1054" s="240"/>
      <c r="F1054" s="240"/>
      <c r="G1054" s="240"/>
      <c r="H1054" s="240" t="s">
        <v>617</v>
      </c>
      <c r="I1054" s="240"/>
      <c r="J1054" s="240"/>
      <c r="K1054" s="240"/>
      <c r="L1054" s="240"/>
      <c r="M1054" s="240"/>
      <c r="N1054" s="240"/>
      <c r="O1054" s="240" t="s">
        <v>132</v>
      </c>
      <c r="P1054" s="240"/>
      <c r="Q1054" s="1775" t="e">
        <f>#REF!</f>
        <v>#REF!</v>
      </c>
      <c r="R1054" s="1775"/>
      <c r="S1054" s="1775"/>
      <c r="T1054" s="1775"/>
      <c r="U1054" s="1775"/>
      <c r="V1054" s="240" t="s">
        <v>683</v>
      </c>
      <c r="W1054" s="240"/>
      <c r="X1054" s="240"/>
      <c r="Y1054" s="240" t="str">
        <f>TEXT(BM1050,"#,##0.#######")</f>
        <v>13.27</v>
      </c>
      <c r="Z1054" s="240"/>
      <c r="AA1054" s="240"/>
      <c r="AB1054" s="240"/>
      <c r="AC1054" s="240"/>
      <c r="AD1054" s="240" t="s">
        <v>134</v>
      </c>
      <c r="AE1054" s="240"/>
      <c r="AF1054" s="240" t="e">
        <f>TEXT(TRUNC(Q1054/BM1050,1),"#,##0.#")</f>
        <v>#REF!</v>
      </c>
      <c r="AN1054" s="240"/>
      <c r="AQ1054" s="240"/>
      <c r="AR1054" s="240"/>
      <c r="AS1054" s="240"/>
      <c r="AT1054" s="240"/>
      <c r="AU1054" s="240"/>
      <c r="AV1054" s="240"/>
      <c r="AW1054" s="240"/>
      <c r="AX1054" s="240"/>
      <c r="AY1054" s="240"/>
      <c r="AZ1054" s="240"/>
      <c r="BA1054" s="240"/>
      <c r="BB1054" s="240"/>
      <c r="BC1054" s="240"/>
      <c r="BD1054" s="240"/>
      <c r="BE1054" s="240"/>
      <c r="BF1054" s="240"/>
      <c r="BG1054" s="240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240"/>
      <c r="BT1054" s="240"/>
      <c r="BU1054" s="240"/>
      <c r="BV1054" s="240"/>
      <c r="BW1054" s="240"/>
      <c r="BX1054" s="240"/>
      <c r="BY1054" s="240"/>
      <c r="BZ1054" s="240"/>
      <c r="CA1054" s="240"/>
      <c r="CB1054" s="240"/>
      <c r="CC1054" s="240"/>
      <c r="CD1054" s="240"/>
      <c r="CE1054" s="240"/>
      <c r="CF1054" s="240"/>
      <c r="CG1054" s="240"/>
      <c r="CH1054" s="240"/>
      <c r="CI1054" s="240"/>
      <c r="CJ1054" s="240"/>
      <c r="CK1054" s="240"/>
      <c r="CL1054" s="240"/>
      <c r="CM1054" s="240"/>
      <c r="CN1054" s="240"/>
      <c r="CO1054" s="240"/>
      <c r="CP1054" s="240"/>
      <c r="CQ1054" s="240"/>
      <c r="CR1054" s="240"/>
      <c r="CS1054" s="240"/>
      <c r="CT1054" s="240"/>
      <c r="CU1054" s="240"/>
      <c r="CV1054" s="240"/>
      <c r="CW1054" s="240"/>
      <c r="CX1054" s="240"/>
      <c r="CY1054" s="240"/>
      <c r="CZ1054" s="241"/>
      <c r="DA1054" s="241"/>
      <c r="DB1054" s="241"/>
      <c r="DC1054" s="241"/>
      <c r="DD1054" s="241"/>
      <c r="DE1054" s="241"/>
      <c r="DF1054" s="241"/>
      <c r="DG1054" s="241"/>
      <c r="DH1054" s="241"/>
      <c r="DI1054" s="241"/>
      <c r="DJ1054" s="241"/>
      <c r="DK1054" s="241"/>
      <c r="DL1054" s="241"/>
      <c r="DM1054" s="241"/>
      <c r="DN1054" s="241"/>
      <c r="DO1054" s="241"/>
      <c r="DP1054" s="241"/>
      <c r="DQ1054" s="241"/>
      <c r="DR1054" s="241"/>
      <c r="DS1054" s="241"/>
      <c r="DT1054" s="241"/>
      <c r="DU1054" s="241"/>
      <c r="DV1054" s="241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345"/>
      <c r="EM1054" s="245"/>
      <c r="EN1054" s="245"/>
      <c r="EO1054" s="245"/>
      <c r="EP1054" s="245"/>
      <c r="EQ1054" s="351"/>
    </row>
    <row r="1055" spans="1:149" s="243" customFormat="1" ht="11.25" hidden="1" customHeight="1">
      <c r="B1055" s="343"/>
      <c r="C1055" s="240"/>
      <c r="D1055" s="240"/>
      <c r="E1055" s="240"/>
      <c r="F1055" s="240"/>
      <c r="G1055" s="240"/>
      <c r="H1055" s="240" t="s">
        <v>679</v>
      </c>
      <c r="I1055" s="240"/>
      <c r="J1055" s="240"/>
      <c r="K1055" s="240"/>
      <c r="L1055" s="240" t="s">
        <v>680</v>
      </c>
      <c r="M1055" s="240"/>
      <c r="N1055" s="240"/>
      <c r="O1055" s="240" t="s">
        <v>132</v>
      </c>
      <c r="P1055" s="240"/>
      <c r="Q1055" s="1775" t="e">
        <f>#REF!</f>
        <v>#REF!</v>
      </c>
      <c r="R1055" s="1775"/>
      <c r="S1055" s="1775"/>
      <c r="T1055" s="1775"/>
      <c r="U1055" s="1775"/>
      <c r="V1055" s="240" t="s">
        <v>683</v>
      </c>
      <c r="W1055" s="240"/>
      <c r="X1055" s="240"/>
      <c r="Y1055" s="240" t="str">
        <f>TEXT(BM1050,"#,##0.#######")</f>
        <v>13.27</v>
      </c>
      <c r="Z1055" s="240"/>
      <c r="AA1055" s="240"/>
      <c r="AB1055" s="240"/>
      <c r="AC1055" s="240"/>
      <c r="AD1055" s="240" t="s">
        <v>134</v>
      </c>
      <c r="AE1055" s="240"/>
      <c r="AF1055" s="240" t="e">
        <f>TEXT(TRUNC(Q1055/BM1050,1),"#,##0.#")</f>
        <v>#REF!</v>
      </c>
      <c r="AN1055" s="240"/>
      <c r="AO1055" s="240"/>
      <c r="AP1055" s="240"/>
      <c r="AQ1055" s="240"/>
      <c r="AR1055" s="240"/>
      <c r="AS1055" s="240"/>
      <c r="AT1055" s="240"/>
      <c r="AU1055" s="240"/>
      <c r="AV1055" s="240"/>
      <c r="AW1055" s="240"/>
      <c r="AX1055" s="240"/>
      <c r="AY1055" s="240"/>
      <c r="AZ1055" s="240"/>
      <c r="BA1055" s="240"/>
      <c r="BB1055" s="240"/>
      <c r="BC1055" s="240"/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240"/>
      <c r="BV1055" s="240"/>
      <c r="BW1055" s="240"/>
      <c r="BX1055" s="240"/>
      <c r="BY1055" s="240"/>
      <c r="BZ1055" s="240"/>
      <c r="CA1055" s="240"/>
      <c r="CB1055" s="240"/>
      <c r="CC1055" s="240"/>
      <c r="CD1055" s="240"/>
      <c r="CE1055" s="240"/>
      <c r="CF1055" s="240"/>
      <c r="CG1055" s="240"/>
      <c r="CH1055" s="240"/>
      <c r="CI1055" s="240"/>
      <c r="CJ1055" s="240"/>
      <c r="CK1055" s="240"/>
      <c r="CL1055" s="240"/>
      <c r="CM1055" s="240"/>
      <c r="CN1055" s="240"/>
      <c r="CO1055" s="240"/>
      <c r="CP1055" s="240"/>
      <c r="CQ1055" s="240"/>
      <c r="CR1055" s="240"/>
      <c r="CS1055" s="240"/>
      <c r="CT1055" s="240"/>
      <c r="CU1055" s="240"/>
      <c r="CV1055" s="240"/>
      <c r="CW1055" s="240"/>
      <c r="CX1055" s="240"/>
      <c r="CY1055" s="240"/>
      <c r="CZ1055" s="241"/>
      <c r="DA1055" s="241"/>
      <c r="DB1055" s="241"/>
      <c r="DC1055" s="241"/>
      <c r="DD1055" s="241"/>
      <c r="DE1055" s="241"/>
      <c r="DF1055" s="241"/>
      <c r="DG1055" s="241"/>
      <c r="DH1055" s="241"/>
      <c r="DI1055" s="241"/>
      <c r="DJ1055" s="241"/>
      <c r="DK1055" s="241"/>
      <c r="DL1055" s="241"/>
      <c r="DM1055" s="241"/>
      <c r="DN1055" s="241"/>
      <c r="DO1055" s="241"/>
      <c r="DP1055" s="241"/>
      <c r="DQ1055" s="241"/>
      <c r="DR1055" s="241"/>
      <c r="DS1055" s="241"/>
      <c r="DT1055" s="241"/>
      <c r="DU1055" s="241"/>
      <c r="DV1055" s="241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345"/>
      <c r="EM1055" s="245"/>
      <c r="EN1055" s="245"/>
      <c r="EO1055" s="245"/>
      <c r="EP1055" s="245"/>
      <c r="EQ1055" s="351"/>
    </row>
    <row r="1056" spans="1:149" s="243" customFormat="1" ht="11.25" hidden="1" customHeight="1">
      <c r="B1056" s="343"/>
      <c r="C1056" s="240"/>
      <c r="D1056" s="240"/>
      <c r="E1056" s="240"/>
      <c r="F1056" s="240"/>
      <c r="G1056" s="240"/>
      <c r="H1056" s="240" t="s">
        <v>688</v>
      </c>
      <c r="I1056" s="240"/>
      <c r="J1056" s="240"/>
      <c r="K1056" s="240"/>
      <c r="L1056" s="240" t="s">
        <v>96</v>
      </c>
      <c r="M1056" s="240"/>
      <c r="N1056" s="240"/>
      <c r="O1056" s="240" t="s">
        <v>132</v>
      </c>
      <c r="P1056" s="240"/>
      <c r="Q1056" s="240" t="e">
        <f>TEXT(AF1053+AF1054+AF1055,"#,##0.#######")</f>
        <v>#REF!</v>
      </c>
      <c r="R1056" s="240"/>
      <c r="S1056" s="240"/>
      <c r="T1056" s="240"/>
      <c r="U1056" s="240"/>
      <c r="V1056" s="240"/>
      <c r="W1056" s="240"/>
      <c r="X1056" s="240"/>
      <c r="Y1056" s="240"/>
      <c r="Z1056" s="240"/>
      <c r="AA1056" s="240"/>
      <c r="AB1056" s="240"/>
      <c r="AC1056" s="240"/>
      <c r="AD1056" s="240"/>
      <c r="AE1056" s="240"/>
      <c r="AF1056" s="240"/>
      <c r="AG1056" s="240"/>
      <c r="AH1056" s="240"/>
      <c r="AJ1056" s="240"/>
      <c r="AK1056" s="240"/>
      <c r="AL1056" s="240"/>
      <c r="AM1056" s="240"/>
      <c r="AN1056" s="240"/>
      <c r="AO1056" s="240"/>
      <c r="AP1056" s="240"/>
      <c r="AQ1056" s="240"/>
      <c r="AR1056" s="240"/>
      <c r="AS1056" s="240"/>
      <c r="AT1056" s="240"/>
      <c r="AU1056" s="240"/>
      <c r="AV1056" s="240"/>
      <c r="AW1056" s="240"/>
      <c r="AX1056" s="240"/>
      <c r="AY1056" s="240"/>
      <c r="AZ1056" s="240"/>
      <c r="BA1056" s="240"/>
      <c r="BB1056" s="240"/>
      <c r="BC1056" s="240"/>
      <c r="BD1056" s="240"/>
      <c r="BE1056" s="240"/>
      <c r="BF1056" s="240"/>
      <c r="BG1056" s="240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240"/>
      <c r="BT1056" s="240"/>
      <c r="BU1056" s="240"/>
      <c r="BV1056" s="240"/>
      <c r="BW1056" s="240"/>
      <c r="BX1056" s="240"/>
      <c r="BY1056" s="240"/>
      <c r="BZ1056" s="240"/>
      <c r="CA1056" s="240"/>
      <c r="CB1056" s="240"/>
      <c r="CC1056" s="240"/>
      <c r="CD1056" s="240"/>
      <c r="CE1056" s="240"/>
      <c r="CF1056" s="240"/>
      <c r="CG1056" s="240"/>
      <c r="CH1056" s="240"/>
      <c r="CI1056" s="240"/>
      <c r="CJ1056" s="240"/>
      <c r="CK1056" s="240"/>
      <c r="CL1056" s="240"/>
      <c r="CM1056" s="240"/>
      <c r="CN1056" s="240"/>
      <c r="CO1056" s="240"/>
      <c r="CP1056" s="240"/>
      <c r="CQ1056" s="240"/>
      <c r="CR1056" s="240"/>
      <c r="CS1056" s="240"/>
      <c r="CT1056" s="240"/>
      <c r="CU1056" s="240"/>
      <c r="CV1056" s="240"/>
      <c r="CW1056" s="240"/>
      <c r="CX1056" s="240"/>
      <c r="CY1056" s="240"/>
      <c r="CZ1056" s="241"/>
      <c r="DA1056" s="241"/>
      <c r="DB1056" s="241"/>
      <c r="DC1056" s="241"/>
      <c r="DD1056" s="241"/>
      <c r="DE1056" s="241"/>
      <c r="DF1056" s="241"/>
      <c r="DG1056" s="241"/>
      <c r="DH1056" s="241"/>
      <c r="DI1056" s="241"/>
      <c r="DJ1056" s="241"/>
      <c r="DK1056" s="241"/>
      <c r="DL1056" s="241"/>
      <c r="DM1056" s="241"/>
      <c r="DN1056" s="241"/>
      <c r="DO1056" s="241"/>
      <c r="DP1056" s="241"/>
      <c r="DQ1056" s="241"/>
      <c r="DR1056" s="241"/>
      <c r="DS1056" s="241"/>
      <c r="DT1056" s="241"/>
      <c r="DU1056" s="241"/>
      <c r="DV1056" s="241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345"/>
      <c r="EM1056" s="245" t="e">
        <f>EN1056+EO1056+EP1056</f>
        <v>#REF!</v>
      </c>
      <c r="EN1056" s="245" t="e">
        <f>TEXT(AF1053,"#,###.0")</f>
        <v>#REF!</v>
      </c>
      <c r="EO1056" s="245" t="e">
        <f>TEXT(AF1054,"#,###.0")</f>
        <v>#REF!</v>
      </c>
      <c r="EP1056" s="245" t="e">
        <f>TEXT(AF1055,"#,###.0")</f>
        <v>#REF!</v>
      </c>
      <c r="EQ1056" s="351"/>
    </row>
    <row r="1057" spans="2:147" s="243" customFormat="1" ht="11.25" hidden="1" customHeight="1">
      <c r="B1057" s="343"/>
      <c r="C1057" s="240"/>
      <c r="D1057" s="240"/>
      <c r="E1057" s="240"/>
      <c r="F1057" s="240"/>
      <c r="G1057" s="240"/>
      <c r="H1057" s="240"/>
      <c r="I1057" s="240"/>
      <c r="J1057" s="240"/>
      <c r="K1057" s="240"/>
      <c r="L1057" s="240"/>
      <c r="M1057" s="240"/>
      <c r="N1057" s="240"/>
      <c r="O1057" s="240"/>
      <c r="P1057" s="240"/>
      <c r="Q1057" s="240"/>
      <c r="R1057" s="240"/>
      <c r="S1057" s="240"/>
      <c r="T1057" s="240"/>
      <c r="U1057" s="240"/>
      <c r="V1057" s="240"/>
      <c r="W1057" s="240"/>
      <c r="X1057" s="240"/>
      <c r="Y1057" s="240"/>
      <c r="Z1057" s="240"/>
      <c r="AA1057" s="240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240"/>
      <c r="AM1057" s="240"/>
      <c r="AN1057" s="240"/>
      <c r="AO1057" s="240"/>
      <c r="AP1057" s="240"/>
      <c r="AQ1057" s="240"/>
      <c r="AR1057" s="240"/>
      <c r="AS1057" s="240"/>
      <c r="AT1057" s="240"/>
      <c r="AU1057" s="240"/>
      <c r="AV1057" s="240"/>
      <c r="AW1057" s="240"/>
      <c r="AX1057" s="240"/>
      <c r="AY1057" s="240"/>
      <c r="AZ1057" s="240"/>
      <c r="BA1057" s="240"/>
      <c r="BB1057" s="240"/>
      <c r="BC1057" s="240"/>
      <c r="BD1057" s="240"/>
      <c r="BE1057" s="240"/>
      <c r="BF1057" s="240"/>
      <c r="BG1057" s="240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240"/>
      <c r="BT1057" s="240"/>
      <c r="BU1057" s="240"/>
      <c r="BV1057" s="240"/>
      <c r="BW1057" s="240"/>
      <c r="BX1057" s="240"/>
      <c r="BY1057" s="240"/>
      <c r="BZ1057" s="240"/>
      <c r="CA1057" s="240"/>
      <c r="CB1057" s="240"/>
      <c r="CC1057" s="240"/>
      <c r="CD1057" s="240"/>
      <c r="CE1057" s="240"/>
      <c r="CF1057" s="240"/>
      <c r="CG1057" s="240"/>
      <c r="CH1057" s="240"/>
      <c r="CI1057" s="240"/>
      <c r="CJ1057" s="240"/>
      <c r="CK1057" s="240"/>
      <c r="CL1057" s="240"/>
      <c r="CM1057" s="240"/>
      <c r="CN1057" s="240"/>
      <c r="CO1057" s="240"/>
      <c r="CP1057" s="240"/>
      <c r="CQ1057" s="240"/>
      <c r="CR1057" s="240"/>
      <c r="CS1057" s="240"/>
      <c r="CT1057" s="240"/>
      <c r="CU1057" s="240"/>
      <c r="CV1057" s="240"/>
      <c r="CW1057" s="240"/>
      <c r="CX1057" s="240"/>
      <c r="CY1057" s="240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1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345"/>
      <c r="EM1057" s="245"/>
      <c r="EN1057" s="245"/>
      <c r="EO1057" s="245"/>
      <c r="EP1057" s="245"/>
      <c r="EQ1057" s="351"/>
    </row>
    <row r="1058" spans="2:147" s="243" customFormat="1" ht="11.25" hidden="1" customHeight="1">
      <c r="B1058" s="343"/>
      <c r="C1058" s="240"/>
      <c r="D1058" s="240"/>
      <c r="E1058" s="240" t="s">
        <v>675</v>
      </c>
      <c r="F1058" s="240"/>
      <c r="G1058" s="240"/>
      <c r="H1058" s="240" t="s">
        <v>678</v>
      </c>
      <c r="I1058" s="240"/>
      <c r="J1058" s="240"/>
      <c r="K1058" s="240"/>
      <c r="L1058" s="240" t="s">
        <v>96</v>
      </c>
      <c r="M1058" s="240"/>
      <c r="N1058" s="240"/>
      <c r="O1058" s="240"/>
      <c r="P1058" s="240"/>
      <c r="Q1058" s="240"/>
      <c r="R1058" s="240"/>
      <c r="S1058" s="240"/>
      <c r="T1058" s="240"/>
      <c r="U1058" s="240"/>
      <c r="V1058" s="240"/>
      <c r="W1058" s="240"/>
      <c r="X1058" s="240"/>
      <c r="Y1058" s="240"/>
      <c r="Z1058" s="240"/>
      <c r="AA1058" s="240"/>
      <c r="AB1058" s="240"/>
      <c r="AC1058" s="240"/>
      <c r="AD1058" s="240"/>
      <c r="AE1058" s="240"/>
      <c r="AF1058" s="240"/>
      <c r="AG1058" s="240"/>
      <c r="AH1058" s="240"/>
      <c r="AI1058" s="240"/>
      <c r="AJ1058" s="240"/>
      <c r="AK1058" s="240"/>
      <c r="AL1058" s="240"/>
      <c r="AM1058" s="240"/>
      <c r="AN1058" s="240"/>
      <c r="AO1058" s="240"/>
      <c r="AP1058" s="240"/>
      <c r="AQ1058" s="240"/>
      <c r="AR1058" s="240"/>
      <c r="AS1058" s="240"/>
      <c r="AT1058" s="240"/>
      <c r="AU1058" s="240"/>
      <c r="AV1058" s="240"/>
      <c r="AW1058" s="240"/>
      <c r="AX1058" s="240"/>
      <c r="AY1058" s="240"/>
      <c r="AZ1058" s="240"/>
      <c r="BA1058" s="240"/>
      <c r="BB1058" s="240"/>
      <c r="BC1058" s="240"/>
      <c r="BD1058" s="240"/>
      <c r="BE1058" s="240"/>
      <c r="BF1058" s="240"/>
      <c r="BG1058" s="240"/>
      <c r="BH1058" s="240"/>
      <c r="BI1058" s="240"/>
      <c r="BJ1058" s="240"/>
      <c r="BK1058" s="240"/>
      <c r="BL1058" s="240"/>
      <c r="BM1058" s="240"/>
      <c r="BN1058" s="240"/>
      <c r="BO1058" s="240"/>
      <c r="BP1058" s="240"/>
      <c r="BQ1058" s="240"/>
      <c r="BR1058" s="240"/>
      <c r="BS1058" s="240"/>
      <c r="BT1058" s="240"/>
      <c r="BU1058" s="240"/>
      <c r="BV1058" s="240"/>
      <c r="BW1058" s="240"/>
      <c r="BX1058" s="240"/>
      <c r="BY1058" s="240"/>
      <c r="BZ1058" s="240"/>
      <c r="CA1058" s="240"/>
      <c r="CB1058" s="240"/>
      <c r="CC1058" s="240"/>
      <c r="CD1058" s="240"/>
      <c r="CE1058" s="240"/>
      <c r="CF1058" s="240"/>
      <c r="CG1058" s="240"/>
      <c r="CH1058" s="240"/>
      <c r="CI1058" s="240"/>
      <c r="CJ1058" s="240"/>
      <c r="CK1058" s="240"/>
      <c r="CL1058" s="240"/>
      <c r="CM1058" s="240"/>
      <c r="CN1058" s="240"/>
      <c r="CO1058" s="240"/>
      <c r="CP1058" s="240"/>
      <c r="CQ1058" s="240"/>
      <c r="CR1058" s="240"/>
      <c r="CS1058" s="240"/>
      <c r="CT1058" s="240"/>
      <c r="CU1058" s="240"/>
      <c r="CV1058" s="240"/>
      <c r="CW1058" s="240"/>
      <c r="CX1058" s="240"/>
      <c r="CY1058" s="240"/>
      <c r="CZ1058" s="241"/>
      <c r="DA1058" s="241"/>
      <c r="DB1058" s="241"/>
      <c r="DC1058" s="241"/>
      <c r="DD1058" s="241"/>
      <c r="DE1058" s="241"/>
      <c r="DF1058" s="241"/>
      <c r="DG1058" s="241"/>
      <c r="DH1058" s="241"/>
      <c r="DI1058" s="241"/>
      <c r="DJ1058" s="241"/>
      <c r="DK1058" s="241"/>
      <c r="DL1058" s="241"/>
      <c r="DM1058" s="241"/>
      <c r="DN1058" s="241"/>
      <c r="DO1058" s="241"/>
      <c r="DP1058" s="241"/>
      <c r="DQ1058" s="241"/>
      <c r="DR1058" s="241"/>
      <c r="DS1058" s="241"/>
      <c r="DT1058" s="241"/>
      <c r="DU1058" s="241"/>
      <c r="DV1058" s="241"/>
      <c r="DW1058" s="241"/>
      <c r="DX1058" s="241"/>
      <c r="DY1058" s="241"/>
      <c r="DZ1058" s="241"/>
      <c r="EA1058" s="241"/>
      <c r="EB1058" s="241"/>
      <c r="EC1058" s="241"/>
      <c r="ED1058" s="241"/>
      <c r="EE1058" s="241"/>
      <c r="EF1058" s="241"/>
      <c r="EG1058" s="241"/>
      <c r="EH1058" s="241"/>
      <c r="EI1058" s="241"/>
      <c r="EJ1058" s="241"/>
      <c r="EK1058" s="241"/>
      <c r="EL1058" s="345"/>
      <c r="EM1058" s="245"/>
      <c r="EN1058" s="245"/>
      <c r="EO1058" s="245"/>
      <c r="EP1058" s="245"/>
      <c r="EQ1058" s="351"/>
    </row>
    <row r="1059" spans="2:147" s="243" customFormat="1" ht="11.25" hidden="1" customHeight="1">
      <c r="B1059" s="343"/>
      <c r="C1059" s="240"/>
      <c r="D1059" s="240"/>
      <c r="E1059" s="240"/>
      <c r="F1059" s="240"/>
      <c r="G1059" s="240"/>
      <c r="H1059" s="240"/>
      <c r="I1059" s="240"/>
      <c r="J1059" s="240"/>
      <c r="K1059" s="240"/>
      <c r="L1059" s="240"/>
      <c r="M1059" s="240"/>
      <c r="N1059" s="240"/>
      <c r="O1059" s="240"/>
      <c r="P1059" s="240"/>
      <c r="Q1059" s="240"/>
      <c r="R1059" s="240"/>
      <c r="S1059" s="240"/>
      <c r="T1059" s="240"/>
      <c r="U1059" s="240"/>
      <c r="V1059" s="240"/>
      <c r="W1059" s="240"/>
      <c r="X1059" s="240"/>
      <c r="Y1059" s="240"/>
      <c r="Z1059" s="240"/>
      <c r="AA1059" s="240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240"/>
      <c r="AM1059" s="240"/>
      <c r="AN1059" s="240"/>
      <c r="AO1059" s="240"/>
      <c r="AP1059" s="240"/>
      <c r="AQ1059" s="240"/>
      <c r="AR1059" s="240"/>
      <c r="AS1059" s="240"/>
      <c r="AT1059" s="240"/>
      <c r="AU1059" s="240"/>
      <c r="AV1059" s="240"/>
      <c r="AW1059" s="240"/>
      <c r="AX1059" s="240"/>
      <c r="AY1059" s="240"/>
      <c r="AZ1059" s="240"/>
      <c r="BA1059" s="240"/>
      <c r="BB1059" s="240"/>
      <c r="BC1059" s="240"/>
      <c r="BD1059" s="240"/>
      <c r="BE1059" s="240"/>
      <c r="BF1059" s="240"/>
      <c r="BG1059" s="240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240"/>
      <c r="BT1059" s="240"/>
      <c r="BU1059" s="240"/>
      <c r="BV1059" s="240"/>
      <c r="BW1059" s="240"/>
      <c r="BX1059" s="240"/>
      <c r="BY1059" s="240"/>
      <c r="BZ1059" s="240"/>
      <c r="CA1059" s="240"/>
      <c r="CB1059" s="240"/>
      <c r="CC1059" s="240"/>
      <c r="CD1059" s="240"/>
      <c r="CE1059" s="240"/>
      <c r="CF1059" s="240"/>
      <c r="CG1059" s="240"/>
      <c r="CH1059" s="240"/>
      <c r="CI1059" s="240"/>
      <c r="CJ1059" s="240"/>
      <c r="CK1059" s="240"/>
      <c r="CL1059" s="240"/>
      <c r="CM1059" s="240"/>
      <c r="CN1059" s="240"/>
      <c r="CO1059" s="240"/>
      <c r="CP1059" s="240"/>
      <c r="CQ1059" s="240"/>
      <c r="CR1059" s="240"/>
      <c r="CS1059" s="240"/>
      <c r="CT1059" s="240"/>
      <c r="CU1059" s="240"/>
      <c r="CV1059" s="240"/>
      <c r="CW1059" s="240"/>
      <c r="CX1059" s="240"/>
      <c r="CY1059" s="240"/>
      <c r="CZ1059" s="241"/>
      <c r="DA1059" s="241"/>
      <c r="DB1059" s="241"/>
      <c r="DC1059" s="241"/>
      <c r="DD1059" s="241"/>
      <c r="DE1059" s="241"/>
      <c r="DF1059" s="241"/>
      <c r="DG1059" s="241"/>
      <c r="DH1059" s="241"/>
      <c r="DI1059" s="241"/>
      <c r="DJ1059" s="241"/>
      <c r="DK1059" s="241"/>
      <c r="DL1059" s="241"/>
      <c r="DM1059" s="241"/>
      <c r="DN1059" s="241"/>
      <c r="DO1059" s="241"/>
      <c r="DP1059" s="241"/>
      <c r="DQ1059" s="241"/>
      <c r="DR1059" s="241"/>
      <c r="DS1059" s="241"/>
      <c r="DT1059" s="241"/>
      <c r="DU1059" s="241"/>
      <c r="DV1059" s="241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345"/>
      <c r="EM1059" s="245"/>
      <c r="EN1059" s="245"/>
      <c r="EO1059" s="245"/>
      <c r="EP1059" s="245"/>
      <c r="EQ1059" s="351"/>
    </row>
    <row r="1060" spans="2:147" s="243" customFormat="1" ht="11.25" hidden="1" customHeight="1">
      <c r="B1060" s="343"/>
      <c r="C1060" s="240"/>
      <c r="D1060" s="240"/>
      <c r="E1060" s="240"/>
      <c r="F1060" s="240"/>
      <c r="G1060" s="240"/>
      <c r="H1060" s="240"/>
      <c r="I1060" s="240" t="s">
        <v>616</v>
      </c>
      <c r="J1060" s="240"/>
      <c r="K1060" s="240"/>
      <c r="L1060" s="240"/>
      <c r="M1060" s="240"/>
      <c r="N1060" s="240"/>
      <c r="O1060" s="240"/>
      <c r="P1060" s="240" t="s">
        <v>132</v>
      </c>
      <c r="Q1060" s="240"/>
      <c r="R1060" s="240" t="e">
        <f>TEXT(TRUNC(EN1056,0),"#,##0")</f>
        <v>#REF!</v>
      </c>
      <c r="S1060" s="240"/>
      <c r="T1060" s="240"/>
      <c r="U1060" s="240"/>
      <c r="V1060" s="240"/>
      <c r="W1060" s="240"/>
      <c r="X1060" s="240"/>
      <c r="Y1060" s="240"/>
      <c r="Z1060" s="240"/>
      <c r="AA1060" s="240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240"/>
      <c r="AM1060" s="240"/>
      <c r="AN1060" s="240"/>
      <c r="AO1060" s="240"/>
      <c r="AP1060" s="240"/>
      <c r="AQ1060" s="240"/>
      <c r="AR1060" s="240"/>
      <c r="AS1060" s="240"/>
      <c r="AT1060" s="240"/>
      <c r="AU1060" s="240"/>
      <c r="AV1060" s="240"/>
      <c r="AW1060" s="240"/>
      <c r="AX1060" s="240"/>
      <c r="AY1060" s="240"/>
      <c r="AZ1060" s="240"/>
      <c r="BA1060" s="240"/>
      <c r="BB1060" s="240"/>
      <c r="BC1060" s="240"/>
      <c r="BD1060" s="240"/>
      <c r="BE1060" s="240"/>
      <c r="BF1060" s="240"/>
      <c r="BG1060" s="240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240"/>
      <c r="BT1060" s="240"/>
      <c r="BU1060" s="240"/>
      <c r="BV1060" s="240"/>
      <c r="BW1060" s="240"/>
      <c r="BX1060" s="240"/>
      <c r="BY1060" s="240"/>
      <c r="BZ1060" s="240"/>
      <c r="CA1060" s="240"/>
      <c r="CB1060" s="240"/>
      <c r="CC1060" s="240"/>
      <c r="CD1060" s="240"/>
      <c r="CE1060" s="240"/>
      <c r="CF1060" s="240"/>
      <c r="CG1060" s="240"/>
      <c r="CH1060" s="240"/>
      <c r="CI1060" s="240"/>
      <c r="CJ1060" s="240"/>
      <c r="CK1060" s="240"/>
      <c r="CL1060" s="240"/>
      <c r="CM1060" s="240"/>
      <c r="CN1060" s="240"/>
      <c r="CO1060" s="240"/>
      <c r="CP1060" s="240"/>
      <c r="CQ1060" s="240"/>
      <c r="CR1060" s="240"/>
      <c r="CS1060" s="240"/>
      <c r="CT1060" s="240"/>
      <c r="CU1060" s="240"/>
      <c r="CV1060" s="240"/>
      <c r="CW1060" s="240"/>
      <c r="CX1060" s="240"/>
      <c r="CY1060" s="240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1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345"/>
      <c r="EM1060" s="245"/>
      <c r="EN1060" s="245"/>
      <c r="EO1060" s="245"/>
      <c r="EP1060" s="245"/>
      <c r="EQ1060" s="351"/>
    </row>
    <row r="1061" spans="2:147" s="243" customFormat="1" ht="11.25" hidden="1" customHeight="1">
      <c r="B1061" s="343"/>
      <c r="C1061" s="240"/>
      <c r="D1061" s="240"/>
      <c r="E1061" s="240"/>
      <c r="F1061" s="240"/>
      <c r="G1061" s="240"/>
      <c r="H1061" s="240"/>
      <c r="I1061" s="240" t="s">
        <v>617</v>
      </c>
      <c r="J1061" s="240"/>
      <c r="K1061" s="240"/>
      <c r="L1061" s="240"/>
      <c r="M1061" s="240"/>
      <c r="N1061" s="240"/>
      <c r="O1061" s="240"/>
      <c r="P1061" s="240" t="s">
        <v>132</v>
      </c>
      <c r="Q1061" s="240"/>
      <c r="R1061" s="240" t="e">
        <f>TEXT(TRUNC(EO1056,0),"#,##0")</f>
        <v>#REF!</v>
      </c>
      <c r="S1061" s="240"/>
      <c r="T1061" s="240"/>
      <c r="U1061" s="240"/>
      <c r="V1061" s="240"/>
      <c r="W1061" s="240"/>
      <c r="X1061" s="240"/>
      <c r="Y1061" s="240"/>
      <c r="Z1061" s="240"/>
      <c r="AA1061" s="240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240"/>
      <c r="AM1061" s="240"/>
      <c r="AN1061" s="240"/>
      <c r="AO1061" s="240"/>
      <c r="AP1061" s="240"/>
      <c r="AQ1061" s="240"/>
      <c r="AR1061" s="240"/>
      <c r="AS1061" s="240"/>
      <c r="AT1061" s="240"/>
      <c r="AU1061" s="240"/>
      <c r="AV1061" s="240"/>
      <c r="AW1061" s="240"/>
      <c r="AX1061" s="240"/>
      <c r="AY1061" s="240"/>
      <c r="AZ1061" s="240"/>
      <c r="BA1061" s="240"/>
      <c r="BB1061" s="240"/>
      <c r="BC1061" s="240"/>
      <c r="BD1061" s="240"/>
      <c r="BE1061" s="240"/>
      <c r="BF1061" s="240"/>
      <c r="BG1061" s="240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240"/>
      <c r="BT1061" s="240"/>
      <c r="BU1061" s="240"/>
      <c r="BV1061" s="240"/>
      <c r="BW1061" s="240"/>
      <c r="BX1061" s="240"/>
      <c r="BY1061" s="240"/>
      <c r="BZ1061" s="240"/>
      <c r="CA1061" s="240"/>
      <c r="CB1061" s="240"/>
      <c r="CC1061" s="240"/>
      <c r="CD1061" s="240"/>
      <c r="CE1061" s="240"/>
      <c r="CF1061" s="240"/>
      <c r="CG1061" s="240"/>
      <c r="CH1061" s="240"/>
      <c r="CI1061" s="240"/>
      <c r="CJ1061" s="240"/>
      <c r="CK1061" s="240"/>
      <c r="CL1061" s="240"/>
      <c r="CM1061" s="240"/>
      <c r="CN1061" s="240"/>
      <c r="CO1061" s="240"/>
      <c r="CP1061" s="240"/>
      <c r="CQ1061" s="240"/>
      <c r="CR1061" s="240"/>
      <c r="CS1061" s="240"/>
      <c r="CT1061" s="240"/>
      <c r="CU1061" s="240"/>
      <c r="CV1061" s="240"/>
      <c r="CW1061" s="240"/>
      <c r="CX1061" s="240"/>
      <c r="CY1061" s="240"/>
      <c r="CZ1061" s="241"/>
      <c r="DA1061" s="241"/>
      <c r="DB1061" s="241"/>
      <c r="DC1061" s="241"/>
      <c r="DD1061" s="241"/>
      <c r="DE1061" s="241"/>
      <c r="DF1061" s="241"/>
      <c r="DG1061" s="241"/>
      <c r="DH1061" s="241"/>
      <c r="DI1061" s="241"/>
      <c r="DJ1061" s="241"/>
      <c r="DK1061" s="241"/>
      <c r="DL1061" s="241"/>
      <c r="DM1061" s="241"/>
      <c r="DN1061" s="241"/>
      <c r="DO1061" s="241"/>
      <c r="DP1061" s="241"/>
      <c r="DQ1061" s="241"/>
      <c r="DR1061" s="241"/>
      <c r="DS1061" s="241"/>
      <c r="DT1061" s="241"/>
      <c r="DU1061" s="241"/>
      <c r="DV1061" s="241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345"/>
      <c r="EM1061" s="245"/>
      <c r="EN1061" s="245"/>
      <c r="EO1061" s="245"/>
      <c r="EP1061" s="245"/>
      <c r="EQ1061" s="351"/>
    </row>
    <row r="1062" spans="2:147" s="243" customFormat="1" ht="11.25" hidden="1" customHeight="1">
      <c r="B1062" s="343"/>
      <c r="C1062" s="240"/>
      <c r="D1062" s="240"/>
      <c r="E1062" s="240"/>
      <c r="F1062" s="240"/>
      <c r="G1062" s="240"/>
      <c r="H1062" s="240"/>
      <c r="I1062" s="240" t="s">
        <v>679</v>
      </c>
      <c r="J1062" s="240"/>
      <c r="K1062" s="240"/>
      <c r="L1062" s="240"/>
      <c r="M1062" s="240" t="s">
        <v>680</v>
      </c>
      <c r="N1062" s="240"/>
      <c r="O1062" s="240"/>
      <c r="P1062" s="240" t="s">
        <v>132</v>
      </c>
      <c r="Q1062" s="240"/>
      <c r="R1062" s="240" t="e">
        <f>TEXT(TRUNC(EP1056,0),"#,##0")</f>
        <v>#REF!</v>
      </c>
      <c r="S1062" s="240"/>
      <c r="T1062" s="240"/>
      <c r="U1062" s="240"/>
      <c r="V1062" s="240"/>
      <c r="W1062" s="240"/>
      <c r="X1062" s="240"/>
      <c r="Y1062" s="240"/>
      <c r="Z1062" s="240"/>
      <c r="AA1062" s="240"/>
      <c r="AB1062" s="240"/>
      <c r="AC1062" s="240"/>
      <c r="AD1062" s="240"/>
      <c r="AE1062" s="240"/>
      <c r="AF1062" s="240"/>
      <c r="AG1062" s="240"/>
      <c r="AH1062" s="240"/>
      <c r="AI1062" s="240"/>
      <c r="AJ1062" s="240"/>
      <c r="AK1062" s="240"/>
      <c r="AL1062" s="240"/>
      <c r="AM1062" s="240"/>
      <c r="AN1062" s="240"/>
      <c r="AO1062" s="240"/>
      <c r="AP1062" s="240"/>
      <c r="AQ1062" s="240"/>
      <c r="AR1062" s="240"/>
      <c r="AS1062" s="240"/>
      <c r="AT1062" s="240"/>
      <c r="AU1062" s="240"/>
      <c r="AV1062" s="240"/>
      <c r="AW1062" s="240"/>
      <c r="AX1062" s="240"/>
      <c r="AY1062" s="240"/>
      <c r="AZ1062" s="240"/>
      <c r="BA1062" s="240"/>
      <c r="BB1062" s="240"/>
      <c r="BC1062" s="240"/>
      <c r="BD1062" s="240"/>
      <c r="BE1062" s="240"/>
      <c r="BF1062" s="240"/>
      <c r="BG1062" s="240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240"/>
      <c r="BT1062" s="240"/>
      <c r="BU1062" s="240"/>
      <c r="BV1062" s="240"/>
      <c r="BW1062" s="240"/>
      <c r="BX1062" s="240"/>
      <c r="BY1062" s="240"/>
      <c r="BZ1062" s="240"/>
      <c r="CA1062" s="240"/>
      <c r="CB1062" s="240"/>
      <c r="CC1062" s="240"/>
      <c r="CD1062" s="240"/>
      <c r="CE1062" s="240"/>
      <c r="CF1062" s="240"/>
      <c r="CG1062" s="240"/>
      <c r="CH1062" s="240"/>
      <c r="CI1062" s="240"/>
      <c r="CJ1062" s="240"/>
      <c r="CK1062" s="240"/>
      <c r="CL1062" s="240"/>
      <c r="CM1062" s="240"/>
      <c r="CN1062" s="240"/>
      <c r="CO1062" s="240"/>
      <c r="CP1062" s="240"/>
      <c r="CQ1062" s="240"/>
      <c r="CR1062" s="240"/>
      <c r="CS1062" s="240"/>
      <c r="CT1062" s="240"/>
      <c r="CU1062" s="240"/>
      <c r="CV1062" s="240"/>
      <c r="CW1062" s="240"/>
      <c r="CX1062" s="240"/>
      <c r="CY1062" s="240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1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345"/>
      <c r="EM1062" s="245"/>
      <c r="EN1062" s="245"/>
      <c r="EO1062" s="245"/>
      <c r="EP1062" s="245"/>
      <c r="EQ1062" s="351"/>
    </row>
    <row r="1063" spans="2:147" s="243" customFormat="1" ht="11.25" hidden="1" customHeight="1">
      <c r="B1063" s="343"/>
      <c r="C1063" s="240"/>
      <c r="D1063" s="240"/>
      <c r="E1063" s="240"/>
      <c r="F1063" s="240"/>
      <c r="G1063" s="240"/>
      <c r="H1063" s="240"/>
      <c r="I1063" s="240"/>
      <c r="J1063" s="240"/>
      <c r="K1063" s="240" t="s">
        <v>96</v>
      </c>
      <c r="L1063" s="240"/>
      <c r="M1063" s="240"/>
      <c r="N1063" s="240"/>
      <c r="O1063" s="240"/>
      <c r="P1063" s="240" t="s">
        <v>132</v>
      </c>
      <c r="Q1063" s="240"/>
      <c r="R1063" s="240"/>
      <c r="S1063" s="240" t="e">
        <f>TEXT(R1060+R1061+R1062,"#,##0")</f>
        <v>#REF!</v>
      </c>
      <c r="T1063" s="240"/>
      <c r="U1063" s="240"/>
      <c r="V1063" s="240"/>
      <c r="W1063" s="240"/>
      <c r="X1063" s="240"/>
      <c r="Y1063" s="240"/>
      <c r="Z1063" s="240"/>
      <c r="AA1063" s="240"/>
      <c r="AB1063" s="240"/>
      <c r="AC1063" s="240"/>
      <c r="AD1063" s="240"/>
      <c r="AE1063" s="240"/>
      <c r="AF1063" s="240"/>
      <c r="AG1063" s="240"/>
      <c r="AH1063" s="240"/>
      <c r="AI1063" s="240"/>
      <c r="AJ1063" s="240"/>
      <c r="AK1063" s="240"/>
      <c r="AL1063" s="240"/>
      <c r="AM1063" s="240"/>
      <c r="AN1063" s="240"/>
      <c r="AO1063" s="240"/>
      <c r="AP1063" s="240"/>
      <c r="AQ1063" s="240"/>
      <c r="AR1063" s="240"/>
      <c r="AS1063" s="240"/>
      <c r="AT1063" s="240"/>
      <c r="AU1063" s="240"/>
      <c r="AV1063" s="240"/>
      <c r="AW1063" s="240"/>
      <c r="AX1063" s="240"/>
      <c r="AY1063" s="240"/>
      <c r="AZ1063" s="240"/>
      <c r="BA1063" s="240"/>
      <c r="BB1063" s="240"/>
      <c r="BC1063" s="240"/>
      <c r="BD1063" s="240"/>
      <c r="BE1063" s="240"/>
      <c r="BF1063" s="240"/>
      <c r="BG1063" s="240"/>
      <c r="BH1063" s="240"/>
      <c r="BI1063" s="240"/>
      <c r="BJ1063" s="240"/>
      <c r="BK1063" s="240"/>
      <c r="BL1063" s="240"/>
      <c r="BM1063" s="240"/>
      <c r="BN1063" s="240"/>
      <c r="BO1063" s="240"/>
      <c r="BP1063" s="240"/>
      <c r="BQ1063" s="240"/>
      <c r="BR1063" s="240"/>
      <c r="BS1063" s="240"/>
      <c r="BT1063" s="240"/>
      <c r="BU1063" s="240"/>
      <c r="BV1063" s="240"/>
      <c r="BW1063" s="240"/>
      <c r="BX1063" s="240"/>
      <c r="BY1063" s="240"/>
      <c r="BZ1063" s="240"/>
      <c r="CA1063" s="240"/>
      <c r="CB1063" s="240"/>
      <c r="CC1063" s="240"/>
      <c r="CD1063" s="240"/>
      <c r="CE1063" s="240"/>
      <c r="CF1063" s="240"/>
      <c r="CG1063" s="240"/>
      <c r="CH1063" s="240"/>
      <c r="CI1063" s="240"/>
      <c r="CJ1063" s="240"/>
      <c r="CK1063" s="240"/>
      <c r="CL1063" s="240"/>
      <c r="CM1063" s="240"/>
      <c r="CN1063" s="240"/>
      <c r="CO1063" s="240"/>
      <c r="CP1063" s="240"/>
      <c r="CQ1063" s="240"/>
      <c r="CR1063" s="240"/>
      <c r="CS1063" s="240"/>
      <c r="CT1063" s="240"/>
      <c r="CU1063" s="240"/>
      <c r="CV1063" s="240"/>
      <c r="CW1063" s="240"/>
      <c r="CX1063" s="240"/>
      <c r="CY1063" s="240"/>
      <c r="CZ1063" s="241"/>
      <c r="DA1063" s="241"/>
      <c r="DB1063" s="241"/>
      <c r="DC1063" s="241"/>
      <c r="DD1063" s="241"/>
      <c r="DE1063" s="241"/>
      <c r="DF1063" s="241"/>
      <c r="DG1063" s="241"/>
      <c r="DH1063" s="241"/>
      <c r="DI1063" s="241"/>
      <c r="DJ1063" s="241"/>
      <c r="DK1063" s="241"/>
      <c r="DL1063" s="241"/>
      <c r="DM1063" s="241"/>
      <c r="DN1063" s="241"/>
      <c r="DO1063" s="241"/>
      <c r="DP1063" s="241"/>
      <c r="DQ1063" s="241"/>
      <c r="DR1063" s="241"/>
      <c r="DS1063" s="241"/>
      <c r="DT1063" s="241"/>
      <c r="DU1063" s="241"/>
      <c r="DV1063" s="241"/>
      <c r="DW1063" s="241"/>
      <c r="DX1063" s="241"/>
      <c r="DY1063" s="241"/>
      <c r="DZ1063" s="241"/>
      <c r="EA1063" s="241"/>
      <c r="EB1063" s="241"/>
      <c r="EC1063" s="241"/>
      <c r="ED1063" s="241"/>
      <c r="EE1063" s="241"/>
      <c r="EF1063" s="241"/>
      <c r="EG1063" s="241"/>
      <c r="EH1063" s="241"/>
      <c r="EI1063" s="241"/>
      <c r="EJ1063" s="241"/>
      <c r="EK1063" s="241"/>
      <c r="EL1063" s="345"/>
      <c r="EM1063" s="250" t="e">
        <f>EN1063+EO1063+EP1063</f>
        <v>#REF!</v>
      </c>
      <c r="EN1063" s="245" t="e">
        <f>TEXT(R1060,"#,##0")</f>
        <v>#REF!</v>
      </c>
      <c r="EO1063" s="245" t="e">
        <f>TEXT(R1061,"#,##0")</f>
        <v>#REF!</v>
      </c>
      <c r="EP1063" s="245" t="e">
        <f>TEXT(R1062,"#,##0")</f>
        <v>#REF!</v>
      </c>
      <c r="EQ1063" s="351"/>
    </row>
    <row r="1064" spans="2:147" s="243" customFormat="1" ht="11.25" hidden="1" customHeight="1">
      <c r="B1064" s="343"/>
      <c r="C1064" s="240"/>
      <c r="D1064" s="240"/>
      <c r="E1064" s="240"/>
      <c r="F1064" s="240"/>
      <c r="G1064" s="240"/>
      <c r="H1064" s="240"/>
      <c r="I1064" s="240"/>
      <c r="J1064" s="240"/>
      <c r="K1064" s="240"/>
      <c r="L1064" s="240"/>
      <c r="M1064" s="240"/>
      <c r="N1064" s="240"/>
      <c r="O1064" s="240"/>
      <c r="P1064" s="240"/>
      <c r="Q1064" s="240"/>
      <c r="R1064" s="240"/>
      <c r="S1064" s="240"/>
      <c r="T1064" s="240"/>
      <c r="U1064" s="240"/>
      <c r="V1064" s="240"/>
      <c r="W1064" s="240"/>
      <c r="X1064" s="240"/>
      <c r="Y1064" s="240"/>
      <c r="Z1064" s="240"/>
      <c r="AA1064" s="240"/>
      <c r="AB1064" s="240"/>
      <c r="AC1064" s="240"/>
      <c r="AD1064" s="240"/>
      <c r="AE1064" s="240"/>
      <c r="AF1064" s="240"/>
      <c r="AG1064" s="240"/>
      <c r="AH1064" s="240"/>
      <c r="AI1064" s="240"/>
      <c r="AJ1064" s="240"/>
      <c r="AK1064" s="240"/>
      <c r="AL1064" s="240"/>
      <c r="AM1064" s="240"/>
      <c r="AN1064" s="240"/>
      <c r="AO1064" s="240"/>
      <c r="AP1064" s="240"/>
      <c r="AQ1064" s="240"/>
      <c r="AR1064" s="240"/>
      <c r="AS1064" s="240"/>
      <c r="AT1064" s="240"/>
      <c r="AU1064" s="240"/>
      <c r="AV1064" s="240"/>
      <c r="AW1064" s="240"/>
      <c r="AX1064" s="240"/>
      <c r="AY1064" s="240"/>
      <c r="AZ1064" s="240"/>
      <c r="BA1064" s="240"/>
      <c r="BB1064" s="240"/>
      <c r="BC1064" s="240"/>
      <c r="BD1064" s="240"/>
      <c r="BE1064" s="240"/>
      <c r="BF1064" s="240"/>
      <c r="BG1064" s="240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240"/>
      <c r="BT1064" s="240"/>
      <c r="BU1064" s="240"/>
      <c r="BV1064" s="240"/>
      <c r="BW1064" s="240"/>
      <c r="BX1064" s="240"/>
      <c r="BY1064" s="240"/>
      <c r="BZ1064" s="240"/>
      <c r="CA1064" s="240"/>
      <c r="CB1064" s="240"/>
      <c r="CC1064" s="240"/>
      <c r="CD1064" s="240"/>
      <c r="CE1064" s="240"/>
      <c r="CF1064" s="240"/>
      <c r="CG1064" s="240"/>
      <c r="CH1064" s="240"/>
      <c r="CI1064" s="240"/>
      <c r="CJ1064" s="240"/>
      <c r="CK1064" s="240"/>
      <c r="CL1064" s="240"/>
      <c r="CM1064" s="240"/>
      <c r="CN1064" s="240"/>
      <c r="CO1064" s="240"/>
      <c r="CP1064" s="240"/>
      <c r="CQ1064" s="240"/>
      <c r="CR1064" s="240"/>
      <c r="CS1064" s="240"/>
      <c r="CT1064" s="240"/>
      <c r="CU1064" s="240"/>
      <c r="CV1064" s="240"/>
      <c r="CW1064" s="240"/>
      <c r="CX1064" s="240"/>
      <c r="CY1064" s="240"/>
      <c r="CZ1064" s="241"/>
      <c r="DA1064" s="241"/>
      <c r="DB1064" s="241"/>
      <c r="DC1064" s="241"/>
      <c r="DD1064" s="241"/>
      <c r="DE1064" s="241"/>
      <c r="DF1064" s="241"/>
      <c r="DG1064" s="241"/>
      <c r="DH1064" s="241"/>
      <c r="DI1064" s="241"/>
      <c r="DJ1064" s="241"/>
      <c r="DK1064" s="241"/>
      <c r="DL1064" s="241"/>
      <c r="DM1064" s="241"/>
      <c r="DN1064" s="241"/>
      <c r="DO1064" s="241"/>
      <c r="DP1064" s="241"/>
      <c r="DQ1064" s="241"/>
      <c r="DR1064" s="241"/>
      <c r="DS1064" s="241"/>
      <c r="DT1064" s="241"/>
      <c r="DU1064" s="241"/>
      <c r="DV1064" s="241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345"/>
      <c r="EM1064" s="250"/>
      <c r="EN1064" s="245"/>
      <c r="EO1064" s="245"/>
      <c r="EP1064" s="245"/>
      <c r="EQ1064" s="351"/>
    </row>
    <row r="1065" spans="2:147" s="243" customFormat="1" ht="11.25" hidden="1" customHeight="1">
      <c r="B1065" s="343"/>
      <c r="C1065" s="240"/>
      <c r="D1065" s="240"/>
      <c r="E1065" s="240"/>
      <c r="F1065" s="240"/>
      <c r="G1065" s="240"/>
      <c r="H1065" s="240"/>
      <c r="I1065" s="240"/>
      <c r="J1065" s="240"/>
      <c r="K1065" s="240"/>
      <c r="L1065" s="240"/>
      <c r="M1065" s="240"/>
      <c r="N1065" s="240"/>
      <c r="O1065" s="240"/>
      <c r="P1065" s="240"/>
      <c r="Q1065" s="240"/>
      <c r="R1065" s="240"/>
      <c r="S1065" s="240"/>
      <c r="T1065" s="240"/>
      <c r="U1065" s="240"/>
      <c r="V1065" s="240"/>
      <c r="W1065" s="240"/>
      <c r="X1065" s="240"/>
      <c r="Y1065" s="240"/>
      <c r="Z1065" s="240"/>
      <c r="AA1065" s="240"/>
      <c r="AB1065" s="240"/>
      <c r="AC1065" s="240"/>
      <c r="AD1065" s="240"/>
      <c r="AE1065" s="240"/>
      <c r="AF1065" s="240"/>
      <c r="AG1065" s="240"/>
      <c r="AH1065" s="240"/>
      <c r="AI1065" s="240"/>
      <c r="AJ1065" s="240"/>
      <c r="AK1065" s="240"/>
      <c r="AL1065" s="240"/>
      <c r="AM1065" s="240"/>
      <c r="AN1065" s="240"/>
      <c r="AO1065" s="240"/>
      <c r="AP1065" s="240"/>
      <c r="AQ1065" s="240"/>
      <c r="AR1065" s="240"/>
      <c r="AS1065" s="240"/>
      <c r="AT1065" s="240"/>
      <c r="AU1065" s="240"/>
      <c r="AV1065" s="240"/>
      <c r="AW1065" s="240"/>
      <c r="AX1065" s="240"/>
      <c r="AY1065" s="240"/>
      <c r="AZ1065" s="240"/>
      <c r="BA1065" s="240"/>
      <c r="BB1065" s="240"/>
      <c r="BC1065" s="240"/>
      <c r="BD1065" s="240"/>
      <c r="BE1065" s="240"/>
      <c r="BF1065" s="240"/>
      <c r="BG1065" s="240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240"/>
      <c r="BT1065" s="240"/>
      <c r="BU1065" s="240"/>
      <c r="BV1065" s="240"/>
      <c r="BW1065" s="240"/>
      <c r="BX1065" s="240"/>
      <c r="BY1065" s="240"/>
      <c r="BZ1065" s="240"/>
      <c r="CA1065" s="240"/>
      <c r="CB1065" s="240"/>
      <c r="CC1065" s="240"/>
      <c r="CD1065" s="240"/>
      <c r="CE1065" s="240"/>
      <c r="CF1065" s="240"/>
      <c r="CG1065" s="240"/>
      <c r="CH1065" s="240"/>
      <c r="CI1065" s="240"/>
      <c r="CJ1065" s="240"/>
      <c r="CK1065" s="240"/>
      <c r="CL1065" s="240"/>
      <c r="CM1065" s="240"/>
      <c r="CN1065" s="240"/>
      <c r="CO1065" s="240"/>
      <c r="CP1065" s="240"/>
      <c r="CQ1065" s="240"/>
      <c r="CR1065" s="240"/>
      <c r="CS1065" s="240"/>
      <c r="CT1065" s="240"/>
      <c r="CU1065" s="240"/>
      <c r="CV1065" s="240"/>
      <c r="CW1065" s="240"/>
      <c r="CX1065" s="240"/>
      <c r="CY1065" s="240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1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345"/>
      <c r="EM1065" s="250"/>
      <c r="EN1065" s="245"/>
      <c r="EO1065" s="245"/>
      <c r="EP1065" s="245"/>
      <c r="EQ1065" s="351"/>
    </row>
    <row r="1066" spans="2:147" s="243" customFormat="1" ht="11.25" hidden="1" customHeight="1">
      <c r="B1066" s="343"/>
      <c r="C1066" s="240"/>
      <c r="D1066" s="240"/>
      <c r="E1066" s="240"/>
      <c r="F1066" s="240"/>
      <c r="G1066" s="240"/>
      <c r="H1066" s="240"/>
      <c r="I1066" s="240"/>
      <c r="J1066" s="240"/>
      <c r="K1066" s="240"/>
      <c r="L1066" s="240"/>
      <c r="M1066" s="240"/>
      <c r="N1066" s="240"/>
      <c r="O1066" s="240"/>
      <c r="P1066" s="240"/>
      <c r="Q1066" s="240"/>
      <c r="R1066" s="240"/>
      <c r="S1066" s="240"/>
      <c r="T1066" s="240"/>
      <c r="U1066" s="240"/>
      <c r="V1066" s="240"/>
      <c r="W1066" s="240"/>
      <c r="X1066" s="240"/>
      <c r="Y1066" s="240"/>
      <c r="Z1066" s="240"/>
      <c r="AA1066" s="240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240"/>
      <c r="AM1066" s="240"/>
      <c r="AN1066" s="240"/>
      <c r="AO1066" s="240"/>
      <c r="AP1066" s="240"/>
      <c r="AQ1066" s="240"/>
      <c r="AR1066" s="240"/>
      <c r="AS1066" s="240"/>
      <c r="AT1066" s="240"/>
      <c r="AU1066" s="240"/>
      <c r="AV1066" s="240"/>
      <c r="AW1066" s="240"/>
      <c r="AX1066" s="240"/>
      <c r="AY1066" s="240"/>
      <c r="AZ1066" s="240"/>
      <c r="BA1066" s="240"/>
      <c r="BB1066" s="240"/>
      <c r="BC1066" s="240"/>
      <c r="BD1066" s="240"/>
      <c r="BE1066" s="240"/>
      <c r="BF1066" s="240"/>
      <c r="BG1066" s="240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240"/>
      <c r="BT1066" s="240"/>
      <c r="BU1066" s="240"/>
      <c r="BV1066" s="240"/>
      <c r="BW1066" s="240"/>
      <c r="BX1066" s="240"/>
      <c r="BY1066" s="240"/>
      <c r="BZ1066" s="240"/>
      <c r="CA1066" s="240"/>
      <c r="CB1066" s="240"/>
      <c r="CC1066" s="240"/>
      <c r="CD1066" s="240"/>
      <c r="CE1066" s="240"/>
      <c r="CF1066" s="240"/>
      <c r="CG1066" s="240"/>
      <c r="CH1066" s="240"/>
      <c r="CI1066" s="240"/>
      <c r="CJ1066" s="240"/>
      <c r="CK1066" s="240"/>
      <c r="CL1066" s="240"/>
      <c r="CM1066" s="240"/>
      <c r="CN1066" s="240"/>
      <c r="CO1066" s="240"/>
      <c r="CP1066" s="240"/>
      <c r="CQ1066" s="240"/>
      <c r="CR1066" s="240"/>
      <c r="CS1066" s="240"/>
      <c r="CT1066" s="240"/>
      <c r="CU1066" s="240"/>
      <c r="CV1066" s="240"/>
      <c r="CW1066" s="240"/>
      <c r="CX1066" s="240"/>
      <c r="CY1066" s="240"/>
      <c r="CZ1066" s="241"/>
      <c r="DA1066" s="241"/>
      <c r="DB1066" s="241"/>
      <c r="DC1066" s="241"/>
      <c r="DD1066" s="241"/>
      <c r="DE1066" s="241"/>
      <c r="DF1066" s="241"/>
      <c r="DG1066" s="241"/>
      <c r="DH1066" s="241"/>
      <c r="DI1066" s="241"/>
      <c r="DJ1066" s="241"/>
      <c r="DK1066" s="241"/>
      <c r="DL1066" s="241"/>
      <c r="DM1066" s="241"/>
      <c r="DN1066" s="241"/>
      <c r="DO1066" s="241"/>
      <c r="DP1066" s="241"/>
      <c r="DQ1066" s="241"/>
      <c r="DR1066" s="241"/>
      <c r="DS1066" s="241"/>
      <c r="DT1066" s="241"/>
      <c r="DU1066" s="241"/>
      <c r="DV1066" s="241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345"/>
      <c r="EM1066" s="250"/>
      <c r="EN1066" s="245"/>
      <c r="EO1066" s="245"/>
      <c r="EP1066" s="245"/>
      <c r="EQ1066" s="351"/>
    </row>
    <row r="1067" spans="2:147" s="243" customFormat="1" ht="11.25" hidden="1" customHeight="1">
      <c r="B1067" s="343"/>
      <c r="C1067" s="240"/>
      <c r="D1067" s="240"/>
      <c r="E1067" s="240"/>
      <c r="F1067" s="240"/>
      <c r="G1067" s="240"/>
      <c r="H1067" s="240"/>
      <c r="I1067" s="240"/>
      <c r="J1067" s="240"/>
      <c r="K1067" s="240"/>
      <c r="L1067" s="240"/>
      <c r="M1067" s="240"/>
      <c r="N1067" s="240"/>
      <c r="O1067" s="240"/>
      <c r="P1067" s="240"/>
      <c r="Q1067" s="240"/>
      <c r="R1067" s="240"/>
      <c r="S1067" s="240"/>
      <c r="T1067" s="240"/>
      <c r="U1067" s="240"/>
      <c r="V1067" s="240"/>
      <c r="W1067" s="240"/>
      <c r="X1067" s="240"/>
      <c r="Y1067" s="240"/>
      <c r="Z1067" s="240"/>
      <c r="AA1067" s="240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240"/>
      <c r="AM1067" s="240"/>
      <c r="AN1067" s="240"/>
      <c r="AO1067" s="240"/>
      <c r="AP1067" s="240"/>
      <c r="AQ1067" s="240"/>
      <c r="AR1067" s="240"/>
      <c r="AS1067" s="240"/>
      <c r="AT1067" s="240"/>
      <c r="AU1067" s="240"/>
      <c r="AV1067" s="240"/>
      <c r="AW1067" s="240"/>
      <c r="AX1067" s="240"/>
      <c r="AY1067" s="240"/>
      <c r="AZ1067" s="240"/>
      <c r="BA1067" s="240"/>
      <c r="BB1067" s="240"/>
      <c r="BC1067" s="240"/>
      <c r="BD1067" s="240"/>
      <c r="BE1067" s="240"/>
      <c r="BF1067" s="240"/>
      <c r="BG1067" s="240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240"/>
      <c r="BT1067" s="240"/>
      <c r="BU1067" s="240"/>
      <c r="BV1067" s="240"/>
      <c r="BW1067" s="240"/>
      <c r="BX1067" s="240"/>
      <c r="BY1067" s="240"/>
      <c r="BZ1067" s="240"/>
      <c r="CA1067" s="240"/>
      <c r="CB1067" s="240"/>
      <c r="CC1067" s="240"/>
      <c r="CD1067" s="240"/>
      <c r="CE1067" s="240"/>
      <c r="CF1067" s="240"/>
      <c r="CG1067" s="240"/>
      <c r="CH1067" s="240"/>
      <c r="CI1067" s="240"/>
      <c r="CJ1067" s="240"/>
      <c r="CK1067" s="240"/>
      <c r="CL1067" s="240"/>
      <c r="CM1067" s="240"/>
      <c r="CN1067" s="240"/>
      <c r="CO1067" s="240"/>
      <c r="CP1067" s="240"/>
      <c r="CQ1067" s="240"/>
      <c r="CR1067" s="240"/>
      <c r="CS1067" s="240"/>
      <c r="CT1067" s="240"/>
      <c r="CU1067" s="240"/>
      <c r="CV1067" s="240"/>
      <c r="CW1067" s="240"/>
      <c r="CX1067" s="240"/>
      <c r="CY1067" s="240"/>
      <c r="CZ1067" s="241"/>
      <c r="DA1067" s="241"/>
      <c r="DB1067" s="241"/>
      <c r="DC1067" s="241"/>
      <c r="DD1067" s="241"/>
      <c r="DE1067" s="241"/>
      <c r="DF1067" s="241"/>
      <c r="DG1067" s="241"/>
      <c r="DH1067" s="241"/>
      <c r="DI1067" s="241"/>
      <c r="DJ1067" s="241"/>
      <c r="DK1067" s="241"/>
      <c r="DL1067" s="241"/>
      <c r="DM1067" s="241"/>
      <c r="DN1067" s="241"/>
      <c r="DO1067" s="241"/>
      <c r="DP1067" s="241"/>
      <c r="DQ1067" s="241"/>
      <c r="DR1067" s="241"/>
      <c r="DS1067" s="241"/>
      <c r="DT1067" s="241"/>
      <c r="DU1067" s="241"/>
      <c r="DV1067" s="241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345"/>
      <c r="EM1067" s="250"/>
      <c r="EN1067" s="245"/>
      <c r="EO1067" s="245"/>
      <c r="EP1067" s="245"/>
      <c r="EQ1067" s="351"/>
    </row>
    <row r="1068" spans="2:147" s="243" customFormat="1" ht="11.25" hidden="1" customHeight="1">
      <c r="B1068" s="343"/>
      <c r="C1068" s="240"/>
      <c r="D1068" s="240"/>
      <c r="E1068" s="240"/>
      <c r="F1068" s="240"/>
      <c r="G1068" s="240"/>
      <c r="H1068" s="240"/>
      <c r="I1068" s="240"/>
      <c r="J1068" s="240"/>
      <c r="K1068" s="240"/>
      <c r="L1068" s="240"/>
      <c r="M1068" s="240"/>
      <c r="N1068" s="240"/>
      <c r="O1068" s="240"/>
      <c r="P1068" s="240"/>
      <c r="Q1068" s="240"/>
      <c r="R1068" s="240"/>
      <c r="S1068" s="240"/>
      <c r="T1068" s="240"/>
      <c r="U1068" s="240"/>
      <c r="V1068" s="240"/>
      <c r="W1068" s="240"/>
      <c r="X1068" s="240"/>
      <c r="Y1068" s="240"/>
      <c r="Z1068" s="240"/>
      <c r="AA1068" s="240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240"/>
      <c r="AM1068" s="240"/>
      <c r="AN1068" s="240"/>
      <c r="AO1068" s="240"/>
      <c r="AP1068" s="240"/>
      <c r="AQ1068" s="240"/>
      <c r="AR1068" s="240"/>
      <c r="AS1068" s="240"/>
      <c r="AT1068" s="240"/>
      <c r="AU1068" s="240"/>
      <c r="AV1068" s="240"/>
      <c r="AW1068" s="240"/>
      <c r="AX1068" s="240"/>
      <c r="AY1068" s="240"/>
      <c r="AZ1068" s="240"/>
      <c r="BA1068" s="240"/>
      <c r="BB1068" s="240"/>
      <c r="BC1068" s="240"/>
      <c r="BD1068" s="240"/>
      <c r="BE1068" s="240"/>
      <c r="BF1068" s="240"/>
      <c r="BG1068" s="240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240"/>
      <c r="BT1068" s="240"/>
      <c r="BU1068" s="240"/>
      <c r="BV1068" s="240"/>
      <c r="BW1068" s="240"/>
      <c r="BX1068" s="240"/>
      <c r="BY1068" s="240"/>
      <c r="BZ1068" s="240"/>
      <c r="CA1068" s="240"/>
      <c r="CB1068" s="240"/>
      <c r="CC1068" s="240"/>
      <c r="CD1068" s="240"/>
      <c r="CE1068" s="240"/>
      <c r="CF1068" s="240"/>
      <c r="CG1068" s="240"/>
      <c r="CH1068" s="240"/>
      <c r="CI1068" s="240"/>
      <c r="CJ1068" s="240"/>
      <c r="CK1068" s="240"/>
      <c r="CL1068" s="240"/>
      <c r="CM1068" s="240"/>
      <c r="CN1068" s="240"/>
      <c r="CO1068" s="240"/>
      <c r="CP1068" s="240"/>
      <c r="CQ1068" s="240"/>
      <c r="CR1068" s="240"/>
      <c r="CS1068" s="240"/>
      <c r="CT1068" s="240"/>
      <c r="CU1068" s="240"/>
      <c r="CV1068" s="240"/>
      <c r="CW1068" s="240"/>
      <c r="CX1068" s="240"/>
      <c r="CY1068" s="240"/>
      <c r="CZ1068" s="241"/>
      <c r="DA1068" s="241"/>
      <c r="DB1068" s="241"/>
      <c r="DC1068" s="241"/>
      <c r="DD1068" s="241"/>
      <c r="DE1068" s="241"/>
      <c r="DF1068" s="241"/>
      <c r="DG1068" s="241"/>
      <c r="DH1068" s="241"/>
      <c r="DI1068" s="241"/>
      <c r="DJ1068" s="241"/>
      <c r="DK1068" s="241"/>
      <c r="DL1068" s="241"/>
      <c r="DM1068" s="241"/>
      <c r="DN1068" s="241"/>
      <c r="DO1068" s="241"/>
      <c r="DP1068" s="241"/>
      <c r="DQ1068" s="241"/>
      <c r="DR1068" s="241"/>
      <c r="DS1068" s="241"/>
      <c r="DT1068" s="241"/>
      <c r="DU1068" s="241"/>
      <c r="DV1068" s="241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345"/>
      <c r="EM1068" s="250"/>
      <c r="EN1068" s="245"/>
      <c r="EO1068" s="245"/>
      <c r="EP1068" s="245"/>
      <c r="EQ1068" s="351"/>
    </row>
    <row r="1069" spans="2:147" s="243" customFormat="1" ht="11.25" hidden="1" customHeight="1">
      <c r="B1069" s="343"/>
      <c r="C1069" s="240"/>
      <c r="D1069" s="240"/>
      <c r="E1069" s="240"/>
      <c r="F1069" s="240"/>
      <c r="G1069" s="240"/>
      <c r="H1069" s="240"/>
      <c r="I1069" s="240"/>
      <c r="J1069" s="240"/>
      <c r="K1069" s="240"/>
      <c r="L1069" s="240"/>
      <c r="M1069" s="240"/>
      <c r="N1069" s="240"/>
      <c r="O1069" s="240"/>
      <c r="P1069" s="240"/>
      <c r="Q1069" s="240"/>
      <c r="R1069" s="240"/>
      <c r="S1069" s="240"/>
      <c r="T1069" s="240"/>
      <c r="U1069" s="240"/>
      <c r="V1069" s="240"/>
      <c r="W1069" s="240"/>
      <c r="X1069" s="240"/>
      <c r="Y1069" s="240"/>
      <c r="Z1069" s="240"/>
      <c r="AA1069" s="240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240"/>
      <c r="AM1069" s="240"/>
      <c r="AN1069" s="240"/>
      <c r="AO1069" s="240"/>
      <c r="AP1069" s="240"/>
      <c r="AQ1069" s="240"/>
      <c r="AR1069" s="240"/>
      <c r="AS1069" s="240"/>
      <c r="AT1069" s="240"/>
      <c r="AU1069" s="240"/>
      <c r="AV1069" s="240"/>
      <c r="AW1069" s="240"/>
      <c r="AX1069" s="240"/>
      <c r="AY1069" s="240"/>
      <c r="AZ1069" s="240"/>
      <c r="BA1069" s="240"/>
      <c r="BB1069" s="240"/>
      <c r="BC1069" s="240"/>
      <c r="BD1069" s="240"/>
      <c r="BE1069" s="240"/>
      <c r="BF1069" s="240"/>
      <c r="BG1069" s="240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240"/>
      <c r="BT1069" s="240"/>
      <c r="BU1069" s="240"/>
      <c r="BV1069" s="240"/>
      <c r="BW1069" s="240"/>
      <c r="BX1069" s="240"/>
      <c r="BY1069" s="240"/>
      <c r="BZ1069" s="240"/>
      <c r="CA1069" s="240"/>
      <c r="CB1069" s="240"/>
      <c r="CC1069" s="240"/>
      <c r="CD1069" s="240"/>
      <c r="CE1069" s="240"/>
      <c r="CF1069" s="240"/>
      <c r="CG1069" s="240"/>
      <c r="CH1069" s="240"/>
      <c r="CI1069" s="240"/>
      <c r="CJ1069" s="240"/>
      <c r="CK1069" s="240"/>
      <c r="CL1069" s="240"/>
      <c r="CM1069" s="240"/>
      <c r="CN1069" s="240"/>
      <c r="CO1069" s="240"/>
      <c r="CP1069" s="240"/>
      <c r="CQ1069" s="240"/>
      <c r="CR1069" s="240"/>
      <c r="CS1069" s="240"/>
      <c r="CT1069" s="240"/>
      <c r="CU1069" s="240"/>
      <c r="CV1069" s="240"/>
      <c r="CW1069" s="240"/>
      <c r="CX1069" s="240"/>
      <c r="CY1069" s="240"/>
      <c r="CZ1069" s="241"/>
      <c r="DA1069" s="241"/>
      <c r="DB1069" s="241"/>
      <c r="DC1069" s="241"/>
      <c r="DD1069" s="241"/>
      <c r="DE1069" s="241"/>
      <c r="DF1069" s="241"/>
      <c r="DG1069" s="241"/>
      <c r="DH1069" s="241"/>
      <c r="DI1069" s="241"/>
      <c r="DJ1069" s="241"/>
      <c r="DK1069" s="241"/>
      <c r="DL1069" s="241"/>
      <c r="DM1069" s="241"/>
      <c r="DN1069" s="241"/>
      <c r="DO1069" s="241"/>
      <c r="DP1069" s="241"/>
      <c r="DQ1069" s="241"/>
      <c r="DR1069" s="241"/>
      <c r="DS1069" s="241"/>
      <c r="DT1069" s="241"/>
      <c r="DU1069" s="241"/>
      <c r="DV1069" s="241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345"/>
      <c r="EM1069" s="250"/>
      <c r="EN1069" s="245"/>
      <c r="EO1069" s="245"/>
      <c r="EP1069" s="245"/>
      <c r="EQ1069" s="351"/>
    </row>
    <row r="1070" spans="2:147" s="243" customFormat="1" ht="11.25" hidden="1" customHeight="1">
      <c r="B1070" s="343"/>
      <c r="C1070" s="240"/>
      <c r="D1070" s="240"/>
      <c r="E1070" s="240"/>
      <c r="F1070" s="240"/>
      <c r="G1070" s="240"/>
      <c r="H1070" s="240"/>
      <c r="I1070" s="240"/>
      <c r="J1070" s="240"/>
      <c r="K1070" s="240"/>
      <c r="L1070" s="240"/>
      <c r="M1070" s="240"/>
      <c r="N1070" s="240"/>
      <c r="O1070" s="240"/>
      <c r="P1070" s="240"/>
      <c r="Q1070" s="240"/>
      <c r="R1070" s="240"/>
      <c r="S1070" s="240"/>
      <c r="T1070" s="240"/>
      <c r="U1070" s="240"/>
      <c r="V1070" s="240"/>
      <c r="W1070" s="240"/>
      <c r="X1070" s="240"/>
      <c r="Y1070" s="240"/>
      <c r="Z1070" s="240"/>
      <c r="AA1070" s="240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240"/>
      <c r="AM1070" s="240"/>
      <c r="AN1070" s="240"/>
      <c r="AO1070" s="240"/>
      <c r="AP1070" s="240"/>
      <c r="AQ1070" s="240"/>
      <c r="AR1070" s="240"/>
      <c r="AS1070" s="240"/>
      <c r="AT1070" s="240"/>
      <c r="AU1070" s="240"/>
      <c r="AV1070" s="240"/>
      <c r="AW1070" s="240"/>
      <c r="AX1070" s="240"/>
      <c r="AY1070" s="240"/>
      <c r="AZ1070" s="240"/>
      <c r="BA1070" s="240"/>
      <c r="BB1070" s="240"/>
      <c r="BC1070" s="240"/>
      <c r="BD1070" s="240"/>
      <c r="BE1070" s="240"/>
      <c r="BF1070" s="240"/>
      <c r="BG1070" s="240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240"/>
      <c r="BT1070" s="240"/>
      <c r="BU1070" s="240"/>
      <c r="BV1070" s="240"/>
      <c r="BW1070" s="240"/>
      <c r="BX1070" s="240"/>
      <c r="BY1070" s="240"/>
      <c r="BZ1070" s="240"/>
      <c r="CA1070" s="240"/>
      <c r="CB1070" s="240"/>
      <c r="CC1070" s="240"/>
      <c r="CD1070" s="240"/>
      <c r="CE1070" s="240"/>
      <c r="CF1070" s="240"/>
      <c r="CG1070" s="240"/>
      <c r="CH1070" s="240"/>
      <c r="CI1070" s="240"/>
      <c r="CJ1070" s="240"/>
      <c r="CK1070" s="240"/>
      <c r="CL1070" s="240"/>
      <c r="CM1070" s="240"/>
      <c r="CN1070" s="240"/>
      <c r="CO1070" s="240"/>
      <c r="CP1070" s="240"/>
      <c r="CQ1070" s="240"/>
      <c r="CR1070" s="240"/>
      <c r="CS1070" s="240"/>
      <c r="CT1070" s="240"/>
      <c r="CU1070" s="240"/>
      <c r="CV1070" s="240"/>
      <c r="CW1070" s="240"/>
      <c r="CX1070" s="240"/>
      <c r="CY1070" s="240"/>
      <c r="CZ1070" s="241"/>
      <c r="DA1070" s="241"/>
      <c r="DB1070" s="241"/>
      <c r="DC1070" s="241"/>
      <c r="DD1070" s="241"/>
      <c r="DE1070" s="241"/>
      <c r="DF1070" s="241"/>
      <c r="DG1070" s="241"/>
      <c r="DH1070" s="241"/>
      <c r="DI1070" s="241"/>
      <c r="DJ1070" s="241"/>
      <c r="DK1070" s="241"/>
      <c r="DL1070" s="241"/>
      <c r="DM1070" s="241"/>
      <c r="DN1070" s="241"/>
      <c r="DO1070" s="241"/>
      <c r="DP1070" s="241"/>
      <c r="DQ1070" s="241"/>
      <c r="DR1070" s="241"/>
      <c r="DS1070" s="241"/>
      <c r="DT1070" s="241"/>
      <c r="DU1070" s="241"/>
      <c r="DV1070" s="241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345"/>
      <c r="EM1070" s="250"/>
      <c r="EN1070" s="245"/>
      <c r="EO1070" s="245"/>
      <c r="EP1070" s="245"/>
      <c r="EQ1070" s="351"/>
    </row>
    <row r="1071" spans="2:147" s="243" customFormat="1" ht="11.25" hidden="1" customHeight="1">
      <c r="B1071" s="343"/>
      <c r="C1071" s="240"/>
      <c r="D1071" s="240"/>
      <c r="E1071" s="240"/>
      <c r="F1071" s="240"/>
      <c r="G1071" s="240"/>
      <c r="H1071" s="240"/>
      <c r="I1071" s="240"/>
      <c r="J1071" s="240"/>
      <c r="K1071" s="240"/>
      <c r="L1071" s="240"/>
      <c r="M1071" s="240"/>
      <c r="N1071" s="240"/>
      <c r="O1071" s="240"/>
      <c r="P1071" s="240"/>
      <c r="Q1071" s="240"/>
      <c r="R1071" s="240"/>
      <c r="S1071" s="240"/>
      <c r="T1071" s="240"/>
      <c r="U1071" s="240"/>
      <c r="V1071" s="240"/>
      <c r="W1071" s="240"/>
      <c r="X1071" s="240"/>
      <c r="Y1071" s="240"/>
      <c r="Z1071" s="240"/>
      <c r="AA1071" s="240"/>
      <c r="AB1071" s="240"/>
      <c r="AC1071" s="240"/>
      <c r="AD1071" s="240"/>
      <c r="AE1071" s="240"/>
      <c r="AF1071" s="240"/>
      <c r="AG1071" s="240"/>
      <c r="AH1071" s="240"/>
      <c r="AI1071" s="240"/>
      <c r="AJ1071" s="240"/>
      <c r="AK1071" s="240"/>
      <c r="AL1071" s="240"/>
      <c r="AM1071" s="240"/>
      <c r="AN1071" s="240"/>
      <c r="AO1071" s="240"/>
      <c r="AP1071" s="240"/>
      <c r="AQ1071" s="240"/>
      <c r="AR1071" s="240"/>
      <c r="AS1071" s="240"/>
      <c r="AT1071" s="240"/>
      <c r="AU1071" s="240"/>
      <c r="AV1071" s="240"/>
      <c r="AW1071" s="240"/>
      <c r="AX1071" s="240"/>
      <c r="AY1071" s="240"/>
      <c r="AZ1071" s="240"/>
      <c r="BA1071" s="240"/>
      <c r="BB1071" s="240"/>
      <c r="BC1071" s="240"/>
      <c r="BD1071" s="240"/>
      <c r="BE1071" s="240"/>
      <c r="BF1071" s="240"/>
      <c r="BG1071" s="240"/>
      <c r="BH1071" s="240"/>
      <c r="BI1071" s="240"/>
      <c r="BJ1071" s="240"/>
      <c r="BK1071" s="240"/>
      <c r="BL1071" s="240"/>
      <c r="BM1071" s="240"/>
      <c r="BN1071" s="240"/>
      <c r="BO1071" s="240"/>
      <c r="BP1071" s="240"/>
      <c r="BQ1071" s="240"/>
      <c r="BR1071" s="240"/>
      <c r="BS1071" s="240"/>
      <c r="BT1071" s="240"/>
      <c r="BU1071" s="240"/>
      <c r="BV1071" s="240"/>
      <c r="BW1071" s="240"/>
      <c r="BX1071" s="240"/>
      <c r="BY1071" s="240"/>
      <c r="BZ1071" s="240"/>
      <c r="CA1071" s="240"/>
      <c r="CB1071" s="240"/>
      <c r="CC1071" s="240"/>
      <c r="CD1071" s="240"/>
      <c r="CE1071" s="240"/>
      <c r="CF1071" s="240"/>
      <c r="CG1071" s="240"/>
      <c r="CH1071" s="240"/>
      <c r="CI1071" s="240"/>
      <c r="CJ1071" s="240"/>
      <c r="CK1071" s="240"/>
      <c r="CL1071" s="240"/>
      <c r="CM1071" s="240"/>
      <c r="CN1071" s="240"/>
      <c r="CO1071" s="240"/>
      <c r="CP1071" s="240"/>
      <c r="CQ1071" s="240"/>
      <c r="CR1071" s="240"/>
      <c r="CS1071" s="240"/>
      <c r="CT1071" s="240"/>
      <c r="CU1071" s="240"/>
      <c r="CV1071" s="240"/>
      <c r="CW1071" s="240"/>
      <c r="CX1071" s="240"/>
      <c r="CY1071" s="240"/>
      <c r="CZ1071" s="241"/>
      <c r="DA1071" s="241"/>
      <c r="DB1071" s="241"/>
      <c r="DC1071" s="241"/>
      <c r="DD1071" s="241"/>
      <c r="DE1071" s="241"/>
      <c r="DF1071" s="241"/>
      <c r="DG1071" s="241"/>
      <c r="DH1071" s="241"/>
      <c r="DI1071" s="241"/>
      <c r="DJ1071" s="241"/>
      <c r="DK1071" s="241"/>
      <c r="DL1071" s="241"/>
      <c r="DM1071" s="241"/>
      <c r="DN1071" s="241"/>
      <c r="DO1071" s="241"/>
      <c r="DP1071" s="241"/>
      <c r="DQ1071" s="241"/>
      <c r="DR1071" s="241"/>
      <c r="DS1071" s="241"/>
      <c r="DT1071" s="241"/>
      <c r="DU1071" s="241"/>
      <c r="DV1071" s="241"/>
      <c r="DW1071" s="241"/>
      <c r="DX1071" s="241"/>
      <c r="DY1071" s="241"/>
      <c r="DZ1071" s="241"/>
      <c r="EA1071" s="241"/>
      <c r="EB1071" s="241"/>
      <c r="EC1071" s="241"/>
      <c r="ED1071" s="241"/>
      <c r="EE1071" s="241"/>
      <c r="EF1071" s="241"/>
      <c r="EG1071" s="241"/>
      <c r="EH1071" s="241"/>
      <c r="EI1071" s="241"/>
      <c r="EJ1071" s="241"/>
      <c r="EK1071" s="241"/>
      <c r="EL1071" s="345"/>
      <c r="EM1071" s="250"/>
      <c r="EN1071" s="245"/>
      <c r="EO1071" s="245"/>
      <c r="EP1071" s="245"/>
      <c r="EQ1071" s="351"/>
    </row>
    <row r="1072" spans="2:147" s="243" customFormat="1" ht="11.25" hidden="1" customHeight="1">
      <c r="B1072" s="343"/>
      <c r="C1072" s="240"/>
      <c r="D1072" s="240"/>
      <c r="E1072" s="240"/>
      <c r="F1072" s="240"/>
      <c r="G1072" s="240"/>
      <c r="H1072" s="240"/>
      <c r="I1072" s="240"/>
      <c r="J1072" s="240"/>
      <c r="K1072" s="240"/>
      <c r="L1072" s="240"/>
      <c r="M1072" s="240"/>
      <c r="N1072" s="240"/>
      <c r="O1072" s="240"/>
      <c r="P1072" s="240"/>
      <c r="Q1072" s="240"/>
      <c r="R1072" s="240"/>
      <c r="S1072" s="240"/>
      <c r="T1072" s="240"/>
      <c r="U1072" s="240"/>
      <c r="V1072" s="240"/>
      <c r="W1072" s="240"/>
      <c r="X1072" s="240"/>
      <c r="Y1072" s="240"/>
      <c r="Z1072" s="240"/>
      <c r="AA1072" s="240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240"/>
      <c r="AM1072" s="240"/>
      <c r="AN1072" s="240"/>
      <c r="AO1072" s="240"/>
      <c r="AP1072" s="240"/>
      <c r="AQ1072" s="240"/>
      <c r="AR1072" s="240"/>
      <c r="AS1072" s="240"/>
      <c r="AT1072" s="240"/>
      <c r="AU1072" s="240"/>
      <c r="AV1072" s="240"/>
      <c r="AW1072" s="240"/>
      <c r="AX1072" s="240"/>
      <c r="AY1072" s="240"/>
      <c r="AZ1072" s="240"/>
      <c r="BA1072" s="240"/>
      <c r="BB1072" s="240"/>
      <c r="BC1072" s="240"/>
      <c r="BD1072" s="240"/>
      <c r="BE1072" s="240"/>
      <c r="BF1072" s="240"/>
      <c r="BG1072" s="240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240"/>
      <c r="BT1072" s="240"/>
      <c r="BU1072" s="240"/>
      <c r="BV1072" s="240"/>
      <c r="BW1072" s="240"/>
      <c r="BX1072" s="240"/>
      <c r="BY1072" s="240"/>
      <c r="BZ1072" s="240"/>
      <c r="CA1072" s="240"/>
      <c r="CB1072" s="240"/>
      <c r="CC1072" s="240"/>
      <c r="CD1072" s="240"/>
      <c r="CE1072" s="240"/>
      <c r="CF1072" s="240"/>
      <c r="CG1072" s="240"/>
      <c r="CH1072" s="240"/>
      <c r="CI1072" s="240"/>
      <c r="CJ1072" s="240"/>
      <c r="CK1072" s="240"/>
      <c r="CL1072" s="240"/>
      <c r="CM1072" s="240"/>
      <c r="CN1072" s="240"/>
      <c r="CO1072" s="240"/>
      <c r="CP1072" s="240"/>
      <c r="CQ1072" s="240"/>
      <c r="CR1072" s="240"/>
      <c r="CS1072" s="240"/>
      <c r="CT1072" s="240"/>
      <c r="CU1072" s="240"/>
      <c r="CV1072" s="240"/>
      <c r="CW1072" s="240"/>
      <c r="CX1072" s="240"/>
      <c r="CY1072" s="240"/>
      <c r="CZ1072" s="241"/>
      <c r="DA1072" s="241"/>
      <c r="DB1072" s="241"/>
      <c r="DC1072" s="241"/>
      <c r="DD1072" s="241"/>
      <c r="DE1072" s="241"/>
      <c r="DF1072" s="241"/>
      <c r="DG1072" s="241"/>
      <c r="DH1072" s="241"/>
      <c r="DI1072" s="241"/>
      <c r="DJ1072" s="241"/>
      <c r="DK1072" s="241"/>
      <c r="DL1072" s="241"/>
      <c r="DM1072" s="241"/>
      <c r="DN1072" s="241"/>
      <c r="DO1072" s="241"/>
      <c r="DP1072" s="241"/>
      <c r="DQ1072" s="241"/>
      <c r="DR1072" s="241"/>
      <c r="DS1072" s="241"/>
      <c r="DT1072" s="241"/>
      <c r="DU1072" s="241"/>
      <c r="DV1072" s="241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345"/>
      <c r="EM1072" s="250"/>
      <c r="EN1072" s="245"/>
      <c r="EO1072" s="245"/>
      <c r="EP1072" s="245"/>
      <c r="EQ1072" s="351"/>
    </row>
    <row r="1073" spans="2:147" s="243" customFormat="1" ht="11.25" hidden="1" customHeight="1">
      <c r="B1073" s="343"/>
      <c r="C1073" s="240"/>
      <c r="D1073" s="240"/>
      <c r="E1073" s="240"/>
      <c r="F1073" s="240"/>
      <c r="G1073" s="240"/>
      <c r="H1073" s="240"/>
      <c r="I1073" s="240"/>
      <c r="J1073" s="240"/>
      <c r="K1073" s="240"/>
      <c r="L1073" s="240"/>
      <c r="M1073" s="240"/>
      <c r="N1073" s="240"/>
      <c r="O1073" s="240"/>
      <c r="P1073" s="240"/>
      <c r="Q1073" s="240"/>
      <c r="R1073" s="240"/>
      <c r="S1073" s="240"/>
      <c r="T1073" s="240"/>
      <c r="U1073" s="240"/>
      <c r="V1073" s="240"/>
      <c r="W1073" s="240"/>
      <c r="X1073" s="240"/>
      <c r="Y1073" s="240"/>
      <c r="Z1073" s="240"/>
      <c r="AA1073" s="240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240"/>
      <c r="AM1073" s="240"/>
      <c r="AN1073" s="240"/>
      <c r="AO1073" s="240"/>
      <c r="AP1073" s="240"/>
      <c r="AQ1073" s="240"/>
      <c r="AR1073" s="240"/>
      <c r="AS1073" s="240"/>
      <c r="AT1073" s="240"/>
      <c r="AU1073" s="240"/>
      <c r="AV1073" s="240"/>
      <c r="AW1073" s="240"/>
      <c r="AX1073" s="240"/>
      <c r="AY1073" s="240"/>
      <c r="AZ1073" s="240"/>
      <c r="BA1073" s="240"/>
      <c r="BB1073" s="240"/>
      <c r="BC1073" s="240"/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240"/>
      <c r="BV1073" s="240"/>
      <c r="BW1073" s="240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  <c r="CI1073" s="240"/>
      <c r="CJ1073" s="240"/>
      <c r="CK1073" s="240"/>
      <c r="CL1073" s="240"/>
      <c r="CM1073" s="240"/>
      <c r="CN1073" s="240"/>
      <c r="CO1073" s="240"/>
      <c r="CP1073" s="240"/>
      <c r="CQ1073" s="240"/>
      <c r="CR1073" s="240"/>
      <c r="CS1073" s="240"/>
      <c r="CT1073" s="240"/>
      <c r="CU1073" s="240"/>
      <c r="CV1073" s="240"/>
      <c r="CW1073" s="240"/>
      <c r="CX1073" s="240"/>
      <c r="CY1073" s="240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1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345"/>
      <c r="EM1073" s="250"/>
      <c r="EN1073" s="245"/>
      <c r="EO1073" s="245"/>
      <c r="EP1073" s="245"/>
      <c r="EQ1073" s="351"/>
    </row>
    <row r="1074" spans="2:147" s="243" customFormat="1" ht="11.25" hidden="1" customHeight="1">
      <c r="B1074" s="343"/>
      <c r="C1074" s="240"/>
      <c r="D1074" s="240"/>
      <c r="E1074" s="240"/>
      <c r="F1074" s="240"/>
      <c r="G1074" s="240"/>
      <c r="H1074" s="240"/>
      <c r="I1074" s="240"/>
      <c r="J1074" s="240"/>
      <c r="K1074" s="240"/>
      <c r="L1074" s="240"/>
      <c r="M1074" s="240"/>
      <c r="N1074" s="240"/>
      <c r="O1074" s="240"/>
      <c r="P1074" s="240"/>
      <c r="Q1074" s="240"/>
      <c r="R1074" s="240"/>
      <c r="S1074" s="240"/>
      <c r="T1074" s="240"/>
      <c r="U1074" s="240"/>
      <c r="V1074" s="240"/>
      <c r="W1074" s="240"/>
      <c r="X1074" s="240"/>
      <c r="Y1074" s="240"/>
      <c r="Z1074" s="240"/>
      <c r="AA1074" s="240"/>
      <c r="AB1074" s="240"/>
      <c r="AC1074" s="240"/>
      <c r="AD1074" s="240"/>
      <c r="AE1074" s="240"/>
      <c r="AF1074" s="240"/>
      <c r="AG1074" s="240"/>
      <c r="AH1074" s="240"/>
      <c r="AI1074" s="240"/>
      <c r="AJ1074" s="240"/>
      <c r="AK1074" s="240"/>
      <c r="AL1074" s="240"/>
      <c r="AM1074" s="240"/>
      <c r="AN1074" s="240"/>
      <c r="AO1074" s="240"/>
      <c r="AP1074" s="240"/>
      <c r="AQ1074" s="240"/>
      <c r="AR1074" s="240"/>
      <c r="AS1074" s="240"/>
      <c r="AT1074" s="240"/>
      <c r="AU1074" s="240"/>
      <c r="AV1074" s="240"/>
      <c r="AW1074" s="240"/>
      <c r="AX1074" s="240"/>
      <c r="AY1074" s="240"/>
      <c r="AZ1074" s="240"/>
      <c r="BA1074" s="240"/>
      <c r="BB1074" s="240"/>
      <c r="BC1074" s="240"/>
      <c r="BD1074" s="240"/>
      <c r="BE1074" s="240"/>
      <c r="BF1074" s="240"/>
      <c r="BG1074" s="240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240"/>
      <c r="BT1074" s="240"/>
      <c r="BU1074" s="240"/>
      <c r="BV1074" s="240"/>
      <c r="BW1074" s="240"/>
      <c r="BX1074" s="240"/>
      <c r="BY1074" s="240"/>
      <c r="BZ1074" s="240"/>
      <c r="CA1074" s="240"/>
      <c r="CB1074" s="240"/>
      <c r="CC1074" s="240"/>
      <c r="CD1074" s="240"/>
      <c r="CE1074" s="240"/>
      <c r="CF1074" s="240"/>
      <c r="CG1074" s="240"/>
      <c r="CH1074" s="240"/>
      <c r="CI1074" s="240"/>
      <c r="CJ1074" s="240"/>
      <c r="CK1074" s="240"/>
      <c r="CL1074" s="240"/>
      <c r="CM1074" s="240"/>
      <c r="CN1074" s="240"/>
      <c r="CO1074" s="240"/>
      <c r="CP1074" s="240"/>
      <c r="CQ1074" s="240"/>
      <c r="CR1074" s="240"/>
      <c r="CS1074" s="240"/>
      <c r="CT1074" s="240"/>
      <c r="CU1074" s="240"/>
      <c r="CV1074" s="240"/>
      <c r="CW1074" s="240"/>
      <c r="CX1074" s="240"/>
      <c r="CY1074" s="240"/>
      <c r="CZ1074" s="241"/>
      <c r="DA1074" s="241"/>
      <c r="DB1074" s="241"/>
      <c r="DC1074" s="241"/>
      <c r="DD1074" s="241"/>
      <c r="DE1074" s="241"/>
      <c r="DF1074" s="241"/>
      <c r="DG1074" s="241"/>
      <c r="DH1074" s="241"/>
      <c r="DI1074" s="241"/>
      <c r="DJ1074" s="241"/>
      <c r="DK1074" s="241"/>
      <c r="DL1074" s="241"/>
      <c r="DM1074" s="241"/>
      <c r="DN1074" s="241"/>
      <c r="DO1074" s="241"/>
      <c r="DP1074" s="241"/>
      <c r="DQ1074" s="241"/>
      <c r="DR1074" s="241"/>
      <c r="DS1074" s="241"/>
      <c r="DT1074" s="241"/>
      <c r="DU1074" s="241"/>
      <c r="DV1074" s="241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345"/>
      <c r="EM1074" s="250"/>
      <c r="EN1074" s="245"/>
      <c r="EO1074" s="245"/>
      <c r="EP1074" s="245"/>
      <c r="EQ1074" s="351"/>
    </row>
    <row r="1075" spans="2:147" s="243" customFormat="1" ht="11.25" hidden="1" customHeight="1">
      <c r="B1075" s="343"/>
      <c r="C1075" s="240"/>
      <c r="D1075" s="240"/>
      <c r="E1075" s="240"/>
      <c r="F1075" s="240"/>
      <c r="G1075" s="240"/>
      <c r="H1075" s="240"/>
      <c r="I1075" s="240"/>
      <c r="J1075" s="240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40"/>
      <c r="AD1075" s="240"/>
      <c r="AE1075" s="240"/>
      <c r="AF1075" s="240"/>
      <c r="AG1075" s="240"/>
      <c r="AH1075" s="240"/>
      <c r="AI1075" s="240"/>
      <c r="AJ1075" s="240"/>
      <c r="AK1075" s="240"/>
      <c r="AL1075" s="240"/>
      <c r="AM1075" s="240"/>
      <c r="AN1075" s="240"/>
      <c r="AO1075" s="240"/>
      <c r="AP1075" s="240"/>
      <c r="AQ1075" s="240"/>
      <c r="AR1075" s="240"/>
      <c r="AS1075" s="240"/>
      <c r="AT1075" s="240"/>
      <c r="AU1075" s="240"/>
      <c r="AV1075" s="240"/>
      <c r="AW1075" s="240"/>
      <c r="AX1075" s="240"/>
      <c r="AY1075" s="240"/>
      <c r="AZ1075" s="240"/>
      <c r="BA1075" s="240"/>
      <c r="BB1075" s="240"/>
      <c r="BC1075" s="240"/>
      <c r="BD1075" s="240"/>
      <c r="BE1075" s="240"/>
      <c r="BF1075" s="240"/>
      <c r="BG1075" s="240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240"/>
      <c r="BT1075" s="240"/>
      <c r="BU1075" s="240"/>
      <c r="BV1075" s="240"/>
      <c r="BW1075" s="240"/>
      <c r="BX1075" s="240"/>
      <c r="BY1075" s="240"/>
      <c r="BZ1075" s="240"/>
      <c r="CA1075" s="240"/>
      <c r="CB1075" s="240"/>
      <c r="CC1075" s="240"/>
      <c r="CD1075" s="240"/>
      <c r="CE1075" s="240"/>
      <c r="CF1075" s="240"/>
      <c r="CG1075" s="240"/>
      <c r="CH1075" s="240"/>
      <c r="CI1075" s="240"/>
      <c r="CJ1075" s="240"/>
      <c r="CK1075" s="240"/>
      <c r="CL1075" s="240"/>
      <c r="CM1075" s="240"/>
      <c r="CN1075" s="240"/>
      <c r="CO1075" s="240"/>
      <c r="CP1075" s="240"/>
      <c r="CQ1075" s="240"/>
      <c r="CR1075" s="240"/>
      <c r="CS1075" s="240"/>
      <c r="CT1075" s="240"/>
      <c r="CU1075" s="240"/>
      <c r="CV1075" s="240"/>
      <c r="CW1075" s="240"/>
      <c r="CX1075" s="240"/>
      <c r="CY1075" s="240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1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345"/>
      <c r="EM1075" s="250"/>
      <c r="EN1075" s="245"/>
      <c r="EO1075" s="245"/>
      <c r="EP1075" s="245"/>
      <c r="EQ1075" s="351"/>
    </row>
    <row r="1076" spans="2:147" s="243" customFormat="1" ht="11.25" hidden="1" customHeight="1">
      <c r="B1076" s="343"/>
      <c r="C1076" s="240"/>
      <c r="D1076" s="240"/>
      <c r="E1076" s="240"/>
      <c r="F1076" s="240"/>
      <c r="G1076" s="240"/>
      <c r="H1076" s="240"/>
      <c r="I1076" s="240"/>
      <c r="J1076" s="240"/>
      <c r="K1076" s="240"/>
      <c r="L1076" s="240"/>
      <c r="M1076" s="240"/>
      <c r="N1076" s="240"/>
      <c r="O1076" s="240"/>
      <c r="P1076" s="240"/>
      <c r="Q1076" s="240"/>
      <c r="R1076" s="240"/>
      <c r="S1076" s="240"/>
      <c r="T1076" s="240"/>
      <c r="U1076" s="240"/>
      <c r="V1076" s="240"/>
      <c r="W1076" s="240"/>
      <c r="X1076" s="240"/>
      <c r="Y1076" s="240"/>
      <c r="Z1076" s="240"/>
      <c r="AA1076" s="240"/>
      <c r="AB1076" s="240"/>
      <c r="AC1076" s="240"/>
      <c r="AD1076" s="240"/>
      <c r="AE1076" s="240"/>
      <c r="AF1076" s="240"/>
      <c r="AG1076" s="240"/>
      <c r="AH1076" s="240"/>
      <c r="AI1076" s="240"/>
      <c r="AJ1076" s="240"/>
      <c r="AK1076" s="240"/>
      <c r="AL1076" s="240"/>
      <c r="AM1076" s="240"/>
      <c r="AN1076" s="240"/>
      <c r="AO1076" s="240"/>
      <c r="AP1076" s="240"/>
      <c r="AQ1076" s="240"/>
      <c r="AR1076" s="240"/>
      <c r="AS1076" s="240"/>
      <c r="AT1076" s="240"/>
      <c r="AU1076" s="240"/>
      <c r="AV1076" s="240"/>
      <c r="AW1076" s="240"/>
      <c r="AX1076" s="240"/>
      <c r="AY1076" s="240"/>
      <c r="AZ1076" s="240"/>
      <c r="BA1076" s="240"/>
      <c r="BB1076" s="240"/>
      <c r="BC1076" s="240"/>
      <c r="BD1076" s="240"/>
      <c r="BE1076" s="240"/>
      <c r="BF1076" s="240"/>
      <c r="BG1076" s="240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240"/>
      <c r="BT1076" s="240"/>
      <c r="BU1076" s="240"/>
      <c r="BV1076" s="240"/>
      <c r="BW1076" s="240"/>
      <c r="BX1076" s="240"/>
      <c r="BY1076" s="240"/>
      <c r="BZ1076" s="240"/>
      <c r="CA1076" s="240"/>
      <c r="CB1076" s="240"/>
      <c r="CC1076" s="240"/>
      <c r="CD1076" s="240"/>
      <c r="CE1076" s="240"/>
      <c r="CF1076" s="240"/>
      <c r="CG1076" s="240"/>
      <c r="CH1076" s="240"/>
      <c r="CI1076" s="240"/>
      <c r="CJ1076" s="240"/>
      <c r="CK1076" s="240"/>
      <c r="CL1076" s="240"/>
      <c r="CM1076" s="240"/>
      <c r="CN1076" s="240"/>
      <c r="CO1076" s="240"/>
      <c r="CP1076" s="240"/>
      <c r="CQ1076" s="240"/>
      <c r="CR1076" s="240"/>
      <c r="CS1076" s="240"/>
      <c r="CT1076" s="240"/>
      <c r="CU1076" s="240"/>
      <c r="CV1076" s="240"/>
      <c r="CW1076" s="240"/>
      <c r="CX1076" s="240"/>
      <c r="CY1076" s="240"/>
      <c r="CZ1076" s="241"/>
      <c r="DA1076" s="241"/>
      <c r="DB1076" s="241"/>
      <c r="DC1076" s="241"/>
      <c r="DD1076" s="241"/>
      <c r="DE1076" s="241"/>
      <c r="DF1076" s="241"/>
      <c r="DG1076" s="241"/>
      <c r="DH1076" s="241"/>
      <c r="DI1076" s="241"/>
      <c r="DJ1076" s="241"/>
      <c r="DK1076" s="241"/>
      <c r="DL1076" s="241"/>
      <c r="DM1076" s="241"/>
      <c r="DN1076" s="241"/>
      <c r="DO1076" s="241"/>
      <c r="DP1076" s="241"/>
      <c r="DQ1076" s="241"/>
      <c r="DR1076" s="241"/>
      <c r="DS1076" s="241"/>
      <c r="DT1076" s="241"/>
      <c r="DU1076" s="241"/>
      <c r="DV1076" s="241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345"/>
      <c r="EM1076" s="250"/>
      <c r="EN1076" s="245"/>
      <c r="EO1076" s="245"/>
      <c r="EP1076" s="245"/>
      <c r="EQ1076" s="351"/>
    </row>
    <row r="1077" spans="2:147" s="243" customFormat="1" ht="11.25" hidden="1" customHeight="1">
      <c r="B1077" s="343"/>
      <c r="C1077" s="240"/>
      <c r="D1077" s="240"/>
      <c r="E1077" s="240"/>
      <c r="F1077" s="240"/>
      <c r="G1077" s="240"/>
      <c r="H1077" s="240"/>
      <c r="I1077" s="240"/>
      <c r="J1077" s="240"/>
      <c r="K1077" s="240"/>
      <c r="L1077" s="240"/>
      <c r="M1077" s="240"/>
      <c r="N1077" s="240"/>
      <c r="O1077" s="240"/>
      <c r="P1077" s="240"/>
      <c r="Q1077" s="240"/>
      <c r="R1077" s="240"/>
      <c r="S1077" s="240"/>
      <c r="T1077" s="240"/>
      <c r="U1077" s="240"/>
      <c r="V1077" s="240"/>
      <c r="W1077" s="240"/>
      <c r="X1077" s="240"/>
      <c r="Y1077" s="240"/>
      <c r="Z1077" s="240"/>
      <c r="AA1077" s="240"/>
      <c r="AB1077" s="240"/>
      <c r="AC1077" s="240"/>
      <c r="AD1077" s="240"/>
      <c r="AE1077" s="240"/>
      <c r="AF1077" s="240"/>
      <c r="AG1077" s="240"/>
      <c r="AH1077" s="240"/>
      <c r="AI1077" s="240"/>
      <c r="AJ1077" s="240"/>
      <c r="AK1077" s="240"/>
      <c r="AL1077" s="240"/>
      <c r="AM1077" s="240"/>
      <c r="AN1077" s="240"/>
      <c r="AO1077" s="240"/>
      <c r="AP1077" s="240"/>
      <c r="AQ1077" s="240"/>
      <c r="AR1077" s="240"/>
      <c r="AS1077" s="240"/>
      <c r="AT1077" s="240"/>
      <c r="AU1077" s="240"/>
      <c r="AV1077" s="240"/>
      <c r="AW1077" s="240"/>
      <c r="AX1077" s="240"/>
      <c r="AY1077" s="240"/>
      <c r="AZ1077" s="240"/>
      <c r="BA1077" s="240"/>
      <c r="BB1077" s="240"/>
      <c r="BC1077" s="240"/>
      <c r="BD1077" s="240"/>
      <c r="BE1077" s="240"/>
      <c r="BF1077" s="240"/>
      <c r="BG1077" s="240"/>
      <c r="BH1077" s="240"/>
      <c r="BI1077" s="240"/>
      <c r="BJ1077" s="240"/>
      <c r="BK1077" s="240"/>
      <c r="BL1077" s="240"/>
      <c r="BM1077" s="240"/>
      <c r="BN1077" s="240"/>
      <c r="BO1077" s="240"/>
      <c r="BP1077" s="240"/>
      <c r="BQ1077" s="240"/>
      <c r="BR1077" s="240"/>
      <c r="BS1077" s="240"/>
      <c r="BT1077" s="240"/>
      <c r="BU1077" s="240"/>
      <c r="BV1077" s="240"/>
      <c r="BW1077" s="240"/>
      <c r="BX1077" s="240"/>
      <c r="BY1077" s="240"/>
      <c r="BZ1077" s="240"/>
      <c r="CA1077" s="240"/>
      <c r="CB1077" s="240"/>
      <c r="CC1077" s="240"/>
      <c r="CD1077" s="240"/>
      <c r="CE1077" s="240"/>
      <c r="CF1077" s="240"/>
      <c r="CG1077" s="240"/>
      <c r="CH1077" s="240"/>
      <c r="CI1077" s="240"/>
      <c r="CJ1077" s="240"/>
      <c r="CK1077" s="240"/>
      <c r="CL1077" s="240"/>
      <c r="CM1077" s="240"/>
      <c r="CN1077" s="240"/>
      <c r="CO1077" s="240"/>
      <c r="CP1077" s="240"/>
      <c r="CQ1077" s="240"/>
      <c r="CR1077" s="240"/>
      <c r="CS1077" s="240"/>
      <c r="CT1077" s="240"/>
      <c r="CU1077" s="240"/>
      <c r="CV1077" s="240"/>
      <c r="CW1077" s="240"/>
      <c r="CX1077" s="240"/>
      <c r="CY1077" s="240"/>
      <c r="CZ1077" s="241"/>
      <c r="DA1077" s="241"/>
      <c r="DB1077" s="241"/>
      <c r="DC1077" s="241"/>
      <c r="DD1077" s="241"/>
      <c r="DE1077" s="241"/>
      <c r="DF1077" s="241"/>
      <c r="DG1077" s="241"/>
      <c r="DH1077" s="241"/>
      <c r="DI1077" s="241"/>
      <c r="DJ1077" s="241"/>
      <c r="DK1077" s="241"/>
      <c r="DL1077" s="241"/>
      <c r="DM1077" s="241"/>
      <c r="DN1077" s="241"/>
      <c r="DO1077" s="241"/>
      <c r="DP1077" s="241"/>
      <c r="DQ1077" s="241"/>
      <c r="DR1077" s="241"/>
      <c r="DS1077" s="241"/>
      <c r="DT1077" s="241"/>
      <c r="DU1077" s="241"/>
      <c r="DV1077" s="241"/>
      <c r="DW1077" s="241"/>
      <c r="DX1077" s="241"/>
      <c r="DY1077" s="241"/>
      <c r="DZ1077" s="241"/>
      <c r="EA1077" s="241"/>
      <c r="EB1077" s="241"/>
      <c r="EC1077" s="241"/>
      <c r="ED1077" s="241"/>
      <c r="EE1077" s="241"/>
      <c r="EF1077" s="241"/>
      <c r="EG1077" s="241"/>
      <c r="EH1077" s="241"/>
      <c r="EI1077" s="241"/>
      <c r="EJ1077" s="241"/>
      <c r="EK1077" s="241"/>
      <c r="EL1077" s="345"/>
      <c r="EM1077" s="250"/>
      <c r="EN1077" s="245"/>
      <c r="EO1077" s="245"/>
      <c r="EP1077" s="245"/>
      <c r="EQ1077" s="351"/>
    </row>
    <row r="1078" spans="2:147" s="243" customFormat="1" ht="11.25" hidden="1" customHeight="1">
      <c r="B1078" s="343"/>
      <c r="C1078" s="240"/>
      <c r="D1078" s="240"/>
      <c r="E1078" s="240"/>
      <c r="F1078" s="240"/>
      <c r="G1078" s="240"/>
      <c r="H1078" s="240"/>
      <c r="I1078" s="240"/>
      <c r="J1078" s="240"/>
      <c r="K1078" s="240"/>
      <c r="L1078" s="240"/>
      <c r="M1078" s="240"/>
      <c r="N1078" s="240"/>
      <c r="O1078" s="240"/>
      <c r="P1078" s="240"/>
      <c r="Q1078" s="240"/>
      <c r="R1078" s="240"/>
      <c r="S1078" s="240"/>
      <c r="T1078" s="240"/>
      <c r="U1078" s="240"/>
      <c r="V1078" s="240"/>
      <c r="W1078" s="240"/>
      <c r="X1078" s="240"/>
      <c r="Y1078" s="240"/>
      <c r="Z1078" s="240"/>
      <c r="AA1078" s="240"/>
      <c r="AB1078" s="240"/>
      <c r="AC1078" s="240"/>
      <c r="AD1078" s="240"/>
      <c r="AE1078" s="240"/>
      <c r="AF1078" s="240"/>
      <c r="AG1078" s="240"/>
      <c r="AH1078" s="240"/>
      <c r="AI1078" s="240"/>
      <c r="AJ1078" s="240"/>
      <c r="AK1078" s="240"/>
      <c r="AL1078" s="240"/>
      <c r="AM1078" s="240"/>
      <c r="AN1078" s="240"/>
      <c r="AO1078" s="240"/>
      <c r="AP1078" s="240"/>
      <c r="AQ1078" s="240"/>
      <c r="AR1078" s="240"/>
      <c r="AS1078" s="240"/>
      <c r="AT1078" s="240"/>
      <c r="AU1078" s="240"/>
      <c r="AV1078" s="240"/>
      <c r="AW1078" s="240"/>
      <c r="AX1078" s="240"/>
      <c r="AY1078" s="240"/>
      <c r="AZ1078" s="240"/>
      <c r="BA1078" s="240"/>
      <c r="BB1078" s="240"/>
      <c r="BC1078" s="240"/>
      <c r="BD1078" s="240"/>
      <c r="BE1078" s="240"/>
      <c r="BF1078" s="240"/>
      <c r="BG1078" s="240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240"/>
      <c r="BT1078" s="240"/>
      <c r="BU1078" s="240"/>
      <c r="BV1078" s="240"/>
      <c r="BW1078" s="240"/>
      <c r="BX1078" s="240"/>
      <c r="BY1078" s="240"/>
      <c r="BZ1078" s="240"/>
      <c r="CA1078" s="240"/>
      <c r="CB1078" s="240"/>
      <c r="CC1078" s="240"/>
      <c r="CD1078" s="240"/>
      <c r="CE1078" s="240"/>
      <c r="CF1078" s="240"/>
      <c r="CG1078" s="240"/>
      <c r="CH1078" s="240"/>
      <c r="CI1078" s="240"/>
      <c r="CJ1078" s="240"/>
      <c r="CK1078" s="240"/>
      <c r="CL1078" s="240"/>
      <c r="CM1078" s="240"/>
      <c r="CN1078" s="240"/>
      <c r="CO1078" s="240"/>
      <c r="CP1078" s="240"/>
      <c r="CQ1078" s="240"/>
      <c r="CR1078" s="240"/>
      <c r="CS1078" s="240"/>
      <c r="CT1078" s="240"/>
      <c r="CU1078" s="240"/>
      <c r="CV1078" s="240"/>
      <c r="CW1078" s="240"/>
      <c r="CX1078" s="240"/>
      <c r="CY1078" s="240"/>
      <c r="CZ1078" s="241"/>
      <c r="DA1078" s="241"/>
      <c r="DB1078" s="241"/>
      <c r="DC1078" s="241"/>
      <c r="DD1078" s="241"/>
      <c r="DE1078" s="241"/>
      <c r="DF1078" s="241"/>
      <c r="DG1078" s="241"/>
      <c r="DH1078" s="241"/>
      <c r="DI1078" s="241"/>
      <c r="DJ1078" s="241"/>
      <c r="DK1078" s="241"/>
      <c r="DL1078" s="241"/>
      <c r="DM1078" s="241"/>
      <c r="DN1078" s="241"/>
      <c r="DO1078" s="241"/>
      <c r="DP1078" s="241"/>
      <c r="DQ1078" s="241"/>
      <c r="DR1078" s="241"/>
      <c r="DS1078" s="241"/>
      <c r="DT1078" s="241"/>
      <c r="DU1078" s="241"/>
      <c r="DV1078" s="241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345"/>
      <c r="EM1078" s="250"/>
      <c r="EN1078" s="245"/>
      <c r="EO1078" s="245"/>
      <c r="EP1078" s="245"/>
      <c r="EQ1078" s="351"/>
    </row>
    <row r="1079" spans="2:147" s="243" customFormat="1" ht="11.25" hidden="1" customHeight="1">
      <c r="B1079" s="343"/>
      <c r="C1079" s="240"/>
      <c r="D1079" s="240"/>
      <c r="E1079" s="240"/>
      <c r="F1079" s="240"/>
      <c r="G1079" s="240"/>
      <c r="H1079" s="240"/>
      <c r="I1079" s="240"/>
      <c r="J1079" s="240"/>
      <c r="K1079" s="240"/>
      <c r="L1079" s="240"/>
      <c r="M1079" s="240"/>
      <c r="N1079" s="240"/>
      <c r="O1079" s="240"/>
      <c r="P1079" s="240"/>
      <c r="Q1079" s="240"/>
      <c r="R1079" s="240"/>
      <c r="S1079" s="240"/>
      <c r="T1079" s="240"/>
      <c r="U1079" s="240"/>
      <c r="V1079" s="240"/>
      <c r="W1079" s="240"/>
      <c r="X1079" s="240"/>
      <c r="Y1079" s="240"/>
      <c r="Z1079" s="240"/>
      <c r="AA1079" s="240"/>
      <c r="AB1079" s="240"/>
      <c r="AC1079" s="240"/>
      <c r="AD1079" s="240"/>
      <c r="AE1079" s="240"/>
      <c r="AF1079" s="240"/>
      <c r="AG1079" s="240"/>
      <c r="AH1079" s="240"/>
      <c r="AI1079" s="240"/>
      <c r="AJ1079" s="240"/>
      <c r="AK1079" s="240"/>
      <c r="AL1079" s="240"/>
      <c r="AM1079" s="240"/>
      <c r="AN1079" s="240"/>
      <c r="AO1079" s="240"/>
      <c r="AP1079" s="240"/>
      <c r="AQ1079" s="240"/>
      <c r="AR1079" s="240"/>
      <c r="AS1079" s="240"/>
      <c r="AT1079" s="240"/>
      <c r="AU1079" s="240"/>
      <c r="AV1079" s="240"/>
      <c r="AW1079" s="240"/>
      <c r="AX1079" s="240"/>
      <c r="AY1079" s="240"/>
      <c r="AZ1079" s="240"/>
      <c r="BA1079" s="240"/>
      <c r="BB1079" s="240"/>
      <c r="BC1079" s="240"/>
      <c r="BD1079" s="240"/>
      <c r="BE1079" s="240"/>
      <c r="BF1079" s="240"/>
      <c r="BG1079" s="240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240"/>
      <c r="BT1079" s="240"/>
      <c r="BU1079" s="240"/>
      <c r="BV1079" s="240"/>
      <c r="BW1079" s="240"/>
      <c r="BX1079" s="240"/>
      <c r="BY1079" s="240"/>
      <c r="BZ1079" s="240"/>
      <c r="CA1079" s="240"/>
      <c r="CB1079" s="240"/>
      <c r="CC1079" s="240"/>
      <c r="CD1079" s="240"/>
      <c r="CE1079" s="240"/>
      <c r="CF1079" s="240"/>
      <c r="CG1079" s="240"/>
      <c r="CH1079" s="240"/>
      <c r="CI1079" s="240"/>
      <c r="CJ1079" s="240"/>
      <c r="CK1079" s="240"/>
      <c r="CL1079" s="240"/>
      <c r="CM1079" s="240"/>
      <c r="CN1079" s="240"/>
      <c r="CO1079" s="240"/>
      <c r="CP1079" s="240"/>
      <c r="CQ1079" s="240"/>
      <c r="CR1079" s="240"/>
      <c r="CS1079" s="240"/>
      <c r="CT1079" s="240"/>
      <c r="CU1079" s="240"/>
      <c r="CV1079" s="240"/>
      <c r="CW1079" s="240"/>
      <c r="CX1079" s="240"/>
      <c r="CY1079" s="240"/>
      <c r="CZ1079" s="241"/>
      <c r="DA1079" s="241"/>
      <c r="DB1079" s="241"/>
      <c r="DC1079" s="241"/>
      <c r="DD1079" s="241"/>
      <c r="DE1079" s="241"/>
      <c r="DF1079" s="241"/>
      <c r="DG1079" s="241"/>
      <c r="DH1079" s="241"/>
      <c r="DI1079" s="241"/>
      <c r="DJ1079" s="241"/>
      <c r="DK1079" s="241"/>
      <c r="DL1079" s="241"/>
      <c r="DM1079" s="241"/>
      <c r="DN1079" s="241"/>
      <c r="DO1079" s="241"/>
      <c r="DP1079" s="241"/>
      <c r="DQ1079" s="241"/>
      <c r="DR1079" s="241"/>
      <c r="DS1079" s="241"/>
      <c r="DT1079" s="241"/>
      <c r="DU1079" s="241"/>
      <c r="DV1079" s="241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345"/>
      <c r="EM1079" s="250"/>
      <c r="EN1079" s="245"/>
      <c r="EO1079" s="245"/>
      <c r="EP1079" s="245"/>
      <c r="EQ1079" s="351"/>
    </row>
    <row r="1080" spans="2:147" s="243" customFormat="1" ht="11.25" hidden="1" customHeight="1">
      <c r="B1080" s="343"/>
      <c r="C1080" s="240"/>
      <c r="D1080" s="240"/>
      <c r="E1080" s="240"/>
      <c r="F1080" s="240"/>
      <c r="G1080" s="240"/>
      <c r="H1080" s="240"/>
      <c r="I1080" s="240"/>
      <c r="J1080" s="240"/>
      <c r="K1080" s="240"/>
      <c r="L1080" s="240"/>
      <c r="M1080" s="240"/>
      <c r="N1080" s="240"/>
      <c r="O1080" s="240"/>
      <c r="P1080" s="240"/>
      <c r="Q1080" s="240"/>
      <c r="R1080" s="240"/>
      <c r="S1080" s="240"/>
      <c r="T1080" s="240"/>
      <c r="U1080" s="240"/>
      <c r="V1080" s="240"/>
      <c r="W1080" s="240"/>
      <c r="X1080" s="240"/>
      <c r="Y1080" s="240"/>
      <c r="Z1080" s="240"/>
      <c r="AA1080" s="240"/>
      <c r="AB1080" s="240"/>
      <c r="AC1080" s="240"/>
      <c r="AD1080" s="240"/>
      <c r="AE1080" s="240"/>
      <c r="AF1080" s="240"/>
      <c r="AG1080" s="240"/>
      <c r="AH1080" s="240"/>
      <c r="AI1080" s="240"/>
      <c r="AJ1080" s="240"/>
      <c r="AK1080" s="240"/>
      <c r="AL1080" s="240"/>
      <c r="AM1080" s="240"/>
      <c r="AN1080" s="240"/>
      <c r="AO1080" s="240"/>
      <c r="AP1080" s="240"/>
      <c r="AQ1080" s="240"/>
      <c r="AR1080" s="240"/>
      <c r="AS1080" s="240"/>
      <c r="AT1080" s="240"/>
      <c r="AU1080" s="240"/>
      <c r="AV1080" s="240"/>
      <c r="AW1080" s="240"/>
      <c r="AX1080" s="240"/>
      <c r="AY1080" s="240"/>
      <c r="AZ1080" s="240"/>
      <c r="BA1080" s="240"/>
      <c r="BB1080" s="240"/>
      <c r="BC1080" s="240"/>
      <c r="BD1080" s="240"/>
      <c r="BE1080" s="240"/>
      <c r="BF1080" s="240"/>
      <c r="BG1080" s="240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240"/>
      <c r="BT1080" s="240"/>
      <c r="BU1080" s="240"/>
      <c r="BV1080" s="240"/>
      <c r="BW1080" s="240"/>
      <c r="BX1080" s="240"/>
      <c r="BY1080" s="240"/>
      <c r="BZ1080" s="240"/>
      <c r="CA1080" s="240"/>
      <c r="CB1080" s="240"/>
      <c r="CC1080" s="240"/>
      <c r="CD1080" s="240"/>
      <c r="CE1080" s="240"/>
      <c r="CF1080" s="240"/>
      <c r="CG1080" s="240"/>
      <c r="CH1080" s="240"/>
      <c r="CI1080" s="240"/>
      <c r="CJ1080" s="240"/>
      <c r="CK1080" s="240"/>
      <c r="CL1080" s="240"/>
      <c r="CM1080" s="240"/>
      <c r="CN1080" s="240"/>
      <c r="CO1080" s="240"/>
      <c r="CP1080" s="240"/>
      <c r="CQ1080" s="240"/>
      <c r="CR1080" s="240"/>
      <c r="CS1080" s="240"/>
      <c r="CT1080" s="240"/>
      <c r="CU1080" s="240"/>
      <c r="CV1080" s="240"/>
      <c r="CW1080" s="240"/>
      <c r="CX1080" s="240"/>
      <c r="CY1080" s="240"/>
      <c r="CZ1080" s="241"/>
      <c r="DA1080" s="241"/>
      <c r="DB1080" s="241"/>
      <c r="DC1080" s="241"/>
      <c r="DD1080" s="241"/>
      <c r="DE1080" s="241"/>
      <c r="DF1080" s="241"/>
      <c r="DG1080" s="241"/>
      <c r="DH1080" s="241"/>
      <c r="DI1080" s="241"/>
      <c r="DJ1080" s="241"/>
      <c r="DK1080" s="241"/>
      <c r="DL1080" s="241"/>
      <c r="DM1080" s="241"/>
      <c r="DN1080" s="241"/>
      <c r="DO1080" s="241"/>
      <c r="DP1080" s="241"/>
      <c r="DQ1080" s="241"/>
      <c r="DR1080" s="241"/>
      <c r="DS1080" s="241"/>
      <c r="DT1080" s="241"/>
      <c r="DU1080" s="241"/>
      <c r="DV1080" s="241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345"/>
      <c r="EM1080" s="250"/>
      <c r="EN1080" s="245"/>
      <c r="EO1080" s="245"/>
      <c r="EP1080" s="245"/>
      <c r="EQ1080" s="351"/>
    </row>
    <row r="1081" spans="2:147" s="243" customFormat="1" ht="11.25" hidden="1" customHeight="1">
      <c r="B1081" s="343"/>
      <c r="C1081" s="240"/>
      <c r="D1081" s="240"/>
      <c r="E1081" s="240"/>
      <c r="F1081" s="240"/>
      <c r="G1081" s="240"/>
      <c r="H1081" s="240"/>
      <c r="I1081" s="240"/>
      <c r="J1081" s="240"/>
      <c r="K1081" s="240"/>
      <c r="L1081" s="240"/>
      <c r="M1081" s="240"/>
      <c r="N1081" s="240"/>
      <c r="O1081" s="240"/>
      <c r="P1081" s="240"/>
      <c r="Q1081" s="240"/>
      <c r="R1081" s="240"/>
      <c r="S1081" s="240"/>
      <c r="T1081" s="240"/>
      <c r="U1081" s="240"/>
      <c r="V1081" s="240"/>
      <c r="W1081" s="240"/>
      <c r="X1081" s="240"/>
      <c r="Y1081" s="240"/>
      <c r="Z1081" s="240"/>
      <c r="AA1081" s="240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240"/>
      <c r="AM1081" s="240"/>
      <c r="AN1081" s="240"/>
      <c r="AO1081" s="240"/>
      <c r="AP1081" s="240"/>
      <c r="AQ1081" s="240"/>
      <c r="AR1081" s="240"/>
      <c r="AS1081" s="240"/>
      <c r="AT1081" s="240"/>
      <c r="AU1081" s="240"/>
      <c r="AV1081" s="240"/>
      <c r="AW1081" s="240"/>
      <c r="AX1081" s="240"/>
      <c r="AY1081" s="240"/>
      <c r="AZ1081" s="240"/>
      <c r="BA1081" s="240"/>
      <c r="BB1081" s="240"/>
      <c r="BC1081" s="240"/>
      <c r="BD1081" s="240"/>
      <c r="BE1081" s="240"/>
      <c r="BF1081" s="240"/>
      <c r="BG1081" s="240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240"/>
      <c r="BT1081" s="240"/>
      <c r="BU1081" s="240"/>
      <c r="BV1081" s="240"/>
      <c r="BW1081" s="240"/>
      <c r="BX1081" s="240"/>
      <c r="BY1081" s="240"/>
      <c r="BZ1081" s="240"/>
      <c r="CA1081" s="240"/>
      <c r="CB1081" s="240"/>
      <c r="CC1081" s="240"/>
      <c r="CD1081" s="240"/>
      <c r="CE1081" s="240"/>
      <c r="CF1081" s="240"/>
      <c r="CG1081" s="240"/>
      <c r="CH1081" s="240"/>
      <c r="CI1081" s="240"/>
      <c r="CJ1081" s="240"/>
      <c r="CK1081" s="240"/>
      <c r="CL1081" s="240"/>
      <c r="CM1081" s="240"/>
      <c r="CN1081" s="240"/>
      <c r="CO1081" s="240"/>
      <c r="CP1081" s="240"/>
      <c r="CQ1081" s="240"/>
      <c r="CR1081" s="240"/>
      <c r="CS1081" s="240"/>
      <c r="CT1081" s="240"/>
      <c r="CU1081" s="240"/>
      <c r="CV1081" s="240"/>
      <c r="CW1081" s="240"/>
      <c r="CX1081" s="240"/>
      <c r="CY1081" s="240"/>
      <c r="CZ1081" s="241"/>
      <c r="DA1081" s="241"/>
      <c r="DB1081" s="241"/>
      <c r="DC1081" s="241"/>
      <c r="DD1081" s="241"/>
      <c r="DE1081" s="241"/>
      <c r="DF1081" s="241"/>
      <c r="DG1081" s="241"/>
      <c r="DH1081" s="241"/>
      <c r="DI1081" s="241"/>
      <c r="DJ1081" s="241"/>
      <c r="DK1081" s="241"/>
      <c r="DL1081" s="241"/>
      <c r="DM1081" s="241"/>
      <c r="DN1081" s="241"/>
      <c r="DO1081" s="241"/>
      <c r="DP1081" s="241"/>
      <c r="DQ1081" s="241"/>
      <c r="DR1081" s="241"/>
      <c r="DS1081" s="241"/>
      <c r="DT1081" s="241"/>
      <c r="DU1081" s="241"/>
      <c r="DV1081" s="241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345"/>
      <c r="EM1081" s="250"/>
      <c r="EN1081" s="245"/>
      <c r="EO1081" s="245"/>
      <c r="EP1081" s="245"/>
      <c r="EQ1081" s="351"/>
    </row>
    <row r="1082" spans="2:147" s="243" customFormat="1" ht="11.25" hidden="1" customHeight="1">
      <c r="B1082" s="343"/>
      <c r="C1082" s="240"/>
      <c r="D1082" s="240"/>
      <c r="E1082" s="240"/>
      <c r="F1082" s="240"/>
      <c r="G1082" s="240"/>
      <c r="H1082" s="240"/>
      <c r="I1082" s="240"/>
      <c r="J1082" s="240"/>
      <c r="K1082" s="240"/>
      <c r="L1082" s="240"/>
      <c r="M1082" s="240"/>
      <c r="N1082" s="240"/>
      <c r="O1082" s="240"/>
      <c r="P1082" s="240"/>
      <c r="Q1082" s="240"/>
      <c r="R1082" s="240"/>
      <c r="S1082" s="240"/>
      <c r="T1082" s="240"/>
      <c r="U1082" s="240"/>
      <c r="V1082" s="240"/>
      <c r="W1082" s="240"/>
      <c r="X1082" s="240"/>
      <c r="Y1082" s="240"/>
      <c r="Z1082" s="240"/>
      <c r="AA1082" s="240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240"/>
      <c r="AM1082" s="240"/>
      <c r="AN1082" s="240"/>
      <c r="AO1082" s="240"/>
      <c r="AP1082" s="240"/>
      <c r="AQ1082" s="240"/>
      <c r="AR1082" s="240"/>
      <c r="AS1082" s="240"/>
      <c r="AT1082" s="240"/>
      <c r="AU1082" s="240"/>
      <c r="AV1082" s="240"/>
      <c r="AW1082" s="240"/>
      <c r="AX1082" s="240"/>
      <c r="AY1082" s="240"/>
      <c r="AZ1082" s="240"/>
      <c r="BA1082" s="240"/>
      <c r="BB1082" s="240"/>
      <c r="BC1082" s="240"/>
      <c r="BD1082" s="240"/>
      <c r="BE1082" s="240"/>
      <c r="BF1082" s="240"/>
      <c r="BG1082" s="240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240"/>
      <c r="BT1082" s="240"/>
      <c r="BU1082" s="240"/>
      <c r="BV1082" s="240"/>
      <c r="BW1082" s="240"/>
      <c r="BX1082" s="240"/>
      <c r="BY1082" s="240"/>
      <c r="BZ1082" s="240"/>
      <c r="CA1082" s="240"/>
      <c r="CB1082" s="240"/>
      <c r="CC1082" s="240"/>
      <c r="CD1082" s="240"/>
      <c r="CE1082" s="240"/>
      <c r="CF1082" s="240"/>
      <c r="CG1082" s="240"/>
      <c r="CH1082" s="240"/>
      <c r="CI1082" s="240"/>
      <c r="CJ1082" s="240"/>
      <c r="CK1082" s="240"/>
      <c r="CL1082" s="240"/>
      <c r="CM1082" s="240"/>
      <c r="CN1082" s="240"/>
      <c r="CO1082" s="240"/>
      <c r="CP1082" s="240"/>
      <c r="CQ1082" s="240"/>
      <c r="CR1082" s="240"/>
      <c r="CS1082" s="240"/>
      <c r="CT1082" s="240"/>
      <c r="CU1082" s="240"/>
      <c r="CV1082" s="240"/>
      <c r="CW1082" s="240"/>
      <c r="CX1082" s="240"/>
      <c r="CY1082" s="240"/>
      <c r="CZ1082" s="241"/>
      <c r="DA1082" s="241"/>
      <c r="DB1082" s="241"/>
      <c r="DC1082" s="241"/>
      <c r="DD1082" s="241"/>
      <c r="DE1082" s="241"/>
      <c r="DF1082" s="241"/>
      <c r="DG1082" s="241"/>
      <c r="DH1082" s="241"/>
      <c r="DI1082" s="241"/>
      <c r="DJ1082" s="241"/>
      <c r="DK1082" s="241"/>
      <c r="DL1082" s="241"/>
      <c r="DM1082" s="241"/>
      <c r="DN1082" s="241"/>
      <c r="DO1082" s="241"/>
      <c r="DP1082" s="241"/>
      <c r="DQ1082" s="241"/>
      <c r="DR1082" s="241"/>
      <c r="DS1082" s="241"/>
      <c r="DT1082" s="241"/>
      <c r="DU1082" s="241"/>
      <c r="DV1082" s="241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345"/>
      <c r="EM1082" s="250"/>
      <c r="EN1082" s="245"/>
      <c r="EO1082" s="245"/>
      <c r="EP1082" s="245"/>
      <c r="EQ1082" s="351"/>
    </row>
    <row r="1083" spans="2:147" s="243" customFormat="1" ht="11.25" hidden="1" customHeight="1">
      <c r="B1083" s="343"/>
      <c r="C1083" s="240"/>
      <c r="D1083" s="240"/>
      <c r="E1083" s="240"/>
      <c r="F1083" s="240"/>
      <c r="G1083" s="240"/>
      <c r="H1083" s="240"/>
      <c r="I1083" s="240"/>
      <c r="J1083" s="240"/>
      <c r="K1083" s="240"/>
      <c r="L1083" s="240"/>
      <c r="M1083" s="240"/>
      <c r="N1083" s="240"/>
      <c r="O1083" s="240"/>
      <c r="P1083" s="240"/>
      <c r="Q1083" s="240"/>
      <c r="R1083" s="240"/>
      <c r="S1083" s="240"/>
      <c r="T1083" s="240"/>
      <c r="U1083" s="240"/>
      <c r="V1083" s="240"/>
      <c r="W1083" s="240"/>
      <c r="X1083" s="240"/>
      <c r="Y1083" s="240"/>
      <c r="Z1083" s="240"/>
      <c r="AA1083" s="240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240"/>
      <c r="AM1083" s="240"/>
      <c r="AN1083" s="240"/>
      <c r="AO1083" s="240"/>
      <c r="AP1083" s="240"/>
      <c r="AQ1083" s="240"/>
      <c r="AR1083" s="240"/>
      <c r="AS1083" s="240"/>
      <c r="AT1083" s="240"/>
      <c r="AU1083" s="240"/>
      <c r="AV1083" s="240"/>
      <c r="AW1083" s="240"/>
      <c r="AX1083" s="240"/>
      <c r="AY1083" s="240"/>
      <c r="AZ1083" s="240"/>
      <c r="BA1083" s="240"/>
      <c r="BB1083" s="240"/>
      <c r="BC1083" s="240"/>
      <c r="BD1083" s="240"/>
      <c r="BE1083" s="240"/>
      <c r="BF1083" s="240"/>
      <c r="BG1083" s="240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240"/>
      <c r="BT1083" s="240"/>
      <c r="BU1083" s="240"/>
      <c r="BV1083" s="240"/>
      <c r="BW1083" s="240"/>
      <c r="BX1083" s="240"/>
      <c r="BY1083" s="240"/>
      <c r="BZ1083" s="240"/>
      <c r="CA1083" s="240"/>
      <c r="CB1083" s="240"/>
      <c r="CC1083" s="240"/>
      <c r="CD1083" s="240"/>
      <c r="CE1083" s="240"/>
      <c r="CF1083" s="240"/>
      <c r="CG1083" s="240"/>
      <c r="CH1083" s="240"/>
      <c r="CI1083" s="240"/>
      <c r="CJ1083" s="240"/>
      <c r="CK1083" s="240"/>
      <c r="CL1083" s="240"/>
      <c r="CM1083" s="240"/>
      <c r="CN1083" s="240"/>
      <c r="CO1083" s="240"/>
      <c r="CP1083" s="240"/>
      <c r="CQ1083" s="240"/>
      <c r="CR1083" s="240"/>
      <c r="CS1083" s="240"/>
      <c r="CT1083" s="240"/>
      <c r="CU1083" s="240"/>
      <c r="CV1083" s="240"/>
      <c r="CW1083" s="240"/>
      <c r="CX1083" s="240"/>
      <c r="CY1083" s="240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1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345"/>
      <c r="EM1083" s="250"/>
      <c r="EN1083" s="245"/>
      <c r="EO1083" s="245"/>
      <c r="EP1083" s="245"/>
      <c r="EQ1083" s="351"/>
    </row>
    <row r="1084" spans="2:147" s="243" customFormat="1" ht="11.25" hidden="1" customHeight="1">
      <c r="B1084" s="343"/>
      <c r="C1084" s="240"/>
      <c r="D1084" s="240"/>
      <c r="E1084" s="240"/>
      <c r="F1084" s="240"/>
      <c r="G1084" s="240"/>
      <c r="H1084" s="240"/>
      <c r="I1084" s="240"/>
      <c r="J1084" s="240"/>
      <c r="K1084" s="240"/>
      <c r="L1084" s="240"/>
      <c r="M1084" s="240"/>
      <c r="N1084" s="240"/>
      <c r="O1084" s="240"/>
      <c r="P1084" s="240"/>
      <c r="Q1084" s="240"/>
      <c r="R1084" s="240"/>
      <c r="S1084" s="240"/>
      <c r="T1084" s="240"/>
      <c r="U1084" s="240"/>
      <c r="V1084" s="240"/>
      <c r="W1084" s="240"/>
      <c r="X1084" s="240"/>
      <c r="Y1084" s="240"/>
      <c r="Z1084" s="240"/>
      <c r="AA1084" s="240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240"/>
      <c r="AM1084" s="240"/>
      <c r="AN1084" s="240"/>
      <c r="AO1084" s="240"/>
      <c r="AP1084" s="240"/>
      <c r="AQ1084" s="240"/>
      <c r="AR1084" s="240"/>
      <c r="AS1084" s="240"/>
      <c r="AT1084" s="240"/>
      <c r="AU1084" s="240"/>
      <c r="AV1084" s="240"/>
      <c r="AW1084" s="240"/>
      <c r="AX1084" s="240"/>
      <c r="AY1084" s="240"/>
      <c r="AZ1084" s="240"/>
      <c r="BA1084" s="240"/>
      <c r="BB1084" s="240"/>
      <c r="BC1084" s="240"/>
      <c r="BD1084" s="240"/>
      <c r="BE1084" s="240"/>
      <c r="BF1084" s="240"/>
      <c r="BG1084" s="240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240"/>
      <c r="BT1084" s="240"/>
      <c r="BU1084" s="240"/>
      <c r="BV1084" s="240"/>
      <c r="BW1084" s="240"/>
      <c r="BX1084" s="240"/>
      <c r="BY1084" s="240"/>
      <c r="BZ1084" s="240"/>
      <c r="CA1084" s="240"/>
      <c r="CB1084" s="240"/>
      <c r="CC1084" s="240"/>
      <c r="CD1084" s="240"/>
      <c r="CE1084" s="240"/>
      <c r="CF1084" s="240"/>
      <c r="CG1084" s="240"/>
      <c r="CH1084" s="240"/>
      <c r="CI1084" s="240"/>
      <c r="CJ1084" s="240"/>
      <c r="CK1084" s="240"/>
      <c r="CL1084" s="240"/>
      <c r="CM1084" s="240"/>
      <c r="CN1084" s="240"/>
      <c r="CO1084" s="240"/>
      <c r="CP1084" s="240"/>
      <c r="CQ1084" s="240"/>
      <c r="CR1084" s="240"/>
      <c r="CS1084" s="240"/>
      <c r="CT1084" s="240"/>
      <c r="CU1084" s="240"/>
      <c r="CV1084" s="240"/>
      <c r="CW1084" s="240"/>
      <c r="CX1084" s="240"/>
      <c r="CY1084" s="240"/>
      <c r="CZ1084" s="241"/>
      <c r="DA1084" s="241"/>
      <c r="DB1084" s="241"/>
      <c r="DC1084" s="241"/>
      <c r="DD1084" s="241"/>
      <c r="DE1084" s="241"/>
      <c r="DF1084" s="241"/>
      <c r="DG1084" s="241"/>
      <c r="DH1084" s="241"/>
      <c r="DI1084" s="241"/>
      <c r="DJ1084" s="241"/>
      <c r="DK1084" s="241"/>
      <c r="DL1084" s="241"/>
      <c r="DM1084" s="241"/>
      <c r="DN1084" s="241"/>
      <c r="DO1084" s="241"/>
      <c r="DP1084" s="241"/>
      <c r="DQ1084" s="241"/>
      <c r="DR1084" s="241"/>
      <c r="DS1084" s="241"/>
      <c r="DT1084" s="241"/>
      <c r="DU1084" s="241"/>
      <c r="DV1084" s="241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345"/>
      <c r="EM1084" s="250"/>
      <c r="EN1084" s="245"/>
      <c r="EO1084" s="245"/>
      <c r="EP1084" s="245"/>
      <c r="EQ1084" s="351"/>
    </row>
    <row r="1085" spans="2:147" s="243" customFormat="1" ht="11.25" hidden="1" customHeight="1">
      <c r="B1085" s="343"/>
      <c r="C1085" s="240"/>
      <c r="D1085" s="240"/>
      <c r="E1085" s="240"/>
      <c r="F1085" s="240"/>
      <c r="G1085" s="240"/>
      <c r="H1085" s="240"/>
      <c r="I1085" s="240"/>
      <c r="J1085" s="240"/>
      <c r="K1085" s="240"/>
      <c r="L1085" s="240"/>
      <c r="M1085" s="240"/>
      <c r="N1085" s="240"/>
      <c r="O1085" s="240"/>
      <c r="P1085" s="240"/>
      <c r="Q1085" s="240"/>
      <c r="R1085" s="240"/>
      <c r="S1085" s="240"/>
      <c r="T1085" s="240"/>
      <c r="U1085" s="240"/>
      <c r="V1085" s="240"/>
      <c r="W1085" s="240"/>
      <c r="X1085" s="240"/>
      <c r="Y1085" s="240"/>
      <c r="Z1085" s="240"/>
      <c r="AA1085" s="240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240"/>
      <c r="AM1085" s="240"/>
      <c r="AN1085" s="240"/>
      <c r="AO1085" s="240"/>
      <c r="AP1085" s="240"/>
      <c r="AQ1085" s="240"/>
      <c r="AR1085" s="240"/>
      <c r="AS1085" s="240"/>
      <c r="AT1085" s="240"/>
      <c r="AU1085" s="240"/>
      <c r="AV1085" s="240"/>
      <c r="AW1085" s="240"/>
      <c r="AX1085" s="240"/>
      <c r="AY1085" s="240"/>
      <c r="AZ1085" s="240"/>
      <c r="BA1085" s="240"/>
      <c r="BB1085" s="240"/>
      <c r="BC1085" s="240"/>
      <c r="BD1085" s="240"/>
      <c r="BE1085" s="240"/>
      <c r="BF1085" s="240"/>
      <c r="BG1085" s="240"/>
      <c r="BH1085" s="240"/>
      <c r="BI1085" s="240"/>
      <c r="BJ1085" s="240"/>
      <c r="BK1085" s="240"/>
      <c r="BL1085" s="240"/>
      <c r="BM1085" s="240"/>
      <c r="BN1085" s="240"/>
      <c r="BO1085" s="240"/>
      <c r="BP1085" s="240"/>
      <c r="BQ1085" s="240"/>
      <c r="BR1085" s="240"/>
      <c r="BS1085" s="240"/>
      <c r="BT1085" s="240"/>
      <c r="BU1085" s="240"/>
      <c r="BV1085" s="240"/>
      <c r="BW1085" s="240"/>
      <c r="BX1085" s="240"/>
      <c r="BY1085" s="240"/>
      <c r="BZ1085" s="240"/>
      <c r="CA1085" s="240"/>
      <c r="CB1085" s="240"/>
      <c r="CC1085" s="240"/>
      <c r="CD1085" s="240"/>
      <c r="CE1085" s="240"/>
      <c r="CF1085" s="240"/>
      <c r="CG1085" s="240"/>
      <c r="CH1085" s="240"/>
      <c r="CI1085" s="240"/>
      <c r="CJ1085" s="240"/>
      <c r="CK1085" s="240"/>
      <c r="CL1085" s="240"/>
      <c r="CM1085" s="240"/>
      <c r="CN1085" s="240"/>
      <c r="CO1085" s="240"/>
      <c r="CP1085" s="240"/>
      <c r="CQ1085" s="240"/>
      <c r="CR1085" s="240"/>
      <c r="CS1085" s="240"/>
      <c r="CT1085" s="240"/>
      <c r="CU1085" s="240"/>
      <c r="CV1085" s="240"/>
      <c r="CW1085" s="240"/>
      <c r="CX1085" s="240"/>
      <c r="CY1085" s="240"/>
      <c r="CZ1085" s="241"/>
      <c r="DA1085" s="241"/>
      <c r="DB1085" s="241"/>
      <c r="DC1085" s="241"/>
      <c r="DD1085" s="241"/>
      <c r="DE1085" s="241"/>
      <c r="DF1085" s="241"/>
      <c r="DG1085" s="241"/>
      <c r="DH1085" s="241"/>
      <c r="DI1085" s="241"/>
      <c r="DJ1085" s="241"/>
      <c r="DK1085" s="241"/>
      <c r="DL1085" s="241"/>
      <c r="DM1085" s="241"/>
      <c r="DN1085" s="241"/>
      <c r="DO1085" s="241"/>
      <c r="DP1085" s="241"/>
      <c r="DQ1085" s="241"/>
      <c r="DR1085" s="241"/>
      <c r="DS1085" s="241"/>
      <c r="DT1085" s="241"/>
      <c r="DU1085" s="241"/>
      <c r="DV1085" s="241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345"/>
      <c r="EM1085" s="250"/>
      <c r="EN1085" s="245"/>
      <c r="EO1085" s="245"/>
      <c r="EP1085" s="245"/>
      <c r="EQ1085" s="351"/>
    </row>
    <row r="1086" spans="2:147" s="243" customFormat="1" ht="11.25" hidden="1" customHeight="1">
      <c r="B1086" s="343"/>
      <c r="C1086" s="240"/>
      <c r="D1086" s="240"/>
      <c r="E1086" s="240"/>
      <c r="F1086" s="240"/>
      <c r="G1086" s="240"/>
      <c r="H1086" s="240"/>
      <c r="I1086" s="240"/>
      <c r="J1086" s="240"/>
      <c r="K1086" s="240"/>
      <c r="L1086" s="240"/>
      <c r="M1086" s="240"/>
      <c r="N1086" s="240"/>
      <c r="O1086" s="240"/>
      <c r="P1086" s="240"/>
      <c r="Q1086" s="240"/>
      <c r="R1086" s="240"/>
      <c r="S1086" s="240"/>
      <c r="T1086" s="240"/>
      <c r="U1086" s="240"/>
      <c r="V1086" s="240"/>
      <c r="W1086" s="240"/>
      <c r="X1086" s="240"/>
      <c r="Y1086" s="240"/>
      <c r="Z1086" s="240"/>
      <c r="AA1086" s="240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240"/>
      <c r="AM1086" s="240"/>
      <c r="AN1086" s="240"/>
      <c r="AO1086" s="240"/>
      <c r="AP1086" s="240"/>
      <c r="AQ1086" s="240"/>
      <c r="AR1086" s="240"/>
      <c r="AS1086" s="240"/>
      <c r="AT1086" s="240"/>
      <c r="AU1086" s="240"/>
      <c r="AV1086" s="240"/>
      <c r="AW1086" s="240"/>
      <c r="AX1086" s="240"/>
      <c r="AY1086" s="240"/>
      <c r="AZ1086" s="240"/>
      <c r="BA1086" s="240"/>
      <c r="BB1086" s="240"/>
      <c r="BC1086" s="240"/>
      <c r="BD1086" s="240"/>
      <c r="BE1086" s="240"/>
      <c r="BF1086" s="240"/>
      <c r="BG1086" s="240"/>
      <c r="BH1086" s="240"/>
      <c r="BI1086" s="240"/>
      <c r="BJ1086" s="240"/>
      <c r="BK1086" s="240"/>
      <c r="BL1086" s="240"/>
      <c r="BM1086" s="240"/>
      <c r="BN1086" s="240"/>
      <c r="BO1086" s="240"/>
      <c r="BP1086" s="240"/>
      <c r="BQ1086" s="240"/>
      <c r="BR1086" s="240"/>
      <c r="BS1086" s="240"/>
      <c r="BT1086" s="240"/>
      <c r="BU1086" s="240"/>
      <c r="BV1086" s="240"/>
      <c r="BW1086" s="240"/>
      <c r="BX1086" s="240"/>
      <c r="BY1086" s="240"/>
      <c r="BZ1086" s="240"/>
      <c r="CA1086" s="240"/>
      <c r="CB1086" s="240"/>
      <c r="CC1086" s="240"/>
      <c r="CD1086" s="240"/>
      <c r="CE1086" s="240"/>
      <c r="CF1086" s="240"/>
      <c r="CG1086" s="240"/>
      <c r="CH1086" s="240"/>
      <c r="CI1086" s="240"/>
      <c r="CJ1086" s="240"/>
      <c r="CK1086" s="240"/>
      <c r="CL1086" s="240"/>
      <c r="CM1086" s="240"/>
      <c r="CN1086" s="240"/>
      <c r="CO1086" s="240"/>
      <c r="CP1086" s="240"/>
      <c r="CQ1086" s="240"/>
      <c r="CR1086" s="240"/>
      <c r="CS1086" s="240"/>
      <c r="CT1086" s="240"/>
      <c r="CU1086" s="240"/>
      <c r="CV1086" s="240"/>
      <c r="CW1086" s="240"/>
      <c r="CX1086" s="240"/>
      <c r="CY1086" s="240"/>
      <c r="CZ1086" s="241"/>
      <c r="DA1086" s="241"/>
      <c r="DB1086" s="241"/>
      <c r="DC1086" s="241"/>
      <c r="DD1086" s="241"/>
      <c r="DE1086" s="241"/>
      <c r="DF1086" s="241"/>
      <c r="DG1086" s="241"/>
      <c r="DH1086" s="241"/>
      <c r="DI1086" s="241"/>
      <c r="DJ1086" s="241"/>
      <c r="DK1086" s="241"/>
      <c r="DL1086" s="241"/>
      <c r="DM1086" s="241"/>
      <c r="DN1086" s="241"/>
      <c r="DO1086" s="241"/>
      <c r="DP1086" s="241"/>
      <c r="DQ1086" s="241"/>
      <c r="DR1086" s="241"/>
      <c r="DS1086" s="241"/>
      <c r="DT1086" s="241"/>
      <c r="DU1086" s="241"/>
      <c r="DV1086" s="241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345"/>
      <c r="EM1086" s="250"/>
      <c r="EN1086" s="245"/>
      <c r="EO1086" s="245"/>
      <c r="EP1086" s="245"/>
      <c r="EQ1086" s="351"/>
    </row>
    <row r="1087" spans="2:147" s="243" customFormat="1" ht="11.25" hidden="1" customHeight="1">
      <c r="B1087" s="343"/>
      <c r="C1087" s="240"/>
      <c r="D1087" s="240"/>
      <c r="E1087" s="240"/>
      <c r="F1087" s="240"/>
      <c r="G1087" s="240"/>
      <c r="H1087" s="240"/>
      <c r="I1087" s="240"/>
      <c r="J1087" s="240"/>
      <c r="K1087" s="240"/>
      <c r="L1087" s="240"/>
      <c r="M1087" s="240"/>
      <c r="N1087" s="240"/>
      <c r="O1087" s="240"/>
      <c r="P1087" s="240"/>
      <c r="Q1087" s="240"/>
      <c r="R1087" s="240"/>
      <c r="S1087" s="240"/>
      <c r="T1087" s="240"/>
      <c r="U1087" s="240"/>
      <c r="V1087" s="240"/>
      <c r="W1087" s="240"/>
      <c r="X1087" s="240"/>
      <c r="Y1087" s="240"/>
      <c r="Z1087" s="240"/>
      <c r="AA1087" s="240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240"/>
      <c r="AM1087" s="240"/>
      <c r="AN1087" s="240"/>
      <c r="AO1087" s="240"/>
      <c r="AP1087" s="240"/>
      <c r="AQ1087" s="240"/>
      <c r="AR1087" s="240"/>
      <c r="AS1087" s="240"/>
      <c r="AT1087" s="240"/>
      <c r="AU1087" s="240"/>
      <c r="AV1087" s="240"/>
      <c r="AW1087" s="240"/>
      <c r="AX1087" s="240"/>
      <c r="AY1087" s="240"/>
      <c r="AZ1087" s="240"/>
      <c r="BA1087" s="240"/>
      <c r="BB1087" s="240"/>
      <c r="BC1087" s="240"/>
      <c r="BD1087" s="240"/>
      <c r="BE1087" s="240"/>
      <c r="BF1087" s="240"/>
      <c r="BG1087" s="240"/>
      <c r="BH1087" s="240"/>
      <c r="BI1087" s="240"/>
      <c r="BJ1087" s="240"/>
      <c r="BK1087" s="240"/>
      <c r="BL1087" s="240"/>
      <c r="BM1087" s="240"/>
      <c r="BN1087" s="240"/>
      <c r="BO1087" s="240"/>
      <c r="BP1087" s="240"/>
      <c r="BQ1087" s="240"/>
      <c r="BR1087" s="240"/>
      <c r="BS1087" s="240"/>
      <c r="BT1087" s="240"/>
      <c r="BU1087" s="240"/>
      <c r="BV1087" s="240"/>
      <c r="BW1087" s="240"/>
      <c r="BX1087" s="240"/>
      <c r="BY1087" s="240"/>
      <c r="BZ1087" s="240"/>
      <c r="CA1087" s="240"/>
      <c r="CB1087" s="240"/>
      <c r="CC1087" s="240"/>
      <c r="CD1087" s="240"/>
      <c r="CE1087" s="240"/>
      <c r="CF1087" s="240"/>
      <c r="CG1087" s="240"/>
      <c r="CH1087" s="240"/>
      <c r="CI1087" s="240"/>
      <c r="CJ1087" s="240"/>
      <c r="CK1087" s="240"/>
      <c r="CL1087" s="240"/>
      <c r="CM1087" s="240"/>
      <c r="CN1087" s="240"/>
      <c r="CO1087" s="240"/>
      <c r="CP1087" s="240"/>
      <c r="CQ1087" s="240"/>
      <c r="CR1087" s="240"/>
      <c r="CS1087" s="240"/>
      <c r="CT1087" s="240"/>
      <c r="CU1087" s="240"/>
      <c r="CV1087" s="240"/>
      <c r="CW1087" s="240"/>
      <c r="CX1087" s="240"/>
      <c r="CY1087" s="240"/>
      <c r="CZ1087" s="241"/>
      <c r="DA1087" s="241"/>
      <c r="DB1087" s="241"/>
      <c r="DC1087" s="241"/>
      <c r="DD1087" s="241"/>
      <c r="DE1087" s="241"/>
      <c r="DF1087" s="241"/>
      <c r="DG1087" s="241"/>
      <c r="DH1087" s="241"/>
      <c r="DI1087" s="241"/>
      <c r="DJ1087" s="241"/>
      <c r="DK1087" s="241"/>
      <c r="DL1087" s="241"/>
      <c r="DM1087" s="241"/>
      <c r="DN1087" s="241"/>
      <c r="DO1087" s="241"/>
      <c r="DP1087" s="241"/>
      <c r="DQ1087" s="241"/>
      <c r="DR1087" s="241"/>
      <c r="DS1087" s="241"/>
      <c r="DT1087" s="241"/>
      <c r="DU1087" s="241"/>
      <c r="DV1087" s="241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345"/>
      <c r="EM1087" s="250"/>
      <c r="EN1087" s="245"/>
      <c r="EO1087" s="245"/>
      <c r="EP1087" s="245"/>
      <c r="EQ1087" s="351"/>
    </row>
    <row r="1088" spans="2:147" s="243" customFormat="1" ht="11.25" hidden="1" customHeight="1">
      <c r="B1088" s="350"/>
      <c r="C1088" s="247"/>
      <c r="D1088" s="247"/>
      <c r="E1088" s="247"/>
      <c r="F1088" s="247"/>
      <c r="G1088" s="247"/>
      <c r="H1088" s="247"/>
      <c r="I1088" s="247"/>
      <c r="J1088" s="247"/>
      <c r="K1088" s="247"/>
      <c r="L1088" s="247"/>
      <c r="M1088" s="247"/>
      <c r="N1088" s="247"/>
      <c r="O1088" s="247"/>
      <c r="P1088" s="247"/>
      <c r="Q1088" s="247"/>
      <c r="R1088" s="247"/>
      <c r="S1088" s="247"/>
      <c r="T1088" s="247"/>
      <c r="U1088" s="247"/>
      <c r="V1088" s="247"/>
      <c r="W1088" s="247"/>
      <c r="X1088" s="247"/>
      <c r="Y1088" s="247"/>
      <c r="Z1088" s="247"/>
      <c r="AA1088" s="247"/>
      <c r="AB1088" s="247"/>
      <c r="AC1088" s="247"/>
      <c r="AD1088" s="247"/>
      <c r="AE1088" s="247"/>
      <c r="AF1088" s="247"/>
      <c r="AG1088" s="247"/>
      <c r="AH1088" s="247"/>
      <c r="AI1088" s="247"/>
      <c r="AJ1088" s="247"/>
      <c r="AK1088" s="247"/>
      <c r="AL1088" s="247"/>
      <c r="AM1088" s="247"/>
      <c r="AN1088" s="247"/>
      <c r="AO1088" s="247"/>
      <c r="AP1088" s="247"/>
      <c r="AQ1088" s="247"/>
      <c r="AR1088" s="247"/>
      <c r="AS1088" s="247"/>
      <c r="AT1088" s="247"/>
      <c r="AU1088" s="247"/>
      <c r="AV1088" s="247"/>
      <c r="AW1088" s="247"/>
      <c r="AX1088" s="247"/>
      <c r="AY1088" s="247"/>
      <c r="AZ1088" s="247"/>
      <c r="BA1088" s="247"/>
      <c r="BB1088" s="247"/>
      <c r="BC1088" s="247"/>
      <c r="BD1088" s="247"/>
      <c r="BE1088" s="247"/>
      <c r="BF1088" s="247"/>
      <c r="BG1088" s="247"/>
      <c r="BH1088" s="247"/>
      <c r="BI1088" s="247"/>
      <c r="BJ1088" s="247"/>
      <c r="BK1088" s="247"/>
      <c r="BL1088" s="247"/>
      <c r="BM1088" s="247"/>
      <c r="BN1088" s="247"/>
      <c r="BO1088" s="247"/>
      <c r="BP1088" s="247"/>
      <c r="BQ1088" s="247"/>
      <c r="BR1088" s="247"/>
      <c r="BS1088" s="247"/>
      <c r="BT1088" s="247"/>
      <c r="BU1088" s="247"/>
      <c r="BV1088" s="247"/>
      <c r="BW1088" s="247"/>
      <c r="BX1088" s="247"/>
      <c r="BY1088" s="247"/>
      <c r="BZ1088" s="247"/>
      <c r="CA1088" s="247"/>
      <c r="CB1088" s="247"/>
      <c r="CC1088" s="247"/>
      <c r="CD1088" s="247"/>
      <c r="CE1088" s="247"/>
      <c r="CF1088" s="247"/>
      <c r="CG1088" s="247"/>
      <c r="CH1088" s="247"/>
      <c r="CI1088" s="247"/>
      <c r="CJ1088" s="247"/>
      <c r="CK1088" s="247"/>
      <c r="CL1088" s="247"/>
      <c r="CM1088" s="247"/>
      <c r="CN1088" s="247"/>
      <c r="CO1088" s="247"/>
      <c r="CP1088" s="247"/>
      <c r="CQ1088" s="247"/>
      <c r="CR1088" s="247"/>
      <c r="CS1088" s="247"/>
      <c r="CT1088" s="247"/>
      <c r="CU1088" s="247"/>
      <c r="CV1088" s="247"/>
      <c r="CW1088" s="247"/>
      <c r="CX1088" s="247"/>
      <c r="CY1088" s="247"/>
      <c r="CZ1088" s="248"/>
      <c r="DA1088" s="248"/>
      <c r="DB1088" s="248"/>
      <c r="DC1088" s="248"/>
      <c r="DD1088" s="248"/>
      <c r="DE1088" s="248"/>
      <c r="DF1088" s="248"/>
      <c r="DG1088" s="248"/>
      <c r="DH1088" s="248"/>
      <c r="DI1088" s="248"/>
      <c r="DJ1088" s="248"/>
      <c r="DK1088" s="248"/>
      <c r="DL1088" s="248"/>
      <c r="DM1088" s="248"/>
      <c r="DN1088" s="248"/>
      <c r="DO1088" s="248"/>
      <c r="DP1088" s="248"/>
      <c r="DQ1088" s="248"/>
      <c r="DR1088" s="248"/>
      <c r="DS1088" s="248"/>
      <c r="DT1088" s="248"/>
      <c r="DU1088" s="248"/>
      <c r="DV1088" s="248"/>
      <c r="DW1088" s="248"/>
      <c r="DX1088" s="248"/>
      <c r="DY1088" s="248"/>
      <c r="DZ1088" s="248"/>
      <c r="EA1088" s="248"/>
      <c r="EB1088" s="248"/>
      <c r="EC1088" s="248"/>
      <c r="ED1088" s="248"/>
      <c r="EE1088" s="248"/>
      <c r="EF1088" s="248"/>
      <c r="EG1088" s="248"/>
      <c r="EH1088" s="248"/>
      <c r="EI1088" s="248"/>
      <c r="EJ1088" s="248"/>
      <c r="EK1088" s="248"/>
      <c r="EL1088" s="357"/>
      <c r="EM1088" s="264"/>
      <c r="EN1088" s="249"/>
      <c r="EO1088" s="249"/>
      <c r="EP1088" s="249"/>
      <c r="EQ1088" s="352"/>
    </row>
    <row r="1089" spans="1:149" s="243" customFormat="1" ht="11.25" hidden="1" customHeight="1">
      <c r="B1089" s="355"/>
      <c r="C1089" s="265"/>
      <c r="D1089" s="265"/>
      <c r="E1089" s="265"/>
      <c r="F1089" s="265"/>
      <c r="G1089" s="265"/>
      <c r="H1089" s="265"/>
      <c r="I1089" s="265"/>
      <c r="J1089" s="265"/>
      <c r="K1089" s="265"/>
      <c r="L1089" s="265"/>
      <c r="M1089" s="265"/>
      <c r="N1089" s="265"/>
      <c r="O1089" s="265"/>
      <c r="P1089" s="265"/>
      <c r="Q1089" s="265"/>
      <c r="R1089" s="265"/>
      <c r="S1089" s="265"/>
      <c r="T1089" s="265"/>
      <c r="U1089" s="265"/>
      <c r="V1089" s="265"/>
      <c r="W1089" s="265"/>
      <c r="X1089" s="265"/>
      <c r="Y1089" s="265"/>
      <c r="Z1089" s="265"/>
      <c r="AA1089" s="265"/>
      <c r="AB1089" s="265"/>
      <c r="AC1089" s="265"/>
      <c r="AD1089" s="265"/>
      <c r="AE1089" s="265"/>
      <c r="AF1089" s="265"/>
      <c r="AG1089" s="265"/>
      <c r="AH1089" s="265"/>
      <c r="AI1089" s="265"/>
      <c r="AJ1089" s="265"/>
      <c r="AK1089" s="265"/>
      <c r="AL1089" s="265"/>
      <c r="AM1089" s="265"/>
      <c r="AN1089" s="265"/>
      <c r="AO1089" s="265"/>
      <c r="AP1089" s="265"/>
      <c r="AQ1089" s="265"/>
      <c r="AR1089" s="265"/>
      <c r="AS1089" s="265"/>
      <c r="AT1089" s="265"/>
      <c r="AU1089" s="265"/>
      <c r="AV1089" s="265"/>
      <c r="AW1089" s="265"/>
      <c r="AX1089" s="265"/>
      <c r="AY1089" s="265"/>
      <c r="AZ1089" s="265"/>
      <c r="BA1089" s="265"/>
      <c r="BB1089" s="265"/>
      <c r="BC1089" s="265"/>
      <c r="BD1089" s="265"/>
      <c r="BE1089" s="265"/>
      <c r="BF1089" s="265"/>
      <c r="BG1089" s="265"/>
      <c r="BH1089" s="265"/>
      <c r="BI1089" s="265"/>
      <c r="BJ1089" s="265"/>
      <c r="BK1089" s="265"/>
      <c r="BL1089" s="265"/>
      <c r="BM1089" s="265"/>
      <c r="BN1089" s="265"/>
      <c r="BO1089" s="265"/>
      <c r="BP1089" s="265"/>
      <c r="BQ1089" s="265"/>
      <c r="BR1089" s="265"/>
      <c r="BS1089" s="265"/>
      <c r="BT1089" s="265"/>
      <c r="BU1089" s="265"/>
      <c r="BV1089" s="265"/>
      <c r="BW1089" s="265"/>
      <c r="BX1089" s="265"/>
      <c r="BY1089" s="265"/>
      <c r="BZ1089" s="265"/>
      <c r="CA1089" s="265"/>
      <c r="CB1089" s="265"/>
      <c r="CC1089" s="265"/>
      <c r="CD1089" s="265"/>
      <c r="CE1089" s="265"/>
      <c r="CF1089" s="265"/>
      <c r="CG1089" s="265"/>
      <c r="CH1089" s="265"/>
      <c r="CI1089" s="265"/>
      <c r="CJ1089" s="265"/>
      <c r="CK1089" s="265"/>
      <c r="CL1089" s="265"/>
      <c r="CM1089" s="265"/>
      <c r="CN1089" s="265"/>
      <c r="CO1089" s="265"/>
      <c r="CP1089" s="265"/>
      <c r="CQ1089" s="265"/>
      <c r="CR1089" s="265"/>
      <c r="CS1089" s="265"/>
      <c r="CT1089" s="265"/>
      <c r="CU1089" s="265"/>
      <c r="CV1089" s="265"/>
      <c r="CW1089" s="265"/>
      <c r="CX1089" s="265"/>
      <c r="CY1089" s="265"/>
      <c r="CZ1089" s="314"/>
      <c r="DA1089" s="314"/>
      <c r="DB1089" s="314"/>
      <c r="DC1089" s="314"/>
      <c r="DD1089" s="314"/>
      <c r="DE1089" s="314"/>
      <c r="DF1089" s="314"/>
      <c r="DG1089" s="314"/>
      <c r="DH1089" s="314"/>
      <c r="DI1089" s="314"/>
      <c r="DJ1089" s="314"/>
      <c r="DK1089" s="314"/>
      <c r="DL1089" s="314"/>
      <c r="DM1089" s="314"/>
      <c r="DN1089" s="314"/>
      <c r="DO1089" s="314"/>
      <c r="DP1089" s="314"/>
      <c r="DQ1089" s="314"/>
      <c r="DR1089" s="314"/>
      <c r="DS1089" s="314"/>
      <c r="DT1089" s="314"/>
      <c r="DU1089" s="314"/>
      <c r="DV1089" s="314"/>
      <c r="DW1089" s="314"/>
      <c r="DX1089" s="314"/>
      <c r="DY1089" s="314"/>
      <c r="DZ1089" s="314"/>
      <c r="EA1089" s="314"/>
      <c r="EB1089" s="314"/>
      <c r="EC1089" s="314"/>
      <c r="ED1089" s="314"/>
      <c r="EE1089" s="314"/>
      <c r="EF1089" s="314"/>
      <c r="EG1089" s="314"/>
      <c r="EH1089" s="314"/>
      <c r="EI1089" s="314"/>
      <c r="EJ1089" s="314"/>
      <c r="EK1089" s="314"/>
      <c r="EL1089" s="356"/>
      <c r="EM1089" s="269"/>
      <c r="EN1089" s="269"/>
      <c r="EO1089" s="269"/>
      <c r="EP1089" s="269"/>
      <c r="EQ1089" s="358"/>
    </row>
    <row r="1090" spans="1:149" s="243" customFormat="1" ht="11.25" hidden="1" customHeight="1">
      <c r="A1090" s="243">
        <v>25</v>
      </c>
      <c r="B1090" s="1782">
        <f>A1090</f>
        <v>25</v>
      </c>
      <c r="C1090" s="1781"/>
      <c r="D1090" s="1781"/>
      <c r="E1090" s="344" t="s">
        <v>898</v>
      </c>
      <c r="F1090" s="240"/>
      <c r="G1090" s="240"/>
      <c r="H1090" s="240"/>
      <c r="I1090" s="240"/>
      <c r="J1090" s="240"/>
      <c r="K1090" s="240"/>
      <c r="L1090" s="240"/>
      <c r="M1090" s="240"/>
      <c r="N1090" s="240"/>
      <c r="O1090" s="240"/>
      <c r="P1090" s="240"/>
      <c r="Q1090" s="240"/>
      <c r="R1090" s="240"/>
      <c r="S1090" s="240"/>
      <c r="T1090" s="240"/>
      <c r="U1090" s="240"/>
      <c r="V1090" s="240"/>
      <c r="W1090" s="240"/>
      <c r="X1090" s="240"/>
      <c r="Y1090" s="240"/>
      <c r="Z1090" s="240"/>
      <c r="AA1090" s="240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240"/>
      <c r="AM1090" s="240"/>
      <c r="AN1090" s="240"/>
      <c r="AO1090" s="240"/>
      <c r="AP1090" s="240"/>
      <c r="AQ1090" s="240"/>
      <c r="AR1090" s="240"/>
      <c r="AS1090" s="240"/>
      <c r="AT1090" s="240"/>
      <c r="AU1090" s="240"/>
      <c r="AV1090" s="240"/>
      <c r="AW1090" s="240"/>
      <c r="AX1090" s="240"/>
      <c r="AY1090" s="240"/>
      <c r="AZ1090" s="240"/>
      <c r="BA1090" s="240"/>
      <c r="BB1090" s="240"/>
      <c r="BC1090" s="240"/>
      <c r="BD1090" s="240"/>
      <c r="BE1090" s="240"/>
      <c r="BF1090" s="240"/>
      <c r="BG1090" s="240"/>
      <c r="BH1090" s="240"/>
      <c r="BI1090" s="240"/>
      <c r="BJ1090" s="240"/>
      <c r="BK1090" s="240"/>
      <c r="BL1090" s="240"/>
      <c r="BM1090" s="240"/>
      <c r="BN1090" s="240"/>
      <c r="BO1090" s="240"/>
      <c r="BP1090" s="240"/>
      <c r="BQ1090" s="240"/>
      <c r="BR1090" s="240"/>
      <c r="BS1090" s="240"/>
      <c r="BT1090" s="240"/>
      <c r="BU1090" s="240"/>
      <c r="BV1090" s="240"/>
      <c r="BW1090" s="240"/>
      <c r="BX1090" s="240"/>
      <c r="BY1090" s="240"/>
      <c r="BZ1090" s="240"/>
      <c r="CA1090" s="240"/>
      <c r="CB1090" s="240"/>
      <c r="CC1090" s="240"/>
      <c r="CD1090" s="240"/>
      <c r="CE1090" s="240"/>
      <c r="CF1090" s="240"/>
      <c r="CG1090" s="240"/>
      <c r="CH1090" s="240"/>
      <c r="CI1090" s="240"/>
      <c r="CJ1090" s="240"/>
      <c r="CK1090" s="240"/>
      <c r="CL1090" s="240"/>
      <c r="CM1090" s="240"/>
      <c r="CN1090" s="240"/>
      <c r="CO1090" s="240"/>
      <c r="CP1090" s="240"/>
      <c r="CQ1090" s="240"/>
      <c r="CR1090" s="240"/>
      <c r="CS1090" s="240"/>
      <c r="CT1090" s="240"/>
      <c r="CU1090" s="240"/>
      <c r="CV1090" s="240"/>
      <c r="CW1090" s="240"/>
      <c r="CX1090" s="240"/>
      <c r="CY1090" s="240"/>
      <c r="CZ1090" s="241"/>
      <c r="DA1090" s="241"/>
      <c r="DB1090" s="241"/>
      <c r="DC1090" s="241"/>
      <c r="DD1090" s="241"/>
      <c r="DE1090" s="241"/>
      <c r="DF1090" s="241"/>
      <c r="DG1090" s="241"/>
      <c r="DH1090" s="241"/>
      <c r="DI1090" s="241"/>
      <c r="DJ1090" s="241"/>
      <c r="DK1090" s="241"/>
      <c r="DL1090" s="241"/>
      <c r="DM1090" s="241"/>
      <c r="DN1090" s="241"/>
      <c r="DO1090" s="241"/>
      <c r="DP1090" s="241"/>
      <c r="DQ1090" s="241"/>
      <c r="DR1090" s="241"/>
      <c r="DS1090" s="241"/>
      <c r="DT1090" s="241"/>
      <c r="DU1090" s="241"/>
      <c r="DV1090" s="241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345"/>
      <c r="EM1090" s="242" t="e">
        <f>EM1136</f>
        <v>#REF!</v>
      </c>
      <c r="EN1090" s="242" t="e">
        <f>EN1136</f>
        <v>#REF!</v>
      </c>
      <c r="EO1090" s="242" t="e">
        <f>EO1136</f>
        <v>#REF!</v>
      </c>
      <c r="EP1090" s="242" t="e">
        <f>EP1136</f>
        <v>#REF!</v>
      </c>
      <c r="EQ1090" s="312" t="s">
        <v>906</v>
      </c>
      <c r="ES1090" s="800">
        <f>A1090</f>
        <v>25</v>
      </c>
    </row>
    <row r="1091" spans="1:149" s="243" customFormat="1" ht="11.25" hidden="1" customHeight="1">
      <c r="B1091" s="343"/>
      <c r="C1091" s="240"/>
      <c r="D1091" s="240"/>
      <c r="E1091" s="240" t="s">
        <v>674</v>
      </c>
      <c r="F1091" s="240"/>
      <c r="G1091" s="240"/>
      <c r="H1091" s="240" t="s">
        <v>622</v>
      </c>
      <c r="I1091" s="240"/>
      <c r="J1091" s="240"/>
      <c r="K1091" s="240" t="s">
        <v>842</v>
      </c>
      <c r="L1091" s="240"/>
      <c r="M1091" s="240"/>
      <c r="N1091" s="240" t="s">
        <v>132</v>
      </c>
      <c r="O1091" s="240"/>
      <c r="P1091" s="240" t="s">
        <v>691</v>
      </c>
      <c r="Q1091" s="240"/>
      <c r="R1091" s="240"/>
      <c r="S1091" s="240"/>
      <c r="T1091" s="240"/>
      <c r="U1091" s="240"/>
      <c r="V1091" s="240"/>
      <c r="W1091" s="240"/>
      <c r="X1091" s="240"/>
      <c r="Y1091" s="240"/>
      <c r="Z1091" s="240"/>
      <c r="AA1091" s="240"/>
      <c r="AB1091" s="240"/>
      <c r="AC1091" s="240"/>
      <c r="AD1091" s="240"/>
      <c r="AE1091" s="240"/>
      <c r="AF1091" s="240"/>
      <c r="AG1091" s="240"/>
      <c r="AH1091" s="240"/>
      <c r="AI1091" s="240" t="s">
        <v>772</v>
      </c>
      <c r="AJ1091" s="240"/>
      <c r="AK1091" s="240"/>
      <c r="AL1091" s="240"/>
      <c r="AM1091" s="240"/>
      <c r="AN1091" s="240"/>
      <c r="AO1091" s="240"/>
      <c r="AP1091" s="240"/>
      <c r="AQ1091" s="240"/>
      <c r="AR1091" s="240"/>
      <c r="AS1091" s="240"/>
      <c r="AT1091" s="240"/>
      <c r="AU1091" s="240"/>
      <c r="AV1091" s="240"/>
      <c r="AW1091" s="240"/>
      <c r="AX1091" s="240"/>
      <c r="AY1091" s="240"/>
      <c r="AZ1091" s="240"/>
      <c r="BA1091" s="240"/>
      <c r="BB1091" s="240"/>
      <c r="BC1091" s="240"/>
      <c r="BD1091" s="240"/>
      <c r="BE1091" s="240"/>
      <c r="BF1091" s="240"/>
      <c r="BG1091" s="240"/>
      <c r="BH1091" s="240"/>
      <c r="BI1091" s="240"/>
      <c r="BJ1091" s="240"/>
      <c r="BK1091" s="240"/>
      <c r="BL1091" s="240"/>
      <c r="BM1091" s="240"/>
      <c r="BN1091" s="240"/>
      <c r="BO1091" s="240"/>
      <c r="BP1091" s="240"/>
      <c r="BQ1091" s="240"/>
      <c r="BR1091" s="240"/>
      <c r="BS1091" s="240"/>
      <c r="BT1091" s="240"/>
      <c r="BU1091" s="240"/>
      <c r="BV1091" s="240"/>
      <c r="BW1091" s="240"/>
      <c r="BX1091" s="240"/>
      <c r="BY1091" s="240"/>
      <c r="BZ1091" s="240"/>
      <c r="CA1091" s="240"/>
      <c r="CB1091" s="240"/>
      <c r="CC1091" s="240"/>
      <c r="CD1091" s="240"/>
      <c r="CE1091" s="240"/>
      <c r="CF1091" s="240"/>
      <c r="CG1091" s="240"/>
      <c r="CH1091" s="240"/>
      <c r="CI1091" s="240"/>
      <c r="CJ1091" s="240"/>
      <c r="CK1091" s="240"/>
      <c r="CL1091" s="240"/>
      <c r="CM1091" s="240"/>
      <c r="CN1091" s="240"/>
      <c r="CO1091" s="240"/>
      <c r="CP1091" s="240"/>
      <c r="CQ1091" s="240"/>
      <c r="CR1091" s="240"/>
      <c r="CS1091" s="240"/>
      <c r="CT1091" s="240"/>
      <c r="CU1091" s="240"/>
      <c r="CV1091" s="240"/>
      <c r="CW1091" s="240"/>
      <c r="CX1091" s="240"/>
      <c r="CY1091" s="240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1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345"/>
      <c r="EM1091" s="245"/>
      <c r="EN1091" s="245"/>
      <c r="EO1091" s="245"/>
      <c r="EP1091" s="245"/>
      <c r="EQ1091" s="351"/>
    </row>
    <row r="1092" spans="1:149" s="243" customFormat="1" ht="11.25" hidden="1" customHeight="1">
      <c r="B1092" s="343"/>
      <c r="C1092" s="240"/>
      <c r="D1092" s="240"/>
      <c r="E1092" s="240"/>
      <c r="F1092" s="240"/>
      <c r="G1092" s="240"/>
      <c r="H1092" s="240" t="s">
        <v>843</v>
      </c>
      <c r="I1092" s="240"/>
      <c r="J1092" s="240"/>
      <c r="K1092" s="240" t="s">
        <v>134</v>
      </c>
      <c r="L1092" s="240"/>
      <c r="M1092" s="240" t="str">
        <f>TEXT(0.7,"#,##0.#######")</f>
        <v>0.7</v>
      </c>
      <c r="N1092" s="240"/>
      <c r="O1092" s="240"/>
      <c r="P1092" s="240"/>
      <c r="Q1092" s="240"/>
      <c r="R1092" s="240"/>
      <c r="S1092" s="240"/>
      <c r="T1092" s="240"/>
      <c r="U1092" s="240" t="s">
        <v>774</v>
      </c>
      <c r="V1092" s="240"/>
      <c r="W1092" s="240" t="s">
        <v>134</v>
      </c>
      <c r="X1092" s="240"/>
      <c r="Y1092" s="240" t="str">
        <f>TEXT(1,"#,##0.#######")</f>
        <v>1.</v>
      </c>
      <c r="Z1092" s="240"/>
      <c r="AA1092" s="240" t="s">
        <v>139</v>
      </c>
      <c r="AB1092" s="240"/>
      <c r="AC1092" s="240" t="str">
        <f>TEXT(1.5,"#,##0.#######")</f>
        <v>1.5</v>
      </c>
      <c r="AD1092" s="240"/>
      <c r="AE1092" s="240"/>
      <c r="AF1092" s="240"/>
      <c r="AG1092" s="240" t="s">
        <v>134</v>
      </c>
      <c r="AH1092" s="240"/>
      <c r="AI1092" s="240" t="str">
        <f>TEXT(ROUND(Y1092/AC1092,2),"#,##0.#######")</f>
        <v>0.67</v>
      </c>
      <c r="AJ1092" s="240"/>
      <c r="AK1092" s="240"/>
      <c r="AL1092" s="240"/>
      <c r="AM1092" s="240"/>
      <c r="AN1092" s="240"/>
      <c r="AO1092" s="240"/>
      <c r="AP1092" s="240"/>
      <c r="AQ1092" s="240"/>
      <c r="AR1092" s="240"/>
      <c r="AS1092" s="240"/>
      <c r="AT1092" s="240" t="s">
        <v>775</v>
      </c>
      <c r="AU1092" s="240"/>
      <c r="AV1092" s="240" t="s">
        <v>134</v>
      </c>
      <c r="AW1092" s="240"/>
      <c r="AX1092" s="240" t="str">
        <f>TEXT(0.55,"#,##0.#######")</f>
        <v>0.55</v>
      </c>
      <c r="AY1092" s="240"/>
      <c r="AZ1092" s="240"/>
      <c r="BA1092" s="240"/>
      <c r="BB1092" s="240"/>
      <c r="BC1092" s="240"/>
      <c r="BD1092" s="240"/>
      <c r="BE1092" s="240"/>
      <c r="BF1092" s="240"/>
      <c r="BG1092" s="240"/>
      <c r="BH1092" s="240"/>
      <c r="BI1092" s="240"/>
      <c r="BJ1092" s="240"/>
      <c r="BK1092" s="240"/>
      <c r="BL1092" s="240"/>
      <c r="BM1092" s="240"/>
      <c r="BN1092" s="240"/>
      <c r="BO1092" s="240"/>
      <c r="BP1092" s="240"/>
      <c r="BQ1092" s="240"/>
      <c r="BR1092" s="240"/>
      <c r="BS1092" s="240"/>
      <c r="BT1092" s="240"/>
      <c r="BU1092" s="240"/>
      <c r="BV1092" s="240"/>
      <c r="BW1092" s="240"/>
      <c r="BX1092" s="240"/>
      <c r="BY1092" s="240"/>
      <c r="BZ1092" s="240"/>
      <c r="CA1092" s="240"/>
      <c r="CB1092" s="240"/>
      <c r="CC1092" s="240"/>
      <c r="CD1092" s="240"/>
      <c r="CE1092" s="240"/>
      <c r="CF1092" s="240"/>
      <c r="CG1092" s="240"/>
      <c r="CH1092" s="240"/>
      <c r="CI1092" s="240"/>
      <c r="CJ1092" s="240"/>
      <c r="CK1092" s="240"/>
      <c r="CL1092" s="240"/>
      <c r="CM1092" s="240"/>
      <c r="CN1092" s="240"/>
      <c r="CO1092" s="240"/>
      <c r="CP1092" s="240"/>
      <c r="CQ1092" s="240"/>
      <c r="CR1092" s="240"/>
      <c r="CS1092" s="240"/>
      <c r="CT1092" s="240"/>
      <c r="CU1092" s="240"/>
      <c r="CV1092" s="240"/>
      <c r="CW1092" s="240"/>
      <c r="CX1092" s="240"/>
      <c r="CY1092" s="240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1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345"/>
      <c r="EM1092" s="245"/>
      <c r="EN1092" s="245"/>
      <c r="EO1092" s="245"/>
      <c r="EP1092" s="245"/>
      <c r="EQ1092" s="351"/>
    </row>
    <row r="1093" spans="1:149" s="243" customFormat="1" ht="11.25" hidden="1" customHeight="1">
      <c r="B1093" s="343"/>
      <c r="C1093" s="240"/>
      <c r="D1093" s="240"/>
      <c r="E1093" s="240"/>
      <c r="F1093" s="240"/>
      <c r="G1093" s="240"/>
      <c r="H1093" s="240"/>
      <c r="I1093" s="240"/>
      <c r="J1093" s="240"/>
      <c r="K1093" s="240"/>
      <c r="L1093" s="240"/>
      <c r="M1093" s="240"/>
      <c r="N1093" s="240"/>
      <c r="O1093" s="240"/>
      <c r="P1093" s="240"/>
      <c r="Q1093" s="240"/>
      <c r="R1093" s="240"/>
      <c r="S1093" s="240"/>
      <c r="T1093" s="240"/>
      <c r="U1093" s="240"/>
      <c r="V1093" s="240"/>
      <c r="W1093" s="240"/>
      <c r="X1093" s="240"/>
      <c r="Y1093" s="240"/>
      <c r="Z1093" s="240"/>
      <c r="AA1093" s="240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240"/>
      <c r="AM1093" s="240"/>
      <c r="AN1093" s="240"/>
      <c r="AO1093" s="240"/>
      <c r="AP1093" s="240"/>
      <c r="AQ1093" s="240"/>
      <c r="AR1093" s="240"/>
      <c r="AS1093" s="240"/>
      <c r="AT1093" s="240"/>
      <c r="AU1093" s="240"/>
      <c r="AV1093" s="240"/>
      <c r="AW1093" s="240"/>
      <c r="AX1093" s="240"/>
      <c r="AY1093" s="240"/>
      <c r="AZ1093" s="240"/>
      <c r="BA1093" s="240"/>
      <c r="BB1093" s="240"/>
      <c r="BC1093" s="240"/>
      <c r="BD1093" s="240"/>
      <c r="BE1093" s="240"/>
      <c r="BF1093" s="240"/>
      <c r="BG1093" s="240"/>
      <c r="BH1093" s="240"/>
      <c r="BI1093" s="240"/>
      <c r="BJ1093" s="240"/>
      <c r="BK1093" s="240"/>
      <c r="BL1093" s="240"/>
      <c r="BM1093" s="240"/>
      <c r="BN1093" s="240"/>
      <c r="BO1093" s="240"/>
      <c r="BP1093" s="240"/>
      <c r="BQ1093" s="240"/>
      <c r="BR1093" s="240"/>
      <c r="BS1093" s="240"/>
      <c r="BT1093" s="240"/>
      <c r="BU1093" s="240"/>
      <c r="BV1093" s="240"/>
      <c r="BW1093" s="240"/>
      <c r="BX1093" s="240"/>
      <c r="BY1093" s="240"/>
      <c r="BZ1093" s="240"/>
      <c r="CA1093" s="240"/>
      <c r="CB1093" s="240"/>
      <c r="CC1093" s="240"/>
      <c r="CD1093" s="240"/>
      <c r="CE1093" s="240"/>
      <c r="CF1093" s="240"/>
      <c r="CG1093" s="240"/>
      <c r="CH1093" s="240"/>
      <c r="CI1093" s="240"/>
      <c r="CJ1093" s="240"/>
      <c r="CK1093" s="240"/>
      <c r="CL1093" s="240"/>
      <c r="CM1093" s="240"/>
      <c r="CN1093" s="240"/>
      <c r="CO1093" s="240"/>
      <c r="CP1093" s="240"/>
      <c r="CQ1093" s="240"/>
      <c r="CR1093" s="240"/>
      <c r="CS1093" s="240"/>
      <c r="CT1093" s="240"/>
      <c r="CU1093" s="240"/>
      <c r="CV1093" s="240"/>
      <c r="CW1093" s="240"/>
      <c r="CX1093" s="240"/>
      <c r="CY1093" s="240"/>
      <c r="CZ1093" s="241"/>
      <c r="DA1093" s="241"/>
      <c r="DB1093" s="241"/>
      <c r="DC1093" s="241"/>
      <c r="DD1093" s="241"/>
      <c r="DE1093" s="241"/>
      <c r="DF1093" s="241"/>
      <c r="DG1093" s="241"/>
      <c r="DH1093" s="241"/>
      <c r="DI1093" s="241"/>
      <c r="DJ1093" s="241"/>
      <c r="DK1093" s="241"/>
      <c r="DL1093" s="241"/>
      <c r="DM1093" s="241"/>
      <c r="DN1093" s="241"/>
      <c r="DO1093" s="241"/>
      <c r="DP1093" s="241"/>
      <c r="DQ1093" s="241"/>
      <c r="DR1093" s="241"/>
      <c r="DS1093" s="241"/>
      <c r="DT1093" s="241"/>
      <c r="DU1093" s="241"/>
      <c r="DV1093" s="241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345"/>
      <c r="EM1093" s="245"/>
      <c r="EN1093" s="245"/>
      <c r="EO1093" s="245"/>
      <c r="EP1093" s="245"/>
      <c r="EQ1093" s="351"/>
    </row>
    <row r="1094" spans="1:149" s="243" customFormat="1" ht="11.25" hidden="1" customHeight="1">
      <c r="B1094" s="343"/>
      <c r="C1094" s="240"/>
      <c r="D1094" s="240"/>
      <c r="E1094" s="240"/>
      <c r="F1094" s="240"/>
      <c r="G1094" s="240"/>
      <c r="H1094" s="240" t="s">
        <v>844</v>
      </c>
      <c r="I1094" s="240"/>
      <c r="J1094" s="240"/>
      <c r="K1094" s="240" t="s">
        <v>134</v>
      </c>
      <c r="L1094" s="240"/>
      <c r="M1094" s="240" t="str">
        <f>TEXT(0.45,"#,##0.#######")</f>
        <v>0.45</v>
      </c>
      <c r="N1094" s="240"/>
      <c r="O1094" s="240"/>
      <c r="P1094" s="240"/>
      <c r="Q1094" s="240"/>
      <c r="R1094" s="240"/>
      <c r="S1094" s="240"/>
      <c r="T1094" s="240"/>
      <c r="U1094" s="240"/>
      <c r="V1094" s="240" t="s">
        <v>845</v>
      </c>
      <c r="W1094" s="240"/>
      <c r="X1094" s="240"/>
      <c r="Y1094" s="240"/>
      <c r="Z1094" s="240" t="s">
        <v>134</v>
      </c>
      <c r="AA1094" s="240"/>
      <c r="AB1094" s="240" t="str">
        <f>TEXT(20,"#,##0.#######")</f>
        <v>20.</v>
      </c>
      <c r="AC1094" s="240"/>
      <c r="AD1094" s="240" t="s">
        <v>776</v>
      </c>
      <c r="AE1094" s="240"/>
      <c r="AF1094" s="240"/>
      <c r="AG1094" s="240" t="s">
        <v>147</v>
      </c>
      <c r="AH1094" s="240" t="s">
        <v>553</v>
      </c>
      <c r="AI1094" s="240"/>
      <c r="AJ1094" s="240"/>
      <c r="AK1094" s="240" t="s">
        <v>777</v>
      </c>
      <c r="AL1094" s="240"/>
      <c r="AM1094" s="240" t="s">
        <v>148</v>
      </c>
      <c r="AN1094" s="240"/>
      <c r="AO1094" s="240"/>
      <c r="AP1094" s="240"/>
      <c r="AQ1094" s="240"/>
      <c r="AR1094" s="240"/>
      <c r="AS1094" s="240"/>
      <c r="AT1094" s="240"/>
      <c r="AU1094" s="240"/>
      <c r="AV1094" s="240"/>
      <c r="AW1094" s="240"/>
      <c r="AX1094" s="240"/>
      <c r="AY1094" s="240"/>
      <c r="AZ1094" s="240"/>
      <c r="BA1094" s="240"/>
      <c r="BB1094" s="240"/>
      <c r="BC1094" s="240"/>
      <c r="BD1094" s="240"/>
      <c r="BE1094" s="240"/>
      <c r="BF1094" s="240"/>
      <c r="BG1094" s="240"/>
      <c r="BH1094" s="240"/>
      <c r="BI1094" s="240"/>
      <c r="BJ1094" s="240"/>
      <c r="BK1094" s="240"/>
      <c r="BL1094" s="240"/>
      <c r="BM1094" s="240"/>
      <c r="BN1094" s="240"/>
      <c r="BO1094" s="240"/>
      <c r="BP1094" s="240"/>
      <c r="BQ1094" s="240"/>
      <c r="BR1094" s="240"/>
      <c r="BS1094" s="240"/>
      <c r="BT1094" s="240"/>
      <c r="BU1094" s="240"/>
      <c r="BV1094" s="240"/>
      <c r="BW1094" s="240"/>
      <c r="BX1094" s="240"/>
      <c r="BY1094" s="240"/>
      <c r="BZ1094" s="240"/>
      <c r="CA1094" s="240"/>
      <c r="CB1094" s="240"/>
      <c r="CC1094" s="240"/>
      <c r="CD1094" s="240"/>
      <c r="CE1094" s="240"/>
      <c r="CF1094" s="240"/>
      <c r="CG1094" s="240"/>
      <c r="CH1094" s="240"/>
      <c r="CI1094" s="240"/>
      <c r="CJ1094" s="240"/>
      <c r="CK1094" s="240"/>
      <c r="CL1094" s="240"/>
      <c r="CM1094" s="240"/>
      <c r="CN1094" s="240"/>
      <c r="CO1094" s="240"/>
      <c r="CP1094" s="240"/>
      <c r="CQ1094" s="240"/>
      <c r="CR1094" s="240"/>
      <c r="CS1094" s="240"/>
      <c r="CT1094" s="240"/>
      <c r="CU1094" s="240"/>
      <c r="CV1094" s="240"/>
      <c r="CW1094" s="240"/>
      <c r="CX1094" s="240"/>
      <c r="CY1094" s="240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1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345"/>
      <c r="EM1094" s="245"/>
      <c r="EN1094" s="245"/>
      <c r="EO1094" s="245"/>
      <c r="EP1094" s="245"/>
      <c r="EQ1094" s="351"/>
    </row>
    <row r="1095" spans="1:149" s="243" customFormat="1" ht="11.25" hidden="1" customHeight="1">
      <c r="B1095" s="343"/>
      <c r="C1095" s="240"/>
      <c r="D1095" s="240"/>
      <c r="E1095" s="240"/>
      <c r="F1095" s="240"/>
      <c r="G1095" s="240"/>
      <c r="H1095" s="240"/>
      <c r="I1095" s="240"/>
      <c r="J1095" s="240"/>
      <c r="K1095" s="240"/>
      <c r="L1095" s="240"/>
      <c r="M1095" s="240"/>
      <c r="N1095" s="240"/>
      <c r="O1095" s="240"/>
      <c r="P1095" s="240"/>
      <c r="Q1095" s="240"/>
      <c r="R1095" s="240"/>
      <c r="S1095" s="240"/>
      <c r="T1095" s="240"/>
      <c r="U1095" s="240"/>
      <c r="V1095" s="240"/>
      <c r="W1095" s="240"/>
      <c r="X1095" s="240"/>
      <c r="Y1095" s="240"/>
      <c r="Z1095" s="240"/>
      <c r="AA1095" s="240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240"/>
      <c r="AM1095" s="240"/>
      <c r="AN1095" s="240"/>
      <c r="AO1095" s="240"/>
      <c r="AP1095" s="240"/>
      <c r="AQ1095" s="240"/>
      <c r="AR1095" s="240"/>
      <c r="AS1095" s="240"/>
      <c r="AT1095" s="240"/>
      <c r="AU1095" s="240"/>
      <c r="AV1095" s="240"/>
      <c r="AW1095" s="240"/>
      <c r="AX1095" s="240"/>
      <c r="AY1095" s="240"/>
      <c r="AZ1095" s="240"/>
      <c r="BA1095" s="240"/>
      <c r="BB1095" s="240"/>
      <c r="BC1095" s="240"/>
      <c r="BD1095" s="240"/>
      <c r="BE1095" s="240"/>
      <c r="BF1095" s="240"/>
      <c r="BG1095" s="240"/>
      <c r="BH1095" s="240"/>
      <c r="BI1095" s="240"/>
      <c r="BJ1095" s="240"/>
      <c r="BK1095" s="240"/>
      <c r="BL1095" s="240"/>
      <c r="BM1095" s="240"/>
      <c r="BN1095" s="240"/>
      <c r="BO1095" s="240"/>
      <c r="BP1095" s="240"/>
      <c r="BQ1095" s="240"/>
      <c r="BR1095" s="240"/>
      <c r="BS1095" s="240"/>
      <c r="BT1095" s="240"/>
      <c r="BU1095" s="240"/>
      <c r="BV1095" s="240"/>
      <c r="BW1095" s="240"/>
      <c r="BX1095" s="240"/>
      <c r="BY1095" s="240"/>
      <c r="BZ1095" s="240"/>
      <c r="CA1095" s="240"/>
      <c r="CB1095" s="240"/>
      <c r="CC1095" s="240"/>
      <c r="CD1095" s="240"/>
      <c r="CE1095" s="240"/>
      <c r="CF1095" s="240"/>
      <c r="CG1095" s="240"/>
      <c r="CH1095" s="240"/>
      <c r="CI1095" s="240"/>
      <c r="CJ1095" s="240"/>
      <c r="CK1095" s="240"/>
      <c r="CL1095" s="240"/>
      <c r="CM1095" s="240"/>
      <c r="CN1095" s="240"/>
      <c r="CO1095" s="240"/>
      <c r="CP1095" s="240"/>
      <c r="CQ1095" s="240"/>
      <c r="CR1095" s="240"/>
      <c r="CS1095" s="240"/>
      <c r="CT1095" s="240"/>
      <c r="CU1095" s="240"/>
      <c r="CV1095" s="240"/>
      <c r="CW1095" s="240"/>
      <c r="CX1095" s="240"/>
      <c r="CY1095" s="240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1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345"/>
      <c r="EM1095" s="245"/>
      <c r="EN1095" s="245"/>
      <c r="EO1095" s="245"/>
      <c r="EP1095" s="245"/>
      <c r="EQ1095" s="351"/>
    </row>
    <row r="1096" spans="1:149" s="243" customFormat="1" ht="11.25" hidden="1" customHeight="1">
      <c r="B1096" s="343"/>
      <c r="C1096" s="240"/>
      <c r="D1096" s="240"/>
      <c r="E1096" s="240"/>
      <c r="F1096" s="240"/>
      <c r="G1096" s="240"/>
      <c r="H1096" s="240"/>
      <c r="I1096" s="240"/>
      <c r="J1096" s="240"/>
      <c r="K1096" s="240"/>
      <c r="L1096" s="240"/>
      <c r="M1096" s="240" t="str">
        <f>TEXT(3600,"#,##0.#######")</f>
        <v>3,600.</v>
      </c>
      <c r="N1096" s="240"/>
      <c r="O1096" s="240"/>
      <c r="P1096" s="240"/>
      <c r="Q1096" s="240"/>
      <c r="R1096" s="240" t="s">
        <v>652</v>
      </c>
      <c r="S1096" s="240"/>
      <c r="T1096" s="240" t="s">
        <v>843</v>
      </c>
      <c r="U1096" s="240"/>
      <c r="V1096" s="240" t="s">
        <v>652</v>
      </c>
      <c r="W1096" s="240"/>
      <c r="X1096" s="240" t="s">
        <v>775</v>
      </c>
      <c r="Y1096" s="240" t="s">
        <v>652</v>
      </c>
      <c r="Z1096" s="240"/>
      <c r="AA1096" s="240" t="s">
        <v>774</v>
      </c>
      <c r="AB1096" s="240" t="s">
        <v>652</v>
      </c>
      <c r="AC1096" s="240"/>
      <c r="AD1096" s="240" t="s">
        <v>844</v>
      </c>
      <c r="AE1096" s="240"/>
      <c r="AF1096" s="240"/>
      <c r="AG1096" s="240"/>
      <c r="AH1096" s="240"/>
      <c r="AI1096" s="240"/>
      <c r="AJ1096" s="240"/>
      <c r="AK1096" s="240"/>
      <c r="AL1096" s="240" t="str">
        <f>TEXT(M1096,"#,##0.#######")</f>
        <v>3,600.</v>
      </c>
      <c r="AM1096" s="240"/>
      <c r="AN1096" s="240"/>
      <c r="AO1096" s="240"/>
      <c r="AP1096" s="240"/>
      <c r="AQ1096" s="240" t="s">
        <v>652</v>
      </c>
      <c r="AR1096" s="240"/>
      <c r="AS1096" s="240" t="str">
        <f>TEXT(M1092,"#,##0.#######")</f>
        <v>0.7</v>
      </c>
      <c r="AT1096" s="240"/>
      <c r="AU1096" s="240"/>
      <c r="AV1096" s="240" t="s">
        <v>652</v>
      </c>
      <c r="AW1096" s="240"/>
      <c r="AX1096" s="240" t="str">
        <f>TEXT(AX1092,"#,##0.#######")</f>
        <v>0.55</v>
      </c>
      <c r="AY1096" s="240"/>
      <c r="AZ1096" s="240"/>
      <c r="BA1096" s="240"/>
      <c r="BB1096" s="240" t="s">
        <v>652</v>
      </c>
      <c r="BC1096" s="240"/>
      <c r="BD1096" s="240" t="str">
        <f>TEXT(AI1092,"#,##0.#######")</f>
        <v>0.67</v>
      </c>
      <c r="BE1096" s="240"/>
      <c r="BF1096" s="240"/>
      <c r="BG1096" s="240"/>
      <c r="BH1096" s="240" t="s">
        <v>652</v>
      </c>
      <c r="BI1096" s="240"/>
      <c r="BJ1096" s="240" t="str">
        <f>TEXT(M1094,"#,##0.#######")</f>
        <v>0.45</v>
      </c>
      <c r="BK1096" s="240"/>
      <c r="BL1096" s="240"/>
      <c r="BM1096" s="240"/>
      <c r="BN1096" s="240"/>
      <c r="BO1096" s="240"/>
      <c r="BP1096" s="240"/>
      <c r="BQ1096" s="240"/>
      <c r="BR1096" s="240"/>
      <c r="BS1096" s="240"/>
      <c r="BT1096" s="240"/>
      <c r="BU1096" s="240"/>
      <c r="BV1096" s="240"/>
      <c r="BW1096" s="240"/>
      <c r="BX1096" s="240"/>
      <c r="BY1096" s="240"/>
      <c r="BZ1096" s="240"/>
      <c r="CA1096" s="240"/>
      <c r="CB1096" s="240"/>
      <c r="CC1096" s="240"/>
      <c r="CD1096" s="240"/>
      <c r="CE1096" s="240"/>
      <c r="CF1096" s="240"/>
      <c r="CG1096" s="240"/>
      <c r="CH1096" s="240"/>
      <c r="CI1096" s="240"/>
      <c r="CJ1096" s="240"/>
      <c r="CK1096" s="240"/>
      <c r="CL1096" s="240"/>
      <c r="CM1096" s="240"/>
      <c r="CN1096" s="240"/>
      <c r="CO1096" s="240"/>
      <c r="CP1096" s="240"/>
      <c r="CQ1096" s="240"/>
      <c r="CR1096" s="240"/>
      <c r="CS1096" s="240"/>
      <c r="CT1096" s="240"/>
      <c r="CU1096" s="240"/>
      <c r="CV1096" s="240"/>
      <c r="CW1096" s="240"/>
      <c r="CX1096" s="240"/>
      <c r="CY1096" s="240"/>
      <c r="CZ1096" s="241"/>
      <c r="DA1096" s="241"/>
      <c r="DB1096" s="241"/>
      <c r="DC1096" s="241"/>
      <c r="DD1096" s="241"/>
      <c r="DE1096" s="241"/>
      <c r="DF1096" s="241"/>
      <c r="DG1096" s="241"/>
      <c r="DH1096" s="241"/>
      <c r="DI1096" s="241"/>
      <c r="DJ1096" s="241"/>
      <c r="DK1096" s="241"/>
      <c r="DL1096" s="241"/>
      <c r="DM1096" s="241"/>
      <c r="DN1096" s="241"/>
      <c r="DO1096" s="241"/>
      <c r="DP1096" s="241"/>
      <c r="DQ1096" s="241"/>
      <c r="DR1096" s="241"/>
      <c r="DS1096" s="241"/>
      <c r="DT1096" s="241"/>
      <c r="DU1096" s="241"/>
      <c r="DV1096" s="241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345"/>
      <c r="EM1096" s="245"/>
      <c r="EN1096" s="245"/>
      <c r="EO1096" s="245"/>
      <c r="EP1096" s="245"/>
      <c r="EQ1096" s="351"/>
    </row>
    <row r="1097" spans="1:149" s="243" customFormat="1" ht="11.25" hidden="1" customHeight="1">
      <c r="B1097" s="343"/>
      <c r="C1097" s="240"/>
      <c r="D1097" s="240"/>
      <c r="E1097" s="240"/>
      <c r="F1097" s="240"/>
      <c r="G1097" s="240"/>
      <c r="H1097" s="240" t="s">
        <v>687</v>
      </c>
      <c r="I1097" s="240"/>
      <c r="J1097" s="240" t="s">
        <v>134</v>
      </c>
      <c r="K1097" s="240"/>
      <c r="L1097" s="240" t="s">
        <v>694</v>
      </c>
      <c r="M1097" s="240"/>
      <c r="N1097" s="240" t="s">
        <v>694</v>
      </c>
      <c r="O1097" s="240"/>
      <c r="P1097" s="240" t="s">
        <v>694</v>
      </c>
      <c r="Q1097" s="240"/>
      <c r="R1097" s="240" t="s">
        <v>694</v>
      </c>
      <c r="S1097" s="240"/>
      <c r="T1097" s="240" t="s">
        <v>694</v>
      </c>
      <c r="U1097" s="240"/>
      <c r="V1097" s="240" t="s">
        <v>694</v>
      </c>
      <c r="W1097" s="240"/>
      <c r="X1097" s="240" t="s">
        <v>694</v>
      </c>
      <c r="Y1097" s="240"/>
      <c r="Z1097" s="240" t="s">
        <v>694</v>
      </c>
      <c r="AA1097" s="240"/>
      <c r="AB1097" s="240" t="s">
        <v>694</v>
      </c>
      <c r="AC1097" s="240"/>
      <c r="AD1097" s="240" t="s">
        <v>694</v>
      </c>
      <c r="AE1097" s="240"/>
      <c r="AF1097" s="240" t="s">
        <v>694</v>
      </c>
      <c r="AG1097" s="240"/>
      <c r="AH1097" s="240"/>
      <c r="AI1097" s="240" t="s">
        <v>134</v>
      </c>
      <c r="AJ1097" s="240"/>
      <c r="AK1097" s="240" t="s">
        <v>694</v>
      </c>
      <c r="AL1097" s="240"/>
      <c r="AM1097" s="240" t="s">
        <v>694</v>
      </c>
      <c r="AN1097" s="240"/>
      <c r="AO1097" s="240" t="s">
        <v>694</v>
      </c>
      <c r="AP1097" s="240"/>
      <c r="AQ1097" s="240" t="s">
        <v>694</v>
      </c>
      <c r="AR1097" s="240"/>
      <c r="AS1097" s="240" t="s">
        <v>694</v>
      </c>
      <c r="AT1097" s="240"/>
      <c r="AU1097" s="240" t="s">
        <v>694</v>
      </c>
      <c r="AV1097" s="240"/>
      <c r="AW1097" s="240" t="s">
        <v>694</v>
      </c>
      <c r="AX1097" s="240"/>
      <c r="AY1097" s="240" t="s">
        <v>694</v>
      </c>
      <c r="AZ1097" s="240"/>
      <c r="BA1097" s="240" t="s">
        <v>694</v>
      </c>
      <c r="BB1097" s="240"/>
      <c r="BC1097" s="240" t="s">
        <v>694</v>
      </c>
      <c r="BD1097" s="240"/>
      <c r="BE1097" s="240" t="s">
        <v>694</v>
      </c>
      <c r="BF1097" s="240"/>
      <c r="BG1097" s="240" t="s">
        <v>694</v>
      </c>
      <c r="BH1097" s="240"/>
      <c r="BI1097" s="240" t="s">
        <v>694</v>
      </c>
      <c r="BJ1097" s="240"/>
      <c r="BK1097" s="240" t="s">
        <v>694</v>
      </c>
      <c r="BL1097" s="240"/>
      <c r="BM1097" s="240" t="s">
        <v>694</v>
      </c>
      <c r="BN1097" s="240"/>
      <c r="BO1097" s="240"/>
      <c r="BP1097" s="240" t="s">
        <v>134</v>
      </c>
      <c r="BQ1097" s="240"/>
      <c r="BR1097" s="240" t="str">
        <f>TEXT(ROUND((3600*M1092*AX1092*AI1092*M1094)/(AB1094),2),"#,##0.#######")</f>
        <v>20.89</v>
      </c>
      <c r="BS1097" s="240"/>
      <c r="BT1097" s="240"/>
      <c r="BU1097" s="240"/>
      <c r="BV1097" s="240"/>
      <c r="BW1097" s="240"/>
      <c r="BX1097" s="240"/>
      <c r="BY1097" s="240"/>
      <c r="BZ1097" s="240" t="s">
        <v>91</v>
      </c>
      <c r="CA1097" s="240"/>
      <c r="CB1097" s="240" t="s">
        <v>139</v>
      </c>
      <c r="CC1097" s="240" t="s">
        <v>618</v>
      </c>
      <c r="CD1097" s="240"/>
      <c r="CE1097" s="240"/>
      <c r="CF1097" s="240"/>
      <c r="CG1097" s="240"/>
      <c r="CH1097" s="240"/>
      <c r="CI1097" s="240"/>
      <c r="CJ1097" s="240"/>
      <c r="CK1097" s="240"/>
      <c r="CL1097" s="240"/>
      <c r="CM1097" s="240"/>
      <c r="CN1097" s="240"/>
      <c r="CO1097" s="240"/>
      <c r="CP1097" s="240"/>
      <c r="CQ1097" s="240"/>
      <c r="CR1097" s="240"/>
      <c r="CS1097" s="240"/>
      <c r="CT1097" s="240"/>
      <c r="CU1097" s="240"/>
      <c r="CV1097" s="240"/>
      <c r="CW1097" s="240"/>
      <c r="CX1097" s="240"/>
      <c r="CY1097" s="240"/>
      <c r="CZ1097" s="241"/>
      <c r="DA1097" s="241"/>
      <c r="DB1097" s="241"/>
      <c r="DC1097" s="241"/>
      <c r="DD1097" s="241"/>
      <c r="DE1097" s="241"/>
      <c r="DF1097" s="241"/>
      <c r="DG1097" s="241"/>
      <c r="DH1097" s="241"/>
      <c r="DI1097" s="241"/>
      <c r="DJ1097" s="241"/>
      <c r="DK1097" s="241"/>
      <c r="DL1097" s="241"/>
      <c r="DM1097" s="241"/>
      <c r="DN1097" s="241"/>
      <c r="DO1097" s="241"/>
      <c r="DP1097" s="241"/>
      <c r="DQ1097" s="241"/>
      <c r="DR1097" s="241"/>
      <c r="DS1097" s="241"/>
      <c r="DT1097" s="241"/>
      <c r="DU1097" s="241"/>
      <c r="DV1097" s="241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345"/>
      <c r="EM1097" s="245"/>
      <c r="EN1097" s="245"/>
      <c r="EO1097" s="245"/>
      <c r="EP1097" s="245"/>
      <c r="EQ1097" s="351"/>
    </row>
    <row r="1098" spans="1:149" s="243" customFormat="1" ht="11.25" hidden="1" customHeight="1">
      <c r="B1098" s="343"/>
      <c r="C1098" s="240"/>
      <c r="D1098" s="240"/>
      <c r="E1098" s="240"/>
      <c r="F1098" s="240"/>
      <c r="G1098" s="240"/>
      <c r="H1098" s="240"/>
      <c r="I1098" s="240"/>
      <c r="J1098" s="240"/>
      <c r="K1098" s="240"/>
      <c r="L1098" s="240"/>
      <c r="M1098" s="240"/>
      <c r="N1098" s="240"/>
      <c r="O1098" s="240"/>
      <c r="P1098" s="240"/>
      <c r="Q1098" s="240"/>
      <c r="R1098" s="240"/>
      <c r="S1098" s="240"/>
      <c r="T1098" s="240"/>
      <c r="U1098" s="240" t="s">
        <v>845</v>
      </c>
      <c r="V1098" s="240"/>
      <c r="W1098" s="240"/>
      <c r="X1098" s="240"/>
      <c r="Y1098" s="240"/>
      <c r="Z1098" s="240"/>
      <c r="AA1098" s="240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240"/>
      <c r="AM1098" s="240"/>
      <c r="AN1098" s="240"/>
      <c r="AO1098" s="240"/>
      <c r="AP1098" s="240"/>
      <c r="AQ1098" s="240"/>
      <c r="AR1098" s="240"/>
      <c r="AS1098" s="240"/>
      <c r="AT1098" s="240"/>
      <c r="AU1098" s="240"/>
      <c r="AV1098" s="240"/>
      <c r="AW1098" s="240"/>
      <c r="AX1098" s="240"/>
      <c r="AY1098" s="240" t="str">
        <f>TEXT(AB1094,"#,##0.#######")</f>
        <v>20.</v>
      </c>
      <c r="AZ1098" s="240"/>
      <c r="BA1098" s="240"/>
      <c r="BB1098" s="240"/>
      <c r="BC1098" s="240"/>
      <c r="BD1098" s="240"/>
      <c r="BE1098" s="240"/>
      <c r="BF1098" s="240"/>
      <c r="BG1098" s="240"/>
      <c r="BH1098" s="240"/>
      <c r="BI1098" s="240"/>
      <c r="BJ1098" s="240"/>
      <c r="BK1098" s="240"/>
      <c r="BL1098" s="240"/>
      <c r="BM1098" s="240"/>
      <c r="BN1098" s="240"/>
      <c r="BO1098" s="240"/>
      <c r="BP1098" s="240"/>
      <c r="BQ1098" s="240"/>
      <c r="BR1098" s="240"/>
      <c r="BS1098" s="240"/>
      <c r="BT1098" s="240"/>
      <c r="BU1098" s="240"/>
      <c r="BV1098" s="240"/>
      <c r="BW1098" s="240"/>
      <c r="BX1098" s="240"/>
      <c r="BY1098" s="240"/>
      <c r="BZ1098" s="240"/>
      <c r="CA1098" s="240"/>
      <c r="CB1098" s="240"/>
      <c r="CC1098" s="240"/>
      <c r="CD1098" s="240"/>
      <c r="CE1098" s="240"/>
      <c r="CF1098" s="240"/>
      <c r="CG1098" s="240"/>
      <c r="CH1098" s="240"/>
      <c r="CI1098" s="240"/>
      <c r="CJ1098" s="240"/>
      <c r="CK1098" s="240"/>
      <c r="CL1098" s="240"/>
      <c r="CM1098" s="240"/>
      <c r="CN1098" s="240"/>
      <c r="CO1098" s="240"/>
      <c r="CP1098" s="240"/>
      <c r="CQ1098" s="240"/>
      <c r="CR1098" s="240"/>
      <c r="CS1098" s="240"/>
      <c r="CT1098" s="240"/>
      <c r="CU1098" s="240"/>
      <c r="CV1098" s="240"/>
      <c r="CW1098" s="240"/>
      <c r="CX1098" s="240"/>
      <c r="CY1098" s="240"/>
      <c r="CZ1098" s="241"/>
      <c r="DA1098" s="241"/>
      <c r="DB1098" s="241"/>
      <c r="DC1098" s="241"/>
      <c r="DD1098" s="241"/>
      <c r="DE1098" s="241"/>
      <c r="DF1098" s="241"/>
      <c r="DG1098" s="241"/>
      <c r="DH1098" s="241"/>
      <c r="DI1098" s="241"/>
      <c r="DJ1098" s="241"/>
      <c r="DK1098" s="241"/>
      <c r="DL1098" s="241"/>
      <c r="DM1098" s="241"/>
      <c r="DN1098" s="241"/>
      <c r="DO1098" s="241"/>
      <c r="DP1098" s="241"/>
      <c r="DQ1098" s="241"/>
      <c r="DR1098" s="241"/>
      <c r="DS1098" s="241"/>
      <c r="DT1098" s="241"/>
      <c r="DU1098" s="241"/>
      <c r="DV1098" s="241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345"/>
      <c r="EM1098" s="245"/>
      <c r="EN1098" s="245"/>
      <c r="EO1098" s="245"/>
      <c r="EP1098" s="245"/>
      <c r="EQ1098" s="351"/>
    </row>
    <row r="1099" spans="1:149" s="243" customFormat="1" ht="11.25" hidden="1" customHeight="1">
      <c r="B1099" s="343"/>
      <c r="C1099" s="240"/>
      <c r="D1099" s="240"/>
      <c r="E1099" s="240"/>
      <c r="F1099" s="240"/>
      <c r="G1099" s="240"/>
      <c r="H1099" s="240"/>
      <c r="I1099" s="240"/>
      <c r="J1099" s="240"/>
      <c r="K1099" s="240"/>
      <c r="L1099" s="240"/>
      <c r="M1099" s="240"/>
      <c r="N1099" s="240"/>
      <c r="O1099" s="240"/>
      <c r="P1099" s="240"/>
      <c r="Q1099" s="240"/>
      <c r="R1099" s="240"/>
      <c r="S1099" s="240"/>
      <c r="T1099" s="240"/>
      <c r="U1099" s="240"/>
      <c r="V1099" s="240"/>
      <c r="W1099" s="240"/>
      <c r="X1099" s="240"/>
      <c r="Y1099" s="240"/>
      <c r="Z1099" s="240"/>
      <c r="AA1099" s="240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240"/>
      <c r="AM1099" s="240"/>
      <c r="AN1099" s="240"/>
      <c r="AO1099" s="240"/>
      <c r="AP1099" s="240"/>
      <c r="AQ1099" s="240"/>
      <c r="AR1099" s="240"/>
      <c r="AS1099" s="240"/>
      <c r="AT1099" s="240"/>
      <c r="AU1099" s="240"/>
      <c r="AV1099" s="240"/>
      <c r="AW1099" s="240"/>
      <c r="AX1099" s="240"/>
      <c r="AY1099" s="240"/>
      <c r="AZ1099" s="240"/>
      <c r="BA1099" s="240"/>
      <c r="BB1099" s="240"/>
      <c r="BC1099" s="240"/>
      <c r="BD1099" s="240"/>
      <c r="BE1099" s="240"/>
      <c r="BF1099" s="240"/>
      <c r="BG1099" s="240"/>
      <c r="BH1099" s="240"/>
      <c r="BI1099" s="240"/>
      <c r="BJ1099" s="240"/>
      <c r="BK1099" s="240"/>
      <c r="BL1099" s="240"/>
      <c r="BM1099" s="240"/>
      <c r="BN1099" s="240"/>
      <c r="BO1099" s="240"/>
      <c r="BP1099" s="240"/>
      <c r="BQ1099" s="240"/>
      <c r="BR1099" s="240"/>
      <c r="BS1099" s="240"/>
      <c r="BT1099" s="240"/>
      <c r="BU1099" s="240"/>
      <c r="BV1099" s="240"/>
      <c r="BW1099" s="240"/>
      <c r="BX1099" s="240"/>
      <c r="BY1099" s="240"/>
      <c r="BZ1099" s="240"/>
      <c r="CA1099" s="240"/>
      <c r="CB1099" s="240"/>
      <c r="CC1099" s="240"/>
      <c r="CD1099" s="240"/>
      <c r="CE1099" s="240"/>
      <c r="CF1099" s="240"/>
      <c r="CG1099" s="240"/>
      <c r="CH1099" s="240"/>
      <c r="CI1099" s="240"/>
      <c r="CJ1099" s="240"/>
      <c r="CK1099" s="240"/>
      <c r="CL1099" s="240"/>
      <c r="CM1099" s="240"/>
      <c r="CN1099" s="240"/>
      <c r="CO1099" s="240"/>
      <c r="CP1099" s="240"/>
      <c r="CQ1099" s="240"/>
      <c r="CR1099" s="240"/>
      <c r="CS1099" s="240"/>
      <c r="CT1099" s="240"/>
      <c r="CU1099" s="240"/>
      <c r="CV1099" s="240"/>
      <c r="CW1099" s="240"/>
      <c r="CX1099" s="240"/>
      <c r="CY1099" s="240"/>
      <c r="CZ1099" s="241"/>
      <c r="DA1099" s="241"/>
      <c r="DB1099" s="241"/>
      <c r="DC1099" s="241"/>
      <c r="DD1099" s="241"/>
      <c r="DE1099" s="241"/>
      <c r="DF1099" s="241"/>
      <c r="DG1099" s="241"/>
      <c r="DH1099" s="241"/>
      <c r="DI1099" s="241"/>
      <c r="DJ1099" s="241"/>
      <c r="DK1099" s="241"/>
      <c r="DL1099" s="241"/>
      <c r="DM1099" s="241"/>
      <c r="DN1099" s="241"/>
      <c r="DO1099" s="241"/>
      <c r="DP1099" s="241"/>
      <c r="DQ1099" s="241"/>
      <c r="DR1099" s="241"/>
      <c r="DS1099" s="241"/>
      <c r="DT1099" s="241"/>
      <c r="DU1099" s="241"/>
      <c r="DV1099" s="241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345"/>
      <c r="EM1099" s="245"/>
      <c r="EN1099" s="245"/>
      <c r="EO1099" s="245"/>
      <c r="EP1099" s="245"/>
      <c r="EQ1099" s="351"/>
    </row>
    <row r="1100" spans="1:149" s="243" customFormat="1" ht="11.25" hidden="1" customHeight="1">
      <c r="B1100" s="343"/>
      <c r="C1100" s="240"/>
      <c r="D1100" s="240"/>
      <c r="E1100" s="240"/>
      <c r="F1100" s="240"/>
      <c r="G1100" s="240" t="s">
        <v>681</v>
      </c>
      <c r="H1100" s="240"/>
      <c r="I1100" s="240"/>
      <c r="J1100" s="240" t="s">
        <v>846</v>
      </c>
      <c r="K1100" s="240"/>
      <c r="L1100" s="240"/>
      <c r="M1100" s="240"/>
      <c r="N1100" s="240"/>
      <c r="O1100" s="240"/>
      <c r="P1100" s="240"/>
      <c r="Q1100" s="240"/>
      <c r="R1100" s="240"/>
      <c r="S1100" s="240" t="s">
        <v>847</v>
      </c>
      <c r="T1100" s="240"/>
      <c r="U1100" s="240"/>
      <c r="V1100" s="240"/>
      <c r="W1100" s="240"/>
      <c r="X1100" s="240"/>
      <c r="Y1100" s="240"/>
      <c r="Z1100" s="240" t="s">
        <v>848</v>
      </c>
      <c r="AA1100" s="240"/>
      <c r="AB1100" s="240"/>
      <c r="AC1100" s="240"/>
      <c r="AD1100" s="240"/>
      <c r="AE1100" s="240"/>
      <c r="AF1100" s="240"/>
      <c r="AG1100" s="240"/>
      <c r="AH1100" s="240"/>
      <c r="AI1100" s="240"/>
      <c r="AJ1100" s="240"/>
      <c r="AK1100" s="240"/>
      <c r="AL1100" s="240"/>
      <c r="AM1100" s="240"/>
      <c r="AN1100" s="240"/>
      <c r="AO1100" s="240"/>
      <c r="AP1100" s="240"/>
      <c r="AQ1100" s="240"/>
      <c r="AR1100" s="240"/>
      <c r="AS1100" s="240"/>
      <c r="AT1100" s="240"/>
      <c r="AU1100" s="240"/>
      <c r="AV1100" s="240"/>
      <c r="AW1100" s="240"/>
      <c r="AX1100" s="240"/>
      <c r="AY1100" s="240"/>
      <c r="AZ1100" s="240"/>
      <c r="BA1100" s="240"/>
      <c r="BB1100" s="240"/>
      <c r="BC1100" s="240"/>
      <c r="BD1100" s="240"/>
      <c r="BE1100" s="240"/>
      <c r="BF1100" s="240"/>
      <c r="BG1100" s="240"/>
      <c r="BH1100" s="240"/>
      <c r="BI1100" s="240"/>
      <c r="BJ1100" s="240"/>
      <c r="BK1100" s="240"/>
      <c r="BL1100" s="240"/>
      <c r="BM1100" s="240"/>
      <c r="BN1100" s="240"/>
      <c r="BO1100" s="240"/>
      <c r="BP1100" s="240"/>
      <c r="BQ1100" s="240"/>
      <c r="BR1100" s="240"/>
      <c r="BS1100" s="240"/>
      <c r="BT1100" s="240"/>
      <c r="BU1100" s="240"/>
      <c r="BV1100" s="240"/>
      <c r="BW1100" s="240"/>
      <c r="BX1100" s="240"/>
      <c r="BY1100" s="240"/>
      <c r="BZ1100" s="240"/>
      <c r="CA1100" s="240"/>
      <c r="CB1100" s="240"/>
      <c r="CC1100" s="240"/>
      <c r="CD1100" s="240"/>
      <c r="CE1100" s="240"/>
      <c r="CF1100" s="240"/>
      <c r="CG1100" s="240"/>
      <c r="CH1100" s="240"/>
      <c r="CI1100" s="240"/>
      <c r="CJ1100" s="240"/>
      <c r="CK1100" s="240"/>
      <c r="CL1100" s="240"/>
      <c r="CM1100" s="240"/>
      <c r="CN1100" s="240"/>
      <c r="CO1100" s="240"/>
      <c r="CP1100" s="240"/>
      <c r="CQ1100" s="240"/>
      <c r="CR1100" s="240"/>
      <c r="CS1100" s="240"/>
      <c r="CT1100" s="240"/>
      <c r="CU1100" s="240"/>
      <c r="CV1100" s="240"/>
      <c r="CW1100" s="240"/>
      <c r="CX1100" s="240"/>
      <c r="CY1100" s="240"/>
      <c r="CZ1100" s="241"/>
      <c r="DA1100" s="241"/>
      <c r="DB1100" s="241"/>
      <c r="DC1100" s="241"/>
      <c r="DD1100" s="241"/>
      <c r="DE1100" s="241"/>
      <c r="DF1100" s="241"/>
      <c r="DG1100" s="241"/>
      <c r="DH1100" s="241"/>
      <c r="DI1100" s="241"/>
      <c r="DJ1100" s="241"/>
      <c r="DK1100" s="241"/>
      <c r="DL1100" s="241"/>
      <c r="DM1100" s="241"/>
      <c r="DN1100" s="241"/>
      <c r="DO1100" s="241"/>
      <c r="DP1100" s="241"/>
      <c r="DQ1100" s="241"/>
      <c r="DR1100" s="241"/>
      <c r="DS1100" s="241"/>
      <c r="DT1100" s="241"/>
      <c r="DU1100" s="241"/>
      <c r="DV1100" s="241"/>
      <c r="DW1100" s="241"/>
      <c r="DX1100" s="241"/>
      <c r="DY1100" s="241"/>
      <c r="DZ1100" s="241"/>
      <c r="EA1100" s="241"/>
      <c r="EB1100" s="241"/>
      <c r="EC1100" s="241"/>
      <c r="ED1100" s="241"/>
      <c r="EE1100" s="241"/>
      <c r="EF1100" s="241"/>
      <c r="EG1100" s="241"/>
      <c r="EH1100" s="241"/>
      <c r="EI1100" s="241"/>
      <c r="EJ1100" s="241"/>
      <c r="EK1100" s="241"/>
      <c r="EL1100" s="345"/>
      <c r="EM1100" s="245"/>
      <c r="EN1100" s="245"/>
      <c r="EO1100" s="245"/>
      <c r="EP1100" s="245"/>
      <c r="EQ1100" s="351"/>
    </row>
    <row r="1101" spans="1:149" s="243" customFormat="1" ht="11.25" hidden="1" customHeight="1">
      <c r="B1101" s="343"/>
      <c r="C1101" s="240"/>
      <c r="D1101" s="240"/>
      <c r="E1101" s="240"/>
      <c r="F1101" s="240"/>
      <c r="G1101" s="240"/>
      <c r="H1101" s="240"/>
      <c r="I1101" s="240"/>
      <c r="J1101" s="240"/>
      <c r="K1101" s="240"/>
      <c r="L1101" s="240"/>
      <c r="M1101" s="240"/>
      <c r="N1101" s="240"/>
      <c r="O1101" s="240"/>
      <c r="P1101" s="240"/>
      <c r="Q1101" s="240"/>
      <c r="R1101" s="240"/>
      <c r="S1101" s="240"/>
      <c r="T1101" s="240"/>
      <c r="U1101" s="240"/>
      <c r="V1101" s="240"/>
      <c r="W1101" s="240"/>
      <c r="X1101" s="240"/>
      <c r="Y1101" s="240"/>
      <c r="Z1101" s="240"/>
      <c r="AA1101" s="240"/>
      <c r="AB1101" s="240"/>
      <c r="AC1101" s="240"/>
      <c r="AD1101" s="240"/>
      <c r="AE1101" s="240"/>
      <c r="AF1101" s="240"/>
      <c r="AG1101" s="240"/>
      <c r="AH1101" s="240"/>
      <c r="AI1101" s="240"/>
      <c r="AJ1101" s="240"/>
      <c r="AK1101" s="240"/>
      <c r="AL1101" s="240"/>
      <c r="AM1101" s="240"/>
      <c r="AN1101" s="240"/>
      <c r="AO1101" s="240"/>
      <c r="AP1101" s="240"/>
      <c r="AQ1101" s="240"/>
      <c r="AR1101" s="240"/>
      <c r="AS1101" s="240"/>
      <c r="AT1101" s="240"/>
      <c r="AU1101" s="240"/>
      <c r="AV1101" s="240"/>
      <c r="AW1101" s="240"/>
      <c r="AX1101" s="240"/>
      <c r="AY1101" s="240"/>
      <c r="AZ1101" s="240"/>
      <c r="BA1101" s="240"/>
      <c r="BB1101" s="240"/>
      <c r="BC1101" s="240"/>
      <c r="BD1101" s="240"/>
      <c r="BE1101" s="240"/>
      <c r="BF1101" s="240"/>
      <c r="BG1101" s="240"/>
      <c r="BH1101" s="240"/>
      <c r="BI1101" s="240"/>
      <c r="BJ1101" s="240"/>
      <c r="BK1101" s="240"/>
      <c r="BL1101" s="240"/>
      <c r="BM1101" s="240"/>
      <c r="BN1101" s="240"/>
      <c r="BO1101" s="240"/>
      <c r="BP1101" s="240"/>
      <c r="BQ1101" s="240"/>
      <c r="BR1101" s="240"/>
      <c r="BS1101" s="240"/>
      <c r="BT1101" s="240"/>
      <c r="BU1101" s="240"/>
      <c r="BV1101" s="240"/>
      <c r="BW1101" s="240"/>
      <c r="BX1101" s="240"/>
      <c r="BY1101" s="240"/>
      <c r="BZ1101" s="240"/>
      <c r="CA1101" s="240"/>
      <c r="CB1101" s="240"/>
      <c r="CC1101" s="240"/>
      <c r="CD1101" s="240"/>
      <c r="CE1101" s="240"/>
      <c r="CF1101" s="240"/>
      <c r="CG1101" s="240"/>
      <c r="CH1101" s="240"/>
      <c r="CI1101" s="240"/>
      <c r="CJ1101" s="240"/>
      <c r="CK1101" s="240"/>
      <c r="CL1101" s="240"/>
      <c r="CM1101" s="240"/>
      <c r="CN1101" s="240"/>
      <c r="CO1101" s="240"/>
      <c r="CP1101" s="240"/>
      <c r="CQ1101" s="240"/>
      <c r="CR1101" s="240"/>
      <c r="CS1101" s="240"/>
      <c r="CT1101" s="240"/>
      <c r="CU1101" s="240"/>
      <c r="CV1101" s="240"/>
      <c r="CW1101" s="240"/>
      <c r="CX1101" s="240"/>
      <c r="CY1101" s="240"/>
      <c r="CZ1101" s="241"/>
      <c r="DA1101" s="241"/>
      <c r="DB1101" s="241"/>
      <c r="DC1101" s="241"/>
      <c r="DD1101" s="241"/>
      <c r="DE1101" s="241"/>
      <c r="DF1101" s="241"/>
      <c r="DG1101" s="241"/>
      <c r="DH1101" s="241"/>
      <c r="DI1101" s="241"/>
      <c r="DJ1101" s="241"/>
      <c r="DK1101" s="241"/>
      <c r="DL1101" s="241"/>
      <c r="DM1101" s="241"/>
      <c r="DN1101" s="241"/>
      <c r="DO1101" s="241"/>
      <c r="DP1101" s="241"/>
      <c r="DQ1101" s="241"/>
      <c r="DR1101" s="241"/>
      <c r="DS1101" s="241"/>
      <c r="DT1101" s="241"/>
      <c r="DU1101" s="241"/>
      <c r="DV1101" s="241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345"/>
      <c r="EM1101" s="245"/>
      <c r="EN1101" s="245"/>
      <c r="EO1101" s="245"/>
      <c r="EP1101" s="245"/>
      <c r="EQ1101" s="351"/>
    </row>
    <row r="1102" spans="1:149" s="243" customFormat="1" ht="11.25" hidden="1" customHeight="1">
      <c r="B1102" s="343"/>
      <c r="C1102" s="240"/>
      <c r="D1102" s="240"/>
      <c r="E1102" s="240" t="s">
        <v>675</v>
      </c>
      <c r="F1102" s="240"/>
      <c r="G1102" s="240"/>
      <c r="H1102" s="240" t="s">
        <v>849</v>
      </c>
      <c r="I1102" s="240"/>
      <c r="J1102" s="240"/>
      <c r="K1102" s="240" t="s">
        <v>850</v>
      </c>
      <c r="L1102" s="240"/>
      <c r="M1102" s="240"/>
      <c r="N1102" s="240" t="s">
        <v>132</v>
      </c>
      <c r="O1102" s="240"/>
      <c r="P1102" s="240" t="s">
        <v>813</v>
      </c>
      <c r="Q1102" s="240"/>
      <c r="R1102" s="240"/>
      <c r="S1102" s="240"/>
      <c r="T1102" s="240"/>
      <c r="U1102" s="240"/>
      <c r="V1102" s="240"/>
      <c r="W1102" s="240"/>
      <c r="X1102" s="240"/>
      <c r="Y1102" s="240"/>
      <c r="Z1102" s="240"/>
      <c r="AA1102" s="240"/>
      <c r="AB1102" s="240"/>
      <c r="AC1102" s="240"/>
      <c r="AD1102" s="240"/>
      <c r="AE1102" s="240"/>
      <c r="AF1102" s="240"/>
      <c r="AG1102" s="240"/>
      <c r="AH1102" s="240"/>
      <c r="AI1102" s="240"/>
      <c r="AJ1102" s="240" t="s">
        <v>851</v>
      </c>
      <c r="AK1102" s="240"/>
      <c r="AL1102" s="240"/>
      <c r="AM1102" s="240"/>
      <c r="AN1102" s="240"/>
      <c r="AO1102" s="240"/>
      <c r="AP1102" s="240"/>
      <c r="AQ1102" s="240"/>
      <c r="AR1102" s="240"/>
      <c r="AS1102" s="240"/>
      <c r="AT1102" s="240"/>
      <c r="AU1102" s="240"/>
      <c r="AV1102" s="240"/>
      <c r="AW1102" s="240"/>
      <c r="AX1102" s="240"/>
      <c r="AY1102" s="240"/>
      <c r="AZ1102" s="240"/>
      <c r="BA1102" s="240"/>
      <c r="BB1102" s="240"/>
      <c r="BC1102" s="240"/>
      <c r="BD1102" s="240"/>
      <c r="BE1102" s="240"/>
      <c r="BF1102" s="240"/>
      <c r="BG1102" s="240"/>
      <c r="BH1102" s="240"/>
      <c r="BI1102" s="240"/>
      <c r="BJ1102" s="240"/>
      <c r="BK1102" s="240"/>
      <c r="BL1102" s="240"/>
      <c r="BM1102" s="240"/>
      <c r="BN1102" s="240"/>
      <c r="BO1102" s="240"/>
      <c r="BP1102" s="240"/>
      <c r="BQ1102" s="240"/>
      <c r="BR1102" s="240"/>
      <c r="BS1102" s="240"/>
      <c r="BT1102" s="240"/>
      <c r="BU1102" s="240"/>
      <c r="BV1102" s="240"/>
      <c r="BW1102" s="240"/>
      <c r="BX1102" s="240"/>
      <c r="BY1102" s="240"/>
      <c r="BZ1102" s="240"/>
      <c r="CA1102" s="240"/>
      <c r="CB1102" s="240"/>
      <c r="CC1102" s="240"/>
      <c r="CD1102" s="240"/>
      <c r="CE1102" s="240"/>
      <c r="CF1102" s="240"/>
      <c r="CG1102" s="240"/>
      <c r="CH1102" s="240"/>
      <c r="CI1102" s="240"/>
      <c r="CJ1102" s="240"/>
      <c r="CK1102" s="240"/>
      <c r="CL1102" s="240"/>
      <c r="CM1102" s="240"/>
      <c r="CN1102" s="240"/>
      <c r="CO1102" s="240"/>
      <c r="CP1102" s="240"/>
      <c r="CQ1102" s="240"/>
      <c r="CR1102" s="240"/>
      <c r="CS1102" s="240"/>
      <c r="CT1102" s="240"/>
      <c r="CU1102" s="240"/>
      <c r="CV1102" s="240"/>
      <c r="CW1102" s="240"/>
      <c r="CX1102" s="240"/>
      <c r="CY1102" s="240"/>
      <c r="CZ1102" s="241"/>
      <c r="DA1102" s="241"/>
      <c r="DB1102" s="241"/>
      <c r="DC1102" s="241"/>
      <c r="DD1102" s="241"/>
      <c r="DE1102" s="241"/>
      <c r="DF1102" s="241"/>
      <c r="DG1102" s="241"/>
      <c r="DH1102" s="241"/>
      <c r="DI1102" s="241"/>
      <c r="DJ1102" s="241"/>
      <c r="DK1102" s="241"/>
      <c r="DL1102" s="241"/>
      <c r="DM1102" s="241"/>
      <c r="DN1102" s="241"/>
      <c r="DO1102" s="241"/>
      <c r="DP1102" s="241"/>
      <c r="DQ1102" s="241"/>
      <c r="DR1102" s="241"/>
      <c r="DS1102" s="241"/>
      <c r="DT1102" s="241"/>
      <c r="DU1102" s="241"/>
      <c r="DV1102" s="241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345"/>
      <c r="EM1102" s="245"/>
      <c r="EN1102" s="245"/>
      <c r="EO1102" s="245"/>
      <c r="EP1102" s="245"/>
      <c r="EQ1102" s="351"/>
    </row>
    <row r="1103" spans="1:149" s="243" customFormat="1" ht="11.25" hidden="1" customHeight="1">
      <c r="B1103" s="343"/>
      <c r="C1103" s="240"/>
      <c r="D1103" s="240"/>
      <c r="E1103" s="240"/>
      <c r="F1103" s="240"/>
      <c r="G1103" s="240"/>
      <c r="H1103" s="240" t="s">
        <v>710</v>
      </c>
      <c r="I1103" s="240"/>
      <c r="J1103" s="240" t="s">
        <v>134</v>
      </c>
      <c r="K1103" s="240"/>
      <c r="L1103" s="240" t="str">
        <f>TEXT(20,"#,##0.#######")</f>
        <v>20.</v>
      </c>
      <c r="M1103" s="240"/>
      <c r="N1103" s="240" t="s">
        <v>621</v>
      </c>
      <c r="O1103" s="240"/>
      <c r="P1103" s="240"/>
      <c r="Q1103" s="240"/>
      <c r="R1103" s="240"/>
      <c r="S1103" s="240"/>
      <c r="T1103" s="240" t="s">
        <v>852</v>
      </c>
      <c r="U1103" s="240"/>
      <c r="V1103" s="240"/>
      <c r="W1103" s="240" t="s">
        <v>134</v>
      </c>
      <c r="X1103" s="240"/>
      <c r="Y1103" s="240" t="str">
        <f>TEXT(30,"#,##0.#######")</f>
        <v>30.</v>
      </c>
      <c r="Z1103" s="240"/>
      <c r="AA1103" s="240" t="s">
        <v>621</v>
      </c>
      <c r="AB1103" s="240"/>
      <c r="AC1103" s="240" t="s">
        <v>139</v>
      </c>
      <c r="AD1103" s="240" t="s">
        <v>618</v>
      </c>
      <c r="AE1103" s="240"/>
      <c r="AF1103" s="240"/>
      <c r="AG1103" s="240"/>
      <c r="AH1103" s="240"/>
      <c r="AI1103" s="240"/>
      <c r="AJ1103" s="240"/>
      <c r="AK1103" s="240" t="s">
        <v>853</v>
      </c>
      <c r="AL1103" s="240"/>
      <c r="AM1103" s="240"/>
      <c r="AN1103" s="240" t="s">
        <v>134</v>
      </c>
      <c r="AO1103" s="240"/>
      <c r="AP1103" s="240" t="str">
        <f>TEXT(35,"#,##0.#######")</f>
        <v>35.</v>
      </c>
      <c r="AQ1103" s="240"/>
      <c r="AR1103" s="240" t="s">
        <v>621</v>
      </c>
      <c r="AS1103" s="240"/>
      <c r="AT1103" s="240" t="s">
        <v>139</v>
      </c>
      <c r="AU1103" s="240" t="s">
        <v>618</v>
      </c>
      <c r="AV1103" s="240"/>
      <c r="AW1103" s="240"/>
      <c r="AX1103" s="240"/>
      <c r="AY1103" s="240"/>
      <c r="AZ1103" s="240"/>
      <c r="BA1103" s="240"/>
      <c r="BB1103" s="240"/>
      <c r="BC1103" s="240"/>
      <c r="BD1103" s="240"/>
      <c r="BE1103" s="240"/>
      <c r="BF1103" s="240"/>
      <c r="BG1103" s="240"/>
      <c r="BH1103" s="240"/>
      <c r="BI1103" s="240"/>
      <c r="BJ1103" s="240"/>
      <c r="BK1103" s="240"/>
      <c r="BL1103" s="240"/>
      <c r="BM1103" s="240"/>
      <c r="BN1103" s="240"/>
      <c r="BO1103" s="240"/>
      <c r="BP1103" s="240"/>
      <c r="BQ1103" s="240"/>
      <c r="BR1103" s="240"/>
      <c r="BS1103" s="240"/>
      <c r="BT1103" s="240"/>
      <c r="BU1103" s="240"/>
      <c r="BV1103" s="240"/>
      <c r="BW1103" s="240"/>
      <c r="BX1103" s="240"/>
      <c r="BY1103" s="240"/>
      <c r="BZ1103" s="240"/>
      <c r="CA1103" s="240"/>
      <c r="CB1103" s="240"/>
      <c r="CC1103" s="240"/>
      <c r="CD1103" s="240"/>
      <c r="CE1103" s="240"/>
      <c r="CF1103" s="240"/>
      <c r="CG1103" s="240"/>
      <c r="CH1103" s="240"/>
      <c r="CI1103" s="240"/>
      <c r="CJ1103" s="240"/>
      <c r="CK1103" s="240"/>
      <c r="CL1103" s="240"/>
      <c r="CM1103" s="240"/>
      <c r="CN1103" s="240"/>
      <c r="CO1103" s="240"/>
      <c r="CP1103" s="240"/>
      <c r="CQ1103" s="240"/>
      <c r="CR1103" s="240"/>
      <c r="CS1103" s="240"/>
      <c r="CT1103" s="240"/>
      <c r="CU1103" s="240"/>
      <c r="CV1103" s="240"/>
      <c r="CW1103" s="240"/>
      <c r="CX1103" s="240"/>
      <c r="CY1103" s="240"/>
      <c r="CZ1103" s="241"/>
      <c r="DA1103" s="241"/>
      <c r="DB1103" s="241"/>
      <c r="DC1103" s="241"/>
      <c r="DD1103" s="241"/>
      <c r="DE1103" s="241"/>
      <c r="DF1103" s="241"/>
      <c r="DG1103" s="241"/>
      <c r="DH1103" s="241"/>
      <c r="DI1103" s="241"/>
      <c r="DJ1103" s="241"/>
      <c r="DK1103" s="241"/>
      <c r="DL1103" s="241"/>
      <c r="DM1103" s="241"/>
      <c r="DN1103" s="241"/>
      <c r="DO1103" s="241"/>
      <c r="DP1103" s="241"/>
      <c r="DQ1103" s="241"/>
      <c r="DR1103" s="241"/>
      <c r="DS1103" s="241"/>
      <c r="DT1103" s="241"/>
      <c r="DU1103" s="241"/>
      <c r="DV1103" s="241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345"/>
      <c r="EM1103" s="245"/>
      <c r="EN1103" s="245"/>
      <c r="EO1103" s="245"/>
      <c r="EP1103" s="245"/>
      <c r="EQ1103" s="351"/>
    </row>
    <row r="1104" spans="1:149" s="243" customFormat="1" ht="11.25" hidden="1" customHeight="1">
      <c r="B1104" s="343"/>
      <c r="C1104" s="240"/>
      <c r="D1104" s="240"/>
      <c r="E1104" s="240"/>
      <c r="F1104" s="240"/>
      <c r="G1104" s="240"/>
      <c r="H1104" s="240"/>
      <c r="I1104" s="240"/>
      <c r="J1104" s="240"/>
      <c r="K1104" s="240"/>
      <c r="L1104" s="240"/>
      <c r="M1104" s="240"/>
      <c r="N1104" s="240"/>
      <c r="O1104" s="240"/>
      <c r="P1104" s="240"/>
      <c r="Q1104" s="240"/>
      <c r="R1104" s="240"/>
      <c r="S1104" s="240"/>
      <c r="T1104" s="240"/>
      <c r="U1104" s="240"/>
      <c r="V1104" s="240"/>
      <c r="W1104" s="240"/>
      <c r="X1104" s="240"/>
      <c r="Y1104" s="240"/>
      <c r="Z1104" s="240"/>
      <c r="AA1104" s="240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240"/>
      <c r="AM1104" s="240"/>
      <c r="AN1104" s="240"/>
      <c r="AO1104" s="240"/>
      <c r="AP1104" s="240"/>
      <c r="AQ1104" s="240"/>
      <c r="AR1104" s="240"/>
      <c r="AS1104" s="240"/>
      <c r="AT1104" s="240"/>
      <c r="AU1104" s="240"/>
      <c r="AV1104" s="240"/>
      <c r="AW1104" s="240"/>
      <c r="AX1104" s="240"/>
      <c r="AY1104" s="240"/>
      <c r="AZ1104" s="240"/>
      <c r="BA1104" s="240"/>
      <c r="BB1104" s="240"/>
      <c r="BC1104" s="240"/>
      <c r="BD1104" s="240"/>
      <c r="BE1104" s="240"/>
      <c r="BF1104" s="240"/>
      <c r="BG1104" s="240"/>
      <c r="BH1104" s="240"/>
      <c r="BI1104" s="240"/>
      <c r="BJ1104" s="240"/>
      <c r="BK1104" s="240"/>
      <c r="BL1104" s="240"/>
      <c r="BM1104" s="240"/>
      <c r="BN1104" s="240"/>
      <c r="BO1104" s="240"/>
      <c r="BP1104" s="240"/>
      <c r="BQ1104" s="240"/>
      <c r="BR1104" s="240"/>
      <c r="BS1104" s="240"/>
      <c r="BT1104" s="240"/>
      <c r="BU1104" s="240"/>
      <c r="BV1104" s="240"/>
      <c r="BW1104" s="240"/>
      <c r="BX1104" s="240"/>
      <c r="BY1104" s="240"/>
      <c r="BZ1104" s="240"/>
      <c r="CA1104" s="240"/>
      <c r="CB1104" s="240"/>
      <c r="CC1104" s="240"/>
      <c r="CD1104" s="240"/>
      <c r="CE1104" s="240"/>
      <c r="CF1104" s="240"/>
      <c r="CG1104" s="240"/>
      <c r="CH1104" s="240"/>
      <c r="CI1104" s="240"/>
      <c r="CJ1104" s="240"/>
      <c r="CK1104" s="240"/>
      <c r="CL1104" s="240"/>
      <c r="CM1104" s="240"/>
      <c r="CN1104" s="240"/>
      <c r="CO1104" s="240"/>
      <c r="CP1104" s="240"/>
      <c r="CQ1104" s="240"/>
      <c r="CR1104" s="240"/>
      <c r="CS1104" s="240"/>
      <c r="CT1104" s="240"/>
      <c r="CU1104" s="240"/>
      <c r="CV1104" s="240"/>
      <c r="CW1104" s="240"/>
      <c r="CX1104" s="240"/>
      <c r="CY1104" s="240"/>
      <c r="CZ1104" s="241"/>
      <c r="DA1104" s="241"/>
      <c r="DB1104" s="241"/>
      <c r="DC1104" s="241"/>
      <c r="DD1104" s="241"/>
      <c r="DE1104" s="241"/>
      <c r="DF1104" s="241"/>
      <c r="DG1104" s="241"/>
      <c r="DH1104" s="241"/>
      <c r="DI1104" s="241"/>
      <c r="DJ1104" s="241"/>
      <c r="DK1104" s="241"/>
      <c r="DL1104" s="241"/>
      <c r="DM1104" s="241"/>
      <c r="DN1104" s="241"/>
      <c r="DO1104" s="241"/>
      <c r="DP1104" s="241"/>
      <c r="DQ1104" s="241"/>
      <c r="DR1104" s="241"/>
      <c r="DS1104" s="241"/>
      <c r="DT1104" s="241"/>
      <c r="DU1104" s="241"/>
      <c r="DV1104" s="241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345"/>
      <c r="EM1104" s="245"/>
      <c r="EN1104" s="245"/>
      <c r="EO1104" s="245"/>
      <c r="EP1104" s="245"/>
      <c r="EQ1104" s="351"/>
    </row>
    <row r="1105" spans="2:147" s="243" customFormat="1" ht="11.25" hidden="1" customHeight="1">
      <c r="B1105" s="343"/>
      <c r="C1105" s="240"/>
      <c r="D1105" s="240"/>
      <c r="E1105" s="240"/>
      <c r="F1105" s="240"/>
      <c r="G1105" s="240"/>
      <c r="H1105" s="240" t="s">
        <v>854</v>
      </c>
      <c r="I1105" s="240"/>
      <c r="J1105" s="240" t="s">
        <v>134</v>
      </c>
      <c r="K1105" s="240"/>
      <c r="L1105" s="240" t="str">
        <f>TEXT(15,"#,##0.#######")</f>
        <v>15.</v>
      </c>
      <c r="M1105" s="240"/>
      <c r="N1105" s="240" t="s">
        <v>620</v>
      </c>
      <c r="O1105" s="240"/>
      <c r="P1105" s="240"/>
      <c r="Q1105" s="240"/>
      <c r="R1105" s="240"/>
      <c r="S1105" s="240"/>
      <c r="T1105" s="240" t="s">
        <v>855</v>
      </c>
      <c r="U1105" s="240"/>
      <c r="V1105" s="240"/>
      <c r="W1105" s="240" t="s">
        <v>134</v>
      </c>
      <c r="X1105" s="240"/>
      <c r="Y1105" s="240" t="str">
        <f>TEXT(2.35,"#,##0.#######")</f>
        <v>2.35</v>
      </c>
      <c r="Z1105" s="240"/>
      <c r="AA1105" s="240"/>
      <c r="AB1105" s="240"/>
      <c r="AC1105" s="240" t="s">
        <v>620</v>
      </c>
      <c r="AD1105" s="240"/>
      <c r="AE1105" s="240"/>
      <c r="AF1105" s="240" t="s">
        <v>139</v>
      </c>
      <c r="AG1105" s="240" t="s">
        <v>91</v>
      </c>
      <c r="AH1105" s="240"/>
      <c r="AI1105" s="240"/>
      <c r="AJ1105" s="240"/>
      <c r="AK1105" s="240" t="s">
        <v>856</v>
      </c>
      <c r="AL1105" s="240"/>
      <c r="AM1105" s="240"/>
      <c r="AN1105" s="240" t="s">
        <v>134</v>
      </c>
      <c r="AO1105" s="240"/>
      <c r="AP1105" s="240" t="str">
        <f>TEXT(1.5,"#,##0.#######")</f>
        <v>1.5</v>
      </c>
      <c r="AQ1105" s="240"/>
      <c r="AR1105" s="240"/>
      <c r="AS1105" s="240"/>
      <c r="AT1105" s="240"/>
      <c r="AU1105" s="240"/>
      <c r="AV1105" s="240"/>
      <c r="AW1105" s="240" t="s">
        <v>692</v>
      </c>
      <c r="AX1105" s="240"/>
      <c r="AY1105" s="240" t="s">
        <v>134</v>
      </c>
      <c r="AZ1105" s="240"/>
      <c r="BA1105" s="240" t="str">
        <f>TEXT(0.9,"#,##0.#######")</f>
        <v>0.9</v>
      </c>
      <c r="BB1105" s="240"/>
      <c r="BC1105" s="240"/>
      <c r="BD1105" s="240"/>
      <c r="BE1105" s="240"/>
      <c r="BF1105" s="240"/>
      <c r="BG1105" s="240"/>
      <c r="BH1105" s="240"/>
      <c r="BI1105" s="240"/>
      <c r="BJ1105" s="240"/>
      <c r="BK1105" s="240"/>
      <c r="BL1105" s="240"/>
      <c r="BM1105" s="240"/>
      <c r="BN1105" s="240"/>
      <c r="BO1105" s="240"/>
      <c r="BP1105" s="240"/>
      <c r="BQ1105" s="240"/>
      <c r="BR1105" s="240"/>
      <c r="BS1105" s="240"/>
      <c r="BT1105" s="240"/>
      <c r="BU1105" s="240"/>
      <c r="BV1105" s="240"/>
      <c r="BW1105" s="240"/>
      <c r="BX1105" s="240"/>
      <c r="BY1105" s="240"/>
      <c r="BZ1105" s="240"/>
      <c r="CA1105" s="240"/>
      <c r="CB1105" s="240"/>
      <c r="CC1105" s="240"/>
      <c r="CD1105" s="240"/>
      <c r="CE1105" s="240"/>
      <c r="CF1105" s="240"/>
      <c r="CG1105" s="240"/>
      <c r="CH1105" s="240"/>
      <c r="CI1105" s="240"/>
      <c r="CJ1105" s="240"/>
      <c r="CK1105" s="240"/>
      <c r="CL1105" s="240"/>
      <c r="CM1105" s="240"/>
      <c r="CN1105" s="240"/>
      <c r="CO1105" s="240"/>
      <c r="CP1105" s="240"/>
      <c r="CQ1105" s="240"/>
      <c r="CR1105" s="240"/>
      <c r="CS1105" s="240"/>
      <c r="CT1105" s="240"/>
      <c r="CU1105" s="240"/>
      <c r="CV1105" s="240"/>
      <c r="CW1105" s="240"/>
      <c r="CX1105" s="240"/>
      <c r="CY1105" s="240"/>
      <c r="CZ1105" s="241"/>
      <c r="DA1105" s="241"/>
      <c r="DB1105" s="241"/>
      <c r="DC1105" s="241"/>
      <c r="DD1105" s="241"/>
      <c r="DE1105" s="241"/>
      <c r="DF1105" s="241"/>
      <c r="DG1105" s="241"/>
      <c r="DH1105" s="241"/>
      <c r="DI1105" s="241"/>
      <c r="DJ1105" s="241"/>
      <c r="DK1105" s="241"/>
      <c r="DL1105" s="241"/>
      <c r="DM1105" s="241"/>
      <c r="DN1105" s="241"/>
      <c r="DO1105" s="241"/>
      <c r="DP1105" s="241"/>
      <c r="DQ1105" s="241"/>
      <c r="DR1105" s="241"/>
      <c r="DS1105" s="241"/>
      <c r="DT1105" s="241"/>
      <c r="DU1105" s="241"/>
      <c r="DV1105" s="241"/>
      <c r="DW1105" s="241"/>
      <c r="DX1105" s="241"/>
      <c r="DY1105" s="241"/>
      <c r="DZ1105" s="241"/>
      <c r="EA1105" s="241"/>
      <c r="EB1105" s="241"/>
      <c r="EC1105" s="241"/>
      <c r="ED1105" s="241"/>
      <c r="EE1105" s="241"/>
      <c r="EF1105" s="241"/>
      <c r="EG1105" s="241"/>
      <c r="EH1105" s="241"/>
      <c r="EI1105" s="241"/>
      <c r="EJ1105" s="241"/>
      <c r="EK1105" s="241"/>
      <c r="EL1105" s="345"/>
      <c r="EM1105" s="245"/>
      <c r="EN1105" s="245"/>
      <c r="EO1105" s="245"/>
      <c r="EP1105" s="245"/>
      <c r="EQ1105" s="351"/>
    </row>
    <row r="1106" spans="2:147" s="243" customFormat="1" ht="11.25" hidden="1" customHeight="1">
      <c r="B1106" s="343"/>
      <c r="C1106" s="240"/>
      <c r="D1106" s="240"/>
      <c r="E1106" s="240"/>
      <c r="F1106" s="240"/>
      <c r="G1106" s="240"/>
      <c r="H1106" s="240"/>
      <c r="I1106" s="240"/>
      <c r="J1106" s="240"/>
      <c r="K1106" s="240"/>
      <c r="L1106" s="240"/>
      <c r="M1106" s="240"/>
      <c r="N1106" s="240"/>
      <c r="O1106" s="240"/>
      <c r="P1106" s="240"/>
      <c r="Q1106" s="240"/>
      <c r="R1106" s="240"/>
      <c r="S1106" s="240"/>
      <c r="T1106" s="240"/>
      <c r="U1106" s="240"/>
      <c r="V1106" s="240"/>
      <c r="W1106" s="240"/>
      <c r="X1106" s="240"/>
      <c r="Y1106" s="240"/>
      <c r="Z1106" s="240"/>
      <c r="AA1106" s="240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240"/>
      <c r="AM1106" s="240"/>
      <c r="AN1106" s="240"/>
      <c r="AO1106" s="240"/>
      <c r="AP1106" s="240"/>
      <c r="AQ1106" s="240"/>
      <c r="AR1106" s="240"/>
      <c r="AS1106" s="240"/>
      <c r="AT1106" s="240"/>
      <c r="AU1106" s="240"/>
      <c r="AV1106" s="240"/>
      <c r="AW1106" s="240"/>
      <c r="AX1106" s="240"/>
      <c r="AY1106" s="240"/>
      <c r="AZ1106" s="240"/>
      <c r="BA1106" s="240"/>
      <c r="BB1106" s="240"/>
      <c r="BC1106" s="240"/>
      <c r="BD1106" s="240"/>
      <c r="BE1106" s="240"/>
      <c r="BF1106" s="240"/>
      <c r="BG1106" s="240"/>
      <c r="BH1106" s="240"/>
      <c r="BI1106" s="240"/>
      <c r="BJ1106" s="240"/>
      <c r="BK1106" s="240"/>
      <c r="BL1106" s="240"/>
      <c r="BM1106" s="240"/>
      <c r="BN1106" s="240"/>
      <c r="BO1106" s="240"/>
      <c r="BP1106" s="240"/>
      <c r="BQ1106" s="240"/>
      <c r="BR1106" s="240"/>
      <c r="BS1106" s="240"/>
      <c r="BT1106" s="240"/>
      <c r="BU1106" s="240"/>
      <c r="BV1106" s="240"/>
      <c r="BW1106" s="240"/>
      <c r="BX1106" s="240"/>
      <c r="BY1106" s="240"/>
      <c r="BZ1106" s="240"/>
      <c r="CA1106" s="240"/>
      <c r="CB1106" s="240"/>
      <c r="CC1106" s="240"/>
      <c r="CD1106" s="240"/>
      <c r="CE1106" s="240"/>
      <c r="CF1106" s="240"/>
      <c r="CG1106" s="240"/>
      <c r="CH1106" s="240"/>
      <c r="CI1106" s="240"/>
      <c r="CJ1106" s="240"/>
      <c r="CK1106" s="240"/>
      <c r="CL1106" s="240"/>
      <c r="CM1106" s="240"/>
      <c r="CN1106" s="240"/>
      <c r="CO1106" s="240"/>
      <c r="CP1106" s="240"/>
      <c r="CQ1106" s="240"/>
      <c r="CR1106" s="240"/>
      <c r="CS1106" s="240"/>
      <c r="CT1106" s="240"/>
      <c r="CU1106" s="240"/>
      <c r="CV1106" s="240"/>
      <c r="CW1106" s="240"/>
      <c r="CX1106" s="240"/>
      <c r="CY1106" s="240"/>
      <c r="CZ1106" s="241"/>
      <c r="DA1106" s="241"/>
      <c r="DB1106" s="241"/>
      <c r="DC1106" s="241"/>
      <c r="DD1106" s="241"/>
      <c r="DE1106" s="241"/>
      <c r="DF1106" s="241"/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1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345"/>
      <c r="EM1106" s="245"/>
      <c r="EN1106" s="245"/>
      <c r="EO1106" s="245"/>
      <c r="EP1106" s="245"/>
      <c r="EQ1106" s="351"/>
    </row>
    <row r="1107" spans="2:147" s="243" customFormat="1" ht="11.25" hidden="1" customHeight="1">
      <c r="B1107" s="343"/>
      <c r="C1107" s="240"/>
      <c r="D1107" s="240"/>
      <c r="E1107" s="240"/>
      <c r="F1107" s="240"/>
      <c r="G1107" s="240"/>
      <c r="H1107" s="240" t="s">
        <v>773</v>
      </c>
      <c r="I1107" s="240"/>
      <c r="J1107" s="240" t="s">
        <v>134</v>
      </c>
      <c r="K1107" s="240"/>
      <c r="L1107" s="240" t="s">
        <v>854</v>
      </c>
      <c r="M1107" s="240" t="s">
        <v>139</v>
      </c>
      <c r="N1107" s="240" t="s">
        <v>855</v>
      </c>
      <c r="O1107" s="240"/>
      <c r="P1107" s="240" t="s">
        <v>652</v>
      </c>
      <c r="Q1107" s="240"/>
      <c r="R1107" s="240" t="s">
        <v>856</v>
      </c>
      <c r="S1107" s="240"/>
      <c r="T1107" s="240"/>
      <c r="U1107" s="240" t="s">
        <v>134</v>
      </c>
      <c r="V1107" s="240"/>
      <c r="W1107" s="240" t="str">
        <f>TEXT(L1105,"#,##0.#######")</f>
        <v>15.</v>
      </c>
      <c r="X1107" s="240"/>
      <c r="Y1107" s="240" t="s">
        <v>139</v>
      </c>
      <c r="Z1107" s="240" t="str">
        <f>TEXT(Y1105,"#,##0.#######")</f>
        <v>2.35</v>
      </c>
      <c r="AA1107" s="240"/>
      <c r="AB1107" s="240"/>
      <c r="AC1107" s="240"/>
      <c r="AD1107" s="240" t="s">
        <v>652</v>
      </c>
      <c r="AE1107" s="240"/>
      <c r="AF1107" s="240" t="str">
        <f>TEXT(AP1105,"#,##0.#######")</f>
        <v>1.5</v>
      </c>
      <c r="AG1107" s="240"/>
      <c r="AH1107" s="240"/>
      <c r="AI1107" s="240"/>
      <c r="AJ1107" s="240" t="s">
        <v>134</v>
      </c>
      <c r="AK1107" s="240"/>
      <c r="AL1107" s="240" t="str">
        <f>TEXT(ROUND(L1105/Y1105*AP1105,2),"#,##0.#######")</f>
        <v>9.57</v>
      </c>
      <c r="AM1107" s="240"/>
      <c r="AN1107" s="240"/>
      <c r="AO1107" s="240"/>
      <c r="AP1107" s="240"/>
      <c r="AQ1107" s="240"/>
      <c r="AR1107" s="240" t="s">
        <v>91</v>
      </c>
      <c r="AS1107" s="240"/>
      <c r="AT1107" s="240"/>
      <c r="AU1107" s="240"/>
      <c r="AV1107" s="240"/>
      <c r="AW1107" s="240"/>
      <c r="AX1107" s="240"/>
      <c r="AY1107" s="240"/>
      <c r="AZ1107" s="240"/>
      <c r="BA1107" s="240"/>
      <c r="BB1107" s="240"/>
      <c r="BC1107" s="240"/>
      <c r="BD1107" s="240"/>
      <c r="BE1107" s="240"/>
      <c r="BF1107" s="240"/>
      <c r="BG1107" s="240"/>
      <c r="BH1107" s="240"/>
      <c r="BI1107" s="240"/>
      <c r="BJ1107" s="240"/>
      <c r="BK1107" s="240"/>
      <c r="BL1107" s="240"/>
      <c r="BM1107" s="240"/>
      <c r="BN1107" s="240"/>
      <c r="BO1107" s="240"/>
      <c r="BP1107" s="240"/>
      <c r="BQ1107" s="240"/>
      <c r="BR1107" s="240"/>
      <c r="BS1107" s="240"/>
      <c r="BT1107" s="240"/>
      <c r="BU1107" s="240"/>
      <c r="BV1107" s="240"/>
      <c r="BW1107" s="240"/>
      <c r="BX1107" s="240"/>
      <c r="BY1107" s="240"/>
      <c r="BZ1107" s="240"/>
      <c r="CA1107" s="240"/>
      <c r="CB1107" s="240"/>
      <c r="CC1107" s="240"/>
      <c r="CD1107" s="240"/>
      <c r="CE1107" s="240"/>
      <c r="CF1107" s="240"/>
      <c r="CG1107" s="240"/>
      <c r="CH1107" s="240"/>
      <c r="CI1107" s="240"/>
      <c r="CJ1107" s="240"/>
      <c r="CK1107" s="240"/>
      <c r="CL1107" s="240"/>
      <c r="CM1107" s="240"/>
      <c r="CN1107" s="240"/>
      <c r="CO1107" s="240"/>
      <c r="CP1107" s="240"/>
      <c r="CQ1107" s="240"/>
      <c r="CR1107" s="240"/>
      <c r="CS1107" s="240"/>
      <c r="CT1107" s="240"/>
      <c r="CU1107" s="240"/>
      <c r="CV1107" s="240"/>
      <c r="CW1107" s="240"/>
      <c r="CX1107" s="240"/>
      <c r="CY1107" s="240"/>
      <c r="CZ1107" s="241"/>
      <c r="DA1107" s="241"/>
      <c r="DB1107" s="241"/>
      <c r="DC1107" s="241"/>
      <c r="DD1107" s="241"/>
      <c r="DE1107" s="241"/>
      <c r="DF1107" s="241"/>
      <c r="DG1107" s="241"/>
      <c r="DH1107" s="241"/>
      <c r="DI1107" s="241"/>
      <c r="DJ1107" s="241"/>
      <c r="DK1107" s="241"/>
      <c r="DL1107" s="241"/>
      <c r="DM1107" s="241"/>
      <c r="DN1107" s="241"/>
      <c r="DO1107" s="241"/>
      <c r="DP1107" s="241"/>
      <c r="DQ1107" s="241"/>
      <c r="DR1107" s="241"/>
      <c r="DS1107" s="241"/>
      <c r="DT1107" s="241"/>
      <c r="DU1107" s="241"/>
      <c r="DV1107" s="241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345"/>
      <c r="EM1107" s="245"/>
      <c r="EN1107" s="245"/>
      <c r="EO1107" s="245"/>
      <c r="EP1107" s="245"/>
      <c r="EQ1107" s="351"/>
    </row>
    <row r="1108" spans="2:147" s="243" customFormat="1" ht="11.25" hidden="1" customHeight="1">
      <c r="B1108" s="343"/>
      <c r="C1108" s="240"/>
      <c r="D1108" s="240"/>
      <c r="E1108" s="240"/>
      <c r="F1108" s="240"/>
      <c r="G1108" s="240"/>
      <c r="H1108" s="240"/>
      <c r="I1108" s="240"/>
      <c r="J1108" s="240"/>
      <c r="K1108" s="240"/>
      <c r="L1108" s="240"/>
      <c r="M1108" s="240"/>
      <c r="N1108" s="240"/>
      <c r="O1108" s="240"/>
      <c r="P1108" s="240"/>
      <c r="Q1108" s="240"/>
      <c r="R1108" s="240"/>
      <c r="S1108" s="240"/>
      <c r="T1108" s="240"/>
      <c r="U1108" s="240"/>
      <c r="V1108" s="240"/>
      <c r="W1108" s="240"/>
      <c r="X1108" s="240"/>
      <c r="Y1108" s="240"/>
      <c r="Z1108" s="240"/>
      <c r="AA1108" s="240"/>
      <c r="AB1108" s="240"/>
      <c r="AC1108" s="240"/>
      <c r="AD1108" s="240"/>
      <c r="AE1108" s="240"/>
      <c r="AF1108" s="240"/>
      <c r="AG1108" s="240"/>
      <c r="AH1108" s="240"/>
      <c r="AI1108" s="240"/>
      <c r="AJ1108" s="240"/>
      <c r="AK1108" s="240"/>
      <c r="AL1108" s="240"/>
      <c r="AM1108" s="240"/>
      <c r="AN1108" s="240"/>
      <c r="AO1108" s="240"/>
      <c r="AP1108" s="240"/>
      <c r="AQ1108" s="240"/>
      <c r="AR1108" s="240"/>
      <c r="AS1108" s="240"/>
      <c r="AT1108" s="240"/>
      <c r="AU1108" s="240"/>
      <c r="AV1108" s="240"/>
      <c r="AW1108" s="240"/>
      <c r="AX1108" s="240"/>
      <c r="AY1108" s="240"/>
      <c r="AZ1108" s="240"/>
      <c r="BA1108" s="240"/>
      <c r="BB1108" s="240"/>
      <c r="BC1108" s="240"/>
      <c r="BD1108" s="240"/>
      <c r="BE1108" s="240"/>
      <c r="BF1108" s="240"/>
      <c r="BG1108" s="240"/>
      <c r="BH1108" s="240"/>
      <c r="BI1108" s="240"/>
      <c r="BJ1108" s="240"/>
      <c r="BK1108" s="240"/>
      <c r="BL1108" s="240"/>
      <c r="BM1108" s="240"/>
      <c r="BN1108" s="240"/>
      <c r="BO1108" s="240"/>
      <c r="BP1108" s="240"/>
      <c r="BQ1108" s="240"/>
      <c r="BR1108" s="240"/>
      <c r="BS1108" s="240"/>
      <c r="BT1108" s="240"/>
      <c r="BU1108" s="240"/>
      <c r="BV1108" s="240"/>
      <c r="BW1108" s="240"/>
      <c r="BX1108" s="240"/>
      <c r="BY1108" s="240"/>
      <c r="BZ1108" s="240"/>
      <c r="CA1108" s="240"/>
      <c r="CB1108" s="240"/>
      <c r="CC1108" s="240"/>
      <c r="CD1108" s="240"/>
      <c r="CE1108" s="240"/>
      <c r="CF1108" s="240"/>
      <c r="CG1108" s="240"/>
      <c r="CH1108" s="240"/>
      <c r="CI1108" s="240"/>
      <c r="CJ1108" s="240"/>
      <c r="CK1108" s="240"/>
      <c r="CL1108" s="240"/>
      <c r="CM1108" s="240"/>
      <c r="CN1108" s="240"/>
      <c r="CO1108" s="240"/>
      <c r="CP1108" s="240"/>
      <c r="CQ1108" s="240"/>
      <c r="CR1108" s="240"/>
      <c r="CS1108" s="240"/>
      <c r="CT1108" s="240"/>
      <c r="CU1108" s="240"/>
      <c r="CV1108" s="240"/>
      <c r="CW1108" s="240"/>
      <c r="CX1108" s="240"/>
      <c r="CY1108" s="240"/>
      <c r="CZ1108" s="241"/>
      <c r="DA1108" s="241"/>
      <c r="DB1108" s="241"/>
      <c r="DC1108" s="241"/>
      <c r="DD1108" s="241"/>
      <c r="DE1108" s="241"/>
      <c r="DF1108" s="241"/>
      <c r="DG1108" s="241"/>
      <c r="DH1108" s="241"/>
      <c r="DI1108" s="241"/>
      <c r="DJ1108" s="241"/>
      <c r="DK1108" s="241"/>
      <c r="DL1108" s="241"/>
      <c r="DM1108" s="241"/>
      <c r="DN1108" s="241"/>
      <c r="DO1108" s="241"/>
      <c r="DP1108" s="241"/>
      <c r="DQ1108" s="241"/>
      <c r="DR1108" s="241"/>
      <c r="DS1108" s="241"/>
      <c r="DT1108" s="241"/>
      <c r="DU1108" s="241"/>
      <c r="DV1108" s="241"/>
      <c r="DW1108" s="241"/>
      <c r="DX1108" s="241"/>
      <c r="DY1108" s="241"/>
      <c r="DZ1108" s="241"/>
      <c r="EA1108" s="241"/>
      <c r="EB1108" s="241"/>
      <c r="EC1108" s="241"/>
      <c r="ED1108" s="241"/>
      <c r="EE1108" s="241"/>
      <c r="EF1108" s="241"/>
      <c r="EG1108" s="241"/>
      <c r="EH1108" s="241"/>
      <c r="EI1108" s="241"/>
      <c r="EJ1108" s="241"/>
      <c r="EK1108" s="241"/>
      <c r="EL1108" s="345"/>
      <c r="EM1108" s="245"/>
      <c r="EN1108" s="245"/>
      <c r="EO1108" s="245"/>
      <c r="EP1108" s="245"/>
      <c r="EQ1108" s="351"/>
    </row>
    <row r="1109" spans="2:147" s="243" customFormat="1" ht="11.25" hidden="1" customHeight="1">
      <c r="B1109" s="343"/>
      <c r="C1109" s="240"/>
      <c r="D1109" s="240"/>
      <c r="E1109" s="240"/>
      <c r="F1109" s="240"/>
      <c r="G1109" s="240"/>
      <c r="H1109" s="240" t="s">
        <v>857</v>
      </c>
      <c r="I1109" s="240"/>
      <c r="J1109" s="240" t="s">
        <v>134</v>
      </c>
      <c r="K1109" s="240"/>
      <c r="L1109" s="240" t="s">
        <v>773</v>
      </c>
      <c r="M1109" s="240"/>
      <c r="N1109" s="240" t="s">
        <v>139</v>
      </c>
      <c r="O1109" s="240"/>
      <c r="P1109" s="240" t="s">
        <v>147</v>
      </c>
      <c r="Q1109" s="240"/>
      <c r="R1109" s="240" t="s">
        <v>843</v>
      </c>
      <c r="S1109" s="240"/>
      <c r="T1109" s="240"/>
      <c r="U1109" s="240" t="s">
        <v>652</v>
      </c>
      <c r="V1109" s="240"/>
      <c r="W1109" s="240"/>
      <c r="X1109" s="240" t="s">
        <v>775</v>
      </c>
      <c r="Y1109" s="240"/>
      <c r="Z1109" s="240" t="s">
        <v>148</v>
      </c>
      <c r="AA1109" s="240"/>
      <c r="AB1109" s="240" t="s">
        <v>134</v>
      </c>
      <c r="AC1109" s="240"/>
      <c r="AD1109" s="240" t="str">
        <f>TEXT(AL1107,"#,##0.#######")</f>
        <v>9.57</v>
      </c>
      <c r="AE1109" s="240"/>
      <c r="AF1109" s="240"/>
      <c r="AG1109" s="240"/>
      <c r="AH1109" s="240"/>
      <c r="AI1109" s="240" t="s">
        <v>139</v>
      </c>
      <c r="AJ1109" s="240"/>
      <c r="AK1109" s="240" t="s">
        <v>147</v>
      </c>
      <c r="AL1109" s="240"/>
      <c r="AM1109" s="240" t="str">
        <f>TEXT(M1092,"#,##0.#######")</f>
        <v>0.7</v>
      </c>
      <c r="AN1109" s="240"/>
      <c r="AO1109" s="240"/>
      <c r="AP1109" s="240"/>
      <c r="AQ1109" s="240" t="s">
        <v>652</v>
      </c>
      <c r="AR1109" s="240"/>
      <c r="AS1109" s="240"/>
      <c r="AT1109" s="240" t="str">
        <f>TEXT(AX1092,"#,##0.#######")</f>
        <v>0.55</v>
      </c>
      <c r="AU1109" s="240"/>
      <c r="AV1109" s="240"/>
      <c r="AW1109" s="240"/>
      <c r="AX1109" s="240"/>
      <c r="AY1109" s="240" t="s">
        <v>148</v>
      </c>
      <c r="AZ1109" s="240"/>
      <c r="BA1109" s="240" t="s">
        <v>134</v>
      </c>
      <c r="BB1109" s="240"/>
      <c r="BC1109" s="240" t="str">
        <f>TEXT(ROUND(AL1107/(M1092*AX1092),2),"#,##0.#######")</f>
        <v>24.86</v>
      </c>
      <c r="BD1109" s="240"/>
      <c r="BE1109" s="240"/>
      <c r="BF1109" s="240"/>
      <c r="BG1109" s="240"/>
      <c r="BH1109" s="240"/>
      <c r="BI1109" s="240"/>
      <c r="BJ1109" s="240" t="s">
        <v>558</v>
      </c>
      <c r="BK1109" s="240"/>
      <c r="BL1109" s="240"/>
      <c r="BM1109" s="240"/>
      <c r="BN1109" s="240"/>
      <c r="BO1109" s="240"/>
      <c r="BP1109" s="240"/>
      <c r="BQ1109" s="240"/>
      <c r="BR1109" s="240"/>
      <c r="BS1109" s="240"/>
      <c r="BT1109" s="240"/>
      <c r="BU1109" s="240"/>
      <c r="BV1109" s="240"/>
      <c r="BW1109" s="240"/>
      <c r="BX1109" s="240"/>
      <c r="BY1109" s="240"/>
      <c r="BZ1109" s="240"/>
      <c r="CA1109" s="240"/>
      <c r="CB1109" s="240"/>
      <c r="CC1109" s="240"/>
      <c r="CD1109" s="240"/>
      <c r="CE1109" s="240"/>
      <c r="CF1109" s="240"/>
      <c r="CG1109" s="240"/>
      <c r="CH1109" s="240"/>
      <c r="CI1109" s="240"/>
      <c r="CJ1109" s="240"/>
      <c r="CK1109" s="240"/>
      <c r="CL1109" s="240"/>
      <c r="CM1109" s="240"/>
      <c r="CN1109" s="240"/>
      <c r="CO1109" s="240"/>
      <c r="CP1109" s="240"/>
      <c r="CQ1109" s="240"/>
      <c r="CR1109" s="240"/>
      <c r="CS1109" s="240"/>
      <c r="CT1109" s="240"/>
      <c r="CU1109" s="240"/>
      <c r="CV1109" s="240"/>
      <c r="CW1109" s="240"/>
      <c r="CX1109" s="240"/>
      <c r="CY1109" s="240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1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345"/>
      <c r="EM1109" s="245"/>
      <c r="EN1109" s="245"/>
      <c r="EO1109" s="245"/>
      <c r="EP1109" s="245"/>
      <c r="EQ1109" s="351"/>
    </row>
    <row r="1110" spans="2:147" s="243" customFormat="1" ht="11.25" hidden="1" customHeight="1">
      <c r="B1110" s="343"/>
      <c r="C1110" s="240"/>
      <c r="D1110" s="240"/>
      <c r="E1110" s="240"/>
      <c r="F1110" s="240"/>
      <c r="G1110" s="240"/>
      <c r="H1110" s="240"/>
      <c r="I1110" s="240"/>
      <c r="J1110" s="240"/>
      <c r="K1110" s="240"/>
      <c r="L1110" s="240"/>
      <c r="M1110" s="240"/>
      <c r="N1110" s="240"/>
      <c r="O1110" s="240"/>
      <c r="P1110" s="240"/>
      <c r="Q1110" s="240"/>
      <c r="R1110" s="240"/>
      <c r="S1110" s="240"/>
      <c r="T1110" s="240"/>
      <c r="U1110" s="240"/>
      <c r="V1110" s="240"/>
      <c r="W1110" s="240"/>
      <c r="X1110" s="240"/>
      <c r="Y1110" s="240"/>
      <c r="Z1110" s="240"/>
      <c r="AA1110" s="240"/>
      <c r="AB1110" s="240"/>
      <c r="AC1110" s="240"/>
      <c r="AD1110" s="240"/>
      <c r="AE1110" s="240"/>
      <c r="AF1110" s="240"/>
      <c r="AG1110" s="240"/>
      <c r="AH1110" s="240"/>
      <c r="AI1110" s="240"/>
      <c r="AJ1110" s="240"/>
      <c r="AK1110" s="240"/>
      <c r="AL1110" s="240"/>
      <c r="AM1110" s="240"/>
      <c r="AN1110" s="240"/>
      <c r="AO1110" s="240"/>
      <c r="AP1110" s="240"/>
      <c r="AQ1110" s="240"/>
      <c r="AR1110" s="240"/>
      <c r="AS1110" s="240"/>
      <c r="AT1110" s="240"/>
      <c r="AU1110" s="240"/>
      <c r="AV1110" s="240"/>
      <c r="AW1110" s="240"/>
      <c r="AX1110" s="240"/>
      <c r="AY1110" s="240"/>
      <c r="AZ1110" s="240"/>
      <c r="BA1110" s="240"/>
      <c r="BB1110" s="240"/>
      <c r="BC1110" s="240"/>
      <c r="BD1110" s="240"/>
      <c r="BE1110" s="240"/>
      <c r="BF1110" s="240"/>
      <c r="BG1110" s="240"/>
      <c r="BH1110" s="240"/>
      <c r="BI1110" s="240"/>
      <c r="BJ1110" s="240"/>
      <c r="BK1110" s="240"/>
      <c r="BL1110" s="240"/>
      <c r="BM1110" s="240"/>
      <c r="BN1110" s="240"/>
      <c r="BO1110" s="240"/>
      <c r="BP1110" s="240"/>
      <c r="BQ1110" s="240"/>
      <c r="BR1110" s="240"/>
      <c r="BS1110" s="240"/>
      <c r="BT1110" s="240"/>
      <c r="BU1110" s="240"/>
      <c r="BV1110" s="240"/>
      <c r="BW1110" s="240"/>
      <c r="BX1110" s="240"/>
      <c r="BY1110" s="240"/>
      <c r="BZ1110" s="240"/>
      <c r="CA1110" s="240"/>
      <c r="CB1110" s="240"/>
      <c r="CC1110" s="240"/>
      <c r="CD1110" s="240"/>
      <c r="CE1110" s="240"/>
      <c r="CF1110" s="240"/>
      <c r="CG1110" s="240"/>
      <c r="CH1110" s="240"/>
      <c r="CI1110" s="240"/>
      <c r="CJ1110" s="240"/>
      <c r="CK1110" s="240"/>
      <c r="CL1110" s="240"/>
      <c r="CM1110" s="240"/>
      <c r="CN1110" s="240"/>
      <c r="CO1110" s="240"/>
      <c r="CP1110" s="240"/>
      <c r="CQ1110" s="240"/>
      <c r="CR1110" s="240"/>
      <c r="CS1110" s="240"/>
      <c r="CT1110" s="240"/>
      <c r="CU1110" s="240"/>
      <c r="CV1110" s="240"/>
      <c r="CW1110" s="240"/>
      <c r="CX1110" s="240"/>
      <c r="CY1110" s="240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1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345"/>
      <c r="EM1110" s="245"/>
      <c r="EN1110" s="245"/>
      <c r="EO1110" s="245"/>
      <c r="EP1110" s="245"/>
      <c r="EQ1110" s="351"/>
    </row>
    <row r="1111" spans="2:147" s="243" customFormat="1" ht="11.25" hidden="1" customHeight="1">
      <c r="B1111" s="343"/>
      <c r="C1111" s="240"/>
      <c r="D1111" s="240"/>
      <c r="E1111" s="240"/>
      <c r="F1111" s="240"/>
      <c r="G1111" s="240"/>
      <c r="H1111" s="240" t="s">
        <v>712</v>
      </c>
      <c r="I1111" s="240"/>
      <c r="J1111" s="240"/>
      <c r="K1111" s="240" t="s">
        <v>134</v>
      </c>
      <c r="L1111" s="240"/>
      <c r="M1111" s="240" t="s">
        <v>845</v>
      </c>
      <c r="N1111" s="240"/>
      <c r="O1111" s="240"/>
      <c r="P1111" s="240"/>
      <c r="Q1111" s="240" t="s">
        <v>652</v>
      </c>
      <c r="R1111" s="240"/>
      <c r="S1111" s="240"/>
      <c r="T1111" s="240" t="s">
        <v>857</v>
      </c>
      <c r="U1111" s="240"/>
      <c r="V1111" s="240" t="s">
        <v>139</v>
      </c>
      <c r="W1111" s="240"/>
      <c r="X1111" s="240" t="s">
        <v>147</v>
      </c>
      <c r="Y1111" s="240"/>
      <c r="Z1111" s="240" t="str">
        <f>TEXT(60,"#,##0.#######")</f>
        <v>60.</v>
      </c>
      <c r="AA1111" s="240"/>
      <c r="AB1111" s="240"/>
      <c r="AC1111" s="240" t="s">
        <v>652</v>
      </c>
      <c r="AD1111" s="240"/>
      <c r="AE1111" s="240"/>
      <c r="AF1111" s="240" t="s">
        <v>844</v>
      </c>
      <c r="AG1111" s="240"/>
      <c r="AH1111" s="240"/>
      <c r="AI1111" s="240" t="s">
        <v>148</v>
      </c>
      <c r="AJ1111" s="240"/>
      <c r="AK1111" s="240" t="s">
        <v>134</v>
      </c>
      <c r="AL1111" s="240"/>
      <c r="AM1111" s="240" t="str">
        <f>TEXT(AB1094,"#,##0.#######")</f>
        <v>20.</v>
      </c>
      <c r="AN1111" s="240"/>
      <c r="AO1111" s="240"/>
      <c r="AP1111" s="240" t="s">
        <v>652</v>
      </c>
      <c r="AQ1111" s="240"/>
      <c r="AR1111" s="240"/>
      <c r="AS1111" s="240" t="str">
        <f>TEXT(BC1109,"#,##0.#######")</f>
        <v>24.86</v>
      </c>
      <c r="AT1111" s="240"/>
      <c r="AU1111" s="240"/>
      <c r="AV1111" s="240"/>
      <c r="AW1111" s="240"/>
      <c r="AX1111" s="240"/>
      <c r="AY1111" s="240" t="s">
        <v>139</v>
      </c>
      <c r="AZ1111" s="240"/>
      <c r="BA1111" s="240" t="s">
        <v>147</v>
      </c>
      <c r="BB1111" s="240"/>
      <c r="BC1111" s="240" t="str">
        <f>TEXT(Z1111,"#,##0.#######")</f>
        <v>60.</v>
      </c>
      <c r="BD1111" s="240"/>
      <c r="BE1111" s="240"/>
      <c r="BF1111" s="240" t="s">
        <v>652</v>
      </c>
      <c r="BG1111" s="240"/>
      <c r="BH1111" s="240"/>
      <c r="BI1111" s="240" t="str">
        <f>TEXT(M1094,"#,##0.#######")</f>
        <v>0.45</v>
      </c>
      <c r="BJ1111" s="240"/>
      <c r="BK1111" s="240"/>
      <c r="BL1111" s="240"/>
      <c r="BM1111" s="240"/>
      <c r="BN1111" s="240" t="s">
        <v>148</v>
      </c>
      <c r="BO1111" s="240"/>
      <c r="BP1111" s="240" t="s">
        <v>134</v>
      </c>
      <c r="BQ1111" s="240"/>
      <c r="BR1111" s="240" t="str">
        <f>TEXT(ROUND(AB1094*BC1109/(Z1111*M1094),2),"#,##0.#######")</f>
        <v>18.41</v>
      </c>
      <c r="BS1111" s="240"/>
      <c r="BT1111" s="240"/>
      <c r="BU1111" s="240"/>
      <c r="BV1111" s="240"/>
      <c r="BW1111" s="240"/>
      <c r="BX1111" s="240"/>
      <c r="BY1111" s="240"/>
      <c r="BZ1111" s="240"/>
      <c r="CA1111" s="240"/>
      <c r="CB1111" s="240"/>
      <c r="CC1111" s="240"/>
      <c r="CD1111" s="240"/>
      <c r="CE1111" s="240"/>
      <c r="CF1111" s="240"/>
      <c r="CG1111" s="240"/>
      <c r="CH1111" s="240"/>
      <c r="CI1111" s="240"/>
      <c r="CJ1111" s="240"/>
      <c r="CK1111" s="240"/>
      <c r="CL1111" s="240"/>
      <c r="CM1111" s="240"/>
      <c r="CN1111" s="240"/>
      <c r="CO1111" s="240"/>
      <c r="CP1111" s="240"/>
      <c r="CQ1111" s="240"/>
      <c r="CR1111" s="240"/>
      <c r="CS1111" s="240"/>
      <c r="CT1111" s="240"/>
      <c r="CU1111" s="240"/>
      <c r="CV1111" s="240"/>
      <c r="CW1111" s="240"/>
      <c r="CX1111" s="240"/>
      <c r="CY1111" s="240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1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345"/>
      <c r="EM1111" s="245"/>
      <c r="EN1111" s="245"/>
      <c r="EO1111" s="245"/>
      <c r="EP1111" s="245"/>
      <c r="EQ1111" s="351"/>
    </row>
    <row r="1112" spans="2:147" s="243" customFormat="1" ht="11.25" hidden="1" customHeight="1">
      <c r="B1112" s="343"/>
      <c r="C1112" s="240"/>
      <c r="D1112" s="240"/>
      <c r="E1112" s="240"/>
      <c r="F1112" s="240"/>
      <c r="G1112" s="240"/>
      <c r="H1112" s="240"/>
      <c r="I1112" s="240"/>
      <c r="J1112" s="240"/>
      <c r="K1112" s="240"/>
      <c r="L1112" s="240"/>
      <c r="M1112" s="240"/>
      <c r="N1112" s="240"/>
      <c r="O1112" s="240"/>
      <c r="P1112" s="240"/>
      <c r="Q1112" s="240"/>
      <c r="R1112" s="240"/>
      <c r="S1112" s="240"/>
      <c r="T1112" s="240"/>
      <c r="U1112" s="240"/>
      <c r="V1112" s="240"/>
      <c r="W1112" s="240"/>
      <c r="X1112" s="240"/>
      <c r="Y1112" s="240"/>
      <c r="Z1112" s="240"/>
      <c r="AA1112" s="240"/>
      <c r="AB1112" s="240"/>
      <c r="AC1112" s="240"/>
      <c r="AD1112" s="240"/>
      <c r="AE1112" s="240"/>
      <c r="AF1112" s="240"/>
      <c r="AG1112" s="240"/>
      <c r="AH1112" s="240"/>
      <c r="AI1112" s="240"/>
      <c r="AJ1112" s="240"/>
      <c r="AK1112" s="240"/>
      <c r="AL1112" s="240"/>
      <c r="AM1112" s="240"/>
      <c r="AN1112" s="240"/>
      <c r="AO1112" s="240"/>
      <c r="AP1112" s="240"/>
      <c r="AQ1112" s="240"/>
      <c r="AR1112" s="240"/>
      <c r="AS1112" s="240"/>
      <c r="AT1112" s="240"/>
      <c r="AU1112" s="240"/>
      <c r="AV1112" s="240"/>
      <c r="AW1112" s="240"/>
      <c r="AX1112" s="240"/>
      <c r="AY1112" s="240"/>
      <c r="AZ1112" s="240"/>
      <c r="BA1112" s="240"/>
      <c r="BB1112" s="240"/>
      <c r="BC1112" s="240"/>
      <c r="BD1112" s="240"/>
      <c r="BE1112" s="240"/>
      <c r="BF1112" s="240"/>
      <c r="BG1112" s="240"/>
      <c r="BH1112" s="240"/>
      <c r="BI1112" s="240"/>
      <c r="BJ1112" s="240"/>
      <c r="BK1112" s="240"/>
      <c r="BL1112" s="240"/>
      <c r="BM1112" s="240"/>
      <c r="BN1112" s="240"/>
      <c r="BO1112" s="240"/>
      <c r="BP1112" s="240"/>
      <c r="BQ1112" s="240"/>
      <c r="BR1112" s="240"/>
      <c r="BS1112" s="240"/>
      <c r="BT1112" s="240"/>
      <c r="BU1112" s="240"/>
      <c r="BV1112" s="240"/>
      <c r="BW1112" s="240"/>
      <c r="BX1112" s="240"/>
      <c r="BY1112" s="240"/>
      <c r="BZ1112" s="240"/>
      <c r="CA1112" s="240"/>
      <c r="CB1112" s="240"/>
      <c r="CC1112" s="240"/>
      <c r="CD1112" s="240"/>
      <c r="CE1112" s="240"/>
      <c r="CF1112" s="240"/>
      <c r="CG1112" s="240"/>
      <c r="CH1112" s="240"/>
      <c r="CI1112" s="240"/>
      <c r="CJ1112" s="240"/>
      <c r="CK1112" s="240"/>
      <c r="CL1112" s="240"/>
      <c r="CM1112" s="240"/>
      <c r="CN1112" s="240"/>
      <c r="CO1112" s="240"/>
      <c r="CP1112" s="240"/>
      <c r="CQ1112" s="240"/>
      <c r="CR1112" s="240"/>
      <c r="CS1112" s="240"/>
      <c r="CT1112" s="240"/>
      <c r="CU1112" s="240"/>
      <c r="CV1112" s="240"/>
      <c r="CW1112" s="240"/>
      <c r="CX1112" s="240"/>
      <c r="CY1112" s="240"/>
      <c r="CZ1112" s="241"/>
      <c r="DA1112" s="241"/>
      <c r="DB1112" s="241"/>
      <c r="DC1112" s="241"/>
      <c r="DD1112" s="241"/>
      <c r="DE1112" s="241"/>
      <c r="DF1112" s="241"/>
      <c r="DG1112" s="241"/>
      <c r="DH1112" s="241"/>
      <c r="DI1112" s="241"/>
      <c r="DJ1112" s="241"/>
      <c r="DK1112" s="241"/>
      <c r="DL1112" s="241"/>
      <c r="DM1112" s="241"/>
      <c r="DN1112" s="241"/>
      <c r="DO1112" s="241"/>
      <c r="DP1112" s="241"/>
      <c r="DQ1112" s="241"/>
      <c r="DR1112" s="241"/>
      <c r="DS1112" s="241"/>
      <c r="DT1112" s="241"/>
      <c r="DU1112" s="241"/>
      <c r="DV1112" s="241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345"/>
      <c r="EM1112" s="245"/>
      <c r="EN1112" s="245"/>
      <c r="EO1112" s="245"/>
      <c r="EP1112" s="245"/>
      <c r="EQ1112" s="351"/>
    </row>
    <row r="1113" spans="2:147" s="243" customFormat="1" ht="11.25" hidden="1" customHeight="1">
      <c r="B1113" s="343"/>
      <c r="C1113" s="240"/>
      <c r="D1113" s="240"/>
      <c r="E1113" s="240"/>
      <c r="F1113" s="240"/>
      <c r="G1113" s="240"/>
      <c r="H1113" s="240"/>
      <c r="I1113" s="240"/>
      <c r="J1113" s="240"/>
      <c r="K1113" s="240"/>
      <c r="L1113" s="240"/>
      <c r="M1113" s="240"/>
      <c r="N1113" s="240"/>
      <c r="O1113" s="240" t="s">
        <v>710</v>
      </c>
      <c r="P1113" s="240"/>
      <c r="Q1113" s="240"/>
      <c r="R1113" s="240"/>
      <c r="S1113" s="240"/>
      <c r="T1113" s="240"/>
      <c r="U1113" s="240"/>
      <c r="V1113" s="240" t="s">
        <v>710</v>
      </c>
      <c r="W1113" s="240"/>
      <c r="X1113" s="240"/>
      <c r="Y1113" s="240"/>
      <c r="Z1113" s="240"/>
      <c r="AA1113" s="240"/>
      <c r="AB1113" s="240"/>
      <c r="AC1113" s="240"/>
      <c r="AD1113" s="240"/>
      <c r="AE1113" s="240"/>
      <c r="AF1113" s="240"/>
      <c r="AG1113" s="240"/>
      <c r="AH1113" s="240"/>
      <c r="AI1113" s="240" t="str">
        <f>TEXT(L1103,"#,##0.#######")</f>
        <v>20.</v>
      </c>
      <c r="AJ1113" s="240"/>
      <c r="AK1113" s="240"/>
      <c r="AL1113" s="240"/>
      <c r="AM1113" s="240"/>
      <c r="AN1113" s="240"/>
      <c r="AO1113" s="240"/>
      <c r="AP1113" s="240" t="str">
        <f>TEXT(L1103,"#,##0.#######")</f>
        <v>20.</v>
      </c>
      <c r="AQ1113" s="240"/>
      <c r="AR1113" s="240"/>
      <c r="AS1113" s="240"/>
      <c r="AT1113" s="240"/>
      <c r="AU1113" s="240"/>
      <c r="AV1113" s="240"/>
      <c r="AW1113" s="240"/>
      <c r="AX1113" s="240"/>
      <c r="AY1113" s="240"/>
      <c r="AZ1113" s="240"/>
      <c r="BA1113" s="240"/>
      <c r="BB1113" s="240"/>
      <c r="BC1113" s="240"/>
      <c r="BD1113" s="240"/>
      <c r="BE1113" s="240"/>
      <c r="BF1113" s="240"/>
      <c r="BG1113" s="240"/>
      <c r="BH1113" s="240"/>
      <c r="BI1113" s="240"/>
      <c r="BJ1113" s="240"/>
      <c r="BK1113" s="240"/>
      <c r="BL1113" s="240"/>
      <c r="BM1113" s="240"/>
      <c r="BN1113" s="240"/>
      <c r="BO1113" s="240"/>
      <c r="BP1113" s="240"/>
      <c r="BQ1113" s="240"/>
      <c r="BR1113" s="240"/>
      <c r="BS1113" s="240"/>
      <c r="BT1113" s="240"/>
      <c r="BU1113" s="240"/>
      <c r="BV1113" s="240"/>
      <c r="BW1113" s="240"/>
      <c r="BX1113" s="240"/>
      <c r="BY1113" s="240"/>
      <c r="BZ1113" s="240"/>
      <c r="CA1113" s="240"/>
      <c r="CB1113" s="240"/>
      <c r="CC1113" s="240"/>
      <c r="CD1113" s="240"/>
      <c r="CE1113" s="240"/>
      <c r="CF1113" s="240"/>
      <c r="CG1113" s="240"/>
      <c r="CH1113" s="240"/>
      <c r="CI1113" s="240"/>
      <c r="CJ1113" s="240"/>
      <c r="CK1113" s="240"/>
      <c r="CL1113" s="240"/>
      <c r="CM1113" s="240"/>
      <c r="CN1113" s="240"/>
      <c r="CO1113" s="240"/>
      <c r="CP1113" s="240"/>
      <c r="CQ1113" s="240"/>
      <c r="CR1113" s="240"/>
      <c r="CS1113" s="240"/>
      <c r="CT1113" s="240"/>
      <c r="CU1113" s="240"/>
      <c r="CV1113" s="240"/>
      <c r="CW1113" s="240"/>
      <c r="CX1113" s="240"/>
      <c r="CY1113" s="240"/>
      <c r="CZ1113" s="241"/>
      <c r="DA1113" s="241"/>
      <c r="DB1113" s="241"/>
      <c r="DC1113" s="241"/>
      <c r="DD1113" s="241"/>
      <c r="DE1113" s="241"/>
      <c r="DF1113" s="241"/>
      <c r="DG1113" s="241"/>
      <c r="DH1113" s="241"/>
      <c r="DI1113" s="241"/>
      <c r="DJ1113" s="241"/>
      <c r="DK1113" s="241"/>
      <c r="DL1113" s="241"/>
      <c r="DM1113" s="241"/>
      <c r="DN1113" s="241"/>
      <c r="DO1113" s="241"/>
      <c r="DP1113" s="241"/>
      <c r="DQ1113" s="241"/>
      <c r="DR1113" s="241"/>
      <c r="DS1113" s="241"/>
      <c r="DT1113" s="241"/>
      <c r="DU1113" s="241"/>
      <c r="DV1113" s="241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345"/>
      <c r="EM1113" s="245"/>
      <c r="EN1113" s="245"/>
      <c r="EO1113" s="245"/>
      <c r="EP1113" s="245"/>
      <c r="EQ1113" s="351"/>
    </row>
    <row r="1114" spans="2:147" s="243" customFormat="1" ht="11.25" hidden="1" customHeight="1">
      <c r="B1114" s="343"/>
      <c r="C1114" s="240"/>
      <c r="D1114" s="240"/>
      <c r="E1114" s="240"/>
      <c r="F1114" s="240"/>
      <c r="G1114" s="240"/>
      <c r="H1114" s="240" t="s">
        <v>721</v>
      </c>
      <c r="I1114" s="240"/>
      <c r="J1114" s="240"/>
      <c r="K1114" s="240" t="s">
        <v>134</v>
      </c>
      <c r="L1114" s="240"/>
      <c r="M1114" s="240" t="s">
        <v>147</v>
      </c>
      <c r="N1114" s="240" t="s">
        <v>694</v>
      </c>
      <c r="O1114" s="240"/>
      <c r="P1114" s="240" t="s">
        <v>694</v>
      </c>
      <c r="Q1114" s="240"/>
      <c r="R1114" s="240"/>
      <c r="S1114" s="240" t="s">
        <v>130</v>
      </c>
      <c r="T1114" s="240"/>
      <c r="U1114" s="240" t="s">
        <v>694</v>
      </c>
      <c r="V1114" s="240"/>
      <c r="W1114" s="240" t="s">
        <v>694</v>
      </c>
      <c r="X1114" s="240"/>
      <c r="Y1114" s="240" t="s">
        <v>148</v>
      </c>
      <c r="Z1114" s="240" t="s">
        <v>652</v>
      </c>
      <c r="AA1114" s="240"/>
      <c r="AB1114" s="240" t="str">
        <f>TEXT(60,"#,##0.#######")</f>
        <v>60.</v>
      </c>
      <c r="AC1114" s="240"/>
      <c r="AD1114" s="240"/>
      <c r="AE1114" s="240" t="s">
        <v>134</v>
      </c>
      <c r="AF1114" s="240"/>
      <c r="AG1114" s="240" t="s">
        <v>147</v>
      </c>
      <c r="AH1114" s="240" t="s">
        <v>694</v>
      </c>
      <c r="AI1114" s="240"/>
      <c r="AJ1114" s="240" t="s">
        <v>694</v>
      </c>
      <c r="AK1114" s="240"/>
      <c r="AL1114" s="240"/>
      <c r="AM1114" s="240" t="s">
        <v>130</v>
      </c>
      <c r="AN1114" s="240"/>
      <c r="AO1114" s="240" t="s">
        <v>694</v>
      </c>
      <c r="AP1114" s="240"/>
      <c r="AQ1114" s="240" t="s">
        <v>694</v>
      </c>
      <c r="AR1114" s="240"/>
      <c r="AS1114" s="240" t="s">
        <v>148</v>
      </c>
      <c r="AT1114" s="240" t="s">
        <v>652</v>
      </c>
      <c r="AU1114" s="240"/>
      <c r="AV1114" s="240" t="str">
        <f>TEXT(60,"#,##0.#######")</f>
        <v>60.</v>
      </c>
      <c r="AW1114" s="240"/>
      <c r="AX1114" s="240"/>
      <c r="AY1114" s="240" t="s">
        <v>134</v>
      </c>
      <c r="AZ1114" s="240"/>
      <c r="BA1114" s="240" t="str">
        <f>TEXT(ROUND(((L1103)/(Y1103)+(L1103)/(AP1103))*AB1114,2),"#,##0.#######")</f>
        <v>74.29</v>
      </c>
      <c r="BB1114" s="240"/>
      <c r="BC1114" s="240"/>
      <c r="BD1114" s="240"/>
      <c r="BE1114" s="240"/>
      <c r="BF1114" s="240"/>
      <c r="BG1114" s="240"/>
      <c r="BH1114" s="240"/>
      <c r="BI1114" s="240"/>
      <c r="BJ1114" s="240"/>
      <c r="BK1114" s="240"/>
      <c r="BL1114" s="240"/>
      <c r="BM1114" s="240"/>
      <c r="BN1114" s="240"/>
      <c r="BO1114" s="240"/>
      <c r="BP1114" s="240"/>
      <c r="BQ1114" s="240"/>
      <c r="BR1114" s="240"/>
      <c r="BS1114" s="240"/>
      <c r="BT1114" s="240"/>
      <c r="BU1114" s="240"/>
      <c r="BV1114" s="240"/>
      <c r="BW1114" s="240"/>
      <c r="BX1114" s="240"/>
      <c r="BY1114" s="240"/>
      <c r="BZ1114" s="240"/>
      <c r="CA1114" s="240"/>
      <c r="CB1114" s="240"/>
      <c r="CC1114" s="240"/>
      <c r="CD1114" s="240"/>
      <c r="CE1114" s="240"/>
      <c r="CF1114" s="240"/>
      <c r="CG1114" s="240"/>
      <c r="CH1114" s="240"/>
      <c r="CI1114" s="240"/>
      <c r="CJ1114" s="240"/>
      <c r="CK1114" s="240"/>
      <c r="CL1114" s="240"/>
      <c r="CM1114" s="240"/>
      <c r="CN1114" s="240"/>
      <c r="CO1114" s="240"/>
      <c r="CP1114" s="240"/>
      <c r="CQ1114" s="240"/>
      <c r="CR1114" s="240"/>
      <c r="CS1114" s="240"/>
      <c r="CT1114" s="240"/>
      <c r="CU1114" s="240"/>
      <c r="CV1114" s="240"/>
      <c r="CW1114" s="240"/>
      <c r="CX1114" s="240"/>
      <c r="CY1114" s="240"/>
      <c r="CZ1114" s="241"/>
      <c r="DA1114" s="241"/>
      <c r="DB1114" s="241"/>
      <c r="DC1114" s="241"/>
      <c r="DD1114" s="241"/>
      <c r="DE1114" s="241"/>
      <c r="DF1114" s="241"/>
      <c r="DG1114" s="241"/>
      <c r="DH1114" s="241"/>
      <c r="DI1114" s="241"/>
      <c r="DJ1114" s="241"/>
      <c r="DK1114" s="241"/>
      <c r="DL1114" s="241"/>
      <c r="DM1114" s="241"/>
      <c r="DN1114" s="241"/>
      <c r="DO1114" s="241"/>
      <c r="DP1114" s="241"/>
      <c r="DQ1114" s="241"/>
      <c r="DR1114" s="241"/>
      <c r="DS1114" s="241"/>
      <c r="DT1114" s="241"/>
      <c r="DU1114" s="241"/>
      <c r="DV1114" s="241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345"/>
      <c r="EM1114" s="245"/>
      <c r="EN1114" s="245"/>
      <c r="EO1114" s="245"/>
      <c r="EP1114" s="245"/>
      <c r="EQ1114" s="351"/>
    </row>
    <row r="1115" spans="2:147" s="243" customFormat="1" ht="11.25" hidden="1" customHeight="1">
      <c r="B1115" s="343"/>
      <c r="C1115" s="240"/>
      <c r="D1115" s="240"/>
      <c r="E1115" s="240"/>
      <c r="F1115" s="240"/>
      <c r="G1115" s="240"/>
      <c r="H1115" s="240"/>
      <c r="I1115" s="240"/>
      <c r="J1115" s="240"/>
      <c r="K1115" s="240"/>
      <c r="L1115" s="240"/>
      <c r="M1115" s="240"/>
      <c r="N1115" s="240"/>
      <c r="O1115" s="240" t="s">
        <v>852</v>
      </c>
      <c r="P1115" s="240"/>
      <c r="Q1115" s="240"/>
      <c r="R1115" s="240"/>
      <c r="S1115" s="240"/>
      <c r="T1115" s="240"/>
      <c r="U1115" s="240"/>
      <c r="V1115" s="240" t="s">
        <v>853</v>
      </c>
      <c r="W1115" s="240"/>
      <c r="X1115" s="240"/>
      <c r="Y1115" s="240"/>
      <c r="Z1115" s="240"/>
      <c r="AA1115" s="240"/>
      <c r="AB1115" s="240"/>
      <c r="AC1115" s="240"/>
      <c r="AD1115" s="240"/>
      <c r="AE1115" s="240"/>
      <c r="AF1115" s="240"/>
      <c r="AG1115" s="240"/>
      <c r="AH1115" s="240"/>
      <c r="AI1115" s="240" t="str">
        <f>TEXT(Y1103,"#,##0.#######")</f>
        <v>30.</v>
      </c>
      <c r="AJ1115" s="240"/>
      <c r="AK1115" s="240"/>
      <c r="AL1115" s="240"/>
      <c r="AM1115" s="240"/>
      <c r="AN1115" s="240"/>
      <c r="AO1115" s="240"/>
      <c r="AP1115" s="240" t="str">
        <f>TEXT(AP1103,"#,##0.#######")</f>
        <v>35.</v>
      </c>
      <c r="AQ1115" s="240"/>
      <c r="AR1115" s="240"/>
      <c r="AS1115" s="240"/>
      <c r="AT1115" s="240"/>
      <c r="AU1115" s="240"/>
      <c r="AV1115" s="240"/>
      <c r="AW1115" s="240"/>
      <c r="AX1115" s="240"/>
      <c r="AY1115" s="240"/>
      <c r="AZ1115" s="240"/>
      <c r="BA1115" s="240"/>
      <c r="BB1115" s="240"/>
      <c r="BC1115" s="240"/>
      <c r="BD1115" s="240"/>
      <c r="BE1115" s="240"/>
      <c r="BF1115" s="240"/>
      <c r="BG1115" s="240"/>
      <c r="BH1115" s="240"/>
      <c r="BI1115" s="240"/>
      <c r="BJ1115" s="240"/>
      <c r="BK1115" s="240"/>
      <c r="BL1115" s="240"/>
      <c r="BM1115" s="240"/>
      <c r="BN1115" s="240"/>
      <c r="BO1115" s="240"/>
      <c r="BP1115" s="240"/>
      <c r="BQ1115" s="240"/>
      <c r="BR1115" s="240"/>
      <c r="BS1115" s="240"/>
      <c r="BT1115" s="240"/>
      <c r="BU1115" s="240"/>
      <c r="BV1115" s="240"/>
      <c r="BW1115" s="240"/>
      <c r="BX1115" s="240"/>
      <c r="BY1115" s="240"/>
      <c r="BZ1115" s="240"/>
      <c r="CA1115" s="240"/>
      <c r="CB1115" s="240"/>
      <c r="CC1115" s="240"/>
      <c r="CD1115" s="240"/>
      <c r="CE1115" s="240"/>
      <c r="CF1115" s="240"/>
      <c r="CG1115" s="240"/>
      <c r="CH1115" s="240"/>
      <c r="CI1115" s="240"/>
      <c r="CJ1115" s="240"/>
      <c r="CK1115" s="240"/>
      <c r="CL1115" s="240"/>
      <c r="CM1115" s="240"/>
      <c r="CN1115" s="240"/>
      <c r="CO1115" s="240"/>
      <c r="CP1115" s="240"/>
      <c r="CQ1115" s="240"/>
      <c r="CR1115" s="240"/>
      <c r="CS1115" s="240"/>
      <c r="CT1115" s="240"/>
      <c r="CU1115" s="240"/>
      <c r="CV1115" s="240"/>
      <c r="CW1115" s="240"/>
      <c r="CX1115" s="240"/>
      <c r="CY1115" s="240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1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345"/>
      <c r="EM1115" s="245"/>
      <c r="EN1115" s="245"/>
      <c r="EO1115" s="245"/>
      <c r="EP1115" s="245"/>
      <c r="EQ1115" s="351"/>
    </row>
    <row r="1116" spans="2:147" s="243" customFormat="1" ht="11.25" hidden="1" customHeight="1">
      <c r="B1116" s="343"/>
      <c r="C1116" s="240"/>
      <c r="D1116" s="240"/>
      <c r="E1116" s="240"/>
      <c r="F1116" s="240"/>
      <c r="G1116" s="240"/>
      <c r="H1116" s="240"/>
      <c r="I1116" s="240"/>
      <c r="J1116" s="240"/>
      <c r="K1116" s="240"/>
      <c r="L1116" s="240"/>
      <c r="M1116" s="240"/>
      <c r="N1116" s="240"/>
      <c r="O1116" s="240"/>
      <c r="P1116" s="240"/>
      <c r="Q1116" s="240"/>
      <c r="R1116" s="240"/>
      <c r="S1116" s="240"/>
      <c r="T1116" s="240"/>
      <c r="U1116" s="240"/>
      <c r="V1116" s="240"/>
      <c r="W1116" s="240"/>
      <c r="X1116" s="240"/>
      <c r="Y1116" s="240"/>
      <c r="Z1116" s="240"/>
      <c r="AA1116" s="240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240"/>
      <c r="AM1116" s="240"/>
      <c r="AN1116" s="240"/>
      <c r="AO1116" s="240"/>
      <c r="AP1116" s="240"/>
      <c r="AQ1116" s="240"/>
      <c r="AR1116" s="240"/>
      <c r="AS1116" s="240"/>
      <c r="AT1116" s="240"/>
      <c r="AU1116" s="240"/>
      <c r="AV1116" s="240"/>
      <c r="AW1116" s="240"/>
      <c r="AX1116" s="240"/>
      <c r="AY1116" s="240"/>
      <c r="AZ1116" s="240"/>
      <c r="BA1116" s="240"/>
      <c r="BB1116" s="240"/>
      <c r="BC1116" s="240"/>
      <c r="BD1116" s="240"/>
      <c r="BE1116" s="240"/>
      <c r="BF1116" s="240"/>
      <c r="BG1116" s="240"/>
      <c r="BH1116" s="240"/>
      <c r="BI1116" s="240"/>
      <c r="BJ1116" s="240"/>
      <c r="BK1116" s="240"/>
      <c r="BL1116" s="240"/>
      <c r="BM1116" s="240"/>
      <c r="BN1116" s="240"/>
      <c r="BO1116" s="240"/>
      <c r="BP1116" s="240"/>
      <c r="BQ1116" s="240"/>
      <c r="BR1116" s="240"/>
      <c r="BS1116" s="240"/>
      <c r="BT1116" s="240"/>
      <c r="BU1116" s="240"/>
      <c r="BV1116" s="240"/>
      <c r="BW1116" s="240"/>
      <c r="BX1116" s="240"/>
      <c r="BY1116" s="240"/>
      <c r="BZ1116" s="240"/>
      <c r="CA1116" s="240"/>
      <c r="CB1116" s="240"/>
      <c r="CC1116" s="240"/>
      <c r="CD1116" s="240"/>
      <c r="CE1116" s="240"/>
      <c r="CF1116" s="240"/>
      <c r="CG1116" s="240"/>
      <c r="CH1116" s="240"/>
      <c r="CI1116" s="240"/>
      <c r="CJ1116" s="240"/>
      <c r="CK1116" s="240"/>
      <c r="CL1116" s="240"/>
      <c r="CM1116" s="240"/>
      <c r="CN1116" s="240"/>
      <c r="CO1116" s="240"/>
      <c r="CP1116" s="240"/>
      <c r="CQ1116" s="240"/>
      <c r="CR1116" s="240"/>
      <c r="CS1116" s="240"/>
      <c r="CT1116" s="240"/>
      <c r="CU1116" s="240"/>
      <c r="CV1116" s="240"/>
      <c r="CW1116" s="240"/>
      <c r="CX1116" s="240"/>
      <c r="CY1116" s="240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1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345"/>
      <c r="EM1116" s="245"/>
      <c r="EN1116" s="245"/>
      <c r="EO1116" s="245"/>
      <c r="EP1116" s="245"/>
      <c r="EQ1116" s="351"/>
    </row>
    <row r="1117" spans="2:147" s="243" customFormat="1" ht="11.25" hidden="1" customHeight="1">
      <c r="B1117" s="343"/>
      <c r="C1117" s="240"/>
      <c r="D1117" s="240"/>
      <c r="E1117" s="240"/>
      <c r="F1117" s="240"/>
      <c r="G1117" s="240"/>
      <c r="H1117" s="240" t="s">
        <v>715</v>
      </c>
      <c r="I1117" s="240"/>
      <c r="J1117" s="240"/>
      <c r="K1117" s="240" t="s">
        <v>134</v>
      </c>
      <c r="L1117" s="240"/>
      <c r="M1117" s="240" t="str">
        <f>TEXT(0.8,"#,##0.#######")</f>
        <v>0.8</v>
      </c>
      <c r="N1117" s="240"/>
      <c r="O1117" s="240"/>
      <c r="P1117" s="240"/>
      <c r="Q1117" s="240"/>
      <c r="R1117" s="240"/>
      <c r="S1117" s="240"/>
      <c r="T1117" s="240" t="s">
        <v>717</v>
      </c>
      <c r="U1117" s="240"/>
      <c r="V1117" s="240"/>
      <c r="W1117" s="240" t="s">
        <v>134</v>
      </c>
      <c r="X1117" s="240"/>
      <c r="Y1117" s="240" t="str">
        <f>TEXT(0.42,"#,##0.#######")</f>
        <v>0.42</v>
      </c>
      <c r="Z1117" s="240"/>
      <c r="AA1117" s="240"/>
      <c r="AB1117" s="240"/>
      <c r="AC1117" s="240"/>
      <c r="AD1117" s="240"/>
      <c r="AE1117" s="240"/>
      <c r="AF1117" s="240"/>
      <c r="AG1117" s="240" t="s">
        <v>719</v>
      </c>
      <c r="AH1117" s="240"/>
      <c r="AI1117" s="240"/>
      <c r="AJ1117" s="240" t="s">
        <v>134</v>
      </c>
      <c r="AK1117" s="240"/>
      <c r="AL1117" s="240" t="str">
        <f>TEXT(0.5,"#,##0.#######")</f>
        <v>0.5</v>
      </c>
      <c r="AM1117" s="240"/>
      <c r="AN1117" s="240"/>
      <c r="AO1117" s="240"/>
      <c r="AP1117" s="240"/>
      <c r="AQ1117" s="240"/>
      <c r="AR1117" s="240"/>
      <c r="AS1117" s="240" t="s">
        <v>1339</v>
      </c>
      <c r="AT1117" s="240"/>
      <c r="AU1117" s="240"/>
      <c r="AV1117" s="240" t="s">
        <v>134</v>
      </c>
      <c r="AW1117" s="240"/>
      <c r="AX1117" s="240" t="str">
        <f>TEXT(1.5,"#,##0.#######")</f>
        <v>1.5</v>
      </c>
      <c r="AY1117" s="240"/>
      <c r="AZ1117" s="240"/>
      <c r="BA1117" s="240"/>
      <c r="BB1117" s="240"/>
      <c r="BC1117" s="240"/>
      <c r="BD1117" s="240"/>
      <c r="BE1117" s="240"/>
      <c r="BF1117" s="240"/>
      <c r="BG1117" s="240"/>
      <c r="BH1117" s="240"/>
      <c r="BI1117" s="240"/>
      <c r="BJ1117" s="240"/>
      <c r="BK1117" s="240"/>
      <c r="BL1117" s="240"/>
      <c r="BM1117" s="240"/>
      <c r="BN1117" s="240"/>
      <c r="BO1117" s="240"/>
      <c r="BP1117" s="240"/>
      <c r="BQ1117" s="240"/>
      <c r="BR1117" s="240"/>
      <c r="BS1117" s="240"/>
      <c r="BT1117" s="240"/>
      <c r="BU1117" s="240"/>
      <c r="BV1117" s="240"/>
      <c r="BW1117" s="240"/>
      <c r="BX1117" s="240"/>
      <c r="BY1117" s="240"/>
      <c r="BZ1117" s="240"/>
      <c r="CA1117" s="240"/>
      <c r="CB1117" s="240"/>
      <c r="CC1117" s="240"/>
      <c r="CD1117" s="240"/>
      <c r="CE1117" s="240"/>
      <c r="CF1117" s="240"/>
      <c r="CG1117" s="240"/>
      <c r="CH1117" s="240"/>
      <c r="CI1117" s="240"/>
      <c r="CJ1117" s="240"/>
      <c r="CK1117" s="240"/>
      <c r="CL1117" s="240"/>
      <c r="CM1117" s="240"/>
      <c r="CN1117" s="240"/>
      <c r="CO1117" s="240"/>
      <c r="CP1117" s="240"/>
      <c r="CQ1117" s="240"/>
      <c r="CR1117" s="240"/>
      <c r="CS1117" s="240"/>
      <c r="CT1117" s="240"/>
      <c r="CU1117" s="240"/>
      <c r="CV1117" s="240"/>
      <c r="CW1117" s="240"/>
      <c r="CX1117" s="240"/>
      <c r="CY1117" s="240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1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345"/>
      <c r="EM1117" s="245"/>
      <c r="EN1117" s="245"/>
      <c r="EO1117" s="245"/>
      <c r="EP1117" s="245"/>
      <c r="EQ1117" s="351"/>
    </row>
    <row r="1118" spans="2:147" s="243" customFormat="1" ht="11.25" hidden="1" customHeight="1">
      <c r="B1118" s="343"/>
      <c r="C1118" s="240"/>
      <c r="D1118" s="240"/>
      <c r="E1118" s="240"/>
      <c r="F1118" s="240"/>
      <c r="G1118" s="240"/>
      <c r="H1118" s="240"/>
      <c r="I1118" s="240"/>
      <c r="J1118" s="240"/>
      <c r="K1118" s="240"/>
      <c r="L1118" s="240"/>
      <c r="M1118" s="240"/>
      <c r="N1118" s="240"/>
      <c r="O1118" s="240"/>
      <c r="P1118" s="240"/>
      <c r="Q1118" s="240"/>
      <c r="R1118" s="240"/>
      <c r="S1118" s="240"/>
      <c r="T1118" s="240"/>
      <c r="U1118" s="240"/>
      <c r="V1118" s="240"/>
      <c r="W1118" s="240"/>
      <c r="X1118" s="240"/>
      <c r="Y1118" s="240"/>
      <c r="Z1118" s="240"/>
      <c r="AA1118" s="240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240"/>
      <c r="AM1118" s="240"/>
      <c r="AN1118" s="240"/>
      <c r="AO1118" s="240"/>
      <c r="AP1118" s="240"/>
      <c r="AQ1118" s="240"/>
      <c r="AR1118" s="240"/>
      <c r="AS1118" s="240"/>
      <c r="AT1118" s="240"/>
      <c r="AU1118" s="240"/>
      <c r="AV1118" s="240"/>
      <c r="AW1118" s="240"/>
      <c r="AX1118" s="240"/>
      <c r="AY1118" s="240"/>
      <c r="AZ1118" s="240"/>
      <c r="BA1118" s="240"/>
      <c r="BB1118" s="240"/>
      <c r="BC1118" s="240"/>
      <c r="BD1118" s="240"/>
      <c r="BE1118" s="240"/>
      <c r="BF1118" s="240"/>
      <c r="BG1118" s="240"/>
      <c r="BH1118" s="240"/>
      <c r="BI1118" s="240"/>
      <c r="BJ1118" s="240"/>
      <c r="BK1118" s="240"/>
      <c r="BL1118" s="240"/>
      <c r="BM1118" s="240"/>
      <c r="BN1118" s="240"/>
      <c r="BO1118" s="240"/>
      <c r="BP1118" s="240"/>
      <c r="BQ1118" s="240"/>
      <c r="BR1118" s="240"/>
      <c r="BS1118" s="240"/>
      <c r="BT1118" s="240"/>
      <c r="BU1118" s="240"/>
      <c r="BV1118" s="240"/>
      <c r="BW1118" s="240"/>
      <c r="BX1118" s="240"/>
      <c r="BY1118" s="240"/>
      <c r="BZ1118" s="240"/>
      <c r="CA1118" s="240"/>
      <c r="CB1118" s="240"/>
      <c r="CC1118" s="240"/>
      <c r="CD1118" s="240"/>
      <c r="CE1118" s="240"/>
      <c r="CF1118" s="240"/>
      <c r="CG1118" s="240"/>
      <c r="CH1118" s="240"/>
      <c r="CI1118" s="240"/>
      <c r="CJ1118" s="240"/>
      <c r="CK1118" s="240"/>
      <c r="CL1118" s="240"/>
      <c r="CM1118" s="240"/>
      <c r="CN1118" s="240"/>
      <c r="CO1118" s="240"/>
      <c r="CP1118" s="240"/>
      <c r="CQ1118" s="240"/>
      <c r="CR1118" s="240"/>
      <c r="CS1118" s="240"/>
      <c r="CT1118" s="240"/>
      <c r="CU1118" s="240"/>
      <c r="CV1118" s="240"/>
      <c r="CW1118" s="240"/>
      <c r="CX1118" s="240"/>
      <c r="CY1118" s="240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1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345"/>
      <c r="EM1118" s="245"/>
      <c r="EN1118" s="245"/>
      <c r="EO1118" s="245"/>
      <c r="EP1118" s="245"/>
      <c r="EQ1118" s="351"/>
    </row>
    <row r="1119" spans="2:147" s="243" customFormat="1" ht="11.25" hidden="1" customHeight="1">
      <c r="B1119" s="343"/>
      <c r="C1119" s="240"/>
      <c r="D1119" s="240"/>
      <c r="E1119" s="240"/>
      <c r="F1119" s="240"/>
      <c r="G1119" s="240"/>
      <c r="H1119" s="240" t="s">
        <v>693</v>
      </c>
      <c r="I1119" s="240"/>
      <c r="J1119" s="240"/>
      <c r="K1119" s="240" t="s">
        <v>134</v>
      </c>
      <c r="L1119" s="240"/>
      <c r="M1119" s="240" t="s">
        <v>712</v>
      </c>
      <c r="N1119" s="240"/>
      <c r="O1119" s="240"/>
      <c r="P1119" s="240" t="s">
        <v>130</v>
      </c>
      <c r="Q1119" s="240"/>
      <c r="R1119" s="240" t="s">
        <v>721</v>
      </c>
      <c r="S1119" s="240"/>
      <c r="T1119" s="240"/>
      <c r="U1119" s="240" t="s">
        <v>130</v>
      </c>
      <c r="V1119" s="240"/>
      <c r="W1119" s="240" t="s">
        <v>715</v>
      </c>
      <c r="X1119" s="240"/>
      <c r="Y1119" s="240"/>
      <c r="Z1119" s="240" t="s">
        <v>130</v>
      </c>
      <c r="AA1119" s="240"/>
      <c r="AB1119" s="240" t="s">
        <v>717</v>
      </c>
      <c r="AC1119" s="240"/>
      <c r="AD1119" s="240"/>
      <c r="AE1119" s="240" t="s">
        <v>130</v>
      </c>
      <c r="AF1119" s="240"/>
      <c r="AG1119" s="240" t="s">
        <v>1340</v>
      </c>
      <c r="AH1119" s="240"/>
      <c r="AI1119" s="240"/>
      <c r="AJ1119" s="240" t="s">
        <v>130</v>
      </c>
      <c r="AK1119" s="240"/>
      <c r="AL1119" s="240" t="s">
        <v>1341</v>
      </c>
      <c r="AM1119" s="240"/>
      <c r="AN1119" s="240"/>
      <c r="AO1119" s="240" t="s">
        <v>134</v>
      </c>
      <c r="AP1119" s="240"/>
      <c r="AQ1119" s="240" t="str">
        <f>TEXT(BR1111,"#,##0.#######")</f>
        <v>18.41</v>
      </c>
      <c r="AR1119" s="240"/>
      <c r="AS1119" s="240"/>
      <c r="AT1119" s="240"/>
      <c r="AU1119" s="240" t="s">
        <v>130</v>
      </c>
      <c r="AV1119" s="240" t="str">
        <f>TEXT(BA1114,"#,##0.#######")</f>
        <v>74.29</v>
      </c>
      <c r="AW1119" s="240"/>
      <c r="AX1119" s="240"/>
      <c r="AY1119" s="240"/>
      <c r="AZ1119" s="240" t="s">
        <v>130</v>
      </c>
      <c r="BA1119" s="240" t="str">
        <f>TEXT(M1117,"#,##0.#######")</f>
        <v>0.8</v>
      </c>
      <c r="BB1119" s="240"/>
      <c r="BC1119" s="240"/>
      <c r="BD1119" s="240" t="s">
        <v>130</v>
      </c>
      <c r="BE1119" s="240" t="str">
        <f>TEXT(Y1117,"#,##0.#######")</f>
        <v>0.42</v>
      </c>
      <c r="BF1119" s="240"/>
      <c r="BG1119" s="240"/>
      <c r="BH1119" s="240"/>
      <c r="BI1119" s="240" t="s">
        <v>130</v>
      </c>
      <c r="BJ1119" s="240" t="str">
        <f>TEXT(AL1117,"#,##0.#######")</f>
        <v>0.5</v>
      </c>
      <c r="BK1119" s="240"/>
      <c r="BL1119" s="240"/>
      <c r="BM1119" s="240" t="s">
        <v>130</v>
      </c>
      <c r="BN1119" s="240" t="str">
        <f>TEXT(AX1117,"#,##0.#######")</f>
        <v>1.5</v>
      </c>
      <c r="BO1119" s="240"/>
      <c r="BP1119" s="240"/>
      <c r="BQ1119" s="240" t="s">
        <v>134</v>
      </c>
      <c r="BR1119" s="240"/>
      <c r="BS1119" s="240" t="str">
        <f>TEXT(ROUND(BR1111+BA1114+M1117+Y1117+AL1117+AX1117,2),"#,##0.#######")</f>
        <v>95.92</v>
      </c>
      <c r="BT1119" s="240"/>
      <c r="BW1119" s="240"/>
      <c r="CC1119" s="240"/>
      <c r="CD1119" s="240"/>
      <c r="CE1119" s="240"/>
      <c r="CF1119" s="240"/>
      <c r="CG1119" s="240"/>
      <c r="CH1119" s="240"/>
      <c r="CI1119" s="240"/>
      <c r="CJ1119" s="240"/>
      <c r="CK1119" s="240"/>
      <c r="CL1119" s="240"/>
      <c r="CM1119" s="240"/>
      <c r="CN1119" s="240"/>
      <c r="CO1119" s="240"/>
      <c r="CP1119" s="240"/>
      <c r="CQ1119" s="240"/>
      <c r="CR1119" s="240"/>
      <c r="CS1119" s="240"/>
      <c r="CT1119" s="240"/>
      <c r="CU1119" s="240"/>
      <c r="CV1119" s="240"/>
      <c r="CW1119" s="240"/>
      <c r="CX1119" s="240"/>
      <c r="CY1119" s="240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1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345"/>
      <c r="EM1119" s="245"/>
      <c r="EN1119" s="245"/>
      <c r="EO1119" s="245"/>
      <c r="EP1119" s="245"/>
      <c r="EQ1119" s="351"/>
    </row>
    <row r="1120" spans="2:147" s="243" customFormat="1" ht="11.25" hidden="1" customHeight="1">
      <c r="B1120" s="343"/>
      <c r="C1120" s="240"/>
      <c r="D1120" s="240"/>
      <c r="E1120" s="240"/>
      <c r="F1120" s="240"/>
      <c r="G1120" s="240"/>
      <c r="H1120" s="240"/>
      <c r="I1120" s="240"/>
      <c r="J1120" s="240"/>
      <c r="K1120" s="240"/>
      <c r="L1120" s="240"/>
      <c r="M1120" s="240"/>
      <c r="N1120" s="240"/>
      <c r="O1120" s="240"/>
      <c r="P1120" s="240"/>
      <c r="Q1120" s="240"/>
      <c r="R1120" s="240"/>
      <c r="S1120" s="240"/>
      <c r="T1120" s="240"/>
      <c r="U1120" s="240"/>
      <c r="V1120" s="240"/>
      <c r="W1120" s="240"/>
      <c r="X1120" s="240"/>
      <c r="Y1120" s="240"/>
      <c r="Z1120" s="240"/>
      <c r="AA1120" s="240"/>
      <c r="AB1120" s="240"/>
      <c r="AC1120" s="240"/>
      <c r="AD1120" s="240"/>
      <c r="AE1120" s="240"/>
      <c r="AF1120" s="240"/>
      <c r="AG1120" s="240"/>
      <c r="AH1120" s="240"/>
      <c r="AI1120" s="240"/>
      <c r="AJ1120" s="240"/>
      <c r="AK1120" s="240"/>
      <c r="AL1120" s="240"/>
      <c r="AM1120" s="240"/>
      <c r="AN1120" s="240"/>
      <c r="AO1120" s="240"/>
      <c r="AP1120" s="240"/>
      <c r="AQ1120" s="240"/>
      <c r="AR1120" s="240"/>
      <c r="AS1120" s="240"/>
      <c r="AT1120" s="240"/>
      <c r="AU1120" s="240"/>
      <c r="AV1120" s="240"/>
      <c r="AW1120" s="240"/>
      <c r="AX1120" s="240"/>
      <c r="AY1120" s="240"/>
      <c r="AZ1120" s="240"/>
      <c r="BA1120" s="240"/>
      <c r="BB1120" s="240"/>
      <c r="BC1120" s="240"/>
      <c r="BD1120" s="240"/>
      <c r="BE1120" s="240"/>
      <c r="BF1120" s="240"/>
      <c r="BG1120" s="240"/>
      <c r="BH1120" s="240"/>
      <c r="BI1120" s="240"/>
      <c r="BJ1120" s="240"/>
      <c r="BK1120" s="240"/>
      <c r="BL1120" s="240"/>
      <c r="BM1120" s="240"/>
      <c r="BN1120" s="240"/>
      <c r="BO1120" s="240"/>
      <c r="BP1120" s="240"/>
      <c r="BQ1120" s="240"/>
      <c r="BR1120" s="240"/>
      <c r="BS1120" s="240"/>
      <c r="BT1120" s="240"/>
      <c r="BU1120" s="240"/>
      <c r="BV1120" s="240"/>
      <c r="BW1120" s="240"/>
      <c r="BX1120" s="240"/>
      <c r="BY1120" s="240"/>
      <c r="BZ1120" s="240"/>
      <c r="CA1120" s="240"/>
      <c r="CB1120" s="240"/>
      <c r="CC1120" s="240"/>
      <c r="CD1120" s="240"/>
      <c r="CE1120" s="240"/>
      <c r="CF1120" s="240"/>
      <c r="CG1120" s="240"/>
      <c r="CH1120" s="240"/>
      <c r="CI1120" s="240"/>
      <c r="CJ1120" s="240"/>
      <c r="CK1120" s="240"/>
      <c r="CL1120" s="240"/>
      <c r="CM1120" s="240"/>
      <c r="CN1120" s="240"/>
      <c r="CO1120" s="240"/>
      <c r="CP1120" s="240"/>
      <c r="CQ1120" s="240"/>
      <c r="CR1120" s="240"/>
      <c r="CS1120" s="240"/>
      <c r="CT1120" s="240"/>
      <c r="CU1120" s="240"/>
      <c r="CV1120" s="240"/>
      <c r="CW1120" s="240"/>
      <c r="CX1120" s="240"/>
      <c r="CY1120" s="240"/>
      <c r="CZ1120" s="241"/>
      <c r="DA1120" s="241"/>
      <c r="DB1120" s="241"/>
      <c r="DC1120" s="241"/>
      <c r="DD1120" s="241"/>
      <c r="DE1120" s="241"/>
      <c r="DF1120" s="241"/>
      <c r="DG1120" s="241"/>
      <c r="DH1120" s="241"/>
      <c r="DI1120" s="241"/>
      <c r="DJ1120" s="241"/>
      <c r="DK1120" s="241"/>
      <c r="DL1120" s="241"/>
      <c r="DM1120" s="241"/>
      <c r="DN1120" s="241"/>
      <c r="DO1120" s="241"/>
      <c r="DP1120" s="241"/>
      <c r="DQ1120" s="241"/>
      <c r="DR1120" s="241"/>
      <c r="DS1120" s="241"/>
      <c r="DT1120" s="241"/>
      <c r="DU1120" s="241"/>
      <c r="DV1120" s="241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345"/>
      <c r="EM1120" s="245"/>
      <c r="EN1120" s="245"/>
      <c r="EO1120" s="245"/>
      <c r="EP1120" s="245"/>
      <c r="EQ1120" s="351"/>
    </row>
    <row r="1121" spans="2:147" s="243" customFormat="1" ht="11.25" hidden="1" customHeight="1">
      <c r="B1121" s="343"/>
      <c r="C1121" s="240"/>
      <c r="D1121" s="240"/>
      <c r="E1121" s="240"/>
      <c r="F1121" s="240"/>
      <c r="G1121" s="240"/>
      <c r="H1121" s="240"/>
      <c r="I1121" s="240"/>
      <c r="J1121" s="240"/>
      <c r="K1121" s="240"/>
      <c r="L1121" s="240"/>
      <c r="M1121" s="240" t="str">
        <f>TEXT(60,"#,##0.#######")</f>
        <v>60.</v>
      </c>
      <c r="N1121" s="240"/>
      <c r="O1121" s="240" t="s">
        <v>652</v>
      </c>
      <c r="P1121" s="240"/>
      <c r="Q1121" s="240" t="s">
        <v>773</v>
      </c>
      <c r="R1121" s="240" t="s">
        <v>652</v>
      </c>
      <c r="S1121" s="240"/>
      <c r="T1121" s="240" t="s">
        <v>774</v>
      </c>
      <c r="U1121" s="240" t="s">
        <v>652</v>
      </c>
      <c r="V1121" s="240"/>
      <c r="W1121" s="240" t="s">
        <v>692</v>
      </c>
      <c r="X1121" s="240"/>
      <c r="Y1121" s="240"/>
      <c r="Z1121" s="240"/>
      <c r="AA1121" s="240"/>
      <c r="AB1121" s="240"/>
      <c r="AC1121" s="240"/>
      <c r="AD1121" s="240"/>
      <c r="AE1121" s="240" t="str">
        <f>TEXT(M1121,"#,##0.#######")</f>
        <v>60.</v>
      </c>
      <c r="AF1121" s="240"/>
      <c r="AG1121" s="240" t="s">
        <v>652</v>
      </c>
      <c r="AH1121" s="240"/>
      <c r="AI1121" s="240" t="str">
        <f>TEXT(AL1107,"#,##0.#######")</f>
        <v>9.57</v>
      </c>
      <c r="AJ1121" s="240"/>
      <c r="AK1121" s="240"/>
      <c r="AL1121" s="240"/>
      <c r="AM1121" s="240" t="s">
        <v>652</v>
      </c>
      <c r="AN1121" s="240"/>
      <c r="AO1121" s="240" t="str">
        <f>TEXT(AI1092,"#,##0.#######")</f>
        <v>0.67</v>
      </c>
      <c r="AP1121" s="240"/>
      <c r="AQ1121" s="240"/>
      <c r="AR1121" s="240"/>
      <c r="AS1121" s="240" t="s">
        <v>652</v>
      </c>
      <c r="AT1121" s="240"/>
      <c r="AU1121" s="240" t="str">
        <f>TEXT(BA1105,"#,##0.#######")</f>
        <v>0.9</v>
      </c>
      <c r="AV1121" s="240"/>
      <c r="AW1121" s="240"/>
      <c r="AX1121" s="240"/>
      <c r="AY1121" s="240"/>
      <c r="AZ1121" s="240"/>
      <c r="BA1121" s="240"/>
      <c r="BB1121" s="240"/>
      <c r="BC1121" s="240"/>
      <c r="BD1121" s="240"/>
      <c r="BE1121" s="240"/>
      <c r="BF1121" s="240"/>
      <c r="BG1121" s="240"/>
      <c r="BH1121" s="240"/>
      <c r="BI1121" s="240"/>
      <c r="BJ1121" s="240"/>
      <c r="BK1121" s="240"/>
      <c r="BL1121" s="240"/>
      <c r="BM1121" s="240"/>
      <c r="BN1121" s="240"/>
      <c r="BO1121" s="240"/>
      <c r="BP1121" s="240"/>
      <c r="BQ1121" s="240"/>
      <c r="BR1121" s="240"/>
      <c r="BS1121" s="240"/>
      <c r="BT1121" s="240"/>
      <c r="BU1121" s="240"/>
      <c r="BV1121" s="240"/>
      <c r="BW1121" s="240"/>
      <c r="BX1121" s="240"/>
      <c r="BY1121" s="240"/>
      <c r="BZ1121" s="240"/>
      <c r="CA1121" s="240"/>
      <c r="CB1121" s="240"/>
      <c r="CC1121" s="240"/>
      <c r="CD1121" s="240"/>
      <c r="CE1121" s="240"/>
      <c r="CF1121" s="240"/>
      <c r="CG1121" s="240"/>
      <c r="CH1121" s="240"/>
      <c r="CI1121" s="240"/>
      <c r="CJ1121" s="240"/>
      <c r="CK1121" s="240"/>
      <c r="CL1121" s="240"/>
      <c r="CM1121" s="240"/>
      <c r="CN1121" s="240"/>
      <c r="CO1121" s="240"/>
      <c r="CP1121" s="240"/>
      <c r="CQ1121" s="240"/>
      <c r="CR1121" s="240"/>
      <c r="CS1121" s="240"/>
      <c r="CT1121" s="240"/>
      <c r="CU1121" s="240"/>
      <c r="CV1121" s="240"/>
      <c r="CW1121" s="240"/>
      <c r="CX1121" s="240"/>
      <c r="CY1121" s="240"/>
      <c r="CZ1121" s="241"/>
      <c r="DA1121" s="241"/>
      <c r="DB1121" s="241"/>
      <c r="DC1121" s="241"/>
      <c r="DD1121" s="241"/>
      <c r="DE1121" s="241"/>
      <c r="DF1121" s="241"/>
      <c r="DG1121" s="241"/>
      <c r="DH1121" s="241"/>
      <c r="DI1121" s="241"/>
      <c r="DJ1121" s="241"/>
      <c r="DK1121" s="241"/>
      <c r="DL1121" s="241"/>
      <c r="DM1121" s="241"/>
      <c r="DN1121" s="241"/>
      <c r="DO1121" s="241"/>
      <c r="DP1121" s="241"/>
      <c r="DQ1121" s="241"/>
      <c r="DR1121" s="241"/>
      <c r="DS1121" s="241"/>
      <c r="DT1121" s="241"/>
      <c r="DU1121" s="241"/>
      <c r="DV1121" s="241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345"/>
      <c r="EM1121" s="245"/>
      <c r="EN1121" s="245"/>
      <c r="EO1121" s="245"/>
      <c r="EP1121" s="245"/>
      <c r="EQ1121" s="351"/>
    </row>
    <row r="1122" spans="2:147" s="243" customFormat="1" ht="11.25" hidden="1" customHeight="1">
      <c r="B1122" s="343"/>
      <c r="C1122" s="240"/>
      <c r="D1122" s="240"/>
      <c r="E1122" s="240"/>
      <c r="F1122" s="240"/>
      <c r="G1122" s="240"/>
      <c r="H1122" s="240" t="s">
        <v>858</v>
      </c>
      <c r="I1122" s="240"/>
      <c r="J1122" s="240"/>
      <c r="K1122" s="240" t="s">
        <v>134</v>
      </c>
      <c r="L1122" s="240"/>
      <c r="M1122" s="240" t="s">
        <v>694</v>
      </c>
      <c r="N1122" s="240"/>
      <c r="O1122" s="240" t="s">
        <v>694</v>
      </c>
      <c r="P1122" s="240"/>
      <c r="Q1122" s="240" t="s">
        <v>694</v>
      </c>
      <c r="R1122" s="240"/>
      <c r="S1122" s="240" t="s">
        <v>694</v>
      </c>
      <c r="T1122" s="240"/>
      <c r="U1122" s="240" t="s">
        <v>694</v>
      </c>
      <c r="V1122" s="240"/>
      <c r="W1122" s="240" t="s">
        <v>694</v>
      </c>
      <c r="X1122" s="240"/>
      <c r="Y1122" s="240" t="s">
        <v>694</v>
      </c>
      <c r="Z1122" s="240"/>
      <c r="AA1122" s="240"/>
      <c r="AB1122" s="240"/>
      <c r="AC1122" s="240" t="s">
        <v>134</v>
      </c>
      <c r="AD1122" s="240"/>
      <c r="AE1122" s="240" t="s">
        <v>694</v>
      </c>
      <c r="AF1122" s="240"/>
      <c r="AG1122" s="240" t="s">
        <v>694</v>
      </c>
      <c r="AH1122" s="240"/>
      <c r="AI1122" s="240" t="s">
        <v>694</v>
      </c>
      <c r="AJ1122" s="240"/>
      <c r="AK1122" s="240" t="s">
        <v>694</v>
      </c>
      <c r="AL1122" s="240"/>
      <c r="AM1122" s="240" t="s">
        <v>694</v>
      </c>
      <c r="AN1122" s="240"/>
      <c r="AO1122" s="240" t="s">
        <v>694</v>
      </c>
      <c r="AP1122" s="240"/>
      <c r="AQ1122" s="240" t="s">
        <v>694</v>
      </c>
      <c r="AR1122" s="240"/>
      <c r="AS1122" s="240" t="s">
        <v>694</v>
      </c>
      <c r="AT1122" s="240"/>
      <c r="AU1122" s="240" t="s">
        <v>694</v>
      </c>
      <c r="AV1122" s="240"/>
      <c r="AW1122" s="240" t="s">
        <v>694</v>
      </c>
      <c r="AX1122" s="240"/>
      <c r="AY1122" s="240" t="s">
        <v>134</v>
      </c>
      <c r="AZ1122" s="240"/>
      <c r="BA1122" s="240" t="str">
        <f>TEXT(ROUND((60*AL1107*AI1092*BA1105)/(BS1119),2),"#,##0.#######")</f>
        <v>3.61</v>
      </c>
      <c r="BB1122" s="240"/>
      <c r="BC1122" s="240"/>
      <c r="BD1122" s="240"/>
      <c r="BE1122" s="240"/>
      <c r="BF1122" s="240"/>
      <c r="BG1122" s="240"/>
      <c r="BH1122" s="240" t="s">
        <v>91</v>
      </c>
      <c r="BI1122" s="240"/>
      <c r="BJ1122" s="240" t="s">
        <v>139</v>
      </c>
      <c r="BK1122" s="240" t="s">
        <v>618</v>
      </c>
      <c r="BL1122" s="240"/>
      <c r="BM1122" s="240"/>
      <c r="BN1122" s="240"/>
      <c r="BO1122" s="240"/>
      <c r="BP1122" s="240"/>
      <c r="BQ1122" s="240"/>
      <c r="BR1122" s="240"/>
      <c r="BS1122" s="240"/>
      <c r="BT1122" s="240"/>
      <c r="BU1122" s="240"/>
      <c r="BV1122" s="240"/>
      <c r="BW1122" s="240"/>
      <c r="BX1122" s="240"/>
      <c r="BY1122" s="240"/>
      <c r="BZ1122" s="240"/>
      <c r="CA1122" s="240"/>
      <c r="CB1122" s="240"/>
      <c r="CC1122" s="240"/>
      <c r="CD1122" s="240"/>
      <c r="CE1122" s="240"/>
      <c r="CF1122" s="240"/>
      <c r="CG1122" s="240"/>
      <c r="CH1122" s="240"/>
      <c r="CI1122" s="240"/>
      <c r="CJ1122" s="240"/>
      <c r="CK1122" s="240"/>
      <c r="CL1122" s="240"/>
      <c r="CM1122" s="240"/>
      <c r="CN1122" s="240"/>
      <c r="CO1122" s="240"/>
      <c r="CP1122" s="240"/>
      <c r="CQ1122" s="240"/>
      <c r="CR1122" s="240"/>
      <c r="CS1122" s="240"/>
      <c r="CT1122" s="240"/>
      <c r="CU1122" s="240"/>
      <c r="CV1122" s="240"/>
      <c r="CW1122" s="240"/>
      <c r="CX1122" s="240"/>
      <c r="CY1122" s="240"/>
      <c r="CZ1122" s="241"/>
      <c r="DA1122" s="241"/>
      <c r="DB1122" s="241"/>
      <c r="DC1122" s="241"/>
      <c r="DD1122" s="241"/>
      <c r="DE1122" s="241"/>
      <c r="DF1122" s="241"/>
      <c r="DG1122" s="241"/>
      <c r="DH1122" s="241"/>
      <c r="DI1122" s="241"/>
      <c r="DJ1122" s="241"/>
      <c r="DK1122" s="241"/>
      <c r="DL1122" s="241"/>
      <c r="DM1122" s="241"/>
      <c r="DN1122" s="241"/>
      <c r="DO1122" s="241"/>
      <c r="DP1122" s="241"/>
      <c r="DQ1122" s="241"/>
      <c r="DR1122" s="241"/>
      <c r="DS1122" s="241"/>
      <c r="DT1122" s="241"/>
      <c r="DU1122" s="241"/>
      <c r="DV1122" s="241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345"/>
      <c r="EM1122" s="245"/>
      <c r="EN1122" s="245"/>
      <c r="EO1122" s="245"/>
      <c r="EP1122" s="245"/>
      <c r="EQ1122" s="351"/>
    </row>
    <row r="1123" spans="2:147" s="243" customFormat="1" ht="11.25" hidden="1" customHeight="1">
      <c r="B1123" s="343"/>
      <c r="C1123" s="240"/>
      <c r="D1123" s="240"/>
      <c r="E1123" s="240"/>
      <c r="F1123" s="240"/>
      <c r="G1123" s="240"/>
      <c r="H1123" s="240"/>
      <c r="I1123" s="240"/>
      <c r="J1123" s="240"/>
      <c r="K1123" s="240"/>
      <c r="L1123" s="240"/>
      <c r="M1123" s="240"/>
      <c r="N1123" s="240"/>
      <c r="O1123" s="240"/>
      <c r="P1123" s="240"/>
      <c r="Q1123" s="240"/>
      <c r="R1123" s="240" t="s">
        <v>693</v>
      </c>
      <c r="S1123" s="240"/>
      <c r="T1123" s="240"/>
      <c r="U1123" s="240"/>
      <c r="V1123" s="240"/>
      <c r="W1123" s="240"/>
      <c r="X1123" s="240"/>
      <c r="Y1123" s="240"/>
      <c r="Z1123" s="240"/>
      <c r="AA1123" s="240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240" t="str">
        <f>TEXT(BS1119,"#,##0.#######")</f>
        <v>95.92</v>
      </c>
      <c r="AM1123" s="240"/>
      <c r="AN1123" s="240"/>
      <c r="AO1123" s="240"/>
      <c r="AP1123" s="240"/>
      <c r="AQ1123" s="240"/>
      <c r="AR1123" s="240"/>
      <c r="AS1123" s="240"/>
      <c r="AT1123" s="240"/>
      <c r="AU1123" s="240"/>
      <c r="AV1123" s="240"/>
      <c r="AW1123" s="240"/>
      <c r="AX1123" s="240"/>
      <c r="AY1123" s="240"/>
      <c r="AZ1123" s="240"/>
      <c r="BA1123" s="240"/>
      <c r="BB1123" s="240"/>
      <c r="BC1123" s="240"/>
      <c r="BD1123" s="240"/>
      <c r="BE1123" s="240"/>
      <c r="BF1123" s="240"/>
      <c r="BG1123" s="240"/>
      <c r="BH1123" s="240"/>
      <c r="BI1123" s="240"/>
      <c r="BJ1123" s="240"/>
      <c r="BK1123" s="240"/>
      <c r="BL1123" s="240"/>
      <c r="BM1123" s="240"/>
      <c r="BN1123" s="240"/>
      <c r="BO1123" s="240"/>
      <c r="BP1123" s="240"/>
      <c r="BQ1123" s="240"/>
      <c r="BR1123" s="240"/>
      <c r="BS1123" s="240"/>
      <c r="BT1123" s="240"/>
      <c r="BU1123" s="240"/>
      <c r="BV1123" s="240"/>
      <c r="BW1123" s="240"/>
      <c r="BX1123" s="240"/>
      <c r="BY1123" s="240"/>
      <c r="BZ1123" s="240"/>
      <c r="CA1123" s="240"/>
      <c r="CB1123" s="240"/>
      <c r="CC1123" s="240"/>
      <c r="CD1123" s="240"/>
      <c r="CE1123" s="240"/>
      <c r="CF1123" s="240"/>
      <c r="CG1123" s="240"/>
      <c r="CH1123" s="240"/>
      <c r="CI1123" s="240"/>
      <c r="CJ1123" s="240"/>
      <c r="CK1123" s="240"/>
      <c r="CL1123" s="240"/>
      <c r="CM1123" s="240"/>
      <c r="CN1123" s="240"/>
      <c r="CO1123" s="240"/>
      <c r="CP1123" s="240"/>
      <c r="CQ1123" s="240"/>
      <c r="CR1123" s="240"/>
      <c r="CS1123" s="240"/>
      <c r="CT1123" s="240"/>
      <c r="CU1123" s="240"/>
      <c r="CV1123" s="240"/>
      <c r="CW1123" s="240"/>
      <c r="CX1123" s="240"/>
      <c r="CY1123" s="240"/>
      <c r="CZ1123" s="241"/>
      <c r="DA1123" s="241"/>
      <c r="DB1123" s="241"/>
      <c r="DC1123" s="241"/>
      <c r="DD1123" s="241"/>
      <c r="DE1123" s="241"/>
      <c r="DF1123" s="241"/>
      <c r="DG1123" s="241"/>
      <c r="DH1123" s="241"/>
      <c r="DI1123" s="241"/>
      <c r="DJ1123" s="241"/>
      <c r="DK1123" s="241"/>
      <c r="DL1123" s="241"/>
      <c r="DM1123" s="241"/>
      <c r="DN1123" s="241"/>
      <c r="DO1123" s="241"/>
      <c r="DP1123" s="241"/>
      <c r="DQ1123" s="241"/>
      <c r="DR1123" s="241"/>
      <c r="DS1123" s="241"/>
      <c r="DT1123" s="241"/>
      <c r="DU1123" s="241"/>
      <c r="DV1123" s="241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345"/>
      <c r="EM1123" s="245"/>
      <c r="EN1123" s="245"/>
      <c r="EO1123" s="245"/>
      <c r="EP1123" s="245"/>
      <c r="EQ1123" s="351"/>
    </row>
    <row r="1124" spans="2:147" s="243" customFormat="1" ht="11.25" hidden="1" customHeight="1">
      <c r="B1124" s="343"/>
      <c r="C1124" s="240"/>
      <c r="D1124" s="240"/>
      <c r="E1124" s="240"/>
      <c r="F1124" s="240"/>
      <c r="G1124" s="240"/>
      <c r="H1124" s="240"/>
      <c r="I1124" s="240"/>
      <c r="J1124" s="240"/>
      <c r="K1124" s="240"/>
      <c r="L1124" s="240"/>
      <c r="M1124" s="240"/>
      <c r="N1124" s="240"/>
      <c r="O1124" s="240"/>
      <c r="P1124" s="240"/>
      <c r="Q1124" s="240"/>
      <c r="R1124" s="240"/>
      <c r="S1124" s="240"/>
      <c r="T1124" s="240"/>
      <c r="U1124" s="240"/>
      <c r="V1124" s="240"/>
      <c r="W1124" s="240"/>
      <c r="X1124" s="240"/>
      <c r="Y1124" s="240"/>
      <c r="Z1124" s="240"/>
      <c r="AA1124" s="240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240"/>
      <c r="AM1124" s="240"/>
      <c r="AN1124" s="240"/>
      <c r="AO1124" s="240"/>
      <c r="AP1124" s="240"/>
      <c r="AQ1124" s="240"/>
      <c r="AR1124" s="240"/>
      <c r="AS1124" s="240"/>
      <c r="AT1124" s="240"/>
      <c r="AU1124" s="240"/>
      <c r="AV1124" s="240"/>
      <c r="AW1124" s="240"/>
      <c r="AX1124" s="240"/>
      <c r="AY1124" s="240"/>
      <c r="AZ1124" s="240"/>
      <c r="BA1124" s="240"/>
      <c r="BB1124" s="240"/>
      <c r="BC1124" s="240"/>
      <c r="BD1124" s="240"/>
      <c r="BE1124" s="240"/>
      <c r="BF1124" s="240"/>
      <c r="BG1124" s="240"/>
      <c r="BH1124" s="240"/>
      <c r="BI1124" s="240"/>
      <c r="BJ1124" s="240"/>
      <c r="BK1124" s="240"/>
      <c r="BL1124" s="240"/>
      <c r="BM1124" s="240"/>
      <c r="BN1124" s="240"/>
      <c r="BO1124" s="240"/>
      <c r="BP1124" s="240"/>
      <c r="BQ1124" s="240"/>
      <c r="BR1124" s="240"/>
      <c r="BS1124" s="240"/>
      <c r="BT1124" s="240"/>
      <c r="BU1124" s="240"/>
      <c r="BV1124" s="240"/>
      <c r="BW1124" s="240"/>
      <c r="BX1124" s="240"/>
      <c r="BY1124" s="240"/>
      <c r="BZ1124" s="240"/>
      <c r="CA1124" s="240"/>
      <c r="CB1124" s="240"/>
      <c r="CC1124" s="240"/>
      <c r="CD1124" s="240"/>
      <c r="CE1124" s="240"/>
      <c r="CF1124" s="240"/>
      <c r="CG1124" s="240"/>
      <c r="CH1124" s="240"/>
      <c r="CI1124" s="240"/>
      <c r="CJ1124" s="240"/>
      <c r="CK1124" s="240"/>
      <c r="CL1124" s="240"/>
      <c r="CM1124" s="240"/>
      <c r="CN1124" s="240"/>
      <c r="CO1124" s="240"/>
      <c r="CP1124" s="240"/>
      <c r="CQ1124" s="240"/>
      <c r="CR1124" s="240"/>
      <c r="CS1124" s="240"/>
      <c r="CT1124" s="240"/>
      <c r="CU1124" s="240"/>
      <c r="CV1124" s="240"/>
      <c r="CW1124" s="240"/>
      <c r="CX1124" s="240"/>
      <c r="CY1124" s="240"/>
      <c r="CZ1124" s="241"/>
      <c r="DA1124" s="241"/>
      <c r="DB1124" s="241"/>
      <c r="DC1124" s="241"/>
      <c r="DD1124" s="241"/>
      <c r="DE1124" s="241"/>
      <c r="DF1124" s="241"/>
      <c r="DG1124" s="241"/>
      <c r="DH1124" s="241"/>
      <c r="DI1124" s="241"/>
      <c r="DJ1124" s="241"/>
      <c r="DK1124" s="241"/>
      <c r="DL1124" s="241"/>
      <c r="DM1124" s="241"/>
      <c r="DN1124" s="241"/>
      <c r="DO1124" s="241"/>
      <c r="DP1124" s="241"/>
      <c r="DQ1124" s="241"/>
      <c r="DR1124" s="241"/>
      <c r="DS1124" s="241"/>
      <c r="DT1124" s="241"/>
      <c r="DU1124" s="241"/>
      <c r="DV1124" s="241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345"/>
      <c r="EM1124" s="245"/>
      <c r="EN1124" s="245"/>
      <c r="EO1124" s="245"/>
      <c r="EP1124" s="245"/>
      <c r="EQ1124" s="351"/>
    </row>
    <row r="1125" spans="2:147" s="243" customFormat="1" ht="11.25" hidden="1" customHeight="1">
      <c r="B1125" s="343"/>
      <c r="C1125" s="240"/>
      <c r="D1125" s="240"/>
      <c r="E1125" s="240"/>
      <c r="F1125" s="240"/>
      <c r="G1125" s="240"/>
      <c r="H1125" s="240" t="s">
        <v>687</v>
      </c>
      <c r="I1125" s="240"/>
      <c r="J1125" s="240" t="s">
        <v>134</v>
      </c>
      <c r="K1125" s="240"/>
      <c r="L1125" s="240" t="s">
        <v>858</v>
      </c>
      <c r="M1125" s="240"/>
      <c r="N1125" s="240"/>
      <c r="O1125" s="240" t="s">
        <v>652</v>
      </c>
      <c r="P1125" s="240"/>
      <c r="Q1125" s="240" t="s">
        <v>855</v>
      </c>
      <c r="R1125" s="240"/>
      <c r="S1125" s="240"/>
      <c r="T1125" s="240" t="s">
        <v>134</v>
      </c>
      <c r="U1125" s="240"/>
      <c r="V1125" s="240" t="str">
        <f>TEXT(BA1122,"#,##0.#######")</f>
        <v>3.61</v>
      </c>
      <c r="W1125" s="240"/>
      <c r="X1125" s="240"/>
      <c r="Y1125" s="240"/>
      <c r="Z1125" s="240"/>
      <c r="AA1125" s="240" t="s">
        <v>652</v>
      </c>
      <c r="AB1125" s="240"/>
      <c r="AC1125" s="240" t="str">
        <f>TEXT(Y1105,"#,##0.#######")</f>
        <v>2.35</v>
      </c>
      <c r="AD1125" s="240"/>
      <c r="AE1125" s="240"/>
      <c r="AF1125" s="240"/>
      <c r="AG1125" s="240"/>
      <c r="AH1125" s="240" t="s">
        <v>134</v>
      </c>
      <c r="AI1125" s="240"/>
      <c r="AJ1125" s="240" t="str">
        <f>TEXT(ROUND(BA1122*Y1105,2),"#,##0.#######")</f>
        <v>8.48</v>
      </c>
      <c r="AK1125" s="240"/>
      <c r="AL1125" s="240"/>
      <c r="AM1125" s="240"/>
      <c r="AN1125" s="240"/>
      <c r="AO1125" s="240"/>
      <c r="AP1125" s="240"/>
      <c r="AQ1125" s="240" t="s">
        <v>554</v>
      </c>
      <c r="AR1125" s="240"/>
      <c r="AS1125" s="240"/>
      <c r="AT1125" s="240" t="s">
        <v>139</v>
      </c>
      <c r="AU1125" s="240" t="s">
        <v>618</v>
      </c>
      <c r="AV1125" s="240"/>
      <c r="AW1125" s="240"/>
      <c r="AX1125" s="240"/>
      <c r="AY1125" s="240"/>
      <c r="AZ1125" s="240"/>
      <c r="BA1125" s="240"/>
      <c r="BB1125" s="240"/>
      <c r="BC1125" s="240"/>
      <c r="BD1125" s="240"/>
      <c r="BE1125" s="240"/>
      <c r="BF1125" s="240"/>
      <c r="BG1125" s="240"/>
      <c r="BH1125" s="240"/>
      <c r="BI1125" s="240"/>
      <c r="BJ1125" s="240"/>
      <c r="BK1125" s="240"/>
      <c r="BL1125" s="240"/>
      <c r="BM1125" s="240"/>
      <c r="BN1125" s="240"/>
      <c r="BO1125" s="240"/>
      <c r="BP1125" s="240"/>
      <c r="BQ1125" s="240"/>
      <c r="BR1125" s="240"/>
      <c r="BS1125" s="240"/>
      <c r="BT1125" s="240"/>
      <c r="BU1125" s="240"/>
      <c r="BV1125" s="240"/>
      <c r="BW1125" s="240"/>
      <c r="BX1125" s="240"/>
      <c r="BY1125" s="240"/>
      <c r="BZ1125" s="240"/>
      <c r="CA1125" s="240"/>
      <c r="CB1125" s="240"/>
      <c r="CC1125" s="240"/>
      <c r="CD1125" s="240"/>
      <c r="CE1125" s="240"/>
      <c r="CF1125" s="240"/>
      <c r="CG1125" s="240"/>
      <c r="CH1125" s="240"/>
      <c r="CI1125" s="240"/>
      <c r="CJ1125" s="240"/>
      <c r="CK1125" s="240"/>
      <c r="CL1125" s="240"/>
      <c r="CM1125" s="240"/>
      <c r="CN1125" s="240"/>
      <c r="CO1125" s="240"/>
      <c r="CP1125" s="240"/>
      <c r="CQ1125" s="240"/>
      <c r="CR1125" s="240"/>
      <c r="CS1125" s="240"/>
      <c r="CT1125" s="240"/>
      <c r="CU1125" s="240"/>
      <c r="CV1125" s="240"/>
      <c r="CW1125" s="240"/>
      <c r="CX1125" s="240"/>
      <c r="CY1125" s="240"/>
      <c r="CZ1125" s="241"/>
      <c r="DA1125" s="241"/>
      <c r="DB1125" s="241"/>
      <c r="DC1125" s="241"/>
      <c r="DD1125" s="241"/>
      <c r="DE1125" s="241"/>
      <c r="DF1125" s="241"/>
      <c r="DG1125" s="241"/>
      <c r="DH1125" s="241"/>
      <c r="DI1125" s="241"/>
      <c r="DJ1125" s="241"/>
      <c r="DK1125" s="241"/>
      <c r="DL1125" s="241"/>
      <c r="DM1125" s="241"/>
      <c r="DN1125" s="241"/>
      <c r="DO1125" s="241"/>
      <c r="DP1125" s="241"/>
      <c r="DQ1125" s="241"/>
      <c r="DR1125" s="241"/>
      <c r="DS1125" s="241"/>
      <c r="DT1125" s="241"/>
      <c r="DU1125" s="241"/>
      <c r="DV1125" s="241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345"/>
      <c r="EM1125" s="245"/>
      <c r="EN1125" s="245"/>
      <c r="EO1125" s="245"/>
      <c r="EP1125" s="245"/>
      <c r="EQ1125" s="351"/>
    </row>
    <row r="1126" spans="2:147" s="243" customFormat="1" ht="11.25" hidden="1" customHeight="1">
      <c r="B1126" s="343"/>
      <c r="C1126" s="240"/>
      <c r="D1126" s="240"/>
      <c r="E1126" s="240"/>
      <c r="F1126" s="240"/>
      <c r="G1126" s="240"/>
      <c r="H1126" s="240"/>
      <c r="I1126" s="240"/>
      <c r="J1126" s="240"/>
      <c r="K1126" s="240"/>
      <c r="L1126" s="240"/>
      <c r="M1126" s="240"/>
      <c r="N1126" s="240"/>
      <c r="O1126" s="240"/>
      <c r="P1126" s="240"/>
      <c r="Q1126" s="240"/>
      <c r="R1126" s="240"/>
      <c r="S1126" s="240"/>
      <c r="T1126" s="240"/>
      <c r="U1126" s="240"/>
      <c r="V1126" s="240"/>
      <c r="W1126" s="240"/>
      <c r="X1126" s="240"/>
      <c r="Y1126" s="240"/>
      <c r="Z1126" s="240"/>
      <c r="AA1126" s="240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240"/>
      <c r="AM1126" s="240"/>
      <c r="AN1126" s="240"/>
      <c r="AO1126" s="240"/>
      <c r="AP1126" s="240"/>
      <c r="AQ1126" s="240"/>
      <c r="AR1126" s="240"/>
      <c r="AS1126" s="240"/>
      <c r="AT1126" s="240"/>
      <c r="AU1126" s="240"/>
      <c r="AV1126" s="240"/>
      <c r="AW1126" s="240"/>
      <c r="AX1126" s="240"/>
      <c r="AY1126" s="240"/>
      <c r="AZ1126" s="240"/>
      <c r="BA1126" s="240"/>
      <c r="BB1126" s="240"/>
      <c r="BC1126" s="240"/>
      <c r="BD1126" s="240"/>
      <c r="BE1126" s="240"/>
      <c r="BF1126" s="240"/>
      <c r="BG1126" s="240"/>
      <c r="BH1126" s="240"/>
      <c r="BI1126" s="240"/>
      <c r="BJ1126" s="240"/>
      <c r="BK1126" s="240"/>
      <c r="BL1126" s="240"/>
      <c r="BM1126" s="240"/>
      <c r="BN1126" s="240"/>
      <c r="BO1126" s="240"/>
      <c r="BP1126" s="240"/>
      <c r="BQ1126" s="240"/>
      <c r="BR1126" s="240"/>
      <c r="BS1126" s="240"/>
      <c r="BT1126" s="240"/>
      <c r="BU1126" s="240"/>
      <c r="BV1126" s="240"/>
      <c r="BW1126" s="240"/>
      <c r="BX1126" s="240"/>
      <c r="BY1126" s="240"/>
      <c r="BZ1126" s="240"/>
      <c r="CA1126" s="240"/>
      <c r="CB1126" s="240"/>
      <c r="CC1126" s="240"/>
      <c r="CD1126" s="240"/>
      <c r="CE1126" s="240"/>
      <c r="CF1126" s="240"/>
      <c r="CG1126" s="240"/>
      <c r="CH1126" s="240"/>
      <c r="CI1126" s="240"/>
      <c r="CJ1126" s="240"/>
      <c r="CK1126" s="240"/>
      <c r="CL1126" s="240"/>
      <c r="CM1126" s="240"/>
      <c r="CN1126" s="240"/>
      <c r="CO1126" s="240"/>
      <c r="CP1126" s="240"/>
      <c r="CQ1126" s="240"/>
      <c r="CR1126" s="240"/>
      <c r="CS1126" s="240"/>
      <c r="CT1126" s="240"/>
      <c r="CU1126" s="240"/>
      <c r="CV1126" s="240"/>
      <c r="CW1126" s="240"/>
      <c r="CX1126" s="240"/>
      <c r="CY1126" s="240"/>
      <c r="CZ1126" s="241"/>
      <c r="DA1126" s="241"/>
      <c r="DB1126" s="241"/>
      <c r="DC1126" s="241"/>
      <c r="DD1126" s="241"/>
      <c r="DE1126" s="241"/>
      <c r="DF1126" s="241"/>
      <c r="DG1126" s="241"/>
      <c r="DH1126" s="241"/>
      <c r="DI1126" s="241"/>
      <c r="DJ1126" s="241"/>
      <c r="DK1126" s="241"/>
      <c r="DL1126" s="241"/>
      <c r="DM1126" s="241"/>
      <c r="DN1126" s="241"/>
      <c r="DO1126" s="241"/>
      <c r="DP1126" s="241"/>
      <c r="DQ1126" s="241"/>
      <c r="DR1126" s="241"/>
      <c r="DS1126" s="241"/>
      <c r="DT1126" s="241"/>
      <c r="DU1126" s="241"/>
      <c r="DV1126" s="241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345"/>
      <c r="EM1126" s="245"/>
      <c r="EN1126" s="245"/>
      <c r="EO1126" s="245"/>
      <c r="EP1126" s="245"/>
      <c r="EQ1126" s="351"/>
    </row>
    <row r="1127" spans="2:147" s="243" customFormat="1" ht="11.25" hidden="1" customHeight="1">
      <c r="B1127" s="343"/>
      <c r="C1127" s="240"/>
      <c r="D1127" s="240"/>
      <c r="E1127" s="240"/>
      <c r="F1127" s="240"/>
      <c r="G1127" s="240"/>
      <c r="H1127" s="240" t="s">
        <v>616</v>
      </c>
      <c r="I1127" s="240"/>
      <c r="J1127" s="240"/>
      <c r="K1127" s="240"/>
      <c r="L1127" s="240"/>
      <c r="M1127" s="240"/>
      <c r="N1127" s="240"/>
      <c r="O1127" s="240" t="s">
        <v>132</v>
      </c>
      <c r="P1127" s="240"/>
      <c r="Q1127" s="1775" t="e">
        <f>#REF!</f>
        <v>#REF!</v>
      </c>
      <c r="R1127" s="1775"/>
      <c r="S1127" s="1775"/>
      <c r="T1127" s="1775"/>
      <c r="U1127" s="1775"/>
      <c r="V1127" s="240"/>
      <c r="W1127" s="240"/>
      <c r="X1127" s="240"/>
      <c r="Y1127" s="240"/>
      <c r="Z1127" s="240" t="s">
        <v>683</v>
      </c>
      <c r="AA1127" s="240"/>
      <c r="AB1127" s="240"/>
      <c r="AC1127" s="240" t="str">
        <f>TEXT(AJ1125,"#,##0.#######")</f>
        <v>8.48</v>
      </c>
      <c r="AD1127" s="240"/>
      <c r="AE1127" s="240"/>
      <c r="AF1127" s="240"/>
      <c r="AG1127" s="240"/>
      <c r="AH1127" s="240"/>
      <c r="AI1127" s="240"/>
      <c r="AJ1127" s="240" t="s">
        <v>134</v>
      </c>
      <c r="AK1127" s="240"/>
      <c r="AL1127" s="240" t="e">
        <f>TEXT(TRUNC(Q1127/AJ1125,1),"#,##0.#")</f>
        <v>#REF!</v>
      </c>
      <c r="AM1127" s="240"/>
      <c r="AN1127" s="240"/>
      <c r="AO1127" s="240"/>
      <c r="AP1127" s="240"/>
      <c r="AQ1127" s="240"/>
      <c r="AR1127" s="240"/>
      <c r="AS1127" s="240"/>
      <c r="AT1127" s="240"/>
      <c r="AU1127" s="240"/>
      <c r="AV1127" s="240"/>
      <c r="AW1127" s="240"/>
      <c r="AX1127" s="240"/>
      <c r="AY1127" s="240"/>
      <c r="AZ1127" s="240"/>
      <c r="BA1127" s="240"/>
      <c r="BB1127" s="240"/>
      <c r="BC1127" s="240"/>
      <c r="BD1127" s="240"/>
      <c r="BE1127" s="240"/>
      <c r="BF1127" s="240"/>
      <c r="BG1127" s="240"/>
      <c r="BH1127" s="240"/>
      <c r="BI1127" s="240"/>
      <c r="BJ1127" s="240"/>
      <c r="BK1127" s="240"/>
      <c r="BL1127" s="240"/>
      <c r="BM1127" s="240"/>
      <c r="BN1127" s="240"/>
      <c r="BO1127" s="240"/>
      <c r="BP1127" s="240"/>
      <c r="BQ1127" s="240"/>
      <c r="BR1127" s="240"/>
      <c r="BS1127" s="240"/>
      <c r="BT1127" s="240"/>
      <c r="BU1127" s="240"/>
      <c r="BV1127" s="240"/>
      <c r="BW1127" s="240"/>
      <c r="BX1127" s="240"/>
      <c r="BY1127" s="240"/>
      <c r="BZ1127" s="240"/>
      <c r="CA1127" s="240"/>
      <c r="CB1127" s="240"/>
      <c r="CC1127" s="240"/>
      <c r="CD1127" s="240"/>
      <c r="CE1127" s="240"/>
      <c r="CF1127" s="240"/>
      <c r="CG1127" s="240"/>
      <c r="CH1127" s="240"/>
      <c r="CI1127" s="240"/>
      <c r="CJ1127" s="240"/>
      <c r="CK1127" s="240"/>
      <c r="CL1127" s="240"/>
      <c r="CM1127" s="240"/>
      <c r="CN1127" s="240"/>
      <c r="CO1127" s="240"/>
      <c r="CP1127" s="240"/>
      <c r="CQ1127" s="240"/>
      <c r="CR1127" s="240"/>
      <c r="CS1127" s="240"/>
      <c r="CT1127" s="240"/>
      <c r="CU1127" s="240"/>
      <c r="CV1127" s="240"/>
      <c r="CW1127" s="240"/>
      <c r="CX1127" s="240"/>
      <c r="CY1127" s="240"/>
      <c r="CZ1127" s="241"/>
      <c r="DA1127" s="241"/>
      <c r="DB1127" s="241"/>
      <c r="DC1127" s="241"/>
      <c r="DD1127" s="241"/>
      <c r="DE1127" s="241"/>
      <c r="DF1127" s="241"/>
      <c r="DG1127" s="241"/>
      <c r="DH1127" s="241"/>
      <c r="DI1127" s="241"/>
      <c r="DJ1127" s="241"/>
      <c r="DK1127" s="241"/>
      <c r="DL1127" s="241"/>
      <c r="DM1127" s="241"/>
      <c r="DN1127" s="241"/>
      <c r="DO1127" s="241"/>
      <c r="DP1127" s="241"/>
      <c r="DQ1127" s="241"/>
      <c r="DR1127" s="241"/>
      <c r="DS1127" s="241"/>
      <c r="DT1127" s="241"/>
      <c r="DU1127" s="241"/>
      <c r="DV1127" s="241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345"/>
      <c r="EM1127" s="245"/>
      <c r="EN1127" s="245"/>
      <c r="EO1127" s="245"/>
      <c r="EP1127" s="245"/>
      <c r="EQ1127" s="351"/>
    </row>
    <row r="1128" spans="2:147" s="243" customFormat="1" ht="11.25" hidden="1" customHeight="1">
      <c r="B1128" s="343"/>
      <c r="C1128" s="240"/>
      <c r="D1128" s="240"/>
      <c r="E1128" s="240"/>
      <c r="F1128" s="240"/>
      <c r="G1128" s="240"/>
      <c r="H1128" s="240" t="s">
        <v>617</v>
      </c>
      <c r="I1128" s="240"/>
      <c r="J1128" s="240"/>
      <c r="K1128" s="240"/>
      <c r="L1128" s="240"/>
      <c r="M1128" s="240"/>
      <c r="N1128" s="240"/>
      <c r="O1128" s="240" t="s">
        <v>132</v>
      </c>
      <c r="P1128" s="240"/>
      <c r="Q1128" s="1775" t="e">
        <f>#REF!</f>
        <v>#REF!</v>
      </c>
      <c r="R1128" s="1775"/>
      <c r="S1128" s="1775"/>
      <c r="T1128" s="1775"/>
      <c r="U1128" s="1775"/>
      <c r="V1128" s="240"/>
      <c r="W1128" s="240"/>
      <c r="X1128" s="240"/>
      <c r="Y1128" s="240"/>
      <c r="Z1128" s="240" t="s">
        <v>683</v>
      </c>
      <c r="AA1128" s="240"/>
      <c r="AB1128" s="240"/>
      <c r="AC1128" s="240" t="str">
        <f>TEXT(AJ1125,"#,##0.#######")</f>
        <v>8.48</v>
      </c>
      <c r="AD1128" s="240"/>
      <c r="AE1128" s="240"/>
      <c r="AF1128" s="240"/>
      <c r="AG1128" s="240"/>
      <c r="AH1128" s="240"/>
      <c r="AI1128" s="240"/>
      <c r="AJ1128" s="240" t="s">
        <v>134</v>
      </c>
      <c r="AK1128" s="240"/>
      <c r="AL1128" s="240" t="e">
        <f>TEXT(TRUNC(Q1128/AJ1125,1),"#,##0.#")</f>
        <v>#REF!</v>
      </c>
      <c r="AM1128" s="240"/>
      <c r="AN1128" s="240"/>
      <c r="AO1128" s="240"/>
      <c r="AP1128" s="240"/>
      <c r="AQ1128" s="240"/>
      <c r="AR1128" s="240"/>
      <c r="AS1128" s="240"/>
      <c r="AT1128" s="240"/>
      <c r="AU1128" s="240"/>
      <c r="AV1128" s="240"/>
      <c r="AW1128" s="240"/>
      <c r="AX1128" s="240"/>
      <c r="AY1128" s="240"/>
      <c r="AZ1128" s="240"/>
      <c r="BA1128" s="240"/>
      <c r="BB1128" s="240"/>
      <c r="BC1128" s="240"/>
      <c r="BD1128" s="240"/>
      <c r="BE1128" s="240"/>
      <c r="BF1128" s="240"/>
      <c r="BG1128" s="240"/>
      <c r="BH1128" s="240"/>
      <c r="BI1128" s="240"/>
      <c r="BJ1128" s="240"/>
      <c r="BK1128" s="240"/>
      <c r="BL1128" s="240"/>
      <c r="BM1128" s="240"/>
      <c r="BN1128" s="240"/>
      <c r="BO1128" s="240"/>
      <c r="BP1128" s="240"/>
      <c r="BQ1128" s="240"/>
      <c r="BR1128" s="240"/>
      <c r="BS1128" s="240"/>
      <c r="BT1128" s="240"/>
      <c r="BU1128" s="240"/>
      <c r="BV1128" s="240"/>
      <c r="BW1128" s="240"/>
      <c r="BX1128" s="240"/>
      <c r="BY1128" s="240"/>
      <c r="BZ1128" s="240"/>
      <c r="CA1128" s="240"/>
      <c r="CB1128" s="240"/>
      <c r="CC1128" s="240"/>
      <c r="CD1128" s="240"/>
      <c r="CE1128" s="240"/>
      <c r="CF1128" s="240"/>
      <c r="CG1128" s="240"/>
      <c r="CH1128" s="240"/>
      <c r="CI1128" s="240"/>
      <c r="CJ1128" s="240"/>
      <c r="CK1128" s="240"/>
      <c r="CL1128" s="240"/>
      <c r="CM1128" s="240"/>
      <c r="CN1128" s="240"/>
      <c r="CO1128" s="240"/>
      <c r="CP1128" s="240"/>
      <c r="CQ1128" s="240"/>
      <c r="CR1128" s="240"/>
      <c r="CS1128" s="240"/>
      <c r="CT1128" s="240"/>
      <c r="CU1128" s="240"/>
      <c r="CV1128" s="240"/>
      <c r="CW1128" s="240"/>
      <c r="CX1128" s="240"/>
      <c r="CY1128" s="240"/>
      <c r="CZ1128" s="241"/>
      <c r="DA1128" s="241"/>
      <c r="DB1128" s="241"/>
      <c r="DC1128" s="241"/>
      <c r="DD1128" s="241"/>
      <c r="DE1128" s="241"/>
      <c r="DF1128" s="241"/>
      <c r="DG1128" s="241"/>
      <c r="DH1128" s="241"/>
      <c r="DI1128" s="241"/>
      <c r="DJ1128" s="241"/>
      <c r="DK1128" s="241"/>
      <c r="DL1128" s="241"/>
      <c r="DM1128" s="241"/>
      <c r="DN1128" s="241"/>
      <c r="DO1128" s="241"/>
      <c r="DP1128" s="241"/>
      <c r="DQ1128" s="241"/>
      <c r="DR1128" s="241"/>
      <c r="DS1128" s="241"/>
      <c r="DT1128" s="241"/>
      <c r="DU1128" s="241"/>
      <c r="DV1128" s="241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345"/>
      <c r="EM1128" s="245"/>
      <c r="EN1128" s="245"/>
      <c r="EO1128" s="245"/>
      <c r="EP1128" s="245"/>
      <c r="EQ1128" s="351"/>
    </row>
    <row r="1129" spans="2:147" s="243" customFormat="1" ht="11.25" hidden="1" customHeight="1">
      <c r="B1129" s="343"/>
      <c r="C1129" s="240"/>
      <c r="D1129" s="240"/>
      <c r="E1129" s="240"/>
      <c r="F1129" s="240"/>
      <c r="G1129" s="240"/>
      <c r="H1129" s="240" t="s">
        <v>679</v>
      </c>
      <c r="I1129" s="240"/>
      <c r="J1129" s="240"/>
      <c r="K1129" s="240"/>
      <c r="L1129" s="240" t="s">
        <v>680</v>
      </c>
      <c r="M1129" s="240"/>
      <c r="N1129" s="240"/>
      <c r="O1129" s="240" t="s">
        <v>132</v>
      </c>
      <c r="P1129" s="240"/>
      <c r="Q1129" s="1775" t="e">
        <f>#REF!</f>
        <v>#REF!</v>
      </c>
      <c r="R1129" s="1775"/>
      <c r="S1129" s="1775"/>
      <c r="T1129" s="1775"/>
      <c r="U1129" s="1775"/>
      <c r="V1129" s="240"/>
      <c r="W1129" s="240"/>
      <c r="X1129" s="240"/>
      <c r="Y1129" s="240"/>
      <c r="Z1129" s="240" t="s">
        <v>683</v>
      </c>
      <c r="AA1129" s="240"/>
      <c r="AB1129" s="240"/>
      <c r="AC1129" s="240" t="str">
        <f>TEXT(AJ1125,"#,##0.#######")</f>
        <v>8.48</v>
      </c>
      <c r="AD1129" s="240"/>
      <c r="AE1129" s="240"/>
      <c r="AF1129" s="240"/>
      <c r="AG1129" s="240"/>
      <c r="AH1129" s="240"/>
      <c r="AI1129" s="240"/>
      <c r="AJ1129" s="240" t="s">
        <v>134</v>
      </c>
      <c r="AK1129" s="240"/>
      <c r="AL1129" s="240" t="e">
        <f>TEXT(TRUNC(Q1129/AJ1125,1),"#,##0.#")</f>
        <v>#REF!</v>
      </c>
      <c r="AM1129" s="240"/>
      <c r="AN1129" s="240"/>
      <c r="AO1129" s="240"/>
      <c r="AP1129" s="240"/>
      <c r="AQ1129" s="240"/>
      <c r="AR1129" s="240"/>
      <c r="AS1129" s="240"/>
      <c r="AT1129" s="240"/>
      <c r="AU1129" s="240"/>
      <c r="AV1129" s="240"/>
      <c r="AW1129" s="240"/>
      <c r="AX1129" s="240"/>
      <c r="AY1129" s="240"/>
      <c r="AZ1129" s="240"/>
      <c r="BA1129" s="240"/>
      <c r="BB1129" s="240"/>
      <c r="BC1129" s="240"/>
      <c r="BD1129" s="240"/>
      <c r="BE1129" s="240"/>
      <c r="BF1129" s="240"/>
      <c r="BG1129" s="240"/>
      <c r="BH1129" s="240"/>
      <c r="BI1129" s="240"/>
      <c r="BJ1129" s="240"/>
      <c r="BK1129" s="240"/>
      <c r="BL1129" s="240"/>
      <c r="BM1129" s="240"/>
      <c r="BN1129" s="240"/>
      <c r="BO1129" s="240"/>
      <c r="BP1129" s="240"/>
      <c r="BQ1129" s="240"/>
      <c r="BR1129" s="240"/>
      <c r="BS1129" s="240"/>
      <c r="BT1129" s="240"/>
      <c r="BU1129" s="240"/>
      <c r="BV1129" s="240"/>
      <c r="BW1129" s="240"/>
      <c r="BX1129" s="240"/>
      <c r="BY1129" s="240"/>
      <c r="BZ1129" s="240"/>
      <c r="CA1129" s="240"/>
      <c r="CB1129" s="240"/>
      <c r="CC1129" s="240"/>
      <c r="CD1129" s="240"/>
      <c r="CE1129" s="240"/>
      <c r="CF1129" s="240"/>
      <c r="CG1129" s="240"/>
      <c r="CH1129" s="240"/>
      <c r="CI1129" s="240"/>
      <c r="CJ1129" s="240"/>
      <c r="CK1129" s="240"/>
      <c r="CL1129" s="240"/>
      <c r="CM1129" s="240"/>
      <c r="CN1129" s="240"/>
      <c r="CO1129" s="240"/>
      <c r="CP1129" s="240"/>
      <c r="CQ1129" s="240"/>
      <c r="CR1129" s="240"/>
      <c r="CS1129" s="240"/>
      <c r="CT1129" s="240"/>
      <c r="CU1129" s="240"/>
      <c r="CV1129" s="240"/>
      <c r="CW1129" s="240"/>
      <c r="CX1129" s="240"/>
      <c r="CY1129" s="240"/>
      <c r="CZ1129" s="241"/>
      <c r="DA1129" s="241"/>
      <c r="DB1129" s="241"/>
      <c r="DC1129" s="241"/>
      <c r="DD1129" s="241"/>
      <c r="DE1129" s="241"/>
      <c r="DF1129" s="241"/>
      <c r="DG1129" s="241"/>
      <c r="DH1129" s="241"/>
      <c r="DI1129" s="241"/>
      <c r="DJ1129" s="241"/>
      <c r="DK1129" s="241"/>
      <c r="DL1129" s="241"/>
      <c r="DM1129" s="241"/>
      <c r="DN1129" s="241"/>
      <c r="DO1129" s="241"/>
      <c r="DP1129" s="241"/>
      <c r="DQ1129" s="241"/>
      <c r="DR1129" s="241"/>
      <c r="DS1129" s="241"/>
      <c r="DT1129" s="241"/>
      <c r="DU1129" s="241"/>
      <c r="DV1129" s="241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345"/>
      <c r="EM1129" s="245"/>
      <c r="EN1129" s="245"/>
      <c r="EO1129" s="245"/>
      <c r="EP1129" s="245"/>
      <c r="EQ1129" s="351"/>
    </row>
    <row r="1130" spans="2:147" s="243" customFormat="1" ht="11.25" hidden="1" customHeight="1">
      <c r="B1130" s="343"/>
      <c r="C1130" s="240"/>
      <c r="D1130" s="240"/>
      <c r="E1130" s="240"/>
      <c r="F1130" s="240"/>
      <c r="G1130" s="240"/>
      <c r="H1130" s="240" t="s">
        <v>688</v>
      </c>
      <c r="I1130" s="240"/>
      <c r="J1130" s="240"/>
      <c r="K1130" s="240"/>
      <c r="L1130" s="240" t="s">
        <v>96</v>
      </c>
      <c r="M1130" s="240"/>
      <c r="N1130" s="240"/>
      <c r="O1130" s="240" t="s">
        <v>132</v>
      </c>
      <c r="P1130" s="240"/>
      <c r="Q1130" s="240"/>
      <c r="R1130" s="240"/>
      <c r="S1130" s="240"/>
      <c r="T1130" s="240"/>
      <c r="U1130" s="240"/>
      <c r="V1130" s="240"/>
      <c r="W1130" s="240"/>
      <c r="X1130" s="240"/>
      <c r="Y1130" s="240"/>
      <c r="Z1130" s="240"/>
      <c r="AA1130" s="240"/>
      <c r="AB1130" s="240"/>
      <c r="AC1130" s="240"/>
      <c r="AD1130" s="240"/>
      <c r="AE1130" s="240"/>
      <c r="AF1130" s="240"/>
      <c r="AG1130" s="240"/>
      <c r="AH1130" s="240" t="e">
        <f>TEXT(AL1127+AL1128+AL1129,"#,##0.#######")</f>
        <v>#REF!</v>
      </c>
      <c r="AI1130" s="240"/>
      <c r="AJ1130" s="240"/>
      <c r="AK1130" s="240"/>
      <c r="AL1130" s="240"/>
      <c r="AM1130" s="240"/>
      <c r="AN1130" s="240"/>
      <c r="AO1130" s="240"/>
      <c r="AP1130" s="240"/>
      <c r="AQ1130" s="240"/>
      <c r="AR1130" s="240"/>
      <c r="AS1130" s="240"/>
      <c r="AT1130" s="240"/>
      <c r="AU1130" s="240"/>
      <c r="AV1130" s="240"/>
      <c r="AW1130" s="240"/>
      <c r="AX1130" s="240"/>
      <c r="AY1130" s="240"/>
      <c r="AZ1130" s="240"/>
      <c r="BA1130" s="240"/>
      <c r="BB1130" s="240"/>
      <c r="BC1130" s="240"/>
      <c r="BD1130" s="240"/>
      <c r="BE1130" s="240"/>
      <c r="BF1130" s="240"/>
      <c r="BG1130" s="240"/>
      <c r="BH1130" s="240"/>
      <c r="BI1130" s="240"/>
      <c r="BJ1130" s="240"/>
      <c r="BK1130" s="240"/>
      <c r="BL1130" s="240"/>
      <c r="BM1130" s="240"/>
      <c r="BN1130" s="240"/>
      <c r="BO1130" s="240"/>
      <c r="BP1130" s="240"/>
      <c r="BQ1130" s="240"/>
      <c r="BR1130" s="240"/>
      <c r="BS1130" s="240"/>
      <c r="BT1130" s="240"/>
      <c r="BU1130" s="240"/>
      <c r="BV1130" s="240"/>
      <c r="BW1130" s="240"/>
      <c r="BX1130" s="240"/>
      <c r="BY1130" s="240"/>
      <c r="BZ1130" s="240"/>
      <c r="CA1130" s="240"/>
      <c r="CB1130" s="240"/>
      <c r="CC1130" s="240"/>
      <c r="CD1130" s="240"/>
      <c r="CE1130" s="240"/>
      <c r="CF1130" s="240"/>
      <c r="CG1130" s="240"/>
      <c r="CH1130" s="240"/>
      <c r="CI1130" s="240"/>
      <c r="CJ1130" s="240"/>
      <c r="CK1130" s="240"/>
      <c r="CL1130" s="240"/>
      <c r="CM1130" s="240"/>
      <c r="CN1130" s="240"/>
      <c r="CO1130" s="240"/>
      <c r="CP1130" s="240"/>
      <c r="CQ1130" s="240"/>
      <c r="CR1130" s="240"/>
      <c r="CS1130" s="240"/>
      <c r="CT1130" s="240"/>
      <c r="CU1130" s="240"/>
      <c r="CV1130" s="240"/>
      <c r="CW1130" s="240"/>
      <c r="CX1130" s="240"/>
      <c r="CY1130" s="240"/>
      <c r="CZ1130" s="241"/>
      <c r="DA1130" s="241"/>
      <c r="DB1130" s="241"/>
      <c r="DC1130" s="241"/>
      <c r="DD1130" s="241"/>
      <c r="DE1130" s="241"/>
      <c r="DF1130" s="241"/>
      <c r="DG1130" s="241"/>
      <c r="DH1130" s="241"/>
      <c r="DI1130" s="241"/>
      <c r="DJ1130" s="241"/>
      <c r="DK1130" s="241"/>
      <c r="DL1130" s="241"/>
      <c r="DM1130" s="241"/>
      <c r="DN1130" s="241"/>
      <c r="DO1130" s="241"/>
      <c r="DP1130" s="241"/>
      <c r="DQ1130" s="241"/>
      <c r="DR1130" s="241"/>
      <c r="DS1130" s="241"/>
      <c r="DT1130" s="241"/>
      <c r="DU1130" s="241"/>
      <c r="DV1130" s="241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345"/>
      <c r="EM1130" s="245" t="e">
        <f>EN1130+EO1130+EP1130</f>
        <v>#REF!</v>
      </c>
      <c r="EN1130" s="245" t="e">
        <f>TEXT(AL1127,"#,###.0")</f>
        <v>#REF!</v>
      </c>
      <c r="EO1130" s="245" t="e">
        <f>TEXT(AL1128,"#,###.0")</f>
        <v>#REF!</v>
      </c>
      <c r="EP1130" s="245" t="e">
        <f>TEXT(AL1129,"#,###.0")</f>
        <v>#REF!</v>
      </c>
      <c r="EQ1130" s="351"/>
    </row>
    <row r="1131" spans="2:147" s="243" customFormat="1" ht="11.25" hidden="1" customHeight="1">
      <c r="B1131" s="343"/>
      <c r="C1131" s="240"/>
      <c r="D1131" s="240"/>
      <c r="E1131" s="240"/>
      <c r="F1131" s="240"/>
      <c r="G1131" s="240"/>
      <c r="H1131" s="240"/>
      <c r="I1131" s="240"/>
      <c r="J1131" s="240"/>
      <c r="K1131" s="240"/>
      <c r="L1131" s="240"/>
      <c r="M1131" s="240"/>
      <c r="N1131" s="240"/>
      <c r="O1131" s="240"/>
      <c r="P1131" s="240"/>
      <c r="Q1131" s="240"/>
      <c r="R1131" s="240"/>
      <c r="S1131" s="240"/>
      <c r="T1131" s="240"/>
      <c r="U1131" s="240"/>
      <c r="V1131" s="240"/>
      <c r="W1131" s="240"/>
      <c r="X1131" s="240"/>
      <c r="Y1131" s="240"/>
      <c r="Z1131" s="240"/>
      <c r="AA1131" s="240"/>
      <c r="AB1131" s="240"/>
      <c r="AC1131" s="240"/>
      <c r="AD1131" s="240"/>
      <c r="AE1131" s="240"/>
      <c r="AF1131" s="240"/>
      <c r="AG1131" s="240"/>
      <c r="AH1131" s="240"/>
      <c r="AI1131" s="240"/>
      <c r="AJ1131" s="240"/>
      <c r="AK1131" s="240"/>
      <c r="AL1131" s="240"/>
      <c r="AM1131" s="240"/>
      <c r="AN1131" s="240"/>
      <c r="AO1131" s="240"/>
      <c r="AP1131" s="240"/>
      <c r="AQ1131" s="240"/>
      <c r="AR1131" s="240"/>
      <c r="AS1131" s="240"/>
      <c r="AT1131" s="240"/>
      <c r="AU1131" s="240"/>
      <c r="AV1131" s="240"/>
      <c r="AW1131" s="240"/>
      <c r="AX1131" s="240"/>
      <c r="AY1131" s="240"/>
      <c r="AZ1131" s="240"/>
      <c r="BA1131" s="240"/>
      <c r="BB1131" s="240"/>
      <c r="BC1131" s="240"/>
      <c r="BD1131" s="240"/>
      <c r="BE1131" s="240"/>
      <c r="BF1131" s="240"/>
      <c r="BG1131" s="240"/>
      <c r="BH1131" s="240"/>
      <c r="BI1131" s="240"/>
      <c r="BJ1131" s="240"/>
      <c r="BK1131" s="240"/>
      <c r="BL1131" s="240"/>
      <c r="BM1131" s="240"/>
      <c r="BN1131" s="240"/>
      <c r="BO1131" s="240"/>
      <c r="BP1131" s="240"/>
      <c r="BQ1131" s="240"/>
      <c r="BR1131" s="240"/>
      <c r="BS1131" s="240"/>
      <c r="BT1131" s="240"/>
      <c r="BU1131" s="240"/>
      <c r="BV1131" s="240"/>
      <c r="BW1131" s="240"/>
      <c r="BX1131" s="240"/>
      <c r="BY1131" s="240"/>
      <c r="BZ1131" s="240"/>
      <c r="CA1131" s="240"/>
      <c r="CB1131" s="240"/>
      <c r="CC1131" s="240"/>
      <c r="CD1131" s="240"/>
      <c r="CE1131" s="240"/>
      <c r="CF1131" s="240"/>
      <c r="CG1131" s="240"/>
      <c r="CH1131" s="240"/>
      <c r="CI1131" s="240"/>
      <c r="CJ1131" s="240"/>
      <c r="CK1131" s="240"/>
      <c r="CL1131" s="240"/>
      <c r="CM1131" s="240"/>
      <c r="CN1131" s="240"/>
      <c r="CO1131" s="240"/>
      <c r="CP1131" s="240"/>
      <c r="CQ1131" s="240"/>
      <c r="CR1131" s="240"/>
      <c r="CS1131" s="240"/>
      <c r="CT1131" s="240"/>
      <c r="CU1131" s="240"/>
      <c r="CV1131" s="240"/>
      <c r="CW1131" s="240"/>
      <c r="CX1131" s="240"/>
      <c r="CY1131" s="240"/>
      <c r="CZ1131" s="241"/>
      <c r="DA1131" s="241"/>
      <c r="DB1131" s="241"/>
      <c r="DC1131" s="241"/>
      <c r="DD1131" s="241"/>
      <c r="DE1131" s="241"/>
      <c r="DF1131" s="241"/>
      <c r="DG1131" s="241"/>
      <c r="DH1131" s="241"/>
      <c r="DI1131" s="241"/>
      <c r="DJ1131" s="241"/>
      <c r="DK1131" s="241"/>
      <c r="DL1131" s="241"/>
      <c r="DM1131" s="241"/>
      <c r="DN1131" s="241"/>
      <c r="DO1131" s="241"/>
      <c r="DP1131" s="241"/>
      <c r="DQ1131" s="241"/>
      <c r="DR1131" s="241"/>
      <c r="DS1131" s="241"/>
      <c r="DT1131" s="241"/>
      <c r="DU1131" s="241"/>
      <c r="DV1131" s="241"/>
      <c r="DW1131" s="241"/>
      <c r="DX1131" s="241"/>
      <c r="DY1131" s="241"/>
      <c r="DZ1131" s="241"/>
      <c r="EA1131" s="241"/>
      <c r="EB1131" s="241"/>
      <c r="EC1131" s="241"/>
      <c r="ED1131" s="241"/>
      <c r="EE1131" s="241"/>
      <c r="EF1131" s="241"/>
      <c r="EG1131" s="241"/>
      <c r="EH1131" s="241"/>
      <c r="EI1131" s="241"/>
      <c r="EJ1131" s="241"/>
      <c r="EK1131" s="241"/>
      <c r="EL1131" s="345"/>
      <c r="EM1131" s="245"/>
      <c r="EN1131" s="245"/>
      <c r="EO1131" s="245"/>
      <c r="EP1131" s="245"/>
      <c r="EQ1131" s="351"/>
    </row>
    <row r="1132" spans="2:147" s="243" customFormat="1" ht="11.25" hidden="1" customHeight="1">
      <c r="B1132" s="343"/>
      <c r="C1132" s="240"/>
      <c r="D1132" s="240"/>
      <c r="E1132" s="240" t="s">
        <v>677</v>
      </c>
      <c r="F1132" s="240"/>
      <c r="G1132" s="240"/>
      <c r="H1132" s="240" t="s">
        <v>678</v>
      </c>
      <c r="I1132" s="240"/>
      <c r="J1132" s="240"/>
      <c r="K1132" s="240"/>
      <c r="L1132" s="240" t="s">
        <v>96</v>
      </c>
      <c r="M1132" s="240"/>
      <c r="N1132" s="240"/>
      <c r="O1132" s="240"/>
      <c r="P1132" s="240"/>
      <c r="Q1132" s="240"/>
      <c r="R1132" s="240"/>
      <c r="S1132" s="240"/>
      <c r="T1132" s="240"/>
      <c r="U1132" s="240"/>
      <c r="V1132" s="240"/>
      <c r="W1132" s="240"/>
      <c r="X1132" s="240"/>
      <c r="Y1132" s="240"/>
      <c r="Z1132" s="240"/>
      <c r="AA1132" s="240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240"/>
      <c r="AM1132" s="240"/>
      <c r="AN1132" s="240"/>
      <c r="AO1132" s="240"/>
      <c r="AP1132" s="240"/>
      <c r="AQ1132" s="240"/>
      <c r="AR1132" s="240"/>
      <c r="AS1132" s="240"/>
      <c r="AT1132" s="240"/>
      <c r="AU1132" s="240"/>
      <c r="AV1132" s="240"/>
      <c r="AW1132" s="240"/>
      <c r="AX1132" s="240"/>
      <c r="AY1132" s="240"/>
      <c r="AZ1132" s="240"/>
      <c r="BA1132" s="240"/>
      <c r="BB1132" s="240"/>
      <c r="BC1132" s="240"/>
      <c r="BD1132" s="240"/>
      <c r="BE1132" s="240"/>
      <c r="BF1132" s="240"/>
      <c r="BG1132" s="240"/>
      <c r="BH1132" s="240"/>
      <c r="BI1132" s="240"/>
      <c r="BJ1132" s="240"/>
      <c r="BK1132" s="240"/>
      <c r="BL1132" s="240"/>
      <c r="BM1132" s="240"/>
      <c r="BN1132" s="240"/>
      <c r="BO1132" s="240"/>
      <c r="BP1132" s="240"/>
      <c r="BQ1132" s="240"/>
      <c r="BR1132" s="240"/>
      <c r="BS1132" s="240"/>
      <c r="BT1132" s="240"/>
      <c r="BU1132" s="240"/>
      <c r="BV1132" s="240"/>
      <c r="BW1132" s="240"/>
      <c r="BX1132" s="240"/>
      <c r="BY1132" s="240"/>
      <c r="BZ1132" s="240"/>
      <c r="CA1132" s="240"/>
      <c r="CB1132" s="240"/>
      <c r="CC1132" s="240"/>
      <c r="CD1132" s="240"/>
      <c r="CE1132" s="240"/>
      <c r="CF1132" s="240"/>
      <c r="CG1132" s="240"/>
      <c r="CH1132" s="240"/>
      <c r="CI1132" s="240"/>
      <c r="CJ1132" s="240"/>
      <c r="CK1132" s="240"/>
      <c r="CL1132" s="240"/>
      <c r="CM1132" s="240"/>
      <c r="CN1132" s="240"/>
      <c r="CO1132" s="240"/>
      <c r="CP1132" s="240"/>
      <c r="CQ1132" s="240"/>
      <c r="CR1132" s="240"/>
      <c r="CS1132" s="240"/>
      <c r="CT1132" s="240"/>
      <c r="CU1132" s="240"/>
      <c r="CV1132" s="240"/>
      <c r="CW1132" s="240"/>
      <c r="CX1132" s="240"/>
      <c r="CY1132" s="240"/>
      <c r="CZ1132" s="241"/>
      <c r="DA1132" s="241"/>
      <c r="DB1132" s="241"/>
      <c r="DC1132" s="241"/>
      <c r="DD1132" s="241"/>
      <c r="DE1132" s="241"/>
      <c r="DF1132" s="241"/>
      <c r="DG1132" s="241"/>
      <c r="DH1132" s="241"/>
      <c r="DI1132" s="241"/>
      <c r="DJ1132" s="241"/>
      <c r="DK1132" s="241"/>
      <c r="DL1132" s="241"/>
      <c r="DM1132" s="241"/>
      <c r="DN1132" s="241"/>
      <c r="DO1132" s="241"/>
      <c r="DP1132" s="241"/>
      <c r="DQ1132" s="241"/>
      <c r="DR1132" s="241"/>
      <c r="DS1132" s="241"/>
      <c r="DT1132" s="241"/>
      <c r="DU1132" s="241"/>
      <c r="DV1132" s="241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345"/>
      <c r="EM1132" s="245"/>
      <c r="EN1132" s="245"/>
      <c r="EO1132" s="245"/>
      <c r="EP1132" s="245"/>
      <c r="EQ1132" s="351"/>
    </row>
    <row r="1133" spans="2:147" s="243" customFormat="1" ht="11.25" hidden="1" customHeight="1">
      <c r="B1133" s="343"/>
      <c r="C1133" s="240"/>
      <c r="D1133" s="240"/>
      <c r="E1133" s="240"/>
      <c r="F1133" s="240"/>
      <c r="G1133" s="240"/>
      <c r="H1133" s="240"/>
      <c r="I1133" s="240"/>
      <c r="J1133" s="240" t="s">
        <v>616</v>
      </c>
      <c r="K1133" s="240"/>
      <c r="L1133" s="240"/>
      <c r="M1133" s="240"/>
      <c r="N1133" s="240"/>
      <c r="O1133" s="240"/>
      <c r="P1133" s="240"/>
      <c r="Q1133" s="240" t="s">
        <v>132</v>
      </c>
      <c r="R1133" s="240"/>
      <c r="S1133" s="240" t="e">
        <f>TEXT(TRUNC(EN1130,0),"#,##0")</f>
        <v>#REF!</v>
      </c>
      <c r="T1133" s="240"/>
      <c r="U1133" s="240"/>
      <c r="V1133" s="240"/>
      <c r="W1133" s="240"/>
      <c r="X1133" s="240"/>
      <c r="Y1133" s="240"/>
      <c r="Z1133" s="240"/>
      <c r="AA1133" s="240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240"/>
      <c r="AM1133" s="240"/>
      <c r="AN1133" s="240"/>
      <c r="AO1133" s="240"/>
      <c r="AP1133" s="240"/>
      <c r="AQ1133" s="240"/>
      <c r="AR1133" s="240"/>
      <c r="AS1133" s="240"/>
      <c r="AT1133" s="240"/>
      <c r="AU1133" s="240"/>
      <c r="AV1133" s="240"/>
      <c r="AW1133" s="240"/>
      <c r="AX1133" s="240"/>
      <c r="AY1133" s="240"/>
      <c r="AZ1133" s="240"/>
      <c r="BA1133" s="240"/>
      <c r="BB1133" s="240"/>
      <c r="BC1133" s="240"/>
      <c r="BD1133" s="240"/>
      <c r="BE1133" s="240"/>
      <c r="BF1133" s="240"/>
      <c r="BG1133" s="240"/>
      <c r="BH1133" s="240"/>
      <c r="BI1133" s="240"/>
      <c r="BJ1133" s="240"/>
      <c r="BK1133" s="240"/>
      <c r="BL1133" s="240"/>
      <c r="BM1133" s="240"/>
      <c r="BN1133" s="240"/>
      <c r="BO1133" s="240"/>
      <c r="BP1133" s="240"/>
      <c r="BQ1133" s="240"/>
      <c r="BR1133" s="240"/>
      <c r="BS1133" s="240"/>
      <c r="BT1133" s="240"/>
      <c r="BU1133" s="240"/>
      <c r="BV1133" s="240"/>
      <c r="BW1133" s="240"/>
      <c r="BX1133" s="240"/>
      <c r="BY1133" s="240"/>
      <c r="BZ1133" s="240"/>
      <c r="CA1133" s="240"/>
      <c r="CB1133" s="240"/>
      <c r="CC1133" s="240"/>
      <c r="CD1133" s="240"/>
      <c r="CE1133" s="240"/>
      <c r="CF1133" s="240"/>
      <c r="CG1133" s="240"/>
      <c r="CH1133" s="240"/>
      <c r="CI1133" s="240"/>
      <c r="CJ1133" s="240"/>
      <c r="CK1133" s="240"/>
      <c r="CL1133" s="240"/>
      <c r="CM1133" s="240"/>
      <c r="CN1133" s="240"/>
      <c r="CO1133" s="240"/>
      <c r="CP1133" s="240"/>
      <c r="CQ1133" s="240"/>
      <c r="CR1133" s="240"/>
      <c r="CS1133" s="240"/>
      <c r="CT1133" s="240"/>
      <c r="CU1133" s="240"/>
      <c r="CV1133" s="240"/>
      <c r="CW1133" s="240"/>
      <c r="CX1133" s="240"/>
      <c r="CY1133" s="240"/>
      <c r="CZ1133" s="241"/>
      <c r="DA1133" s="241"/>
      <c r="DB1133" s="241"/>
      <c r="DC1133" s="241"/>
      <c r="DD1133" s="241"/>
      <c r="DE1133" s="241"/>
      <c r="DF1133" s="241"/>
      <c r="DG1133" s="241"/>
      <c r="DH1133" s="241"/>
      <c r="DI1133" s="241"/>
      <c r="DJ1133" s="241"/>
      <c r="DK1133" s="241"/>
      <c r="DL1133" s="241"/>
      <c r="DM1133" s="241"/>
      <c r="DN1133" s="241"/>
      <c r="DO1133" s="241"/>
      <c r="DP1133" s="241"/>
      <c r="DQ1133" s="241"/>
      <c r="DR1133" s="241"/>
      <c r="DS1133" s="241"/>
      <c r="DT1133" s="241"/>
      <c r="DU1133" s="241"/>
      <c r="DV1133" s="241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345"/>
      <c r="EM1133" s="245"/>
      <c r="EN1133" s="245"/>
      <c r="EO1133" s="245"/>
      <c r="EP1133" s="245"/>
      <c r="EQ1133" s="351"/>
    </row>
    <row r="1134" spans="2:147" s="243" customFormat="1" ht="11.25" hidden="1" customHeight="1">
      <c r="B1134" s="343"/>
      <c r="C1134" s="240"/>
      <c r="D1134" s="240"/>
      <c r="E1134" s="240"/>
      <c r="F1134" s="240"/>
      <c r="G1134" s="240"/>
      <c r="H1134" s="240"/>
      <c r="I1134" s="240"/>
      <c r="J1134" s="240" t="s">
        <v>617</v>
      </c>
      <c r="K1134" s="240"/>
      <c r="L1134" s="240"/>
      <c r="M1134" s="240"/>
      <c r="N1134" s="240"/>
      <c r="O1134" s="240"/>
      <c r="P1134" s="240"/>
      <c r="Q1134" s="240" t="s">
        <v>132</v>
      </c>
      <c r="R1134" s="240"/>
      <c r="S1134" s="240" t="e">
        <f>TEXT(TRUNC(EO1130,0),"#,##0")</f>
        <v>#REF!</v>
      </c>
      <c r="T1134" s="240"/>
      <c r="U1134" s="240"/>
      <c r="V1134" s="240"/>
      <c r="W1134" s="240"/>
      <c r="X1134" s="240"/>
      <c r="Y1134" s="240"/>
      <c r="Z1134" s="240"/>
      <c r="AA1134" s="240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240"/>
      <c r="AM1134" s="240"/>
      <c r="AN1134" s="240"/>
      <c r="AO1134" s="240"/>
      <c r="AP1134" s="240"/>
      <c r="AQ1134" s="240"/>
      <c r="AR1134" s="240"/>
      <c r="AS1134" s="240"/>
      <c r="AT1134" s="240"/>
      <c r="AU1134" s="240"/>
      <c r="AV1134" s="240"/>
      <c r="AW1134" s="240"/>
      <c r="AX1134" s="240"/>
      <c r="AY1134" s="240"/>
      <c r="AZ1134" s="240"/>
      <c r="BA1134" s="240"/>
      <c r="BB1134" s="240"/>
      <c r="BC1134" s="240"/>
      <c r="BD1134" s="240"/>
      <c r="BE1134" s="240"/>
      <c r="BF1134" s="240"/>
      <c r="BG1134" s="240"/>
      <c r="BH1134" s="240"/>
      <c r="BI1134" s="240"/>
      <c r="BJ1134" s="240"/>
      <c r="BK1134" s="240"/>
      <c r="BL1134" s="240"/>
      <c r="BM1134" s="240"/>
      <c r="BN1134" s="240"/>
      <c r="BO1134" s="240"/>
      <c r="BP1134" s="240"/>
      <c r="BQ1134" s="240"/>
      <c r="BR1134" s="240"/>
      <c r="BS1134" s="240"/>
      <c r="BT1134" s="240"/>
      <c r="BU1134" s="240"/>
      <c r="BV1134" s="240"/>
      <c r="BW1134" s="240"/>
      <c r="BX1134" s="240"/>
      <c r="BY1134" s="240"/>
      <c r="BZ1134" s="240"/>
      <c r="CA1134" s="240"/>
      <c r="CB1134" s="240"/>
      <c r="CC1134" s="240"/>
      <c r="CD1134" s="240"/>
      <c r="CE1134" s="240"/>
      <c r="CF1134" s="240"/>
      <c r="CG1134" s="240"/>
      <c r="CH1134" s="240"/>
      <c r="CI1134" s="240"/>
      <c r="CJ1134" s="240"/>
      <c r="CK1134" s="240"/>
      <c r="CL1134" s="240"/>
      <c r="CM1134" s="240"/>
      <c r="CN1134" s="240"/>
      <c r="CO1134" s="240"/>
      <c r="CP1134" s="240"/>
      <c r="CQ1134" s="240"/>
      <c r="CR1134" s="240"/>
      <c r="CS1134" s="240"/>
      <c r="CT1134" s="240"/>
      <c r="CU1134" s="240"/>
      <c r="CV1134" s="240"/>
      <c r="CW1134" s="240"/>
      <c r="CX1134" s="240"/>
      <c r="CY1134" s="240"/>
      <c r="CZ1134" s="241"/>
      <c r="DA1134" s="241"/>
      <c r="DB1134" s="241"/>
      <c r="DC1134" s="241"/>
      <c r="DD1134" s="241"/>
      <c r="DE1134" s="241"/>
      <c r="DF1134" s="241"/>
      <c r="DG1134" s="241"/>
      <c r="DH1134" s="241"/>
      <c r="DI1134" s="241"/>
      <c r="DJ1134" s="241"/>
      <c r="DK1134" s="241"/>
      <c r="DL1134" s="241"/>
      <c r="DM1134" s="241"/>
      <c r="DN1134" s="241"/>
      <c r="DO1134" s="241"/>
      <c r="DP1134" s="241"/>
      <c r="DQ1134" s="241"/>
      <c r="DR1134" s="241"/>
      <c r="DS1134" s="241"/>
      <c r="DT1134" s="241"/>
      <c r="DU1134" s="241"/>
      <c r="DV1134" s="241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345"/>
      <c r="EM1134" s="245"/>
      <c r="EN1134" s="245"/>
      <c r="EO1134" s="245"/>
      <c r="EP1134" s="245"/>
      <c r="EQ1134" s="351"/>
    </row>
    <row r="1135" spans="2:147" s="243" customFormat="1" ht="11.25" hidden="1" customHeight="1">
      <c r="B1135" s="343"/>
      <c r="C1135" s="240"/>
      <c r="D1135" s="240"/>
      <c r="E1135" s="240"/>
      <c r="F1135" s="240"/>
      <c r="G1135" s="240"/>
      <c r="H1135" s="240"/>
      <c r="I1135" s="240"/>
      <c r="J1135" s="240" t="s">
        <v>679</v>
      </c>
      <c r="K1135" s="240"/>
      <c r="L1135" s="240"/>
      <c r="M1135" s="240"/>
      <c r="N1135" s="240" t="s">
        <v>680</v>
      </c>
      <c r="O1135" s="240"/>
      <c r="P1135" s="240"/>
      <c r="Q1135" s="240" t="s">
        <v>132</v>
      </c>
      <c r="R1135" s="240"/>
      <c r="S1135" s="240" t="e">
        <f>TEXT(TRUNC(EP1130,0),"#,##0")</f>
        <v>#REF!</v>
      </c>
      <c r="T1135" s="240"/>
      <c r="U1135" s="240"/>
      <c r="V1135" s="240"/>
      <c r="W1135" s="240"/>
      <c r="X1135" s="240"/>
      <c r="Y1135" s="240"/>
      <c r="Z1135" s="240"/>
      <c r="AA1135" s="240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240"/>
      <c r="AM1135" s="240"/>
      <c r="AN1135" s="240"/>
      <c r="AO1135" s="240"/>
      <c r="AP1135" s="240"/>
      <c r="AQ1135" s="240"/>
      <c r="AR1135" s="240"/>
      <c r="AS1135" s="240"/>
      <c r="AT1135" s="240"/>
      <c r="AU1135" s="240"/>
      <c r="AV1135" s="240"/>
      <c r="AW1135" s="240"/>
      <c r="AX1135" s="240"/>
      <c r="AY1135" s="240"/>
      <c r="AZ1135" s="240"/>
      <c r="BA1135" s="240"/>
      <c r="BB1135" s="240"/>
      <c r="BC1135" s="240"/>
      <c r="BD1135" s="240"/>
      <c r="BE1135" s="240"/>
      <c r="BF1135" s="240"/>
      <c r="BG1135" s="240"/>
      <c r="BH1135" s="240"/>
      <c r="BI1135" s="240"/>
      <c r="BJ1135" s="240"/>
      <c r="BK1135" s="240"/>
      <c r="BL1135" s="240"/>
      <c r="BM1135" s="240"/>
      <c r="BN1135" s="240"/>
      <c r="BO1135" s="240"/>
      <c r="BP1135" s="240"/>
      <c r="BQ1135" s="240"/>
      <c r="BR1135" s="240"/>
      <c r="BS1135" s="240"/>
      <c r="BT1135" s="240"/>
      <c r="BU1135" s="240"/>
      <c r="BV1135" s="240"/>
      <c r="BW1135" s="240"/>
      <c r="BX1135" s="240"/>
      <c r="BY1135" s="240"/>
      <c r="BZ1135" s="240"/>
      <c r="CA1135" s="240"/>
      <c r="CB1135" s="240"/>
      <c r="CC1135" s="240"/>
      <c r="CD1135" s="240"/>
      <c r="CE1135" s="240"/>
      <c r="CF1135" s="240"/>
      <c r="CG1135" s="240"/>
      <c r="CH1135" s="240"/>
      <c r="CI1135" s="240"/>
      <c r="CJ1135" s="240"/>
      <c r="CK1135" s="240"/>
      <c r="CL1135" s="240"/>
      <c r="CM1135" s="240"/>
      <c r="CN1135" s="240"/>
      <c r="CO1135" s="240"/>
      <c r="CP1135" s="240"/>
      <c r="CQ1135" s="240"/>
      <c r="CR1135" s="240"/>
      <c r="CS1135" s="240"/>
      <c r="CT1135" s="240"/>
      <c r="CU1135" s="240"/>
      <c r="CV1135" s="240"/>
      <c r="CW1135" s="240"/>
      <c r="CX1135" s="240"/>
      <c r="CY1135" s="240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1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345"/>
      <c r="EM1135" s="245"/>
      <c r="EN1135" s="245"/>
      <c r="EO1135" s="245"/>
      <c r="EP1135" s="245"/>
      <c r="EQ1135" s="351"/>
    </row>
    <row r="1136" spans="2:147" s="243" customFormat="1" ht="11.25" hidden="1" customHeight="1">
      <c r="B1136" s="343"/>
      <c r="C1136" s="240"/>
      <c r="D1136" s="240"/>
      <c r="E1136" s="240"/>
      <c r="F1136" s="240"/>
      <c r="G1136" s="240"/>
      <c r="H1136" s="240"/>
      <c r="I1136" s="240"/>
      <c r="J1136" s="240"/>
      <c r="K1136" s="240"/>
      <c r="L1136" s="240" t="s">
        <v>96</v>
      </c>
      <c r="M1136" s="240"/>
      <c r="N1136" s="240"/>
      <c r="O1136" s="240"/>
      <c r="P1136" s="240"/>
      <c r="Q1136" s="240" t="s">
        <v>132</v>
      </c>
      <c r="R1136" s="240"/>
      <c r="S1136" s="240" t="e">
        <f>TEXT(S1133+S1134+S1135,"#,##0")</f>
        <v>#REF!</v>
      </c>
      <c r="T1136" s="240"/>
      <c r="U1136" s="240"/>
      <c r="V1136" s="240"/>
      <c r="W1136" s="240"/>
      <c r="X1136" s="240"/>
      <c r="Y1136" s="240"/>
      <c r="Z1136" s="240"/>
      <c r="AA1136" s="240"/>
      <c r="AB1136" s="240"/>
      <c r="AC1136" s="240"/>
      <c r="AD1136" s="240"/>
      <c r="AE1136" s="240"/>
      <c r="AF1136" s="240"/>
      <c r="AG1136" s="240"/>
      <c r="AH1136" s="240"/>
      <c r="AI1136" s="240"/>
      <c r="AJ1136" s="240"/>
      <c r="AK1136" s="240"/>
      <c r="AL1136" s="240"/>
      <c r="AM1136" s="240"/>
      <c r="AN1136" s="240"/>
      <c r="AO1136" s="240"/>
      <c r="AP1136" s="240"/>
      <c r="AQ1136" s="240"/>
      <c r="AR1136" s="240"/>
      <c r="AS1136" s="240"/>
      <c r="AT1136" s="240"/>
      <c r="AU1136" s="240"/>
      <c r="AV1136" s="240"/>
      <c r="AW1136" s="240"/>
      <c r="AX1136" s="240"/>
      <c r="AY1136" s="240"/>
      <c r="AZ1136" s="240"/>
      <c r="BA1136" s="240"/>
      <c r="BB1136" s="240"/>
      <c r="BC1136" s="240"/>
      <c r="BD1136" s="240"/>
      <c r="BE1136" s="240"/>
      <c r="BF1136" s="240"/>
      <c r="BG1136" s="240"/>
      <c r="BH1136" s="240"/>
      <c r="BI1136" s="240"/>
      <c r="BJ1136" s="240"/>
      <c r="BK1136" s="240"/>
      <c r="BL1136" s="240"/>
      <c r="BM1136" s="240"/>
      <c r="BN1136" s="240"/>
      <c r="BO1136" s="240"/>
      <c r="BP1136" s="240"/>
      <c r="BQ1136" s="240"/>
      <c r="BR1136" s="240"/>
      <c r="BS1136" s="240"/>
      <c r="BT1136" s="240"/>
      <c r="BU1136" s="240"/>
      <c r="BV1136" s="240"/>
      <c r="BW1136" s="240"/>
      <c r="BX1136" s="240"/>
      <c r="BY1136" s="240"/>
      <c r="BZ1136" s="240"/>
      <c r="CA1136" s="240"/>
      <c r="CB1136" s="240"/>
      <c r="CC1136" s="240"/>
      <c r="CD1136" s="240"/>
      <c r="CE1136" s="240"/>
      <c r="CF1136" s="240"/>
      <c r="CG1136" s="240"/>
      <c r="CH1136" s="240"/>
      <c r="CI1136" s="240"/>
      <c r="CJ1136" s="240"/>
      <c r="CK1136" s="240"/>
      <c r="CL1136" s="240"/>
      <c r="CM1136" s="240"/>
      <c r="CN1136" s="240"/>
      <c r="CO1136" s="240"/>
      <c r="CP1136" s="240"/>
      <c r="CQ1136" s="240"/>
      <c r="CR1136" s="240"/>
      <c r="CS1136" s="240"/>
      <c r="CT1136" s="240"/>
      <c r="CU1136" s="240"/>
      <c r="CV1136" s="240"/>
      <c r="CW1136" s="240"/>
      <c r="CX1136" s="240"/>
      <c r="CY1136" s="240"/>
      <c r="CZ1136" s="241"/>
      <c r="DA1136" s="241"/>
      <c r="DB1136" s="241"/>
      <c r="DC1136" s="241"/>
      <c r="DD1136" s="241"/>
      <c r="DE1136" s="241"/>
      <c r="DF1136" s="241"/>
      <c r="DG1136" s="241"/>
      <c r="DH1136" s="241"/>
      <c r="DI1136" s="241"/>
      <c r="DJ1136" s="241"/>
      <c r="DK1136" s="241"/>
      <c r="DL1136" s="241"/>
      <c r="DM1136" s="241"/>
      <c r="DN1136" s="241"/>
      <c r="DO1136" s="241"/>
      <c r="DP1136" s="241"/>
      <c r="DQ1136" s="241"/>
      <c r="DR1136" s="241"/>
      <c r="DS1136" s="241"/>
      <c r="DT1136" s="241"/>
      <c r="DU1136" s="241"/>
      <c r="DV1136" s="241"/>
      <c r="DW1136" s="241"/>
      <c r="DX1136" s="241"/>
      <c r="DY1136" s="241"/>
      <c r="DZ1136" s="241"/>
      <c r="EA1136" s="241"/>
      <c r="EB1136" s="241"/>
      <c r="EC1136" s="241"/>
      <c r="ED1136" s="241"/>
      <c r="EE1136" s="241"/>
      <c r="EF1136" s="241"/>
      <c r="EG1136" s="241"/>
      <c r="EH1136" s="241"/>
      <c r="EI1136" s="241"/>
      <c r="EJ1136" s="241"/>
      <c r="EK1136" s="241"/>
      <c r="EL1136" s="345"/>
      <c r="EM1136" s="250" t="e">
        <f>EN1136+EO1136+EP1136</f>
        <v>#REF!</v>
      </c>
      <c r="EN1136" s="245" t="e">
        <f>TEXT(S1133,"#,##0")</f>
        <v>#REF!</v>
      </c>
      <c r="EO1136" s="245" t="e">
        <f>TEXT(S1134,"#,##0")</f>
        <v>#REF!</v>
      </c>
      <c r="EP1136" s="245" t="e">
        <f>TEXT(S1135,"#,##0")</f>
        <v>#REF!</v>
      </c>
      <c r="EQ1136" s="351"/>
    </row>
    <row r="1137" spans="1:149" s="243" customFormat="1" ht="11.25" hidden="1" customHeight="1">
      <c r="B1137" s="350"/>
      <c r="C1137" s="247"/>
      <c r="D1137" s="247"/>
      <c r="E1137" s="247"/>
      <c r="F1137" s="247"/>
      <c r="G1137" s="247"/>
      <c r="H1137" s="247"/>
      <c r="I1137" s="247"/>
      <c r="J1137" s="247"/>
      <c r="K1137" s="247"/>
      <c r="L1137" s="247"/>
      <c r="M1137" s="247"/>
      <c r="N1137" s="247"/>
      <c r="O1137" s="247"/>
      <c r="P1137" s="247"/>
      <c r="Q1137" s="247"/>
      <c r="R1137" s="247"/>
      <c r="S1137" s="247"/>
      <c r="T1137" s="247"/>
      <c r="U1137" s="247"/>
      <c r="V1137" s="247"/>
      <c r="W1137" s="247"/>
      <c r="X1137" s="247"/>
      <c r="Y1137" s="247"/>
      <c r="Z1137" s="247"/>
      <c r="AA1137" s="247"/>
      <c r="AB1137" s="247"/>
      <c r="AC1137" s="247"/>
      <c r="AD1137" s="247"/>
      <c r="AE1137" s="247"/>
      <c r="AF1137" s="247"/>
      <c r="AG1137" s="247"/>
      <c r="AH1137" s="247"/>
      <c r="AI1137" s="247"/>
      <c r="AJ1137" s="247"/>
      <c r="AK1137" s="247"/>
      <c r="AL1137" s="247"/>
      <c r="AM1137" s="247"/>
      <c r="AN1137" s="247"/>
      <c r="AO1137" s="247"/>
      <c r="AP1137" s="247"/>
      <c r="AQ1137" s="247"/>
      <c r="AR1137" s="247"/>
      <c r="AS1137" s="247"/>
      <c r="AT1137" s="247"/>
      <c r="AU1137" s="247"/>
      <c r="AV1137" s="247"/>
      <c r="AW1137" s="247"/>
      <c r="AX1137" s="247"/>
      <c r="AY1137" s="247"/>
      <c r="AZ1137" s="247"/>
      <c r="BA1137" s="247"/>
      <c r="BB1137" s="247"/>
      <c r="BC1137" s="247"/>
      <c r="BD1137" s="247"/>
      <c r="BE1137" s="247"/>
      <c r="BF1137" s="247"/>
      <c r="BG1137" s="247"/>
      <c r="BH1137" s="247"/>
      <c r="BI1137" s="247"/>
      <c r="BJ1137" s="247"/>
      <c r="BK1137" s="247"/>
      <c r="BL1137" s="247"/>
      <c r="BM1137" s="247"/>
      <c r="BN1137" s="247"/>
      <c r="BO1137" s="247"/>
      <c r="BP1137" s="247"/>
      <c r="BQ1137" s="247"/>
      <c r="BR1137" s="247"/>
      <c r="BS1137" s="247"/>
      <c r="BT1137" s="247"/>
      <c r="BU1137" s="247"/>
      <c r="BV1137" s="247"/>
      <c r="BW1137" s="247"/>
      <c r="BX1137" s="247"/>
      <c r="BY1137" s="247"/>
      <c r="BZ1137" s="247"/>
      <c r="CA1137" s="247"/>
      <c r="CB1137" s="247"/>
      <c r="CC1137" s="247"/>
      <c r="CD1137" s="247"/>
      <c r="CE1137" s="247"/>
      <c r="CF1137" s="247"/>
      <c r="CG1137" s="247"/>
      <c r="CH1137" s="247"/>
      <c r="CI1137" s="247"/>
      <c r="CJ1137" s="247"/>
      <c r="CK1137" s="247"/>
      <c r="CL1137" s="247"/>
      <c r="CM1137" s="247"/>
      <c r="CN1137" s="247"/>
      <c r="CO1137" s="247"/>
      <c r="CP1137" s="247"/>
      <c r="CQ1137" s="247"/>
      <c r="CR1137" s="247"/>
      <c r="CS1137" s="247"/>
      <c r="CT1137" s="247"/>
      <c r="CU1137" s="247"/>
      <c r="CV1137" s="247"/>
      <c r="CW1137" s="247"/>
      <c r="CX1137" s="247"/>
      <c r="CY1137" s="247"/>
      <c r="CZ1137" s="248"/>
      <c r="DA1137" s="248"/>
      <c r="DB1137" s="248"/>
      <c r="DC1137" s="248"/>
      <c r="DD1137" s="248"/>
      <c r="DE1137" s="248"/>
      <c r="DF1137" s="248"/>
      <c r="DG1137" s="248"/>
      <c r="DH1137" s="248"/>
      <c r="DI1137" s="248"/>
      <c r="DJ1137" s="248"/>
      <c r="DK1137" s="248"/>
      <c r="DL1137" s="248"/>
      <c r="DM1137" s="248"/>
      <c r="DN1137" s="248"/>
      <c r="DO1137" s="248"/>
      <c r="DP1137" s="248"/>
      <c r="DQ1137" s="248"/>
      <c r="DR1137" s="248"/>
      <c r="DS1137" s="248"/>
      <c r="DT1137" s="248"/>
      <c r="DU1137" s="248"/>
      <c r="DV1137" s="248"/>
      <c r="DW1137" s="248"/>
      <c r="DX1137" s="248"/>
      <c r="DY1137" s="248"/>
      <c r="DZ1137" s="248"/>
      <c r="EA1137" s="248"/>
      <c r="EB1137" s="248"/>
      <c r="EC1137" s="248"/>
      <c r="ED1137" s="248"/>
      <c r="EE1137" s="248"/>
      <c r="EF1137" s="248"/>
      <c r="EG1137" s="248"/>
      <c r="EH1137" s="248"/>
      <c r="EI1137" s="248"/>
      <c r="EJ1137" s="248"/>
      <c r="EK1137" s="248"/>
      <c r="EL1137" s="357"/>
      <c r="EM1137" s="264"/>
      <c r="EN1137" s="249"/>
      <c r="EO1137" s="249"/>
      <c r="EP1137" s="249"/>
      <c r="EQ1137" s="352"/>
    </row>
    <row r="1138" spans="1:149" s="243" customFormat="1" ht="11.25" hidden="1" customHeight="1">
      <c r="B1138" s="355"/>
      <c r="C1138" s="265"/>
      <c r="D1138" s="265"/>
      <c r="E1138" s="265"/>
      <c r="F1138" s="265"/>
      <c r="G1138" s="265"/>
      <c r="H1138" s="265"/>
      <c r="I1138" s="265"/>
      <c r="J1138" s="265"/>
      <c r="K1138" s="265"/>
      <c r="L1138" s="265"/>
      <c r="M1138" s="265"/>
      <c r="N1138" s="265"/>
      <c r="O1138" s="265"/>
      <c r="P1138" s="265"/>
      <c r="Q1138" s="265"/>
      <c r="R1138" s="265"/>
      <c r="S1138" s="265"/>
      <c r="T1138" s="265"/>
      <c r="U1138" s="265"/>
      <c r="V1138" s="265"/>
      <c r="W1138" s="265"/>
      <c r="X1138" s="265"/>
      <c r="Y1138" s="265"/>
      <c r="Z1138" s="265"/>
      <c r="AA1138" s="265"/>
      <c r="AB1138" s="265"/>
      <c r="AC1138" s="265"/>
      <c r="AD1138" s="265"/>
      <c r="AE1138" s="265"/>
      <c r="AF1138" s="265"/>
      <c r="AG1138" s="265"/>
      <c r="AH1138" s="265"/>
      <c r="AI1138" s="265"/>
      <c r="AJ1138" s="265"/>
      <c r="AK1138" s="265"/>
      <c r="AL1138" s="265"/>
      <c r="AM1138" s="265"/>
      <c r="AN1138" s="265"/>
      <c r="AO1138" s="265"/>
      <c r="AP1138" s="265"/>
      <c r="AQ1138" s="265"/>
      <c r="AR1138" s="265"/>
      <c r="AS1138" s="265"/>
      <c r="AT1138" s="265"/>
      <c r="AU1138" s="265"/>
      <c r="AV1138" s="265"/>
      <c r="AW1138" s="265"/>
      <c r="AX1138" s="265"/>
      <c r="AY1138" s="265"/>
      <c r="AZ1138" s="265"/>
      <c r="BA1138" s="265"/>
      <c r="BB1138" s="265"/>
      <c r="BC1138" s="265"/>
      <c r="BD1138" s="265"/>
      <c r="BE1138" s="265"/>
      <c r="BF1138" s="265"/>
      <c r="BG1138" s="265"/>
      <c r="BH1138" s="265"/>
      <c r="BI1138" s="265"/>
      <c r="BJ1138" s="265"/>
      <c r="BK1138" s="265"/>
      <c r="BL1138" s="265"/>
      <c r="BM1138" s="265"/>
      <c r="BN1138" s="265"/>
      <c r="BO1138" s="265"/>
      <c r="BP1138" s="265"/>
      <c r="BQ1138" s="265"/>
      <c r="BR1138" s="265"/>
      <c r="BS1138" s="265"/>
      <c r="BT1138" s="265"/>
      <c r="BU1138" s="265"/>
      <c r="BV1138" s="265"/>
      <c r="BW1138" s="265"/>
      <c r="BX1138" s="265"/>
      <c r="BY1138" s="265"/>
      <c r="BZ1138" s="265"/>
      <c r="CA1138" s="265"/>
      <c r="CB1138" s="265"/>
      <c r="CC1138" s="265"/>
      <c r="CD1138" s="265"/>
      <c r="CE1138" s="265"/>
      <c r="CF1138" s="265"/>
      <c r="CG1138" s="265"/>
      <c r="CH1138" s="265"/>
      <c r="CI1138" s="265"/>
      <c r="CJ1138" s="265"/>
      <c r="CK1138" s="265"/>
      <c r="CL1138" s="265"/>
      <c r="CM1138" s="265"/>
      <c r="CN1138" s="265"/>
      <c r="CO1138" s="265"/>
      <c r="CP1138" s="265"/>
      <c r="CQ1138" s="265"/>
      <c r="CR1138" s="265"/>
      <c r="CS1138" s="265"/>
      <c r="CT1138" s="265"/>
      <c r="CU1138" s="265"/>
      <c r="CV1138" s="265"/>
      <c r="CW1138" s="265"/>
      <c r="CX1138" s="265"/>
      <c r="CY1138" s="265"/>
      <c r="CZ1138" s="314"/>
      <c r="DA1138" s="314"/>
      <c r="DB1138" s="314"/>
      <c r="DC1138" s="314"/>
      <c r="DD1138" s="314"/>
      <c r="DE1138" s="314"/>
      <c r="DF1138" s="314"/>
      <c r="DG1138" s="314"/>
      <c r="DH1138" s="314"/>
      <c r="DI1138" s="314"/>
      <c r="DJ1138" s="314"/>
      <c r="DK1138" s="314"/>
      <c r="DL1138" s="314"/>
      <c r="DM1138" s="314"/>
      <c r="DN1138" s="314"/>
      <c r="DO1138" s="314"/>
      <c r="DP1138" s="314"/>
      <c r="DQ1138" s="314"/>
      <c r="DR1138" s="314"/>
      <c r="DS1138" s="314"/>
      <c r="DT1138" s="314"/>
      <c r="DU1138" s="314"/>
      <c r="DV1138" s="314"/>
      <c r="DW1138" s="314"/>
      <c r="DX1138" s="314"/>
      <c r="DY1138" s="314"/>
      <c r="DZ1138" s="314"/>
      <c r="EA1138" s="314"/>
      <c r="EB1138" s="314"/>
      <c r="EC1138" s="314"/>
      <c r="ED1138" s="314"/>
      <c r="EE1138" s="314"/>
      <c r="EF1138" s="314"/>
      <c r="EG1138" s="314"/>
      <c r="EH1138" s="314"/>
      <c r="EI1138" s="314"/>
      <c r="EJ1138" s="314"/>
      <c r="EK1138" s="314"/>
      <c r="EL1138" s="356"/>
      <c r="EM1138" s="268"/>
      <c r="EN1138" s="269"/>
      <c r="EO1138" s="269"/>
      <c r="EP1138" s="269"/>
      <c r="EQ1138" s="358"/>
    </row>
    <row r="1139" spans="1:149" s="243" customFormat="1" ht="11.25" hidden="1" customHeight="1">
      <c r="A1139" s="243">
        <v>26</v>
      </c>
      <c r="B1139" s="1782">
        <f>A1139</f>
        <v>26</v>
      </c>
      <c r="C1139" s="1781"/>
      <c r="D1139" s="1781"/>
      <c r="E1139" s="344" t="s">
        <v>899</v>
      </c>
      <c r="F1139" s="240"/>
      <c r="G1139" s="240"/>
      <c r="H1139" s="240"/>
      <c r="I1139" s="240"/>
      <c r="J1139" s="240"/>
      <c r="K1139" s="240"/>
      <c r="L1139" s="240"/>
      <c r="M1139" s="240"/>
      <c r="N1139" s="240"/>
      <c r="O1139" s="240"/>
      <c r="P1139" s="240"/>
      <c r="Q1139" s="240"/>
      <c r="R1139" s="240"/>
      <c r="S1139" s="240"/>
      <c r="T1139" s="240"/>
      <c r="U1139" s="240"/>
      <c r="V1139" s="240"/>
      <c r="W1139" s="240"/>
      <c r="X1139" s="240"/>
      <c r="Y1139" s="240"/>
      <c r="Z1139" s="240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0"/>
      <c r="BN1139" s="240"/>
      <c r="BO1139" s="240"/>
      <c r="BP1139" s="240"/>
      <c r="BQ1139" s="240"/>
      <c r="BR1139" s="240"/>
      <c r="BS1139" s="240"/>
      <c r="BT1139" s="240"/>
      <c r="BU1139" s="240"/>
      <c r="BV1139" s="240"/>
      <c r="BW1139" s="240"/>
      <c r="BX1139" s="240"/>
      <c r="BY1139" s="240"/>
      <c r="BZ1139" s="240"/>
      <c r="CA1139" s="240"/>
      <c r="CB1139" s="240"/>
      <c r="CC1139" s="240"/>
      <c r="CD1139" s="240"/>
      <c r="CE1139" s="240"/>
      <c r="CF1139" s="240"/>
      <c r="CG1139" s="240"/>
      <c r="CH1139" s="240"/>
      <c r="CI1139" s="240"/>
      <c r="CJ1139" s="240"/>
      <c r="CK1139" s="240"/>
      <c r="CL1139" s="240"/>
      <c r="CM1139" s="240"/>
      <c r="CN1139" s="240"/>
      <c r="CO1139" s="240"/>
      <c r="CP1139" s="240"/>
      <c r="CQ1139" s="240"/>
      <c r="CR1139" s="240"/>
      <c r="CS1139" s="240"/>
      <c r="CT1139" s="240"/>
      <c r="CU1139" s="240"/>
      <c r="CV1139" s="240"/>
      <c r="CW1139" s="240"/>
      <c r="CX1139" s="240"/>
      <c r="CY1139" s="240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1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345"/>
      <c r="EM1139" s="242" t="e">
        <f>EM1185</f>
        <v>#REF!</v>
      </c>
      <c r="EN1139" s="242" t="e">
        <f>EN1185</f>
        <v>#REF!</v>
      </c>
      <c r="EO1139" s="242" t="e">
        <f>EO1185</f>
        <v>#REF!</v>
      </c>
      <c r="EP1139" s="242" t="e">
        <f>EP1185</f>
        <v>#REF!</v>
      </c>
      <c r="EQ1139" s="312" t="s">
        <v>906</v>
      </c>
      <c r="ES1139" s="800">
        <f>A1139</f>
        <v>26</v>
      </c>
    </row>
    <row r="1140" spans="1:149" s="243" customFormat="1" ht="11.25" hidden="1" customHeight="1">
      <c r="B1140" s="343"/>
      <c r="C1140" s="240"/>
      <c r="D1140" s="240"/>
      <c r="E1140" s="240" t="s">
        <v>674</v>
      </c>
      <c r="F1140" s="240"/>
      <c r="G1140" s="240"/>
      <c r="H1140" s="240" t="s">
        <v>622</v>
      </c>
      <c r="I1140" s="240"/>
      <c r="J1140" s="240"/>
      <c r="K1140" s="240" t="s">
        <v>842</v>
      </c>
      <c r="L1140" s="240"/>
      <c r="M1140" s="240"/>
      <c r="N1140" s="240" t="s">
        <v>132</v>
      </c>
      <c r="O1140" s="240"/>
      <c r="P1140" s="240" t="s">
        <v>691</v>
      </c>
      <c r="Q1140" s="240"/>
      <c r="R1140" s="240"/>
      <c r="S1140" s="240"/>
      <c r="T1140" s="240"/>
      <c r="U1140" s="240"/>
      <c r="V1140" s="240"/>
      <c r="W1140" s="240"/>
      <c r="X1140" s="240"/>
      <c r="Y1140" s="240"/>
      <c r="Z1140" s="240"/>
      <c r="AA1140" s="240"/>
      <c r="AB1140" s="240" t="s">
        <v>772</v>
      </c>
      <c r="AC1140" s="240"/>
      <c r="AD1140" s="240"/>
      <c r="AE1140" s="240"/>
      <c r="AF1140" s="240"/>
      <c r="AG1140" s="240"/>
      <c r="AM1140" s="240"/>
      <c r="AN1140" s="240"/>
      <c r="AO1140" s="240"/>
      <c r="AP1140" s="240"/>
      <c r="AQ1140" s="240"/>
      <c r="AR1140" s="240"/>
      <c r="AS1140" s="240"/>
      <c r="AT1140" s="240"/>
      <c r="AU1140" s="240"/>
      <c r="AV1140" s="240"/>
      <c r="AW1140" s="240"/>
      <c r="AX1140" s="240"/>
      <c r="AY1140" s="240"/>
      <c r="AZ1140" s="240"/>
      <c r="BA1140" s="240"/>
      <c r="BB1140" s="240"/>
      <c r="BC1140" s="240"/>
      <c r="BD1140" s="240"/>
      <c r="BE1140" s="240"/>
      <c r="BF1140" s="240"/>
      <c r="BG1140" s="240"/>
      <c r="BH1140" s="240"/>
      <c r="BI1140" s="240"/>
      <c r="BJ1140" s="240"/>
      <c r="BK1140" s="240"/>
      <c r="BL1140" s="240"/>
      <c r="BM1140" s="240"/>
      <c r="BN1140" s="240"/>
      <c r="BO1140" s="240"/>
      <c r="BP1140" s="240"/>
      <c r="BQ1140" s="240"/>
      <c r="BR1140" s="240"/>
      <c r="BS1140" s="240"/>
      <c r="BT1140" s="240"/>
      <c r="BU1140" s="240"/>
      <c r="BV1140" s="240"/>
      <c r="BW1140" s="240"/>
      <c r="BX1140" s="240"/>
      <c r="BY1140" s="240"/>
      <c r="BZ1140" s="240"/>
      <c r="CA1140" s="240"/>
      <c r="CB1140" s="240"/>
      <c r="CC1140" s="240"/>
      <c r="CD1140" s="240"/>
      <c r="CE1140" s="240"/>
      <c r="CF1140" s="240"/>
      <c r="CG1140" s="240"/>
      <c r="CH1140" s="240"/>
      <c r="CI1140" s="240"/>
      <c r="CJ1140" s="240"/>
      <c r="CK1140" s="240"/>
      <c r="CL1140" s="240"/>
      <c r="CM1140" s="240"/>
      <c r="CN1140" s="240"/>
      <c r="CO1140" s="240"/>
      <c r="CP1140" s="240"/>
      <c r="CQ1140" s="240"/>
      <c r="CR1140" s="240"/>
      <c r="CS1140" s="240"/>
      <c r="CT1140" s="240"/>
      <c r="CU1140" s="240"/>
      <c r="CV1140" s="240"/>
      <c r="CW1140" s="240"/>
      <c r="CX1140" s="240"/>
      <c r="CY1140" s="240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1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345"/>
      <c r="EM1140" s="245"/>
      <c r="EN1140" s="245"/>
      <c r="EO1140" s="245"/>
      <c r="EP1140" s="245"/>
      <c r="EQ1140" s="351"/>
    </row>
    <row r="1141" spans="1:149" s="243" customFormat="1" ht="11.25" hidden="1" customHeight="1">
      <c r="B1141" s="343"/>
      <c r="C1141" s="240"/>
      <c r="D1141" s="240"/>
      <c r="E1141" s="240"/>
      <c r="F1141" s="240"/>
      <c r="G1141" s="240"/>
      <c r="H1141" s="240" t="s">
        <v>843</v>
      </c>
      <c r="I1141" s="240"/>
      <c r="J1141" s="240"/>
      <c r="K1141" s="240" t="s">
        <v>134</v>
      </c>
      <c r="L1141" s="240"/>
      <c r="M1141" s="240" t="str">
        <f>TEXT(0.7,"#,##0.#######")</f>
        <v>0.7</v>
      </c>
      <c r="N1141" s="240"/>
      <c r="O1141" s="240"/>
      <c r="P1141" s="240"/>
      <c r="Q1141" s="240"/>
      <c r="R1141" s="240"/>
      <c r="S1141" s="240"/>
      <c r="T1141" s="240"/>
      <c r="U1141" s="240" t="s">
        <v>774</v>
      </c>
      <c r="V1141" s="240"/>
      <c r="W1141" s="240" t="s">
        <v>134</v>
      </c>
      <c r="X1141" s="240"/>
      <c r="Y1141" s="240" t="str">
        <f>TEXT(1,"#,##0.#######")</f>
        <v>1.</v>
      </c>
      <c r="Z1141" s="240"/>
      <c r="AA1141" s="240" t="s">
        <v>139</v>
      </c>
      <c r="AB1141" s="240"/>
      <c r="AC1141" s="240" t="str">
        <f>TEXT(1.5,"#,##0.#######")</f>
        <v>1.5</v>
      </c>
      <c r="AD1141" s="240"/>
      <c r="AE1141" s="240"/>
      <c r="AF1141" s="240"/>
      <c r="AG1141" s="240" t="s">
        <v>134</v>
      </c>
      <c r="AH1141" s="240"/>
      <c r="AI1141" s="240" t="str">
        <f>TEXT(ROUND(Y1141/AC1141,2),"#,##0.#######")</f>
        <v>0.67</v>
      </c>
      <c r="AJ1141" s="240"/>
      <c r="AK1141" s="240"/>
      <c r="AL1141" s="240"/>
      <c r="AM1141" s="240"/>
      <c r="AN1141" s="240"/>
      <c r="AO1141" s="240"/>
      <c r="AP1141" s="240"/>
      <c r="AQ1141" s="240"/>
      <c r="AR1141" s="240"/>
      <c r="AS1141" s="240"/>
      <c r="AT1141" s="240" t="s">
        <v>775</v>
      </c>
      <c r="AU1141" s="240"/>
      <c r="AV1141" s="240" t="s">
        <v>134</v>
      </c>
      <c r="AW1141" s="240"/>
      <c r="AX1141" s="240" t="str">
        <f>TEXT(0.55,"#,##0.#######")</f>
        <v>0.55</v>
      </c>
      <c r="AY1141" s="240"/>
      <c r="AZ1141" s="240"/>
      <c r="BA1141" s="240"/>
      <c r="BB1141" s="240"/>
      <c r="BC1141" s="240"/>
      <c r="BD1141" s="240"/>
      <c r="BE1141" s="240"/>
      <c r="BF1141" s="240"/>
      <c r="BG1141" s="240"/>
      <c r="BH1141" s="240"/>
      <c r="BI1141" s="240"/>
      <c r="BJ1141" s="240"/>
      <c r="BK1141" s="240"/>
      <c r="BL1141" s="240"/>
      <c r="BM1141" s="240"/>
      <c r="BN1141" s="240"/>
      <c r="BO1141" s="240"/>
      <c r="BP1141" s="240"/>
      <c r="BQ1141" s="240"/>
      <c r="BR1141" s="240"/>
      <c r="BS1141" s="240"/>
      <c r="BT1141" s="240"/>
      <c r="BU1141" s="240"/>
      <c r="BV1141" s="240"/>
      <c r="BW1141" s="240"/>
      <c r="BX1141" s="240"/>
      <c r="BY1141" s="240"/>
      <c r="BZ1141" s="240"/>
      <c r="CA1141" s="240"/>
      <c r="CB1141" s="240"/>
      <c r="CC1141" s="240"/>
      <c r="CD1141" s="240"/>
      <c r="CE1141" s="240"/>
      <c r="CF1141" s="240"/>
      <c r="CG1141" s="240"/>
      <c r="CH1141" s="240"/>
      <c r="CI1141" s="240"/>
      <c r="CJ1141" s="240"/>
      <c r="CK1141" s="240"/>
      <c r="CL1141" s="240"/>
      <c r="CM1141" s="240"/>
      <c r="CN1141" s="240"/>
      <c r="CO1141" s="240"/>
      <c r="CP1141" s="240"/>
      <c r="CQ1141" s="240"/>
      <c r="CR1141" s="240"/>
      <c r="CS1141" s="240"/>
      <c r="CT1141" s="240"/>
      <c r="CU1141" s="240"/>
      <c r="CV1141" s="240"/>
      <c r="CW1141" s="240"/>
      <c r="CX1141" s="240"/>
      <c r="CY1141" s="240"/>
      <c r="CZ1141" s="241"/>
      <c r="DA1141" s="241"/>
      <c r="DB1141" s="241"/>
      <c r="DC1141" s="241"/>
      <c r="DD1141" s="241"/>
      <c r="DE1141" s="241"/>
      <c r="DF1141" s="241"/>
      <c r="DG1141" s="241"/>
      <c r="DH1141" s="241"/>
      <c r="DI1141" s="241"/>
      <c r="DJ1141" s="241"/>
      <c r="DK1141" s="241"/>
      <c r="DL1141" s="241"/>
      <c r="DM1141" s="241"/>
      <c r="DN1141" s="241"/>
      <c r="DO1141" s="241"/>
      <c r="DP1141" s="241"/>
      <c r="DQ1141" s="241"/>
      <c r="DR1141" s="241"/>
      <c r="DS1141" s="241"/>
      <c r="DT1141" s="241"/>
      <c r="DU1141" s="241"/>
      <c r="DV1141" s="241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345"/>
      <c r="EM1141" s="245"/>
      <c r="EN1141" s="245"/>
      <c r="EO1141" s="245"/>
      <c r="EP1141" s="245"/>
      <c r="EQ1141" s="351"/>
    </row>
    <row r="1142" spans="1:149" s="243" customFormat="1" ht="11.25" hidden="1" customHeight="1">
      <c r="B1142" s="343"/>
      <c r="C1142" s="240"/>
      <c r="D1142" s="240"/>
      <c r="E1142" s="240"/>
      <c r="F1142" s="240"/>
      <c r="G1142" s="240"/>
      <c r="H1142" s="240"/>
      <c r="I1142" s="240"/>
      <c r="J1142" s="240"/>
      <c r="K1142" s="240"/>
      <c r="L1142" s="240"/>
      <c r="M1142" s="240"/>
      <c r="N1142" s="240"/>
      <c r="O1142" s="240"/>
      <c r="P1142" s="240"/>
      <c r="Q1142" s="240"/>
      <c r="R1142" s="240"/>
      <c r="S1142" s="240"/>
      <c r="T1142" s="240"/>
      <c r="U1142" s="240"/>
      <c r="V1142" s="240"/>
      <c r="W1142" s="240"/>
      <c r="X1142" s="240"/>
      <c r="Y1142" s="240"/>
      <c r="Z1142" s="240"/>
      <c r="AA1142" s="240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240"/>
      <c r="AM1142" s="240"/>
      <c r="AN1142" s="240"/>
      <c r="AO1142" s="240"/>
      <c r="AP1142" s="240"/>
      <c r="AQ1142" s="240"/>
      <c r="AR1142" s="240"/>
      <c r="AS1142" s="240"/>
      <c r="AT1142" s="240"/>
      <c r="AU1142" s="240"/>
      <c r="AV1142" s="240"/>
      <c r="AW1142" s="240"/>
      <c r="AX1142" s="240"/>
      <c r="AY1142" s="240"/>
      <c r="AZ1142" s="240"/>
      <c r="BA1142" s="240"/>
      <c r="BB1142" s="240"/>
      <c r="BC1142" s="240"/>
      <c r="BD1142" s="240"/>
      <c r="BE1142" s="240"/>
      <c r="BF1142" s="240"/>
      <c r="BG1142" s="240"/>
      <c r="BH1142" s="240"/>
      <c r="BI1142" s="240"/>
      <c r="BJ1142" s="240"/>
      <c r="BK1142" s="240"/>
      <c r="BL1142" s="240"/>
      <c r="BM1142" s="240"/>
      <c r="BN1142" s="240"/>
      <c r="BO1142" s="240"/>
      <c r="BP1142" s="240"/>
      <c r="BQ1142" s="240"/>
      <c r="BR1142" s="240"/>
      <c r="BS1142" s="240"/>
      <c r="BT1142" s="240"/>
      <c r="BU1142" s="240"/>
      <c r="BV1142" s="240"/>
      <c r="BW1142" s="240"/>
      <c r="BX1142" s="240"/>
      <c r="BY1142" s="240"/>
      <c r="BZ1142" s="240"/>
      <c r="CA1142" s="240"/>
      <c r="CB1142" s="240"/>
      <c r="CC1142" s="240"/>
      <c r="CD1142" s="240"/>
      <c r="CE1142" s="240"/>
      <c r="CF1142" s="240"/>
      <c r="CG1142" s="240"/>
      <c r="CH1142" s="240"/>
      <c r="CI1142" s="240"/>
      <c r="CJ1142" s="240"/>
      <c r="CK1142" s="240"/>
      <c r="CL1142" s="240"/>
      <c r="CM1142" s="240"/>
      <c r="CN1142" s="240"/>
      <c r="CO1142" s="240"/>
      <c r="CP1142" s="240"/>
      <c r="CQ1142" s="240"/>
      <c r="CR1142" s="240"/>
      <c r="CS1142" s="240"/>
      <c r="CT1142" s="240"/>
      <c r="CU1142" s="240"/>
      <c r="CV1142" s="240"/>
      <c r="CW1142" s="240"/>
      <c r="CX1142" s="240"/>
      <c r="CY1142" s="240"/>
      <c r="CZ1142" s="241"/>
      <c r="DA1142" s="241"/>
      <c r="DB1142" s="241"/>
      <c r="DC1142" s="241"/>
      <c r="DD1142" s="241"/>
      <c r="DE1142" s="241"/>
      <c r="DF1142" s="241"/>
      <c r="DG1142" s="241"/>
      <c r="DH1142" s="241"/>
      <c r="DI1142" s="241"/>
      <c r="DJ1142" s="241"/>
      <c r="DK1142" s="241"/>
      <c r="DL1142" s="241"/>
      <c r="DM1142" s="241"/>
      <c r="DN1142" s="241"/>
      <c r="DO1142" s="241"/>
      <c r="DP1142" s="241"/>
      <c r="DQ1142" s="241"/>
      <c r="DR1142" s="241"/>
      <c r="DS1142" s="241"/>
      <c r="DT1142" s="241"/>
      <c r="DU1142" s="241"/>
      <c r="DV1142" s="241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345"/>
      <c r="EM1142" s="245"/>
      <c r="EN1142" s="245"/>
      <c r="EO1142" s="245"/>
      <c r="EP1142" s="245"/>
      <c r="EQ1142" s="351"/>
    </row>
    <row r="1143" spans="1:149" s="243" customFormat="1" ht="11.25" hidden="1" customHeight="1">
      <c r="B1143" s="343"/>
      <c r="C1143" s="240"/>
      <c r="D1143" s="240"/>
      <c r="E1143" s="240"/>
      <c r="F1143" s="240"/>
      <c r="G1143" s="240"/>
      <c r="H1143" s="240" t="s">
        <v>844</v>
      </c>
      <c r="I1143" s="240"/>
      <c r="J1143" s="240"/>
      <c r="K1143" s="240" t="s">
        <v>134</v>
      </c>
      <c r="L1143" s="240"/>
      <c r="M1143" s="240" t="str">
        <f>TEXT(0.45,"#,##0.#######")</f>
        <v>0.45</v>
      </c>
      <c r="N1143" s="240"/>
      <c r="O1143" s="240"/>
      <c r="P1143" s="240"/>
      <c r="Q1143" s="240"/>
      <c r="R1143" s="240"/>
      <c r="S1143" s="240"/>
      <c r="T1143" s="240"/>
      <c r="U1143" s="240"/>
      <c r="V1143" s="240" t="s">
        <v>845</v>
      </c>
      <c r="W1143" s="240"/>
      <c r="X1143" s="240"/>
      <c r="Y1143" s="240"/>
      <c r="Z1143" s="240" t="s">
        <v>134</v>
      </c>
      <c r="AA1143" s="240"/>
      <c r="AB1143" s="240" t="str">
        <f>TEXT(20,"#,##0.#######")</f>
        <v>20.</v>
      </c>
      <c r="AC1143" s="240"/>
      <c r="AD1143" s="240" t="s">
        <v>776</v>
      </c>
      <c r="AE1143" s="240"/>
      <c r="AF1143" s="240"/>
      <c r="AG1143" s="240" t="s">
        <v>147</v>
      </c>
      <c r="AH1143" s="240" t="s">
        <v>553</v>
      </c>
      <c r="AI1143" s="240"/>
      <c r="AJ1143" s="240"/>
      <c r="AK1143" s="240" t="s">
        <v>777</v>
      </c>
      <c r="AL1143" s="240"/>
      <c r="AM1143" s="240" t="s">
        <v>148</v>
      </c>
      <c r="AN1143" s="240"/>
      <c r="AO1143" s="240"/>
      <c r="AP1143" s="240"/>
      <c r="AQ1143" s="240"/>
      <c r="AR1143" s="240"/>
      <c r="AS1143" s="240"/>
      <c r="AT1143" s="240"/>
      <c r="AU1143" s="240"/>
      <c r="AV1143" s="240"/>
      <c r="AW1143" s="240"/>
      <c r="AX1143" s="240"/>
      <c r="AY1143" s="240"/>
      <c r="AZ1143" s="240"/>
      <c r="BA1143" s="240"/>
      <c r="BB1143" s="240"/>
      <c r="BC1143" s="240"/>
      <c r="BD1143" s="240"/>
      <c r="BE1143" s="240"/>
      <c r="BF1143" s="240"/>
      <c r="BG1143" s="240"/>
      <c r="BH1143" s="240"/>
      <c r="BI1143" s="240"/>
      <c r="BJ1143" s="240"/>
      <c r="BK1143" s="240"/>
      <c r="BL1143" s="240"/>
      <c r="BM1143" s="240"/>
      <c r="BN1143" s="240"/>
      <c r="BO1143" s="240"/>
      <c r="BP1143" s="240"/>
      <c r="BQ1143" s="240"/>
      <c r="BR1143" s="240"/>
      <c r="BS1143" s="240"/>
      <c r="BT1143" s="240"/>
      <c r="BU1143" s="240"/>
      <c r="BV1143" s="240"/>
      <c r="BW1143" s="240"/>
      <c r="BX1143" s="240"/>
      <c r="BY1143" s="240"/>
      <c r="BZ1143" s="240"/>
      <c r="CA1143" s="240"/>
      <c r="CB1143" s="240"/>
      <c r="CC1143" s="240"/>
      <c r="CD1143" s="240"/>
      <c r="CE1143" s="240"/>
      <c r="CF1143" s="240"/>
      <c r="CG1143" s="240"/>
      <c r="CH1143" s="240"/>
      <c r="CI1143" s="240"/>
      <c r="CJ1143" s="240"/>
      <c r="CK1143" s="240"/>
      <c r="CL1143" s="240"/>
      <c r="CM1143" s="240"/>
      <c r="CN1143" s="240"/>
      <c r="CO1143" s="240"/>
      <c r="CP1143" s="240"/>
      <c r="CQ1143" s="240"/>
      <c r="CR1143" s="240"/>
      <c r="CS1143" s="240"/>
      <c r="CT1143" s="240"/>
      <c r="CU1143" s="240"/>
      <c r="CV1143" s="240"/>
      <c r="CW1143" s="240"/>
      <c r="CX1143" s="240"/>
      <c r="CY1143" s="240"/>
      <c r="CZ1143" s="241"/>
      <c r="DA1143" s="241"/>
      <c r="DB1143" s="241"/>
      <c r="DC1143" s="241"/>
      <c r="DD1143" s="241"/>
      <c r="DE1143" s="241"/>
      <c r="DF1143" s="241"/>
      <c r="DG1143" s="241"/>
      <c r="DH1143" s="241"/>
      <c r="DI1143" s="241"/>
      <c r="DJ1143" s="241"/>
      <c r="DK1143" s="241"/>
      <c r="DL1143" s="241"/>
      <c r="DM1143" s="241"/>
      <c r="DN1143" s="241"/>
      <c r="DO1143" s="241"/>
      <c r="DP1143" s="241"/>
      <c r="DQ1143" s="241"/>
      <c r="DR1143" s="241"/>
      <c r="DS1143" s="241"/>
      <c r="DT1143" s="241"/>
      <c r="DU1143" s="241"/>
      <c r="DV1143" s="241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345"/>
      <c r="EM1143" s="245"/>
      <c r="EN1143" s="245"/>
      <c r="EO1143" s="245"/>
      <c r="EP1143" s="245"/>
      <c r="EQ1143" s="351"/>
    </row>
    <row r="1144" spans="1:149" s="243" customFormat="1" ht="11.25" hidden="1" customHeight="1">
      <c r="B1144" s="343"/>
      <c r="C1144" s="240"/>
      <c r="D1144" s="240"/>
      <c r="E1144" s="240"/>
      <c r="F1144" s="240"/>
      <c r="G1144" s="240"/>
      <c r="H1144" s="240"/>
      <c r="I1144" s="240"/>
      <c r="J1144" s="240"/>
      <c r="K1144" s="240"/>
      <c r="L1144" s="240"/>
      <c r="M1144" s="240"/>
      <c r="N1144" s="240"/>
      <c r="O1144" s="240"/>
      <c r="P1144" s="240"/>
      <c r="Q1144" s="240"/>
      <c r="R1144" s="240"/>
      <c r="S1144" s="240"/>
      <c r="T1144" s="240"/>
      <c r="U1144" s="240"/>
      <c r="V1144" s="240"/>
      <c r="W1144" s="240"/>
      <c r="X1144" s="240"/>
      <c r="Y1144" s="240"/>
      <c r="Z1144" s="240"/>
      <c r="AA1144" s="240"/>
      <c r="AB1144" s="240"/>
      <c r="AC1144" s="240"/>
      <c r="AD1144" s="240"/>
      <c r="AE1144" s="240"/>
      <c r="AF1144" s="240"/>
      <c r="AG1144" s="240"/>
      <c r="AH1144" s="240"/>
      <c r="AI1144" s="240"/>
      <c r="AJ1144" s="240"/>
      <c r="AK1144" s="240"/>
      <c r="AL1144" s="240"/>
      <c r="AM1144" s="240"/>
      <c r="AN1144" s="240"/>
      <c r="AO1144" s="240"/>
      <c r="AP1144" s="240"/>
      <c r="AQ1144" s="240"/>
      <c r="AR1144" s="240"/>
      <c r="AS1144" s="240"/>
      <c r="AT1144" s="240"/>
      <c r="AU1144" s="240"/>
      <c r="AV1144" s="240"/>
      <c r="AW1144" s="240"/>
      <c r="AX1144" s="240"/>
      <c r="AY1144" s="240"/>
      <c r="AZ1144" s="240"/>
      <c r="BA1144" s="240"/>
      <c r="BB1144" s="240"/>
      <c r="BC1144" s="240"/>
      <c r="BD1144" s="240"/>
      <c r="BE1144" s="240"/>
      <c r="BF1144" s="240"/>
      <c r="BG1144" s="240"/>
      <c r="BH1144" s="240"/>
      <c r="BI1144" s="240"/>
      <c r="BJ1144" s="240"/>
      <c r="BK1144" s="240"/>
      <c r="BL1144" s="240"/>
      <c r="BM1144" s="240"/>
      <c r="BN1144" s="240"/>
      <c r="BO1144" s="240"/>
      <c r="BP1144" s="240"/>
      <c r="BQ1144" s="240"/>
      <c r="BR1144" s="240"/>
      <c r="BS1144" s="240"/>
      <c r="BT1144" s="240"/>
      <c r="BU1144" s="240"/>
      <c r="BV1144" s="240"/>
      <c r="BW1144" s="240"/>
      <c r="BX1144" s="240"/>
      <c r="BY1144" s="240"/>
      <c r="BZ1144" s="240"/>
      <c r="CA1144" s="240"/>
      <c r="CB1144" s="240"/>
      <c r="CC1144" s="240"/>
      <c r="CD1144" s="240"/>
      <c r="CE1144" s="240"/>
      <c r="CF1144" s="240"/>
      <c r="CG1144" s="240"/>
      <c r="CH1144" s="240"/>
      <c r="CI1144" s="240"/>
      <c r="CJ1144" s="240"/>
      <c r="CK1144" s="240"/>
      <c r="CL1144" s="240"/>
      <c r="CM1144" s="240"/>
      <c r="CN1144" s="240"/>
      <c r="CO1144" s="240"/>
      <c r="CP1144" s="240"/>
      <c r="CQ1144" s="240"/>
      <c r="CR1144" s="240"/>
      <c r="CS1144" s="240"/>
      <c r="CT1144" s="240"/>
      <c r="CU1144" s="240"/>
      <c r="CV1144" s="240"/>
      <c r="CW1144" s="240"/>
      <c r="CX1144" s="240"/>
      <c r="CY1144" s="240"/>
      <c r="CZ1144" s="241"/>
      <c r="DA1144" s="241"/>
      <c r="DB1144" s="241"/>
      <c r="DC1144" s="241"/>
      <c r="DD1144" s="241"/>
      <c r="DE1144" s="241"/>
      <c r="DF1144" s="241"/>
      <c r="DG1144" s="241"/>
      <c r="DH1144" s="241"/>
      <c r="DI1144" s="241"/>
      <c r="DJ1144" s="241"/>
      <c r="DK1144" s="241"/>
      <c r="DL1144" s="241"/>
      <c r="DM1144" s="241"/>
      <c r="DN1144" s="241"/>
      <c r="DO1144" s="241"/>
      <c r="DP1144" s="241"/>
      <c r="DQ1144" s="241"/>
      <c r="DR1144" s="241"/>
      <c r="DS1144" s="241"/>
      <c r="DT1144" s="241"/>
      <c r="DU1144" s="241"/>
      <c r="DV1144" s="241"/>
      <c r="DW1144" s="241"/>
      <c r="DX1144" s="241"/>
      <c r="DY1144" s="241"/>
      <c r="DZ1144" s="241"/>
      <c r="EA1144" s="241"/>
      <c r="EB1144" s="241"/>
      <c r="EC1144" s="241"/>
      <c r="ED1144" s="241"/>
      <c r="EE1144" s="241"/>
      <c r="EF1144" s="241"/>
      <c r="EG1144" s="241"/>
      <c r="EH1144" s="241"/>
      <c r="EI1144" s="241"/>
      <c r="EJ1144" s="241"/>
      <c r="EK1144" s="241"/>
      <c r="EL1144" s="345"/>
      <c r="EM1144" s="245"/>
      <c r="EN1144" s="245"/>
      <c r="EO1144" s="245"/>
      <c r="EP1144" s="245"/>
      <c r="EQ1144" s="351"/>
    </row>
    <row r="1145" spans="1:149" s="243" customFormat="1" ht="11.25" hidden="1" customHeight="1">
      <c r="B1145" s="343"/>
      <c r="C1145" s="240"/>
      <c r="D1145" s="240"/>
      <c r="E1145" s="240"/>
      <c r="F1145" s="240"/>
      <c r="G1145" s="240"/>
      <c r="H1145" s="240"/>
      <c r="I1145" s="240"/>
      <c r="J1145" s="240"/>
      <c r="K1145" s="240"/>
      <c r="L1145" s="240"/>
      <c r="M1145" s="240" t="str">
        <f>TEXT(3600,"#,##0.#######")</f>
        <v>3,600.</v>
      </c>
      <c r="N1145" s="240"/>
      <c r="O1145" s="240"/>
      <c r="P1145" s="240"/>
      <c r="Q1145" s="240"/>
      <c r="R1145" s="240" t="s">
        <v>652</v>
      </c>
      <c r="S1145" s="240"/>
      <c r="T1145" s="240" t="s">
        <v>843</v>
      </c>
      <c r="U1145" s="240"/>
      <c r="V1145" s="240" t="s">
        <v>652</v>
      </c>
      <c r="W1145" s="240"/>
      <c r="X1145" s="240" t="s">
        <v>775</v>
      </c>
      <c r="Y1145" s="240" t="s">
        <v>652</v>
      </c>
      <c r="Z1145" s="240"/>
      <c r="AA1145" s="240" t="s">
        <v>774</v>
      </c>
      <c r="AB1145" s="240" t="s">
        <v>652</v>
      </c>
      <c r="AC1145" s="240"/>
      <c r="AD1145" s="240" t="s">
        <v>844</v>
      </c>
      <c r="AE1145" s="240"/>
      <c r="AF1145" s="240"/>
      <c r="AG1145" s="240"/>
      <c r="AH1145" s="240"/>
      <c r="AI1145" s="240"/>
      <c r="AJ1145" s="240"/>
      <c r="AK1145" s="240"/>
      <c r="AL1145" s="240" t="str">
        <f>TEXT(M1145,"#,##0.#######")</f>
        <v>3,600.</v>
      </c>
      <c r="AM1145" s="240"/>
      <c r="AN1145" s="240"/>
      <c r="AO1145" s="240"/>
      <c r="AP1145" s="240"/>
      <c r="AQ1145" s="240" t="s">
        <v>652</v>
      </c>
      <c r="AR1145" s="240"/>
      <c r="AS1145" s="240" t="str">
        <f>TEXT(M1141,"#,##0.#######")</f>
        <v>0.7</v>
      </c>
      <c r="AT1145" s="240"/>
      <c r="AU1145" s="240"/>
      <c r="AV1145" s="240" t="s">
        <v>652</v>
      </c>
      <c r="AW1145" s="240"/>
      <c r="AX1145" s="240" t="str">
        <f>TEXT(AX1141,"#,##0.#######")</f>
        <v>0.55</v>
      </c>
      <c r="AY1145" s="240"/>
      <c r="AZ1145" s="240"/>
      <c r="BA1145" s="240"/>
      <c r="BB1145" s="240" t="s">
        <v>652</v>
      </c>
      <c r="BC1145" s="240"/>
      <c r="BD1145" s="240" t="str">
        <f>TEXT(AI1141,"#,##0.#######")</f>
        <v>0.67</v>
      </c>
      <c r="BE1145" s="240"/>
      <c r="BF1145" s="240"/>
      <c r="BG1145" s="240"/>
      <c r="BH1145" s="240" t="s">
        <v>652</v>
      </c>
      <c r="BI1145" s="240"/>
      <c r="BJ1145" s="240" t="str">
        <f>TEXT(M1143,"#,##0.#######")</f>
        <v>0.45</v>
      </c>
      <c r="BK1145" s="240"/>
      <c r="BL1145" s="240"/>
      <c r="BM1145" s="240"/>
      <c r="BN1145" s="240"/>
      <c r="BO1145" s="240"/>
      <c r="BP1145" s="240"/>
      <c r="BQ1145" s="240"/>
      <c r="BR1145" s="240"/>
      <c r="BS1145" s="240"/>
      <c r="BT1145" s="240"/>
      <c r="BU1145" s="240"/>
      <c r="BV1145" s="240"/>
      <c r="BW1145" s="240"/>
      <c r="BX1145" s="240"/>
      <c r="BY1145" s="240"/>
      <c r="BZ1145" s="240"/>
      <c r="CA1145" s="240"/>
      <c r="CB1145" s="240"/>
      <c r="CC1145" s="240"/>
      <c r="CD1145" s="240"/>
      <c r="CE1145" s="240"/>
      <c r="CF1145" s="240"/>
      <c r="CG1145" s="240"/>
      <c r="CH1145" s="240"/>
      <c r="CI1145" s="240"/>
      <c r="CJ1145" s="240"/>
      <c r="CK1145" s="240"/>
      <c r="CL1145" s="240"/>
      <c r="CM1145" s="240"/>
      <c r="CN1145" s="240"/>
      <c r="CO1145" s="240"/>
      <c r="CP1145" s="240"/>
      <c r="CQ1145" s="240"/>
      <c r="CR1145" s="240"/>
      <c r="CS1145" s="240"/>
      <c r="CT1145" s="240"/>
      <c r="CU1145" s="240"/>
      <c r="CV1145" s="240"/>
      <c r="CW1145" s="240"/>
      <c r="CX1145" s="240"/>
      <c r="CY1145" s="240"/>
      <c r="CZ1145" s="241"/>
      <c r="DA1145" s="241"/>
      <c r="DB1145" s="241"/>
      <c r="DC1145" s="241"/>
      <c r="DD1145" s="241"/>
      <c r="DE1145" s="241"/>
      <c r="DF1145" s="241"/>
      <c r="DG1145" s="241"/>
      <c r="DH1145" s="241"/>
      <c r="DI1145" s="241"/>
      <c r="DJ1145" s="241"/>
      <c r="DK1145" s="241"/>
      <c r="DL1145" s="241"/>
      <c r="DM1145" s="241"/>
      <c r="DN1145" s="241"/>
      <c r="DO1145" s="241"/>
      <c r="DP1145" s="241"/>
      <c r="DQ1145" s="241"/>
      <c r="DR1145" s="241"/>
      <c r="DS1145" s="241"/>
      <c r="DT1145" s="241"/>
      <c r="DU1145" s="241"/>
      <c r="DV1145" s="241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345"/>
      <c r="EM1145" s="245"/>
      <c r="EN1145" s="245"/>
      <c r="EO1145" s="245"/>
      <c r="EP1145" s="245"/>
      <c r="EQ1145" s="351"/>
    </row>
    <row r="1146" spans="1:149" s="243" customFormat="1" ht="11.25" hidden="1" customHeight="1">
      <c r="B1146" s="343"/>
      <c r="C1146" s="240"/>
      <c r="D1146" s="240"/>
      <c r="E1146" s="240"/>
      <c r="F1146" s="240"/>
      <c r="G1146" s="240"/>
      <c r="H1146" s="240" t="s">
        <v>687</v>
      </c>
      <c r="I1146" s="240"/>
      <c r="J1146" s="240" t="s">
        <v>134</v>
      </c>
      <c r="K1146" s="240"/>
      <c r="L1146" s="240" t="s">
        <v>694</v>
      </c>
      <c r="M1146" s="240"/>
      <c r="N1146" s="240" t="s">
        <v>694</v>
      </c>
      <c r="O1146" s="240"/>
      <c r="P1146" s="240" t="s">
        <v>694</v>
      </c>
      <c r="Q1146" s="240"/>
      <c r="R1146" s="240" t="s">
        <v>694</v>
      </c>
      <c r="S1146" s="240"/>
      <c r="T1146" s="240" t="s">
        <v>694</v>
      </c>
      <c r="U1146" s="240"/>
      <c r="V1146" s="240" t="s">
        <v>694</v>
      </c>
      <c r="W1146" s="240"/>
      <c r="X1146" s="240" t="s">
        <v>694</v>
      </c>
      <c r="Y1146" s="240"/>
      <c r="Z1146" s="240" t="s">
        <v>694</v>
      </c>
      <c r="AA1146" s="240"/>
      <c r="AB1146" s="240" t="s">
        <v>694</v>
      </c>
      <c r="AC1146" s="240"/>
      <c r="AD1146" s="240" t="s">
        <v>694</v>
      </c>
      <c r="AE1146" s="240"/>
      <c r="AF1146" s="240" t="s">
        <v>694</v>
      </c>
      <c r="AG1146" s="240"/>
      <c r="AH1146" s="240"/>
      <c r="AI1146" s="240" t="s">
        <v>134</v>
      </c>
      <c r="AJ1146" s="240"/>
      <c r="AK1146" s="240" t="s">
        <v>694</v>
      </c>
      <c r="AL1146" s="240"/>
      <c r="AM1146" s="240" t="s">
        <v>694</v>
      </c>
      <c r="AN1146" s="240"/>
      <c r="AO1146" s="240" t="s">
        <v>694</v>
      </c>
      <c r="AP1146" s="240"/>
      <c r="AQ1146" s="240" t="s">
        <v>694</v>
      </c>
      <c r="AR1146" s="240"/>
      <c r="AS1146" s="240" t="s">
        <v>694</v>
      </c>
      <c r="AT1146" s="240"/>
      <c r="AU1146" s="240" t="s">
        <v>694</v>
      </c>
      <c r="AV1146" s="240"/>
      <c r="AW1146" s="240" t="s">
        <v>694</v>
      </c>
      <c r="AX1146" s="240"/>
      <c r="AY1146" s="240" t="s">
        <v>694</v>
      </c>
      <c r="AZ1146" s="240"/>
      <c r="BA1146" s="240" t="s">
        <v>694</v>
      </c>
      <c r="BB1146" s="240"/>
      <c r="BC1146" s="240" t="s">
        <v>694</v>
      </c>
      <c r="BD1146" s="240"/>
      <c r="BE1146" s="240" t="s">
        <v>694</v>
      </c>
      <c r="BF1146" s="240"/>
      <c r="BG1146" s="240" t="s">
        <v>694</v>
      </c>
      <c r="BH1146" s="240"/>
      <c r="BI1146" s="240" t="s">
        <v>694</v>
      </c>
      <c r="BJ1146" s="240"/>
      <c r="BK1146" s="240" t="s">
        <v>694</v>
      </c>
      <c r="BL1146" s="240"/>
      <c r="BM1146" s="240" t="s">
        <v>694</v>
      </c>
      <c r="BN1146" s="240"/>
      <c r="BO1146" s="240"/>
      <c r="BP1146" s="240" t="s">
        <v>134</v>
      </c>
      <c r="BQ1146" s="240"/>
      <c r="BR1146" s="240" t="str">
        <f>TEXT(ROUND((3600*M1141*AX1141*AI1141*M1143)/(AB1143),2),"#,##0.#######")</f>
        <v>20.89</v>
      </c>
      <c r="BS1146" s="240"/>
      <c r="BT1146" s="240"/>
      <c r="BU1146" s="240"/>
      <c r="BV1146" s="240"/>
      <c r="BW1146" s="240"/>
      <c r="BX1146" s="240"/>
      <c r="BY1146" s="240"/>
      <c r="BZ1146" s="240" t="s">
        <v>91</v>
      </c>
      <c r="CA1146" s="240"/>
      <c r="CB1146" s="240" t="s">
        <v>139</v>
      </c>
      <c r="CC1146" s="240" t="s">
        <v>618</v>
      </c>
      <c r="CD1146" s="240"/>
      <c r="CE1146" s="240"/>
      <c r="CF1146" s="240"/>
      <c r="CG1146" s="240"/>
      <c r="CH1146" s="240"/>
      <c r="CI1146" s="240"/>
      <c r="CJ1146" s="240"/>
      <c r="CK1146" s="240"/>
      <c r="CL1146" s="240"/>
      <c r="CM1146" s="240"/>
      <c r="CN1146" s="240"/>
      <c r="CO1146" s="240"/>
      <c r="CP1146" s="240"/>
      <c r="CQ1146" s="240"/>
      <c r="CR1146" s="240"/>
      <c r="CS1146" s="240"/>
      <c r="CT1146" s="240"/>
      <c r="CU1146" s="240"/>
      <c r="CV1146" s="240"/>
      <c r="CW1146" s="240"/>
      <c r="CX1146" s="240"/>
      <c r="CY1146" s="240"/>
      <c r="CZ1146" s="241"/>
      <c r="DA1146" s="241"/>
      <c r="DB1146" s="241"/>
      <c r="DC1146" s="241"/>
      <c r="DD1146" s="241"/>
      <c r="DE1146" s="241"/>
      <c r="DF1146" s="241"/>
      <c r="DG1146" s="241"/>
      <c r="DH1146" s="241"/>
      <c r="DI1146" s="241"/>
      <c r="DJ1146" s="241"/>
      <c r="DK1146" s="241"/>
      <c r="DL1146" s="241"/>
      <c r="DM1146" s="241"/>
      <c r="DN1146" s="241"/>
      <c r="DO1146" s="241"/>
      <c r="DP1146" s="241"/>
      <c r="DQ1146" s="241"/>
      <c r="DR1146" s="241"/>
      <c r="DS1146" s="241"/>
      <c r="DT1146" s="241"/>
      <c r="DU1146" s="241"/>
      <c r="DV1146" s="241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345"/>
      <c r="EM1146" s="245"/>
      <c r="EN1146" s="245"/>
      <c r="EO1146" s="245"/>
      <c r="EP1146" s="245"/>
      <c r="EQ1146" s="351"/>
    </row>
    <row r="1147" spans="1:149" s="243" customFormat="1" ht="11.25" hidden="1" customHeight="1">
      <c r="B1147" s="343"/>
      <c r="C1147" s="240"/>
      <c r="D1147" s="240"/>
      <c r="E1147" s="240"/>
      <c r="F1147" s="240"/>
      <c r="G1147" s="240"/>
      <c r="H1147" s="240"/>
      <c r="I1147" s="240"/>
      <c r="J1147" s="240"/>
      <c r="K1147" s="240"/>
      <c r="L1147" s="240"/>
      <c r="M1147" s="240"/>
      <c r="N1147" s="240"/>
      <c r="O1147" s="240"/>
      <c r="P1147" s="240"/>
      <c r="Q1147" s="240"/>
      <c r="R1147" s="240"/>
      <c r="S1147" s="240"/>
      <c r="T1147" s="240"/>
      <c r="U1147" s="240" t="s">
        <v>845</v>
      </c>
      <c r="V1147" s="240"/>
      <c r="W1147" s="240"/>
      <c r="X1147" s="240"/>
      <c r="Y1147" s="240"/>
      <c r="Z1147" s="240"/>
      <c r="AA1147" s="240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240"/>
      <c r="AM1147" s="240"/>
      <c r="AN1147" s="240"/>
      <c r="AO1147" s="240"/>
      <c r="AP1147" s="240"/>
      <c r="AQ1147" s="240"/>
      <c r="AR1147" s="240"/>
      <c r="AS1147" s="240"/>
      <c r="AT1147" s="240"/>
      <c r="AU1147" s="240"/>
      <c r="AV1147" s="240"/>
      <c r="AW1147" s="240"/>
      <c r="AX1147" s="240"/>
      <c r="AY1147" s="240" t="str">
        <f>TEXT(AB1143,"#,##0.#######")</f>
        <v>20.</v>
      </c>
      <c r="AZ1147" s="240"/>
      <c r="BA1147" s="240"/>
      <c r="BB1147" s="240"/>
      <c r="BC1147" s="240"/>
      <c r="BD1147" s="240"/>
      <c r="BE1147" s="240"/>
      <c r="BF1147" s="240"/>
      <c r="BG1147" s="240"/>
      <c r="BH1147" s="240"/>
      <c r="BI1147" s="240"/>
      <c r="BJ1147" s="240"/>
      <c r="BK1147" s="240"/>
      <c r="BL1147" s="240"/>
      <c r="BM1147" s="240"/>
      <c r="BN1147" s="240"/>
      <c r="BO1147" s="240"/>
      <c r="BP1147" s="240"/>
      <c r="BQ1147" s="240"/>
      <c r="BR1147" s="240"/>
      <c r="BS1147" s="240"/>
      <c r="BT1147" s="240"/>
      <c r="BU1147" s="240"/>
      <c r="BV1147" s="240"/>
      <c r="BW1147" s="240"/>
      <c r="BX1147" s="240"/>
      <c r="BY1147" s="240"/>
      <c r="BZ1147" s="240"/>
      <c r="CA1147" s="240"/>
      <c r="CB1147" s="240"/>
      <c r="CC1147" s="240"/>
      <c r="CD1147" s="240"/>
      <c r="CE1147" s="240"/>
      <c r="CF1147" s="240"/>
      <c r="CG1147" s="240"/>
      <c r="CH1147" s="240"/>
      <c r="CI1147" s="240"/>
      <c r="CJ1147" s="240"/>
      <c r="CK1147" s="240"/>
      <c r="CL1147" s="240"/>
      <c r="CM1147" s="240"/>
      <c r="CN1147" s="240"/>
      <c r="CO1147" s="240"/>
      <c r="CP1147" s="240"/>
      <c r="CQ1147" s="240"/>
      <c r="CR1147" s="240"/>
      <c r="CS1147" s="240"/>
      <c r="CT1147" s="240"/>
      <c r="CU1147" s="240"/>
      <c r="CV1147" s="240"/>
      <c r="CW1147" s="240"/>
      <c r="CX1147" s="240"/>
      <c r="CY1147" s="240"/>
      <c r="CZ1147" s="241"/>
      <c r="DA1147" s="241"/>
      <c r="DB1147" s="241"/>
      <c r="DC1147" s="241"/>
      <c r="DD1147" s="241"/>
      <c r="DE1147" s="241"/>
      <c r="DF1147" s="241"/>
      <c r="DG1147" s="241"/>
      <c r="DH1147" s="241"/>
      <c r="DI1147" s="241"/>
      <c r="DJ1147" s="241"/>
      <c r="DK1147" s="241"/>
      <c r="DL1147" s="241"/>
      <c r="DM1147" s="241"/>
      <c r="DN1147" s="241"/>
      <c r="DO1147" s="241"/>
      <c r="DP1147" s="241"/>
      <c r="DQ1147" s="241"/>
      <c r="DR1147" s="241"/>
      <c r="DS1147" s="241"/>
      <c r="DT1147" s="241"/>
      <c r="DU1147" s="241"/>
      <c r="DV1147" s="241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345"/>
      <c r="EM1147" s="245"/>
      <c r="EN1147" s="245"/>
      <c r="EO1147" s="245"/>
      <c r="EP1147" s="245"/>
      <c r="EQ1147" s="351"/>
    </row>
    <row r="1148" spans="1:149" s="243" customFormat="1" ht="11.25" hidden="1" customHeight="1">
      <c r="B1148" s="343"/>
      <c r="C1148" s="240"/>
      <c r="D1148" s="240"/>
      <c r="E1148" s="240"/>
      <c r="F1148" s="240"/>
      <c r="G1148" s="240"/>
      <c r="H1148" s="240"/>
      <c r="I1148" s="240"/>
      <c r="J1148" s="240"/>
      <c r="K1148" s="240"/>
      <c r="L1148" s="240"/>
      <c r="M1148" s="240"/>
      <c r="N1148" s="240"/>
      <c r="O1148" s="240"/>
      <c r="P1148" s="240"/>
      <c r="Q1148" s="240"/>
      <c r="R1148" s="240"/>
      <c r="S1148" s="240"/>
      <c r="T1148" s="240"/>
      <c r="U1148" s="240"/>
      <c r="V1148" s="240"/>
      <c r="W1148" s="240"/>
      <c r="X1148" s="240"/>
      <c r="Y1148" s="240"/>
      <c r="Z1148" s="240"/>
      <c r="AA1148" s="240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240"/>
      <c r="AM1148" s="240"/>
      <c r="AN1148" s="240"/>
      <c r="AO1148" s="240"/>
      <c r="AP1148" s="240"/>
      <c r="AQ1148" s="240"/>
      <c r="AR1148" s="240"/>
      <c r="AS1148" s="240"/>
      <c r="AT1148" s="240"/>
      <c r="AU1148" s="240"/>
      <c r="AV1148" s="240"/>
      <c r="AW1148" s="240"/>
      <c r="AX1148" s="240"/>
      <c r="AY1148" s="240"/>
      <c r="AZ1148" s="240"/>
      <c r="BA1148" s="240"/>
      <c r="BB1148" s="240"/>
      <c r="BC1148" s="240"/>
      <c r="BD1148" s="240"/>
      <c r="BE1148" s="240"/>
      <c r="BF1148" s="240"/>
      <c r="BG1148" s="240"/>
      <c r="BH1148" s="240"/>
      <c r="BI1148" s="240"/>
      <c r="BJ1148" s="240"/>
      <c r="BK1148" s="240"/>
      <c r="BL1148" s="240"/>
      <c r="BM1148" s="240"/>
      <c r="BN1148" s="240"/>
      <c r="BO1148" s="240"/>
      <c r="BP1148" s="240"/>
      <c r="BQ1148" s="240"/>
      <c r="BR1148" s="240"/>
      <c r="BS1148" s="240"/>
      <c r="BT1148" s="240"/>
      <c r="BU1148" s="240"/>
      <c r="BV1148" s="240"/>
      <c r="BW1148" s="240"/>
      <c r="BX1148" s="240"/>
      <c r="BY1148" s="240"/>
      <c r="BZ1148" s="240"/>
      <c r="CA1148" s="240"/>
      <c r="CB1148" s="240"/>
      <c r="CC1148" s="240"/>
      <c r="CD1148" s="240"/>
      <c r="CE1148" s="240"/>
      <c r="CF1148" s="240"/>
      <c r="CG1148" s="240"/>
      <c r="CH1148" s="240"/>
      <c r="CI1148" s="240"/>
      <c r="CJ1148" s="240"/>
      <c r="CK1148" s="240"/>
      <c r="CL1148" s="240"/>
      <c r="CM1148" s="240"/>
      <c r="CN1148" s="240"/>
      <c r="CO1148" s="240"/>
      <c r="CP1148" s="240"/>
      <c r="CQ1148" s="240"/>
      <c r="CR1148" s="240"/>
      <c r="CS1148" s="240"/>
      <c r="CT1148" s="240"/>
      <c r="CU1148" s="240"/>
      <c r="CV1148" s="240"/>
      <c r="CW1148" s="240"/>
      <c r="CX1148" s="240"/>
      <c r="CY1148" s="240"/>
      <c r="CZ1148" s="241"/>
      <c r="DA1148" s="241"/>
      <c r="DB1148" s="241"/>
      <c r="DC1148" s="241"/>
      <c r="DD1148" s="241"/>
      <c r="DE1148" s="241"/>
      <c r="DF1148" s="241"/>
      <c r="DG1148" s="241"/>
      <c r="DH1148" s="241"/>
      <c r="DI1148" s="241"/>
      <c r="DJ1148" s="241"/>
      <c r="DK1148" s="241"/>
      <c r="DL1148" s="241"/>
      <c r="DM1148" s="241"/>
      <c r="DN1148" s="241"/>
      <c r="DO1148" s="241"/>
      <c r="DP1148" s="241"/>
      <c r="DQ1148" s="241"/>
      <c r="DR1148" s="241"/>
      <c r="DS1148" s="241"/>
      <c r="DT1148" s="241"/>
      <c r="DU1148" s="241"/>
      <c r="DV1148" s="241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345"/>
      <c r="EM1148" s="245"/>
      <c r="EN1148" s="245"/>
      <c r="EO1148" s="245"/>
      <c r="EP1148" s="245"/>
      <c r="EQ1148" s="351"/>
    </row>
    <row r="1149" spans="1:149" s="243" customFormat="1" ht="11.25" hidden="1" customHeight="1">
      <c r="B1149" s="343"/>
      <c r="C1149" s="240"/>
      <c r="D1149" s="240"/>
      <c r="E1149" s="240"/>
      <c r="F1149" s="240"/>
      <c r="G1149" s="240" t="s">
        <v>681</v>
      </c>
      <c r="H1149" s="240"/>
      <c r="I1149" s="240"/>
      <c r="J1149" s="240" t="s">
        <v>846</v>
      </c>
      <c r="K1149" s="240"/>
      <c r="L1149" s="240"/>
      <c r="M1149" s="240"/>
      <c r="N1149" s="240"/>
      <c r="O1149" s="240"/>
      <c r="P1149" s="240"/>
      <c r="Q1149" s="240"/>
      <c r="R1149" s="240"/>
      <c r="S1149" s="240" t="s">
        <v>847</v>
      </c>
      <c r="T1149" s="240"/>
      <c r="U1149" s="240"/>
      <c r="V1149" s="240"/>
      <c r="W1149" s="240"/>
      <c r="X1149" s="240"/>
      <c r="Y1149" s="240"/>
      <c r="Z1149" s="240" t="s">
        <v>848</v>
      </c>
      <c r="AA1149" s="240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240"/>
      <c r="AM1149" s="240"/>
      <c r="AN1149" s="240"/>
      <c r="AO1149" s="240"/>
      <c r="AP1149" s="240"/>
      <c r="AQ1149" s="240"/>
      <c r="AR1149" s="240"/>
      <c r="AS1149" s="240"/>
      <c r="AT1149" s="240"/>
      <c r="AU1149" s="240"/>
      <c r="AV1149" s="240"/>
      <c r="AW1149" s="240"/>
      <c r="AX1149" s="240"/>
      <c r="AY1149" s="240"/>
      <c r="AZ1149" s="240"/>
      <c r="BA1149" s="240"/>
      <c r="BB1149" s="240"/>
      <c r="BC1149" s="240"/>
      <c r="BD1149" s="240"/>
      <c r="BE1149" s="240"/>
      <c r="BF1149" s="240"/>
      <c r="BG1149" s="240"/>
      <c r="BH1149" s="240"/>
      <c r="BI1149" s="240"/>
      <c r="BJ1149" s="240"/>
      <c r="BK1149" s="240"/>
      <c r="BL1149" s="240"/>
      <c r="BM1149" s="240"/>
      <c r="BN1149" s="240"/>
      <c r="BO1149" s="240"/>
      <c r="BP1149" s="240"/>
      <c r="BQ1149" s="240"/>
      <c r="BR1149" s="240"/>
      <c r="BS1149" s="240"/>
      <c r="BT1149" s="240"/>
      <c r="BU1149" s="240"/>
      <c r="BV1149" s="240"/>
      <c r="BW1149" s="240"/>
      <c r="BX1149" s="240"/>
      <c r="BY1149" s="240"/>
      <c r="BZ1149" s="240"/>
      <c r="CA1149" s="240"/>
      <c r="CB1149" s="240"/>
      <c r="CC1149" s="240"/>
      <c r="CD1149" s="240"/>
      <c r="CE1149" s="240"/>
      <c r="CF1149" s="240"/>
      <c r="CG1149" s="240"/>
      <c r="CH1149" s="240"/>
      <c r="CI1149" s="240"/>
      <c r="CJ1149" s="240"/>
      <c r="CK1149" s="240"/>
      <c r="CL1149" s="240"/>
      <c r="CM1149" s="240"/>
      <c r="CN1149" s="240"/>
      <c r="CO1149" s="240"/>
      <c r="CP1149" s="240"/>
      <c r="CQ1149" s="240"/>
      <c r="CR1149" s="240"/>
      <c r="CS1149" s="240"/>
      <c r="CT1149" s="240"/>
      <c r="CU1149" s="240"/>
      <c r="CV1149" s="240"/>
      <c r="CW1149" s="240"/>
      <c r="CX1149" s="240"/>
      <c r="CY1149" s="240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1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345"/>
      <c r="EM1149" s="245"/>
      <c r="EN1149" s="245"/>
      <c r="EO1149" s="245"/>
      <c r="EP1149" s="245"/>
      <c r="EQ1149" s="351"/>
    </row>
    <row r="1150" spans="1:149" s="243" customFormat="1" ht="11.25" hidden="1" customHeight="1">
      <c r="B1150" s="343"/>
      <c r="C1150" s="240"/>
      <c r="D1150" s="240"/>
      <c r="E1150" s="240"/>
      <c r="F1150" s="240"/>
      <c r="G1150" s="240"/>
      <c r="H1150" s="240"/>
      <c r="I1150" s="240"/>
      <c r="J1150" s="240"/>
      <c r="K1150" s="240"/>
      <c r="L1150" s="240"/>
      <c r="M1150" s="240"/>
      <c r="N1150" s="240"/>
      <c r="O1150" s="240"/>
      <c r="P1150" s="240"/>
      <c r="Q1150" s="240"/>
      <c r="R1150" s="240"/>
      <c r="S1150" s="240"/>
      <c r="T1150" s="240"/>
      <c r="U1150" s="240"/>
      <c r="V1150" s="240"/>
      <c r="W1150" s="240"/>
      <c r="X1150" s="240"/>
      <c r="Y1150" s="240"/>
      <c r="Z1150" s="240"/>
      <c r="AA1150" s="240"/>
      <c r="AB1150" s="240"/>
      <c r="AC1150" s="240"/>
      <c r="AD1150" s="240"/>
      <c r="AE1150" s="240"/>
      <c r="AF1150" s="240"/>
      <c r="AG1150" s="240"/>
      <c r="AH1150" s="240"/>
      <c r="AI1150" s="240"/>
      <c r="AJ1150" s="240"/>
      <c r="AK1150" s="240"/>
      <c r="AL1150" s="240"/>
      <c r="AM1150" s="240"/>
      <c r="AN1150" s="240"/>
      <c r="AO1150" s="240"/>
      <c r="AP1150" s="240"/>
      <c r="AQ1150" s="240"/>
      <c r="AR1150" s="240"/>
      <c r="AS1150" s="240"/>
      <c r="AT1150" s="240"/>
      <c r="AU1150" s="240"/>
      <c r="AV1150" s="240"/>
      <c r="AW1150" s="240"/>
      <c r="AX1150" s="240"/>
      <c r="AY1150" s="240"/>
      <c r="AZ1150" s="240"/>
      <c r="BA1150" s="240"/>
      <c r="BB1150" s="240"/>
      <c r="BC1150" s="240"/>
      <c r="BD1150" s="240"/>
      <c r="BE1150" s="240"/>
      <c r="BF1150" s="240"/>
      <c r="BG1150" s="240"/>
      <c r="BH1150" s="240"/>
      <c r="BI1150" s="240"/>
      <c r="BJ1150" s="240"/>
      <c r="BK1150" s="240"/>
      <c r="BL1150" s="240"/>
      <c r="BM1150" s="240"/>
      <c r="BN1150" s="240"/>
      <c r="BO1150" s="240"/>
      <c r="BP1150" s="240"/>
      <c r="BQ1150" s="240"/>
      <c r="BR1150" s="240"/>
      <c r="BS1150" s="240"/>
      <c r="BT1150" s="240"/>
      <c r="BU1150" s="240"/>
      <c r="BV1150" s="240"/>
      <c r="BW1150" s="240"/>
      <c r="BX1150" s="240"/>
      <c r="BY1150" s="240"/>
      <c r="BZ1150" s="240"/>
      <c r="CA1150" s="240"/>
      <c r="CB1150" s="240"/>
      <c r="CC1150" s="240"/>
      <c r="CD1150" s="240"/>
      <c r="CE1150" s="240"/>
      <c r="CF1150" s="240"/>
      <c r="CG1150" s="240"/>
      <c r="CH1150" s="240"/>
      <c r="CI1150" s="240"/>
      <c r="CJ1150" s="240"/>
      <c r="CK1150" s="240"/>
      <c r="CL1150" s="240"/>
      <c r="CM1150" s="240"/>
      <c r="CN1150" s="240"/>
      <c r="CO1150" s="240"/>
      <c r="CP1150" s="240"/>
      <c r="CQ1150" s="240"/>
      <c r="CR1150" s="240"/>
      <c r="CS1150" s="240"/>
      <c r="CT1150" s="240"/>
      <c r="CU1150" s="240"/>
      <c r="CV1150" s="240"/>
      <c r="CW1150" s="240"/>
      <c r="CX1150" s="240"/>
      <c r="CY1150" s="240"/>
      <c r="CZ1150" s="241"/>
      <c r="DA1150" s="241"/>
      <c r="DB1150" s="241"/>
      <c r="DC1150" s="241"/>
      <c r="DD1150" s="241"/>
      <c r="DE1150" s="241"/>
      <c r="DF1150" s="241"/>
      <c r="DG1150" s="241"/>
      <c r="DH1150" s="241"/>
      <c r="DI1150" s="241"/>
      <c r="DJ1150" s="241"/>
      <c r="DK1150" s="241"/>
      <c r="DL1150" s="241"/>
      <c r="DM1150" s="241"/>
      <c r="DN1150" s="241"/>
      <c r="DO1150" s="241"/>
      <c r="DP1150" s="241"/>
      <c r="DQ1150" s="241"/>
      <c r="DR1150" s="241"/>
      <c r="DS1150" s="241"/>
      <c r="DT1150" s="241"/>
      <c r="DU1150" s="241"/>
      <c r="DV1150" s="241"/>
      <c r="DW1150" s="241"/>
      <c r="DX1150" s="241"/>
      <c r="DY1150" s="241"/>
      <c r="DZ1150" s="241"/>
      <c r="EA1150" s="241"/>
      <c r="EB1150" s="241"/>
      <c r="EC1150" s="241"/>
      <c r="ED1150" s="241"/>
      <c r="EE1150" s="241"/>
      <c r="EF1150" s="241"/>
      <c r="EG1150" s="241"/>
      <c r="EH1150" s="241"/>
      <c r="EI1150" s="241"/>
      <c r="EJ1150" s="241"/>
      <c r="EK1150" s="241"/>
      <c r="EL1150" s="345"/>
      <c r="EM1150" s="245"/>
      <c r="EN1150" s="245"/>
      <c r="EO1150" s="245"/>
      <c r="EP1150" s="245"/>
      <c r="EQ1150" s="351"/>
    </row>
    <row r="1151" spans="1:149" s="243" customFormat="1" ht="11.25" hidden="1" customHeight="1">
      <c r="B1151" s="343"/>
      <c r="C1151" s="240"/>
      <c r="D1151" s="240"/>
      <c r="E1151" s="240" t="s">
        <v>675</v>
      </c>
      <c r="F1151" s="240"/>
      <c r="G1151" s="240"/>
      <c r="H1151" s="240" t="s">
        <v>849</v>
      </c>
      <c r="I1151" s="240"/>
      <c r="J1151" s="240"/>
      <c r="K1151" s="240" t="s">
        <v>850</v>
      </c>
      <c r="L1151" s="240"/>
      <c r="M1151" s="240"/>
      <c r="N1151" s="240" t="s">
        <v>132</v>
      </c>
      <c r="O1151" s="240"/>
      <c r="P1151" s="240" t="s">
        <v>813</v>
      </c>
      <c r="Q1151" s="240"/>
      <c r="R1151" s="240"/>
      <c r="S1151" s="240"/>
      <c r="T1151" s="240"/>
      <c r="U1151" s="240"/>
      <c r="V1151" s="240"/>
      <c r="W1151" s="240"/>
      <c r="X1151" s="240"/>
      <c r="Y1151" s="240"/>
      <c r="Z1151" s="240"/>
      <c r="AA1151" s="240"/>
      <c r="AB1151" s="240"/>
      <c r="AC1151" s="240"/>
      <c r="AD1151" s="240"/>
      <c r="AE1151" s="240"/>
      <c r="AF1151" s="240"/>
      <c r="AG1151" s="240"/>
      <c r="AH1151" s="240"/>
      <c r="AI1151" s="240"/>
      <c r="AJ1151" s="240" t="s">
        <v>851</v>
      </c>
      <c r="AK1151" s="240"/>
      <c r="AL1151" s="240"/>
      <c r="AM1151" s="240"/>
      <c r="AN1151" s="240"/>
      <c r="AO1151" s="240"/>
      <c r="AP1151" s="240"/>
      <c r="AQ1151" s="240"/>
      <c r="AR1151" s="240"/>
      <c r="AS1151" s="240"/>
      <c r="AT1151" s="240"/>
      <c r="AU1151" s="240"/>
      <c r="AV1151" s="240"/>
      <c r="AW1151" s="240"/>
      <c r="AX1151" s="240"/>
      <c r="AY1151" s="240"/>
      <c r="AZ1151" s="240"/>
      <c r="BA1151" s="240"/>
      <c r="BB1151" s="240"/>
      <c r="BC1151" s="240"/>
      <c r="BD1151" s="240"/>
      <c r="BE1151" s="240"/>
      <c r="BF1151" s="240"/>
      <c r="BG1151" s="240"/>
      <c r="BH1151" s="240"/>
      <c r="BI1151" s="240"/>
      <c r="BJ1151" s="240"/>
      <c r="BK1151" s="240"/>
      <c r="BL1151" s="240"/>
      <c r="BM1151" s="240"/>
      <c r="BN1151" s="240"/>
      <c r="BO1151" s="240"/>
      <c r="BP1151" s="240"/>
      <c r="BQ1151" s="240"/>
      <c r="BR1151" s="240"/>
      <c r="BS1151" s="240"/>
      <c r="BT1151" s="240"/>
      <c r="BU1151" s="240"/>
      <c r="BV1151" s="240"/>
      <c r="BW1151" s="240"/>
      <c r="BX1151" s="240"/>
      <c r="BY1151" s="240"/>
      <c r="BZ1151" s="240"/>
      <c r="CA1151" s="240"/>
      <c r="CB1151" s="240"/>
      <c r="CC1151" s="240"/>
      <c r="CD1151" s="240"/>
      <c r="CE1151" s="240"/>
      <c r="CF1151" s="240"/>
      <c r="CG1151" s="240"/>
      <c r="CH1151" s="240"/>
      <c r="CI1151" s="240"/>
      <c r="CJ1151" s="240"/>
      <c r="CK1151" s="240"/>
      <c r="CL1151" s="240"/>
      <c r="CM1151" s="240"/>
      <c r="CN1151" s="240"/>
      <c r="CO1151" s="240"/>
      <c r="CP1151" s="240"/>
      <c r="CQ1151" s="240"/>
      <c r="CR1151" s="240"/>
      <c r="CS1151" s="240"/>
      <c r="CT1151" s="240"/>
      <c r="CU1151" s="240"/>
      <c r="CV1151" s="240"/>
      <c r="CW1151" s="240"/>
      <c r="CX1151" s="240"/>
      <c r="CY1151" s="240"/>
      <c r="CZ1151" s="241"/>
      <c r="DA1151" s="241"/>
      <c r="DB1151" s="241"/>
      <c r="DC1151" s="241"/>
      <c r="DD1151" s="241"/>
      <c r="DE1151" s="241"/>
      <c r="DF1151" s="241"/>
      <c r="DG1151" s="241"/>
      <c r="DH1151" s="241"/>
      <c r="DI1151" s="241"/>
      <c r="DJ1151" s="241"/>
      <c r="DK1151" s="241"/>
      <c r="DL1151" s="241"/>
      <c r="DM1151" s="241"/>
      <c r="DN1151" s="241"/>
      <c r="DO1151" s="241"/>
      <c r="DP1151" s="241"/>
      <c r="DQ1151" s="241"/>
      <c r="DR1151" s="241"/>
      <c r="DS1151" s="241"/>
      <c r="DT1151" s="241"/>
      <c r="DU1151" s="241"/>
      <c r="DV1151" s="241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345"/>
      <c r="EM1151" s="245"/>
      <c r="EN1151" s="245"/>
      <c r="EO1151" s="245"/>
      <c r="EP1151" s="245"/>
      <c r="EQ1151" s="351"/>
    </row>
    <row r="1152" spans="1:149" s="243" customFormat="1" ht="11.25" hidden="1" customHeight="1">
      <c r="B1152" s="343"/>
      <c r="C1152" s="240"/>
      <c r="D1152" s="240"/>
      <c r="E1152" s="240"/>
      <c r="F1152" s="240"/>
      <c r="G1152" s="240"/>
      <c r="H1152" s="240" t="s">
        <v>710</v>
      </c>
      <c r="I1152" s="240"/>
      <c r="J1152" s="240" t="s">
        <v>134</v>
      </c>
      <c r="K1152" s="240"/>
      <c r="L1152" s="240" t="str">
        <f>TEXT(20,"#,##0.#######")</f>
        <v>20.</v>
      </c>
      <c r="M1152" s="240"/>
      <c r="N1152" s="240" t="s">
        <v>621</v>
      </c>
      <c r="O1152" s="240"/>
      <c r="P1152" s="240"/>
      <c r="Q1152" s="240"/>
      <c r="R1152" s="240"/>
      <c r="S1152" s="240"/>
      <c r="T1152" s="240" t="s">
        <v>852</v>
      </c>
      <c r="U1152" s="240"/>
      <c r="V1152" s="240"/>
      <c r="W1152" s="240" t="s">
        <v>134</v>
      </c>
      <c r="X1152" s="240"/>
      <c r="Y1152" s="240" t="str">
        <f>TEXT(30,"#,##0.#######")</f>
        <v>30.</v>
      </c>
      <c r="Z1152" s="240"/>
      <c r="AA1152" s="240" t="s">
        <v>621</v>
      </c>
      <c r="AB1152" s="240"/>
      <c r="AC1152" s="240" t="s">
        <v>139</v>
      </c>
      <c r="AD1152" s="240" t="s">
        <v>618</v>
      </c>
      <c r="AE1152" s="240"/>
      <c r="AF1152" s="240"/>
      <c r="AG1152" s="240"/>
      <c r="AH1152" s="240"/>
      <c r="AI1152" s="240"/>
      <c r="AJ1152" s="240"/>
      <c r="AK1152" s="240" t="s">
        <v>853</v>
      </c>
      <c r="AL1152" s="240"/>
      <c r="AM1152" s="240"/>
      <c r="AN1152" s="240" t="s">
        <v>134</v>
      </c>
      <c r="AO1152" s="240"/>
      <c r="AP1152" s="240" t="str">
        <f>TEXT(35,"#,##0.#######")</f>
        <v>35.</v>
      </c>
      <c r="AQ1152" s="240"/>
      <c r="AR1152" s="240" t="s">
        <v>621</v>
      </c>
      <c r="AS1152" s="240"/>
      <c r="AT1152" s="240" t="s">
        <v>139</v>
      </c>
      <c r="AU1152" s="240" t="s">
        <v>618</v>
      </c>
      <c r="AV1152" s="240"/>
      <c r="AW1152" s="240"/>
      <c r="AX1152" s="240"/>
      <c r="AY1152" s="240"/>
      <c r="AZ1152" s="240"/>
      <c r="BA1152" s="240"/>
      <c r="BB1152" s="240"/>
      <c r="BC1152" s="240"/>
      <c r="BD1152" s="240"/>
      <c r="BE1152" s="240"/>
      <c r="BF1152" s="240"/>
      <c r="BG1152" s="240"/>
      <c r="BH1152" s="240"/>
      <c r="BI1152" s="240"/>
      <c r="BJ1152" s="240"/>
      <c r="BK1152" s="240"/>
      <c r="BL1152" s="240"/>
      <c r="BM1152" s="240"/>
      <c r="BN1152" s="240"/>
      <c r="BO1152" s="240"/>
      <c r="BP1152" s="240"/>
      <c r="BQ1152" s="240"/>
      <c r="BR1152" s="240"/>
      <c r="BS1152" s="240"/>
      <c r="BT1152" s="240"/>
      <c r="BU1152" s="240"/>
      <c r="BV1152" s="240"/>
      <c r="BW1152" s="240"/>
      <c r="BX1152" s="240"/>
      <c r="BY1152" s="240"/>
      <c r="BZ1152" s="240"/>
      <c r="CA1152" s="240"/>
      <c r="CB1152" s="240"/>
      <c r="CC1152" s="240"/>
      <c r="CD1152" s="240"/>
      <c r="CE1152" s="240"/>
      <c r="CF1152" s="240"/>
      <c r="CG1152" s="240"/>
      <c r="CH1152" s="240"/>
      <c r="CI1152" s="240"/>
      <c r="CJ1152" s="240"/>
      <c r="CK1152" s="240"/>
      <c r="CL1152" s="240"/>
      <c r="CM1152" s="240"/>
      <c r="CN1152" s="240"/>
      <c r="CO1152" s="240"/>
      <c r="CP1152" s="240"/>
      <c r="CQ1152" s="240"/>
      <c r="CR1152" s="240"/>
      <c r="CS1152" s="240"/>
      <c r="CT1152" s="240"/>
      <c r="CU1152" s="240"/>
      <c r="CV1152" s="240"/>
      <c r="CW1152" s="240"/>
      <c r="CX1152" s="240"/>
      <c r="CY1152" s="240"/>
      <c r="CZ1152" s="241"/>
      <c r="DA1152" s="241"/>
      <c r="DB1152" s="241"/>
      <c r="DC1152" s="241"/>
      <c r="DD1152" s="241"/>
      <c r="DE1152" s="241"/>
      <c r="DF1152" s="241"/>
      <c r="DG1152" s="241"/>
      <c r="DH1152" s="241"/>
      <c r="DI1152" s="241"/>
      <c r="DJ1152" s="241"/>
      <c r="DK1152" s="241"/>
      <c r="DL1152" s="241"/>
      <c r="DM1152" s="241"/>
      <c r="DN1152" s="241"/>
      <c r="DO1152" s="241"/>
      <c r="DP1152" s="241"/>
      <c r="DQ1152" s="241"/>
      <c r="DR1152" s="241"/>
      <c r="DS1152" s="241"/>
      <c r="DT1152" s="241"/>
      <c r="DU1152" s="241"/>
      <c r="DV1152" s="241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345"/>
      <c r="EM1152" s="245"/>
      <c r="EN1152" s="245"/>
      <c r="EO1152" s="245"/>
      <c r="EP1152" s="245"/>
      <c r="EQ1152" s="351"/>
    </row>
    <row r="1153" spans="2:147" s="243" customFormat="1" ht="11.25" hidden="1" customHeight="1">
      <c r="B1153" s="343"/>
      <c r="C1153" s="240"/>
      <c r="D1153" s="240"/>
      <c r="E1153" s="240"/>
      <c r="F1153" s="240"/>
      <c r="G1153" s="240"/>
      <c r="H1153" s="240"/>
      <c r="I1153" s="240"/>
      <c r="J1153" s="240"/>
      <c r="K1153" s="240"/>
      <c r="L1153" s="240"/>
      <c r="M1153" s="240"/>
      <c r="N1153" s="240"/>
      <c r="O1153" s="240"/>
      <c r="P1153" s="240"/>
      <c r="Q1153" s="240"/>
      <c r="R1153" s="240"/>
      <c r="S1153" s="240"/>
      <c r="T1153" s="240"/>
      <c r="U1153" s="240"/>
      <c r="V1153" s="240"/>
      <c r="W1153" s="240"/>
      <c r="X1153" s="240"/>
      <c r="Y1153" s="240"/>
      <c r="Z1153" s="240"/>
      <c r="AA1153" s="240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240"/>
      <c r="AM1153" s="240"/>
      <c r="AN1153" s="240"/>
      <c r="AO1153" s="240"/>
      <c r="AP1153" s="240"/>
      <c r="AQ1153" s="240"/>
      <c r="AR1153" s="240"/>
      <c r="AS1153" s="240"/>
      <c r="AT1153" s="240"/>
      <c r="AU1153" s="240"/>
      <c r="AV1153" s="240"/>
      <c r="AW1153" s="240"/>
      <c r="AX1153" s="240"/>
      <c r="AY1153" s="240"/>
      <c r="AZ1153" s="240"/>
      <c r="BA1153" s="240"/>
      <c r="BB1153" s="240"/>
      <c r="BC1153" s="240"/>
      <c r="BD1153" s="240"/>
      <c r="BE1153" s="240"/>
      <c r="BF1153" s="240"/>
      <c r="BG1153" s="240"/>
      <c r="BH1153" s="240"/>
      <c r="BI1153" s="240"/>
      <c r="BJ1153" s="240"/>
      <c r="BK1153" s="240"/>
      <c r="BL1153" s="240"/>
      <c r="BM1153" s="240"/>
      <c r="BN1153" s="240"/>
      <c r="BO1153" s="240"/>
      <c r="BP1153" s="240"/>
      <c r="BQ1153" s="240"/>
      <c r="BR1153" s="240"/>
      <c r="BS1153" s="240"/>
      <c r="BT1153" s="240"/>
      <c r="BU1153" s="240"/>
      <c r="BV1153" s="240"/>
      <c r="BW1153" s="240"/>
      <c r="BX1153" s="240"/>
      <c r="BY1153" s="240"/>
      <c r="BZ1153" s="240"/>
      <c r="CA1153" s="240"/>
      <c r="CB1153" s="240"/>
      <c r="CC1153" s="240"/>
      <c r="CD1153" s="240"/>
      <c r="CE1153" s="240"/>
      <c r="CF1153" s="240"/>
      <c r="CG1153" s="240"/>
      <c r="CH1153" s="240"/>
      <c r="CI1153" s="240"/>
      <c r="CJ1153" s="240"/>
      <c r="CK1153" s="240"/>
      <c r="CL1153" s="240"/>
      <c r="CM1153" s="240"/>
      <c r="CN1153" s="240"/>
      <c r="CO1153" s="240"/>
      <c r="CP1153" s="240"/>
      <c r="CQ1153" s="240"/>
      <c r="CR1153" s="240"/>
      <c r="CS1153" s="240"/>
      <c r="CT1153" s="240"/>
      <c r="CU1153" s="240"/>
      <c r="CV1153" s="240"/>
      <c r="CW1153" s="240"/>
      <c r="CX1153" s="240"/>
      <c r="CY1153" s="240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1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345"/>
      <c r="EM1153" s="245"/>
      <c r="EN1153" s="245"/>
      <c r="EO1153" s="245"/>
      <c r="EP1153" s="245"/>
      <c r="EQ1153" s="351"/>
    </row>
    <row r="1154" spans="2:147" s="243" customFormat="1" ht="11.25" hidden="1" customHeight="1">
      <c r="B1154" s="343"/>
      <c r="C1154" s="240"/>
      <c r="D1154" s="240"/>
      <c r="E1154" s="240"/>
      <c r="F1154" s="240"/>
      <c r="G1154" s="240"/>
      <c r="H1154" s="240" t="s">
        <v>854</v>
      </c>
      <c r="I1154" s="240"/>
      <c r="J1154" s="240" t="s">
        <v>134</v>
      </c>
      <c r="K1154" s="240"/>
      <c r="L1154" s="240" t="str">
        <f>TEXT(15,"#,##0.#######")</f>
        <v>15.</v>
      </c>
      <c r="M1154" s="240"/>
      <c r="N1154" s="240" t="s">
        <v>620</v>
      </c>
      <c r="O1154" s="240"/>
      <c r="P1154" s="240"/>
      <c r="Q1154" s="240"/>
      <c r="R1154" s="240"/>
      <c r="S1154" s="240"/>
      <c r="T1154" s="240" t="s">
        <v>855</v>
      </c>
      <c r="U1154" s="240"/>
      <c r="V1154" s="240"/>
      <c r="W1154" s="240" t="s">
        <v>134</v>
      </c>
      <c r="X1154" s="240"/>
      <c r="Y1154" s="240" t="str">
        <f>TEXT(2.3,"#,##0.#######")</f>
        <v>2.3</v>
      </c>
      <c r="Z1154" s="240"/>
      <c r="AA1154" s="240"/>
      <c r="AB1154" s="240" t="s">
        <v>620</v>
      </c>
      <c r="AC1154" s="240"/>
      <c r="AD1154" s="240"/>
      <c r="AE1154" s="240" t="s">
        <v>139</v>
      </c>
      <c r="AF1154" s="240" t="s">
        <v>91</v>
      </c>
      <c r="AG1154" s="240"/>
      <c r="AH1154" s="240"/>
      <c r="AI1154" s="240"/>
      <c r="AJ1154" s="240" t="s">
        <v>856</v>
      </c>
      <c r="AK1154" s="240"/>
      <c r="AL1154" s="240"/>
      <c r="AM1154" s="240" t="s">
        <v>134</v>
      </c>
      <c r="AN1154" s="240"/>
      <c r="AO1154" s="240" t="str">
        <f>TEXT(1.5,"#,##0.#######")</f>
        <v>1.5</v>
      </c>
      <c r="AP1154" s="240"/>
      <c r="AQ1154" s="240"/>
      <c r="AR1154" s="240"/>
      <c r="AS1154" s="240"/>
      <c r="AT1154" s="240"/>
      <c r="AU1154" s="240"/>
      <c r="AV1154" s="240" t="s">
        <v>692</v>
      </c>
      <c r="AW1154" s="240"/>
      <c r="AX1154" s="240" t="s">
        <v>134</v>
      </c>
      <c r="AY1154" s="240"/>
      <c r="AZ1154" s="240" t="str">
        <f>TEXT(0.9,"#,##0.#######")</f>
        <v>0.9</v>
      </c>
      <c r="BA1154" s="240"/>
      <c r="BB1154" s="240"/>
      <c r="BC1154" s="240"/>
      <c r="BD1154" s="240"/>
      <c r="BE1154" s="240"/>
      <c r="BF1154" s="240"/>
      <c r="BG1154" s="240"/>
      <c r="BH1154" s="240"/>
      <c r="BI1154" s="240"/>
      <c r="BJ1154" s="240"/>
      <c r="BK1154" s="240"/>
      <c r="BL1154" s="240"/>
      <c r="BM1154" s="240"/>
      <c r="BN1154" s="240"/>
      <c r="BO1154" s="240"/>
      <c r="BP1154" s="240"/>
      <c r="BQ1154" s="240"/>
      <c r="BR1154" s="240"/>
      <c r="BS1154" s="240"/>
      <c r="BT1154" s="240"/>
      <c r="BU1154" s="240"/>
      <c r="BV1154" s="240"/>
      <c r="BW1154" s="240"/>
      <c r="BX1154" s="240"/>
      <c r="BY1154" s="240"/>
      <c r="BZ1154" s="240"/>
      <c r="CA1154" s="240"/>
      <c r="CB1154" s="240"/>
      <c r="CC1154" s="240"/>
      <c r="CD1154" s="240"/>
      <c r="CE1154" s="240"/>
      <c r="CF1154" s="240"/>
      <c r="CG1154" s="240"/>
      <c r="CH1154" s="240"/>
      <c r="CI1154" s="240"/>
      <c r="CJ1154" s="240"/>
      <c r="CK1154" s="240"/>
      <c r="CL1154" s="240"/>
      <c r="CM1154" s="240"/>
      <c r="CN1154" s="240"/>
      <c r="CO1154" s="240"/>
      <c r="CP1154" s="240"/>
      <c r="CQ1154" s="240"/>
      <c r="CR1154" s="240"/>
      <c r="CS1154" s="240"/>
      <c r="CT1154" s="240"/>
      <c r="CU1154" s="240"/>
      <c r="CV1154" s="240"/>
      <c r="CW1154" s="240"/>
      <c r="CX1154" s="240"/>
      <c r="CY1154" s="240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1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345"/>
      <c r="EM1154" s="245"/>
      <c r="EN1154" s="245"/>
      <c r="EO1154" s="245"/>
      <c r="EP1154" s="245"/>
      <c r="EQ1154" s="351"/>
    </row>
    <row r="1155" spans="2:147" s="243" customFormat="1" ht="11.25" hidden="1" customHeight="1">
      <c r="B1155" s="343"/>
      <c r="C1155" s="240"/>
      <c r="D1155" s="240"/>
      <c r="E1155" s="240"/>
      <c r="F1155" s="240"/>
      <c r="G1155" s="240"/>
      <c r="H1155" s="240"/>
      <c r="I1155" s="240"/>
      <c r="J1155" s="240"/>
      <c r="K1155" s="240"/>
      <c r="L1155" s="240"/>
      <c r="M1155" s="240"/>
      <c r="N1155" s="240"/>
      <c r="O1155" s="240"/>
      <c r="P1155" s="240"/>
      <c r="Q1155" s="240"/>
      <c r="R1155" s="240"/>
      <c r="S1155" s="240"/>
      <c r="T1155" s="240"/>
      <c r="U1155" s="240"/>
      <c r="V1155" s="240"/>
      <c r="W1155" s="240"/>
      <c r="X1155" s="240"/>
      <c r="Y1155" s="240"/>
      <c r="Z1155" s="240"/>
      <c r="AA1155" s="240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240"/>
      <c r="AM1155" s="240"/>
      <c r="AN1155" s="240"/>
      <c r="AO1155" s="240"/>
      <c r="AP1155" s="240"/>
      <c r="AQ1155" s="240"/>
      <c r="AR1155" s="240"/>
      <c r="AS1155" s="240"/>
      <c r="AT1155" s="240"/>
      <c r="AU1155" s="240"/>
      <c r="AV1155" s="240"/>
      <c r="AW1155" s="240"/>
      <c r="AX1155" s="240"/>
      <c r="AY1155" s="240"/>
      <c r="AZ1155" s="240"/>
      <c r="BA1155" s="240"/>
      <c r="BB1155" s="240"/>
      <c r="BC1155" s="240"/>
      <c r="BD1155" s="240"/>
      <c r="BE1155" s="240"/>
      <c r="BF1155" s="240"/>
      <c r="BG1155" s="240"/>
      <c r="BH1155" s="240"/>
      <c r="BI1155" s="240"/>
      <c r="BJ1155" s="240"/>
      <c r="BK1155" s="240"/>
      <c r="BL1155" s="240"/>
      <c r="BM1155" s="240"/>
      <c r="BN1155" s="240"/>
      <c r="BO1155" s="240"/>
      <c r="BP1155" s="240"/>
      <c r="BQ1155" s="240"/>
      <c r="BR1155" s="240"/>
      <c r="BS1155" s="240"/>
      <c r="BT1155" s="240"/>
      <c r="BU1155" s="240"/>
      <c r="BV1155" s="240"/>
      <c r="BW1155" s="240"/>
      <c r="BX1155" s="240"/>
      <c r="BY1155" s="240"/>
      <c r="BZ1155" s="240"/>
      <c r="CA1155" s="240"/>
      <c r="CB1155" s="240"/>
      <c r="CC1155" s="240"/>
      <c r="CD1155" s="240"/>
      <c r="CE1155" s="240"/>
      <c r="CF1155" s="240"/>
      <c r="CG1155" s="240"/>
      <c r="CH1155" s="240"/>
      <c r="CI1155" s="240"/>
      <c r="CJ1155" s="240"/>
      <c r="CK1155" s="240"/>
      <c r="CL1155" s="240"/>
      <c r="CM1155" s="240"/>
      <c r="CN1155" s="240"/>
      <c r="CO1155" s="240"/>
      <c r="CP1155" s="240"/>
      <c r="CQ1155" s="240"/>
      <c r="CR1155" s="240"/>
      <c r="CS1155" s="240"/>
      <c r="CT1155" s="240"/>
      <c r="CU1155" s="240"/>
      <c r="CV1155" s="240"/>
      <c r="CW1155" s="240"/>
      <c r="CX1155" s="240"/>
      <c r="CY1155" s="240"/>
      <c r="CZ1155" s="241"/>
      <c r="DA1155" s="241"/>
      <c r="DB1155" s="241"/>
      <c r="DC1155" s="241"/>
      <c r="DD1155" s="241"/>
      <c r="DE1155" s="241"/>
      <c r="DF1155" s="241"/>
      <c r="DG1155" s="241"/>
      <c r="DH1155" s="241"/>
      <c r="DI1155" s="241"/>
      <c r="DJ1155" s="241"/>
      <c r="DK1155" s="241"/>
      <c r="DL1155" s="241"/>
      <c r="DM1155" s="241"/>
      <c r="DN1155" s="241"/>
      <c r="DO1155" s="241"/>
      <c r="DP1155" s="241"/>
      <c r="DQ1155" s="241"/>
      <c r="DR1155" s="241"/>
      <c r="DS1155" s="241"/>
      <c r="DT1155" s="241"/>
      <c r="DU1155" s="241"/>
      <c r="DV1155" s="241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345"/>
      <c r="EM1155" s="245"/>
      <c r="EN1155" s="245"/>
      <c r="EO1155" s="245"/>
      <c r="EP1155" s="245"/>
      <c r="EQ1155" s="351"/>
    </row>
    <row r="1156" spans="2:147" s="243" customFormat="1" ht="11.25" hidden="1" customHeight="1">
      <c r="B1156" s="343"/>
      <c r="C1156" s="240"/>
      <c r="D1156" s="240"/>
      <c r="E1156" s="240"/>
      <c r="F1156" s="240"/>
      <c r="G1156" s="240"/>
      <c r="H1156" s="240" t="s">
        <v>773</v>
      </c>
      <c r="I1156" s="240"/>
      <c r="J1156" s="240" t="s">
        <v>134</v>
      </c>
      <c r="K1156" s="240"/>
      <c r="L1156" s="240" t="s">
        <v>854</v>
      </c>
      <c r="M1156" s="240" t="s">
        <v>139</v>
      </c>
      <c r="N1156" s="240" t="s">
        <v>855</v>
      </c>
      <c r="O1156" s="240"/>
      <c r="P1156" s="240" t="s">
        <v>652</v>
      </c>
      <c r="Q1156" s="240"/>
      <c r="R1156" s="240" t="s">
        <v>856</v>
      </c>
      <c r="S1156" s="240"/>
      <c r="T1156" s="240"/>
      <c r="U1156" s="240" t="s">
        <v>134</v>
      </c>
      <c r="V1156" s="240"/>
      <c r="W1156" s="240" t="str">
        <f>TEXT(L1154,"#,##0.#######")</f>
        <v>15.</v>
      </c>
      <c r="X1156" s="240"/>
      <c r="Y1156" s="240" t="s">
        <v>139</v>
      </c>
      <c r="Z1156" s="240" t="str">
        <f>TEXT(Y1154,"#,##0.#######")</f>
        <v>2.3</v>
      </c>
      <c r="AA1156" s="240"/>
      <c r="AB1156" s="240"/>
      <c r="AC1156" s="240" t="s">
        <v>652</v>
      </c>
      <c r="AD1156" s="240"/>
      <c r="AE1156" s="240" t="str">
        <f>TEXT(AO1154,"#,##0.#######")</f>
        <v>1.5</v>
      </c>
      <c r="AF1156" s="240"/>
      <c r="AG1156" s="240"/>
      <c r="AH1156" s="240"/>
      <c r="AI1156" s="240" t="s">
        <v>134</v>
      </c>
      <c r="AJ1156" s="240"/>
      <c r="AK1156" s="240" t="str">
        <f>TEXT(ROUND(L1154/Y1154*AO1154,2),"#,##0.#######")</f>
        <v>9.78</v>
      </c>
      <c r="AL1156" s="240"/>
      <c r="AM1156" s="240"/>
      <c r="AN1156" s="240"/>
      <c r="AO1156" s="240"/>
      <c r="AP1156" s="240"/>
      <c r="AQ1156" s="240" t="s">
        <v>91</v>
      </c>
      <c r="AR1156" s="240"/>
      <c r="AS1156" s="240"/>
      <c r="AT1156" s="240"/>
      <c r="AU1156" s="240"/>
      <c r="AV1156" s="240"/>
      <c r="AW1156" s="240"/>
      <c r="AX1156" s="240"/>
      <c r="AY1156" s="240"/>
      <c r="AZ1156" s="240"/>
      <c r="BA1156" s="240"/>
      <c r="BB1156" s="240"/>
      <c r="BC1156" s="240"/>
      <c r="BD1156" s="240"/>
      <c r="BE1156" s="240"/>
      <c r="BF1156" s="240"/>
      <c r="BG1156" s="240"/>
      <c r="BH1156" s="240"/>
      <c r="BI1156" s="240"/>
      <c r="BJ1156" s="240"/>
      <c r="BK1156" s="240"/>
      <c r="BL1156" s="240"/>
      <c r="BM1156" s="240"/>
      <c r="BN1156" s="240"/>
      <c r="BO1156" s="240"/>
      <c r="BP1156" s="240"/>
      <c r="BQ1156" s="240"/>
      <c r="BR1156" s="240"/>
      <c r="BS1156" s="240"/>
      <c r="BT1156" s="240"/>
      <c r="BU1156" s="240"/>
      <c r="BV1156" s="240"/>
      <c r="BW1156" s="240"/>
      <c r="BX1156" s="240"/>
      <c r="BY1156" s="240"/>
      <c r="BZ1156" s="240"/>
      <c r="CA1156" s="240"/>
      <c r="CB1156" s="240"/>
      <c r="CC1156" s="240"/>
      <c r="CD1156" s="240"/>
      <c r="CE1156" s="240"/>
      <c r="CF1156" s="240"/>
      <c r="CG1156" s="240"/>
      <c r="CH1156" s="240"/>
      <c r="CI1156" s="240"/>
      <c r="CJ1156" s="240"/>
      <c r="CK1156" s="240"/>
      <c r="CL1156" s="240"/>
      <c r="CM1156" s="240"/>
      <c r="CN1156" s="240"/>
      <c r="CO1156" s="240"/>
      <c r="CP1156" s="240"/>
      <c r="CQ1156" s="240"/>
      <c r="CR1156" s="240"/>
      <c r="CS1156" s="240"/>
      <c r="CT1156" s="240"/>
      <c r="CU1156" s="240"/>
      <c r="CV1156" s="240"/>
      <c r="CW1156" s="240"/>
      <c r="CX1156" s="240"/>
      <c r="CY1156" s="240"/>
      <c r="CZ1156" s="241"/>
      <c r="DA1156" s="241"/>
      <c r="DB1156" s="241"/>
      <c r="DC1156" s="241"/>
      <c r="DD1156" s="241"/>
      <c r="DE1156" s="241"/>
      <c r="DF1156" s="241"/>
      <c r="DG1156" s="241"/>
      <c r="DH1156" s="241"/>
      <c r="DI1156" s="241"/>
      <c r="DJ1156" s="241"/>
      <c r="DK1156" s="241"/>
      <c r="DL1156" s="241"/>
      <c r="DM1156" s="241"/>
      <c r="DN1156" s="241"/>
      <c r="DO1156" s="241"/>
      <c r="DP1156" s="241"/>
      <c r="DQ1156" s="241"/>
      <c r="DR1156" s="241"/>
      <c r="DS1156" s="241"/>
      <c r="DT1156" s="241"/>
      <c r="DU1156" s="241"/>
      <c r="DV1156" s="241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345"/>
      <c r="EM1156" s="245"/>
      <c r="EN1156" s="245"/>
      <c r="EO1156" s="245"/>
      <c r="EP1156" s="245"/>
      <c r="EQ1156" s="351"/>
    </row>
    <row r="1157" spans="2:147" s="243" customFormat="1" ht="11.25" hidden="1" customHeight="1">
      <c r="B1157" s="343"/>
      <c r="C1157" s="240"/>
      <c r="D1157" s="240"/>
      <c r="E1157" s="240"/>
      <c r="F1157" s="240"/>
      <c r="G1157" s="240"/>
      <c r="H1157" s="240"/>
      <c r="I1157" s="240"/>
      <c r="J1157" s="240"/>
      <c r="K1157" s="240"/>
      <c r="L1157" s="240"/>
      <c r="M1157" s="240"/>
      <c r="N1157" s="240"/>
      <c r="O1157" s="240"/>
      <c r="P1157" s="240"/>
      <c r="Q1157" s="240"/>
      <c r="R1157" s="240"/>
      <c r="S1157" s="240"/>
      <c r="T1157" s="240"/>
      <c r="U1157" s="240"/>
      <c r="V1157" s="240"/>
      <c r="W1157" s="240"/>
      <c r="X1157" s="240"/>
      <c r="Y1157" s="240"/>
      <c r="Z1157" s="240"/>
      <c r="AA1157" s="240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240"/>
      <c r="AM1157" s="240"/>
      <c r="AN1157" s="240"/>
      <c r="AO1157" s="240"/>
      <c r="AP1157" s="240"/>
      <c r="AQ1157" s="240"/>
      <c r="AR1157" s="240"/>
      <c r="AS1157" s="240"/>
      <c r="AT1157" s="240"/>
      <c r="AU1157" s="240"/>
      <c r="AV1157" s="240"/>
      <c r="AW1157" s="240"/>
      <c r="AX1157" s="240"/>
      <c r="AY1157" s="240"/>
      <c r="AZ1157" s="240"/>
      <c r="BA1157" s="240"/>
      <c r="BB1157" s="240"/>
      <c r="BC1157" s="240"/>
      <c r="BD1157" s="240"/>
      <c r="BE1157" s="240"/>
      <c r="BF1157" s="240"/>
      <c r="BG1157" s="240"/>
      <c r="BH1157" s="240"/>
      <c r="BI1157" s="240"/>
      <c r="BJ1157" s="240"/>
      <c r="BK1157" s="240"/>
      <c r="BL1157" s="240"/>
      <c r="BM1157" s="240"/>
      <c r="BN1157" s="240"/>
      <c r="BO1157" s="240"/>
      <c r="BP1157" s="240"/>
      <c r="BQ1157" s="240"/>
      <c r="BR1157" s="240"/>
      <c r="BS1157" s="240"/>
      <c r="BT1157" s="240"/>
      <c r="BU1157" s="240"/>
      <c r="BV1157" s="240"/>
      <c r="BW1157" s="240"/>
      <c r="BX1157" s="240"/>
      <c r="BY1157" s="240"/>
      <c r="BZ1157" s="240"/>
      <c r="CA1157" s="240"/>
      <c r="CB1157" s="240"/>
      <c r="CC1157" s="240"/>
      <c r="CD1157" s="240"/>
      <c r="CE1157" s="240"/>
      <c r="CF1157" s="240"/>
      <c r="CG1157" s="240"/>
      <c r="CH1157" s="240"/>
      <c r="CI1157" s="240"/>
      <c r="CJ1157" s="240"/>
      <c r="CK1157" s="240"/>
      <c r="CL1157" s="240"/>
      <c r="CM1157" s="240"/>
      <c r="CN1157" s="240"/>
      <c r="CO1157" s="240"/>
      <c r="CP1157" s="240"/>
      <c r="CQ1157" s="240"/>
      <c r="CR1157" s="240"/>
      <c r="CS1157" s="240"/>
      <c r="CT1157" s="240"/>
      <c r="CU1157" s="240"/>
      <c r="CV1157" s="240"/>
      <c r="CW1157" s="240"/>
      <c r="CX1157" s="240"/>
      <c r="CY1157" s="240"/>
      <c r="CZ1157" s="241"/>
      <c r="DA1157" s="241"/>
      <c r="DB1157" s="241"/>
      <c r="DC1157" s="241"/>
      <c r="DD1157" s="241"/>
      <c r="DE1157" s="241"/>
      <c r="DF1157" s="241"/>
      <c r="DG1157" s="241"/>
      <c r="DH1157" s="241"/>
      <c r="DI1157" s="241"/>
      <c r="DJ1157" s="241"/>
      <c r="DK1157" s="241"/>
      <c r="DL1157" s="241"/>
      <c r="DM1157" s="241"/>
      <c r="DN1157" s="241"/>
      <c r="DO1157" s="241"/>
      <c r="DP1157" s="241"/>
      <c r="DQ1157" s="241"/>
      <c r="DR1157" s="241"/>
      <c r="DS1157" s="241"/>
      <c r="DT1157" s="241"/>
      <c r="DU1157" s="241"/>
      <c r="DV1157" s="241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345"/>
      <c r="EM1157" s="245"/>
      <c r="EN1157" s="245"/>
      <c r="EO1157" s="245"/>
      <c r="EP1157" s="245"/>
      <c r="EQ1157" s="351"/>
    </row>
    <row r="1158" spans="2:147" s="243" customFormat="1" ht="11.25" hidden="1" customHeight="1">
      <c r="B1158" s="343"/>
      <c r="C1158" s="240"/>
      <c r="D1158" s="240"/>
      <c r="E1158" s="240"/>
      <c r="F1158" s="240"/>
      <c r="G1158" s="240"/>
      <c r="H1158" s="240" t="s">
        <v>857</v>
      </c>
      <c r="I1158" s="240"/>
      <c r="J1158" s="240" t="s">
        <v>134</v>
      </c>
      <c r="K1158" s="240"/>
      <c r="L1158" s="240" t="s">
        <v>773</v>
      </c>
      <c r="M1158" s="240"/>
      <c r="N1158" s="240" t="s">
        <v>139</v>
      </c>
      <c r="O1158" s="240"/>
      <c r="P1158" s="240" t="s">
        <v>147</v>
      </c>
      <c r="Q1158" s="240"/>
      <c r="R1158" s="240" t="s">
        <v>843</v>
      </c>
      <c r="S1158" s="240"/>
      <c r="T1158" s="240"/>
      <c r="U1158" s="240" t="s">
        <v>652</v>
      </c>
      <c r="V1158" s="240"/>
      <c r="W1158" s="240"/>
      <c r="X1158" s="240" t="s">
        <v>775</v>
      </c>
      <c r="Y1158" s="240"/>
      <c r="Z1158" s="240" t="s">
        <v>148</v>
      </c>
      <c r="AA1158" s="240"/>
      <c r="AB1158" s="240" t="s">
        <v>134</v>
      </c>
      <c r="AC1158" s="240"/>
      <c r="AD1158" s="240" t="str">
        <f>TEXT(AK1156,"#,##0.#######")</f>
        <v>9.78</v>
      </c>
      <c r="AE1158" s="240"/>
      <c r="AF1158" s="240"/>
      <c r="AG1158" s="240"/>
      <c r="AH1158" s="240"/>
      <c r="AI1158" s="240" t="s">
        <v>139</v>
      </c>
      <c r="AJ1158" s="240"/>
      <c r="AK1158" s="240" t="s">
        <v>147</v>
      </c>
      <c r="AL1158" s="240"/>
      <c r="AM1158" s="240" t="str">
        <f>TEXT(M1141,"#,##0.#######")</f>
        <v>0.7</v>
      </c>
      <c r="AN1158" s="240"/>
      <c r="AO1158" s="240"/>
      <c r="AP1158" s="240"/>
      <c r="AQ1158" s="240" t="s">
        <v>652</v>
      </c>
      <c r="AR1158" s="240"/>
      <c r="AS1158" s="240"/>
      <c r="AT1158" s="240" t="str">
        <f>TEXT(AX1141,"#,##0.#######")</f>
        <v>0.55</v>
      </c>
      <c r="AU1158" s="240"/>
      <c r="AV1158" s="240"/>
      <c r="AW1158" s="240"/>
      <c r="AX1158" s="240"/>
      <c r="AY1158" s="240" t="s">
        <v>148</v>
      </c>
      <c r="AZ1158" s="240"/>
      <c r="BA1158" s="240" t="s">
        <v>134</v>
      </c>
      <c r="BB1158" s="240"/>
      <c r="BC1158" s="240" t="str">
        <f>TEXT(ROUND(AK1156/(M1141*AX1141),2),"#,##0.#######")</f>
        <v>25.4</v>
      </c>
      <c r="BD1158" s="240"/>
      <c r="BE1158" s="240"/>
      <c r="BF1158" s="240"/>
      <c r="BG1158" s="240"/>
      <c r="BH1158" s="240"/>
      <c r="BI1158" s="240" t="s">
        <v>558</v>
      </c>
      <c r="BJ1158" s="240"/>
      <c r="BK1158" s="240"/>
      <c r="BL1158" s="240"/>
      <c r="BM1158" s="240"/>
      <c r="BN1158" s="240"/>
      <c r="BO1158" s="240"/>
      <c r="BP1158" s="240"/>
      <c r="BQ1158" s="240"/>
      <c r="BR1158" s="240"/>
      <c r="BS1158" s="240"/>
      <c r="BT1158" s="240"/>
      <c r="BU1158" s="240"/>
      <c r="BV1158" s="240"/>
      <c r="BW1158" s="240"/>
      <c r="BX1158" s="240"/>
      <c r="BY1158" s="240"/>
      <c r="BZ1158" s="240"/>
      <c r="CA1158" s="240"/>
      <c r="CB1158" s="240"/>
      <c r="CC1158" s="240"/>
      <c r="CD1158" s="240"/>
      <c r="CE1158" s="240"/>
      <c r="CF1158" s="240"/>
      <c r="CG1158" s="240"/>
      <c r="CH1158" s="240"/>
      <c r="CI1158" s="240"/>
      <c r="CJ1158" s="240"/>
      <c r="CK1158" s="240"/>
      <c r="CL1158" s="240"/>
      <c r="CM1158" s="240"/>
      <c r="CN1158" s="240"/>
      <c r="CO1158" s="240"/>
      <c r="CP1158" s="240"/>
      <c r="CQ1158" s="240"/>
      <c r="CR1158" s="240"/>
      <c r="CS1158" s="240"/>
      <c r="CT1158" s="240"/>
      <c r="CU1158" s="240"/>
      <c r="CV1158" s="240"/>
      <c r="CW1158" s="240"/>
      <c r="CX1158" s="240"/>
      <c r="CY1158" s="240"/>
      <c r="CZ1158" s="241"/>
      <c r="DA1158" s="241"/>
      <c r="DB1158" s="241"/>
      <c r="DC1158" s="241"/>
      <c r="DD1158" s="241"/>
      <c r="DE1158" s="241"/>
      <c r="DF1158" s="241"/>
      <c r="DG1158" s="241"/>
      <c r="DH1158" s="241"/>
      <c r="DI1158" s="241"/>
      <c r="DJ1158" s="241"/>
      <c r="DK1158" s="241"/>
      <c r="DL1158" s="241"/>
      <c r="DM1158" s="241"/>
      <c r="DN1158" s="241"/>
      <c r="DO1158" s="241"/>
      <c r="DP1158" s="241"/>
      <c r="DQ1158" s="241"/>
      <c r="DR1158" s="241"/>
      <c r="DS1158" s="241"/>
      <c r="DT1158" s="241"/>
      <c r="DU1158" s="241"/>
      <c r="DV1158" s="241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345"/>
      <c r="EM1158" s="245"/>
      <c r="EN1158" s="245"/>
      <c r="EO1158" s="245"/>
      <c r="EP1158" s="245"/>
      <c r="EQ1158" s="351"/>
    </row>
    <row r="1159" spans="2:147" s="243" customFormat="1" ht="11.25" hidden="1" customHeight="1">
      <c r="B1159" s="343"/>
      <c r="C1159" s="240"/>
      <c r="D1159" s="240"/>
      <c r="E1159" s="240"/>
      <c r="F1159" s="240"/>
      <c r="G1159" s="240"/>
      <c r="H1159" s="240"/>
      <c r="I1159" s="240"/>
      <c r="J1159" s="240"/>
      <c r="K1159" s="240"/>
      <c r="L1159" s="240"/>
      <c r="M1159" s="240"/>
      <c r="N1159" s="240"/>
      <c r="O1159" s="240"/>
      <c r="P1159" s="240"/>
      <c r="Q1159" s="240"/>
      <c r="R1159" s="240"/>
      <c r="S1159" s="240"/>
      <c r="T1159" s="240"/>
      <c r="U1159" s="240"/>
      <c r="V1159" s="240"/>
      <c r="W1159" s="240"/>
      <c r="X1159" s="240"/>
      <c r="Y1159" s="240"/>
      <c r="Z1159" s="240"/>
      <c r="AA1159" s="240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240"/>
      <c r="AM1159" s="240"/>
      <c r="AN1159" s="240"/>
      <c r="AO1159" s="240"/>
      <c r="AP1159" s="240"/>
      <c r="AQ1159" s="240"/>
      <c r="AR1159" s="240"/>
      <c r="AS1159" s="240"/>
      <c r="AT1159" s="240"/>
      <c r="AU1159" s="240"/>
      <c r="AV1159" s="240"/>
      <c r="AW1159" s="240"/>
      <c r="AX1159" s="240"/>
      <c r="AY1159" s="240"/>
      <c r="AZ1159" s="240"/>
      <c r="BA1159" s="240"/>
      <c r="BB1159" s="240"/>
      <c r="BC1159" s="240"/>
      <c r="BD1159" s="240"/>
      <c r="BE1159" s="240"/>
      <c r="BF1159" s="240"/>
      <c r="BG1159" s="240"/>
      <c r="BH1159" s="240"/>
      <c r="BI1159" s="240"/>
      <c r="BJ1159" s="240"/>
      <c r="BK1159" s="240"/>
      <c r="BL1159" s="240"/>
      <c r="BM1159" s="240"/>
      <c r="BN1159" s="240"/>
      <c r="BO1159" s="240"/>
      <c r="BP1159" s="240"/>
      <c r="BQ1159" s="240"/>
      <c r="BR1159" s="240"/>
      <c r="BS1159" s="240"/>
      <c r="BT1159" s="240"/>
      <c r="BU1159" s="240"/>
      <c r="BV1159" s="240"/>
      <c r="BW1159" s="240"/>
      <c r="BX1159" s="240"/>
      <c r="BY1159" s="240"/>
      <c r="BZ1159" s="240"/>
      <c r="CA1159" s="240"/>
      <c r="CB1159" s="240"/>
      <c r="CC1159" s="240"/>
      <c r="CD1159" s="240"/>
      <c r="CE1159" s="240"/>
      <c r="CF1159" s="240"/>
      <c r="CG1159" s="240"/>
      <c r="CH1159" s="240"/>
      <c r="CI1159" s="240"/>
      <c r="CJ1159" s="240"/>
      <c r="CK1159" s="240"/>
      <c r="CL1159" s="240"/>
      <c r="CM1159" s="240"/>
      <c r="CN1159" s="240"/>
      <c r="CO1159" s="240"/>
      <c r="CP1159" s="240"/>
      <c r="CQ1159" s="240"/>
      <c r="CR1159" s="240"/>
      <c r="CS1159" s="240"/>
      <c r="CT1159" s="240"/>
      <c r="CU1159" s="240"/>
      <c r="CV1159" s="240"/>
      <c r="CW1159" s="240"/>
      <c r="CX1159" s="240"/>
      <c r="CY1159" s="240"/>
      <c r="CZ1159" s="241"/>
      <c r="DA1159" s="241"/>
      <c r="DB1159" s="241"/>
      <c r="DC1159" s="241"/>
      <c r="DD1159" s="241"/>
      <c r="DE1159" s="241"/>
      <c r="DF1159" s="241"/>
      <c r="DG1159" s="241"/>
      <c r="DH1159" s="241"/>
      <c r="DI1159" s="241"/>
      <c r="DJ1159" s="241"/>
      <c r="DK1159" s="241"/>
      <c r="DL1159" s="241"/>
      <c r="DM1159" s="241"/>
      <c r="DN1159" s="241"/>
      <c r="DO1159" s="241"/>
      <c r="DP1159" s="241"/>
      <c r="DQ1159" s="241"/>
      <c r="DR1159" s="241"/>
      <c r="DS1159" s="241"/>
      <c r="DT1159" s="241"/>
      <c r="DU1159" s="241"/>
      <c r="DV1159" s="241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345"/>
      <c r="EM1159" s="245"/>
      <c r="EN1159" s="245"/>
      <c r="EO1159" s="245"/>
      <c r="EP1159" s="245"/>
      <c r="EQ1159" s="351"/>
    </row>
    <row r="1160" spans="2:147" s="243" customFormat="1" ht="11.25" hidden="1" customHeight="1">
      <c r="B1160" s="343"/>
      <c r="C1160" s="240"/>
      <c r="D1160" s="240"/>
      <c r="E1160" s="240"/>
      <c r="F1160" s="240"/>
      <c r="G1160" s="240"/>
      <c r="H1160" s="240" t="s">
        <v>712</v>
      </c>
      <c r="I1160" s="240"/>
      <c r="J1160" s="240"/>
      <c r="K1160" s="240" t="s">
        <v>134</v>
      </c>
      <c r="L1160" s="240"/>
      <c r="M1160" s="240" t="s">
        <v>845</v>
      </c>
      <c r="N1160" s="240"/>
      <c r="O1160" s="240"/>
      <c r="P1160" s="240"/>
      <c r="Q1160" s="240" t="s">
        <v>652</v>
      </c>
      <c r="R1160" s="240"/>
      <c r="S1160" s="240"/>
      <c r="T1160" s="240" t="s">
        <v>857</v>
      </c>
      <c r="U1160" s="240"/>
      <c r="V1160" s="240" t="s">
        <v>139</v>
      </c>
      <c r="W1160" s="240"/>
      <c r="X1160" s="240" t="s">
        <v>147</v>
      </c>
      <c r="Y1160" s="240"/>
      <c r="Z1160" s="240" t="str">
        <f>TEXT(60,"#,##0.#######")</f>
        <v>60.</v>
      </c>
      <c r="AA1160" s="240"/>
      <c r="AB1160" s="240"/>
      <c r="AC1160" s="240" t="s">
        <v>652</v>
      </c>
      <c r="AD1160" s="240"/>
      <c r="AE1160" s="240"/>
      <c r="AF1160" s="240" t="s">
        <v>844</v>
      </c>
      <c r="AG1160" s="240"/>
      <c r="AH1160" s="240"/>
      <c r="AI1160" s="240" t="s">
        <v>148</v>
      </c>
      <c r="AJ1160" s="240"/>
      <c r="AK1160" s="240" t="s">
        <v>134</v>
      </c>
      <c r="AL1160" s="240"/>
      <c r="AM1160" s="240" t="str">
        <f>TEXT(AB1143,"#,##0.#######")</f>
        <v>20.</v>
      </c>
      <c r="AN1160" s="240"/>
      <c r="AO1160" s="240"/>
      <c r="AP1160" s="240" t="s">
        <v>652</v>
      </c>
      <c r="AQ1160" s="240"/>
      <c r="AR1160" s="240"/>
      <c r="AS1160" s="240" t="str">
        <f>TEXT(BC1158,"#,##0.#######")</f>
        <v>25.4</v>
      </c>
      <c r="AT1160" s="240"/>
      <c r="AU1160" s="240"/>
      <c r="AV1160" s="240"/>
      <c r="AW1160" s="240"/>
      <c r="AX1160" s="240" t="s">
        <v>139</v>
      </c>
      <c r="AY1160" s="240"/>
      <c r="AZ1160" s="240" t="s">
        <v>147</v>
      </c>
      <c r="BA1160" s="240"/>
      <c r="BB1160" s="240" t="str">
        <f>TEXT(Z1160,"#,##0.#######")</f>
        <v>60.</v>
      </c>
      <c r="BC1160" s="240"/>
      <c r="BD1160" s="240"/>
      <c r="BE1160" s="240" t="s">
        <v>652</v>
      </c>
      <c r="BF1160" s="240"/>
      <c r="BG1160" s="240"/>
      <c r="BH1160" s="240" t="str">
        <f>TEXT(M1143,"#,##0.#######")</f>
        <v>0.45</v>
      </c>
      <c r="BI1160" s="240"/>
      <c r="BJ1160" s="240"/>
      <c r="BK1160" s="240"/>
      <c r="BL1160" s="240"/>
      <c r="BM1160" s="240" t="s">
        <v>148</v>
      </c>
      <c r="BN1160" s="240"/>
      <c r="BO1160" s="240" t="s">
        <v>134</v>
      </c>
      <c r="BP1160" s="240"/>
      <c r="BQ1160" s="240" t="str">
        <f>TEXT(ROUND(AB1143*BC1158/(Z1160*M1143),2),"#,##0.#######")</f>
        <v>18.81</v>
      </c>
      <c r="BR1160" s="240"/>
      <c r="BS1160" s="240"/>
      <c r="BT1160" s="240"/>
      <c r="BU1160" s="240"/>
      <c r="BV1160" s="240"/>
      <c r="BW1160" s="240"/>
      <c r="BX1160" s="240"/>
      <c r="BY1160" s="240"/>
      <c r="BZ1160" s="240"/>
      <c r="CA1160" s="240"/>
      <c r="CB1160" s="240"/>
      <c r="CC1160" s="240"/>
      <c r="CD1160" s="240"/>
      <c r="CE1160" s="240"/>
      <c r="CF1160" s="240"/>
      <c r="CG1160" s="240"/>
      <c r="CH1160" s="240"/>
      <c r="CI1160" s="240"/>
      <c r="CJ1160" s="240"/>
      <c r="CK1160" s="240"/>
      <c r="CL1160" s="240"/>
      <c r="CM1160" s="240"/>
      <c r="CN1160" s="240"/>
      <c r="CO1160" s="240"/>
      <c r="CP1160" s="240"/>
      <c r="CQ1160" s="240"/>
      <c r="CR1160" s="240"/>
      <c r="CS1160" s="240"/>
      <c r="CT1160" s="240"/>
      <c r="CU1160" s="240"/>
      <c r="CV1160" s="240"/>
      <c r="CW1160" s="240"/>
      <c r="CX1160" s="240"/>
      <c r="CY1160" s="240"/>
      <c r="CZ1160" s="241"/>
      <c r="DA1160" s="241"/>
      <c r="DB1160" s="241"/>
      <c r="DC1160" s="241"/>
      <c r="DD1160" s="241"/>
      <c r="DE1160" s="241"/>
      <c r="DF1160" s="241"/>
      <c r="DG1160" s="241"/>
      <c r="DH1160" s="241"/>
      <c r="DI1160" s="241"/>
      <c r="DJ1160" s="241"/>
      <c r="DK1160" s="241"/>
      <c r="DL1160" s="241"/>
      <c r="DM1160" s="241"/>
      <c r="DN1160" s="241"/>
      <c r="DO1160" s="241"/>
      <c r="DP1160" s="241"/>
      <c r="DQ1160" s="241"/>
      <c r="DR1160" s="241"/>
      <c r="DS1160" s="241"/>
      <c r="DT1160" s="241"/>
      <c r="DU1160" s="241"/>
      <c r="DV1160" s="241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345"/>
      <c r="EM1160" s="245"/>
      <c r="EN1160" s="245"/>
      <c r="EO1160" s="245"/>
      <c r="EP1160" s="245"/>
      <c r="EQ1160" s="351"/>
    </row>
    <row r="1161" spans="2:147" s="243" customFormat="1" ht="11.25" hidden="1" customHeight="1">
      <c r="B1161" s="343"/>
      <c r="C1161" s="240"/>
      <c r="D1161" s="240"/>
      <c r="E1161" s="240"/>
      <c r="F1161" s="240"/>
      <c r="G1161" s="240"/>
      <c r="H1161" s="240"/>
      <c r="I1161" s="240"/>
      <c r="J1161" s="240"/>
      <c r="K1161" s="240"/>
      <c r="L1161" s="240"/>
      <c r="M1161" s="240"/>
      <c r="N1161" s="240"/>
      <c r="O1161" s="240"/>
      <c r="P1161" s="240"/>
      <c r="Q1161" s="240"/>
      <c r="R1161" s="240"/>
      <c r="S1161" s="240"/>
      <c r="T1161" s="240"/>
      <c r="U1161" s="240"/>
      <c r="V1161" s="240"/>
      <c r="W1161" s="240"/>
      <c r="X1161" s="240"/>
      <c r="Y1161" s="240"/>
      <c r="Z1161" s="240"/>
      <c r="AA1161" s="240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240"/>
      <c r="AM1161" s="240"/>
      <c r="AN1161" s="240"/>
      <c r="AO1161" s="240"/>
      <c r="AP1161" s="240"/>
      <c r="AQ1161" s="240"/>
      <c r="AR1161" s="240"/>
      <c r="AS1161" s="240"/>
      <c r="AT1161" s="240"/>
      <c r="AU1161" s="240"/>
      <c r="AV1161" s="240"/>
      <c r="AW1161" s="240"/>
      <c r="AX1161" s="240"/>
      <c r="AY1161" s="240"/>
      <c r="AZ1161" s="240"/>
      <c r="BA1161" s="240"/>
      <c r="BB1161" s="240"/>
      <c r="BC1161" s="240"/>
      <c r="BD1161" s="240"/>
      <c r="BE1161" s="240"/>
      <c r="BF1161" s="240"/>
      <c r="BG1161" s="240"/>
      <c r="BH1161" s="240"/>
      <c r="BI1161" s="240"/>
      <c r="BJ1161" s="240"/>
      <c r="BK1161" s="240"/>
      <c r="BL1161" s="240"/>
      <c r="BM1161" s="240"/>
      <c r="BN1161" s="240"/>
      <c r="BO1161" s="240"/>
      <c r="BP1161" s="240"/>
      <c r="BQ1161" s="240"/>
      <c r="BR1161" s="240"/>
      <c r="BS1161" s="240"/>
      <c r="BT1161" s="240"/>
      <c r="BU1161" s="240"/>
      <c r="BV1161" s="240"/>
      <c r="BW1161" s="240"/>
      <c r="BX1161" s="240"/>
      <c r="BY1161" s="240"/>
      <c r="BZ1161" s="240"/>
      <c r="CA1161" s="240"/>
      <c r="CB1161" s="240"/>
      <c r="CC1161" s="240"/>
      <c r="CD1161" s="240"/>
      <c r="CE1161" s="240"/>
      <c r="CF1161" s="240"/>
      <c r="CG1161" s="240"/>
      <c r="CH1161" s="240"/>
      <c r="CI1161" s="240"/>
      <c r="CJ1161" s="240"/>
      <c r="CK1161" s="240"/>
      <c r="CL1161" s="240"/>
      <c r="CM1161" s="240"/>
      <c r="CN1161" s="240"/>
      <c r="CO1161" s="240"/>
      <c r="CP1161" s="240"/>
      <c r="CQ1161" s="240"/>
      <c r="CR1161" s="240"/>
      <c r="CS1161" s="240"/>
      <c r="CT1161" s="240"/>
      <c r="CU1161" s="240"/>
      <c r="CV1161" s="240"/>
      <c r="CW1161" s="240"/>
      <c r="CX1161" s="240"/>
      <c r="CY1161" s="240"/>
      <c r="CZ1161" s="241"/>
      <c r="DA1161" s="241"/>
      <c r="DB1161" s="241"/>
      <c r="DC1161" s="241"/>
      <c r="DD1161" s="241"/>
      <c r="DE1161" s="241"/>
      <c r="DF1161" s="241"/>
      <c r="DG1161" s="241"/>
      <c r="DH1161" s="241"/>
      <c r="DI1161" s="241"/>
      <c r="DJ1161" s="241"/>
      <c r="DK1161" s="241"/>
      <c r="DL1161" s="241"/>
      <c r="DM1161" s="241"/>
      <c r="DN1161" s="241"/>
      <c r="DO1161" s="241"/>
      <c r="DP1161" s="241"/>
      <c r="DQ1161" s="241"/>
      <c r="DR1161" s="241"/>
      <c r="DS1161" s="241"/>
      <c r="DT1161" s="241"/>
      <c r="DU1161" s="241"/>
      <c r="DV1161" s="241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345"/>
      <c r="EM1161" s="245"/>
      <c r="EN1161" s="245"/>
      <c r="EO1161" s="245"/>
      <c r="EP1161" s="245"/>
      <c r="EQ1161" s="351"/>
    </row>
    <row r="1162" spans="2:147" s="243" customFormat="1" ht="11.25" hidden="1" customHeight="1">
      <c r="B1162" s="343"/>
      <c r="C1162" s="240"/>
      <c r="D1162" s="240"/>
      <c r="E1162" s="240"/>
      <c r="F1162" s="240"/>
      <c r="G1162" s="240"/>
      <c r="H1162" s="240"/>
      <c r="I1162" s="240"/>
      <c r="J1162" s="240"/>
      <c r="K1162" s="240"/>
      <c r="L1162" s="240"/>
      <c r="M1162" s="240"/>
      <c r="N1162" s="240"/>
      <c r="O1162" s="240" t="s">
        <v>710</v>
      </c>
      <c r="P1162" s="240"/>
      <c r="Q1162" s="240"/>
      <c r="R1162" s="240"/>
      <c r="S1162" s="240"/>
      <c r="T1162" s="240"/>
      <c r="U1162" s="240"/>
      <c r="V1162" s="240" t="s">
        <v>710</v>
      </c>
      <c r="W1162" s="240"/>
      <c r="X1162" s="240"/>
      <c r="Y1162" s="240"/>
      <c r="Z1162" s="240"/>
      <c r="AA1162" s="240"/>
      <c r="AB1162" s="240"/>
      <c r="AC1162" s="240"/>
      <c r="AD1162" s="240"/>
      <c r="AE1162" s="240"/>
      <c r="AF1162" s="240"/>
      <c r="AG1162" s="240"/>
      <c r="AH1162" s="240"/>
      <c r="AI1162" s="240" t="str">
        <f>TEXT(L1152,"#,##0.#######")</f>
        <v>20.</v>
      </c>
      <c r="AJ1162" s="240"/>
      <c r="AK1162" s="240"/>
      <c r="AL1162" s="240"/>
      <c r="AM1162" s="240"/>
      <c r="AN1162" s="240"/>
      <c r="AO1162" s="240"/>
      <c r="AP1162" s="240" t="str">
        <f>TEXT(L1152,"#,##0.#######")</f>
        <v>20.</v>
      </c>
      <c r="AQ1162" s="240"/>
      <c r="AR1162" s="240"/>
      <c r="AS1162" s="240"/>
      <c r="AT1162" s="240"/>
      <c r="AU1162" s="240"/>
      <c r="AV1162" s="240"/>
      <c r="AW1162" s="240"/>
      <c r="AX1162" s="240"/>
      <c r="AY1162" s="240"/>
      <c r="AZ1162" s="240"/>
      <c r="BA1162" s="240"/>
      <c r="BB1162" s="240"/>
      <c r="BC1162" s="240"/>
      <c r="BD1162" s="240"/>
      <c r="BE1162" s="240"/>
      <c r="BF1162" s="240"/>
      <c r="BG1162" s="240"/>
      <c r="BH1162" s="240"/>
      <c r="BI1162" s="240"/>
      <c r="BJ1162" s="240"/>
      <c r="BK1162" s="240"/>
      <c r="BL1162" s="240"/>
      <c r="BM1162" s="240"/>
      <c r="BN1162" s="240"/>
      <c r="BO1162" s="240"/>
      <c r="BP1162" s="240"/>
      <c r="BQ1162" s="240"/>
      <c r="BR1162" s="240"/>
      <c r="BS1162" s="240"/>
      <c r="BT1162" s="240"/>
      <c r="BU1162" s="240"/>
      <c r="BV1162" s="240"/>
      <c r="BW1162" s="240"/>
      <c r="BX1162" s="240"/>
      <c r="BY1162" s="240"/>
      <c r="BZ1162" s="240"/>
      <c r="CA1162" s="240"/>
      <c r="CB1162" s="240"/>
      <c r="CC1162" s="240"/>
      <c r="CD1162" s="240"/>
      <c r="CE1162" s="240"/>
      <c r="CF1162" s="240"/>
      <c r="CG1162" s="240"/>
      <c r="CH1162" s="240"/>
      <c r="CI1162" s="240"/>
      <c r="CJ1162" s="240"/>
      <c r="CK1162" s="240"/>
      <c r="CL1162" s="240"/>
      <c r="CM1162" s="240"/>
      <c r="CN1162" s="240"/>
      <c r="CO1162" s="240"/>
      <c r="CP1162" s="240"/>
      <c r="CQ1162" s="240"/>
      <c r="CR1162" s="240"/>
      <c r="CS1162" s="240"/>
      <c r="CT1162" s="240"/>
      <c r="CU1162" s="240"/>
      <c r="CV1162" s="240"/>
      <c r="CW1162" s="240"/>
      <c r="CX1162" s="240"/>
      <c r="CY1162" s="240"/>
      <c r="CZ1162" s="241"/>
      <c r="DA1162" s="241"/>
      <c r="DB1162" s="241"/>
      <c r="DC1162" s="241"/>
      <c r="DD1162" s="241"/>
      <c r="DE1162" s="241"/>
      <c r="DF1162" s="241"/>
      <c r="DG1162" s="241"/>
      <c r="DH1162" s="241"/>
      <c r="DI1162" s="241"/>
      <c r="DJ1162" s="241"/>
      <c r="DK1162" s="241"/>
      <c r="DL1162" s="241"/>
      <c r="DM1162" s="241"/>
      <c r="DN1162" s="241"/>
      <c r="DO1162" s="241"/>
      <c r="DP1162" s="241"/>
      <c r="DQ1162" s="241"/>
      <c r="DR1162" s="241"/>
      <c r="DS1162" s="241"/>
      <c r="DT1162" s="241"/>
      <c r="DU1162" s="241"/>
      <c r="DV1162" s="241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345"/>
      <c r="EM1162" s="245"/>
      <c r="EN1162" s="245"/>
      <c r="EO1162" s="245"/>
      <c r="EP1162" s="245"/>
      <c r="EQ1162" s="351"/>
    </row>
    <row r="1163" spans="2:147" s="243" customFormat="1" ht="11.25" hidden="1" customHeight="1">
      <c r="B1163" s="343"/>
      <c r="C1163" s="240"/>
      <c r="D1163" s="240"/>
      <c r="E1163" s="240"/>
      <c r="F1163" s="240"/>
      <c r="G1163" s="240"/>
      <c r="H1163" s="240" t="s">
        <v>721</v>
      </c>
      <c r="I1163" s="240"/>
      <c r="J1163" s="240"/>
      <c r="K1163" s="240" t="s">
        <v>134</v>
      </c>
      <c r="L1163" s="240"/>
      <c r="M1163" s="240" t="s">
        <v>147</v>
      </c>
      <c r="N1163" s="240" t="s">
        <v>694</v>
      </c>
      <c r="O1163" s="240"/>
      <c r="P1163" s="240" t="s">
        <v>694</v>
      </c>
      <c r="Q1163" s="240"/>
      <c r="R1163" s="240"/>
      <c r="S1163" s="240" t="s">
        <v>130</v>
      </c>
      <c r="T1163" s="240"/>
      <c r="U1163" s="240" t="s">
        <v>694</v>
      </c>
      <c r="V1163" s="240"/>
      <c r="W1163" s="240" t="s">
        <v>694</v>
      </c>
      <c r="X1163" s="240"/>
      <c r="Y1163" s="240" t="s">
        <v>148</v>
      </c>
      <c r="Z1163" s="240" t="s">
        <v>652</v>
      </c>
      <c r="AA1163" s="240"/>
      <c r="AB1163" s="240" t="str">
        <f>TEXT(60,"#,##0.#######")</f>
        <v>60.</v>
      </c>
      <c r="AC1163" s="240"/>
      <c r="AD1163" s="240"/>
      <c r="AE1163" s="240" t="s">
        <v>134</v>
      </c>
      <c r="AF1163" s="240"/>
      <c r="AG1163" s="240" t="s">
        <v>147</v>
      </c>
      <c r="AH1163" s="240" t="s">
        <v>694</v>
      </c>
      <c r="AI1163" s="240"/>
      <c r="AJ1163" s="240" t="s">
        <v>694</v>
      </c>
      <c r="AK1163" s="240"/>
      <c r="AL1163" s="240"/>
      <c r="AM1163" s="240" t="s">
        <v>130</v>
      </c>
      <c r="AN1163" s="240"/>
      <c r="AO1163" s="240" t="s">
        <v>694</v>
      </c>
      <c r="AP1163" s="240"/>
      <c r="AQ1163" s="240" t="s">
        <v>694</v>
      </c>
      <c r="AR1163" s="240"/>
      <c r="AS1163" s="240" t="s">
        <v>148</v>
      </c>
      <c r="AT1163" s="240" t="s">
        <v>652</v>
      </c>
      <c r="AU1163" s="240"/>
      <c r="AV1163" s="240" t="str">
        <f>TEXT(60,"#,##0.#######")</f>
        <v>60.</v>
      </c>
      <c r="AW1163" s="240"/>
      <c r="AX1163" s="240"/>
      <c r="AY1163" s="240" t="s">
        <v>134</v>
      </c>
      <c r="AZ1163" s="240"/>
      <c r="BA1163" s="240" t="str">
        <f>TEXT(ROUND(((L1152)/(Y1152)+(L1152)/(AP1152))*AB1163,2),"#,##0.#######")</f>
        <v>74.29</v>
      </c>
      <c r="BB1163" s="240"/>
      <c r="BC1163" s="240"/>
      <c r="BD1163" s="240"/>
      <c r="BE1163" s="240"/>
      <c r="BF1163" s="240"/>
      <c r="BG1163" s="240"/>
      <c r="BH1163" s="240"/>
      <c r="BI1163" s="240"/>
      <c r="BJ1163" s="240"/>
      <c r="BK1163" s="240"/>
      <c r="BL1163" s="240"/>
      <c r="BM1163" s="240"/>
      <c r="BN1163" s="240"/>
      <c r="BO1163" s="240"/>
      <c r="BP1163" s="240"/>
      <c r="BQ1163" s="240"/>
      <c r="BR1163" s="240"/>
      <c r="BS1163" s="240"/>
      <c r="BT1163" s="240"/>
      <c r="BU1163" s="240"/>
      <c r="BV1163" s="240"/>
      <c r="BW1163" s="240"/>
      <c r="BX1163" s="240"/>
      <c r="BY1163" s="240"/>
      <c r="BZ1163" s="240"/>
      <c r="CA1163" s="240"/>
      <c r="CB1163" s="240"/>
      <c r="CC1163" s="240"/>
      <c r="CD1163" s="240"/>
      <c r="CE1163" s="240"/>
      <c r="CF1163" s="240"/>
      <c r="CG1163" s="240"/>
      <c r="CH1163" s="240"/>
      <c r="CI1163" s="240"/>
      <c r="CJ1163" s="240"/>
      <c r="CK1163" s="240"/>
      <c r="CL1163" s="240"/>
      <c r="CM1163" s="240"/>
      <c r="CN1163" s="240"/>
      <c r="CO1163" s="240"/>
      <c r="CP1163" s="240"/>
      <c r="CQ1163" s="240"/>
      <c r="CR1163" s="240"/>
      <c r="CS1163" s="240"/>
      <c r="CT1163" s="240"/>
      <c r="CU1163" s="240"/>
      <c r="CV1163" s="240"/>
      <c r="CW1163" s="240"/>
      <c r="CX1163" s="240"/>
      <c r="CY1163" s="240"/>
      <c r="CZ1163" s="241"/>
      <c r="DA1163" s="241"/>
      <c r="DB1163" s="241"/>
      <c r="DC1163" s="241"/>
      <c r="DD1163" s="241"/>
      <c r="DE1163" s="241"/>
      <c r="DF1163" s="241"/>
      <c r="DG1163" s="241"/>
      <c r="DH1163" s="241"/>
      <c r="DI1163" s="241"/>
      <c r="DJ1163" s="241"/>
      <c r="DK1163" s="241"/>
      <c r="DL1163" s="241"/>
      <c r="DM1163" s="241"/>
      <c r="DN1163" s="241"/>
      <c r="DO1163" s="241"/>
      <c r="DP1163" s="241"/>
      <c r="DQ1163" s="241"/>
      <c r="DR1163" s="241"/>
      <c r="DS1163" s="241"/>
      <c r="DT1163" s="241"/>
      <c r="DU1163" s="241"/>
      <c r="DV1163" s="241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345"/>
      <c r="EM1163" s="245"/>
      <c r="EN1163" s="245"/>
      <c r="EO1163" s="245"/>
      <c r="EP1163" s="245"/>
      <c r="EQ1163" s="351"/>
    </row>
    <row r="1164" spans="2:147" s="243" customFormat="1" ht="11.25" hidden="1" customHeight="1">
      <c r="B1164" s="343"/>
      <c r="C1164" s="240"/>
      <c r="D1164" s="240"/>
      <c r="E1164" s="240"/>
      <c r="F1164" s="240"/>
      <c r="G1164" s="240"/>
      <c r="H1164" s="240"/>
      <c r="I1164" s="240"/>
      <c r="J1164" s="240"/>
      <c r="K1164" s="240"/>
      <c r="L1164" s="240"/>
      <c r="M1164" s="240"/>
      <c r="N1164" s="240"/>
      <c r="O1164" s="240" t="s">
        <v>852</v>
      </c>
      <c r="P1164" s="240"/>
      <c r="Q1164" s="240"/>
      <c r="R1164" s="240"/>
      <c r="S1164" s="240"/>
      <c r="T1164" s="240"/>
      <c r="U1164" s="240"/>
      <c r="V1164" s="240" t="s">
        <v>853</v>
      </c>
      <c r="W1164" s="240"/>
      <c r="X1164" s="240"/>
      <c r="Y1164" s="240"/>
      <c r="Z1164" s="240"/>
      <c r="AA1164" s="240"/>
      <c r="AB1164" s="240"/>
      <c r="AC1164" s="240"/>
      <c r="AD1164" s="240"/>
      <c r="AE1164" s="240"/>
      <c r="AF1164" s="240"/>
      <c r="AG1164" s="240"/>
      <c r="AH1164" s="240"/>
      <c r="AI1164" s="240" t="str">
        <f>TEXT(Y1152,"#,##0.#######")</f>
        <v>30.</v>
      </c>
      <c r="AJ1164" s="240"/>
      <c r="AK1164" s="240"/>
      <c r="AL1164" s="240"/>
      <c r="AM1164" s="240"/>
      <c r="AN1164" s="240"/>
      <c r="AO1164" s="240"/>
      <c r="AP1164" s="240" t="str">
        <f>TEXT(AP1152,"#,##0.#######")</f>
        <v>35.</v>
      </c>
      <c r="AQ1164" s="240"/>
      <c r="AR1164" s="240"/>
      <c r="AS1164" s="240"/>
      <c r="AT1164" s="240"/>
      <c r="AU1164" s="240"/>
      <c r="AV1164" s="240"/>
      <c r="AW1164" s="240"/>
      <c r="AX1164" s="240"/>
      <c r="AY1164" s="240"/>
      <c r="AZ1164" s="240"/>
      <c r="BA1164" s="240"/>
      <c r="BB1164" s="240"/>
      <c r="BC1164" s="240"/>
      <c r="BD1164" s="240"/>
      <c r="BE1164" s="240"/>
      <c r="BF1164" s="240"/>
      <c r="BG1164" s="240"/>
      <c r="BH1164" s="240"/>
      <c r="BI1164" s="240"/>
      <c r="BJ1164" s="240"/>
      <c r="BK1164" s="240"/>
      <c r="BL1164" s="240"/>
      <c r="BM1164" s="240"/>
      <c r="BN1164" s="240"/>
      <c r="BO1164" s="240"/>
      <c r="BP1164" s="240"/>
      <c r="BQ1164" s="240"/>
      <c r="BR1164" s="240"/>
      <c r="BS1164" s="240"/>
      <c r="BT1164" s="240"/>
      <c r="BU1164" s="240"/>
      <c r="BV1164" s="240"/>
      <c r="BW1164" s="240"/>
      <c r="BX1164" s="240"/>
      <c r="BY1164" s="240"/>
      <c r="BZ1164" s="240"/>
      <c r="CA1164" s="240"/>
      <c r="CB1164" s="240"/>
      <c r="CC1164" s="240"/>
      <c r="CD1164" s="240"/>
      <c r="CE1164" s="240"/>
      <c r="CF1164" s="240"/>
      <c r="CG1164" s="240"/>
      <c r="CH1164" s="240"/>
      <c r="CI1164" s="240"/>
      <c r="CJ1164" s="240"/>
      <c r="CK1164" s="240"/>
      <c r="CL1164" s="240"/>
      <c r="CM1164" s="240"/>
      <c r="CN1164" s="240"/>
      <c r="CO1164" s="240"/>
      <c r="CP1164" s="240"/>
      <c r="CQ1164" s="240"/>
      <c r="CR1164" s="240"/>
      <c r="CS1164" s="240"/>
      <c r="CT1164" s="240"/>
      <c r="CU1164" s="240"/>
      <c r="CV1164" s="240"/>
      <c r="CW1164" s="240"/>
      <c r="CX1164" s="240"/>
      <c r="CY1164" s="240"/>
      <c r="CZ1164" s="241"/>
      <c r="DA1164" s="241"/>
      <c r="DB1164" s="241"/>
      <c r="DC1164" s="241"/>
      <c r="DD1164" s="241"/>
      <c r="DE1164" s="241"/>
      <c r="DF1164" s="241"/>
      <c r="DG1164" s="241"/>
      <c r="DH1164" s="241"/>
      <c r="DI1164" s="241"/>
      <c r="DJ1164" s="241"/>
      <c r="DK1164" s="241"/>
      <c r="DL1164" s="241"/>
      <c r="DM1164" s="241"/>
      <c r="DN1164" s="241"/>
      <c r="DO1164" s="241"/>
      <c r="DP1164" s="241"/>
      <c r="DQ1164" s="241"/>
      <c r="DR1164" s="241"/>
      <c r="DS1164" s="241"/>
      <c r="DT1164" s="241"/>
      <c r="DU1164" s="241"/>
      <c r="DV1164" s="241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345"/>
      <c r="EM1164" s="245"/>
      <c r="EN1164" s="245"/>
      <c r="EO1164" s="245"/>
      <c r="EP1164" s="245"/>
      <c r="EQ1164" s="351"/>
    </row>
    <row r="1165" spans="2:147" s="243" customFormat="1" ht="11.25" hidden="1" customHeight="1">
      <c r="B1165" s="343"/>
      <c r="C1165" s="240"/>
      <c r="D1165" s="240"/>
      <c r="E1165" s="240"/>
      <c r="F1165" s="240"/>
      <c r="G1165" s="240"/>
      <c r="H1165" s="240"/>
      <c r="I1165" s="240"/>
      <c r="J1165" s="240"/>
      <c r="K1165" s="240"/>
      <c r="L1165" s="240"/>
      <c r="M1165" s="240"/>
      <c r="N1165" s="240"/>
      <c r="O1165" s="240"/>
      <c r="P1165" s="240"/>
      <c r="Q1165" s="240"/>
      <c r="R1165" s="240"/>
      <c r="S1165" s="240"/>
      <c r="T1165" s="240"/>
      <c r="U1165" s="240"/>
      <c r="V1165" s="240"/>
      <c r="W1165" s="240"/>
      <c r="X1165" s="240"/>
      <c r="Y1165" s="240"/>
      <c r="Z1165" s="240"/>
      <c r="AA1165" s="240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240"/>
      <c r="AM1165" s="240"/>
      <c r="AN1165" s="240"/>
      <c r="AO1165" s="240"/>
      <c r="AP1165" s="240"/>
      <c r="AQ1165" s="240"/>
      <c r="AR1165" s="240"/>
      <c r="AS1165" s="240"/>
      <c r="AT1165" s="240"/>
      <c r="AU1165" s="240"/>
      <c r="AV1165" s="240"/>
      <c r="AW1165" s="240"/>
      <c r="AX1165" s="240"/>
      <c r="AY1165" s="240"/>
      <c r="AZ1165" s="240"/>
      <c r="BA1165" s="240"/>
      <c r="BB1165" s="240"/>
      <c r="BC1165" s="240"/>
      <c r="BD1165" s="240"/>
      <c r="BE1165" s="240"/>
      <c r="BF1165" s="240"/>
      <c r="BG1165" s="240"/>
      <c r="BH1165" s="240"/>
      <c r="BI1165" s="240"/>
      <c r="BJ1165" s="240"/>
      <c r="BK1165" s="240"/>
      <c r="BL1165" s="240"/>
      <c r="BM1165" s="240"/>
      <c r="BN1165" s="240"/>
      <c r="BO1165" s="240"/>
      <c r="BP1165" s="240"/>
      <c r="BQ1165" s="240"/>
      <c r="BR1165" s="240"/>
      <c r="BS1165" s="240"/>
      <c r="BT1165" s="240"/>
      <c r="BU1165" s="240"/>
      <c r="BV1165" s="240"/>
      <c r="BW1165" s="240"/>
      <c r="BX1165" s="240"/>
      <c r="BY1165" s="240"/>
      <c r="BZ1165" s="240"/>
      <c r="CA1165" s="240"/>
      <c r="CB1165" s="240"/>
      <c r="CC1165" s="240"/>
      <c r="CD1165" s="240"/>
      <c r="CE1165" s="240"/>
      <c r="CF1165" s="240"/>
      <c r="CG1165" s="240"/>
      <c r="CH1165" s="240"/>
      <c r="CI1165" s="240"/>
      <c r="CJ1165" s="240"/>
      <c r="CK1165" s="240"/>
      <c r="CL1165" s="240"/>
      <c r="CM1165" s="240"/>
      <c r="CN1165" s="240"/>
      <c r="CO1165" s="240"/>
      <c r="CP1165" s="240"/>
      <c r="CQ1165" s="240"/>
      <c r="CR1165" s="240"/>
      <c r="CS1165" s="240"/>
      <c r="CT1165" s="240"/>
      <c r="CU1165" s="240"/>
      <c r="CV1165" s="240"/>
      <c r="CW1165" s="240"/>
      <c r="CX1165" s="240"/>
      <c r="CY1165" s="240"/>
      <c r="CZ1165" s="241"/>
      <c r="DA1165" s="241"/>
      <c r="DB1165" s="241"/>
      <c r="DC1165" s="241"/>
      <c r="DD1165" s="241"/>
      <c r="DE1165" s="241"/>
      <c r="DF1165" s="241"/>
      <c r="DG1165" s="241"/>
      <c r="DH1165" s="241"/>
      <c r="DI1165" s="241"/>
      <c r="DJ1165" s="241"/>
      <c r="DK1165" s="241"/>
      <c r="DL1165" s="241"/>
      <c r="DM1165" s="241"/>
      <c r="DN1165" s="241"/>
      <c r="DO1165" s="241"/>
      <c r="DP1165" s="241"/>
      <c r="DQ1165" s="241"/>
      <c r="DR1165" s="241"/>
      <c r="DS1165" s="241"/>
      <c r="DT1165" s="241"/>
      <c r="DU1165" s="241"/>
      <c r="DV1165" s="241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345"/>
      <c r="EM1165" s="245"/>
      <c r="EN1165" s="245"/>
      <c r="EO1165" s="245"/>
      <c r="EP1165" s="245"/>
      <c r="EQ1165" s="351"/>
    </row>
    <row r="1166" spans="2:147" s="243" customFormat="1" ht="11.25" hidden="1" customHeight="1">
      <c r="B1166" s="343"/>
      <c r="C1166" s="240"/>
      <c r="D1166" s="240"/>
      <c r="E1166" s="240"/>
      <c r="F1166" s="240"/>
      <c r="G1166" s="240"/>
      <c r="H1166" s="240" t="s">
        <v>715</v>
      </c>
      <c r="I1166" s="240"/>
      <c r="J1166" s="240"/>
      <c r="K1166" s="240" t="s">
        <v>134</v>
      </c>
      <c r="L1166" s="240"/>
      <c r="M1166" s="240" t="str">
        <f>TEXT(0.8,"#,##0.#######")</f>
        <v>0.8</v>
      </c>
      <c r="N1166" s="240"/>
      <c r="O1166" s="240"/>
      <c r="P1166" s="240"/>
      <c r="Q1166" s="240"/>
      <c r="R1166" s="240"/>
      <c r="S1166" s="240"/>
      <c r="T1166" s="240" t="s">
        <v>717</v>
      </c>
      <c r="U1166" s="240"/>
      <c r="V1166" s="240"/>
      <c r="W1166" s="240" t="s">
        <v>134</v>
      </c>
      <c r="X1166" s="240"/>
      <c r="Y1166" s="240" t="str">
        <f>TEXT(0.42,"#,##0.#######")</f>
        <v>0.42</v>
      </c>
      <c r="Z1166" s="240"/>
      <c r="AA1166" s="240"/>
      <c r="AB1166" s="240"/>
      <c r="AC1166" s="240"/>
      <c r="AD1166" s="240"/>
      <c r="AE1166" s="240"/>
      <c r="AF1166" s="240"/>
      <c r="AG1166" s="240" t="s">
        <v>719</v>
      </c>
      <c r="AH1166" s="240"/>
      <c r="AI1166" s="240"/>
      <c r="AJ1166" s="240" t="s">
        <v>134</v>
      </c>
      <c r="AK1166" s="240"/>
      <c r="AL1166" s="240" t="str">
        <f>TEXT(0.5,"#,##0.#######")</f>
        <v>0.5</v>
      </c>
      <c r="AM1166" s="240"/>
      <c r="AN1166" s="240"/>
      <c r="AO1166" s="240"/>
      <c r="AP1166" s="240"/>
      <c r="AQ1166" s="240"/>
      <c r="AR1166" s="240"/>
      <c r="AS1166" s="240" t="s">
        <v>1342</v>
      </c>
      <c r="AT1166" s="240"/>
      <c r="AU1166" s="240"/>
      <c r="AV1166" s="240" t="s">
        <v>134</v>
      </c>
      <c r="AW1166" s="240"/>
      <c r="AX1166" s="240" t="str">
        <f>TEXT(1.5,"#,##0.#######")</f>
        <v>1.5</v>
      </c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0"/>
      <c r="BN1166" s="240"/>
      <c r="BO1166" s="240"/>
      <c r="BP1166" s="240"/>
      <c r="BQ1166" s="240"/>
      <c r="BR1166" s="240"/>
      <c r="BS1166" s="240"/>
      <c r="BT1166" s="240"/>
      <c r="BU1166" s="240"/>
      <c r="BV1166" s="240"/>
      <c r="BW1166" s="240"/>
      <c r="BX1166" s="240"/>
      <c r="BY1166" s="240"/>
      <c r="BZ1166" s="240"/>
      <c r="CA1166" s="240"/>
      <c r="CB1166" s="240"/>
      <c r="CC1166" s="240"/>
      <c r="CD1166" s="240"/>
      <c r="CE1166" s="240"/>
      <c r="CF1166" s="240"/>
      <c r="CG1166" s="240"/>
      <c r="CH1166" s="240"/>
      <c r="CI1166" s="240"/>
      <c r="CJ1166" s="240"/>
      <c r="CK1166" s="240"/>
      <c r="CL1166" s="240"/>
      <c r="CM1166" s="240"/>
      <c r="CN1166" s="240"/>
      <c r="CO1166" s="240"/>
      <c r="CP1166" s="240"/>
      <c r="CQ1166" s="240"/>
      <c r="CR1166" s="240"/>
      <c r="CS1166" s="240"/>
      <c r="CT1166" s="240"/>
      <c r="CU1166" s="240"/>
      <c r="CV1166" s="240"/>
      <c r="CW1166" s="240"/>
      <c r="CX1166" s="240"/>
      <c r="CY1166" s="240"/>
      <c r="CZ1166" s="241"/>
      <c r="DA1166" s="241"/>
      <c r="DB1166" s="241"/>
      <c r="DC1166" s="241"/>
      <c r="DD1166" s="241"/>
      <c r="DE1166" s="241"/>
      <c r="DF1166" s="241"/>
      <c r="DG1166" s="241"/>
      <c r="DH1166" s="241"/>
      <c r="DI1166" s="241"/>
      <c r="DJ1166" s="241"/>
      <c r="DK1166" s="241"/>
      <c r="DL1166" s="241"/>
      <c r="DM1166" s="241"/>
      <c r="DN1166" s="241"/>
      <c r="DO1166" s="241"/>
      <c r="DP1166" s="241"/>
      <c r="DQ1166" s="241"/>
      <c r="DR1166" s="241"/>
      <c r="DS1166" s="241"/>
      <c r="DT1166" s="241"/>
      <c r="DU1166" s="241"/>
      <c r="DV1166" s="241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345"/>
      <c r="EM1166" s="245"/>
      <c r="EN1166" s="245"/>
      <c r="EO1166" s="245"/>
      <c r="EP1166" s="245"/>
      <c r="EQ1166" s="351"/>
    </row>
    <row r="1167" spans="2:147" s="243" customFormat="1" ht="11.25" hidden="1" customHeight="1">
      <c r="B1167" s="343"/>
      <c r="C1167" s="240"/>
      <c r="D1167" s="240"/>
      <c r="E1167" s="240"/>
      <c r="F1167" s="240"/>
      <c r="G1167" s="240"/>
      <c r="H1167" s="240"/>
      <c r="I1167" s="240"/>
      <c r="J1167" s="240"/>
      <c r="K1167" s="240"/>
      <c r="L1167" s="240"/>
      <c r="M1167" s="240"/>
      <c r="N1167" s="240"/>
      <c r="O1167" s="240"/>
      <c r="P1167" s="240"/>
      <c r="Q1167" s="240"/>
      <c r="R1167" s="240"/>
      <c r="S1167" s="240"/>
      <c r="T1167" s="240"/>
      <c r="U1167" s="240"/>
      <c r="V1167" s="240"/>
      <c r="W1167" s="240"/>
      <c r="X1167" s="240"/>
      <c r="Y1167" s="240"/>
      <c r="Z1167" s="240"/>
      <c r="AA1167" s="240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0"/>
      <c r="BN1167" s="240"/>
      <c r="BO1167" s="240"/>
      <c r="BP1167" s="240"/>
      <c r="BQ1167" s="240"/>
      <c r="BR1167" s="240"/>
      <c r="BS1167" s="240"/>
      <c r="BT1167" s="240"/>
      <c r="BU1167" s="240"/>
      <c r="BV1167" s="240"/>
      <c r="BW1167" s="240"/>
      <c r="BX1167" s="240"/>
      <c r="BY1167" s="240"/>
      <c r="BZ1167" s="240"/>
      <c r="CA1167" s="240"/>
      <c r="CB1167" s="240"/>
      <c r="CC1167" s="240"/>
      <c r="CD1167" s="240"/>
      <c r="CE1167" s="240"/>
      <c r="CF1167" s="240"/>
      <c r="CG1167" s="240"/>
      <c r="CH1167" s="240"/>
      <c r="CI1167" s="240"/>
      <c r="CJ1167" s="240"/>
      <c r="CK1167" s="240"/>
      <c r="CL1167" s="240"/>
      <c r="CM1167" s="240"/>
      <c r="CN1167" s="240"/>
      <c r="CO1167" s="240"/>
      <c r="CP1167" s="240"/>
      <c r="CQ1167" s="240"/>
      <c r="CR1167" s="240"/>
      <c r="CS1167" s="240"/>
      <c r="CT1167" s="240"/>
      <c r="CU1167" s="240"/>
      <c r="CV1167" s="240"/>
      <c r="CW1167" s="240"/>
      <c r="CX1167" s="240"/>
      <c r="CY1167" s="240"/>
      <c r="CZ1167" s="241"/>
      <c r="DA1167" s="241"/>
      <c r="DB1167" s="241"/>
      <c r="DC1167" s="241"/>
      <c r="DD1167" s="241"/>
      <c r="DE1167" s="241"/>
      <c r="DF1167" s="241"/>
      <c r="DG1167" s="241"/>
      <c r="DH1167" s="241"/>
      <c r="DI1167" s="241"/>
      <c r="DJ1167" s="241"/>
      <c r="DK1167" s="241"/>
      <c r="DL1167" s="241"/>
      <c r="DM1167" s="241"/>
      <c r="DN1167" s="241"/>
      <c r="DO1167" s="241"/>
      <c r="DP1167" s="241"/>
      <c r="DQ1167" s="241"/>
      <c r="DR1167" s="241"/>
      <c r="DS1167" s="241"/>
      <c r="DT1167" s="241"/>
      <c r="DU1167" s="241"/>
      <c r="DV1167" s="241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345"/>
      <c r="EM1167" s="245"/>
      <c r="EN1167" s="245"/>
      <c r="EO1167" s="245"/>
      <c r="EP1167" s="245"/>
      <c r="EQ1167" s="351"/>
    </row>
    <row r="1168" spans="2:147" s="243" customFormat="1" ht="11.25" hidden="1" customHeight="1">
      <c r="B1168" s="343"/>
      <c r="C1168" s="240"/>
      <c r="D1168" s="240"/>
      <c r="E1168" s="240"/>
      <c r="F1168" s="240"/>
      <c r="G1168" s="240"/>
      <c r="H1168" s="240" t="s">
        <v>693</v>
      </c>
      <c r="I1168" s="240"/>
      <c r="J1168" s="240"/>
      <c r="K1168" s="240" t="s">
        <v>134</v>
      </c>
      <c r="L1168" s="240"/>
      <c r="M1168" s="240" t="s">
        <v>712</v>
      </c>
      <c r="N1168" s="240"/>
      <c r="O1168" s="240"/>
      <c r="P1168" s="240" t="s">
        <v>130</v>
      </c>
      <c r="Q1168" s="240"/>
      <c r="R1168" s="240" t="s">
        <v>721</v>
      </c>
      <c r="S1168" s="240"/>
      <c r="T1168" s="240"/>
      <c r="U1168" s="240" t="s">
        <v>130</v>
      </c>
      <c r="V1168" s="240"/>
      <c r="W1168" s="240" t="s">
        <v>715</v>
      </c>
      <c r="X1168" s="240"/>
      <c r="Y1168" s="240"/>
      <c r="Z1168" s="240" t="s">
        <v>130</v>
      </c>
      <c r="AA1168" s="240"/>
      <c r="AB1168" s="240" t="s">
        <v>717</v>
      </c>
      <c r="AC1168" s="240"/>
      <c r="AD1168" s="240"/>
      <c r="AE1168" s="240" t="s">
        <v>130</v>
      </c>
      <c r="AF1168" s="240"/>
      <c r="AG1168" s="240" t="s">
        <v>1343</v>
      </c>
      <c r="AI1168" s="240"/>
      <c r="AJ1168" s="240" t="s">
        <v>130</v>
      </c>
      <c r="AK1168" s="240"/>
      <c r="AL1168" s="240" t="s">
        <v>1342</v>
      </c>
      <c r="AM1168" s="240"/>
      <c r="AN1168" s="240"/>
      <c r="AO1168" s="240" t="s">
        <v>134</v>
      </c>
      <c r="AP1168" s="240"/>
      <c r="AQ1168" s="240" t="str">
        <f>TEXT(BQ1160,"#,##0.#######")</f>
        <v>18.81</v>
      </c>
      <c r="AR1168" s="240"/>
      <c r="AS1168" s="240"/>
      <c r="AT1168" s="240"/>
      <c r="AU1168" s="240" t="s">
        <v>130</v>
      </c>
      <c r="AV1168" s="240" t="str">
        <f>TEXT(BA1163,"#,##0.#######")</f>
        <v>74.29</v>
      </c>
      <c r="AW1168" s="240"/>
      <c r="AX1168" s="240"/>
      <c r="AY1168" s="240"/>
      <c r="AZ1168" s="240" t="s">
        <v>130</v>
      </c>
      <c r="BA1168" s="240" t="str">
        <f>TEXT(M1166,"#,##0.#######")</f>
        <v>0.8</v>
      </c>
      <c r="BB1168" s="240"/>
      <c r="BC1168" s="240"/>
      <c r="BD1168" s="240" t="s">
        <v>130</v>
      </c>
      <c r="BE1168" s="240" t="str">
        <f>TEXT(Y1166,"#,##0.#######")</f>
        <v>0.42</v>
      </c>
      <c r="BF1168" s="240"/>
      <c r="BG1168" s="240"/>
      <c r="BH1168" s="240"/>
      <c r="BI1168" s="240" t="s">
        <v>130</v>
      </c>
      <c r="BJ1168" s="240" t="str">
        <f>TEXT(AL1166,"#,##0.#######")</f>
        <v>0.5</v>
      </c>
      <c r="BK1168" s="240"/>
      <c r="BL1168" s="240"/>
      <c r="BM1168" s="240" t="s">
        <v>130</v>
      </c>
      <c r="BN1168" s="240" t="str">
        <f>TEXT(AX1166,"#,##0.#######")</f>
        <v>1.5</v>
      </c>
      <c r="BQ1168" s="240" t="s">
        <v>134</v>
      </c>
      <c r="BR1168" s="240"/>
      <c r="BS1168" s="240" t="str">
        <f>TEXT(ROUND(BQ1160+BA1163+M1166+Y1166+AL1166+AX1166,2),"#,##0.#######")</f>
        <v>96.32</v>
      </c>
      <c r="BT1168" s="240"/>
      <c r="BU1168" s="240"/>
      <c r="BV1168" s="240"/>
      <c r="BW1168" s="240"/>
      <c r="BX1168" s="240"/>
      <c r="BY1168" s="240"/>
      <c r="BZ1168" s="240"/>
      <c r="CA1168" s="240"/>
      <c r="CB1168" s="240"/>
      <c r="CC1168" s="240"/>
      <c r="CD1168" s="240"/>
      <c r="CE1168" s="240"/>
      <c r="CF1168" s="240"/>
      <c r="CH1168" s="240"/>
      <c r="CI1168" s="240"/>
      <c r="CJ1168" s="240"/>
      <c r="CL1168" s="240"/>
      <c r="CM1168" s="240"/>
      <c r="CN1168" s="240"/>
      <c r="CQ1168" s="240"/>
      <c r="CR1168" s="240"/>
      <c r="CS1168" s="240"/>
      <c r="CT1168" s="240"/>
      <c r="CU1168" s="240"/>
      <c r="CV1168" s="240"/>
      <c r="CW1168" s="241"/>
      <c r="CX1168" s="241"/>
      <c r="CY1168" s="241"/>
      <c r="CZ1168" s="241"/>
      <c r="DA1168" s="241"/>
      <c r="DD1168" s="241"/>
      <c r="DE1168" s="241"/>
      <c r="DF1168" s="241"/>
      <c r="DG1168" s="241"/>
      <c r="DI1168" s="241"/>
      <c r="DJ1168" s="241"/>
      <c r="DK1168" s="241"/>
      <c r="DL1168" s="241"/>
      <c r="DM1168" s="241"/>
      <c r="DN1168" s="241"/>
      <c r="DO1168" s="241"/>
      <c r="DQ1168" s="241"/>
      <c r="DR1168" s="241"/>
      <c r="DS1168" s="241"/>
      <c r="DU1168" s="241"/>
      <c r="DV1168" s="241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345"/>
      <c r="EM1168" s="245"/>
      <c r="EN1168" s="245"/>
      <c r="EO1168" s="245"/>
      <c r="EP1168" s="245"/>
      <c r="EQ1168" s="351"/>
    </row>
    <row r="1169" spans="2:147" s="243" customFormat="1" ht="11.25" hidden="1" customHeight="1">
      <c r="B1169" s="343"/>
      <c r="C1169" s="240"/>
      <c r="D1169" s="240"/>
      <c r="E1169" s="240"/>
      <c r="F1169" s="240"/>
      <c r="G1169" s="240"/>
      <c r="H1169" s="240"/>
      <c r="I1169" s="240"/>
      <c r="J1169" s="240"/>
      <c r="K1169" s="240"/>
      <c r="L1169" s="240"/>
      <c r="M1169" s="240"/>
      <c r="N1169" s="240"/>
      <c r="O1169" s="240"/>
      <c r="P1169" s="240"/>
      <c r="Q1169" s="240"/>
      <c r="R1169" s="240"/>
      <c r="S1169" s="240"/>
      <c r="T1169" s="240"/>
      <c r="U1169" s="240"/>
      <c r="V1169" s="240"/>
      <c r="W1169" s="240"/>
      <c r="X1169" s="240"/>
      <c r="Y1169" s="240"/>
      <c r="Z1169" s="240"/>
      <c r="AA1169" s="240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0"/>
      <c r="BN1169" s="240"/>
      <c r="BO1169" s="240"/>
      <c r="BP1169" s="240"/>
      <c r="BQ1169" s="240"/>
      <c r="BR1169" s="240"/>
      <c r="BS1169" s="240"/>
      <c r="BT1169" s="240"/>
      <c r="BU1169" s="240"/>
      <c r="BV1169" s="240"/>
      <c r="BW1169" s="240"/>
      <c r="BX1169" s="240"/>
      <c r="BY1169" s="240"/>
      <c r="BZ1169" s="240"/>
      <c r="CA1169" s="240"/>
      <c r="CB1169" s="240"/>
      <c r="CC1169" s="240"/>
      <c r="CD1169" s="240"/>
      <c r="CE1169" s="240"/>
      <c r="CF1169" s="240"/>
      <c r="CG1169" s="240"/>
      <c r="CH1169" s="240"/>
      <c r="CI1169" s="240"/>
      <c r="CJ1169" s="240"/>
      <c r="CK1169" s="240"/>
      <c r="CL1169" s="240"/>
      <c r="CM1169" s="240"/>
      <c r="CN1169" s="240"/>
      <c r="CO1169" s="240"/>
      <c r="CP1169" s="240"/>
      <c r="CQ1169" s="240"/>
      <c r="CR1169" s="240"/>
      <c r="CS1169" s="240"/>
      <c r="CT1169" s="240"/>
      <c r="CU1169" s="240"/>
      <c r="CV1169" s="240"/>
      <c r="CW1169" s="240"/>
      <c r="CX1169" s="240"/>
      <c r="CY1169" s="240"/>
      <c r="CZ1169" s="241"/>
      <c r="DA1169" s="241"/>
      <c r="DB1169" s="241"/>
      <c r="DC1169" s="241"/>
      <c r="DD1169" s="241"/>
      <c r="DE1169" s="241"/>
      <c r="DF1169" s="241"/>
      <c r="DG1169" s="241"/>
      <c r="DH1169" s="241"/>
      <c r="DI1169" s="241"/>
      <c r="DJ1169" s="241"/>
      <c r="DK1169" s="241"/>
      <c r="DL1169" s="241"/>
      <c r="DM1169" s="241"/>
      <c r="DN1169" s="241"/>
      <c r="DO1169" s="241"/>
      <c r="DP1169" s="241"/>
      <c r="DQ1169" s="241"/>
      <c r="DR1169" s="241"/>
      <c r="DS1169" s="241"/>
      <c r="DT1169" s="241"/>
      <c r="DU1169" s="241"/>
      <c r="DV1169" s="241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345"/>
      <c r="EM1169" s="245"/>
      <c r="EN1169" s="245"/>
      <c r="EO1169" s="245"/>
      <c r="EP1169" s="245"/>
      <c r="EQ1169" s="351"/>
    </row>
    <row r="1170" spans="2:147" s="243" customFormat="1" ht="11.25" hidden="1" customHeight="1">
      <c r="B1170" s="343"/>
      <c r="C1170" s="240"/>
      <c r="D1170" s="240"/>
      <c r="E1170" s="240"/>
      <c r="F1170" s="240"/>
      <c r="G1170" s="240"/>
      <c r="H1170" s="240"/>
      <c r="I1170" s="240"/>
      <c r="J1170" s="240"/>
      <c r="K1170" s="240"/>
      <c r="L1170" s="240"/>
      <c r="M1170" s="240" t="str">
        <f>TEXT(60,"#,##0.#######")</f>
        <v>60.</v>
      </c>
      <c r="N1170" s="240"/>
      <c r="O1170" s="240" t="s">
        <v>652</v>
      </c>
      <c r="P1170" s="240"/>
      <c r="Q1170" s="240" t="s">
        <v>773</v>
      </c>
      <c r="R1170" s="240" t="s">
        <v>652</v>
      </c>
      <c r="S1170" s="240"/>
      <c r="T1170" s="240" t="s">
        <v>774</v>
      </c>
      <c r="U1170" s="240" t="s">
        <v>652</v>
      </c>
      <c r="V1170" s="240"/>
      <c r="W1170" s="240" t="s">
        <v>692</v>
      </c>
      <c r="X1170" s="240"/>
      <c r="Y1170" s="240"/>
      <c r="Z1170" s="240"/>
      <c r="AA1170" s="240"/>
      <c r="AB1170" s="240"/>
      <c r="AC1170" s="240"/>
      <c r="AD1170" s="240"/>
      <c r="AE1170" s="240" t="str">
        <f>TEXT(M1170,"#,##0.#######")</f>
        <v>60.</v>
      </c>
      <c r="AF1170" s="240"/>
      <c r="AG1170" s="240" t="s">
        <v>652</v>
      </c>
      <c r="AH1170" s="240"/>
      <c r="AI1170" s="240" t="str">
        <f>TEXT(AK1156,"#,##0.#######")</f>
        <v>9.78</v>
      </c>
      <c r="AJ1170" s="240"/>
      <c r="AK1170" s="240"/>
      <c r="AL1170" s="240"/>
      <c r="AM1170" s="240" t="s">
        <v>652</v>
      </c>
      <c r="AN1170" s="240"/>
      <c r="AO1170" s="240" t="str">
        <f>TEXT(AI1141,"#,##0.#######")</f>
        <v>0.67</v>
      </c>
      <c r="AP1170" s="240"/>
      <c r="AQ1170" s="240"/>
      <c r="AR1170" s="240"/>
      <c r="AS1170" s="240" t="s">
        <v>652</v>
      </c>
      <c r="AT1170" s="240"/>
      <c r="AU1170" s="240" t="str">
        <f>TEXT(AZ1154,"#,##0.#######")</f>
        <v>0.9</v>
      </c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0"/>
      <c r="BN1170" s="240"/>
      <c r="BO1170" s="240"/>
      <c r="BP1170" s="240"/>
      <c r="BQ1170" s="240"/>
      <c r="BR1170" s="240"/>
      <c r="BS1170" s="240"/>
      <c r="BT1170" s="240"/>
      <c r="BU1170" s="240"/>
      <c r="BV1170" s="240"/>
      <c r="BW1170" s="240"/>
      <c r="BX1170" s="240"/>
      <c r="BY1170" s="240"/>
      <c r="BZ1170" s="240"/>
      <c r="CA1170" s="240"/>
      <c r="CB1170" s="240"/>
      <c r="CC1170" s="240"/>
      <c r="CD1170" s="240"/>
      <c r="CE1170" s="240"/>
      <c r="CF1170" s="240"/>
      <c r="CG1170" s="240"/>
      <c r="CH1170" s="240"/>
      <c r="CI1170" s="240"/>
      <c r="CJ1170" s="240"/>
      <c r="CK1170" s="240"/>
      <c r="CL1170" s="240"/>
      <c r="CM1170" s="240"/>
      <c r="CN1170" s="240"/>
      <c r="CO1170" s="240"/>
      <c r="CP1170" s="240"/>
      <c r="CQ1170" s="240"/>
      <c r="CR1170" s="240"/>
      <c r="CS1170" s="240"/>
      <c r="CT1170" s="240"/>
      <c r="CU1170" s="240"/>
      <c r="CV1170" s="240"/>
      <c r="CW1170" s="240"/>
      <c r="CX1170" s="240"/>
      <c r="CY1170" s="240"/>
      <c r="CZ1170" s="241"/>
      <c r="DA1170" s="241"/>
      <c r="DB1170" s="241"/>
      <c r="DC1170" s="241"/>
      <c r="DD1170" s="241"/>
      <c r="DE1170" s="241"/>
      <c r="DF1170" s="241"/>
      <c r="DG1170" s="241"/>
      <c r="DH1170" s="241"/>
      <c r="DI1170" s="241"/>
      <c r="DJ1170" s="241"/>
      <c r="DK1170" s="241"/>
      <c r="DL1170" s="241"/>
      <c r="DM1170" s="241"/>
      <c r="DN1170" s="241"/>
      <c r="DO1170" s="241"/>
      <c r="DP1170" s="241"/>
      <c r="DQ1170" s="241"/>
      <c r="DR1170" s="241"/>
      <c r="DS1170" s="241"/>
      <c r="DT1170" s="241"/>
      <c r="DU1170" s="241"/>
      <c r="DV1170" s="241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345"/>
      <c r="EM1170" s="245"/>
      <c r="EN1170" s="245"/>
      <c r="EO1170" s="245"/>
      <c r="EP1170" s="245"/>
      <c r="EQ1170" s="351"/>
    </row>
    <row r="1171" spans="2:147" s="243" customFormat="1" ht="11.25" hidden="1" customHeight="1">
      <c r="B1171" s="343"/>
      <c r="C1171" s="240"/>
      <c r="D1171" s="240"/>
      <c r="E1171" s="240"/>
      <c r="F1171" s="240"/>
      <c r="G1171" s="240"/>
      <c r="H1171" s="240" t="s">
        <v>858</v>
      </c>
      <c r="I1171" s="240"/>
      <c r="J1171" s="240"/>
      <c r="K1171" s="240" t="s">
        <v>134</v>
      </c>
      <c r="L1171" s="240"/>
      <c r="M1171" s="240" t="s">
        <v>694</v>
      </c>
      <c r="N1171" s="240"/>
      <c r="O1171" s="240" t="s">
        <v>694</v>
      </c>
      <c r="P1171" s="240"/>
      <c r="Q1171" s="240" t="s">
        <v>694</v>
      </c>
      <c r="R1171" s="240"/>
      <c r="S1171" s="240" t="s">
        <v>694</v>
      </c>
      <c r="T1171" s="240"/>
      <c r="U1171" s="240" t="s">
        <v>694</v>
      </c>
      <c r="V1171" s="240"/>
      <c r="W1171" s="240" t="s">
        <v>694</v>
      </c>
      <c r="X1171" s="240"/>
      <c r="Y1171" s="240" t="s">
        <v>694</v>
      </c>
      <c r="Z1171" s="240"/>
      <c r="AA1171" s="240"/>
      <c r="AB1171" s="240"/>
      <c r="AC1171" s="240" t="s">
        <v>134</v>
      </c>
      <c r="AD1171" s="240"/>
      <c r="AE1171" s="240" t="s">
        <v>694</v>
      </c>
      <c r="AF1171" s="240"/>
      <c r="AG1171" s="240" t="s">
        <v>694</v>
      </c>
      <c r="AH1171" s="240"/>
      <c r="AI1171" s="240" t="s">
        <v>694</v>
      </c>
      <c r="AJ1171" s="240"/>
      <c r="AK1171" s="240" t="s">
        <v>694</v>
      </c>
      <c r="AL1171" s="240"/>
      <c r="AM1171" s="240" t="s">
        <v>694</v>
      </c>
      <c r="AN1171" s="240"/>
      <c r="AO1171" s="240" t="s">
        <v>694</v>
      </c>
      <c r="AP1171" s="240"/>
      <c r="AQ1171" s="240" t="s">
        <v>694</v>
      </c>
      <c r="AR1171" s="240"/>
      <c r="AS1171" s="240" t="s">
        <v>694</v>
      </c>
      <c r="AT1171" s="240"/>
      <c r="AU1171" s="240" t="s">
        <v>694</v>
      </c>
      <c r="AV1171" s="240"/>
      <c r="AW1171" s="240" t="s">
        <v>694</v>
      </c>
      <c r="AX1171" s="240"/>
      <c r="AY1171" s="240" t="s">
        <v>134</v>
      </c>
      <c r="AZ1171" s="240"/>
      <c r="BA1171" s="240" t="str">
        <f>TEXT(ROUND((60*AK1156*AI1141*AZ1154)/(BS1168),2),"#,##0.#######")</f>
        <v>3.67</v>
      </c>
      <c r="BB1171" s="240"/>
      <c r="BC1171" s="240"/>
      <c r="BD1171" s="240"/>
      <c r="BE1171" s="240"/>
      <c r="BF1171" s="240"/>
      <c r="BG1171" s="240"/>
      <c r="BH1171" s="240" t="s">
        <v>91</v>
      </c>
      <c r="BI1171" s="240"/>
      <c r="BJ1171" s="240" t="s">
        <v>139</v>
      </c>
      <c r="BK1171" s="240" t="s">
        <v>618</v>
      </c>
      <c r="BL1171" s="240"/>
      <c r="BM1171" s="240"/>
      <c r="BN1171" s="240"/>
      <c r="BO1171" s="240"/>
      <c r="BP1171" s="240"/>
      <c r="BQ1171" s="240"/>
      <c r="BR1171" s="240"/>
      <c r="BS1171" s="240"/>
      <c r="BT1171" s="240"/>
      <c r="BU1171" s="240"/>
      <c r="BV1171" s="240"/>
      <c r="BW1171" s="240"/>
      <c r="BX1171" s="240"/>
      <c r="BY1171" s="240"/>
      <c r="BZ1171" s="240"/>
      <c r="CA1171" s="240"/>
      <c r="CB1171" s="240"/>
      <c r="CC1171" s="240"/>
      <c r="CD1171" s="240"/>
      <c r="CE1171" s="240"/>
      <c r="CF1171" s="240"/>
      <c r="CG1171" s="240"/>
      <c r="CH1171" s="240"/>
      <c r="CI1171" s="240"/>
      <c r="CJ1171" s="240"/>
      <c r="CK1171" s="240"/>
      <c r="CL1171" s="240"/>
      <c r="CM1171" s="240"/>
      <c r="CN1171" s="240"/>
      <c r="CO1171" s="240"/>
      <c r="CP1171" s="240"/>
      <c r="CQ1171" s="240"/>
      <c r="CR1171" s="240"/>
      <c r="CS1171" s="240"/>
      <c r="CT1171" s="240"/>
      <c r="CU1171" s="240"/>
      <c r="CV1171" s="240"/>
      <c r="CW1171" s="240"/>
      <c r="CX1171" s="240"/>
      <c r="CY1171" s="240"/>
      <c r="CZ1171" s="241"/>
      <c r="DA1171" s="241"/>
      <c r="DB1171" s="241"/>
      <c r="DC1171" s="241"/>
      <c r="DD1171" s="241"/>
      <c r="DE1171" s="241"/>
      <c r="DF1171" s="241"/>
      <c r="DG1171" s="241"/>
      <c r="DH1171" s="241"/>
      <c r="DI1171" s="241"/>
      <c r="DJ1171" s="241"/>
      <c r="DK1171" s="241"/>
      <c r="DL1171" s="241"/>
      <c r="DM1171" s="241"/>
      <c r="DN1171" s="241"/>
      <c r="DO1171" s="241"/>
      <c r="DP1171" s="241"/>
      <c r="DQ1171" s="241"/>
      <c r="DR1171" s="241"/>
      <c r="DS1171" s="241"/>
      <c r="DT1171" s="241"/>
      <c r="DU1171" s="241"/>
      <c r="DV1171" s="241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345"/>
      <c r="EM1171" s="245"/>
      <c r="EN1171" s="245"/>
      <c r="EO1171" s="245"/>
      <c r="EP1171" s="245"/>
      <c r="EQ1171" s="351"/>
    </row>
    <row r="1172" spans="2:147" s="243" customFormat="1" ht="11.25" hidden="1" customHeight="1">
      <c r="B1172" s="343"/>
      <c r="C1172" s="240"/>
      <c r="D1172" s="240"/>
      <c r="E1172" s="240"/>
      <c r="F1172" s="240"/>
      <c r="G1172" s="240"/>
      <c r="H1172" s="240"/>
      <c r="I1172" s="240"/>
      <c r="J1172" s="240"/>
      <c r="K1172" s="240"/>
      <c r="L1172" s="240"/>
      <c r="M1172" s="240"/>
      <c r="N1172" s="240"/>
      <c r="O1172" s="240"/>
      <c r="P1172" s="240"/>
      <c r="Q1172" s="240"/>
      <c r="R1172" s="240" t="s">
        <v>693</v>
      </c>
      <c r="S1172" s="240"/>
      <c r="T1172" s="240"/>
      <c r="U1172" s="240"/>
      <c r="V1172" s="240"/>
      <c r="W1172" s="240"/>
      <c r="X1172" s="240"/>
      <c r="Y1172" s="240"/>
      <c r="Z1172" s="240"/>
      <c r="AA1172" s="240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 t="str">
        <f>TEXT(BS1168,"#,##0.#######")</f>
        <v>96.32</v>
      </c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0"/>
      <c r="BN1172" s="240"/>
      <c r="BO1172" s="240"/>
      <c r="BP1172" s="240"/>
      <c r="BQ1172" s="240"/>
      <c r="BR1172" s="240"/>
      <c r="BS1172" s="240"/>
      <c r="BT1172" s="240"/>
      <c r="BU1172" s="240"/>
      <c r="BV1172" s="240"/>
      <c r="BW1172" s="240"/>
      <c r="BX1172" s="240"/>
      <c r="BY1172" s="240"/>
      <c r="BZ1172" s="240"/>
      <c r="CA1172" s="240"/>
      <c r="CB1172" s="240"/>
      <c r="CC1172" s="240"/>
      <c r="CD1172" s="240"/>
      <c r="CE1172" s="240"/>
      <c r="CF1172" s="240"/>
      <c r="CG1172" s="240"/>
      <c r="CH1172" s="240"/>
      <c r="CI1172" s="240"/>
      <c r="CJ1172" s="240"/>
      <c r="CK1172" s="240"/>
      <c r="CL1172" s="240"/>
      <c r="CM1172" s="240"/>
      <c r="CN1172" s="240"/>
      <c r="CO1172" s="240"/>
      <c r="CP1172" s="240"/>
      <c r="CQ1172" s="240"/>
      <c r="CR1172" s="240"/>
      <c r="CS1172" s="240"/>
      <c r="CT1172" s="240"/>
      <c r="CU1172" s="240"/>
      <c r="CV1172" s="240"/>
      <c r="CW1172" s="240"/>
      <c r="CX1172" s="240"/>
      <c r="CY1172" s="240"/>
      <c r="CZ1172" s="241"/>
      <c r="DA1172" s="241"/>
      <c r="DB1172" s="241"/>
      <c r="DC1172" s="241"/>
      <c r="DD1172" s="241"/>
      <c r="DE1172" s="241"/>
      <c r="DF1172" s="241"/>
      <c r="DG1172" s="241"/>
      <c r="DH1172" s="241"/>
      <c r="DI1172" s="241"/>
      <c r="DJ1172" s="241"/>
      <c r="DK1172" s="241"/>
      <c r="DL1172" s="241"/>
      <c r="DM1172" s="241"/>
      <c r="DN1172" s="241"/>
      <c r="DO1172" s="241"/>
      <c r="DP1172" s="241"/>
      <c r="DQ1172" s="241"/>
      <c r="DR1172" s="241"/>
      <c r="DS1172" s="241"/>
      <c r="DT1172" s="241"/>
      <c r="DU1172" s="241"/>
      <c r="DV1172" s="241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345"/>
      <c r="EM1172" s="245"/>
      <c r="EN1172" s="245"/>
      <c r="EO1172" s="245"/>
      <c r="EP1172" s="245"/>
      <c r="EQ1172" s="351"/>
    </row>
    <row r="1173" spans="2:147" s="243" customFormat="1" ht="11.25" hidden="1" customHeight="1">
      <c r="B1173" s="343"/>
      <c r="C1173" s="240"/>
      <c r="D1173" s="240"/>
      <c r="E1173" s="240"/>
      <c r="F1173" s="240"/>
      <c r="G1173" s="240"/>
      <c r="H1173" s="240"/>
      <c r="I1173" s="240"/>
      <c r="J1173" s="240"/>
      <c r="K1173" s="240"/>
      <c r="L1173" s="240"/>
      <c r="M1173" s="240"/>
      <c r="N1173" s="240"/>
      <c r="O1173" s="240"/>
      <c r="P1173" s="240"/>
      <c r="Q1173" s="240"/>
      <c r="R1173" s="240"/>
      <c r="S1173" s="240"/>
      <c r="T1173" s="240"/>
      <c r="U1173" s="240"/>
      <c r="V1173" s="240"/>
      <c r="W1173" s="240"/>
      <c r="X1173" s="240"/>
      <c r="Y1173" s="240"/>
      <c r="Z1173" s="240"/>
      <c r="AA1173" s="240"/>
      <c r="AB1173" s="240"/>
      <c r="AC1173" s="240"/>
      <c r="AD1173" s="240"/>
      <c r="AE1173" s="240"/>
      <c r="AF1173" s="240"/>
      <c r="AG1173" s="240"/>
      <c r="AH1173" s="240"/>
      <c r="AI1173" s="240"/>
      <c r="AJ1173" s="240"/>
      <c r="AK1173" s="240"/>
      <c r="AL1173" s="240"/>
      <c r="AM1173" s="240"/>
      <c r="AN1173" s="240"/>
      <c r="AO1173" s="240"/>
      <c r="AP1173" s="240"/>
      <c r="AQ1173" s="240"/>
      <c r="AR1173" s="240"/>
      <c r="AS1173" s="240"/>
      <c r="AT1173" s="240"/>
      <c r="AU1173" s="240"/>
      <c r="AV1173" s="240"/>
      <c r="AW1173" s="240"/>
      <c r="AX1173" s="240"/>
      <c r="AY1173" s="240"/>
      <c r="AZ1173" s="240"/>
      <c r="BA1173" s="240"/>
      <c r="BB1173" s="240"/>
      <c r="BC1173" s="240"/>
      <c r="BD1173" s="240"/>
      <c r="BE1173" s="240"/>
      <c r="BF1173" s="240"/>
      <c r="BG1173" s="240"/>
      <c r="BH1173" s="240"/>
      <c r="BI1173" s="240"/>
      <c r="BJ1173" s="240"/>
      <c r="BK1173" s="240"/>
      <c r="BL1173" s="240"/>
      <c r="BM1173" s="240"/>
      <c r="BN1173" s="240"/>
      <c r="BO1173" s="240"/>
      <c r="BP1173" s="240"/>
      <c r="BQ1173" s="240"/>
      <c r="BR1173" s="240"/>
      <c r="BS1173" s="240"/>
      <c r="BT1173" s="240"/>
      <c r="BU1173" s="240"/>
      <c r="BV1173" s="240"/>
      <c r="BW1173" s="240"/>
      <c r="BX1173" s="240"/>
      <c r="BY1173" s="240"/>
      <c r="BZ1173" s="240"/>
      <c r="CA1173" s="240"/>
      <c r="CB1173" s="240"/>
      <c r="CC1173" s="240"/>
      <c r="CD1173" s="240"/>
      <c r="CE1173" s="240"/>
      <c r="CF1173" s="240"/>
      <c r="CG1173" s="240"/>
      <c r="CH1173" s="240"/>
      <c r="CI1173" s="240"/>
      <c r="CJ1173" s="240"/>
      <c r="CK1173" s="240"/>
      <c r="CL1173" s="240"/>
      <c r="CM1173" s="240"/>
      <c r="CN1173" s="240"/>
      <c r="CO1173" s="240"/>
      <c r="CP1173" s="240"/>
      <c r="CQ1173" s="240"/>
      <c r="CR1173" s="240"/>
      <c r="CS1173" s="240"/>
      <c r="CT1173" s="240"/>
      <c r="CU1173" s="240"/>
      <c r="CV1173" s="240"/>
      <c r="CW1173" s="240"/>
      <c r="CX1173" s="240"/>
      <c r="CY1173" s="240"/>
      <c r="CZ1173" s="241"/>
      <c r="DA1173" s="241"/>
      <c r="DB1173" s="241"/>
      <c r="DC1173" s="241"/>
      <c r="DD1173" s="241"/>
      <c r="DE1173" s="241"/>
      <c r="DF1173" s="241"/>
      <c r="DG1173" s="241"/>
      <c r="DH1173" s="241"/>
      <c r="DI1173" s="241"/>
      <c r="DJ1173" s="241"/>
      <c r="DK1173" s="241"/>
      <c r="DL1173" s="241"/>
      <c r="DM1173" s="241"/>
      <c r="DN1173" s="241"/>
      <c r="DO1173" s="241"/>
      <c r="DP1173" s="241"/>
      <c r="DQ1173" s="241"/>
      <c r="DR1173" s="241"/>
      <c r="DS1173" s="241"/>
      <c r="DT1173" s="241"/>
      <c r="DU1173" s="241"/>
      <c r="DV1173" s="241"/>
      <c r="DW1173" s="241"/>
      <c r="DX1173" s="241"/>
      <c r="DY1173" s="241"/>
      <c r="DZ1173" s="241"/>
      <c r="EA1173" s="241"/>
      <c r="EB1173" s="241"/>
      <c r="EC1173" s="241"/>
      <c r="ED1173" s="241"/>
      <c r="EE1173" s="241"/>
      <c r="EF1173" s="241"/>
      <c r="EG1173" s="241"/>
      <c r="EH1173" s="241"/>
      <c r="EI1173" s="241"/>
      <c r="EJ1173" s="241"/>
      <c r="EK1173" s="241"/>
      <c r="EL1173" s="345"/>
      <c r="EM1173" s="245"/>
      <c r="EN1173" s="245"/>
      <c r="EO1173" s="245"/>
      <c r="EP1173" s="245"/>
      <c r="EQ1173" s="351"/>
    </row>
    <row r="1174" spans="2:147" s="243" customFormat="1" ht="11.25" hidden="1" customHeight="1">
      <c r="B1174" s="343"/>
      <c r="C1174" s="240"/>
      <c r="D1174" s="240"/>
      <c r="E1174" s="240"/>
      <c r="F1174" s="240"/>
      <c r="G1174" s="240"/>
      <c r="H1174" s="240" t="s">
        <v>687</v>
      </c>
      <c r="I1174" s="240"/>
      <c r="J1174" s="240" t="s">
        <v>134</v>
      </c>
      <c r="K1174" s="240"/>
      <c r="L1174" s="240" t="s">
        <v>858</v>
      </c>
      <c r="M1174" s="240"/>
      <c r="N1174" s="240"/>
      <c r="O1174" s="240" t="s">
        <v>652</v>
      </c>
      <c r="P1174" s="240"/>
      <c r="Q1174" s="240" t="s">
        <v>855</v>
      </c>
      <c r="R1174" s="240"/>
      <c r="S1174" s="240"/>
      <c r="T1174" s="240" t="s">
        <v>134</v>
      </c>
      <c r="U1174" s="240"/>
      <c r="V1174" s="240" t="str">
        <f>TEXT(BA1171,"#,##0.#######")</f>
        <v>3.67</v>
      </c>
      <c r="W1174" s="240"/>
      <c r="X1174" s="240"/>
      <c r="Y1174" s="240"/>
      <c r="Z1174" s="240"/>
      <c r="AA1174" s="240" t="s">
        <v>652</v>
      </c>
      <c r="AB1174" s="240"/>
      <c r="AC1174" s="240" t="str">
        <f>TEXT(Y1154,"#,##0.#######")</f>
        <v>2.3</v>
      </c>
      <c r="AD1174" s="240"/>
      <c r="AE1174" s="240"/>
      <c r="AF1174" s="240"/>
      <c r="AG1174" s="240" t="s">
        <v>134</v>
      </c>
      <c r="AH1174" s="240"/>
      <c r="AI1174" s="240" t="str">
        <f>TEXT(ROUND(BA1171*Y1154,2),"#,##0.#######")</f>
        <v>8.44</v>
      </c>
      <c r="AJ1174" s="240"/>
      <c r="AK1174" s="240"/>
      <c r="AL1174" s="240"/>
      <c r="AM1174" s="240"/>
      <c r="AN1174" s="240"/>
      <c r="AO1174" s="240"/>
      <c r="AP1174" s="240" t="s">
        <v>554</v>
      </c>
      <c r="AQ1174" s="240"/>
      <c r="AR1174" s="240"/>
      <c r="AS1174" s="240" t="s">
        <v>139</v>
      </c>
      <c r="AT1174" s="240" t="s">
        <v>618</v>
      </c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0"/>
      <c r="BN1174" s="240"/>
      <c r="BO1174" s="240"/>
      <c r="BP1174" s="240"/>
      <c r="BQ1174" s="240"/>
      <c r="BR1174" s="240"/>
      <c r="BS1174" s="240"/>
      <c r="BT1174" s="240"/>
      <c r="BU1174" s="240"/>
      <c r="BV1174" s="240"/>
      <c r="BW1174" s="240"/>
      <c r="BX1174" s="240"/>
      <c r="BY1174" s="240"/>
      <c r="BZ1174" s="240"/>
      <c r="CA1174" s="240"/>
      <c r="CB1174" s="240"/>
      <c r="CC1174" s="240"/>
      <c r="CD1174" s="240"/>
      <c r="CE1174" s="240"/>
      <c r="CF1174" s="240"/>
      <c r="CG1174" s="240"/>
      <c r="CH1174" s="240"/>
      <c r="CI1174" s="240"/>
      <c r="CJ1174" s="240"/>
      <c r="CK1174" s="240"/>
      <c r="CL1174" s="240"/>
      <c r="CM1174" s="240"/>
      <c r="CN1174" s="240"/>
      <c r="CO1174" s="240"/>
      <c r="CP1174" s="240"/>
      <c r="CQ1174" s="240"/>
      <c r="CR1174" s="240"/>
      <c r="CS1174" s="240"/>
      <c r="CT1174" s="240"/>
      <c r="CU1174" s="240"/>
      <c r="CV1174" s="240"/>
      <c r="CW1174" s="240"/>
      <c r="CX1174" s="240"/>
      <c r="CY1174" s="240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1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345"/>
      <c r="EM1174" s="245"/>
      <c r="EN1174" s="245"/>
      <c r="EO1174" s="245"/>
      <c r="EP1174" s="245"/>
      <c r="EQ1174" s="351"/>
    </row>
    <row r="1175" spans="2:147" s="243" customFormat="1" ht="11.25" hidden="1" customHeight="1">
      <c r="B1175" s="343"/>
      <c r="C1175" s="240"/>
      <c r="D1175" s="240"/>
      <c r="E1175" s="240"/>
      <c r="F1175" s="240"/>
      <c r="G1175" s="240"/>
      <c r="H1175" s="240"/>
      <c r="I1175" s="240"/>
      <c r="J1175" s="240"/>
      <c r="K1175" s="240"/>
      <c r="L1175" s="240"/>
      <c r="M1175" s="240"/>
      <c r="N1175" s="240"/>
      <c r="O1175" s="240"/>
      <c r="P1175" s="240"/>
      <c r="Q1175" s="240"/>
      <c r="R1175" s="240"/>
      <c r="S1175" s="240"/>
      <c r="T1175" s="240"/>
      <c r="U1175" s="240"/>
      <c r="V1175" s="240"/>
      <c r="W1175" s="240"/>
      <c r="X1175" s="240"/>
      <c r="Y1175" s="240"/>
      <c r="Z1175" s="240"/>
      <c r="AA1175" s="240"/>
      <c r="AB1175" s="240"/>
      <c r="AC1175" s="240"/>
      <c r="AD1175" s="240"/>
      <c r="AE1175" s="240"/>
      <c r="AF1175" s="240"/>
      <c r="AG1175" s="240"/>
      <c r="AH1175" s="240"/>
      <c r="AI1175" s="240"/>
      <c r="AJ1175" s="240"/>
      <c r="AK1175" s="240"/>
      <c r="AL1175" s="240"/>
      <c r="AM1175" s="240"/>
      <c r="AN1175" s="240"/>
      <c r="AO1175" s="240"/>
      <c r="AP1175" s="240"/>
      <c r="AQ1175" s="240"/>
      <c r="AR1175" s="240"/>
      <c r="AS1175" s="240"/>
      <c r="AT1175" s="240"/>
      <c r="AU1175" s="240"/>
      <c r="AV1175" s="240"/>
      <c r="AW1175" s="240"/>
      <c r="AX1175" s="240"/>
      <c r="AY1175" s="240"/>
      <c r="AZ1175" s="240"/>
      <c r="BA1175" s="240"/>
      <c r="BB1175" s="240"/>
      <c r="BC1175" s="240"/>
      <c r="BD1175" s="240"/>
      <c r="BE1175" s="240"/>
      <c r="BF1175" s="240"/>
      <c r="BG1175" s="240"/>
      <c r="BH1175" s="240"/>
      <c r="BI1175" s="240"/>
      <c r="BJ1175" s="240"/>
      <c r="BK1175" s="240"/>
      <c r="BL1175" s="240"/>
      <c r="BM1175" s="240"/>
      <c r="BN1175" s="240"/>
      <c r="BO1175" s="240"/>
      <c r="BP1175" s="240"/>
      <c r="BQ1175" s="240"/>
      <c r="BR1175" s="240"/>
      <c r="BS1175" s="240"/>
      <c r="BT1175" s="240"/>
      <c r="BU1175" s="240"/>
      <c r="BV1175" s="240"/>
      <c r="BW1175" s="240"/>
      <c r="BX1175" s="240"/>
      <c r="BY1175" s="240"/>
      <c r="BZ1175" s="240"/>
      <c r="CA1175" s="240"/>
      <c r="CB1175" s="240"/>
      <c r="CC1175" s="240"/>
      <c r="CD1175" s="240"/>
      <c r="CE1175" s="240"/>
      <c r="CF1175" s="240"/>
      <c r="CG1175" s="240"/>
      <c r="CH1175" s="240"/>
      <c r="CI1175" s="240"/>
      <c r="CJ1175" s="240"/>
      <c r="CK1175" s="240"/>
      <c r="CL1175" s="240"/>
      <c r="CM1175" s="240"/>
      <c r="CN1175" s="240"/>
      <c r="CO1175" s="240"/>
      <c r="CP1175" s="240"/>
      <c r="CQ1175" s="240"/>
      <c r="CR1175" s="240"/>
      <c r="CS1175" s="240"/>
      <c r="CT1175" s="240"/>
      <c r="CU1175" s="240"/>
      <c r="CV1175" s="240"/>
      <c r="CW1175" s="240"/>
      <c r="CX1175" s="240"/>
      <c r="CY1175" s="240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1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345"/>
      <c r="EM1175" s="245"/>
      <c r="EN1175" s="245"/>
      <c r="EO1175" s="245"/>
      <c r="EP1175" s="245"/>
      <c r="EQ1175" s="351"/>
    </row>
    <row r="1176" spans="2:147" s="243" customFormat="1" ht="11.25" hidden="1" customHeight="1">
      <c r="B1176" s="343"/>
      <c r="C1176" s="240"/>
      <c r="D1176" s="240"/>
      <c r="E1176" s="240"/>
      <c r="F1176" s="240"/>
      <c r="G1176" s="240"/>
      <c r="H1176" s="240" t="s">
        <v>616</v>
      </c>
      <c r="I1176" s="240"/>
      <c r="J1176" s="240"/>
      <c r="K1176" s="240"/>
      <c r="L1176" s="240"/>
      <c r="M1176" s="240"/>
      <c r="N1176" s="240"/>
      <c r="O1176" s="240" t="s">
        <v>132</v>
      </c>
      <c r="P1176" s="240"/>
      <c r="Q1176" s="1775" t="e">
        <f>#REF!</f>
        <v>#REF!</v>
      </c>
      <c r="R1176" s="1775"/>
      <c r="S1176" s="1775"/>
      <c r="T1176" s="1775"/>
      <c r="U1176" s="1775"/>
      <c r="V1176" s="240"/>
      <c r="W1176" s="240"/>
      <c r="X1176" s="240"/>
      <c r="Y1176" s="240"/>
      <c r="Z1176" s="240" t="s">
        <v>683</v>
      </c>
      <c r="AA1176" s="240"/>
      <c r="AB1176" s="240"/>
      <c r="AC1176" s="240" t="str">
        <f>TEXT(AI1174,"#,##0.#######")</f>
        <v>8.44</v>
      </c>
      <c r="AD1176" s="240"/>
      <c r="AE1176" s="240"/>
      <c r="AF1176" s="240"/>
      <c r="AG1176" s="240"/>
      <c r="AH1176" s="240"/>
      <c r="AI1176" s="240"/>
      <c r="AJ1176" s="240" t="s">
        <v>134</v>
      </c>
      <c r="AK1176" s="240"/>
      <c r="AL1176" s="240" t="e">
        <f>TEXT(TRUNC(Q1176/AI1174,1),"#,##0.#")</f>
        <v>#REF!</v>
      </c>
      <c r="AM1176" s="240"/>
      <c r="AN1176" s="240"/>
      <c r="AO1176" s="240"/>
      <c r="AP1176" s="240"/>
      <c r="AQ1176" s="240"/>
      <c r="AR1176" s="240"/>
      <c r="AS1176" s="240"/>
      <c r="AT1176" s="240"/>
      <c r="AU1176" s="240"/>
      <c r="AV1176" s="240"/>
      <c r="AW1176" s="240"/>
      <c r="AX1176" s="240"/>
      <c r="AY1176" s="240"/>
      <c r="AZ1176" s="240"/>
      <c r="BA1176" s="240"/>
      <c r="BB1176" s="240"/>
      <c r="BC1176" s="240"/>
      <c r="BD1176" s="240"/>
      <c r="BE1176" s="240"/>
      <c r="BF1176" s="240"/>
      <c r="BG1176" s="240"/>
      <c r="BH1176" s="240"/>
      <c r="BI1176" s="240"/>
      <c r="BJ1176" s="240"/>
      <c r="BK1176" s="240"/>
      <c r="BL1176" s="240"/>
      <c r="BM1176" s="240"/>
      <c r="BN1176" s="240"/>
      <c r="BO1176" s="240"/>
      <c r="BP1176" s="240"/>
      <c r="BQ1176" s="240"/>
      <c r="BR1176" s="240"/>
      <c r="BS1176" s="240"/>
      <c r="BT1176" s="240"/>
      <c r="BU1176" s="240"/>
      <c r="BV1176" s="240"/>
      <c r="BW1176" s="240"/>
      <c r="BX1176" s="240"/>
      <c r="BY1176" s="240"/>
      <c r="BZ1176" s="240"/>
      <c r="CA1176" s="240"/>
      <c r="CB1176" s="240"/>
      <c r="CC1176" s="240"/>
      <c r="CD1176" s="240"/>
      <c r="CE1176" s="240"/>
      <c r="CF1176" s="240"/>
      <c r="CG1176" s="240"/>
      <c r="CH1176" s="240"/>
      <c r="CI1176" s="240"/>
      <c r="CJ1176" s="240"/>
      <c r="CK1176" s="240"/>
      <c r="CL1176" s="240"/>
      <c r="CM1176" s="240"/>
      <c r="CN1176" s="240"/>
      <c r="CO1176" s="240"/>
      <c r="CP1176" s="240"/>
      <c r="CQ1176" s="240"/>
      <c r="CR1176" s="240"/>
      <c r="CS1176" s="240"/>
      <c r="CT1176" s="240"/>
      <c r="CU1176" s="240"/>
      <c r="CV1176" s="240"/>
      <c r="CW1176" s="240"/>
      <c r="CX1176" s="240"/>
      <c r="CY1176" s="240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1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345"/>
      <c r="EM1176" s="245"/>
      <c r="EN1176" s="245"/>
      <c r="EO1176" s="245"/>
      <c r="EP1176" s="245"/>
      <c r="EQ1176" s="351"/>
    </row>
    <row r="1177" spans="2:147" s="243" customFormat="1" ht="11.25" hidden="1" customHeight="1">
      <c r="B1177" s="343"/>
      <c r="C1177" s="240"/>
      <c r="D1177" s="240"/>
      <c r="E1177" s="240"/>
      <c r="F1177" s="240"/>
      <c r="G1177" s="240"/>
      <c r="H1177" s="240" t="s">
        <v>617</v>
      </c>
      <c r="I1177" s="240"/>
      <c r="J1177" s="240"/>
      <c r="K1177" s="240"/>
      <c r="L1177" s="240"/>
      <c r="M1177" s="240"/>
      <c r="N1177" s="240"/>
      <c r="O1177" s="240" t="s">
        <v>132</v>
      </c>
      <c r="P1177" s="240"/>
      <c r="Q1177" s="1775" t="e">
        <f>#REF!</f>
        <v>#REF!</v>
      </c>
      <c r="R1177" s="1775"/>
      <c r="S1177" s="1775"/>
      <c r="T1177" s="1775"/>
      <c r="U1177" s="1775"/>
      <c r="V1177" s="240"/>
      <c r="W1177" s="240"/>
      <c r="X1177" s="240"/>
      <c r="Y1177" s="240"/>
      <c r="Z1177" s="240" t="s">
        <v>683</v>
      </c>
      <c r="AA1177" s="240"/>
      <c r="AB1177" s="240"/>
      <c r="AC1177" s="240" t="str">
        <f>TEXT(AI1174,"#,##0.#######")</f>
        <v>8.44</v>
      </c>
      <c r="AD1177" s="240"/>
      <c r="AE1177" s="240"/>
      <c r="AF1177" s="240"/>
      <c r="AG1177" s="240"/>
      <c r="AH1177" s="240"/>
      <c r="AI1177" s="240"/>
      <c r="AJ1177" s="240" t="s">
        <v>134</v>
      </c>
      <c r="AK1177" s="240"/>
      <c r="AL1177" s="240" t="e">
        <f>TEXT(TRUNC(Q1177/AI1174,1),"#,##0.#")</f>
        <v>#REF!</v>
      </c>
      <c r="AM1177" s="240"/>
      <c r="AN1177" s="240"/>
      <c r="AO1177" s="240"/>
      <c r="AP1177" s="240"/>
      <c r="AQ1177" s="240"/>
      <c r="AR1177" s="240"/>
      <c r="AS1177" s="240"/>
      <c r="AT1177" s="240"/>
      <c r="AU1177" s="240"/>
      <c r="AV1177" s="240"/>
      <c r="AW1177" s="240"/>
      <c r="AX1177" s="240"/>
      <c r="AY1177" s="240"/>
      <c r="AZ1177" s="240"/>
      <c r="BA1177" s="240"/>
      <c r="BB1177" s="240"/>
      <c r="BC1177" s="240"/>
      <c r="BD1177" s="240"/>
      <c r="BE1177" s="240"/>
      <c r="BF1177" s="240"/>
      <c r="BG1177" s="240"/>
      <c r="BH1177" s="240"/>
      <c r="BI1177" s="240"/>
      <c r="BJ1177" s="240"/>
      <c r="BK1177" s="240"/>
      <c r="BL1177" s="240"/>
      <c r="BM1177" s="240"/>
      <c r="BN1177" s="240"/>
      <c r="BO1177" s="240"/>
      <c r="BP1177" s="240"/>
      <c r="BQ1177" s="240"/>
      <c r="BR1177" s="240"/>
      <c r="BS1177" s="240"/>
      <c r="BT1177" s="240"/>
      <c r="BU1177" s="240"/>
      <c r="BV1177" s="240"/>
      <c r="BW1177" s="240"/>
      <c r="BX1177" s="240"/>
      <c r="BY1177" s="240"/>
      <c r="BZ1177" s="240"/>
      <c r="CA1177" s="240"/>
      <c r="CB1177" s="240"/>
      <c r="CC1177" s="240"/>
      <c r="CD1177" s="240"/>
      <c r="CE1177" s="240"/>
      <c r="CF1177" s="240"/>
      <c r="CG1177" s="240"/>
      <c r="CH1177" s="240"/>
      <c r="CI1177" s="240"/>
      <c r="CJ1177" s="240"/>
      <c r="CK1177" s="240"/>
      <c r="CL1177" s="240"/>
      <c r="CM1177" s="240"/>
      <c r="CN1177" s="240"/>
      <c r="CO1177" s="240"/>
      <c r="CP1177" s="240"/>
      <c r="CQ1177" s="240"/>
      <c r="CR1177" s="240"/>
      <c r="CS1177" s="240"/>
      <c r="CT1177" s="240"/>
      <c r="CU1177" s="240"/>
      <c r="CV1177" s="240"/>
      <c r="CW1177" s="240"/>
      <c r="CX1177" s="240"/>
      <c r="CY1177" s="240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1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345"/>
      <c r="EM1177" s="245"/>
      <c r="EN1177" s="245"/>
      <c r="EO1177" s="245"/>
      <c r="EP1177" s="245"/>
      <c r="EQ1177" s="351"/>
    </row>
    <row r="1178" spans="2:147" s="243" customFormat="1" ht="11.25" hidden="1" customHeight="1">
      <c r="B1178" s="343"/>
      <c r="C1178" s="240"/>
      <c r="D1178" s="240"/>
      <c r="E1178" s="240"/>
      <c r="F1178" s="240"/>
      <c r="G1178" s="240"/>
      <c r="H1178" s="240" t="s">
        <v>679</v>
      </c>
      <c r="I1178" s="240"/>
      <c r="J1178" s="240"/>
      <c r="K1178" s="240"/>
      <c r="L1178" s="240" t="s">
        <v>680</v>
      </c>
      <c r="M1178" s="240"/>
      <c r="N1178" s="240"/>
      <c r="O1178" s="240" t="s">
        <v>132</v>
      </c>
      <c r="P1178" s="240"/>
      <c r="Q1178" s="1775" t="e">
        <f>#REF!</f>
        <v>#REF!</v>
      </c>
      <c r="R1178" s="1775"/>
      <c r="S1178" s="1775"/>
      <c r="T1178" s="1775"/>
      <c r="U1178" s="1775"/>
      <c r="V1178" s="240"/>
      <c r="W1178" s="240"/>
      <c r="X1178" s="240"/>
      <c r="Y1178" s="240"/>
      <c r="Z1178" s="240" t="s">
        <v>683</v>
      </c>
      <c r="AA1178" s="240"/>
      <c r="AB1178" s="240"/>
      <c r="AC1178" s="240" t="str">
        <f>TEXT(AI1174,"#,##0.#######")</f>
        <v>8.44</v>
      </c>
      <c r="AD1178" s="240"/>
      <c r="AE1178" s="240"/>
      <c r="AF1178" s="240"/>
      <c r="AG1178" s="240"/>
      <c r="AH1178" s="240"/>
      <c r="AI1178" s="240"/>
      <c r="AJ1178" s="240" t="s">
        <v>134</v>
      </c>
      <c r="AK1178" s="240"/>
      <c r="AL1178" s="240" t="e">
        <f>TEXT(TRUNC(Q1178/AI1174,1),"#,##0.#")</f>
        <v>#REF!</v>
      </c>
      <c r="AM1178" s="240"/>
      <c r="AN1178" s="240"/>
      <c r="AO1178" s="240"/>
      <c r="AP1178" s="240"/>
      <c r="AQ1178" s="240"/>
      <c r="AR1178" s="240"/>
      <c r="AS1178" s="240"/>
      <c r="AT1178" s="240"/>
      <c r="AU1178" s="240"/>
      <c r="AV1178" s="240"/>
      <c r="AW1178" s="240"/>
      <c r="AX1178" s="240"/>
      <c r="AY1178" s="240"/>
      <c r="AZ1178" s="240"/>
      <c r="BA1178" s="240"/>
      <c r="BB1178" s="240"/>
      <c r="BC1178" s="240"/>
      <c r="BD1178" s="240"/>
      <c r="BE1178" s="240"/>
      <c r="BF1178" s="240"/>
      <c r="BG1178" s="240"/>
      <c r="BH1178" s="240"/>
      <c r="BI1178" s="240"/>
      <c r="BJ1178" s="240"/>
      <c r="BK1178" s="240"/>
      <c r="BL1178" s="240"/>
      <c r="BM1178" s="240"/>
      <c r="BN1178" s="240"/>
      <c r="BO1178" s="240"/>
      <c r="BP1178" s="240"/>
      <c r="BQ1178" s="240"/>
      <c r="BR1178" s="240"/>
      <c r="BS1178" s="240"/>
      <c r="BT1178" s="240"/>
      <c r="BU1178" s="240"/>
      <c r="BV1178" s="240"/>
      <c r="BW1178" s="240"/>
      <c r="BX1178" s="240"/>
      <c r="BY1178" s="240"/>
      <c r="BZ1178" s="240"/>
      <c r="CA1178" s="240"/>
      <c r="CB1178" s="240"/>
      <c r="CC1178" s="240"/>
      <c r="CD1178" s="240"/>
      <c r="CE1178" s="240"/>
      <c r="CF1178" s="240"/>
      <c r="CG1178" s="240"/>
      <c r="CH1178" s="240"/>
      <c r="CI1178" s="240"/>
      <c r="CJ1178" s="240"/>
      <c r="CK1178" s="240"/>
      <c r="CL1178" s="240"/>
      <c r="CM1178" s="240"/>
      <c r="CN1178" s="240"/>
      <c r="CO1178" s="240"/>
      <c r="CP1178" s="240"/>
      <c r="CQ1178" s="240"/>
      <c r="CR1178" s="240"/>
      <c r="CS1178" s="240"/>
      <c r="CT1178" s="240"/>
      <c r="CU1178" s="240"/>
      <c r="CV1178" s="240"/>
      <c r="CW1178" s="240"/>
      <c r="CX1178" s="240"/>
      <c r="CY1178" s="240"/>
      <c r="CZ1178" s="241"/>
      <c r="DA1178" s="241"/>
      <c r="DB1178" s="241"/>
      <c r="DC1178" s="241"/>
      <c r="DD1178" s="241"/>
      <c r="DE1178" s="241"/>
      <c r="DF1178" s="241"/>
      <c r="DG1178" s="241"/>
      <c r="DH1178" s="241"/>
      <c r="DI1178" s="241"/>
      <c r="DJ1178" s="241"/>
      <c r="DK1178" s="241"/>
      <c r="DL1178" s="241"/>
      <c r="DM1178" s="241"/>
      <c r="DN1178" s="241"/>
      <c r="DO1178" s="241"/>
      <c r="DP1178" s="241"/>
      <c r="DQ1178" s="241"/>
      <c r="DR1178" s="241"/>
      <c r="DS1178" s="241"/>
      <c r="DT1178" s="241"/>
      <c r="DU1178" s="241"/>
      <c r="DV1178" s="241"/>
      <c r="DW1178" s="241"/>
      <c r="DX1178" s="241"/>
      <c r="DY1178" s="241"/>
      <c r="DZ1178" s="241"/>
      <c r="EA1178" s="241"/>
      <c r="EB1178" s="241"/>
      <c r="EC1178" s="241"/>
      <c r="ED1178" s="241"/>
      <c r="EE1178" s="241"/>
      <c r="EF1178" s="241"/>
      <c r="EG1178" s="241"/>
      <c r="EH1178" s="241"/>
      <c r="EI1178" s="241"/>
      <c r="EJ1178" s="241"/>
      <c r="EK1178" s="241"/>
      <c r="EL1178" s="345"/>
      <c r="EM1178" s="245"/>
      <c r="EN1178" s="245"/>
      <c r="EO1178" s="245"/>
      <c r="EP1178" s="245"/>
      <c r="EQ1178" s="351"/>
    </row>
    <row r="1179" spans="2:147" s="243" customFormat="1" ht="11.25" hidden="1" customHeight="1">
      <c r="B1179" s="343"/>
      <c r="C1179" s="240"/>
      <c r="D1179" s="240"/>
      <c r="E1179" s="240"/>
      <c r="F1179" s="240"/>
      <c r="G1179" s="240"/>
      <c r="H1179" s="240" t="s">
        <v>688</v>
      </c>
      <c r="I1179" s="240"/>
      <c r="J1179" s="240"/>
      <c r="K1179" s="240"/>
      <c r="L1179" s="240" t="s">
        <v>96</v>
      </c>
      <c r="M1179" s="240"/>
      <c r="N1179" s="240"/>
      <c r="O1179" s="240" t="s">
        <v>132</v>
      </c>
      <c r="P1179" s="240"/>
      <c r="Q1179" s="240" t="e">
        <f>TEXT(AL1176+AL1177+AL1178,"#,##0.#######")</f>
        <v>#REF!</v>
      </c>
      <c r="R1179" s="240"/>
      <c r="S1179" s="240"/>
      <c r="T1179" s="240"/>
      <c r="U1179" s="240"/>
      <c r="V1179" s="240"/>
      <c r="W1179" s="240"/>
      <c r="X1179" s="240"/>
      <c r="Y1179" s="240"/>
      <c r="Z1179" s="240"/>
      <c r="AA1179" s="240"/>
      <c r="AB1179" s="240"/>
      <c r="AC1179" s="240"/>
      <c r="AD1179" s="240"/>
      <c r="AE1179" s="240"/>
      <c r="AF1179" s="240"/>
      <c r="AG1179" s="240"/>
      <c r="AI1179" s="240"/>
      <c r="AJ1179" s="240"/>
      <c r="AK1179" s="240"/>
      <c r="AL1179" s="240"/>
      <c r="AM1179" s="240"/>
      <c r="AN1179" s="240"/>
      <c r="AO1179" s="240"/>
      <c r="AP1179" s="240"/>
      <c r="AQ1179" s="240"/>
      <c r="AR1179" s="240"/>
      <c r="AS1179" s="240"/>
      <c r="AT1179" s="240"/>
      <c r="AU1179" s="240"/>
      <c r="AV1179" s="240"/>
      <c r="AW1179" s="240"/>
      <c r="AX1179" s="240"/>
      <c r="AY1179" s="240"/>
      <c r="AZ1179" s="240"/>
      <c r="BA1179" s="240"/>
      <c r="BB1179" s="240"/>
      <c r="BC1179" s="240"/>
      <c r="BD1179" s="240"/>
      <c r="BE1179" s="240"/>
      <c r="BF1179" s="240"/>
      <c r="BG1179" s="240"/>
      <c r="BH1179" s="240"/>
      <c r="BI1179" s="240"/>
      <c r="BJ1179" s="240"/>
      <c r="BK1179" s="240"/>
      <c r="BL1179" s="240"/>
      <c r="BM1179" s="240"/>
      <c r="BN1179" s="240"/>
      <c r="BO1179" s="240"/>
      <c r="BP1179" s="240"/>
      <c r="BQ1179" s="240"/>
      <c r="BR1179" s="240"/>
      <c r="BS1179" s="240"/>
      <c r="BT1179" s="240"/>
      <c r="BU1179" s="240"/>
      <c r="BV1179" s="240"/>
      <c r="BW1179" s="240"/>
      <c r="BX1179" s="240"/>
      <c r="BY1179" s="240"/>
      <c r="BZ1179" s="240"/>
      <c r="CA1179" s="240"/>
      <c r="CB1179" s="240"/>
      <c r="CC1179" s="240"/>
      <c r="CD1179" s="240"/>
      <c r="CE1179" s="240"/>
      <c r="CF1179" s="240"/>
      <c r="CG1179" s="240"/>
      <c r="CH1179" s="240"/>
      <c r="CI1179" s="240"/>
      <c r="CJ1179" s="240"/>
      <c r="CK1179" s="240"/>
      <c r="CL1179" s="240"/>
      <c r="CM1179" s="240"/>
      <c r="CN1179" s="240"/>
      <c r="CO1179" s="240"/>
      <c r="CP1179" s="240"/>
      <c r="CQ1179" s="240"/>
      <c r="CR1179" s="240"/>
      <c r="CS1179" s="240"/>
      <c r="CT1179" s="240"/>
      <c r="CU1179" s="240"/>
      <c r="CV1179" s="240"/>
      <c r="CW1179" s="240"/>
      <c r="CX1179" s="240"/>
      <c r="CY1179" s="240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1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345"/>
      <c r="EM1179" s="245" t="e">
        <f>EN1179+EO1179+EP1179</f>
        <v>#REF!</v>
      </c>
      <c r="EN1179" s="245" t="e">
        <f>TEXT(AL1176,"#,###.0")</f>
        <v>#REF!</v>
      </c>
      <c r="EO1179" s="245" t="e">
        <f>TEXT(AL1177,"#,###.0")</f>
        <v>#REF!</v>
      </c>
      <c r="EP1179" s="245" t="e">
        <f>TEXT(AL1178,"#,###.0")</f>
        <v>#REF!</v>
      </c>
      <c r="EQ1179" s="351"/>
    </row>
    <row r="1180" spans="2:147" s="243" customFormat="1" ht="11.25" hidden="1" customHeight="1">
      <c r="B1180" s="343"/>
      <c r="C1180" s="240"/>
      <c r="D1180" s="240"/>
      <c r="E1180" s="240"/>
      <c r="F1180" s="240"/>
      <c r="G1180" s="240"/>
      <c r="H1180" s="240"/>
      <c r="I1180" s="240"/>
      <c r="J1180" s="240"/>
      <c r="K1180" s="240"/>
      <c r="L1180" s="240"/>
      <c r="M1180" s="240"/>
      <c r="N1180" s="240"/>
      <c r="O1180" s="240"/>
      <c r="P1180" s="240"/>
      <c r="Q1180" s="240"/>
      <c r="R1180" s="240"/>
      <c r="S1180" s="240"/>
      <c r="T1180" s="240"/>
      <c r="U1180" s="240"/>
      <c r="V1180" s="240"/>
      <c r="W1180" s="240"/>
      <c r="X1180" s="240"/>
      <c r="Y1180" s="240"/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240"/>
      <c r="AM1180" s="240"/>
      <c r="AN1180" s="240"/>
      <c r="AO1180" s="240"/>
      <c r="AP1180" s="240"/>
      <c r="AQ1180" s="240"/>
      <c r="AR1180" s="240"/>
      <c r="AS1180" s="240"/>
      <c r="AT1180" s="240"/>
      <c r="AU1180" s="240"/>
      <c r="AV1180" s="240"/>
      <c r="AW1180" s="240"/>
      <c r="AX1180" s="240"/>
      <c r="AY1180" s="240"/>
      <c r="AZ1180" s="240"/>
      <c r="BA1180" s="240"/>
      <c r="BB1180" s="240"/>
      <c r="BC1180" s="240"/>
      <c r="BD1180" s="240"/>
      <c r="BE1180" s="240"/>
      <c r="BF1180" s="240"/>
      <c r="BG1180" s="240"/>
      <c r="BH1180" s="240"/>
      <c r="BI1180" s="240"/>
      <c r="BJ1180" s="240"/>
      <c r="BK1180" s="240"/>
      <c r="BL1180" s="240"/>
      <c r="BM1180" s="240"/>
      <c r="BN1180" s="240"/>
      <c r="BO1180" s="240"/>
      <c r="BP1180" s="240"/>
      <c r="BQ1180" s="240"/>
      <c r="BR1180" s="240"/>
      <c r="BS1180" s="240"/>
      <c r="BT1180" s="240"/>
      <c r="BU1180" s="240"/>
      <c r="BV1180" s="240"/>
      <c r="BW1180" s="240"/>
      <c r="BX1180" s="240"/>
      <c r="BY1180" s="240"/>
      <c r="BZ1180" s="240"/>
      <c r="CA1180" s="240"/>
      <c r="CB1180" s="240"/>
      <c r="CC1180" s="240"/>
      <c r="CD1180" s="240"/>
      <c r="CE1180" s="240"/>
      <c r="CF1180" s="240"/>
      <c r="CG1180" s="240"/>
      <c r="CH1180" s="240"/>
      <c r="CI1180" s="240"/>
      <c r="CJ1180" s="240"/>
      <c r="CK1180" s="240"/>
      <c r="CL1180" s="240"/>
      <c r="CM1180" s="240"/>
      <c r="CN1180" s="240"/>
      <c r="CO1180" s="240"/>
      <c r="CP1180" s="240"/>
      <c r="CQ1180" s="240"/>
      <c r="CR1180" s="240"/>
      <c r="CS1180" s="240"/>
      <c r="CT1180" s="240"/>
      <c r="CU1180" s="240"/>
      <c r="CV1180" s="240"/>
      <c r="CW1180" s="240"/>
      <c r="CX1180" s="240"/>
      <c r="CY1180" s="240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1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345"/>
      <c r="EM1180" s="245"/>
      <c r="EN1180" s="245"/>
      <c r="EO1180" s="245"/>
      <c r="EP1180" s="245"/>
      <c r="EQ1180" s="351"/>
    </row>
    <row r="1181" spans="2:147" s="243" customFormat="1" ht="11.25" hidden="1" customHeight="1">
      <c r="B1181" s="343"/>
      <c r="C1181" s="240"/>
      <c r="D1181" s="240"/>
      <c r="E1181" s="240" t="s">
        <v>677</v>
      </c>
      <c r="F1181" s="240"/>
      <c r="G1181" s="240"/>
      <c r="H1181" s="240" t="s">
        <v>678</v>
      </c>
      <c r="I1181" s="240"/>
      <c r="J1181" s="240"/>
      <c r="K1181" s="240"/>
      <c r="L1181" s="240" t="s">
        <v>96</v>
      </c>
      <c r="M1181" s="240"/>
      <c r="N1181" s="240"/>
      <c r="O1181" s="240"/>
      <c r="P1181" s="240"/>
      <c r="Q1181" s="240"/>
      <c r="R1181" s="240"/>
      <c r="S1181" s="240"/>
      <c r="T1181" s="240"/>
      <c r="U1181" s="240"/>
      <c r="V1181" s="240"/>
      <c r="W1181" s="240"/>
      <c r="X1181" s="240"/>
      <c r="Y1181" s="240"/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240"/>
      <c r="AM1181" s="240"/>
      <c r="AN1181" s="240"/>
      <c r="AO1181" s="240"/>
      <c r="AP1181" s="240"/>
      <c r="AQ1181" s="240"/>
      <c r="AR1181" s="240"/>
      <c r="AS1181" s="240"/>
      <c r="AT1181" s="240"/>
      <c r="AU1181" s="240"/>
      <c r="AV1181" s="240"/>
      <c r="AW1181" s="240"/>
      <c r="AX1181" s="240"/>
      <c r="AY1181" s="240"/>
      <c r="AZ1181" s="240"/>
      <c r="BA1181" s="240"/>
      <c r="BB1181" s="240"/>
      <c r="BC1181" s="240"/>
      <c r="BD1181" s="240"/>
      <c r="BE1181" s="240"/>
      <c r="BF1181" s="240"/>
      <c r="BG1181" s="240"/>
      <c r="BH1181" s="240"/>
      <c r="BI1181" s="240"/>
      <c r="BJ1181" s="240"/>
      <c r="BK1181" s="240"/>
      <c r="BL1181" s="240"/>
      <c r="BM1181" s="240"/>
      <c r="BN1181" s="240"/>
      <c r="BO1181" s="240"/>
      <c r="BP1181" s="240"/>
      <c r="BQ1181" s="240"/>
      <c r="BR1181" s="240"/>
      <c r="BS1181" s="240"/>
      <c r="BT1181" s="240"/>
      <c r="BU1181" s="240"/>
      <c r="BV1181" s="240"/>
      <c r="BW1181" s="240"/>
      <c r="BX1181" s="240"/>
      <c r="BY1181" s="240"/>
      <c r="BZ1181" s="240"/>
      <c r="CA1181" s="240"/>
      <c r="CB1181" s="240"/>
      <c r="CC1181" s="240"/>
      <c r="CD1181" s="240"/>
      <c r="CE1181" s="240"/>
      <c r="CF1181" s="240"/>
      <c r="CG1181" s="240"/>
      <c r="CH1181" s="240"/>
      <c r="CI1181" s="240"/>
      <c r="CJ1181" s="240"/>
      <c r="CK1181" s="240"/>
      <c r="CL1181" s="240"/>
      <c r="CM1181" s="240"/>
      <c r="CN1181" s="240"/>
      <c r="CO1181" s="240"/>
      <c r="CP1181" s="240"/>
      <c r="CQ1181" s="240"/>
      <c r="CR1181" s="240"/>
      <c r="CS1181" s="240"/>
      <c r="CT1181" s="240"/>
      <c r="CU1181" s="240"/>
      <c r="CV1181" s="240"/>
      <c r="CW1181" s="240"/>
      <c r="CX1181" s="240"/>
      <c r="CY1181" s="240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1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345"/>
      <c r="EM1181" s="245"/>
      <c r="EN1181" s="245"/>
      <c r="EO1181" s="245"/>
      <c r="EP1181" s="245"/>
      <c r="EQ1181" s="351"/>
    </row>
    <row r="1182" spans="2:147" s="243" customFormat="1" ht="11.25" hidden="1" customHeight="1">
      <c r="B1182" s="343"/>
      <c r="C1182" s="240"/>
      <c r="D1182" s="240"/>
      <c r="E1182" s="240"/>
      <c r="F1182" s="240"/>
      <c r="G1182" s="240"/>
      <c r="H1182" s="240"/>
      <c r="I1182" s="240"/>
      <c r="J1182" s="240" t="s">
        <v>616</v>
      </c>
      <c r="K1182" s="240"/>
      <c r="L1182" s="240"/>
      <c r="M1182" s="240"/>
      <c r="N1182" s="240"/>
      <c r="O1182" s="240"/>
      <c r="P1182" s="240"/>
      <c r="Q1182" s="240" t="s">
        <v>132</v>
      </c>
      <c r="R1182" s="240"/>
      <c r="S1182" s="240" t="e">
        <f>TEXT(TRUNC(EN1179,0),"#,##0")</f>
        <v>#REF!</v>
      </c>
      <c r="T1182" s="240"/>
      <c r="U1182" s="240"/>
      <c r="V1182" s="240"/>
      <c r="W1182" s="240"/>
      <c r="X1182" s="240"/>
      <c r="Y1182" s="240"/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240"/>
      <c r="AM1182" s="240"/>
      <c r="AN1182" s="240"/>
      <c r="AO1182" s="240"/>
      <c r="AP1182" s="240"/>
      <c r="AQ1182" s="240"/>
      <c r="AR1182" s="240"/>
      <c r="AS1182" s="240"/>
      <c r="AT1182" s="240"/>
      <c r="AU1182" s="240"/>
      <c r="AV1182" s="240"/>
      <c r="AW1182" s="240"/>
      <c r="AX1182" s="240"/>
      <c r="AY1182" s="240"/>
      <c r="AZ1182" s="240"/>
      <c r="BA1182" s="240"/>
      <c r="BB1182" s="240"/>
      <c r="BC1182" s="240"/>
      <c r="BD1182" s="240"/>
      <c r="BE1182" s="240"/>
      <c r="BF1182" s="240"/>
      <c r="BG1182" s="240"/>
      <c r="BH1182" s="240"/>
      <c r="BI1182" s="240"/>
      <c r="BJ1182" s="240"/>
      <c r="BK1182" s="240"/>
      <c r="BL1182" s="240"/>
      <c r="BM1182" s="240"/>
      <c r="BN1182" s="240"/>
      <c r="BO1182" s="240"/>
      <c r="BP1182" s="240"/>
      <c r="BQ1182" s="240"/>
      <c r="BR1182" s="240"/>
      <c r="BS1182" s="240"/>
      <c r="BT1182" s="240"/>
      <c r="BU1182" s="240"/>
      <c r="BV1182" s="240"/>
      <c r="BW1182" s="240"/>
      <c r="BX1182" s="240"/>
      <c r="BY1182" s="240"/>
      <c r="BZ1182" s="240"/>
      <c r="CA1182" s="240"/>
      <c r="CB1182" s="240"/>
      <c r="CC1182" s="240"/>
      <c r="CD1182" s="240"/>
      <c r="CE1182" s="240"/>
      <c r="CF1182" s="240"/>
      <c r="CG1182" s="240"/>
      <c r="CH1182" s="240"/>
      <c r="CI1182" s="240"/>
      <c r="CJ1182" s="240"/>
      <c r="CK1182" s="240"/>
      <c r="CL1182" s="240"/>
      <c r="CM1182" s="240"/>
      <c r="CN1182" s="240"/>
      <c r="CO1182" s="240"/>
      <c r="CP1182" s="240"/>
      <c r="CQ1182" s="240"/>
      <c r="CR1182" s="240"/>
      <c r="CS1182" s="240"/>
      <c r="CT1182" s="240"/>
      <c r="CU1182" s="240"/>
      <c r="CV1182" s="240"/>
      <c r="CW1182" s="240"/>
      <c r="CX1182" s="240"/>
      <c r="CY1182" s="240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1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345"/>
      <c r="EM1182" s="245"/>
      <c r="EN1182" s="245"/>
      <c r="EO1182" s="245"/>
      <c r="EP1182" s="245"/>
      <c r="EQ1182" s="351"/>
    </row>
    <row r="1183" spans="2:147" s="243" customFormat="1" ht="11.25" hidden="1" customHeight="1">
      <c r="B1183" s="343"/>
      <c r="C1183" s="240"/>
      <c r="D1183" s="240"/>
      <c r="E1183" s="240"/>
      <c r="F1183" s="240"/>
      <c r="G1183" s="240"/>
      <c r="H1183" s="240"/>
      <c r="I1183" s="240"/>
      <c r="J1183" s="240" t="s">
        <v>617</v>
      </c>
      <c r="K1183" s="240"/>
      <c r="L1183" s="240"/>
      <c r="M1183" s="240"/>
      <c r="N1183" s="240"/>
      <c r="O1183" s="240"/>
      <c r="P1183" s="240"/>
      <c r="Q1183" s="240" t="s">
        <v>132</v>
      </c>
      <c r="R1183" s="240"/>
      <c r="S1183" s="240" t="e">
        <f>TEXT(TRUNC(EO1179,0),"#,##0")</f>
        <v>#REF!</v>
      </c>
      <c r="T1183" s="240"/>
      <c r="U1183" s="240"/>
      <c r="V1183" s="240"/>
      <c r="W1183" s="240"/>
      <c r="X1183" s="240"/>
      <c r="Y1183" s="240"/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240"/>
      <c r="AM1183" s="240"/>
      <c r="AN1183" s="240"/>
      <c r="AO1183" s="240"/>
      <c r="AP1183" s="240"/>
      <c r="AQ1183" s="240"/>
      <c r="AR1183" s="240"/>
      <c r="AS1183" s="240"/>
      <c r="AT1183" s="240"/>
      <c r="AU1183" s="240"/>
      <c r="AV1183" s="240"/>
      <c r="AW1183" s="240"/>
      <c r="AX1183" s="240"/>
      <c r="AY1183" s="240"/>
      <c r="AZ1183" s="240"/>
      <c r="BA1183" s="240"/>
      <c r="BB1183" s="240"/>
      <c r="BC1183" s="240"/>
      <c r="BD1183" s="240"/>
      <c r="BE1183" s="240"/>
      <c r="BF1183" s="240"/>
      <c r="BG1183" s="240"/>
      <c r="BH1183" s="240"/>
      <c r="BI1183" s="240"/>
      <c r="BJ1183" s="240"/>
      <c r="BK1183" s="240"/>
      <c r="BL1183" s="240"/>
      <c r="BM1183" s="240"/>
      <c r="BN1183" s="240"/>
      <c r="BO1183" s="240"/>
      <c r="BP1183" s="240"/>
      <c r="BQ1183" s="240"/>
      <c r="BR1183" s="240"/>
      <c r="BS1183" s="240"/>
      <c r="BT1183" s="240"/>
      <c r="BU1183" s="240"/>
      <c r="BV1183" s="240"/>
      <c r="BW1183" s="240"/>
      <c r="BX1183" s="240"/>
      <c r="BY1183" s="240"/>
      <c r="BZ1183" s="240"/>
      <c r="CA1183" s="240"/>
      <c r="CB1183" s="240"/>
      <c r="CC1183" s="240"/>
      <c r="CD1183" s="240"/>
      <c r="CE1183" s="240"/>
      <c r="CF1183" s="240"/>
      <c r="CG1183" s="240"/>
      <c r="CH1183" s="240"/>
      <c r="CI1183" s="240"/>
      <c r="CJ1183" s="240"/>
      <c r="CK1183" s="240"/>
      <c r="CL1183" s="240"/>
      <c r="CM1183" s="240"/>
      <c r="CN1183" s="240"/>
      <c r="CO1183" s="240"/>
      <c r="CP1183" s="240"/>
      <c r="CQ1183" s="240"/>
      <c r="CR1183" s="240"/>
      <c r="CS1183" s="240"/>
      <c r="CT1183" s="240"/>
      <c r="CU1183" s="240"/>
      <c r="CV1183" s="240"/>
      <c r="CW1183" s="240"/>
      <c r="CX1183" s="240"/>
      <c r="CY1183" s="240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1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345"/>
      <c r="EM1183" s="245"/>
      <c r="EN1183" s="245"/>
      <c r="EO1183" s="245"/>
      <c r="EP1183" s="245"/>
      <c r="EQ1183" s="351"/>
    </row>
    <row r="1184" spans="2:147" s="243" customFormat="1" ht="11.25" hidden="1" customHeight="1">
      <c r="B1184" s="343"/>
      <c r="C1184" s="240"/>
      <c r="D1184" s="240"/>
      <c r="E1184" s="240"/>
      <c r="F1184" s="240"/>
      <c r="G1184" s="240"/>
      <c r="H1184" s="240"/>
      <c r="I1184" s="240"/>
      <c r="J1184" s="240" t="s">
        <v>679</v>
      </c>
      <c r="K1184" s="240"/>
      <c r="L1184" s="240"/>
      <c r="M1184" s="240"/>
      <c r="N1184" s="240" t="s">
        <v>680</v>
      </c>
      <c r="O1184" s="240"/>
      <c r="P1184" s="240"/>
      <c r="Q1184" s="240" t="s">
        <v>132</v>
      </c>
      <c r="R1184" s="240"/>
      <c r="S1184" s="240" t="e">
        <f>TEXT(TRUNC(EP1179,0),"#,##0")</f>
        <v>#REF!</v>
      </c>
      <c r="T1184" s="240"/>
      <c r="U1184" s="240"/>
      <c r="V1184" s="240"/>
      <c r="W1184" s="240"/>
      <c r="X1184" s="240"/>
      <c r="Y1184" s="240"/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240"/>
      <c r="AM1184" s="240"/>
      <c r="AN1184" s="240"/>
      <c r="AO1184" s="240"/>
      <c r="AP1184" s="240"/>
      <c r="AQ1184" s="240"/>
      <c r="AR1184" s="240"/>
      <c r="AS1184" s="240"/>
      <c r="AT1184" s="240"/>
      <c r="AU1184" s="240"/>
      <c r="AV1184" s="240"/>
      <c r="AW1184" s="240"/>
      <c r="AX1184" s="240"/>
      <c r="AY1184" s="240"/>
      <c r="AZ1184" s="240"/>
      <c r="BA1184" s="240"/>
      <c r="BB1184" s="240"/>
      <c r="BC1184" s="240"/>
      <c r="BD1184" s="240"/>
      <c r="BE1184" s="240"/>
      <c r="BF1184" s="240"/>
      <c r="BG1184" s="240"/>
      <c r="BH1184" s="240"/>
      <c r="BI1184" s="240"/>
      <c r="BJ1184" s="240"/>
      <c r="BK1184" s="240"/>
      <c r="BL1184" s="240"/>
      <c r="BM1184" s="240"/>
      <c r="BN1184" s="240"/>
      <c r="BO1184" s="240"/>
      <c r="BP1184" s="240"/>
      <c r="BQ1184" s="240"/>
      <c r="BR1184" s="240"/>
      <c r="BS1184" s="240"/>
      <c r="BT1184" s="240"/>
      <c r="BU1184" s="240"/>
      <c r="BV1184" s="240"/>
      <c r="BW1184" s="240"/>
      <c r="BX1184" s="240"/>
      <c r="BY1184" s="240"/>
      <c r="BZ1184" s="240"/>
      <c r="CA1184" s="240"/>
      <c r="CB1184" s="240"/>
      <c r="CC1184" s="240"/>
      <c r="CD1184" s="240"/>
      <c r="CE1184" s="240"/>
      <c r="CF1184" s="240"/>
      <c r="CG1184" s="240"/>
      <c r="CH1184" s="240"/>
      <c r="CI1184" s="240"/>
      <c r="CJ1184" s="240"/>
      <c r="CK1184" s="240"/>
      <c r="CL1184" s="240"/>
      <c r="CM1184" s="240"/>
      <c r="CN1184" s="240"/>
      <c r="CO1184" s="240"/>
      <c r="CP1184" s="240"/>
      <c r="CQ1184" s="240"/>
      <c r="CR1184" s="240"/>
      <c r="CS1184" s="240"/>
      <c r="CT1184" s="240"/>
      <c r="CU1184" s="240"/>
      <c r="CV1184" s="240"/>
      <c r="CW1184" s="240"/>
      <c r="CX1184" s="240"/>
      <c r="CY1184" s="240"/>
      <c r="CZ1184" s="241"/>
      <c r="DA1184" s="241"/>
      <c r="DB1184" s="241"/>
      <c r="DC1184" s="241"/>
      <c r="DD1184" s="241"/>
      <c r="DE1184" s="241"/>
      <c r="DF1184" s="241"/>
      <c r="DG1184" s="241"/>
      <c r="DH1184" s="241"/>
      <c r="DI1184" s="241"/>
      <c r="DJ1184" s="241"/>
      <c r="DK1184" s="241"/>
      <c r="DL1184" s="241"/>
      <c r="DM1184" s="241"/>
      <c r="DN1184" s="241"/>
      <c r="DO1184" s="241"/>
      <c r="DP1184" s="241"/>
      <c r="DQ1184" s="241"/>
      <c r="DR1184" s="241"/>
      <c r="DS1184" s="241"/>
      <c r="DT1184" s="241"/>
      <c r="DU1184" s="241"/>
      <c r="DV1184" s="241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345"/>
      <c r="EM1184" s="245"/>
      <c r="EN1184" s="245"/>
      <c r="EO1184" s="245"/>
      <c r="EP1184" s="245"/>
      <c r="EQ1184" s="351"/>
    </row>
    <row r="1185" spans="1:149" s="243" customFormat="1" ht="11.25" hidden="1" customHeight="1">
      <c r="B1185" s="343"/>
      <c r="C1185" s="240"/>
      <c r="D1185" s="240"/>
      <c r="E1185" s="240"/>
      <c r="F1185" s="240"/>
      <c r="G1185" s="240"/>
      <c r="H1185" s="240"/>
      <c r="I1185" s="240"/>
      <c r="J1185" s="240"/>
      <c r="K1185" s="240"/>
      <c r="L1185" s="240" t="s">
        <v>96</v>
      </c>
      <c r="M1185" s="240"/>
      <c r="N1185" s="240"/>
      <c r="O1185" s="240"/>
      <c r="P1185" s="240"/>
      <c r="Q1185" s="240" t="s">
        <v>132</v>
      </c>
      <c r="R1185" s="240"/>
      <c r="S1185" s="240" t="e">
        <f>TEXT(S1182+S1183+S1184,"#,##0")</f>
        <v>#REF!</v>
      </c>
      <c r="U1185" s="240"/>
      <c r="V1185" s="240"/>
      <c r="W1185" s="240"/>
      <c r="X1185" s="240"/>
      <c r="Y1185" s="240"/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240"/>
      <c r="AM1185" s="240"/>
      <c r="AN1185" s="240"/>
      <c r="AO1185" s="240"/>
      <c r="AP1185" s="240"/>
      <c r="AQ1185" s="240"/>
      <c r="AR1185" s="240"/>
      <c r="AS1185" s="240"/>
      <c r="AT1185" s="240"/>
      <c r="AU1185" s="240"/>
      <c r="AV1185" s="240"/>
      <c r="AW1185" s="240"/>
      <c r="AX1185" s="240"/>
      <c r="AY1185" s="240"/>
      <c r="AZ1185" s="240"/>
      <c r="BA1185" s="240"/>
      <c r="BB1185" s="240"/>
      <c r="BC1185" s="240"/>
      <c r="BD1185" s="240"/>
      <c r="BE1185" s="240"/>
      <c r="BF1185" s="240"/>
      <c r="BG1185" s="240"/>
      <c r="BH1185" s="240"/>
      <c r="BI1185" s="240"/>
      <c r="BJ1185" s="240"/>
      <c r="BK1185" s="240"/>
      <c r="BL1185" s="240"/>
      <c r="BM1185" s="240"/>
      <c r="BN1185" s="240"/>
      <c r="BO1185" s="240"/>
      <c r="BP1185" s="240"/>
      <c r="BQ1185" s="240"/>
      <c r="BR1185" s="240"/>
      <c r="BS1185" s="240"/>
      <c r="BT1185" s="240"/>
      <c r="BU1185" s="240"/>
      <c r="BV1185" s="240"/>
      <c r="BW1185" s="240"/>
      <c r="BX1185" s="240"/>
      <c r="BY1185" s="240"/>
      <c r="BZ1185" s="240"/>
      <c r="CA1185" s="240"/>
      <c r="CB1185" s="240"/>
      <c r="CC1185" s="240"/>
      <c r="CD1185" s="240"/>
      <c r="CE1185" s="240"/>
      <c r="CF1185" s="240"/>
      <c r="CG1185" s="240"/>
      <c r="CH1185" s="240"/>
      <c r="CI1185" s="240"/>
      <c r="CJ1185" s="240"/>
      <c r="CK1185" s="240"/>
      <c r="CL1185" s="240"/>
      <c r="CM1185" s="240"/>
      <c r="CN1185" s="240"/>
      <c r="CO1185" s="240"/>
      <c r="CP1185" s="240"/>
      <c r="CQ1185" s="240"/>
      <c r="CR1185" s="240"/>
      <c r="CS1185" s="240"/>
      <c r="CT1185" s="240"/>
      <c r="CU1185" s="240"/>
      <c r="CV1185" s="240"/>
      <c r="CW1185" s="240"/>
      <c r="CX1185" s="240"/>
      <c r="CY1185" s="240"/>
      <c r="CZ1185" s="241"/>
      <c r="DA1185" s="241"/>
      <c r="DB1185" s="241"/>
      <c r="DC1185" s="241"/>
      <c r="DD1185" s="241"/>
      <c r="DE1185" s="241"/>
      <c r="DF1185" s="241"/>
      <c r="DG1185" s="241"/>
      <c r="DH1185" s="241"/>
      <c r="DI1185" s="241"/>
      <c r="DJ1185" s="241"/>
      <c r="DK1185" s="241"/>
      <c r="DL1185" s="241"/>
      <c r="DM1185" s="241"/>
      <c r="DN1185" s="241"/>
      <c r="DO1185" s="241"/>
      <c r="DP1185" s="241"/>
      <c r="DQ1185" s="241"/>
      <c r="DR1185" s="241"/>
      <c r="DS1185" s="241"/>
      <c r="DT1185" s="241"/>
      <c r="DU1185" s="241"/>
      <c r="DV1185" s="241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345"/>
      <c r="EM1185" s="250" t="e">
        <f>EN1185+EO1185+EP1185</f>
        <v>#REF!</v>
      </c>
      <c r="EN1185" s="245" t="e">
        <f>TEXT(S1182,"#,##0")</f>
        <v>#REF!</v>
      </c>
      <c r="EO1185" s="245" t="e">
        <f>TEXT(S1183,"#,##0")</f>
        <v>#REF!</v>
      </c>
      <c r="EP1185" s="245" t="e">
        <f>TEXT(S1184,"#,##0")</f>
        <v>#REF!</v>
      </c>
      <c r="EQ1185" s="351"/>
    </row>
    <row r="1186" spans="1:149" s="243" customFormat="1" ht="11.25" hidden="1" customHeight="1">
      <c r="B1186" s="350"/>
      <c r="C1186" s="247"/>
      <c r="D1186" s="247"/>
      <c r="E1186" s="247"/>
      <c r="F1186" s="247"/>
      <c r="G1186" s="247"/>
      <c r="H1186" s="247"/>
      <c r="I1186" s="247"/>
      <c r="J1186" s="247"/>
      <c r="K1186" s="247"/>
      <c r="L1186" s="247"/>
      <c r="M1186" s="247"/>
      <c r="N1186" s="247"/>
      <c r="O1186" s="247"/>
      <c r="P1186" s="247"/>
      <c r="Q1186" s="247"/>
      <c r="R1186" s="247"/>
      <c r="S1186" s="247"/>
      <c r="T1186" s="247"/>
      <c r="U1186" s="247"/>
      <c r="V1186" s="247"/>
      <c r="W1186" s="247"/>
      <c r="X1186" s="247"/>
      <c r="Y1186" s="247"/>
      <c r="Z1186" s="247"/>
      <c r="AA1186" s="247"/>
      <c r="AB1186" s="247"/>
      <c r="AC1186" s="247"/>
      <c r="AD1186" s="247"/>
      <c r="AE1186" s="247"/>
      <c r="AF1186" s="247"/>
      <c r="AG1186" s="247"/>
      <c r="AH1186" s="247"/>
      <c r="AI1186" s="247"/>
      <c r="AJ1186" s="247"/>
      <c r="AK1186" s="247"/>
      <c r="AL1186" s="247"/>
      <c r="AM1186" s="247"/>
      <c r="AN1186" s="247"/>
      <c r="AO1186" s="247"/>
      <c r="AP1186" s="247"/>
      <c r="AQ1186" s="247"/>
      <c r="AR1186" s="247"/>
      <c r="AS1186" s="247"/>
      <c r="AT1186" s="247"/>
      <c r="AU1186" s="247"/>
      <c r="AV1186" s="247"/>
      <c r="AW1186" s="247"/>
      <c r="AX1186" s="247"/>
      <c r="AY1186" s="247"/>
      <c r="AZ1186" s="247"/>
      <c r="BA1186" s="247"/>
      <c r="BB1186" s="247"/>
      <c r="BC1186" s="247"/>
      <c r="BD1186" s="247"/>
      <c r="BE1186" s="247"/>
      <c r="BF1186" s="247"/>
      <c r="BG1186" s="247"/>
      <c r="BH1186" s="247"/>
      <c r="BI1186" s="247"/>
      <c r="BJ1186" s="247"/>
      <c r="BK1186" s="247"/>
      <c r="BL1186" s="247"/>
      <c r="BM1186" s="247"/>
      <c r="BN1186" s="247"/>
      <c r="BO1186" s="247"/>
      <c r="BP1186" s="247"/>
      <c r="BQ1186" s="247"/>
      <c r="BR1186" s="247"/>
      <c r="BS1186" s="247"/>
      <c r="BT1186" s="247"/>
      <c r="BU1186" s="247"/>
      <c r="BV1186" s="247"/>
      <c r="BW1186" s="247"/>
      <c r="BX1186" s="247"/>
      <c r="BY1186" s="247"/>
      <c r="BZ1186" s="247"/>
      <c r="CA1186" s="247"/>
      <c r="CB1186" s="247"/>
      <c r="CC1186" s="247"/>
      <c r="CD1186" s="247"/>
      <c r="CE1186" s="247"/>
      <c r="CF1186" s="247"/>
      <c r="CG1186" s="247"/>
      <c r="CH1186" s="247"/>
      <c r="CI1186" s="247"/>
      <c r="CJ1186" s="247"/>
      <c r="CK1186" s="247"/>
      <c r="CL1186" s="247"/>
      <c r="CM1186" s="247"/>
      <c r="CN1186" s="247"/>
      <c r="CO1186" s="247"/>
      <c r="CP1186" s="247"/>
      <c r="CQ1186" s="247"/>
      <c r="CR1186" s="247"/>
      <c r="CS1186" s="247"/>
      <c r="CT1186" s="247"/>
      <c r="CU1186" s="247"/>
      <c r="CV1186" s="247"/>
      <c r="CW1186" s="247"/>
      <c r="CX1186" s="247"/>
      <c r="CY1186" s="247"/>
      <c r="CZ1186" s="248"/>
      <c r="DA1186" s="248"/>
      <c r="DB1186" s="248"/>
      <c r="DC1186" s="248"/>
      <c r="DD1186" s="248"/>
      <c r="DE1186" s="248"/>
      <c r="DF1186" s="248"/>
      <c r="DG1186" s="248"/>
      <c r="DH1186" s="248"/>
      <c r="DI1186" s="248"/>
      <c r="DJ1186" s="248"/>
      <c r="DK1186" s="248"/>
      <c r="DL1186" s="248"/>
      <c r="DM1186" s="248"/>
      <c r="DN1186" s="248"/>
      <c r="DO1186" s="248"/>
      <c r="DP1186" s="248"/>
      <c r="DQ1186" s="248"/>
      <c r="DR1186" s="248"/>
      <c r="DS1186" s="248"/>
      <c r="DT1186" s="248"/>
      <c r="DU1186" s="248"/>
      <c r="DV1186" s="248"/>
      <c r="DW1186" s="248"/>
      <c r="DX1186" s="248"/>
      <c r="DY1186" s="248"/>
      <c r="DZ1186" s="248"/>
      <c r="EA1186" s="248"/>
      <c r="EB1186" s="248"/>
      <c r="EC1186" s="248"/>
      <c r="ED1186" s="248"/>
      <c r="EE1186" s="248"/>
      <c r="EF1186" s="248"/>
      <c r="EG1186" s="248"/>
      <c r="EH1186" s="248"/>
      <c r="EI1186" s="248"/>
      <c r="EJ1186" s="248"/>
      <c r="EK1186" s="248"/>
      <c r="EL1186" s="357"/>
      <c r="EM1186" s="249"/>
      <c r="EN1186" s="249"/>
      <c r="EO1186" s="249"/>
      <c r="EP1186" s="249"/>
      <c r="EQ1186" s="352"/>
    </row>
    <row r="1187" spans="1:149" s="243" customFormat="1" ht="11.25" hidden="1" customHeight="1">
      <c r="B1187" s="355"/>
      <c r="C1187" s="265"/>
      <c r="D1187" s="265"/>
      <c r="E1187" s="265"/>
      <c r="F1187" s="265"/>
      <c r="G1187" s="265"/>
      <c r="H1187" s="265"/>
      <c r="I1187" s="265"/>
      <c r="J1187" s="265"/>
      <c r="K1187" s="265"/>
      <c r="L1187" s="265"/>
      <c r="M1187" s="265"/>
      <c r="N1187" s="265"/>
      <c r="O1187" s="265"/>
      <c r="P1187" s="265"/>
      <c r="Q1187" s="265"/>
      <c r="R1187" s="265"/>
      <c r="S1187" s="265"/>
      <c r="T1187" s="265"/>
      <c r="U1187" s="265"/>
      <c r="V1187" s="265"/>
      <c r="W1187" s="265"/>
      <c r="X1187" s="265"/>
      <c r="Y1187" s="265"/>
      <c r="Z1187" s="265"/>
      <c r="AA1187" s="265"/>
      <c r="AB1187" s="265"/>
      <c r="AC1187" s="265"/>
      <c r="AD1187" s="265"/>
      <c r="AE1187" s="265"/>
      <c r="AF1187" s="265"/>
      <c r="AG1187" s="265"/>
      <c r="AH1187" s="265"/>
      <c r="AI1187" s="265"/>
      <c r="AJ1187" s="265"/>
      <c r="AK1187" s="265"/>
      <c r="AL1187" s="265"/>
      <c r="AM1187" s="265"/>
      <c r="AN1187" s="265"/>
      <c r="AO1187" s="265"/>
      <c r="AP1187" s="265"/>
      <c r="AQ1187" s="265"/>
      <c r="AR1187" s="265"/>
      <c r="AS1187" s="265"/>
      <c r="AT1187" s="265"/>
      <c r="AU1187" s="265"/>
      <c r="AV1187" s="265"/>
      <c r="AW1187" s="265"/>
      <c r="AX1187" s="265"/>
      <c r="AY1187" s="265"/>
      <c r="AZ1187" s="265"/>
      <c r="BA1187" s="265"/>
      <c r="BB1187" s="265"/>
      <c r="BC1187" s="265"/>
      <c r="BD1187" s="265"/>
      <c r="BE1187" s="265"/>
      <c r="BF1187" s="265"/>
      <c r="BG1187" s="265"/>
      <c r="BH1187" s="265"/>
      <c r="BI1187" s="265"/>
      <c r="BJ1187" s="265"/>
      <c r="BK1187" s="265"/>
      <c r="BL1187" s="265"/>
      <c r="BM1187" s="265"/>
      <c r="BN1187" s="265"/>
      <c r="BO1187" s="265"/>
      <c r="BP1187" s="265"/>
      <c r="BQ1187" s="265"/>
      <c r="BR1187" s="265"/>
      <c r="BS1187" s="265"/>
      <c r="BT1187" s="265"/>
      <c r="BU1187" s="265"/>
      <c r="BV1187" s="265"/>
      <c r="BW1187" s="265"/>
      <c r="BX1187" s="265"/>
      <c r="BY1187" s="265"/>
      <c r="BZ1187" s="265"/>
      <c r="CA1187" s="265"/>
      <c r="CB1187" s="265"/>
      <c r="CC1187" s="265"/>
      <c r="CD1187" s="265"/>
      <c r="CE1187" s="265"/>
      <c r="CF1187" s="265"/>
      <c r="CG1187" s="265"/>
      <c r="CH1187" s="265"/>
      <c r="CI1187" s="265"/>
      <c r="CJ1187" s="265"/>
      <c r="CK1187" s="265"/>
      <c r="CL1187" s="265"/>
      <c r="CM1187" s="265"/>
      <c r="CN1187" s="265"/>
      <c r="CO1187" s="265"/>
      <c r="CP1187" s="265"/>
      <c r="CQ1187" s="265"/>
      <c r="CR1187" s="265"/>
      <c r="CS1187" s="265"/>
      <c r="CT1187" s="265"/>
      <c r="CU1187" s="265"/>
      <c r="CV1187" s="265"/>
      <c r="CW1187" s="265"/>
      <c r="CX1187" s="265"/>
      <c r="CY1187" s="265"/>
      <c r="CZ1187" s="314"/>
      <c r="DA1187" s="314"/>
      <c r="DB1187" s="314"/>
      <c r="DC1187" s="314"/>
      <c r="DD1187" s="314"/>
      <c r="DE1187" s="314"/>
      <c r="DF1187" s="314"/>
      <c r="DG1187" s="314"/>
      <c r="DH1187" s="314"/>
      <c r="DI1187" s="314"/>
      <c r="DJ1187" s="314"/>
      <c r="DK1187" s="314"/>
      <c r="DL1187" s="314"/>
      <c r="DM1187" s="314"/>
      <c r="DN1187" s="314"/>
      <c r="DO1187" s="314"/>
      <c r="DP1187" s="314"/>
      <c r="DQ1187" s="314"/>
      <c r="DR1187" s="314"/>
      <c r="DS1187" s="314"/>
      <c r="DT1187" s="314"/>
      <c r="DU1187" s="314"/>
      <c r="DV1187" s="314"/>
      <c r="DW1187" s="314"/>
      <c r="DX1187" s="314"/>
      <c r="DY1187" s="314"/>
      <c r="DZ1187" s="314"/>
      <c r="EA1187" s="314"/>
      <c r="EB1187" s="314"/>
      <c r="EC1187" s="314"/>
      <c r="ED1187" s="314"/>
      <c r="EE1187" s="314"/>
      <c r="EF1187" s="314"/>
      <c r="EG1187" s="314"/>
      <c r="EH1187" s="314"/>
      <c r="EI1187" s="314"/>
      <c r="EJ1187" s="314"/>
      <c r="EK1187" s="314"/>
      <c r="EL1187" s="356"/>
      <c r="EM1187" s="269"/>
      <c r="EN1187" s="269"/>
      <c r="EO1187" s="269"/>
      <c r="EP1187" s="269"/>
      <c r="EQ1187" s="358"/>
    </row>
    <row r="1188" spans="1:149" s="243" customFormat="1" ht="11.25" hidden="1" customHeight="1">
      <c r="A1188" s="243">
        <v>27</v>
      </c>
      <c r="B1188" s="1782">
        <f>A1188</f>
        <v>27</v>
      </c>
      <c r="C1188" s="1781"/>
      <c r="D1188" s="1781"/>
      <c r="E1188" s="344" t="s">
        <v>1236</v>
      </c>
      <c r="F1188" s="240"/>
      <c r="G1188" s="240"/>
      <c r="H1188" s="240"/>
      <c r="I1188" s="240"/>
      <c r="J1188" s="240"/>
      <c r="K1188" s="240"/>
      <c r="L1188" s="240"/>
      <c r="M1188" s="240"/>
      <c r="N1188" s="240"/>
      <c r="O1188" s="240"/>
      <c r="P1188" s="240"/>
      <c r="Q1188" s="240"/>
      <c r="R1188" s="240"/>
      <c r="S1188" s="240"/>
      <c r="T1188" s="240"/>
      <c r="U1188" s="240"/>
      <c r="V1188" s="240"/>
      <c r="W1188" s="240"/>
      <c r="X1188" s="240"/>
      <c r="Y1188" s="240"/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240"/>
      <c r="AM1188" s="240"/>
      <c r="AN1188" s="240"/>
      <c r="AO1188" s="240"/>
      <c r="AP1188" s="240"/>
      <c r="AQ1188" s="240"/>
      <c r="AR1188" s="240"/>
      <c r="AS1188" s="240"/>
      <c r="AT1188" s="240"/>
      <c r="AU1188" s="240"/>
      <c r="AV1188" s="240"/>
      <c r="AW1188" s="240"/>
      <c r="AX1188" s="240"/>
      <c r="AY1188" s="240"/>
      <c r="AZ1188" s="240"/>
      <c r="BA1188" s="240"/>
      <c r="BB1188" s="240"/>
      <c r="BC1188" s="240"/>
      <c r="BD1188" s="240"/>
      <c r="BE1188" s="240"/>
      <c r="BF1188" s="240"/>
      <c r="BG1188" s="240"/>
      <c r="BH1188" s="240"/>
      <c r="BI1188" s="240"/>
      <c r="BJ1188" s="240"/>
      <c r="BK1188" s="240"/>
      <c r="BL1188" s="240"/>
      <c r="BM1188" s="240"/>
      <c r="BN1188" s="240"/>
      <c r="BO1188" s="240"/>
      <c r="BP1188" s="240"/>
      <c r="BQ1188" s="240"/>
      <c r="BR1188" s="240"/>
      <c r="BS1188" s="240"/>
      <c r="BT1188" s="240"/>
      <c r="BU1188" s="240"/>
      <c r="BV1188" s="240"/>
      <c r="BW1188" s="240"/>
      <c r="BX1188" s="240"/>
      <c r="BY1188" s="240"/>
      <c r="BZ1188" s="240"/>
      <c r="CA1188" s="240"/>
      <c r="CB1188" s="240"/>
      <c r="CC1188" s="240"/>
      <c r="CD1188" s="240"/>
      <c r="CE1188" s="240"/>
      <c r="CF1188" s="240"/>
      <c r="CG1188" s="240"/>
      <c r="CH1188" s="240"/>
      <c r="CI1188" s="240"/>
      <c r="CJ1188" s="240"/>
      <c r="CK1188" s="240"/>
      <c r="CL1188" s="240"/>
      <c r="CM1188" s="240"/>
      <c r="CN1188" s="240"/>
      <c r="CO1188" s="240"/>
      <c r="CP1188" s="240"/>
      <c r="CQ1188" s="240"/>
      <c r="CR1188" s="240"/>
      <c r="CS1188" s="240"/>
      <c r="CT1188" s="240"/>
      <c r="CU1188" s="240"/>
      <c r="CV1188" s="240"/>
      <c r="CW1188" s="240"/>
      <c r="CX1188" s="240"/>
      <c r="CY1188" s="240"/>
      <c r="CZ1188" s="241"/>
      <c r="DA1188" s="241"/>
      <c r="DB1188" s="241"/>
      <c r="DC1188" s="241"/>
      <c r="DD1188" s="241"/>
      <c r="DE1188" s="241"/>
      <c r="DF1188" s="241"/>
      <c r="DG1188" s="241"/>
      <c r="DH1188" s="241"/>
      <c r="DI1188" s="241"/>
      <c r="DJ1188" s="241"/>
      <c r="DK1188" s="241"/>
      <c r="DL1188" s="241"/>
      <c r="DM1188" s="241"/>
      <c r="DN1188" s="241"/>
      <c r="DO1188" s="241"/>
      <c r="DP1188" s="241"/>
      <c r="DQ1188" s="241"/>
      <c r="DR1188" s="241"/>
      <c r="DS1188" s="241"/>
      <c r="DT1188" s="241"/>
      <c r="DU1188" s="241"/>
      <c r="DV1188" s="241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345"/>
      <c r="EM1188" s="242" t="e">
        <f>EM1234</f>
        <v>#REF!</v>
      </c>
      <c r="EN1188" s="242" t="e">
        <f>EN1234</f>
        <v>#REF!</v>
      </c>
      <c r="EO1188" s="242" t="e">
        <f>EO1234</f>
        <v>#REF!</v>
      </c>
      <c r="EP1188" s="242" t="e">
        <f>EP1234</f>
        <v>#REF!</v>
      </c>
      <c r="EQ1188" s="312" t="s">
        <v>907</v>
      </c>
      <c r="ES1188" s="800">
        <f>A1188</f>
        <v>27</v>
      </c>
    </row>
    <row r="1189" spans="1:149" s="243" customFormat="1" ht="11.25" hidden="1" customHeight="1">
      <c r="B1189" s="343"/>
      <c r="C1189" s="240"/>
      <c r="D1189" s="240"/>
      <c r="E1189" s="240"/>
      <c r="F1189" s="240"/>
      <c r="G1189" s="240"/>
      <c r="H1189" s="240"/>
      <c r="I1189" s="240"/>
      <c r="J1189" s="240"/>
      <c r="K1189" s="240"/>
      <c r="L1189" s="240"/>
      <c r="M1189" s="240"/>
      <c r="N1189" s="240"/>
      <c r="O1189" s="240"/>
      <c r="P1189" s="240"/>
      <c r="Q1189" s="240"/>
      <c r="R1189" s="240"/>
      <c r="S1189" s="240"/>
      <c r="T1189" s="240"/>
      <c r="U1189" s="240"/>
      <c r="V1189" s="240"/>
      <c r="W1189" s="240"/>
      <c r="X1189" s="240"/>
      <c r="Y1189" s="240"/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240"/>
      <c r="AM1189" s="240"/>
      <c r="AN1189" s="240"/>
      <c r="AO1189" s="240"/>
      <c r="AP1189" s="240"/>
      <c r="AQ1189" s="240"/>
      <c r="AR1189" s="240"/>
      <c r="AS1189" s="240"/>
      <c r="AT1189" s="240"/>
      <c r="AU1189" s="240"/>
      <c r="AV1189" s="240"/>
      <c r="AW1189" s="240"/>
      <c r="AX1189" s="240"/>
      <c r="AY1189" s="240"/>
      <c r="AZ1189" s="240"/>
      <c r="BA1189" s="240"/>
      <c r="BB1189" s="240"/>
      <c r="BC1189" s="240"/>
      <c r="BD1189" s="240"/>
      <c r="BE1189" s="240"/>
      <c r="BF1189" s="240"/>
      <c r="BG1189" s="240"/>
      <c r="BH1189" s="240"/>
      <c r="BI1189" s="240"/>
      <c r="BJ1189" s="240"/>
      <c r="BK1189" s="240"/>
      <c r="BL1189" s="240"/>
      <c r="BM1189" s="240"/>
      <c r="BN1189" s="240"/>
      <c r="BO1189" s="240"/>
      <c r="BP1189" s="240"/>
      <c r="BQ1189" s="240"/>
      <c r="BR1189" s="240"/>
      <c r="BS1189" s="240"/>
      <c r="BT1189" s="240"/>
      <c r="BU1189" s="240"/>
      <c r="BV1189" s="240"/>
      <c r="BW1189" s="240"/>
      <c r="BX1189" s="240"/>
      <c r="BY1189" s="240"/>
      <c r="BZ1189" s="240"/>
      <c r="CA1189" s="240"/>
      <c r="CB1189" s="240"/>
      <c r="CC1189" s="240"/>
      <c r="CD1189" s="240"/>
      <c r="CE1189" s="240"/>
      <c r="CF1189" s="240"/>
      <c r="CG1189" s="240"/>
      <c r="CH1189" s="240"/>
      <c r="CI1189" s="240"/>
      <c r="CJ1189" s="240"/>
      <c r="CK1189" s="240"/>
      <c r="CL1189" s="240"/>
      <c r="CM1189" s="240"/>
      <c r="CN1189" s="240"/>
      <c r="CO1189" s="240"/>
      <c r="CP1189" s="240"/>
      <c r="CQ1189" s="240"/>
      <c r="CR1189" s="240"/>
      <c r="CS1189" s="240"/>
      <c r="CT1189" s="240"/>
      <c r="CU1189" s="240"/>
      <c r="CV1189" s="240"/>
      <c r="CW1189" s="240"/>
      <c r="CX1189" s="240"/>
      <c r="CY1189" s="240"/>
      <c r="CZ1189" s="241"/>
      <c r="DA1189" s="241"/>
      <c r="DB1189" s="241"/>
      <c r="DC1189" s="241"/>
      <c r="DD1189" s="241"/>
      <c r="DE1189" s="241"/>
      <c r="DF1189" s="241"/>
      <c r="DG1189" s="241"/>
      <c r="DH1189" s="241"/>
      <c r="DI1189" s="241"/>
      <c r="DJ1189" s="241"/>
      <c r="DK1189" s="241"/>
      <c r="DL1189" s="241"/>
      <c r="DM1189" s="241"/>
      <c r="DN1189" s="241"/>
      <c r="DO1189" s="241"/>
      <c r="DP1189" s="241"/>
      <c r="DQ1189" s="241"/>
      <c r="DR1189" s="241"/>
      <c r="DS1189" s="241"/>
      <c r="DT1189" s="241"/>
      <c r="DU1189" s="241"/>
      <c r="DV1189" s="241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345"/>
      <c r="EM1189" s="245"/>
      <c r="EN1189" s="245"/>
      <c r="EO1189" s="245"/>
      <c r="EP1189" s="245"/>
      <c r="EQ1189" s="351"/>
    </row>
    <row r="1190" spans="1:149" s="243" customFormat="1" ht="11.25" hidden="1" customHeight="1">
      <c r="B1190" s="343"/>
      <c r="C1190" s="240"/>
      <c r="D1190" s="240"/>
      <c r="E1190" s="240" t="s">
        <v>681</v>
      </c>
      <c r="F1190" s="240"/>
      <c r="G1190" s="240"/>
      <c r="H1190" s="240" t="s">
        <v>555</v>
      </c>
      <c r="I1190" s="240"/>
      <c r="J1190" s="240"/>
      <c r="K1190" s="240"/>
      <c r="L1190" s="240" t="s">
        <v>859</v>
      </c>
      <c r="M1190" s="240"/>
      <c r="N1190" s="240"/>
      <c r="O1190" s="240" t="s">
        <v>860</v>
      </c>
      <c r="P1190" s="240"/>
      <c r="Q1190" s="240"/>
      <c r="R1190" s="240"/>
      <c r="S1190" s="240"/>
      <c r="T1190" s="240"/>
      <c r="U1190" s="240"/>
      <c r="V1190" s="240"/>
      <c r="W1190" s="240"/>
      <c r="X1190" s="240" t="s">
        <v>132</v>
      </c>
      <c r="Y1190" s="240"/>
      <c r="Z1190" s="240" t="s">
        <v>547</v>
      </c>
      <c r="AA1190" s="240"/>
      <c r="AB1190" s="240" t="s">
        <v>131</v>
      </c>
      <c r="AC1190" s="240" t="s">
        <v>545</v>
      </c>
      <c r="AD1190" s="240" t="s">
        <v>131</v>
      </c>
      <c r="AE1190" s="240" t="s">
        <v>540</v>
      </c>
      <c r="AF1190" s="240"/>
      <c r="AG1190" s="240" t="s">
        <v>861</v>
      </c>
      <c r="AH1190" s="240"/>
      <c r="AI1190" s="240"/>
      <c r="AJ1190" s="240"/>
      <c r="AK1190" s="240"/>
      <c r="AL1190" s="240"/>
      <c r="AM1190" s="240"/>
      <c r="AN1190" s="240"/>
      <c r="AO1190" s="240"/>
      <c r="AP1190" s="240"/>
      <c r="AQ1190" s="240"/>
      <c r="AR1190" s="240"/>
      <c r="AS1190" s="240"/>
      <c r="AT1190" s="240"/>
      <c r="AU1190" s="240"/>
      <c r="AV1190" s="240"/>
      <c r="AW1190" s="240"/>
      <c r="AX1190" s="240"/>
      <c r="AY1190" s="240"/>
      <c r="AZ1190" s="240"/>
      <c r="BA1190" s="240"/>
      <c r="BB1190" s="240"/>
      <c r="BC1190" s="240"/>
      <c r="BD1190" s="240"/>
      <c r="BE1190" s="240"/>
      <c r="BF1190" s="240"/>
      <c r="BG1190" s="240"/>
      <c r="BH1190" s="240"/>
      <c r="BI1190" s="240"/>
      <c r="BJ1190" s="240"/>
      <c r="BK1190" s="240"/>
      <c r="BL1190" s="240"/>
      <c r="BM1190" s="240"/>
      <c r="BN1190" s="240"/>
      <c r="BO1190" s="240"/>
      <c r="BP1190" s="240"/>
      <c r="BQ1190" s="240"/>
      <c r="BR1190" s="240"/>
      <c r="BS1190" s="240"/>
      <c r="BT1190" s="240"/>
      <c r="BU1190" s="240"/>
      <c r="BV1190" s="240"/>
      <c r="BW1190" s="240"/>
      <c r="BX1190" s="240"/>
      <c r="BY1190" s="240"/>
      <c r="BZ1190" s="240"/>
      <c r="CA1190" s="240"/>
      <c r="CB1190" s="240"/>
      <c r="CC1190" s="240"/>
      <c r="CD1190" s="240"/>
      <c r="CE1190" s="240"/>
      <c r="CF1190" s="240"/>
      <c r="CG1190" s="240"/>
      <c r="CH1190" s="240"/>
      <c r="CI1190" s="240"/>
      <c r="CJ1190" s="240"/>
      <c r="CK1190" s="240"/>
      <c r="CL1190" s="240"/>
      <c r="CM1190" s="240"/>
      <c r="CN1190" s="240"/>
      <c r="CO1190" s="240"/>
      <c r="CP1190" s="240"/>
      <c r="CQ1190" s="240"/>
      <c r="CR1190" s="240"/>
      <c r="CS1190" s="240"/>
      <c r="CT1190" s="240"/>
      <c r="CU1190" s="240"/>
      <c r="CV1190" s="240"/>
      <c r="CW1190" s="240"/>
      <c r="CX1190" s="240"/>
      <c r="CY1190" s="240"/>
      <c r="CZ1190" s="241"/>
      <c r="DA1190" s="241"/>
      <c r="DB1190" s="241"/>
      <c r="DC1190" s="241"/>
      <c r="DD1190" s="241"/>
      <c r="DE1190" s="241"/>
      <c r="DF1190" s="241"/>
      <c r="DG1190" s="241"/>
      <c r="DH1190" s="241"/>
      <c r="DI1190" s="241"/>
      <c r="DJ1190" s="241"/>
      <c r="DK1190" s="241"/>
      <c r="DL1190" s="241"/>
      <c r="DM1190" s="241"/>
      <c r="DN1190" s="241"/>
      <c r="DO1190" s="241"/>
      <c r="DP1190" s="241"/>
      <c r="DQ1190" s="241"/>
      <c r="DR1190" s="241"/>
      <c r="DS1190" s="241"/>
      <c r="DT1190" s="241"/>
      <c r="DU1190" s="241"/>
      <c r="DV1190" s="241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345"/>
      <c r="EM1190" s="245"/>
      <c r="EN1190" s="245"/>
      <c r="EO1190" s="245"/>
      <c r="EP1190" s="245"/>
      <c r="EQ1190" s="351"/>
    </row>
    <row r="1191" spans="1:149" s="243" customFormat="1" ht="11.25" hidden="1" customHeight="1">
      <c r="B1191" s="343"/>
      <c r="C1191" s="240"/>
      <c r="D1191" s="240"/>
      <c r="E1191" s="240"/>
      <c r="F1191" s="240"/>
      <c r="G1191" s="240"/>
      <c r="H1191" s="240"/>
      <c r="I1191" s="240"/>
      <c r="J1191" s="240"/>
      <c r="K1191" s="240"/>
      <c r="L1191" s="240"/>
      <c r="M1191" s="240"/>
      <c r="N1191" s="240"/>
      <c r="O1191" s="240"/>
      <c r="P1191" s="240"/>
      <c r="Q1191" s="240"/>
      <c r="R1191" s="240"/>
      <c r="S1191" s="240"/>
      <c r="T1191" s="240"/>
      <c r="U1191" s="240"/>
      <c r="V1191" s="240"/>
      <c r="W1191" s="240"/>
      <c r="X1191" s="240"/>
      <c r="Y1191" s="240"/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240"/>
      <c r="AM1191" s="240"/>
      <c r="AN1191" s="240"/>
      <c r="AO1191" s="240"/>
      <c r="AP1191" s="240"/>
      <c r="AQ1191" s="240"/>
      <c r="AR1191" s="240"/>
      <c r="AS1191" s="240"/>
      <c r="AT1191" s="240"/>
      <c r="AU1191" s="240"/>
      <c r="AV1191" s="240"/>
      <c r="AW1191" s="240"/>
      <c r="AX1191" s="240"/>
      <c r="AY1191" s="240"/>
      <c r="AZ1191" s="240"/>
      <c r="BA1191" s="240"/>
      <c r="BB1191" s="240"/>
      <c r="BC1191" s="240"/>
      <c r="BD1191" s="240"/>
      <c r="BE1191" s="240"/>
      <c r="BF1191" s="240"/>
      <c r="BG1191" s="240"/>
      <c r="BH1191" s="240"/>
      <c r="BI1191" s="240"/>
      <c r="BJ1191" s="240"/>
      <c r="BK1191" s="240"/>
      <c r="BL1191" s="240"/>
      <c r="BM1191" s="240"/>
      <c r="BN1191" s="240"/>
      <c r="BO1191" s="240"/>
      <c r="BP1191" s="240"/>
      <c r="BQ1191" s="240"/>
      <c r="BR1191" s="240"/>
      <c r="BS1191" s="240"/>
      <c r="BT1191" s="240"/>
      <c r="BU1191" s="240"/>
      <c r="BV1191" s="240"/>
      <c r="BW1191" s="240"/>
      <c r="BX1191" s="240"/>
      <c r="BY1191" s="240"/>
      <c r="BZ1191" s="240"/>
      <c r="CA1191" s="240"/>
      <c r="CB1191" s="240"/>
      <c r="CC1191" s="240"/>
      <c r="CD1191" s="240"/>
      <c r="CE1191" s="240"/>
      <c r="CF1191" s="240"/>
      <c r="CG1191" s="240"/>
      <c r="CH1191" s="240"/>
      <c r="CI1191" s="240"/>
      <c r="CJ1191" s="240"/>
      <c r="CK1191" s="240"/>
      <c r="CL1191" s="240"/>
      <c r="CM1191" s="240"/>
      <c r="CN1191" s="240"/>
      <c r="CO1191" s="240"/>
      <c r="CP1191" s="240"/>
      <c r="CQ1191" s="240"/>
      <c r="CR1191" s="240"/>
      <c r="CS1191" s="240"/>
      <c r="CT1191" s="240"/>
      <c r="CU1191" s="240"/>
      <c r="CV1191" s="240"/>
      <c r="CW1191" s="240"/>
      <c r="CX1191" s="240"/>
      <c r="CY1191" s="240"/>
      <c r="CZ1191" s="241"/>
      <c r="DA1191" s="241"/>
      <c r="DB1191" s="241"/>
      <c r="DC1191" s="241"/>
      <c r="DD1191" s="241"/>
      <c r="DE1191" s="241"/>
      <c r="DF1191" s="241"/>
      <c r="DG1191" s="241"/>
      <c r="DH1191" s="241"/>
      <c r="DI1191" s="241"/>
      <c r="DJ1191" s="241"/>
      <c r="DK1191" s="241"/>
      <c r="DL1191" s="241"/>
      <c r="DM1191" s="241"/>
      <c r="DN1191" s="241"/>
      <c r="DO1191" s="241"/>
      <c r="DP1191" s="241"/>
      <c r="DQ1191" s="241"/>
      <c r="DR1191" s="241"/>
      <c r="DS1191" s="241"/>
      <c r="DT1191" s="241"/>
      <c r="DU1191" s="241"/>
      <c r="DV1191" s="241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345"/>
      <c r="EM1191" s="245"/>
      <c r="EN1191" s="245"/>
      <c r="EO1191" s="245"/>
      <c r="EP1191" s="245"/>
      <c r="EQ1191" s="351"/>
    </row>
    <row r="1192" spans="1:149" s="243" customFormat="1" ht="11.25" hidden="1" customHeight="1">
      <c r="B1192" s="343"/>
      <c r="C1192" s="240"/>
      <c r="D1192" s="240"/>
      <c r="E1192" s="240"/>
      <c r="F1192" s="240"/>
      <c r="G1192" s="240"/>
      <c r="H1192" s="240" t="s">
        <v>862</v>
      </c>
      <c r="I1192" s="240"/>
      <c r="J1192" s="240"/>
      <c r="K1192" s="240"/>
      <c r="L1192" s="240"/>
      <c r="M1192" s="240"/>
      <c r="N1192" s="240"/>
      <c r="O1192" s="240"/>
      <c r="P1192" s="240"/>
      <c r="Q1192" s="240"/>
      <c r="R1192" s="240"/>
      <c r="S1192" s="240" t="s">
        <v>132</v>
      </c>
      <c r="T1192" s="240"/>
      <c r="U1192" s="240" t="s">
        <v>743</v>
      </c>
      <c r="V1192" s="240"/>
      <c r="W1192" s="240"/>
      <c r="X1192" s="240" t="s">
        <v>134</v>
      </c>
      <c r="Y1192" s="240"/>
      <c r="Z1192" s="240" t="str">
        <f>TEXT(900,"#,##0.#######")</f>
        <v>900.</v>
      </c>
      <c r="AA1192" s="240"/>
      <c r="AB1192" s="240"/>
      <c r="AC1192" s="240" t="s">
        <v>548</v>
      </c>
      <c r="AD1192" s="240"/>
      <c r="AE1192" s="240" t="s">
        <v>139</v>
      </c>
      <c r="AF1192" s="240" t="s">
        <v>724</v>
      </c>
      <c r="AG1192" s="240"/>
      <c r="AH1192" s="240"/>
      <c r="AI1192" s="240"/>
      <c r="AJ1192" s="240"/>
      <c r="AK1192" s="240"/>
      <c r="AL1192" s="240"/>
      <c r="AM1192" s="1776"/>
      <c r="AN1192" s="1776"/>
      <c r="AO1192" s="1776"/>
      <c r="AP1192" s="1776"/>
      <c r="AQ1192" s="240"/>
      <c r="AR1192" s="240"/>
      <c r="AS1192" s="240"/>
      <c r="AT1192" s="240"/>
      <c r="AU1192" s="240"/>
      <c r="AV1192" s="240"/>
      <c r="AW1192" s="240"/>
      <c r="AX1192" s="240"/>
      <c r="AY1192" s="240"/>
      <c r="AZ1192" s="240"/>
      <c r="BA1192" s="240"/>
      <c r="BB1192" s="240"/>
      <c r="BC1192" s="240"/>
      <c r="BD1192" s="240"/>
      <c r="BE1192" s="240"/>
      <c r="BF1192" s="240"/>
      <c r="BG1192" s="240"/>
      <c r="BH1192" s="240"/>
      <c r="BI1192" s="240"/>
      <c r="BJ1192" s="240"/>
      <c r="BK1192" s="240"/>
      <c r="BL1192" s="240"/>
      <c r="BM1192" s="240"/>
      <c r="BN1192" s="240"/>
      <c r="BO1192" s="240"/>
      <c r="BP1192" s="240"/>
      <c r="BQ1192" s="240"/>
      <c r="BR1192" s="240"/>
      <c r="BS1192" s="240"/>
      <c r="BT1192" s="240"/>
      <c r="BU1192" s="240"/>
      <c r="BV1192" s="240"/>
      <c r="BW1192" s="240"/>
      <c r="BX1192" s="240"/>
      <c r="BY1192" s="240"/>
      <c r="BZ1192" s="240"/>
      <c r="CA1192" s="240"/>
      <c r="CB1192" s="240"/>
      <c r="CC1192" s="240"/>
      <c r="CD1192" s="240"/>
      <c r="CE1192" s="240"/>
      <c r="CF1192" s="240"/>
      <c r="CG1192" s="240"/>
      <c r="CH1192" s="240"/>
      <c r="CI1192" s="240"/>
      <c r="CJ1192" s="240"/>
      <c r="CK1192" s="240"/>
      <c r="CL1192" s="240"/>
      <c r="CM1192" s="240"/>
      <c r="CN1192" s="240"/>
      <c r="CO1192" s="240"/>
      <c r="CP1192" s="240"/>
      <c r="CQ1192" s="240"/>
      <c r="CR1192" s="240"/>
      <c r="CS1192" s="240"/>
      <c r="CT1192" s="240"/>
      <c r="CU1192" s="240"/>
      <c r="CV1192" s="240"/>
      <c r="CW1192" s="240"/>
      <c r="CX1192" s="240"/>
      <c r="CY1192" s="240"/>
      <c r="CZ1192" s="241"/>
      <c r="DA1192" s="241"/>
      <c r="DB1192" s="241"/>
      <c r="DC1192" s="241"/>
      <c r="DD1192" s="241"/>
      <c r="DE1192" s="241"/>
      <c r="DF1192" s="241"/>
      <c r="DG1192" s="241"/>
      <c r="DH1192" s="241"/>
      <c r="DI1192" s="241"/>
      <c r="DJ1192" s="241"/>
      <c r="DK1192" s="241"/>
      <c r="DL1192" s="241"/>
      <c r="DM1192" s="241"/>
      <c r="DN1192" s="241"/>
      <c r="DO1192" s="241"/>
      <c r="DP1192" s="241"/>
      <c r="DQ1192" s="241"/>
      <c r="DR1192" s="241"/>
      <c r="DS1192" s="241"/>
      <c r="DT1192" s="241"/>
      <c r="DU1192" s="241"/>
      <c r="DV1192" s="241"/>
      <c r="DW1192" s="241"/>
      <c r="DX1192" s="241"/>
      <c r="DY1192" s="241"/>
      <c r="DZ1192" s="241"/>
      <c r="EA1192" s="241"/>
      <c r="EB1192" s="241"/>
      <c r="EC1192" s="241"/>
      <c r="ED1192" s="241"/>
      <c r="EE1192" s="241"/>
      <c r="EF1192" s="241"/>
      <c r="EG1192" s="241"/>
      <c r="EH1192" s="241"/>
      <c r="EI1192" s="241"/>
      <c r="EJ1192" s="241"/>
      <c r="EK1192" s="241"/>
      <c r="EL1192" s="345"/>
      <c r="EM1192" s="245"/>
      <c r="EN1192" s="245"/>
      <c r="EO1192" s="245"/>
      <c r="EP1192" s="245"/>
      <c r="EQ1192" s="351"/>
    </row>
    <row r="1193" spans="1:149" s="243" customFormat="1" ht="11.25" hidden="1" customHeight="1">
      <c r="B1193" s="343"/>
      <c r="C1193" s="240"/>
      <c r="D1193" s="240"/>
      <c r="E1193" s="240"/>
      <c r="F1193" s="240"/>
      <c r="G1193" s="240"/>
      <c r="H1193" s="240"/>
      <c r="I1193" s="240"/>
      <c r="J1193" s="240"/>
      <c r="K1193" s="240"/>
      <c r="L1193" s="240"/>
      <c r="M1193" s="240"/>
      <c r="N1193" s="240"/>
      <c r="O1193" s="240"/>
      <c r="P1193" s="240"/>
      <c r="Q1193" s="240"/>
      <c r="R1193" s="240"/>
      <c r="S1193" s="240"/>
      <c r="T1193" s="240"/>
      <c r="U1193" s="240"/>
      <c r="V1193" s="240"/>
      <c r="W1193" s="240"/>
      <c r="X1193" s="240"/>
      <c r="Y1193" s="240"/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240"/>
      <c r="AM1193" s="240"/>
      <c r="AN1193" s="240"/>
      <c r="AO1193" s="240"/>
      <c r="AP1193" s="240"/>
      <c r="AQ1193" s="240"/>
      <c r="AR1193" s="240"/>
      <c r="AS1193" s="240"/>
      <c r="AT1193" s="240"/>
      <c r="AU1193" s="240"/>
      <c r="AV1193" s="240"/>
      <c r="AW1193" s="240"/>
      <c r="AX1193" s="240"/>
      <c r="AY1193" s="240"/>
      <c r="AZ1193" s="240"/>
      <c r="BA1193" s="240"/>
      <c r="BB1193" s="240"/>
      <c r="BC1193" s="240"/>
      <c r="BD1193" s="240"/>
      <c r="BE1193" s="240"/>
      <c r="BF1193" s="240"/>
      <c r="BG1193" s="240"/>
      <c r="BH1193" s="240"/>
      <c r="BI1193" s="240"/>
      <c r="BJ1193" s="240"/>
      <c r="BK1193" s="240"/>
      <c r="BL1193" s="240"/>
      <c r="BM1193" s="240"/>
      <c r="BN1193" s="240"/>
      <c r="BO1193" s="240"/>
      <c r="BP1193" s="240"/>
      <c r="BQ1193" s="240"/>
      <c r="BR1193" s="240"/>
      <c r="BS1193" s="240"/>
      <c r="BT1193" s="240"/>
      <c r="BU1193" s="240"/>
      <c r="BV1193" s="240"/>
      <c r="BW1193" s="240"/>
      <c r="BX1193" s="240"/>
      <c r="BY1193" s="240"/>
      <c r="BZ1193" s="240"/>
      <c r="CA1193" s="240"/>
      <c r="CB1193" s="240"/>
      <c r="CC1193" s="240"/>
      <c r="CD1193" s="240"/>
      <c r="CE1193" s="240"/>
      <c r="CF1193" s="240"/>
      <c r="CG1193" s="240"/>
      <c r="CH1193" s="240"/>
      <c r="CI1193" s="240"/>
      <c r="CJ1193" s="240"/>
      <c r="CK1193" s="240"/>
      <c r="CL1193" s="240"/>
      <c r="CM1193" s="240"/>
      <c r="CN1193" s="240"/>
      <c r="CO1193" s="240"/>
      <c r="CP1193" s="240"/>
      <c r="CQ1193" s="240"/>
      <c r="CR1193" s="240"/>
      <c r="CS1193" s="240"/>
      <c r="CT1193" s="240"/>
      <c r="CU1193" s="240"/>
      <c r="CV1193" s="240"/>
      <c r="CW1193" s="240"/>
      <c r="CX1193" s="240"/>
      <c r="CY1193" s="240"/>
      <c r="CZ1193" s="241"/>
      <c r="DA1193" s="241"/>
      <c r="DB1193" s="241"/>
      <c r="DC1193" s="241"/>
      <c r="DD1193" s="241"/>
      <c r="DE1193" s="241"/>
      <c r="DF1193" s="241"/>
      <c r="DG1193" s="241"/>
      <c r="DH1193" s="241"/>
      <c r="DI1193" s="241"/>
      <c r="DJ1193" s="241"/>
      <c r="DK1193" s="241"/>
      <c r="DL1193" s="241"/>
      <c r="DM1193" s="241"/>
      <c r="DN1193" s="241"/>
      <c r="DO1193" s="241"/>
      <c r="DP1193" s="241"/>
      <c r="DQ1193" s="241"/>
      <c r="DR1193" s="241"/>
      <c r="DS1193" s="241"/>
      <c r="DT1193" s="241"/>
      <c r="DU1193" s="241"/>
      <c r="DV1193" s="241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345"/>
      <c r="EM1193" s="245"/>
      <c r="EN1193" s="245"/>
      <c r="EO1193" s="245"/>
      <c r="EP1193" s="245"/>
      <c r="EQ1193" s="351"/>
    </row>
    <row r="1194" spans="1:149" s="243" customFormat="1" ht="11.25" hidden="1" customHeight="1">
      <c r="B1194" s="343"/>
      <c r="C1194" s="240"/>
      <c r="D1194" s="240"/>
      <c r="E1194" s="240" t="s">
        <v>674</v>
      </c>
      <c r="F1194" s="240"/>
      <c r="G1194" s="240"/>
      <c r="H1194" s="240" t="s">
        <v>617</v>
      </c>
      <c r="I1194" s="240"/>
      <c r="J1194" s="240"/>
      <c r="K1194" s="240"/>
      <c r="L1194" s="240"/>
      <c r="M1194" s="240"/>
      <c r="N1194" s="240"/>
      <c r="O1194" s="240"/>
      <c r="P1194" s="240" t="s">
        <v>863</v>
      </c>
      <c r="Q1194" s="240"/>
      <c r="R1194" s="240"/>
      <c r="S1194" s="240"/>
      <c r="T1194" s="240"/>
      <c r="U1194" s="240"/>
      <c r="V1194" s="240"/>
      <c r="W1194" s="240"/>
      <c r="X1194" s="240"/>
      <c r="Y1194" s="240"/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240"/>
      <c r="AM1194" s="240"/>
      <c r="AN1194" s="240"/>
      <c r="AO1194" s="240"/>
      <c r="AP1194" s="240"/>
      <c r="AQ1194" s="240"/>
      <c r="AR1194" s="240"/>
      <c r="AS1194" s="240"/>
      <c r="AT1194" s="240"/>
      <c r="AU1194" s="240"/>
      <c r="AV1194" s="240"/>
      <c r="AW1194" s="240"/>
      <c r="AX1194" s="240"/>
      <c r="AY1194" s="240"/>
      <c r="AZ1194" s="240"/>
      <c r="BA1194" s="240"/>
      <c r="BB1194" s="240"/>
      <c r="BC1194" s="240"/>
      <c r="BD1194" s="240"/>
      <c r="BE1194" s="240"/>
      <c r="BF1194" s="240"/>
      <c r="BG1194" s="240"/>
      <c r="BH1194" s="240"/>
      <c r="BI1194" s="240"/>
      <c r="BJ1194" s="240"/>
      <c r="BK1194" s="240"/>
      <c r="BL1194" s="240"/>
      <c r="BM1194" s="240"/>
      <c r="BN1194" s="240"/>
      <c r="BO1194" s="240"/>
      <c r="BP1194" s="240"/>
      <c r="BQ1194" s="240"/>
      <c r="BR1194" s="240"/>
      <c r="BS1194" s="240"/>
      <c r="BT1194" s="240"/>
      <c r="BU1194" s="240"/>
      <c r="BV1194" s="240"/>
      <c r="BW1194" s="240"/>
      <c r="BX1194" s="240"/>
      <c r="BY1194" s="240"/>
      <c r="BZ1194" s="240"/>
      <c r="CA1194" s="240"/>
      <c r="CB1194" s="240"/>
      <c r="CC1194" s="240"/>
      <c r="CD1194" s="240"/>
      <c r="CE1194" s="240"/>
      <c r="CF1194" s="240"/>
      <c r="CG1194" s="240"/>
      <c r="CH1194" s="240"/>
      <c r="CI1194" s="240"/>
      <c r="CJ1194" s="240"/>
      <c r="CK1194" s="240"/>
      <c r="CL1194" s="240"/>
      <c r="CM1194" s="240"/>
      <c r="CN1194" s="240"/>
      <c r="CO1194" s="240"/>
      <c r="CP1194" s="240"/>
      <c r="CQ1194" s="240"/>
      <c r="CR1194" s="240"/>
      <c r="CS1194" s="240"/>
      <c r="CT1194" s="240"/>
      <c r="CU1194" s="240"/>
      <c r="CV1194" s="240"/>
      <c r="CW1194" s="240"/>
      <c r="CX1194" s="240"/>
      <c r="CY1194" s="240"/>
      <c r="CZ1194" s="241"/>
      <c r="DA1194" s="241"/>
      <c r="DB1194" s="241"/>
      <c r="DC1194" s="241"/>
      <c r="DD1194" s="241"/>
      <c r="DE1194" s="241"/>
      <c r="DF1194" s="241"/>
      <c r="DG1194" s="241"/>
      <c r="DH1194" s="241"/>
      <c r="DI1194" s="241"/>
      <c r="DJ1194" s="241"/>
      <c r="DK1194" s="241"/>
      <c r="DL1194" s="241"/>
      <c r="DM1194" s="241"/>
      <c r="DN1194" s="241"/>
      <c r="DO1194" s="241"/>
      <c r="DP1194" s="241"/>
      <c r="DQ1194" s="241"/>
      <c r="DR1194" s="241"/>
      <c r="DS1194" s="241"/>
      <c r="DT1194" s="241"/>
      <c r="DU1194" s="241"/>
      <c r="DV1194" s="241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345"/>
      <c r="EM1194" s="245"/>
      <c r="EN1194" s="245"/>
      <c r="EO1194" s="245"/>
      <c r="EP1194" s="245"/>
      <c r="EQ1194" s="351"/>
    </row>
    <row r="1195" spans="1:149" s="243" customFormat="1" ht="11.25" hidden="1" customHeight="1">
      <c r="B1195" s="343"/>
      <c r="C1195" s="240"/>
      <c r="D1195" s="240"/>
      <c r="E1195" s="240"/>
      <c r="F1195" s="240"/>
      <c r="G1195" s="240"/>
      <c r="H1195" s="240"/>
      <c r="I1195" s="240"/>
      <c r="J1195" s="240"/>
      <c r="K1195" s="240"/>
      <c r="L1195" s="240"/>
      <c r="M1195" s="240"/>
      <c r="N1195" s="240"/>
      <c r="O1195" s="240"/>
      <c r="P1195" s="240"/>
      <c r="Q1195" s="240"/>
      <c r="R1195" s="240"/>
      <c r="S1195" s="240"/>
      <c r="T1195" s="240"/>
      <c r="U1195" s="240"/>
      <c r="V1195" s="240"/>
      <c r="W1195" s="240"/>
      <c r="X1195" s="240"/>
      <c r="Y1195" s="240"/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240"/>
      <c r="AM1195" s="240"/>
      <c r="AN1195" s="240"/>
      <c r="AO1195" s="240"/>
      <c r="AP1195" s="240"/>
      <c r="AQ1195" s="240"/>
      <c r="AR1195" s="240"/>
      <c r="AS1195" s="240"/>
      <c r="AT1195" s="240"/>
      <c r="AU1195" s="240"/>
      <c r="AV1195" s="240"/>
      <c r="AW1195" s="240"/>
      <c r="AX1195" s="240"/>
      <c r="AY1195" s="240"/>
      <c r="AZ1195" s="240"/>
      <c r="BA1195" s="240"/>
      <c r="BB1195" s="240"/>
      <c r="BC1195" s="240"/>
      <c r="BD1195" s="240"/>
      <c r="BE1195" s="240"/>
      <c r="BF1195" s="240"/>
      <c r="BG1195" s="240"/>
      <c r="BH1195" s="240"/>
      <c r="BI1195" s="240"/>
      <c r="BJ1195" s="240"/>
      <c r="BK1195" s="240"/>
      <c r="BL1195" s="240"/>
      <c r="BM1195" s="240"/>
      <c r="BN1195" s="240"/>
      <c r="BO1195" s="240"/>
      <c r="BP1195" s="240"/>
      <c r="BQ1195" s="240"/>
      <c r="BR1195" s="240"/>
      <c r="BS1195" s="240"/>
      <c r="BT1195" s="240"/>
      <c r="BU1195" s="240"/>
      <c r="BV1195" s="240"/>
      <c r="BW1195" s="240"/>
      <c r="BX1195" s="240"/>
      <c r="BY1195" s="240"/>
      <c r="BZ1195" s="240"/>
      <c r="CA1195" s="240"/>
      <c r="CB1195" s="240"/>
      <c r="CC1195" s="240"/>
      <c r="CD1195" s="240"/>
      <c r="CE1195" s="240"/>
      <c r="CF1195" s="240"/>
      <c r="CG1195" s="240"/>
      <c r="CH1195" s="240"/>
      <c r="CI1195" s="240"/>
      <c r="CJ1195" s="240"/>
      <c r="CK1195" s="240"/>
      <c r="CL1195" s="240"/>
      <c r="CM1195" s="240"/>
      <c r="CN1195" s="240"/>
      <c r="CO1195" s="240"/>
      <c r="CP1195" s="240"/>
      <c r="CQ1195" s="240"/>
      <c r="CR1195" s="240"/>
      <c r="CS1195" s="240"/>
      <c r="CT1195" s="240"/>
      <c r="CU1195" s="240"/>
      <c r="CV1195" s="240"/>
      <c r="CW1195" s="240"/>
      <c r="CX1195" s="240"/>
      <c r="CY1195" s="240"/>
      <c r="CZ1195" s="241"/>
      <c r="DA1195" s="241"/>
      <c r="DB1195" s="241"/>
      <c r="DC1195" s="241"/>
      <c r="DD1195" s="241"/>
      <c r="DE1195" s="241"/>
      <c r="DF1195" s="241"/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1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345"/>
      <c r="EM1195" s="245"/>
      <c r="EN1195" s="245"/>
      <c r="EO1195" s="245"/>
      <c r="EP1195" s="245"/>
      <c r="EQ1195" s="351"/>
    </row>
    <row r="1196" spans="1:149" s="243" customFormat="1" ht="11.25" hidden="1" customHeight="1">
      <c r="B1196" s="343"/>
      <c r="C1196" s="240"/>
      <c r="D1196" s="240"/>
      <c r="E1196" s="240"/>
      <c r="F1196" s="240"/>
      <c r="G1196" s="240"/>
      <c r="H1196" s="240" t="s">
        <v>864</v>
      </c>
      <c r="I1196" s="240"/>
      <c r="J1196" s="240"/>
      <c r="K1196" s="240"/>
      <c r="L1196" s="240"/>
      <c r="M1196" s="240"/>
      <c r="N1196" s="240"/>
      <c r="O1196" s="240"/>
      <c r="P1196" s="240"/>
      <c r="Q1196" s="240"/>
      <c r="R1196" s="240"/>
      <c r="S1196" s="240"/>
      <c r="T1196" s="240"/>
      <c r="U1196" s="240"/>
      <c r="V1196" s="240"/>
      <c r="W1196" s="240"/>
      <c r="X1196" s="240"/>
      <c r="Y1196" s="240" t="s">
        <v>865</v>
      </c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 t="str">
        <f>TEXT(8800,"#,##0.#######")</f>
        <v>8,800.</v>
      </c>
      <c r="AK1196" s="240"/>
      <c r="AL1196" s="240"/>
      <c r="AM1196" s="240"/>
      <c r="AN1196" s="240"/>
      <c r="AO1196" s="240"/>
      <c r="AP1196" s="240"/>
      <c r="AQ1196" s="240"/>
      <c r="AR1196" s="240" t="s">
        <v>652</v>
      </c>
      <c r="AS1196" s="240"/>
      <c r="AT1196" s="240"/>
      <c r="AU1196" s="240" t="str">
        <f>TEXT(0.42,"#,##0.#######")</f>
        <v>0.42</v>
      </c>
      <c r="AV1196" s="240"/>
      <c r="AW1196" s="240"/>
      <c r="AX1196" s="240"/>
      <c r="AY1196" s="240" t="s">
        <v>369</v>
      </c>
      <c r="AZ1196" s="240"/>
      <c r="BA1196" s="240"/>
      <c r="BB1196" s="240" t="s">
        <v>134</v>
      </c>
      <c r="BC1196" s="240"/>
      <c r="BD1196" s="240" t="str">
        <f>TEXT(TRUNC(AJ1196*AU1196,1),"#,##0.#######")</f>
        <v>3,696.</v>
      </c>
      <c r="BE1196" s="240"/>
      <c r="BF1196" s="240"/>
      <c r="BG1196" s="240"/>
      <c r="BO1196" s="240"/>
      <c r="BP1196" s="240"/>
      <c r="BQ1196" s="240"/>
      <c r="BR1196" s="240"/>
      <c r="BS1196" s="240"/>
      <c r="BT1196" s="240"/>
      <c r="BU1196" s="240"/>
      <c r="BV1196" s="240"/>
      <c r="BW1196" s="240"/>
      <c r="BX1196" s="240"/>
      <c r="BY1196" s="240"/>
      <c r="BZ1196" s="240"/>
      <c r="CA1196" s="240"/>
      <c r="CB1196" s="240"/>
      <c r="CC1196" s="240"/>
      <c r="CD1196" s="240"/>
      <c r="CE1196" s="240"/>
      <c r="CF1196" s="240"/>
      <c r="CQ1196" s="240"/>
      <c r="CR1196" s="240"/>
      <c r="CS1196" s="240"/>
      <c r="CT1196" s="240"/>
      <c r="CU1196" s="240"/>
      <c r="CV1196" s="240"/>
      <c r="CW1196" s="240"/>
      <c r="CX1196" s="240"/>
      <c r="CY1196" s="240"/>
      <c r="CZ1196" s="241"/>
      <c r="DA1196" s="241"/>
      <c r="DB1196" s="241"/>
      <c r="DC1196" s="241"/>
      <c r="DD1196" s="241"/>
      <c r="DE1196" s="241"/>
      <c r="DF1196" s="241"/>
      <c r="DG1196" s="241"/>
      <c r="DH1196" s="241"/>
      <c r="DI1196" s="241"/>
      <c r="DJ1196" s="241"/>
      <c r="DK1196" s="241"/>
      <c r="DL1196" s="241"/>
      <c r="DM1196" s="241"/>
      <c r="DN1196" s="241"/>
      <c r="DO1196" s="241"/>
      <c r="DP1196" s="241"/>
      <c r="DQ1196" s="241"/>
      <c r="DR1196" s="241"/>
      <c r="DS1196" s="241"/>
      <c r="DT1196" s="241"/>
      <c r="DU1196" s="241"/>
      <c r="DV1196" s="241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345"/>
      <c r="EM1196" s="245"/>
      <c r="EN1196" s="245"/>
      <c r="EO1196" s="245"/>
      <c r="EP1196" s="245"/>
      <c r="EQ1196" s="351"/>
    </row>
    <row r="1197" spans="1:149" s="243" customFormat="1" ht="11.25" hidden="1" customHeight="1">
      <c r="B1197" s="343"/>
      <c r="C1197" s="240"/>
      <c r="D1197" s="240"/>
      <c r="E1197" s="240"/>
      <c r="F1197" s="240"/>
      <c r="G1197" s="240"/>
      <c r="H1197" s="240"/>
      <c r="I1197" s="240"/>
      <c r="J1197" s="240"/>
      <c r="K1197" s="240"/>
      <c r="L1197" s="240"/>
      <c r="M1197" s="240"/>
      <c r="N1197" s="240"/>
      <c r="O1197" s="240"/>
      <c r="P1197" s="240"/>
      <c r="Q1197" s="240"/>
      <c r="R1197" s="240"/>
      <c r="S1197" s="240"/>
      <c r="T1197" s="240"/>
      <c r="U1197" s="240"/>
      <c r="V1197" s="240"/>
      <c r="W1197" s="240"/>
      <c r="X1197" s="240"/>
      <c r="Y1197" s="240"/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240"/>
      <c r="AM1197" s="240"/>
      <c r="AN1197" s="240"/>
      <c r="AO1197" s="240"/>
      <c r="AP1197" s="240"/>
      <c r="AQ1197" s="240"/>
      <c r="AR1197" s="240"/>
      <c r="AS1197" s="240"/>
      <c r="AT1197" s="240"/>
      <c r="AU1197" s="240"/>
      <c r="AV1197" s="240"/>
      <c r="AW1197" s="240"/>
      <c r="AX1197" s="240"/>
      <c r="AY1197" s="240"/>
      <c r="AZ1197" s="240"/>
      <c r="BA1197" s="240"/>
      <c r="BB1197" s="240"/>
      <c r="BC1197" s="240"/>
      <c r="BD1197" s="240"/>
      <c r="BE1197" s="240"/>
      <c r="BF1197" s="240"/>
      <c r="BG1197" s="240"/>
      <c r="BH1197" s="240"/>
      <c r="BI1197" s="240"/>
      <c r="BJ1197" s="240"/>
      <c r="BK1197" s="240"/>
      <c r="BL1197" s="240"/>
      <c r="BM1197" s="240"/>
      <c r="BN1197" s="240"/>
      <c r="BO1197" s="240"/>
      <c r="BP1197" s="240"/>
      <c r="BQ1197" s="240"/>
      <c r="BR1197" s="240"/>
      <c r="BS1197" s="240"/>
      <c r="BT1197" s="240"/>
      <c r="BU1197" s="240"/>
      <c r="BV1197" s="240"/>
      <c r="BW1197" s="240"/>
      <c r="BX1197" s="240"/>
      <c r="BY1197" s="240"/>
      <c r="BZ1197" s="240"/>
      <c r="CA1197" s="240"/>
      <c r="CB1197" s="240"/>
      <c r="CC1197" s="240"/>
      <c r="CD1197" s="240"/>
      <c r="CE1197" s="240"/>
      <c r="CF1197" s="240"/>
      <c r="CG1197" s="240"/>
      <c r="CH1197" s="240"/>
      <c r="CI1197" s="240"/>
      <c r="CJ1197" s="240"/>
      <c r="CK1197" s="240"/>
      <c r="CL1197" s="240"/>
      <c r="CM1197" s="240"/>
      <c r="CN1197" s="240"/>
      <c r="CO1197" s="240"/>
      <c r="CP1197" s="240"/>
      <c r="CQ1197" s="240"/>
      <c r="CR1197" s="240"/>
      <c r="CS1197" s="240"/>
      <c r="CT1197" s="240"/>
      <c r="CU1197" s="240"/>
      <c r="CV1197" s="240"/>
      <c r="CW1197" s="240"/>
      <c r="CX1197" s="240"/>
      <c r="CY1197" s="240"/>
      <c r="CZ1197" s="241"/>
      <c r="DA1197" s="241"/>
      <c r="DB1197" s="241"/>
      <c r="DC1197" s="241"/>
      <c r="DD1197" s="241"/>
      <c r="DE1197" s="241"/>
      <c r="DF1197" s="241"/>
      <c r="DG1197" s="241"/>
      <c r="DH1197" s="241"/>
      <c r="DI1197" s="241"/>
      <c r="DJ1197" s="241"/>
      <c r="DK1197" s="241"/>
      <c r="DL1197" s="241"/>
      <c r="DM1197" s="241"/>
      <c r="DN1197" s="241"/>
      <c r="DO1197" s="241"/>
      <c r="DP1197" s="241"/>
      <c r="DQ1197" s="241"/>
      <c r="DR1197" s="241"/>
      <c r="DS1197" s="241"/>
      <c r="DT1197" s="241"/>
      <c r="DU1197" s="241"/>
      <c r="DV1197" s="241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345"/>
      <c r="EM1197" s="245"/>
      <c r="EN1197" s="245"/>
      <c r="EO1197" s="245"/>
      <c r="EP1197" s="245"/>
      <c r="EQ1197" s="351"/>
    </row>
    <row r="1198" spans="1:149" s="243" customFormat="1" ht="11.25" hidden="1" customHeight="1">
      <c r="B1198" s="343"/>
      <c r="C1198" s="240"/>
      <c r="D1198" s="240"/>
      <c r="E1198" s="240"/>
      <c r="F1198" s="240"/>
      <c r="G1198" s="240"/>
      <c r="H1198" s="240" t="s">
        <v>866</v>
      </c>
      <c r="I1198" s="240"/>
      <c r="J1198" s="240"/>
      <c r="K1198" s="240"/>
      <c r="L1198" s="240"/>
      <c r="M1198" s="240"/>
      <c r="N1198" s="240"/>
      <c r="O1198" s="240"/>
      <c r="P1198" s="240"/>
      <c r="Q1198" s="240" t="s">
        <v>867</v>
      </c>
      <c r="R1198" s="240"/>
      <c r="S1198" s="240"/>
      <c r="T1198" s="240"/>
      <c r="U1198" s="240"/>
      <c r="V1198" s="240"/>
      <c r="W1198" s="240"/>
      <c r="X1198" s="240"/>
      <c r="Y1198" s="240"/>
      <c r="Z1198" s="240"/>
      <c r="AA1198" s="240"/>
      <c r="AB1198" s="240" t="str">
        <f>TEXT(5000,"#,##0.#######")</f>
        <v>5,000.</v>
      </c>
      <c r="AC1198" s="240"/>
      <c r="AD1198" s="240"/>
      <c r="AE1198" s="240"/>
      <c r="AF1198" s="240"/>
      <c r="AG1198" s="240"/>
      <c r="AH1198" s="240" t="s">
        <v>652</v>
      </c>
      <c r="AI1198" s="240"/>
      <c r="AJ1198" s="240"/>
      <c r="AK1198" s="240" t="str">
        <f>TEXT(0.31,"#,##0.#######")</f>
        <v>0.31</v>
      </c>
      <c r="AL1198" s="240"/>
      <c r="AM1198" s="240"/>
      <c r="AN1198" s="240"/>
      <c r="AO1198" s="240"/>
      <c r="AP1198" s="240" t="s">
        <v>526</v>
      </c>
      <c r="AQ1198" s="240"/>
      <c r="AR1198" s="240"/>
      <c r="AS1198" s="240" t="s">
        <v>134</v>
      </c>
      <c r="AT1198" s="240"/>
      <c r="AU1198" s="240" t="str">
        <f>TEXT(TRUNC(AB1198*AK1198,1),"#,##0.#######")</f>
        <v>1,550.</v>
      </c>
      <c r="AX1198" s="240"/>
      <c r="BC1198" s="240"/>
      <c r="BD1198" s="240"/>
      <c r="BE1198" s="240"/>
      <c r="BF1198" s="240"/>
      <c r="BG1198" s="240"/>
      <c r="BH1198" s="240"/>
      <c r="BI1198" s="240"/>
      <c r="BJ1198" s="240"/>
      <c r="BK1198" s="240"/>
      <c r="BL1198" s="240"/>
      <c r="BM1198" s="240"/>
      <c r="BN1198" s="240"/>
      <c r="BO1198" s="240"/>
      <c r="BP1198" s="240"/>
      <c r="BQ1198" s="240"/>
      <c r="BR1198" s="240"/>
      <c r="BS1198" s="240"/>
      <c r="BT1198" s="240"/>
      <c r="BU1198" s="240"/>
      <c r="BV1198" s="240"/>
      <c r="BW1198" s="240"/>
      <c r="BX1198" s="240"/>
      <c r="BY1198" s="240"/>
      <c r="BZ1198" s="240"/>
      <c r="CA1198" s="240"/>
      <c r="CB1198" s="240"/>
      <c r="CC1198" s="240"/>
      <c r="CD1198" s="240"/>
      <c r="CE1198" s="240"/>
      <c r="CF1198" s="240"/>
      <c r="CG1198" s="240"/>
      <c r="CH1198" s="240"/>
      <c r="CI1198" s="240"/>
      <c r="CJ1198" s="240"/>
      <c r="CK1198" s="240"/>
      <c r="CL1198" s="240"/>
      <c r="CM1198" s="240"/>
      <c r="CN1198" s="240"/>
      <c r="CO1198" s="240"/>
      <c r="CP1198" s="240"/>
      <c r="CQ1198" s="240"/>
      <c r="CR1198" s="240"/>
      <c r="CS1198" s="240"/>
      <c r="CT1198" s="240"/>
      <c r="CU1198" s="240"/>
      <c r="CV1198" s="240"/>
      <c r="CW1198" s="240"/>
      <c r="CX1198" s="240"/>
      <c r="CY1198" s="240"/>
      <c r="CZ1198" s="241"/>
      <c r="DA1198" s="241"/>
      <c r="DB1198" s="241"/>
      <c r="DC1198" s="241"/>
      <c r="DD1198" s="241"/>
      <c r="DE1198" s="241"/>
      <c r="DF1198" s="241"/>
      <c r="DG1198" s="241"/>
      <c r="DH1198" s="241"/>
      <c r="DI1198" s="241"/>
      <c r="DJ1198" s="241"/>
      <c r="DK1198" s="241"/>
      <c r="DL1198" s="241"/>
      <c r="DM1198" s="241"/>
      <c r="DN1198" s="241"/>
      <c r="DO1198" s="241"/>
      <c r="DP1198" s="241"/>
      <c r="DQ1198" s="241"/>
      <c r="DR1198" s="241"/>
      <c r="DS1198" s="241"/>
      <c r="DT1198" s="241"/>
      <c r="DU1198" s="241"/>
      <c r="DV1198" s="241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345"/>
      <c r="EM1198" s="245"/>
      <c r="EN1198" s="245"/>
      <c r="EO1198" s="245"/>
      <c r="EP1198" s="245"/>
      <c r="EQ1198" s="351"/>
    </row>
    <row r="1199" spans="1:149" s="243" customFormat="1" ht="11.25" hidden="1" customHeight="1">
      <c r="B1199" s="343"/>
      <c r="C1199" s="240"/>
      <c r="D1199" s="240"/>
      <c r="E1199" s="240"/>
      <c r="F1199" s="240"/>
      <c r="G1199" s="240"/>
      <c r="H1199" s="240"/>
      <c r="I1199" s="240"/>
      <c r="J1199" s="240"/>
      <c r="K1199" s="240"/>
      <c r="L1199" s="240"/>
      <c r="M1199" s="240"/>
      <c r="N1199" s="240"/>
      <c r="O1199" s="240"/>
      <c r="P1199" s="240"/>
      <c r="Q1199" s="240"/>
      <c r="R1199" s="240"/>
      <c r="S1199" s="240"/>
      <c r="T1199" s="240"/>
      <c r="U1199" s="240"/>
      <c r="V1199" s="240"/>
      <c r="W1199" s="240"/>
      <c r="X1199" s="240"/>
      <c r="Y1199" s="240"/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240"/>
      <c r="AM1199" s="240"/>
      <c r="AN1199" s="240"/>
      <c r="AO1199" s="240"/>
      <c r="AP1199" s="240"/>
      <c r="AQ1199" s="240"/>
      <c r="AR1199" s="240"/>
      <c r="AS1199" s="240"/>
      <c r="AT1199" s="240"/>
      <c r="AU1199" s="240"/>
      <c r="AV1199" s="240"/>
      <c r="AW1199" s="240"/>
      <c r="AX1199" s="240"/>
      <c r="AY1199" s="240"/>
      <c r="AZ1199" s="240"/>
      <c r="BA1199" s="240"/>
      <c r="BB1199" s="240"/>
      <c r="BC1199" s="240"/>
      <c r="BD1199" s="240"/>
      <c r="BE1199" s="240"/>
      <c r="BF1199" s="240"/>
      <c r="BG1199" s="240"/>
      <c r="BH1199" s="240"/>
      <c r="BI1199" s="240"/>
      <c r="BJ1199" s="240"/>
      <c r="BK1199" s="240"/>
      <c r="BL1199" s="240"/>
      <c r="BM1199" s="240"/>
      <c r="BN1199" s="240"/>
      <c r="BO1199" s="240"/>
      <c r="BP1199" s="240"/>
      <c r="BQ1199" s="240"/>
      <c r="BR1199" s="240"/>
      <c r="BS1199" s="240"/>
      <c r="BT1199" s="240"/>
      <c r="BU1199" s="240"/>
      <c r="BV1199" s="240"/>
      <c r="BW1199" s="240"/>
      <c r="BX1199" s="240"/>
      <c r="BY1199" s="240"/>
      <c r="BZ1199" s="240"/>
      <c r="CA1199" s="240"/>
      <c r="CB1199" s="240"/>
      <c r="CC1199" s="240"/>
      <c r="CD1199" s="240"/>
      <c r="CE1199" s="240"/>
      <c r="CF1199" s="240"/>
      <c r="CG1199" s="240"/>
      <c r="CH1199" s="240"/>
      <c r="CI1199" s="240"/>
      <c r="CJ1199" s="240"/>
      <c r="CK1199" s="240"/>
      <c r="CL1199" s="240"/>
      <c r="CM1199" s="240"/>
      <c r="CN1199" s="240"/>
      <c r="CO1199" s="240"/>
      <c r="CP1199" s="240"/>
      <c r="CQ1199" s="240"/>
      <c r="CR1199" s="240"/>
      <c r="CS1199" s="240"/>
      <c r="CT1199" s="240"/>
      <c r="CU1199" s="240"/>
      <c r="CV1199" s="240"/>
      <c r="CW1199" s="240"/>
      <c r="CX1199" s="240"/>
      <c r="CY1199" s="240"/>
      <c r="CZ1199" s="241"/>
      <c r="DA1199" s="241"/>
      <c r="DB1199" s="241"/>
      <c r="DC1199" s="241"/>
      <c r="DD1199" s="241"/>
      <c r="DE1199" s="241"/>
      <c r="DF1199" s="241"/>
      <c r="DG1199" s="241"/>
      <c r="DH1199" s="241"/>
      <c r="DI1199" s="241"/>
      <c r="DJ1199" s="241"/>
      <c r="DK1199" s="241"/>
      <c r="DL1199" s="241"/>
      <c r="DM1199" s="241"/>
      <c r="DN1199" s="241"/>
      <c r="DO1199" s="241"/>
      <c r="DP1199" s="241"/>
      <c r="DQ1199" s="241"/>
      <c r="DR1199" s="241"/>
      <c r="DS1199" s="241"/>
      <c r="DT1199" s="241"/>
      <c r="DU1199" s="241"/>
      <c r="DV1199" s="241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345"/>
      <c r="EM1199" s="245"/>
      <c r="EN1199" s="245"/>
      <c r="EO1199" s="245"/>
      <c r="EP1199" s="245"/>
      <c r="EQ1199" s="351"/>
    </row>
    <row r="1200" spans="1:149" s="243" customFormat="1" ht="11.25" hidden="1" customHeight="1">
      <c r="B1200" s="343"/>
      <c r="C1200" s="240"/>
      <c r="D1200" s="240"/>
      <c r="E1200" s="240"/>
      <c r="F1200" s="240"/>
      <c r="G1200" s="240"/>
      <c r="H1200" s="240"/>
      <c r="I1200" s="240"/>
      <c r="J1200" s="240"/>
      <c r="K1200" s="240"/>
      <c r="L1200" s="240"/>
      <c r="M1200" s="240"/>
      <c r="N1200" s="240"/>
      <c r="O1200" s="240"/>
      <c r="P1200" s="240"/>
      <c r="Q1200" s="240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240"/>
      <c r="AM1200" s="240"/>
      <c r="AN1200" s="240"/>
      <c r="AO1200" s="240"/>
      <c r="AP1200" s="240"/>
      <c r="AQ1200" s="240"/>
      <c r="AR1200" s="240"/>
      <c r="AS1200" s="240"/>
      <c r="AT1200" s="240"/>
      <c r="AU1200" s="240"/>
      <c r="BF1200" s="240"/>
      <c r="BG1200" s="240"/>
      <c r="BH1200" s="240"/>
      <c r="BI1200" s="240"/>
      <c r="BJ1200" s="240"/>
      <c r="BK1200" s="240"/>
      <c r="BL1200" s="240"/>
      <c r="BM1200" s="240"/>
      <c r="BN1200" s="240"/>
      <c r="BO1200" s="240"/>
      <c r="BP1200" s="240"/>
      <c r="BQ1200" s="240"/>
      <c r="BR1200" s="240"/>
      <c r="BS1200" s="240"/>
      <c r="BT1200" s="240"/>
      <c r="BU1200" s="240"/>
      <c r="BV1200" s="240"/>
      <c r="BW1200" s="240"/>
      <c r="BX1200" s="240"/>
      <c r="BY1200" s="240"/>
      <c r="BZ1200" s="240"/>
      <c r="CA1200" s="240"/>
      <c r="CB1200" s="240"/>
      <c r="CC1200" s="240"/>
      <c r="CD1200" s="240"/>
      <c r="CE1200" s="240"/>
      <c r="CF1200" s="240"/>
      <c r="CG1200" s="240"/>
      <c r="CH1200" s="240"/>
      <c r="CI1200" s="240"/>
      <c r="CJ1200" s="240"/>
      <c r="CK1200" s="240"/>
      <c r="CL1200" s="240"/>
      <c r="CM1200" s="240"/>
      <c r="CN1200" s="240"/>
      <c r="CO1200" s="240"/>
      <c r="CP1200" s="240"/>
      <c r="CQ1200" s="240"/>
      <c r="CR1200" s="240"/>
      <c r="CS1200" s="240"/>
      <c r="CT1200" s="240"/>
      <c r="CU1200" s="240"/>
      <c r="CV1200" s="240"/>
      <c r="CW1200" s="240"/>
      <c r="CX1200" s="240"/>
      <c r="CY1200" s="240"/>
      <c r="CZ1200" s="241"/>
      <c r="DA1200" s="241"/>
      <c r="DB1200" s="241"/>
      <c r="DC1200" s="241"/>
      <c r="DD1200" s="241"/>
      <c r="DE1200" s="241"/>
      <c r="DF1200" s="241"/>
      <c r="DG1200" s="241"/>
      <c r="DH1200" s="241"/>
      <c r="DI1200" s="241"/>
      <c r="DJ1200" s="241"/>
      <c r="DK1200" s="241"/>
      <c r="DL1200" s="241"/>
      <c r="DM1200" s="241"/>
      <c r="DN1200" s="241"/>
      <c r="DO1200" s="241"/>
      <c r="DP1200" s="241"/>
      <c r="DQ1200" s="241"/>
      <c r="DR1200" s="241"/>
      <c r="DS1200" s="241"/>
      <c r="DT1200" s="241"/>
      <c r="DU1200" s="241"/>
      <c r="DV1200" s="241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345"/>
      <c r="EM1200" s="245"/>
      <c r="EN1200" s="245"/>
      <c r="EO1200" s="245"/>
      <c r="EP1200" s="245"/>
      <c r="EQ1200" s="351"/>
    </row>
    <row r="1201" spans="2:147" s="243" customFormat="1" ht="11.25" hidden="1" customHeight="1">
      <c r="B1201" s="343"/>
      <c r="C1201" s="240"/>
      <c r="D1201" s="240"/>
      <c r="E1201" s="240"/>
      <c r="F1201" s="240"/>
      <c r="G1201" s="240"/>
      <c r="H1201" s="240"/>
      <c r="I1201" s="240"/>
      <c r="J1201" s="240"/>
      <c r="K1201" s="240"/>
      <c r="L1201" s="240"/>
      <c r="M1201" s="240"/>
      <c r="N1201" s="240"/>
      <c r="O1201" s="240"/>
      <c r="P1201" s="240"/>
      <c r="Q1201" s="240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240"/>
      <c r="AM1201" s="240"/>
      <c r="AN1201" s="240"/>
      <c r="AO1201" s="240"/>
      <c r="AP1201" s="240"/>
      <c r="AQ1201" s="240"/>
      <c r="AR1201" s="240"/>
      <c r="AS1201" s="240"/>
      <c r="AT1201" s="240"/>
      <c r="AU1201" s="240"/>
      <c r="AV1201" s="240"/>
      <c r="AW1201" s="240"/>
      <c r="AX1201" s="240"/>
      <c r="AY1201" s="240"/>
      <c r="AZ1201" s="240"/>
      <c r="BA1201" s="240"/>
      <c r="BB1201" s="240"/>
      <c r="BC1201" s="240"/>
      <c r="BD1201" s="240"/>
      <c r="BE1201" s="240"/>
      <c r="BF1201" s="240"/>
      <c r="BG1201" s="240"/>
      <c r="BH1201" s="240"/>
      <c r="BI1201" s="240"/>
      <c r="BJ1201" s="240"/>
      <c r="BK1201" s="240"/>
      <c r="BL1201" s="240"/>
      <c r="BM1201" s="240"/>
      <c r="BN1201" s="240"/>
      <c r="BO1201" s="240"/>
      <c r="BP1201" s="240"/>
      <c r="BQ1201" s="240"/>
      <c r="BR1201" s="240"/>
      <c r="BS1201" s="240"/>
      <c r="BT1201" s="240"/>
      <c r="BU1201" s="240"/>
      <c r="BV1201" s="240"/>
      <c r="BW1201" s="240"/>
      <c r="BX1201" s="240"/>
      <c r="BY1201" s="240"/>
      <c r="BZ1201" s="240"/>
      <c r="CA1201" s="240"/>
      <c r="CB1201" s="240"/>
      <c r="CC1201" s="240"/>
      <c r="CD1201" s="240"/>
      <c r="CE1201" s="240"/>
      <c r="CF1201" s="240"/>
      <c r="CG1201" s="240"/>
      <c r="CH1201" s="240"/>
      <c r="CI1201" s="240"/>
      <c r="CJ1201" s="240"/>
      <c r="CK1201" s="240"/>
      <c r="CL1201" s="240"/>
      <c r="CM1201" s="240"/>
      <c r="CN1201" s="240"/>
      <c r="CO1201" s="240"/>
      <c r="CP1201" s="240"/>
      <c r="CQ1201" s="240"/>
      <c r="CR1201" s="240"/>
      <c r="CS1201" s="240"/>
      <c r="CT1201" s="240"/>
      <c r="CU1201" s="240"/>
      <c r="CV1201" s="240"/>
      <c r="CW1201" s="240"/>
      <c r="CX1201" s="240"/>
      <c r="CY1201" s="240"/>
      <c r="CZ1201" s="241"/>
      <c r="DA1201" s="241"/>
      <c r="DB1201" s="241"/>
      <c r="DC1201" s="241"/>
      <c r="DD1201" s="241"/>
      <c r="DE1201" s="241"/>
      <c r="DF1201" s="241"/>
      <c r="DG1201" s="241"/>
      <c r="DH1201" s="241"/>
      <c r="DI1201" s="241"/>
      <c r="DJ1201" s="241"/>
      <c r="DK1201" s="241"/>
      <c r="DL1201" s="241"/>
      <c r="DM1201" s="241"/>
      <c r="DN1201" s="241"/>
      <c r="DO1201" s="241"/>
      <c r="DP1201" s="241"/>
      <c r="DQ1201" s="241"/>
      <c r="DR1201" s="241"/>
      <c r="DS1201" s="241"/>
      <c r="DT1201" s="241"/>
      <c r="DU1201" s="241"/>
      <c r="DV1201" s="241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345"/>
      <c r="EM1201" s="245"/>
      <c r="EN1201" s="245"/>
      <c r="EO1201" s="245"/>
      <c r="EP1201" s="245"/>
      <c r="EQ1201" s="351"/>
    </row>
    <row r="1202" spans="2:147" s="243" customFormat="1" ht="11.25" hidden="1" customHeight="1">
      <c r="B1202" s="343"/>
      <c r="C1202" s="240"/>
      <c r="D1202" s="240"/>
      <c r="E1202" s="240"/>
      <c r="F1202" s="240"/>
      <c r="G1202" s="240"/>
      <c r="H1202" s="240" t="s">
        <v>868</v>
      </c>
      <c r="I1202" s="240"/>
      <c r="J1202" s="240"/>
      <c r="K1202" s="240"/>
      <c r="L1202" s="240"/>
      <c r="M1202" s="240"/>
      <c r="N1202" s="240"/>
      <c r="O1202" s="240"/>
      <c r="P1202" s="240"/>
      <c r="Q1202" s="240" t="s">
        <v>132</v>
      </c>
      <c r="R1202" s="240"/>
      <c r="S1202" s="240" t="str">
        <f>TEXT(TRUNC(BD1196+AU1198+AU1200,1),"#,##0.#######")</f>
        <v>5,246.</v>
      </c>
      <c r="T1202" s="240"/>
      <c r="U1202" s="240"/>
      <c r="V1202" s="240"/>
      <c r="W1202" s="240"/>
      <c r="X1202" s="240"/>
      <c r="Y1202" s="240"/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240"/>
      <c r="AM1202" s="240"/>
      <c r="AN1202" s="240"/>
      <c r="AO1202" s="240"/>
      <c r="AP1202" s="240"/>
      <c r="AQ1202" s="240"/>
      <c r="AR1202" s="240"/>
      <c r="AS1202" s="240"/>
      <c r="AT1202" s="240"/>
      <c r="AU1202" s="240"/>
      <c r="AV1202" s="240"/>
      <c r="AW1202" s="240"/>
      <c r="AX1202" s="240"/>
      <c r="AY1202" s="240"/>
      <c r="AZ1202" s="240"/>
      <c r="BA1202" s="240"/>
      <c r="BB1202" s="240"/>
      <c r="BC1202" s="240"/>
      <c r="BD1202" s="240"/>
      <c r="BE1202" s="240"/>
      <c r="BF1202" s="240"/>
      <c r="BG1202" s="240"/>
      <c r="BH1202" s="240"/>
      <c r="BI1202" s="240"/>
      <c r="BJ1202" s="240"/>
      <c r="BK1202" s="240"/>
      <c r="BL1202" s="240"/>
      <c r="BM1202" s="240"/>
      <c r="BN1202" s="240"/>
      <c r="BO1202" s="240"/>
      <c r="BP1202" s="240"/>
      <c r="BQ1202" s="240"/>
      <c r="BR1202" s="240"/>
      <c r="BS1202" s="240"/>
      <c r="BT1202" s="240"/>
      <c r="BU1202" s="240"/>
      <c r="BV1202" s="240"/>
      <c r="BW1202" s="240"/>
      <c r="BX1202" s="240"/>
      <c r="BY1202" s="240"/>
      <c r="BZ1202" s="240"/>
      <c r="CA1202" s="240"/>
      <c r="CB1202" s="240"/>
      <c r="CC1202" s="240"/>
      <c r="CD1202" s="240"/>
      <c r="CE1202" s="240"/>
      <c r="CF1202" s="240"/>
      <c r="CG1202" s="240"/>
      <c r="CH1202" s="240"/>
      <c r="CI1202" s="240"/>
      <c r="CJ1202" s="240"/>
      <c r="CK1202" s="240"/>
      <c r="CL1202" s="240"/>
      <c r="CM1202" s="240"/>
      <c r="CN1202" s="240"/>
      <c r="CO1202" s="240"/>
      <c r="CP1202" s="240"/>
      <c r="CQ1202" s="240"/>
      <c r="CR1202" s="240"/>
      <c r="CS1202" s="240"/>
      <c r="CT1202" s="240"/>
      <c r="CU1202" s="240"/>
      <c r="CV1202" s="240"/>
      <c r="CW1202" s="240"/>
      <c r="CX1202" s="240"/>
      <c r="CY1202" s="240"/>
      <c r="CZ1202" s="241"/>
      <c r="DA1202" s="241"/>
      <c r="DB1202" s="241"/>
      <c r="DC1202" s="241"/>
      <c r="DD1202" s="241"/>
      <c r="DE1202" s="241"/>
      <c r="DF1202" s="241"/>
      <c r="DG1202" s="241"/>
      <c r="DH1202" s="241"/>
      <c r="DI1202" s="241"/>
      <c r="DJ1202" s="241"/>
      <c r="DK1202" s="241"/>
      <c r="DL1202" s="241"/>
      <c r="DM1202" s="241"/>
      <c r="DN1202" s="241"/>
      <c r="DO1202" s="241"/>
      <c r="DP1202" s="241"/>
      <c r="DQ1202" s="241"/>
      <c r="DR1202" s="241"/>
      <c r="DS1202" s="241"/>
      <c r="DT1202" s="241"/>
      <c r="DU1202" s="241"/>
      <c r="DV1202" s="241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345"/>
      <c r="EM1202" s="245"/>
      <c r="EN1202" s="245"/>
      <c r="EO1202" s="245" t="str">
        <f>S1202</f>
        <v>5,246.</v>
      </c>
      <c r="EP1202" s="245"/>
      <c r="EQ1202" s="351"/>
    </row>
    <row r="1203" spans="2:147" s="243" customFormat="1" ht="11.25" hidden="1" customHeight="1">
      <c r="B1203" s="343"/>
      <c r="C1203" s="240"/>
      <c r="D1203" s="240"/>
      <c r="E1203" s="240"/>
      <c r="F1203" s="240"/>
      <c r="G1203" s="240"/>
      <c r="H1203" s="240"/>
      <c r="I1203" s="240"/>
      <c r="J1203" s="240"/>
      <c r="K1203" s="240"/>
      <c r="L1203" s="240"/>
      <c r="M1203" s="240"/>
      <c r="N1203" s="240"/>
      <c r="O1203" s="240"/>
      <c r="P1203" s="240"/>
      <c r="Q1203" s="240"/>
      <c r="R1203" s="240"/>
      <c r="S1203" s="240"/>
      <c r="T1203" s="240"/>
      <c r="U1203" s="240"/>
      <c r="V1203" s="240"/>
      <c r="W1203" s="240"/>
      <c r="X1203" s="240"/>
      <c r="Y1203" s="240"/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240"/>
      <c r="AM1203" s="240"/>
      <c r="AN1203" s="240"/>
      <c r="AO1203" s="240"/>
      <c r="AP1203" s="240"/>
      <c r="AQ1203" s="240"/>
      <c r="AR1203" s="240"/>
      <c r="AS1203" s="240"/>
      <c r="AT1203" s="240"/>
      <c r="AU1203" s="240"/>
      <c r="AV1203" s="240"/>
      <c r="AW1203" s="240"/>
      <c r="AX1203" s="240"/>
      <c r="AY1203" s="240"/>
      <c r="AZ1203" s="240"/>
      <c r="BA1203" s="240"/>
      <c r="BB1203" s="240"/>
      <c r="BC1203" s="240"/>
      <c r="BD1203" s="240"/>
      <c r="BE1203" s="240"/>
      <c r="BF1203" s="240"/>
      <c r="BG1203" s="240"/>
      <c r="BH1203" s="240"/>
      <c r="BI1203" s="240"/>
      <c r="BJ1203" s="240"/>
      <c r="BK1203" s="240"/>
      <c r="BL1203" s="240"/>
      <c r="BM1203" s="240"/>
      <c r="BN1203" s="240"/>
      <c r="BO1203" s="240"/>
      <c r="BP1203" s="240"/>
      <c r="BQ1203" s="240"/>
      <c r="BR1203" s="240"/>
      <c r="BS1203" s="240"/>
      <c r="BT1203" s="240"/>
      <c r="BU1203" s="240"/>
      <c r="BV1203" s="240"/>
      <c r="BW1203" s="240"/>
      <c r="BX1203" s="240"/>
      <c r="BY1203" s="240"/>
      <c r="BZ1203" s="240"/>
      <c r="CA1203" s="240"/>
      <c r="CB1203" s="240"/>
      <c r="CC1203" s="240"/>
      <c r="CD1203" s="240"/>
      <c r="CE1203" s="240"/>
      <c r="CF1203" s="240"/>
      <c r="CG1203" s="240"/>
      <c r="CH1203" s="240"/>
      <c r="CI1203" s="240"/>
      <c r="CJ1203" s="240"/>
      <c r="CK1203" s="240"/>
      <c r="CL1203" s="240"/>
      <c r="CM1203" s="240"/>
      <c r="CN1203" s="240"/>
      <c r="CO1203" s="240"/>
      <c r="CP1203" s="240"/>
      <c r="CQ1203" s="240"/>
      <c r="CR1203" s="240"/>
      <c r="CS1203" s="240"/>
      <c r="CT1203" s="240"/>
      <c r="CU1203" s="240"/>
      <c r="CV1203" s="240"/>
      <c r="CW1203" s="240"/>
      <c r="CX1203" s="240"/>
      <c r="CY1203" s="240"/>
      <c r="CZ1203" s="241"/>
      <c r="DA1203" s="241"/>
      <c r="DB1203" s="241"/>
      <c r="DC1203" s="241"/>
      <c r="DD1203" s="241"/>
      <c r="DE1203" s="241"/>
      <c r="DF1203" s="241"/>
      <c r="DG1203" s="241"/>
      <c r="DH1203" s="241"/>
      <c r="DI1203" s="241"/>
      <c r="DJ1203" s="241"/>
      <c r="DK1203" s="241"/>
      <c r="DL1203" s="241"/>
      <c r="DM1203" s="241"/>
      <c r="DN1203" s="241"/>
      <c r="DO1203" s="241"/>
      <c r="DP1203" s="241"/>
      <c r="DQ1203" s="241"/>
      <c r="DR1203" s="241"/>
      <c r="DS1203" s="241"/>
      <c r="DT1203" s="241"/>
      <c r="DU1203" s="241"/>
      <c r="DV1203" s="241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345"/>
      <c r="EM1203" s="245"/>
      <c r="EN1203" s="245"/>
      <c r="EO1203" s="245"/>
      <c r="EP1203" s="245"/>
      <c r="EQ1203" s="351"/>
    </row>
    <row r="1204" spans="2:147" s="243" customFormat="1" ht="11.25" hidden="1" customHeight="1">
      <c r="B1204" s="343"/>
      <c r="C1204" s="240"/>
      <c r="D1204" s="240"/>
      <c r="E1204" s="240" t="s">
        <v>675</v>
      </c>
      <c r="F1204" s="240"/>
      <c r="G1204" s="240"/>
      <c r="H1204" s="240" t="s">
        <v>682</v>
      </c>
      <c r="I1204" s="240"/>
      <c r="J1204" s="240"/>
      <c r="K1204" s="240"/>
      <c r="L1204" s="240"/>
      <c r="M1204" s="240"/>
      <c r="N1204" s="240"/>
      <c r="O1204" s="240"/>
      <c r="P1204" s="240"/>
      <c r="Q1204" s="240"/>
      <c r="R1204" s="240"/>
      <c r="S1204" s="240"/>
      <c r="T1204" s="240"/>
      <c r="U1204" s="240"/>
      <c r="V1204" s="240"/>
      <c r="W1204" s="240"/>
      <c r="X1204" s="240"/>
      <c r="Y1204" s="240"/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240"/>
      <c r="AM1204" s="240"/>
      <c r="AN1204" s="240"/>
      <c r="AO1204" s="240"/>
      <c r="AP1204" s="240"/>
      <c r="AQ1204" s="240"/>
      <c r="AR1204" s="240"/>
      <c r="AS1204" s="240"/>
      <c r="AT1204" s="240"/>
      <c r="AU1204" s="240"/>
      <c r="AV1204" s="240"/>
      <c r="AW1204" s="240"/>
      <c r="AX1204" s="240"/>
      <c r="AY1204" s="240"/>
      <c r="AZ1204" s="240"/>
      <c r="BA1204" s="240"/>
      <c r="BB1204" s="240"/>
      <c r="BC1204" s="240"/>
      <c r="BD1204" s="240"/>
      <c r="BE1204" s="240"/>
      <c r="BF1204" s="240"/>
      <c r="BG1204" s="240"/>
      <c r="BH1204" s="240"/>
      <c r="BI1204" s="240"/>
      <c r="BJ1204" s="240"/>
      <c r="BK1204" s="240"/>
      <c r="BL1204" s="240"/>
      <c r="BM1204" s="240"/>
      <c r="BN1204" s="240"/>
      <c r="BO1204" s="240"/>
      <c r="BP1204" s="240"/>
      <c r="BQ1204" s="240"/>
      <c r="BR1204" s="240"/>
      <c r="BS1204" s="240"/>
      <c r="BT1204" s="240"/>
      <c r="BU1204" s="240"/>
      <c r="BV1204" s="240"/>
      <c r="BW1204" s="240"/>
      <c r="BX1204" s="240"/>
      <c r="BY1204" s="240"/>
      <c r="BZ1204" s="240"/>
      <c r="CA1204" s="240"/>
      <c r="CB1204" s="240"/>
      <c r="CC1204" s="240"/>
      <c r="CD1204" s="240"/>
      <c r="CE1204" s="240"/>
      <c r="CF1204" s="240"/>
      <c r="CG1204" s="240"/>
      <c r="CH1204" s="240"/>
      <c r="CI1204" s="240"/>
      <c r="CJ1204" s="240"/>
      <c r="CK1204" s="240"/>
      <c r="CL1204" s="240"/>
      <c r="CM1204" s="240"/>
      <c r="CN1204" s="240"/>
      <c r="CO1204" s="240"/>
      <c r="CP1204" s="240"/>
      <c r="CQ1204" s="240"/>
      <c r="CR1204" s="240"/>
      <c r="CS1204" s="240"/>
      <c r="CT1204" s="240"/>
      <c r="CU1204" s="240"/>
      <c r="CV1204" s="240"/>
      <c r="CW1204" s="240"/>
      <c r="CX1204" s="240"/>
      <c r="CY1204" s="240"/>
      <c r="CZ1204" s="241"/>
      <c r="DA1204" s="241"/>
      <c r="DB1204" s="241"/>
      <c r="DC1204" s="241"/>
      <c r="DD1204" s="241"/>
      <c r="DE1204" s="241"/>
      <c r="DF1204" s="241"/>
      <c r="DG1204" s="241"/>
      <c r="DH1204" s="241"/>
      <c r="DI1204" s="241"/>
      <c r="DJ1204" s="241"/>
      <c r="DK1204" s="241"/>
      <c r="DL1204" s="241"/>
      <c r="DM1204" s="241"/>
      <c r="DN1204" s="241"/>
      <c r="DO1204" s="241"/>
      <c r="DP1204" s="241"/>
      <c r="DQ1204" s="241"/>
      <c r="DR1204" s="241"/>
      <c r="DS1204" s="241"/>
      <c r="DT1204" s="241"/>
      <c r="DU1204" s="241"/>
      <c r="DV1204" s="241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345"/>
      <c r="EM1204" s="245"/>
      <c r="EN1204" s="245"/>
      <c r="EO1204" s="245"/>
      <c r="EP1204" s="245"/>
      <c r="EQ1204" s="351"/>
    </row>
    <row r="1205" spans="2:147" s="243" customFormat="1" ht="11.25" hidden="1" customHeight="1">
      <c r="B1205" s="343"/>
      <c r="C1205" s="240"/>
      <c r="D1205" s="240"/>
      <c r="E1205" s="240"/>
      <c r="F1205" s="240"/>
      <c r="G1205" s="240"/>
      <c r="H1205" s="240"/>
      <c r="I1205" s="240"/>
      <c r="J1205" s="240"/>
      <c r="K1205" s="240"/>
      <c r="L1205" s="240"/>
      <c r="M1205" s="240"/>
      <c r="N1205" s="240"/>
      <c r="O1205" s="240"/>
      <c r="P1205" s="240"/>
      <c r="Q1205" s="240"/>
      <c r="R1205" s="240"/>
      <c r="S1205" s="240"/>
      <c r="T1205" s="240"/>
      <c r="U1205" s="240"/>
      <c r="V1205" s="240"/>
      <c r="W1205" s="240"/>
      <c r="X1205" s="240"/>
      <c r="Y1205" s="240"/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240"/>
      <c r="AM1205" s="240"/>
      <c r="AN1205" s="240"/>
      <c r="AO1205" s="240"/>
      <c r="AP1205" s="240"/>
      <c r="AQ1205" s="240"/>
      <c r="AR1205" s="240"/>
      <c r="AS1205" s="240"/>
      <c r="AT1205" s="240"/>
      <c r="AU1205" s="240"/>
      <c r="AV1205" s="240"/>
      <c r="AW1205" s="240"/>
      <c r="AX1205" s="240"/>
      <c r="AY1205" s="240"/>
      <c r="AZ1205" s="240"/>
      <c r="BA1205" s="240"/>
      <c r="BB1205" s="240"/>
      <c r="BC1205" s="240"/>
      <c r="BD1205" s="240"/>
      <c r="BE1205" s="240"/>
      <c r="BF1205" s="240"/>
      <c r="BG1205" s="240"/>
      <c r="BH1205" s="240"/>
      <c r="BI1205" s="240"/>
      <c r="BJ1205" s="240"/>
      <c r="BK1205" s="240"/>
      <c r="BL1205" s="240"/>
      <c r="BM1205" s="240"/>
      <c r="BN1205" s="240"/>
      <c r="BO1205" s="240"/>
      <c r="BP1205" s="240"/>
      <c r="BQ1205" s="240"/>
      <c r="BR1205" s="240"/>
      <c r="BS1205" s="240"/>
      <c r="BT1205" s="240"/>
      <c r="BU1205" s="240"/>
      <c r="BV1205" s="240"/>
      <c r="BW1205" s="240"/>
      <c r="BX1205" s="240"/>
      <c r="BY1205" s="240"/>
      <c r="BZ1205" s="240"/>
      <c r="CA1205" s="240"/>
      <c r="CB1205" s="240"/>
      <c r="CC1205" s="240"/>
      <c r="CD1205" s="240"/>
      <c r="CE1205" s="240"/>
      <c r="CF1205" s="240"/>
      <c r="CG1205" s="240"/>
      <c r="CH1205" s="240"/>
      <c r="CI1205" s="240"/>
      <c r="CJ1205" s="240"/>
      <c r="CK1205" s="240"/>
      <c r="CL1205" s="240"/>
      <c r="CM1205" s="240"/>
      <c r="CN1205" s="240"/>
      <c r="CO1205" s="240"/>
      <c r="CP1205" s="240"/>
      <c r="CQ1205" s="240"/>
      <c r="CR1205" s="240"/>
      <c r="CS1205" s="240"/>
      <c r="CT1205" s="240"/>
      <c r="CU1205" s="240"/>
      <c r="CV1205" s="240"/>
      <c r="CW1205" s="240"/>
      <c r="CX1205" s="240"/>
      <c r="CY1205" s="240"/>
      <c r="CZ1205" s="241"/>
      <c r="DA1205" s="241"/>
      <c r="DB1205" s="241"/>
      <c r="DC1205" s="241"/>
      <c r="DD1205" s="241"/>
      <c r="DE1205" s="241"/>
      <c r="DF1205" s="241"/>
      <c r="DG1205" s="241"/>
      <c r="DH1205" s="241"/>
      <c r="DI1205" s="241"/>
      <c r="DJ1205" s="241"/>
      <c r="DK1205" s="241"/>
      <c r="DL1205" s="241"/>
      <c r="DM1205" s="241"/>
      <c r="DN1205" s="241"/>
      <c r="DO1205" s="241"/>
      <c r="DP1205" s="241"/>
      <c r="DQ1205" s="241"/>
      <c r="DR1205" s="241"/>
      <c r="DS1205" s="241"/>
      <c r="DT1205" s="241"/>
      <c r="DU1205" s="241"/>
      <c r="DV1205" s="241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345"/>
      <c r="EM1205" s="245"/>
      <c r="EN1205" s="245"/>
      <c r="EO1205" s="245"/>
      <c r="EP1205" s="245"/>
      <c r="EQ1205" s="351"/>
    </row>
    <row r="1206" spans="2:147" s="243" customFormat="1" ht="11.25" hidden="1" customHeight="1">
      <c r="B1206" s="343"/>
      <c r="C1206" s="240"/>
      <c r="D1206" s="240"/>
      <c r="E1206" s="240"/>
      <c r="F1206" s="240"/>
      <c r="G1206" s="240"/>
      <c r="H1206" s="240" t="s">
        <v>127</v>
      </c>
      <c r="I1206" s="240"/>
      <c r="J1206" s="240"/>
      <c r="K1206" s="240"/>
      <c r="L1206" s="240"/>
      <c r="M1206" s="240"/>
      <c r="N1206" s="240" t="s">
        <v>132</v>
      </c>
      <c r="O1206" s="240"/>
      <c r="P1206" s="1775">
        <f>VLOOKUP($H1206,노임단가!$A:$B,2,FALSE)</f>
        <v>197450</v>
      </c>
      <c r="Q1206" s="1775"/>
      <c r="R1206" s="1775"/>
      <c r="S1206" s="1775"/>
      <c r="T1206" s="1775"/>
      <c r="U1206" s="1775"/>
      <c r="V1206" s="240"/>
      <c r="W1206" s="240" t="s">
        <v>652</v>
      </c>
      <c r="X1206" s="240"/>
      <c r="Y1206" s="240"/>
      <c r="Z1206" s="240" t="str">
        <f>TEXT(2,"#,##0.#######")</f>
        <v>2.</v>
      </c>
      <c r="AA1206" s="240" t="s">
        <v>102</v>
      </c>
      <c r="AB1206" s="240"/>
      <c r="AC1206" s="240"/>
      <c r="AD1206" s="240" t="s">
        <v>683</v>
      </c>
      <c r="AE1206" s="240"/>
      <c r="AF1206" s="240"/>
      <c r="AG1206" s="240" t="s">
        <v>743</v>
      </c>
      <c r="AH1206" s="240"/>
      <c r="AI1206" s="240"/>
      <c r="AJ1206" s="240" t="s">
        <v>134</v>
      </c>
      <c r="AK1206" s="240"/>
      <c r="AL1206" s="240" t="str">
        <f>TEXT(P1206,"#,##0.#######")</f>
        <v>197,450.</v>
      </c>
      <c r="AM1206" s="240"/>
      <c r="AN1206" s="240"/>
      <c r="AO1206" s="240"/>
      <c r="AP1206" s="240"/>
      <c r="AQ1206" s="240"/>
      <c r="AR1206" s="240"/>
      <c r="AS1206" s="240"/>
      <c r="AT1206" s="240" t="s">
        <v>652</v>
      </c>
      <c r="AU1206" s="240"/>
      <c r="AV1206" s="240"/>
      <c r="AW1206" s="240" t="str">
        <f>TEXT(Z1206,"#,##0.#######")</f>
        <v>2.</v>
      </c>
      <c r="AX1206" s="240"/>
      <c r="AY1206" s="240" t="s">
        <v>683</v>
      </c>
      <c r="AZ1206" s="240"/>
      <c r="BA1206" s="240"/>
      <c r="BB1206" s="240" t="str">
        <f>TEXT(Z1192,"#,##0.#######")</f>
        <v>900.</v>
      </c>
      <c r="BC1206" s="240"/>
      <c r="BD1206" s="240"/>
      <c r="BE1206" s="240"/>
      <c r="BF1206" s="240" t="s">
        <v>134</v>
      </c>
      <c r="BG1206" s="240"/>
      <c r="BH1206" s="240" t="str">
        <f>TEXT(TRUNC(P1206*Z1206/BB1206,1),"#,##0.#######")</f>
        <v>438.7</v>
      </c>
      <c r="BI1206" s="240"/>
      <c r="BR1206" s="240"/>
      <c r="BS1206" s="240"/>
      <c r="BT1206" s="240"/>
      <c r="BU1206" s="240"/>
      <c r="BV1206" s="240"/>
      <c r="BW1206" s="240"/>
      <c r="BX1206" s="240"/>
      <c r="BY1206" s="240"/>
      <c r="BZ1206" s="240"/>
      <c r="CA1206" s="240"/>
      <c r="CB1206" s="240"/>
      <c r="CC1206" s="240"/>
      <c r="CD1206" s="240"/>
      <c r="CE1206" s="240"/>
      <c r="CF1206" s="240"/>
      <c r="CG1206" s="240"/>
      <c r="CH1206" s="240"/>
      <c r="CI1206" s="240"/>
      <c r="CJ1206" s="240"/>
      <c r="CK1206" s="240"/>
      <c r="CL1206" s="240"/>
      <c r="CM1206" s="240"/>
      <c r="CN1206" s="240"/>
      <c r="CO1206" s="240"/>
      <c r="CP1206" s="240"/>
      <c r="CQ1206" s="240"/>
      <c r="CR1206" s="240"/>
      <c r="CS1206" s="240"/>
      <c r="CT1206" s="240"/>
      <c r="CU1206" s="240"/>
      <c r="CV1206" s="240"/>
      <c r="CW1206" s="240"/>
      <c r="CX1206" s="240"/>
      <c r="CY1206" s="240"/>
      <c r="CZ1206" s="241"/>
      <c r="DA1206" s="241"/>
      <c r="DB1206" s="241"/>
      <c r="DC1206" s="241"/>
      <c r="DD1206" s="241"/>
      <c r="DE1206" s="241"/>
      <c r="DF1206" s="241"/>
      <c r="DG1206" s="241"/>
      <c r="DH1206" s="241"/>
      <c r="DI1206" s="241"/>
      <c r="DJ1206" s="241"/>
      <c r="DK1206" s="241"/>
      <c r="DL1206" s="241"/>
      <c r="DM1206" s="241"/>
      <c r="DN1206" s="241"/>
      <c r="DO1206" s="241"/>
      <c r="DP1206" s="241"/>
      <c r="DQ1206" s="241"/>
      <c r="DR1206" s="241"/>
      <c r="DS1206" s="241"/>
      <c r="DT1206" s="241"/>
      <c r="DU1206" s="241"/>
      <c r="DV1206" s="241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345"/>
      <c r="EM1206" s="245"/>
      <c r="EN1206" s="245"/>
      <c r="EO1206" s="245"/>
      <c r="EP1206" s="245"/>
      <c r="EQ1206" s="351"/>
    </row>
    <row r="1207" spans="2:147" s="243" customFormat="1" ht="11.25" hidden="1" customHeight="1">
      <c r="B1207" s="343"/>
      <c r="C1207" s="240"/>
      <c r="D1207" s="240"/>
      <c r="E1207" s="240"/>
      <c r="F1207" s="240"/>
      <c r="G1207" s="240"/>
      <c r="H1207" s="240"/>
      <c r="I1207" s="240"/>
      <c r="J1207" s="240"/>
      <c r="K1207" s="240"/>
      <c r="L1207" s="240"/>
      <c r="M1207" s="240"/>
      <c r="N1207" s="240"/>
      <c r="O1207" s="240"/>
      <c r="P1207" s="240"/>
      <c r="Q1207" s="240"/>
      <c r="R1207" s="240"/>
      <c r="V1207" s="240"/>
      <c r="W1207" s="240"/>
      <c r="X1207" s="240"/>
      <c r="Y1207" s="240"/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240"/>
      <c r="AM1207" s="240"/>
      <c r="AN1207" s="240"/>
      <c r="AO1207" s="240"/>
      <c r="AP1207" s="240"/>
      <c r="AQ1207" s="240"/>
      <c r="AR1207" s="240"/>
      <c r="AS1207" s="240"/>
      <c r="AT1207" s="240"/>
      <c r="AU1207" s="240"/>
      <c r="AV1207" s="240"/>
      <c r="AW1207" s="240"/>
      <c r="AX1207" s="240"/>
      <c r="AY1207" s="240"/>
      <c r="AZ1207" s="240"/>
      <c r="BA1207" s="240"/>
      <c r="BB1207" s="240"/>
      <c r="BC1207" s="240"/>
      <c r="BD1207" s="240"/>
      <c r="BE1207" s="240"/>
      <c r="BF1207" s="240"/>
      <c r="BG1207" s="240"/>
      <c r="BH1207" s="240"/>
      <c r="BI1207" s="240"/>
      <c r="BR1207" s="240"/>
      <c r="BS1207" s="240"/>
      <c r="BT1207" s="240"/>
      <c r="BU1207" s="240"/>
      <c r="BV1207" s="240"/>
      <c r="BW1207" s="240"/>
      <c r="BX1207" s="240"/>
      <c r="BY1207" s="240"/>
      <c r="BZ1207" s="240"/>
      <c r="CA1207" s="240"/>
      <c r="CB1207" s="240"/>
      <c r="CC1207" s="240"/>
      <c r="CD1207" s="240"/>
      <c r="CE1207" s="240"/>
      <c r="CF1207" s="240"/>
      <c r="CG1207" s="240"/>
      <c r="CH1207" s="240"/>
      <c r="CI1207" s="240"/>
      <c r="CJ1207" s="240"/>
      <c r="CK1207" s="240"/>
      <c r="CL1207" s="240"/>
      <c r="CM1207" s="240"/>
      <c r="CN1207" s="240"/>
      <c r="CO1207" s="240"/>
      <c r="CP1207" s="240"/>
      <c r="CQ1207" s="240"/>
      <c r="CR1207" s="240"/>
      <c r="CS1207" s="240"/>
      <c r="CT1207" s="240"/>
      <c r="CU1207" s="240"/>
      <c r="CV1207" s="240"/>
      <c r="CW1207" s="240"/>
      <c r="CX1207" s="240"/>
      <c r="CY1207" s="240"/>
      <c r="CZ1207" s="241"/>
      <c r="DA1207" s="241"/>
      <c r="DB1207" s="241"/>
      <c r="DC1207" s="241"/>
      <c r="DD1207" s="241"/>
      <c r="DE1207" s="241"/>
      <c r="DF1207" s="241"/>
      <c r="DG1207" s="241"/>
      <c r="DH1207" s="241"/>
      <c r="DI1207" s="241"/>
      <c r="DJ1207" s="241"/>
      <c r="DK1207" s="241"/>
      <c r="DL1207" s="241"/>
      <c r="DM1207" s="241"/>
      <c r="DN1207" s="241"/>
      <c r="DO1207" s="241"/>
      <c r="DP1207" s="241"/>
      <c r="DQ1207" s="241"/>
      <c r="DR1207" s="241"/>
      <c r="DS1207" s="241"/>
      <c r="DT1207" s="241"/>
      <c r="DU1207" s="241"/>
      <c r="DV1207" s="241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345"/>
      <c r="EM1207" s="245"/>
      <c r="EN1207" s="245"/>
      <c r="EO1207" s="245"/>
      <c r="EP1207" s="245"/>
      <c r="EQ1207" s="351"/>
    </row>
    <row r="1208" spans="2:147" s="243" customFormat="1" ht="11.25" hidden="1" customHeight="1">
      <c r="B1208" s="343"/>
      <c r="C1208" s="240"/>
      <c r="D1208" s="240"/>
      <c r="E1208" s="240"/>
      <c r="F1208" s="240"/>
      <c r="G1208" s="240"/>
      <c r="H1208" s="240" t="s">
        <v>103</v>
      </c>
      <c r="I1208" s="240"/>
      <c r="J1208" s="240"/>
      <c r="K1208" s="240"/>
      <c r="L1208" s="240"/>
      <c r="M1208" s="240"/>
      <c r="N1208" s="240" t="s">
        <v>132</v>
      </c>
      <c r="O1208" s="240"/>
      <c r="P1208" s="1775">
        <f>VLOOKUP($H1208,노임단가!$A:$B,2,FALSE)</f>
        <v>157068</v>
      </c>
      <c r="Q1208" s="1775"/>
      <c r="R1208" s="1775"/>
      <c r="S1208" s="1775"/>
      <c r="T1208" s="1775"/>
      <c r="U1208" s="1775"/>
      <c r="W1208" s="240" t="s">
        <v>652</v>
      </c>
      <c r="X1208" s="240"/>
      <c r="Y1208" s="240"/>
      <c r="Z1208" s="240" t="str">
        <f>TEXT(2,"#,##0.#######")</f>
        <v>2.</v>
      </c>
      <c r="AA1208" s="240" t="s">
        <v>102</v>
      </c>
      <c r="AB1208" s="240"/>
      <c r="AC1208" s="240"/>
      <c r="AD1208" s="240" t="s">
        <v>683</v>
      </c>
      <c r="AE1208" s="240"/>
      <c r="AF1208" s="240"/>
      <c r="AG1208" s="240" t="s">
        <v>743</v>
      </c>
      <c r="AH1208" s="240"/>
      <c r="AI1208" s="240"/>
      <c r="AJ1208" s="240" t="s">
        <v>134</v>
      </c>
      <c r="AK1208" s="240"/>
      <c r="AL1208" s="240" t="str">
        <f>TEXT(P1208,"#,##0.#######")</f>
        <v>157,068.</v>
      </c>
      <c r="AN1208" s="240"/>
      <c r="AO1208" s="240"/>
      <c r="AP1208" s="240"/>
      <c r="AQ1208" s="240"/>
      <c r="AR1208" s="240"/>
      <c r="AS1208" s="240"/>
      <c r="AT1208" s="240" t="s">
        <v>652</v>
      </c>
      <c r="AU1208" s="240"/>
      <c r="AV1208" s="240"/>
      <c r="AW1208" s="240" t="str">
        <f>TEXT(Z1208,"#,##0.#######")</f>
        <v>2.</v>
      </c>
      <c r="AX1208" s="240"/>
      <c r="AY1208" s="240" t="s">
        <v>683</v>
      </c>
      <c r="AZ1208" s="240"/>
      <c r="BA1208" s="240"/>
      <c r="BB1208" s="240" t="str">
        <f>TEXT(Z1192,"#,##0.#######")</f>
        <v>900.</v>
      </c>
      <c r="BC1208" s="240"/>
      <c r="BD1208" s="240"/>
      <c r="BE1208" s="240"/>
      <c r="BF1208" s="240" t="s">
        <v>134</v>
      </c>
      <c r="BG1208" s="240"/>
      <c r="BH1208" s="240" t="str">
        <f>TEXT(TRUNC(P1208*Z1208/BB1208,1),"#,##0.#######")</f>
        <v>349.</v>
      </c>
      <c r="BI1208" s="240"/>
      <c r="BR1208" s="240"/>
      <c r="BS1208" s="240"/>
      <c r="BT1208" s="240"/>
      <c r="BU1208" s="240"/>
      <c r="BV1208" s="240"/>
      <c r="BW1208" s="240"/>
      <c r="BX1208" s="240"/>
      <c r="BY1208" s="240"/>
      <c r="BZ1208" s="240"/>
      <c r="CA1208" s="240"/>
      <c r="CB1208" s="240"/>
      <c r="CC1208" s="240"/>
      <c r="CD1208" s="240"/>
      <c r="CE1208" s="240"/>
      <c r="CF1208" s="240"/>
      <c r="CG1208" s="240"/>
      <c r="CH1208" s="240"/>
      <c r="CI1208" s="240"/>
      <c r="CJ1208" s="240"/>
      <c r="CK1208" s="240"/>
      <c r="CL1208" s="240"/>
      <c r="CM1208" s="240"/>
      <c r="CN1208" s="240"/>
      <c r="CO1208" s="240"/>
      <c r="CP1208" s="240"/>
      <c r="CQ1208" s="240"/>
      <c r="CR1208" s="240"/>
      <c r="CS1208" s="240"/>
      <c r="CT1208" s="240"/>
      <c r="CU1208" s="240"/>
      <c r="CV1208" s="240"/>
      <c r="CW1208" s="240"/>
      <c r="CX1208" s="240"/>
      <c r="CY1208" s="240"/>
      <c r="CZ1208" s="241"/>
      <c r="DA1208" s="241"/>
      <c r="DB1208" s="241"/>
      <c r="DC1208" s="241"/>
      <c r="DD1208" s="241"/>
      <c r="DE1208" s="241"/>
      <c r="DF1208" s="241"/>
      <c r="DG1208" s="241"/>
      <c r="DH1208" s="241"/>
      <c r="DI1208" s="241"/>
      <c r="DJ1208" s="241"/>
      <c r="DK1208" s="241"/>
      <c r="DL1208" s="241"/>
      <c r="DM1208" s="241"/>
      <c r="DN1208" s="241"/>
      <c r="DO1208" s="241"/>
      <c r="DP1208" s="241"/>
      <c r="DQ1208" s="241"/>
      <c r="DR1208" s="241"/>
      <c r="DS1208" s="241"/>
      <c r="DT1208" s="241"/>
      <c r="DU1208" s="241"/>
      <c r="DV1208" s="241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345"/>
      <c r="EM1208" s="245"/>
      <c r="EN1208" s="245"/>
      <c r="EO1208" s="245"/>
      <c r="EP1208" s="245"/>
      <c r="EQ1208" s="351"/>
    </row>
    <row r="1209" spans="2:147" s="243" customFormat="1" ht="11.25" hidden="1" customHeight="1">
      <c r="B1209" s="343"/>
      <c r="C1209" s="240"/>
      <c r="D1209" s="240"/>
      <c r="E1209" s="240"/>
      <c r="F1209" s="240"/>
      <c r="G1209" s="240"/>
      <c r="H1209" s="240"/>
      <c r="I1209" s="240"/>
      <c r="J1209" s="240"/>
      <c r="K1209" s="240"/>
      <c r="L1209" s="240"/>
      <c r="M1209" s="240"/>
      <c r="N1209" s="240"/>
      <c r="O1209" s="240"/>
      <c r="P1209" s="240"/>
      <c r="Q1209" s="240"/>
      <c r="R1209" s="240"/>
      <c r="S1209" s="240"/>
      <c r="T1209" s="240"/>
      <c r="U1209" s="240"/>
      <c r="V1209" s="240"/>
      <c r="W1209" s="240"/>
      <c r="X1209" s="240"/>
      <c r="Y1209" s="240"/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240"/>
      <c r="AM1209" s="240"/>
      <c r="AN1209" s="240"/>
      <c r="AO1209" s="240"/>
      <c r="AP1209" s="240"/>
      <c r="AQ1209" s="240"/>
      <c r="AR1209" s="240"/>
      <c r="AS1209" s="240"/>
      <c r="AT1209" s="240"/>
      <c r="AU1209" s="240"/>
      <c r="AV1209" s="240"/>
      <c r="AW1209" s="240"/>
      <c r="AX1209" s="240"/>
      <c r="AY1209" s="240"/>
      <c r="AZ1209" s="240"/>
      <c r="BA1209" s="240"/>
      <c r="BB1209" s="240"/>
      <c r="BC1209" s="240"/>
      <c r="BD1209" s="240"/>
      <c r="BE1209" s="240"/>
      <c r="BF1209" s="240"/>
      <c r="BG1209" s="240"/>
      <c r="BH1209" s="240"/>
      <c r="BI1209" s="240"/>
      <c r="BJ1209" s="240"/>
      <c r="BK1209" s="240"/>
      <c r="BL1209" s="240"/>
      <c r="BM1209" s="240"/>
      <c r="BN1209" s="240"/>
      <c r="BO1209" s="240"/>
      <c r="BP1209" s="240"/>
      <c r="BQ1209" s="240"/>
      <c r="BR1209" s="240"/>
      <c r="BS1209" s="240"/>
      <c r="BT1209" s="240"/>
      <c r="BU1209" s="240"/>
      <c r="BV1209" s="240"/>
      <c r="BW1209" s="240"/>
      <c r="BX1209" s="240"/>
      <c r="BY1209" s="240"/>
      <c r="BZ1209" s="240"/>
      <c r="CA1209" s="240"/>
      <c r="CB1209" s="240"/>
      <c r="CC1209" s="240"/>
      <c r="CD1209" s="240"/>
      <c r="CE1209" s="240"/>
      <c r="CF1209" s="240"/>
      <c r="CG1209" s="240"/>
      <c r="CH1209" s="240"/>
      <c r="CI1209" s="240"/>
      <c r="CJ1209" s="240"/>
      <c r="CK1209" s="240"/>
      <c r="CL1209" s="240"/>
      <c r="CM1209" s="240"/>
      <c r="CN1209" s="240"/>
      <c r="CO1209" s="240"/>
      <c r="CP1209" s="240"/>
      <c r="CQ1209" s="240"/>
      <c r="CR1209" s="240"/>
      <c r="CS1209" s="240"/>
      <c r="CT1209" s="240"/>
      <c r="CU1209" s="240"/>
      <c r="CV1209" s="240"/>
      <c r="CW1209" s="240"/>
      <c r="CX1209" s="240"/>
      <c r="CY1209" s="240"/>
      <c r="CZ1209" s="241"/>
      <c r="DA1209" s="241"/>
      <c r="DB1209" s="241"/>
      <c r="DC1209" s="241"/>
      <c r="DD1209" s="241"/>
      <c r="DE1209" s="241"/>
      <c r="DF1209" s="241"/>
      <c r="DG1209" s="241"/>
      <c r="DH1209" s="241"/>
      <c r="DI1209" s="241"/>
      <c r="DJ1209" s="241"/>
      <c r="DK1209" s="241"/>
      <c r="DL1209" s="241"/>
      <c r="DM1209" s="241"/>
      <c r="DN1209" s="241"/>
      <c r="DO1209" s="241"/>
      <c r="DP1209" s="241"/>
      <c r="DQ1209" s="241"/>
      <c r="DR1209" s="241"/>
      <c r="DS1209" s="241"/>
      <c r="DT1209" s="241"/>
      <c r="DU1209" s="241"/>
      <c r="DV1209" s="241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345"/>
      <c r="EM1209" s="245"/>
      <c r="EN1209" s="245"/>
      <c r="EO1209" s="245"/>
      <c r="EP1209" s="245"/>
      <c r="EQ1209" s="351"/>
    </row>
    <row r="1210" spans="2:147" s="243" customFormat="1" ht="11.25" hidden="1" customHeight="1">
      <c r="B1210" s="343"/>
      <c r="C1210" s="240"/>
      <c r="D1210" s="240"/>
      <c r="E1210" s="240"/>
      <c r="F1210" s="240"/>
      <c r="G1210" s="240"/>
      <c r="H1210" s="240" t="s">
        <v>684</v>
      </c>
      <c r="I1210" s="240"/>
      <c r="J1210" s="240"/>
      <c r="K1210" s="240"/>
      <c r="L1210" s="240"/>
      <c r="M1210" s="240"/>
      <c r="N1210" s="240" t="s">
        <v>132</v>
      </c>
      <c r="O1210" s="240"/>
      <c r="P1210" s="240" t="str">
        <f>TEXT(TRUNC(BH1206+BH1208,1),"#,##0.#######")</f>
        <v>787.7</v>
      </c>
      <c r="T1210" s="240"/>
      <c r="U1210" s="240"/>
      <c r="V1210" s="240"/>
      <c r="W1210" s="240"/>
      <c r="X1210" s="240"/>
      <c r="Y1210" s="240"/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0"/>
      <c r="BN1210" s="240"/>
      <c r="BO1210" s="240"/>
      <c r="BP1210" s="240"/>
      <c r="BQ1210" s="240"/>
      <c r="BR1210" s="240"/>
      <c r="BS1210" s="240"/>
      <c r="BT1210" s="240"/>
      <c r="BU1210" s="240"/>
      <c r="BV1210" s="240"/>
      <c r="BW1210" s="240"/>
      <c r="BX1210" s="240"/>
      <c r="BY1210" s="240"/>
      <c r="BZ1210" s="240"/>
      <c r="CA1210" s="240"/>
      <c r="CB1210" s="240"/>
      <c r="CC1210" s="240"/>
      <c r="CD1210" s="240"/>
      <c r="CE1210" s="240"/>
      <c r="CF1210" s="240"/>
      <c r="CG1210" s="240"/>
      <c r="CH1210" s="240"/>
      <c r="CI1210" s="240"/>
      <c r="CJ1210" s="240"/>
      <c r="CK1210" s="240"/>
      <c r="CL1210" s="240"/>
      <c r="CM1210" s="240"/>
      <c r="CN1210" s="240"/>
      <c r="CO1210" s="240"/>
      <c r="CP1210" s="240"/>
      <c r="CQ1210" s="240"/>
      <c r="CR1210" s="240"/>
      <c r="CS1210" s="240"/>
      <c r="CT1210" s="240"/>
      <c r="CU1210" s="240"/>
      <c r="CV1210" s="240"/>
      <c r="CW1210" s="240"/>
      <c r="CX1210" s="240"/>
      <c r="CY1210" s="240"/>
      <c r="CZ1210" s="241"/>
      <c r="DA1210" s="241"/>
      <c r="DB1210" s="241"/>
      <c r="DC1210" s="241"/>
      <c r="DD1210" s="241"/>
      <c r="DE1210" s="241"/>
      <c r="DF1210" s="241"/>
      <c r="DG1210" s="241"/>
      <c r="DH1210" s="241"/>
      <c r="DI1210" s="241"/>
      <c r="DJ1210" s="241"/>
      <c r="DK1210" s="241"/>
      <c r="DL1210" s="241"/>
      <c r="DM1210" s="241"/>
      <c r="DN1210" s="241"/>
      <c r="DO1210" s="241"/>
      <c r="DP1210" s="241"/>
      <c r="DQ1210" s="241"/>
      <c r="DR1210" s="241"/>
      <c r="DS1210" s="241"/>
      <c r="DT1210" s="241"/>
      <c r="DU1210" s="241"/>
      <c r="DV1210" s="241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345"/>
      <c r="EM1210" s="245"/>
      <c r="EN1210" s="245" t="str">
        <f>P1210</f>
        <v>787.7</v>
      </c>
      <c r="EO1210" s="245"/>
      <c r="EP1210" s="245"/>
      <c r="EQ1210" s="351"/>
    </row>
    <row r="1211" spans="2:147" s="243" customFormat="1" ht="11.25" hidden="1" customHeight="1">
      <c r="B1211" s="343"/>
      <c r="C1211" s="240"/>
      <c r="D1211" s="240"/>
      <c r="E1211" s="240"/>
      <c r="F1211" s="240"/>
      <c r="G1211" s="240"/>
      <c r="H1211" s="240"/>
      <c r="I1211" s="240"/>
      <c r="J1211" s="240"/>
      <c r="K1211" s="240"/>
      <c r="L1211" s="240"/>
      <c r="M1211" s="240"/>
      <c r="N1211" s="240"/>
      <c r="O1211" s="240"/>
      <c r="P1211" s="240"/>
      <c r="Q1211" s="240"/>
      <c r="R1211" s="240"/>
      <c r="S1211" s="240"/>
      <c r="T1211" s="240"/>
      <c r="U1211" s="240"/>
      <c r="V1211" s="240"/>
      <c r="W1211" s="240"/>
      <c r="X1211" s="240"/>
      <c r="Y1211" s="240"/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0"/>
      <c r="BN1211" s="240"/>
      <c r="BO1211" s="240"/>
      <c r="BP1211" s="240"/>
      <c r="BQ1211" s="240"/>
      <c r="BR1211" s="240"/>
      <c r="BS1211" s="240"/>
      <c r="BT1211" s="240"/>
      <c r="BU1211" s="240"/>
      <c r="BV1211" s="240"/>
      <c r="BW1211" s="240"/>
      <c r="BX1211" s="240"/>
      <c r="BY1211" s="240"/>
      <c r="BZ1211" s="240"/>
      <c r="CA1211" s="240"/>
      <c r="CB1211" s="240"/>
      <c r="CC1211" s="240"/>
      <c r="CD1211" s="240"/>
      <c r="CE1211" s="240"/>
      <c r="CF1211" s="240"/>
      <c r="CG1211" s="240"/>
      <c r="CH1211" s="240"/>
      <c r="CI1211" s="240"/>
      <c r="CJ1211" s="240"/>
      <c r="CK1211" s="240"/>
      <c r="CL1211" s="240"/>
      <c r="CM1211" s="240"/>
      <c r="CN1211" s="240"/>
      <c r="CO1211" s="240"/>
      <c r="CP1211" s="240"/>
      <c r="CQ1211" s="240"/>
      <c r="CR1211" s="240"/>
      <c r="CS1211" s="240"/>
      <c r="CT1211" s="240"/>
      <c r="CU1211" s="240"/>
      <c r="CV1211" s="240"/>
      <c r="CW1211" s="240"/>
      <c r="CX1211" s="240"/>
      <c r="CY1211" s="240"/>
      <c r="CZ1211" s="241"/>
      <c r="DA1211" s="241"/>
      <c r="DB1211" s="241"/>
      <c r="DC1211" s="241"/>
      <c r="DD1211" s="241"/>
      <c r="DE1211" s="241"/>
      <c r="DF1211" s="241"/>
      <c r="DG1211" s="241"/>
      <c r="DH1211" s="241"/>
      <c r="DI1211" s="241"/>
      <c r="DJ1211" s="241"/>
      <c r="DK1211" s="241"/>
      <c r="DL1211" s="241"/>
      <c r="DM1211" s="241"/>
      <c r="DN1211" s="241"/>
      <c r="DO1211" s="241"/>
      <c r="DP1211" s="241"/>
      <c r="DQ1211" s="241"/>
      <c r="DR1211" s="241"/>
      <c r="DS1211" s="241"/>
      <c r="DT1211" s="241"/>
      <c r="DU1211" s="241"/>
      <c r="DV1211" s="241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345"/>
      <c r="EM1211" s="245"/>
      <c r="EN1211" s="245"/>
      <c r="EO1211" s="245"/>
      <c r="EP1211" s="245"/>
      <c r="EQ1211" s="351"/>
    </row>
    <row r="1212" spans="2:147" s="243" customFormat="1" ht="11.25" hidden="1" customHeight="1">
      <c r="B1212" s="343"/>
      <c r="C1212" s="240"/>
      <c r="D1212" s="240"/>
      <c r="E1212" s="240" t="s">
        <v>677</v>
      </c>
      <c r="F1212" s="240"/>
      <c r="G1212" s="240"/>
      <c r="H1212" s="240" t="s">
        <v>869</v>
      </c>
      <c r="I1212" s="240"/>
      <c r="J1212" s="240"/>
      <c r="K1212" s="240"/>
      <c r="L1212" s="240"/>
      <c r="M1212" s="240"/>
      <c r="N1212" s="240" t="s">
        <v>147</v>
      </c>
      <c r="O1212" s="240" t="s">
        <v>870</v>
      </c>
      <c r="P1212" s="240"/>
      <c r="Q1212" s="240"/>
      <c r="R1212" s="240"/>
      <c r="S1212" s="240"/>
      <c r="T1212" s="240"/>
      <c r="U1212" s="240"/>
      <c r="V1212" s="240"/>
      <c r="W1212" s="240"/>
      <c r="X1212" s="240"/>
      <c r="Y1212" s="240"/>
      <c r="Z1212" s="240" t="s">
        <v>538</v>
      </c>
      <c r="AA1212" s="240" t="s">
        <v>657</v>
      </c>
      <c r="AB1212" s="240" t="s">
        <v>148</v>
      </c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240"/>
      <c r="AM1212" s="240"/>
      <c r="AN1212" s="240"/>
      <c r="AO1212" s="240"/>
      <c r="AP1212" s="240"/>
      <c r="AQ1212" s="240"/>
      <c r="AR1212" s="240"/>
      <c r="AS1212" s="240"/>
      <c r="AT1212" s="240"/>
      <c r="AU1212" s="240"/>
      <c r="AV1212" s="240"/>
      <c r="AW1212" s="240"/>
      <c r="AX1212" s="240"/>
      <c r="AY1212" s="240"/>
      <c r="AZ1212" s="240"/>
      <c r="BA1212" s="240"/>
      <c r="BB1212" s="240"/>
      <c r="BC1212" s="240"/>
      <c r="BD1212" s="240"/>
      <c r="BE1212" s="240"/>
      <c r="BF1212" s="240"/>
      <c r="BG1212" s="240"/>
      <c r="BH1212" s="240"/>
      <c r="BI1212" s="240"/>
      <c r="BJ1212" s="240"/>
      <c r="BK1212" s="240"/>
      <c r="BL1212" s="240"/>
      <c r="BM1212" s="240"/>
      <c r="BN1212" s="240"/>
      <c r="BO1212" s="240"/>
      <c r="BP1212" s="240"/>
      <c r="BQ1212" s="240"/>
      <c r="BR1212" s="240"/>
      <c r="BS1212" s="240"/>
      <c r="BT1212" s="240"/>
      <c r="BU1212" s="240"/>
      <c r="BV1212" s="240"/>
      <c r="BW1212" s="240"/>
      <c r="BX1212" s="240"/>
      <c r="BY1212" s="240"/>
      <c r="BZ1212" s="240"/>
      <c r="CA1212" s="240"/>
      <c r="CB1212" s="240"/>
      <c r="CC1212" s="240"/>
      <c r="CD1212" s="240"/>
      <c r="CE1212" s="240"/>
      <c r="CF1212" s="240"/>
      <c r="CG1212" s="240"/>
      <c r="CH1212" s="240"/>
      <c r="CI1212" s="240"/>
      <c r="CJ1212" s="240"/>
      <c r="CK1212" s="240"/>
      <c r="CL1212" s="240"/>
      <c r="CM1212" s="240"/>
      <c r="CN1212" s="240"/>
      <c r="CO1212" s="240"/>
      <c r="CP1212" s="240"/>
      <c r="CQ1212" s="240"/>
      <c r="CR1212" s="240"/>
      <c r="CS1212" s="240"/>
      <c r="CT1212" s="240"/>
      <c r="CU1212" s="240"/>
      <c r="CV1212" s="240"/>
      <c r="CW1212" s="240"/>
      <c r="CX1212" s="240"/>
      <c r="CY1212" s="240"/>
      <c r="CZ1212" s="241"/>
      <c r="DA1212" s="241"/>
      <c r="DB1212" s="241"/>
      <c r="DC1212" s="241"/>
      <c r="DD1212" s="241"/>
      <c r="DE1212" s="241"/>
      <c r="DF1212" s="241"/>
      <c r="DG1212" s="241"/>
      <c r="DH1212" s="241"/>
      <c r="DI1212" s="241"/>
      <c r="DJ1212" s="241"/>
      <c r="DK1212" s="241"/>
      <c r="DL1212" s="241"/>
      <c r="DM1212" s="241"/>
      <c r="DN1212" s="241"/>
      <c r="DO1212" s="241"/>
      <c r="DP1212" s="241"/>
      <c r="DQ1212" s="241"/>
      <c r="DR1212" s="241"/>
      <c r="DS1212" s="241"/>
      <c r="DT1212" s="241"/>
      <c r="DU1212" s="241"/>
      <c r="DV1212" s="241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345"/>
      <c r="EM1212" s="245"/>
      <c r="EN1212" s="245"/>
      <c r="EO1212" s="245"/>
      <c r="EP1212" s="245"/>
      <c r="EQ1212" s="351"/>
    </row>
    <row r="1213" spans="2:147" s="243" customFormat="1" ht="11.25" hidden="1" customHeight="1">
      <c r="B1213" s="343"/>
      <c r="C1213" s="240"/>
      <c r="D1213" s="240"/>
      <c r="E1213" s="240"/>
      <c r="F1213" s="240"/>
      <c r="G1213" s="240"/>
      <c r="H1213" s="240"/>
      <c r="I1213" s="240"/>
      <c r="J1213" s="240"/>
      <c r="K1213" s="240"/>
      <c r="L1213" s="240"/>
      <c r="M1213" s="240"/>
      <c r="N1213" s="240"/>
      <c r="O1213" s="240"/>
      <c r="P1213" s="240"/>
      <c r="Q1213" s="240"/>
      <c r="R1213" s="240"/>
      <c r="S1213" s="240"/>
      <c r="T1213" s="240"/>
      <c r="U1213" s="240"/>
      <c r="V1213" s="240"/>
      <c r="W1213" s="240"/>
      <c r="X1213" s="240"/>
      <c r="Y1213" s="240"/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240"/>
      <c r="AM1213" s="240"/>
      <c r="AN1213" s="240"/>
      <c r="AO1213" s="240"/>
      <c r="AP1213" s="240"/>
      <c r="AQ1213" s="240"/>
      <c r="AR1213" s="240"/>
      <c r="AS1213" s="240"/>
      <c r="AT1213" s="240"/>
      <c r="AU1213" s="240"/>
      <c r="AV1213" s="240"/>
      <c r="AW1213" s="240"/>
      <c r="AX1213" s="240"/>
      <c r="AY1213" s="240"/>
      <c r="AZ1213" s="240"/>
      <c r="BA1213" s="240"/>
      <c r="BB1213" s="240"/>
      <c r="BC1213" s="240"/>
      <c r="BD1213" s="240"/>
      <c r="BE1213" s="240"/>
      <c r="BF1213" s="240"/>
      <c r="BG1213" s="240"/>
      <c r="BH1213" s="240"/>
      <c r="BI1213" s="240"/>
      <c r="BJ1213" s="240"/>
      <c r="BK1213" s="240"/>
      <c r="BL1213" s="240"/>
      <c r="BM1213" s="240"/>
      <c r="BN1213" s="240"/>
      <c r="BO1213" s="240"/>
      <c r="BP1213" s="240"/>
      <c r="BQ1213" s="240"/>
      <c r="BR1213" s="240"/>
      <c r="BS1213" s="240"/>
      <c r="BT1213" s="240"/>
      <c r="BU1213" s="240"/>
      <c r="BV1213" s="240"/>
      <c r="BW1213" s="240"/>
      <c r="BX1213" s="240"/>
      <c r="BY1213" s="240"/>
      <c r="BZ1213" s="240"/>
      <c r="CA1213" s="240"/>
      <c r="CB1213" s="240"/>
      <c r="CC1213" s="240"/>
      <c r="CD1213" s="240"/>
      <c r="CE1213" s="240"/>
      <c r="CF1213" s="240"/>
      <c r="CG1213" s="240"/>
      <c r="CH1213" s="240"/>
      <c r="CI1213" s="240"/>
      <c r="CJ1213" s="240"/>
      <c r="CK1213" s="240"/>
      <c r="CL1213" s="240"/>
      <c r="CM1213" s="240"/>
      <c r="CN1213" s="240"/>
      <c r="CO1213" s="240"/>
      <c r="CP1213" s="240"/>
      <c r="CQ1213" s="240"/>
      <c r="CR1213" s="240"/>
      <c r="CS1213" s="240"/>
      <c r="CT1213" s="240"/>
      <c r="CU1213" s="240"/>
      <c r="CV1213" s="240"/>
      <c r="CW1213" s="240"/>
      <c r="CX1213" s="240"/>
      <c r="CY1213" s="240"/>
      <c r="CZ1213" s="241"/>
      <c r="DA1213" s="241"/>
      <c r="DB1213" s="241"/>
      <c r="DC1213" s="241"/>
      <c r="DD1213" s="241"/>
      <c r="DE1213" s="241"/>
      <c r="DF1213" s="241"/>
      <c r="DG1213" s="241"/>
      <c r="DH1213" s="241"/>
      <c r="DI1213" s="241"/>
      <c r="DJ1213" s="241"/>
      <c r="DK1213" s="241"/>
      <c r="DL1213" s="241"/>
      <c r="DM1213" s="241"/>
      <c r="DN1213" s="241"/>
      <c r="DO1213" s="241"/>
      <c r="DP1213" s="241"/>
      <c r="DQ1213" s="241"/>
      <c r="DR1213" s="241"/>
      <c r="DS1213" s="241"/>
      <c r="DT1213" s="241"/>
      <c r="DU1213" s="241"/>
      <c r="DV1213" s="241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345"/>
      <c r="EM1213" s="245"/>
      <c r="EN1213" s="245"/>
      <c r="EO1213" s="245"/>
      <c r="EP1213" s="245"/>
      <c r="EQ1213" s="351"/>
    </row>
    <row r="1214" spans="2:147" s="243" customFormat="1" ht="11.25" hidden="1" customHeight="1">
      <c r="B1214" s="343"/>
      <c r="C1214" s="240"/>
      <c r="D1214" s="240"/>
      <c r="E1214" s="240"/>
      <c r="F1214" s="240"/>
      <c r="G1214" s="240"/>
      <c r="H1214" s="240" t="str">
        <f>S1202</f>
        <v>5,246.</v>
      </c>
      <c r="I1214" s="240"/>
      <c r="J1214" s="240"/>
      <c r="K1214" s="240"/>
      <c r="L1214" s="240"/>
      <c r="M1214" s="240"/>
      <c r="N1214" s="240"/>
      <c r="O1214" s="240"/>
      <c r="P1214" s="240"/>
      <c r="Q1214" s="240"/>
      <c r="R1214" s="240" t="s">
        <v>652</v>
      </c>
      <c r="S1214" s="240"/>
      <c r="T1214" s="240"/>
      <c r="U1214" s="240" t="str">
        <f>TEXT(1,"#,##0.#######")</f>
        <v>1.</v>
      </c>
      <c r="V1214" s="240" t="s">
        <v>657</v>
      </c>
      <c r="W1214" s="240"/>
      <c r="X1214" s="240" t="s">
        <v>134</v>
      </c>
      <c r="Y1214" s="240"/>
      <c r="Z1214" s="240" t="str">
        <f>TEXT(TRUNC(S1202*(U1214*(1/100)),1),"#,##0.#")</f>
        <v>52.4</v>
      </c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240"/>
      <c r="AM1214" s="240"/>
      <c r="AN1214" s="240"/>
      <c r="AO1214" s="240"/>
      <c r="AP1214" s="240"/>
      <c r="AQ1214" s="240"/>
      <c r="AR1214" s="240"/>
      <c r="AS1214" s="240"/>
      <c r="AT1214" s="240"/>
      <c r="AU1214" s="240"/>
      <c r="AV1214" s="240"/>
      <c r="AW1214" s="240"/>
      <c r="AX1214" s="240"/>
      <c r="AY1214" s="240"/>
      <c r="AZ1214" s="240"/>
      <c r="BA1214" s="240"/>
      <c r="BB1214" s="240"/>
      <c r="BC1214" s="240"/>
      <c r="BD1214" s="240"/>
      <c r="BE1214" s="240"/>
      <c r="BF1214" s="240"/>
      <c r="BG1214" s="240"/>
      <c r="BH1214" s="240"/>
      <c r="BI1214" s="240"/>
      <c r="BJ1214" s="240"/>
      <c r="BK1214" s="240"/>
      <c r="BL1214" s="240"/>
      <c r="BM1214" s="240"/>
      <c r="BN1214" s="240"/>
      <c r="BO1214" s="240"/>
      <c r="BP1214" s="240"/>
      <c r="BQ1214" s="240"/>
      <c r="BR1214" s="240"/>
      <c r="BS1214" s="240"/>
      <c r="BT1214" s="240"/>
      <c r="BU1214" s="240"/>
      <c r="BV1214" s="240"/>
      <c r="BW1214" s="240"/>
      <c r="BX1214" s="240"/>
      <c r="BY1214" s="240"/>
      <c r="BZ1214" s="240"/>
      <c r="CA1214" s="240"/>
      <c r="CB1214" s="240"/>
      <c r="CC1214" s="240"/>
      <c r="CD1214" s="240"/>
      <c r="CE1214" s="240"/>
      <c r="CF1214" s="240"/>
      <c r="CG1214" s="240"/>
      <c r="CH1214" s="240"/>
      <c r="CI1214" s="240"/>
      <c r="CJ1214" s="240"/>
      <c r="CK1214" s="240"/>
      <c r="CL1214" s="240"/>
      <c r="CM1214" s="240"/>
      <c r="CN1214" s="240"/>
      <c r="CO1214" s="240"/>
      <c r="CP1214" s="240"/>
      <c r="CQ1214" s="240"/>
      <c r="CR1214" s="240"/>
      <c r="CS1214" s="240"/>
      <c r="CT1214" s="240"/>
      <c r="CU1214" s="240"/>
      <c r="CV1214" s="240"/>
      <c r="CW1214" s="240"/>
      <c r="CX1214" s="240"/>
      <c r="CY1214" s="240"/>
      <c r="CZ1214" s="241"/>
      <c r="DA1214" s="241"/>
      <c r="DB1214" s="241"/>
      <c r="DC1214" s="241"/>
      <c r="DD1214" s="241"/>
      <c r="DE1214" s="241"/>
      <c r="DF1214" s="241"/>
      <c r="DG1214" s="241"/>
      <c r="DH1214" s="241"/>
      <c r="DI1214" s="241"/>
      <c r="DJ1214" s="241"/>
      <c r="DK1214" s="241"/>
      <c r="DL1214" s="241"/>
      <c r="DM1214" s="241"/>
      <c r="DN1214" s="241"/>
      <c r="DO1214" s="241"/>
      <c r="DP1214" s="241"/>
      <c r="DQ1214" s="241"/>
      <c r="DR1214" s="241"/>
      <c r="DS1214" s="241"/>
      <c r="DT1214" s="241"/>
      <c r="DU1214" s="241"/>
      <c r="DV1214" s="241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345"/>
      <c r="EM1214" s="245">
        <f>EN1214+EO1214+EP1214</f>
        <v>52.4</v>
      </c>
      <c r="EN1214" s="245"/>
      <c r="EO1214" s="245" t="str">
        <f>Z1214</f>
        <v>52.4</v>
      </c>
      <c r="EP1214" s="245"/>
      <c r="EQ1214" s="351"/>
    </row>
    <row r="1215" spans="2:147" s="243" customFormat="1" ht="11.25" hidden="1" customHeight="1">
      <c r="B1215" s="343"/>
      <c r="C1215" s="240"/>
      <c r="D1215" s="240"/>
      <c r="E1215" s="240"/>
      <c r="F1215" s="240"/>
      <c r="G1215" s="240"/>
      <c r="H1215" s="240"/>
      <c r="I1215" s="240"/>
      <c r="J1215" s="240"/>
      <c r="K1215" s="240"/>
      <c r="L1215" s="240"/>
      <c r="M1215" s="240"/>
      <c r="N1215" s="240"/>
      <c r="O1215" s="240"/>
      <c r="P1215" s="240"/>
      <c r="Q1215" s="240"/>
      <c r="R1215" s="240"/>
      <c r="S1215" s="240"/>
      <c r="T1215" s="240"/>
      <c r="U1215" s="240"/>
      <c r="V1215" s="240"/>
      <c r="W1215" s="240"/>
      <c r="X1215" s="240"/>
      <c r="Y1215" s="240"/>
      <c r="Z1215" s="240"/>
      <c r="AA1215" s="240"/>
      <c r="AB1215" s="240"/>
      <c r="AC1215" s="240"/>
      <c r="AD1215" s="240"/>
      <c r="AE1215" s="240"/>
      <c r="AF1215" s="240"/>
      <c r="AG1215" s="240"/>
      <c r="AH1215" s="240"/>
      <c r="AI1215" s="240"/>
      <c r="AJ1215" s="240"/>
      <c r="AK1215" s="240"/>
      <c r="AL1215" s="240"/>
      <c r="AM1215" s="240"/>
      <c r="AN1215" s="240"/>
      <c r="AO1215" s="240"/>
      <c r="AP1215" s="240"/>
      <c r="AQ1215" s="240"/>
      <c r="AR1215" s="240"/>
      <c r="AS1215" s="240"/>
      <c r="AT1215" s="240"/>
      <c r="AU1215" s="240"/>
      <c r="AV1215" s="240"/>
      <c r="AW1215" s="240"/>
      <c r="AX1215" s="240"/>
      <c r="AY1215" s="240"/>
      <c r="AZ1215" s="240"/>
      <c r="BA1215" s="240"/>
      <c r="BB1215" s="240"/>
      <c r="BC1215" s="240"/>
      <c r="BD1215" s="240"/>
      <c r="BE1215" s="240"/>
      <c r="BF1215" s="240"/>
      <c r="BG1215" s="240"/>
      <c r="BH1215" s="240"/>
      <c r="BI1215" s="240"/>
      <c r="BJ1215" s="240"/>
      <c r="BK1215" s="240"/>
      <c r="BL1215" s="240"/>
      <c r="BM1215" s="240"/>
      <c r="BN1215" s="240"/>
      <c r="BO1215" s="240"/>
      <c r="BP1215" s="240"/>
      <c r="BQ1215" s="240"/>
      <c r="BR1215" s="240"/>
      <c r="BS1215" s="240"/>
      <c r="BT1215" s="240"/>
      <c r="BU1215" s="240"/>
      <c r="BV1215" s="240"/>
      <c r="BW1215" s="240"/>
      <c r="BX1215" s="240"/>
      <c r="BY1215" s="240"/>
      <c r="BZ1215" s="240"/>
      <c r="CA1215" s="240"/>
      <c r="CB1215" s="240"/>
      <c r="CC1215" s="240"/>
      <c r="CD1215" s="240"/>
      <c r="CE1215" s="240"/>
      <c r="CF1215" s="240"/>
      <c r="CG1215" s="240"/>
      <c r="CH1215" s="240"/>
      <c r="CI1215" s="240"/>
      <c r="CJ1215" s="240"/>
      <c r="CK1215" s="240"/>
      <c r="CL1215" s="240"/>
      <c r="CM1215" s="240"/>
      <c r="CN1215" s="240"/>
      <c r="CO1215" s="240"/>
      <c r="CP1215" s="240"/>
      <c r="CQ1215" s="240"/>
      <c r="CR1215" s="240"/>
      <c r="CS1215" s="240"/>
      <c r="CT1215" s="240"/>
      <c r="CU1215" s="240"/>
      <c r="CV1215" s="240"/>
      <c r="CW1215" s="240"/>
      <c r="CX1215" s="240"/>
      <c r="CY1215" s="240"/>
      <c r="CZ1215" s="241"/>
      <c r="DA1215" s="241"/>
      <c r="DB1215" s="241"/>
      <c r="DC1215" s="241"/>
      <c r="DD1215" s="241"/>
      <c r="DE1215" s="241"/>
      <c r="DF1215" s="241"/>
      <c r="DG1215" s="241"/>
      <c r="DH1215" s="241"/>
      <c r="DI1215" s="241"/>
      <c r="DJ1215" s="241"/>
      <c r="DK1215" s="241"/>
      <c r="DL1215" s="241"/>
      <c r="DM1215" s="241"/>
      <c r="DN1215" s="241"/>
      <c r="DO1215" s="241"/>
      <c r="DP1215" s="241"/>
      <c r="DQ1215" s="241"/>
      <c r="DR1215" s="241"/>
      <c r="DS1215" s="241"/>
      <c r="DT1215" s="241"/>
      <c r="DU1215" s="241"/>
      <c r="DV1215" s="241"/>
      <c r="DW1215" s="241"/>
      <c r="DX1215" s="241"/>
      <c r="DY1215" s="241"/>
      <c r="DZ1215" s="241"/>
      <c r="EA1215" s="241"/>
      <c r="EB1215" s="241"/>
      <c r="EC1215" s="241"/>
      <c r="ED1215" s="241"/>
      <c r="EE1215" s="241"/>
      <c r="EF1215" s="241"/>
      <c r="EG1215" s="241"/>
      <c r="EH1215" s="241"/>
      <c r="EI1215" s="241"/>
      <c r="EJ1215" s="241"/>
      <c r="EK1215" s="241"/>
      <c r="EL1215" s="345"/>
      <c r="EM1215" s="245"/>
      <c r="EN1215" s="245"/>
      <c r="EO1215" s="245"/>
      <c r="EP1215" s="245"/>
      <c r="EQ1215" s="351"/>
    </row>
    <row r="1216" spans="2:147" s="243" customFormat="1" ht="11.25" hidden="1" customHeight="1">
      <c r="B1216" s="343"/>
      <c r="C1216" s="240"/>
      <c r="D1216" s="240"/>
      <c r="E1216" s="240" t="s">
        <v>695</v>
      </c>
      <c r="F1216" s="240"/>
      <c r="G1216" s="240"/>
      <c r="H1216" s="240" t="s">
        <v>723</v>
      </c>
      <c r="I1216" s="240"/>
      <c r="J1216" s="240"/>
      <c r="K1216" s="240"/>
      <c r="L1216" s="240"/>
      <c r="M1216" s="240"/>
      <c r="N1216" s="240"/>
      <c r="O1216" s="240"/>
      <c r="P1216" s="240"/>
      <c r="Q1216" s="240" t="s">
        <v>871</v>
      </c>
      <c r="R1216" s="240"/>
      <c r="S1216" s="240"/>
      <c r="T1216" s="240" t="s">
        <v>872</v>
      </c>
      <c r="U1216" s="240"/>
      <c r="V1216" s="240"/>
      <c r="W1216" s="240"/>
      <c r="X1216" s="240"/>
      <c r="Y1216" s="240"/>
      <c r="Z1216" s="240" t="s">
        <v>147</v>
      </c>
      <c r="AA1216" s="240" t="s">
        <v>811</v>
      </c>
      <c r="AB1216" s="240"/>
      <c r="AC1216" s="240"/>
      <c r="AD1216" s="240"/>
      <c r="AE1216" s="240"/>
      <c r="AF1216" s="240"/>
      <c r="AG1216" s="240"/>
      <c r="AH1216" s="240"/>
      <c r="AI1216" s="240" t="s">
        <v>148</v>
      </c>
      <c r="AJ1216" s="240" t="s">
        <v>131</v>
      </c>
      <c r="AK1216" s="240" t="s">
        <v>147</v>
      </c>
      <c r="AL1216" s="240" t="s">
        <v>873</v>
      </c>
      <c r="AM1216" s="240"/>
      <c r="AN1216" s="240"/>
      <c r="AO1216" s="240"/>
      <c r="AP1216" s="240"/>
      <c r="AQ1216" s="240"/>
      <c r="AR1216" s="240"/>
      <c r="AS1216" s="240"/>
      <c r="AT1216" s="240"/>
      <c r="AU1216" s="240" t="s">
        <v>541</v>
      </c>
      <c r="AV1216" s="240" t="s">
        <v>657</v>
      </c>
      <c r="AW1216" s="240" t="s">
        <v>148</v>
      </c>
      <c r="AX1216" s="240"/>
      <c r="AY1216" s="240"/>
      <c r="AZ1216" s="240"/>
      <c r="BA1216" s="240"/>
      <c r="BB1216" s="240"/>
      <c r="BC1216" s="240"/>
      <c r="BD1216" s="240"/>
      <c r="BE1216" s="240"/>
      <c r="BF1216" s="240"/>
      <c r="BG1216" s="240"/>
      <c r="BH1216" s="240"/>
      <c r="BI1216" s="240"/>
      <c r="BJ1216" s="240"/>
      <c r="BK1216" s="240"/>
      <c r="BL1216" s="240"/>
      <c r="BM1216" s="240"/>
      <c r="BN1216" s="240"/>
      <c r="BO1216" s="240"/>
      <c r="BP1216" s="240"/>
      <c r="BQ1216" s="240"/>
      <c r="BR1216" s="240"/>
      <c r="BS1216" s="240"/>
      <c r="BT1216" s="240"/>
      <c r="BU1216" s="240"/>
      <c r="BV1216" s="240"/>
      <c r="BW1216" s="240"/>
      <c r="BX1216" s="240"/>
      <c r="BY1216" s="240"/>
      <c r="BZ1216" s="240"/>
      <c r="CA1216" s="240"/>
      <c r="CB1216" s="240"/>
      <c r="CC1216" s="240"/>
      <c r="CD1216" s="240"/>
      <c r="CE1216" s="240"/>
      <c r="CF1216" s="240"/>
      <c r="CG1216" s="240"/>
      <c r="CH1216" s="240"/>
      <c r="CI1216" s="240"/>
      <c r="CJ1216" s="240"/>
      <c r="CK1216" s="240"/>
      <c r="CL1216" s="240"/>
      <c r="CM1216" s="240"/>
      <c r="CN1216" s="240"/>
      <c r="CO1216" s="240"/>
      <c r="CP1216" s="240"/>
      <c r="CQ1216" s="240"/>
      <c r="CR1216" s="240"/>
      <c r="CS1216" s="240"/>
      <c r="CT1216" s="240"/>
      <c r="CU1216" s="240"/>
      <c r="CV1216" s="240"/>
      <c r="CW1216" s="240"/>
      <c r="CX1216" s="240"/>
      <c r="CY1216" s="240"/>
      <c r="CZ1216" s="241"/>
      <c r="DA1216" s="241"/>
      <c r="DB1216" s="241"/>
      <c r="DC1216" s="241"/>
      <c r="DD1216" s="241"/>
      <c r="DE1216" s="241"/>
      <c r="DF1216" s="241"/>
      <c r="DG1216" s="241"/>
      <c r="DH1216" s="241"/>
      <c r="DI1216" s="241"/>
      <c r="DJ1216" s="241"/>
      <c r="DK1216" s="241"/>
      <c r="DL1216" s="241"/>
      <c r="DM1216" s="241"/>
      <c r="DN1216" s="241"/>
      <c r="DO1216" s="241"/>
      <c r="DP1216" s="241"/>
      <c r="DQ1216" s="241"/>
      <c r="DR1216" s="241"/>
      <c r="DS1216" s="241"/>
      <c r="DT1216" s="241"/>
      <c r="DU1216" s="241"/>
      <c r="DV1216" s="241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345"/>
      <c r="EM1216" s="245"/>
      <c r="EN1216" s="245"/>
      <c r="EO1216" s="245"/>
      <c r="EP1216" s="245"/>
      <c r="EQ1216" s="351"/>
    </row>
    <row r="1217" spans="2:147" s="243" customFormat="1" ht="11.25" hidden="1" customHeight="1">
      <c r="B1217" s="343"/>
      <c r="C1217" s="240"/>
      <c r="D1217" s="240"/>
      <c r="E1217" s="240"/>
      <c r="F1217" s="240"/>
      <c r="G1217" s="240"/>
      <c r="H1217" s="240"/>
      <c r="I1217" s="240"/>
      <c r="J1217" s="240"/>
      <c r="K1217" s="240"/>
      <c r="L1217" s="240"/>
      <c r="M1217" s="240"/>
      <c r="N1217" s="240"/>
      <c r="O1217" s="240"/>
      <c r="P1217" s="240"/>
      <c r="Q1217" s="240"/>
      <c r="R1217" s="240"/>
      <c r="S1217" s="240"/>
      <c r="T1217" s="240"/>
      <c r="U1217" s="240"/>
      <c r="V1217" s="240"/>
      <c r="W1217" s="240"/>
      <c r="X1217" s="240"/>
      <c r="Y1217" s="240"/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240"/>
      <c r="AM1217" s="240"/>
      <c r="AN1217" s="240"/>
      <c r="AO1217" s="240"/>
      <c r="AP1217" s="240"/>
      <c r="AQ1217" s="240"/>
      <c r="AR1217" s="240"/>
      <c r="AS1217" s="240"/>
      <c r="AT1217" s="240"/>
      <c r="AU1217" s="240"/>
      <c r="AV1217" s="240"/>
      <c r="AW1217" s="240"/>
      <c r="AX1217" s="240"/>
      <c r="AY1217" s="240"/>
      <c r="AZ1217" s="240"/>
      <c r="BA1217" s="240"/>
      <c r="BB1217" s="240"/>
      <c r="BC1217" s="240"/>
      <c r="BD1217" s="240"/>
      <c r="BE1217" s="240"/>
      <c r="BF1217" s="240"/>
      <c r="BG1217" s="240"/>
      <c r="BH1217" s="240"/>
      <c r="BI1217" s="240"/>
      <c r="BJ1217" s="240"/>
      <c r="BK1217" s="240"/>
      <c r="BL1217" s="240"/>
      <c r="BM1217" s="240"/>
      <c r="BN1217" s="240"/>
      <c r="BO1217" s="240"/>
      <c r="BP1217" s="240"/>
      <c r="BQ1217" s="240"/>
      <c r="BR1217" s="240"/>
      <c r="BS1217" s="240"/>
      <c r="BT1217" s="240"/>
      <c r="BU1217" s="240"/>
      <c r="BV1217" s="240"/>
      <c r="BW1217" s="240"/>
      <c r="BX1217" s="240"/>
      <c r="BY1217" s="240"/>
      <c r="BZ1217" s="240"/>
      <c r="CA1217" s="240"/>
      <c r="CB1217" s="240"/>
      <c r="CC1217" s="240"/>
      <c r="CD1217" s="240"/>
      <c r="CE1217" s="240"/>
      <c r="CF1217" s="240"/>
      <c r="CG1217" s="240"/>
      <c r="CH1217" s="240"/>
      <c r="CI1217" s="240"/>
      <c r="CJ1217" s="240"/>
      <c r="CK1217" s="240"/>
      <c r="CL1217" s="240"/>
      <c r="CM1217" s="240"/>
      <c r="CN1217" s="240"/>
      <c r="CO1217" s="240"/>
      <c r="CP1217" s="240"/>
      <c r="CQ1217" s="240"/>
      <c r="CR1217" s="240"/>
      <c r="CS1217" s="240"/>
      <c r="CT1217" s="240"/>
      <c r="CU1217" s="240"/>
      <c r="CV1217" s="240"/>
      <c r="CW1217" s="240"/>
      <c r="CX1217" s="240"/>
      <c r="CY1217" s="240"/>
      <c r="CZ1217" s="241"/>
      <c r="DA1217" s="241"/>
      <c r="DB1217" s="241"/>
      <c r="DC1217" s="241"/>
      <c r="DD1217" s="241"/>
      <c r="DE1217" s="241"/>
      <c r="DF1217" s="241"/>
      <c r="DG1217" s="241"/>
      <c r="DH1217" s="241"/>
      <c r="DI1217" s="241"/>
      <c r="DJ1217" s="241"/>
      <c r="DK1217" s="241"/>
      <c r="DL1217" s="241"/>
      <c r="DM1217" s="241"/>
      <c r="DN1217" s="241"/>
      <c r="DO1217" s="241"/>
      <c r="DP1217" s="241"/>
      <c r="DQ1217" s="241"/>
      <c r="DR1217" s="241"/>
      <c r="DS1217" s="241"/>
      <c r="DT1217" s="241"/>
      <c r="DU1217" s="241"/>
      <c r="DV1217" s="241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345"/>
      <c r="EM1217" s="245"/>
      <c r="EN1217" s="245"/>
      <c r="EO1217" s="245"/>
      <c r="EP1217" s="245"/>
      <c r="EQ1217" s="351"/>
    </row>
    <row r="1218" spans="2:147" s="243" customFormat="1" ht="11.25" hidden="1" customHeight="1">
      <c r="B1218" s="343"/>
      <c r="C1218" s="240"/>
      <c r="D1218" s="240"/>
      <c r="E1218" s="240"/>
      <c r="F1218" s="240"/>
      <c r="G1218" s="240"/>
      <c r="H1218" s="240" t="str">
        <f>P1210</f>
        <v>787.7</v>
      </c>
      <c r="I1218" s="240"/>
      <c r="J1218" s="240"/>
      <c r="K1218" s="240"/>
      <c r="L1218" s="240"/>
      <c r="M1218" s="240"/>
      <c r="N1218" s="240"/>
      <c r="O1218" s="240"/>
      <c r="P1218" s="240" t="s">
        <v>652</v>
      </c>
      <c r="Q1218" s="240"/>
      <c r="R1218" s="240"/>
      <c r="S1218" s="240" t="str">
        <f>TEXT(3,"#,##0.#######")</f>
        <v>3.</v>
      </c>
      <c r="T1218" s="240" t="s">
        <v>657</v>
      </c>
      <c r="U1218" s="240"/>
      <c r="V1218" s="240" t="s">
        <v>134</v>
      </c>
      <c r="W1218" s="240"/>
      <c r="X1218" s="240" t="str">
        <f>TEXT(TRUNC(P1210*(S1218*(1/100)),1),"#,##0.#")</f>
        <v>23.6</v>
      </c>
      <c r="Y1218" s="240"/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240"/>
      <c r="AM1218" s="240"/>
      <c r="AN1218" s="240"/>
      <c r="AO1218" s="240"/>
      <c r="AP1218" s="240"/>
      <c r="AQ1218" s="240"/>
      <c r="AR1218" s="240"/>
      <c r="AS1218" s="240"/>
      <c r="AT1218" s="240"/>
      <c r="AU1218" s="240"/>
      <c r="AV1218" s="240"/>
      <c r="AW1218" s="240"/>
      <c r="AX1218" s="240"/>
      <c r="AY1218" s="240"/>
      <c r="AZ1218" s="240"/>
      <c r="BA1218" s="240"/>
      <c r="BB1218" s="240"/>
      <c r="BC1218" s="240"/>
      <c r="BD1218" s="240"/>
      <c r="BE1218" s="240"/>
      <c r="BF1218" s="240"/>
      <c r="BG1218" s="240"/>
      <c r="BH1218" s="240"/>
      <c r="BI1218" s="240"/>
      <c r="BJ1218" s="240"/>
      <c r="BK1218" s="240"/>
      <c r="BL1218" s="240"/>
      <c r="BM1218" s="240"/>
      <c r="BN1218" s="240"/>
      <c r="BO1218" s="240"/>
      <c r="BP1218" s="240"/>
      <c r="BQ1218" s="240"/>
      <c r="BR1218" s="240"/>
      <c r="BS1218" s="240"/>
      <c r="BT1218" s="240"/>
      <c r="BU1218" s="240"/>
      <c r="BV1218" s="240"/>
      <c r="BW1218" s="240"/>
      <c r="BX1218" s="240"/>
      <c r="BY1218" s="240"/>
      <c r="BZ1218" s="240"/>
      <c r="CA1218" s="240"/>
      <c r="CB1218" s="240"/>
      <c r="CC1218" s="240"/>
      <c r="CD1218" s="240"/>
      <c r="CE1218" s="240"/>
      <c r="CF1218" s="240"/>
      <c r="CG1218" s="240"/>
      <c r="CH1218" s="240"/>
      <c r="CI1218" s="240"/>
      <c r="CJ1218" s="240"/>
      <c r="CK1218" s="240"/>
      <c r="CL1218" s="240"/>
      <c r="CM1218" s="240"/>
      <c r="CN1218" s="240"/>
      <c r="CO1218" s="240"/>
      <c r="CP1218" s="240"/>
      <c r="CQ1218" s="240"/>
      <c r="CR1218" s="240"/>
      <c r="CS1218" s="240"/>
      <c r="CT1218" s="240"/>
      <c r="CU1218" s="240"/>
      <c r="CV1218" s="240"/>
      <c r="CW1218" s="240"/>
      <c r="CX1218" s="240"/>
      <c r="CY1218" s="240"/>
      <c r="CZ1218" s="241"/>
      <c r="DA1218" s="241"/>
      <c r="DB1218" s="241"/>
      <c r="DC1218" s="241"/>
      <c r="DD1218" s="241"/>
      <c r="DE1218" s="241"/>
      <c r="DF1218" s="241"/>
      <c r="DG1218" s="241"/>
      <c r="DH1218" s="241"/>
      <c r="DI1218" s="241"/>
      <c r="DJ1218" s="241"/>
      <c r="DK1218" s="241"/>
      <c r="DL1218" s="241"/>
      <c r="DM1218" s="241"/>
      <c r="DN1218" s="241"/>
      <c r="DO1218" s="241"/>
      <c r="DP1218" s="241"/>
      <c r="DQ1218" s="241"/>
      <c r="DR1218" s="241"/>
      <c r="DS1218" s="241"/>
      <c r="DT1218" s="241"/>
      <c r="DU1218" s="241"/>
      <c r="DV1218" s="241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345"/>
      <c r="EM1218" s="245">
        <f>EN1218+EO1218+EP1218</f>
        <v>23.6</v>
      </c>
      <c r="EN1218" s="245"/>
      <c r="EO1218" s="245" t="str">
        <f>X1218</f>
        <v>23.6</v>
      </c>
      <c r="EP1218" s="245"/>
      <c r="EQ1218" s="351"/>
    </row>
    <row r="1219" spans="2:147" s="243" customFormat="1" ht="11.25" hidden="1" customHeight="1">
      <c r="B1219" s="343"/>
      <c r="C1219" s="240"/>
      <c r="D1219" s="240"/>
      <c r="E1219" s="240"/>
      <c r="F1219" s="240"/>
      <c r="G1219" s="240"/>
      <c r="H1219" s="240"/>
      <c r="I1219" s="240"/>
      <c r="J1219" s="240"/>
      <c r="K1219" s="240"/>
      <c r="L1219" s="240"/>
      <c r="M1219" s="240"/>
      <c r="N1219" s="240"/>
      <c r="O1219" s="240"/>
      <c r="P1219" s="240"/>
      <c r="Q1219" s="240"/>
      <c r="R1219" s="240"/>
      <c r="S1219" s="240"/>
      <c r="T1219" s="240"/>
      <c r="U1219" s="240"/>
      <c r="V1219" s="240"/>
      <c r="W1219" s="240"/>
      <c r="X1219" s="240"/>
      <c r="Y1219" s="240"/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240"/>
      <c r="AM1219" s="240"/>
      <c r="AN1219" s="240"/>
      <c r="AO1219" s="240"/>
      <c r="AP1219" s="240"/>
      <c r="AQ1219" s="240"/>
      <c r="AR1219" s="240"/>
      <c r="AS1219" s="240"/>
      <c r="AT1219" s="240"/>
      <c r="AU1219" s="240"/>
      <c r="AV1219" s="240"/>
      <c r="AW1219" s="240"/>
      <c r="AX1219" s="240"/>
      <c r="AY1219" s="240"/>
      <c r="AZ1219" s="240"/>
      <c r="BA1219" s="240"/>
      <c r="BB1219" s="240"/>
      <c r="BC1219" s="240"/>
      <c r="BD1219" s="240"/>
      <c r="BE1219" s="240"/>
      <c r="BF1219" s="240"/>
      <c r="BG1219" s="240"/>
      <c r="BH1219" s="240"/>
      <c r="BI1219" s="240"/>
      <c r="BJ1219" s="240"/>
      <c r="BK1219" s="240"/>
      <c r="BL1219" s="240"/>
      <c r="BM1219" s="240"/>
      <c r="BN1219" s="240"/>
      <c r="BO1219" s="240"/>
      <c r="BP1219" s="240"/>
      <c r="BQ1219" s="240"/>
      <c r="BR1219" s="240"/>
      <c r="BS1219" s="240"/>
      <c r="BT1219" s="240"/>
      <c r="BU1219" s="240"/>
      <c r="BV1219" s="240"/>
      <c r="BW1219" s="240"/>
      <c r="BX1219" s="240"/>
      <c r="BY1219" s="240"/>
      <c r="BZ1219" s="240"/>
      <c r="CA1219" s="240"/>
      <c r="CB1219" s="240"/>
      <c r="CC1219" s="240"/>
      <c r="CD1219" s="240"/>
      <c r="CE1219" s="240"/>
      <c r="CF1219" s="240"/>
      <c r="CG1219" s="240"/>
      <c r="CH1219" s="240"/>
      <c r="CI1219" s="240"/>
      <c r="CJ1219" s="240"/>
      <c r="CK1219" s="240"/>
      <c r="CL1219" s="240"/>
      <c r="CM1219" s="240"/>
      <c r="CN1219" s="240"/>
      <c r="CO1219" s="240"/>
      <c r="CP1219" s="240"/>
      <c r="CQ1219" s="240"/>
      <c r="CR1219" s="240"/>
      <c r="CS1219" s="240"/>
      <c r="CT1219" s="240"/>
      <c r="CU1219" s="240"/>
      <c r="CV1219" s="240"/>
      <c r="CW1219" s="240"/>
      <c r="CX1219" s="240"/>
      <c r="CY1219" s="240"/>
      <c r="CZ1219" s="241"/>
      <c r="DA1219" s="241"/>
      <c r="DB1219" s="241"/>
      <c r="DC1219" s="241"/>
      <c r="DD1219" s="241"/>
      <c r="DE1219" s="241"/>
      <c r="DF1219" s="241"/>
      <c r="DG1219" s="241"/>
      <c r="DH1219" s="241"/>
      <c r="DI1219" s="241"/>
      <c r="DJ1219" s="241"/>
      <c r="DK1219" s="241"/>
      <c r="DL1219" s="241"/>
      <c r="DM1219" s="241"/>
      <c r="DN1219" s="241"/>
      <c r="DO1219" s="241"/>
      <c r="DP1219" s="241"/>
      <c r="DQ1219" s="241"/>
      <c r="DR1219" s="241"/>
      <c r="DS1219" s="241"/>
      <c r="DT1219" s="241"/>
      <c r="DU1219" s="241"/>
      <c r="DV1219" s="241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345"/>
      <c r="EM1219" s="245"/>
      <c r="EN1219" s="245"/>
      <c r="EO1219" s="245"/>
      <c r="EP1219" s="245"/>
      <c r="EQ1219" s="351"/>
    </row>
    <row r="1220" spans="2:147" s="243" customFormat="1" ht="11.25" hidden="1" customHeight="1">
      <c r="B1220" s="343"/>
      <c r="C1220" s="240"/>
      <c r="D1220" s="240"/>
      <c r="E1220" s="240" t="s">
        <v>696</v>
      </c>
      <c r="F1220" s="240"/>
      <c r="G1220" s="240"/>
      <c r="H1220" s="240" t="s">
        <v>647</v>
      </c>
      <c r="I1220" s="240"/>
      <c r="J1220" s="240"/>
      <c r="K1220" s="240"/>
      <c r="L1220" s="240"/>
      <c r="M1220" s="240"/>
      <c r="N1220" s="240"/>
      <c r="O1220" s="240"/>
      <c r="P1220" s="240"/>
      <c r="Q1220" s="240" t="s">
        <v>132</v>
      </c>
      <c r="R1220" s="240"/>
      <c r="S1220" s="240" t="s">
        <v>812</v>
      </c>
      <c r="T1220" s="240"/>
      <c r="U1220" s="240"/>
      <c r="V1220" s="240"/>
      <c r="W1220" s="240"/>
      <c r="X1220" s="240"/>
      <c r="Y1220" s="240"/>
      <c r="Z1220" s="240"/>
      <c r="AA1220" s="240"/>
      <c r="AB1220" s="240"/>
      <c r="AC1220" s="240"/>
      <c r="AD1220" s="240" t="s">
        <v>874</v>
      </c>
      <c r="AE1220" s="240"/>
      <c r="AF1220" s="240"/>
      <c r="AG1220" s="240"/>
      <c r="AH1220" s="240"/>
      <c r="AI1220" s="240"/>
      <c r="AJ1220" s="240"/>
      <c r="AK1220" s="240"/>
      <c r="AL1220" s="240"/>
      <c r="AM1220" s="240"/>
      <c r="AN1220" s="240"/>
      <c r="AO1220" s="240"/>
      <c r="AP1220" s="240"/>
      <c r="AQ1220" s="240"/>
      <c r="AR1220" s="240"/>
      <c r="AS1220" s="240"/>
      <c r="AT1220" s="240"/>
      <c r="AU1220" s="240"/>
      <c r="AV1220" s="240"/>
      <c r="AW1220" s="240"/>
      <c r="AX1220" s="240"/>
      <c r="AY1220" s="240"/>
      <c r="AZ1220" s="240"/>
      <c r="BA1220" s="240"/>
      <c r="BB1220" s="240"/>
      <c r="BC1220" s="240"/>
      <c r="BD1220" s="240"/>
      <c r="BE1220" s="240"/>
      <c r="BF1220" s="240"/>
      <c r="BG1220" s="240"/>
      <c r="BH1220" s="240"/>
      <c r="BI1220" s="240"/>
      <c r="BJ1220" s="240"/>
      <c r="BK1220" s="240"/>
      <c r="BL1220" s="240"/>
      <c r="BM1220" s="240"/>
      <c r="BN1220" s="240"/>
      <c r="BO1220" s="240"/>
      <c r="BP1220" s="240"/>
      <c r="BQ1220" s="240"/>
      <c r="BR1220" s="240"/>
      <c r="BS1220" s="240"/>
      <c r="BT1220" s="240"/>
      <c r="BU1220" s="240"/>
      <c r="BV1220" s="240"/>
      <c r="BW1220" s="240"/>
      <c r="BX1220" s="240"/>
      <c r="BY1220" s="240"/>
      <c r="BZ1220" s="240"/>
      <c r="CA1220" s="240"/>
      <c r="CB1220" s="240"/>
      <c r="CC1220" s="240"/>
      <c r="CD1220" s="240"/>
      <c r="CE1220" s="240"/>
      <c r="CF1220" s="240"/>
      <c r="CG1220" s="240"/>
      <c r="CH1220" s="240"/>
      <c r="CI1220" s="240"/>
      <c r="CJ1220" s="240"/>
      <c r="CK1220" s="240"/>
      <c r="CL1220" s="240"/>
      <c r="CM1220" s="240"/>
      <c r="CN1220" s="240"/>
      <c r="CO1220" s="240"/>
      <c r="CP1220" s="240"/>
      <c r="CQ1220" s="240"/>
      <c r="CR1220" s="240"/>
      <c r="CS1220" s="240"/>
      <c r="CT1220" s="240"/>
      <c r="CU1220" s="240"/>
      <c r="CV1220" s="240"/>
      <c r="CW1220" s="240"/>
      <c r="CX1220" s="240"/>
      <c r="CY1220" s="240"/>
      <c r="CZ1220" s="241"/>
      <c r="DA1220" s="241"/>
      <c r="DB1220" s="241"/>
      <c r="DC1220" s="241"/>
      <c r="DD1220" s="241"/>
      <c r="DE1220" s="241"/>
      <c r="DF1220" s="241"/>
      <c r="DG1220" s="241"/>
      <c r="DH1220" s="241"/>
      <c r="DI1220" s="241"/>
      <c r="DJ1220" s="241"/>
      <c r="DK1220" s="241"/>
      <c r="DL1220" s="241"/>
      <c r="DM1220" s="241"/>
      <c r="DN1220" s="241"/>
      <c r="DO1220" s="241"/>
      <c r="DP1220" s="241"/>
      <c r="DQ1220" s="241"/>
      <c r="DR1220" s="241"/>
      <c r="DS1220" s="241"/>
      <c r="DT1220" s="241"/>
      <c r="DU1220" s="241"/>
      <c r="DV1220" s="241"/>
      <c r="DW1220" s="241"/>
      <c r="DX1220" s="241"/>
      <c r="DY1220" s="241"/>
      <c r="DZ1220" s="241"/>
      <c r="EA1220" s="241"/>
      <c r="EB1220" s="241"/>
      <c r="EC1220" s="241"/>
      <c r="ED1220" s="241"/>
      <c r="EE1220" s="241"/>
      <c r="EF1220" s="241"/>
      <c r="EG1220" s="241"/>
      <c r="EH1220" s="241"/>
      <c r="EI1220" s="241"/>
      <c r="EJ1220" s="241"/>
      <c r="EK1220" s="241"/>
      <c r="EL1220" s="345"/>
      <c r="EM1220" s="245"/>
      <c r="EN1220" s="245"/>
      <c r="EO1220" s="245"/>
      <c r="EP1220" s="245"/>
      <c r="EQ1220" s="351"/>
    </row>
    <row r="1221" spans="2:147" s="243" customFormat="1" ht="11.25" hidden="1" customHeight="1">
      <c r="B1221" s="343"/>
      <c r="C1221" s="240"/>
      <c r="D1221" s="240"/>
      <c r="E1221" s="240"/>
      <c r="F1221" s="240"/>
      <c r="G1221" s="240"/>
      <c r="H1221" s="240"/>
      <c r="I1221" s="240"/>
      <c r="J1221" s="240"/>
      <c r="K1221" s="240"/>
      <c r="L1221" s="240"/>
      <c r="M1221" s="240"/>
      <c r="N1221" s="240"/>
      <c r="O1221" s="240"/>
      <c r="P1221" s="240"/>
      <c r="Q1221" s="240"/>
      <c r="R1221" s="240"/>
      <c r="S1221" s="240"/>
      <c r="T1221" s="240"/>
      <c r="U1221" s="240"/>
      <c r="V1221" s="240"/>
      <c r="W1221" s="240"/>
      <c r="X1221" s="240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0"/>
      <c r="BN1221" s="240"/>
      <c r="BO1221" s="240"/>
      <c r="BP1221" s="240"/>
      <c r="BQ1221" s="240"/>
      <c r="BR1221" s="240"/>
      <c r="BS1221" s="240"/>
      <c r="BT1221" s="240"/>
      <c r="BU1221" s="240"/>
      <c r="BV1221" s="240"/>
      <c r="BW1221" s="240"/>
      <c r="BX1221" s="240"/>
      <c r="BY1221" s="240"/>
      <c r="BZ1221" s="240"/>
      <c r="CA1221" s="240"/>
      <c r="CB1221" s="240"/>
      <c r="CC1221" s="240"/>
      <c r="CD1221" s="240"/>
      <c r="CE1221" s="240"/>
      <c r="CF1221" s="240"/>
      <c r="CG1221" s="240"/>
      <c r="CH1221" s="240"/>
      <c r="CI1221" s="240"/>
      <c r="CJ1221" s="240"/>
      <c r="CK1221" s="240"/>
      <c r="CL1221" s="240"/>
      <c r="CM1221" s="240"/>
      <c r="CN1221" s="240"/>
      <c r="CO1221" s="240"/>
      <c r="CP1221" s="240"/>
      <c r="CQ1221" s="240"/>
      <c r="CR1221" s="240"/>
      <c r="CS1221" s="240"/>
      <c r="CT1221" s="240"/>
      <c r="CU1221" s="240"/>
      <c r="CV1221" s="240"/>
      <c r="CW1221" s="240"/>
      <c r="CX1221" s="240"/>
      <c r="CY1221" s="240"/>
      <c r="CZ1221" s="241"/>
      <c r="DA1221" s="241"/>
      <c r="DB1221" s="241"/>
      <c r="DC1221" s="241"/>
      <c r="DD1221" s="241"/>
      <c r="DE1221" s="241"/>
      <c r="DF1221" s="241"/>
      <c r="DG1221" s="241"/>
      <c r="DH1221" s="241"/>
      <c r="DI1221" s="241"/>
      <c r="DJ1221" s="241"/>
      <c r="DK1221" s="241"/>
      <c r="DL1221" s="241"/>
      <c r="DM1221" s="241"/>
      <c r="DN1221" s="241"/>
      <c r="DO1221" s="241"/>
      <c r="DP1221" s="241"/>
      <c r="DQ1221" s="241"/>
      <c r="DR1221" s="241"/>
      <c r="DS1221" s="241"/>
      <c r="DT1221" s="241"/>
      <c r="DU1221" s="241"/>
      <c r="DV1221" s="241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345"/>
      <c r="EM1221" s="245"/>
      <c r="EN1221" s="245"/>
      <c r="EO1221" s="245"/>
      <c r="EP1221" s="245"/>
      <c r="EQ1221" s="351"/>
    </row>
    <row r="1222" spans="2:147" s="243" customFormat="1" ht="11.25" hidden="1" customHeight="1">
      <c r="B1222" s="343"/>
      <c r="C1222" s="240"/>
      <c r="D1222" s="240"/>
      <c r="E1222" s="240"/>
      <c r="F1222" s="240"/>
      <c r="G1222" s="240"/>
      <c r="H1222" s="240" t="s">
        <v>687</v>
      </c>
      <c r="I1222" s="240"/>
      <c r="J1222" s="240" t="s">
        <v>134</v>
      </c>
      <c r="K1222" s="240"/>
      <c r="L1222" s="240" t="s">
        <v>743</v>
      </c>
      <c r="M1222" s="240"/>
      <c r="N1222" s="240"/>
      <c r="O1222" s="240" t="s">
        <v>683</v>
      </c>
      <c r="P1222" s="240"/>
      <c r="Q1222" s="240"/>
      <c r="R1222" s="240" t="str">
        <f>TEXT(8,"#,##0.#######")</f>
        <v>8.</v>
      </c>
      <c r="S1222" s="240" t="s">
        <v>618</v>
      </c>
      <c r="T1222" s="240"/>
      <c r="U1222" s="240"/>
      <c r="V1222" s="240" t="s">
        <v>134</v>
      </c>
      <c r="W1222" s="240"/>
      <c r="X1222" s="240" t="str">
        <f>TEXT(Z1192,"#,##0.#######")</f>
        <v>900.</v>
      </c>
      <c r="Y1222" s="240"/>
      <c r="Z1222" s="240"/>
      <c r="AA1222" s="240"/>
      <c r="AB1222" s="240" t="s">
        <v>683</v>
      </c>
      <c r="AC1222" s="240"/>
      <c r="AD1222" s="240"/>
      <c r="AE1222" s="240" t="str">
        <f>TEXT(R1222,"#,##0.#######")</f>
        <v>8.</v>
      </c>
      <c r="AF1222" s="240"/>
      <c r="AG1222" s="240" t="s">
        <v>134</v>
      </c>
      <c r="AH1222" s="240"/>
      <c r="AI1222" s="240" t="str">
        <f>TEXT(ROUND(X1222/R1222,2),"#,##0.#######")</f>
        <v>112.5</v>
      </c>
      <c r="AJ1222" s="240"/>
      <c r="AK1222" s="240"/>
      <c r="AL1222" s="240"/>
      <c r="AM1222" s="240"/>
      <c r="AN1222" s="240"/>
      <c r="AO1222" s="240"/>
      <c r="AP1222" s="240" t="s">
        <v>548</v>
      </c>
      <c r="AQ1222" s="240"/>
      <c r="AR1222" s="240" t="s">
        <v>139</v>
      </c>
      <c r="AS1222" s="240" t="s">
        <v>618</v>
      </c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0"/>
      <c r="BN1222" s="240"/>
      <c r="BO1222" s="240"/>
      <c r="BP1222" s="240"/>
      <c r="BQ1222" s="240"/>
      <c r="BR1222" s="240"/>
      <c r="BS1222" s="240"/>
      <c r="BT1222" s="240"/>
      <c r="BU1222" s="240"/>
      <c r="BV1222" s="240"/>
      <c r="BW1222" s="240"/>
      <c r="BX1222" s="240"/>
      <c r="BY1222" s="240"/>
      <c r="BZ1222" s="240"/>
      <c r="CA1222" s="240"/>
      <c r="CB1222" s="240"/>
      <c r="CC1222" s="240"/>
      <c r="CD1222" s="240"/>
      <c r="CE1222" s="240"/>
      <c r="CF1222" s="240"/>
      <c r="CG1222" s="240"/>
      <c r="CH1222" s="240"/>
      <c r="CI1222" s="240"/>
      <c r="CJ1222" s="240"/>
      <c r="CK1222" s="240"/>
      <c r="CL1222" s="240"/>
      <c r="CM1222" s="240"/>
      <c r="CN1222" s="240"/>
      <c r="CO1222" s="240"/>
      <c r="CP1222" s="240"/>
      <c r="CQ1222" s="240"/>
      <c r="CR1222" s="240"/>
      <c r="CS1222" s="240"/>
      <c r="CT1222" s="240"/>
      <c r="CU1222" s="240"/>
      <c r="CV1222" s="240"/>
      <c r="CW1222" s="240"/>
      <c r="CX1222" s="240"/>
      <c r="CY1222" s="240"/>
      <c r="CZ1222" s="241"/>
      <c r="DA1222" s="241"/>
      <c r="DB1222" s="241"/>
      <c r="DC1222" s="241"/>
      <c r="DD1222" s="241"/>
      <c r="DE1222" s="241"/>
      <c r="DF1222" s="241"/>
      <c r="DG1222" s="241"/>
      <c r="DH1222" s="241"/>
      <c r="DI1222" s="241"/>
      <c r="DJ1222" s="241"/>
      <c r="DK1222" s="241"/>
      <c r="DL1222" s="241"/>
      <c r="DM1222" s="241"/>
      <c r="DN1222" s="241"/>
      <c r="DO1222" s="241"/>
      <c r="DP1222" s="241"/>
      <c r="DQ1222" s="241"/>
      <c r="DR1222" s="241"/>
      <c r="DS1222" s="241"/>
      <c r="DT1222" s="241"/>
      <c r="DU1222" s="241"/>
      <c r="DV1222" s="241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345"/>
      <c r="EM1222" s="245"/>
      <c r="EN1222" s="245"/>
      <c r="EO1222" s="245"/>
      <c r="EP1222" s="245"/>
      <c r="EQ1222" s="351"/>
    </row>
    <row r="1223" spans="2:147" s="243" customFormat="1" ht="11.25" hidden="1" customHeight="1">
      <c r="B1223" s="343"/>
      <c r="C1223" s="240"/>
      <c r="D1223" s="240"/>
      <c r="E1223" s="240"/>
      <c r="F1223" s="240"/>
      <c r="G1223" s="240"/>
      <c r="H1223" s="240"/>
      <c r="I1223" s="240"/>
      <c r="J1223" s="240"/>
      <c r="K1223" s="240"/>
      <c r="L1223" s="240"/>
      <c r="M1223" s="240"/>
      <c r="N1223" s="240"/>
      <c r="O1223" s="240"/>
      <c r="P1223" s="240"/>
      <c r="Q1223" s="240"/>
      <c r="R1223" s="240"/>
      <c r="S1223" s="240"/>
      <c r="T1223" s="240"/>
      <c r="U1223" s="240"/>
      <c r="V1223" s="240"/>
      <c r="W1223" s="240"/>
      <c r="X1223" s="240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0"/>
      <c r="BN1223" s="240"/>
      <c r="BO1223" s="240"/>
      <c r="BP1223" s="240"/>
      <c r="BQ1223" s="240"/>
      <c r="BR1223" s="240"/>
      <c r="BS1223" s="240"/>
      <c r="BT1223" s="240"/>
      <c r="BU1223" s="240"/>
      <c r="BV1223" s="240"/>
      <c r="BW1223" s="240"/>
      <c r="BX1223" s="240"/>
      <c r="BY1223" s="240"/>
      <c r="BZ1223" s="240"/>
      <c r="CA1223" s="240"/>
      <c r="CB1223" s="240"/>
      <c r="CC1223" s="240"/>
      <c r="CD1223" s="240"/>
      <c r="CE1223" s="240"/>
      <c r="CF1223" s="240"/>
      <c r="CG1223" s="240"/>
      <c r="CH1223" s="240"/>
      <c r="CI1223" s="240"/>
      <c r="CJ1223" s="240"/>
      <c r="CK1223" s="240"/>
      <c r="CL1223" s="240"/>
      <c r="CM1223" s="240"/>
      <c r="CN1223" s="240"/>
      <c r="CO1223" s="240"/>
      <c r="CP1223" s="240"/>
      <c r="CQ1223" s="240"/>
      <c r="CR1223" s="240"/>
      <c r="CS1223" s="240"/>
      <c r="CT1223" s="240"/>
      <c r="CU1223" s="240"/>
      <c r="CV1223" s="240"/>
      <c r="CW1223" s="240"/>
      <c r="CX1223" s="240"/>
      <c r="CY1223" s="240"/>
      <c r="CZ1223" s="241"/>
      <c r="DA1223" s="241"/>
      <c r="DB1223" s="241"/>
      <c r="DC1223" s="241"/>
      <c r="DD1223" s="241"/>
      <c r="DE1223" s="241"/>
      <c r="DF1223" s="241"/>
      <c r="DG1223" s="241"/>
      <c r="DH1223" s="241"/>
      <c r="DI1223" s="241"/>
      <c r="DJ1223" s="241"/>
      <c r="DK1223" s="241"/>
      <c r="DL1223" s="241"/>
      <c r="DM1223" s="241"/>
      <c r="DN1223" s="241"/>
      <c r="DO1223" s="241"/>
      <c r="DP1223" s="241"/>
      <c r="DQ1223" s="241"/>
      <c r="DR1223" s="241"/>
      <c r="DS1223" s="241"/>
      <c r="DT1223" s="241"/>
      <c r="DU1223" s="241"/>
      <c r="DV1223" s="241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345"/>
      <c r="EM1223" s="245"/>
      <c r="EN1223" s="245"/>
      <c r="EO1223" s="245"/>
      <c r="EP1223" s="245"/>
      <c r="EQ1223" s="351"/>
    </row>
    <row r="1224" spans="2:147" s="243" customFormat="1" ht="11.25" hidden="1" customHeight="1">
      <c r="B1224" s="343"/>
      <c r="C1224" s="240"/>
      <c r="D1224" s="240"/>
      <c r="E1224" s="240"/>
      <c r="F1224" s="240"/>
      <c r="G1224" s="240"/>
      <c r="H1224" s="240" t="s">
        <v>616</v>
      </c>
      <c r="I1224" s="240"/>
      <c r="J1224" s="240"/>
      <c r="K1224" s="240"/>
      <c r="L1224" s="240"/>
      <c r="M1224" s="240"/>
      <c r="N1224" s="240"/>
      <c r="O1224" s="240" t="s">
        <v>132</v>
      </c>
      <c r="P1224" s="240"/>
      <c r="R1224" s="1775" t="e">
        <f>#REF!</f>
        <v>#REF!</v>
      </c>
      <c r="S1224" s="1775"/>
      <c r="T1224" s="1775"/>
      <c r="U1224" s="1775"/>
      <c r="V1224" s="1775"/>
      <c r="W1224" s="240"/>
      <c r="X1224" s="240"/>
      <c r="Y1224" s="240"/>
      <c r="Z1224" s="240" t="s">
        <v>683</v>
      </c>
      <c r="AA1224" s="240"/>
      <c r="AB1224" s="240"/>
      <c r="AC1224" s="240" t="str">
        <f>TEXT(AI1222,"#,##0.#######")</f>
        <v>112.5</v>
      </c>
      <c r="AD1224" s="240"/>
      <c r="AE1224" s="240"/>
      <c r="AF1224" s="240"/>
      <c r="AG1224" s="240"/>
      <c r="AH1224" s="240"/>
      <c r="AI1224" s="240"/>
      <c r="AJ1224" s="240"/>
      <c r="AK1224" s="240" t="s">
        <v>134</v>
      </c>
      <c r="AL1224" s="240"/>
      <c r="AN1224" s="240" t="e">
        <f>TEXT(TRUNC(R1224/AI1222,1),"#,##0.#")</f>
        <v>#REF!</v>
      </c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0"/>
      <c r="BN1224" s="240"/>
      <c r="BO1224" s="240"/>
      <c r="BP1224" s="240"/>
      <c r="BQ1224" s="240"/>
      <c r="BR1224" s="240"/>
      <c r="BS1224" s="240"/>
      <c r="BT1224" s="240"/>
      <c r="BU1224" s="240"/>
      <c r="BV1224" s="240"/>
      <c r="BW1224" s="240"/>
      <c r="BX1224" s="240"/>
      <c r="BY1224" s="240"/>
      <c r="BZ1224" s="240"/>
      <c r="CA1224" s="240"/>
      <c r="CB1224" s="240"/>
      <c r="CC1224" s="240"/>
      <c r="CD1224" s="240"/>
      <c r="CE1224" s="240"/>
      <c r="CF1224" s="240"/>
      <c r="CG1224" s="240"/>
      <c r="CH1224" s="240"/>
      <c r="CI1224" s="240"/>
      <c r="CJ1224" s="240"/>
      <c r="CK1224" s="240"/>
      <c r="CL1224" s="240"/>
      <c r="CM1224" s="240"/>
      <c r="CN1224" s="240"/>
      <c r="CO1224" s="240"/>
      <c r="CP1224" s="240"/>
      <c r="CQ1224" s="240"/>
      <c r="CR1224" s="240"/>
      <c r="CS1224" s="240"/>
      <c r="CT1224" s="240"/>
      <c r="CU1224" s="240"/>
      <c r="CV1224" s="240"/>
      <c r="CW1224" s="240"/>
      <c r="CX1224" s="240"/>
      <c r="CY1224" s="240"/>
      <c r="CZ1224" s="241"/>
      <c r="DA1224" s="241"/>
      <c r="DB1224" s="241"/>
      <c r="DC1224" s="241"/>
      <c r="DD1224" s="241"/>
      <c r="DE1224" s="241"/>
      <c r="DF1224" s="241"/>
      <c r="DG1224" s="241"/>
      <c r="DH1224" s="241"/>
      <c r="DI1224" s="241"/>
      <c r="DJ1224" s="241"/>
      <c r="DK1224" s="241"/>
      <c r="DL1224" s="241"/>
      <c r="DM1224" s="241"/>
      <c r="DN1224" s="241"/>
      <c r="DO1224" s="241"/>
      <c r="DP1224" s="241"/>
      <c r="DQ1224" s="241"/>
      <c r="DR1224" s="241"/>
      <c r="DS1224" s="241"/>
      <c r="DT1224" s="241"/>
      <c r="DU1224" s="241"/>
      <c r="DV1224" s="241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345"/>
      <c r="EM1224" s="245"/>
      <c r="EN1224" s="245"/>
      <c r="EO1224" s="245"/>
      <c r="EP1224" s="245"/>
      <c r="EQ1224" s="351"/>
    </row>
    <row r="1225" spans="2:147" s="243" customFormat="1" ht="11.25" hidden="1" customHeight="1">
      <c r="B1225" s="343"/>
      <c r="C1225" s="240"/>
      <c r="D1225" s="240"/>
      <c r="E1225" s="240"/>
      <c r="F1225" s="240"/>
      <c r="G1225" s="240"/>
      <c r="H1225" s="240" t="s">
        <v>617</v>
      </c>
      <c r="I1225" s="240"/>
      <c r="J1225" s="240"/>
      <c r="K1225" s="240"/>
      <c r="L1225" s="240"/>
      <c r="M1225" s="240"/>
      <c r="N1225" s="240"/>
      <c r="O1225" s="240" t="s">
        <v>132</v>
      </c>
      <c r="P1225" s="240"/>
      <c r="Q1225" s="240"/>
      <c r="R1225" s="1775" t="e">
        <f>#REF!</f>
        <v>#REF!</v>
      </c>
      <c r="S1225" s="1775"/>
      <c r="T1225" s="1775"/>
      <c r="U1225" s="1775"/>
      <c r="V1225" s="1775"/>
      <c r="W1225" s="240"/>
      <c r="X1225" s="240"/>
      <c r="Y1225" s="240"/>
      <c r="Z1225" s="240" t="s">
        <v>683</v>
      </c>
      <c r="AA1225" s="240"/>
      <c r="AB1225" s="240"/>
      <c r="AC1225" s="240" t="str">
        <f>TEXT(AI1222,"#,##0.#######")</f>
        <v>112.5</v>
      </c>
      <c r="AD1225" s="240"/>
      <c r="AE1225" s="240"/>
      <c r="AF1225" s="240"/>
      <c r="AG1225" s="240"/>
      <c r="AH1225" s="240"/>
      <c r="AI1225" s="240"/>
      <c r="AJ1225" s="240"/>
      <c r="AK1225" s="240" t="s">
        <v>134</v>
      </c>
      <c r="AL1225" s="240"/>
      <c r="AM1225" s="240"/>
      <c r="AN1225" s="240" t="e">
        <f>TEXT(TRUNC(R1225/AI1222,1),"#,##0.#")</f>
        <v>#REF!</v>
      </c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0"/>
      <c r="BN1225" s="240"/>
      <c r="BO1225" s="240"/>
      <c r="BP1225" s="240"/>
      <c r="BQ1225" s="240"/>
      <c r="BR1225" s="240"/>
      <c r="BS1225" s="240"/>
      <c r="BT1225" s="240"/>
      <c r="BU1225" s="240"/>
      <c r="BV1225" s="240"/>
      <c r="BW1225" s="240"/>
      <c r="BX1225" s="240"/>
      <c r="BY1225" s="240"/>
      <c r="BZ1225" s="240"/>
      <c r="CA1225" s="240"/>
      <c r="CB1225" s="240"/>
      <c r="CC1225" s="240"/>
      <c r="CD1225" s="240"/>
      <c r="CE1225" s="240"/>
      <c r="CF1225" s="240"/>
      <c r="CG1225" s="240"/>
      <c r="CH1225" s="240"/>
      <c r="CI1225" s="240"/>
      <c r="CJ1225" s="240"/>
      <c r="CK1225" s="240"/>
      <c r="CL1225" s="240"/>
      <c r="CM1225" s="240"/>
      <c r="CN1225" s="240"/>
      <c r="CO1225" s="240"/>
      <c r="CP1225" s="240"/>
      <c r="CQ1225" s="240"/>
      <c r="CR1225" s="240"/>
      <c r="CS1225" s="240"/>
      <c r="CT1225" s="240"/>
      <c r="CU1225" s="240"/>
      <c r="CV1225" s="240"/>
      <c r="CW1225" s="240"/>
      <c r="CX1225" s="240"/>
      <c r="CY1225" s="240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1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345"/>
      <c r="EM1225" s="245"/>
      <c r="EN1225" s="245"/>
      <c r="EO1225" s="245"/>
      <c r="EP1225" s="245"/>
      <c r="EQ1225" s="351"/>
    </row>
    <row r="1226" spans="2:147" s="243" customFormat="1" ht="11.25" hidden="1" customHeight="1">
      <c r="B1226" s="343"/>
      <c r="C1226" s="240"/>
      <c r="D1226" s="240"/>
      <c r="E1226" s="240"/>
      <c r="F1226" s="240"/>
      <c r="G1226" s="240"/>
      <c r="H1226" s="240" t="s">
        <v>679</v>
      </c>
      <c r="I1226" s="240"/>
      <c r="J1226" s="240"/>
      <c r="K1226" s="240"/>
      <c r="L1226" s="240" t="s">
        <v>680</v>
      </c>
      <c r="M1226" s="240"/>
      <c r="N1226" s="240"/>
      <c r="O1226" s="240" t="s">
        <v>132</v>
      </c>
      <c r="P1226" s="240"/>
      <c r="Q1226" s="240"/>
      <c r="R1226" s="1775" t="e">
        <f>#REF!</f>
        <v>#REF!</v>
      </c>
      <c r="S1226" s="1775"/>
      <c r="T1226" s="1775"/>
      <c r="U1226" s="1775"/>
      <c r="V1226" s="1775"/>
      <c r="W1226" s="240"/>
      <c r="X1226" s="240"/>
      <c r="Y1226" s="240"/>
      <c r="Z1226" s="240" t="s">
        <v>683</v>
      </c>
      <c r="AA1226" s="240"/>
      <c r="AB1226" s="240"/>
      <c r="AC1226" s="240" t="str">
        <f>TEXT(AI1222,"#,##0.#######")</f>
        <v>112.5</v>
      </c>
      <c r="AD1226" s="240"/>
      <c r="AE1226" s="240"/>
      <c r="AF1226" s="240"/>
      <c r="AG1226" s="240"/>
      <c r="AH1226" s="240"/>
      <c r="AI1226" s="240"/>
      <c r="AJ1226" s="240"/>
      <c r="AK1226" s="240" t="s">
        <v>134</v>
      </c>
      <c r="AL1226" s="240"/>
      <c r="AM1226" s="240"/>
      <c r="AN1226" s="240" t="e">
        <f>TEXT(TRUNC(R1226/AI1222,1),"#,##0.#")</f>
        <v>#REF!</v>
      </c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0"/>
      <c r="BN1226" s="240"/>
      <c r="BO1226" s="240"/>
      <c r="BP1226" s="240"/>
      <c r="BQ1226" s="240"/>
      <c r="BR1226" s="240"/>
      <c r="BS1226" s="240"/>
      <c r="BT1226" s="240"/>
      <c r="BU1226" s="240"/>
      <c r="BV1226" s="240"/>
      <c r="BW1226" s="240"/>
      <c r="BX1226" s="240"/>
      <c r="BY1226" s="240"/>
      <c r="BZ1226" s="240"/>
      <c r="CA1226" s="240"/>
      <c r="CB1226" s="240"/>
      <c r="CC1226" s="240"/>
      <c r="CD1226" s="240"/>
      <c r="CE1226" s="240"/>
      <c r="CF1226" s="240"/>
      <c r="CG1226" s="240"/>
      <c r="CH1226" s="240"/>
      <c r="CI1226" s="240"/>
      <c r="CJ1226" s="240"/>
      <c r="CK1226" s="240"/>
      <c r="CL1226" s="240"/>
      <c r="CM1226" s="240"/>
      <c r="CN1226" s="240"/>
      <c r="CO1226" s="240"/>
      <c r="CP1226" s="240"/>
      <c r="CQ1226" s="240"/>
      <c r="CR1226" s="240"/>
      <c r="CS1226" s="240"/>
      <c r="CT1226" s="240"/>
      <c r="CU1226" s="240"/>
      <c r="CV1226" s="240"/>
      <c r="CW1226" s="240"/>
      <c r="CX1226" s="240"/>
      <c r="CY1226" s="240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1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345"/>
      <c r="EM1226" s="245"/>
      <c r="EN1226" s="245"/>
      <c r="EO1226" s="245"/>
      <c r="EP1226" s="245"/>
      <c r="EQ1226" s="351"/>
    </row>
    <row r="1227" spans="2:147" s="243" customFormat="1" ht="11.25" hidden="1" customHeight="1">
      <c r="B1227" s="343"/>
      <c r="C1227" s="240"/>
      <c r="D1227" s="240"/>
      <c r="E1227" s="240"/>
      <c r="F1227" s="240"/>
      <c r="G1227" s="240"/>
      <c r="H1227" s="240" t="s">
        <v>688</v>
      </c>
      <c r="I1227" s="240"/>
      <c r="J1227" s="240"/>
      <c r="K1227" s="240"/>
      <c r="L1227" s="240" t="s">
        <v>96</v>
      </c>
      <c r="M1227" s="240"/>
      <c r="N1227" s="240"/>
      <c r="O1227" s="240" t="s">
        <v>132</v>
      </c>
      <c r="P1227" s="240"/>
      <c r="Q1227" s="240"/>
      <c r="R1227" s="240" t="e">
        <f>TEXT(AN1224+AN1225+AN1226,"#,##0.#######")</f>
        <v>#REF!</v>
      </c>
      <c r="S1227" s="240"/>
      <c r="T1227" s="240"/>
      <c r="U1227" s="240"/>
      <c r="V1227" s="240"/>
      <c r="W1227" s="240"/>
      <c r="X1227" s="240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0"/>
      <c r="BN1227" s="240"/>
      <c r="BO1227" s="240"/>
      <c r="BP1227" s="240"/>
      <c r="BQ1227" s="240"/>
      <c r="BR1227" s="240"/>
      <c r="BS1227" s="240"/>
      <c r="BT1227" s="240"/>
      <c r="BU1227" s="240"/>
      <c r="BV1227" s="240"/>
      <c r="BW1227" s="240"/>
      <c r="BX1227" s="240"/>
      <c r="BY1227" s="240"/>
      <c r="BZ1227" s="240"/>
      <c r="CA1227" s="240"/>
      <c r="CB1227" s="240"/>
      <c r="CC1227" s="240"/>
      <c r="CD1227" s="240"/>
      <c r="CE1227" s="240"/>
      <c r="CF1227" s="240"/>
      <c r="CG1227" s="240"/>
      <c r="CH1227" s="240"/>
      <c r="CI1227" s="240"/>
      <c r="CJ1227" s="240"/>
      <c r="CK1227" s="240"/>
      <c r="CL1227" s="240"/>
      <c r="CM1227" s="240"/>
      <c r="CN1227" s="240"/>
      <c r="CO1227" s="240"/>
      <c r="CP1227" s="240"/>
      <c r="CQ1227" s="240"/>
      <c r="CR1227" s="240"/>
      <c r="CS1227" s="240"/>
      <c r="CT1227" s="240"/>
      <c r="CU1227" s="240"/>
      <c r="CV1227" s="240"/>
      <c r="CW1227" s="240"/>
      <c r="CX1227" s="240"/>
      <c r="CY1227" s="240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345"/>
      <c r="EM1227" s="245" t="e">
        <f>EN1227+EO1227+EP1227</f>
        <v>#REF!</v>
      </c>
      <c r="EN1227" s="245" t="e">
        <f>TEXT(AN1224,"#,###.0")</f>
        <v>#REF!</v>
      </c>
      <c r="EO1227" s="245" t="e">
        <f>TEXT(AN1225,"#,###.0")</f>
        <v>#REF!</v>
      </c>
      <c r="EP1227" s="245" t="e">
        <f>TEXT(AN1226,"#,###.0")</f>
        <v>#REF!</v>
      </c>
      <c r="EQ1227" s="351"/>
    </row>
    <row r="1228" spans="2:147" s="243" customFormat="1" ht="11.25" hidden="1" customHeight="1">
      <c r="B1228" s="343"/>
      <c r="C1228" s="240"/>
      <c r="D1228" s="240"/>
      <c r="E1228" s="240"/>
      <c r="F1228" s="240"/>
      <c r="G1228" s="240"/>
      <c r="H1228" s="240"/>
      <c r="I1228" s="240"/>
      <c r="J1228" s="240"/>
      <c r="K1228" s="240"/>
      <c r="L1228" s="240"/>
      <c r="M1228" s="240"/>
      <c r="N1228" s="240"/>
      <c r="O1228" s="240"/>
      <c r="P1228" s="240"/>
      <c r="Q1228" s="240"/>
      <c r="R1228" s="240"/>
      <c r="S1228" s="240"/>
      <c r="T1228" s="240"/>
      <c r="U1228" s="240"/>
      <c r="V1228" s="240"/>
      <c r="W1228" s="240"/>
      <c r="X1228" s="240"/>
      <c r="Y1228" s="240"/>
      <c r="Z1228" s="240"/>
      <c r="AA1228" s="240"/>
      <c r="AB1228" s="240"/>
      <c r="AC1228" s="240"/>
      <c r="AD1228" s="240"/>
      <c r="AE1228" s="240"/>
      <c r="AF1228" s="240"/>
      <c r="AG1228" s="240"/>
      <c r="AH1228" s="240"/>
      <c r="AI1228" s="240"/>
      <c r="AJ1228" s="240"/>
      <c r="AK1228" s="240"/>
      <c r="AL1228" s="240"/>
      <c r="AM1228" s="240"/>
      <c r="AN1228" s="240"/>
      <c r="AO1228" s="240"/>
      <c r="AP1228" s="240"/>
      <c r="AQ1228" s="240"/>
      <c r="AR1228" s="240"/>
      <c r="AS1228" s="240"/>
      <c r="AT1228" s="240"/>
      <c r="AU1228" s="240"/>
      <c r="AV1228" s="240"/>
      <c r="AW1228" s="240"/>
      <c r="AX1228" s="240"/>
      <c r="AY1228" s="240"/>
      <c r="AZ1228" s="240"/>
      <c r="BA1228" s="240"/>
      <c r="BB1228" s="240"/>
      <c r="BC1228" s="240"/>
      <c r="BD1228" s="240"/>
      <c r="BE1228" s="240"/>
      <c r="BF1228" s="240"/>
      <c r="BG1228" s="240"/>
      <c r="BH1228" s="240"/>
      <c r="BI1228" s="240"/>
      <c r="BJ1228" s="240"/>
      <c r="BK1228" s="240"/>
      <c r="BL1228" s="240"/>
      <c r="BM1228" s="240"/>
      <c r="BN1228" s="240"/>
      <c r="BO1228" s="240"/>
      <c r="BP1228" s="240"/>
      <c r="BQ1228" s="240"/>
      <c r="BR1228" s="240"/>
      <c r="BS1228" s="240"/>
      <c r="BT1228" s="240"/>
      <c r="BU1228" s="240"/>
      <c r="BV1228" s="240"/>
      <c r="BW1228" s="240"/>
      <c r="BX1228" s="240"/>
      <c r="BY1228" s="240"/>
      <c r="BZ1228" s="240"/>
      <c r="CA1228" s="240"/>
      <c r="CB1228" s="240"/>
      <c r="CC1228" s="240"/>
      <c r="CD1228" s="240"/>
      <c r="CE1228" s="240"/>
      <c r="CF1228" s="240"/>
      <c r="CG1228" s="240"/>
      <c r="CH1228" s="240"/>
      <c r="CI1228" s="240"/>
      <c r="CJ1228" s="240"/>
      <c r="CK1228" s="240"/>
      <c r="CL1228" s="240"/>
      <c r="CM1228" s="240"/>
      <c r="CN1228" s="240"/>
      <c r="CO1228" s="240"/>
      <c r="CP1228" s="240"/>
      <c r="CQ1228" s="240"/>
      <c r="CR1228" s="240"/>
      <c r="CS1228" s="240"/>
      <c r="CT1228" s="240"/>
      <c r="CU1228" s="240"/>
      <c r="CV1228" s="240"/>
      <c r="CW1228" s="240"/>
      <c r="CX1228" s="240"/>
      <c r="CY1228" s="240"/>
      <c r="CZ1228" s="241"/>
      <c r="DA1228" s="241"/>
      <c r="DB1228" s="241"/>
      <c r="DC1228" s="241"/>
      <c r="DD1228" s="241"/>
      <c r="DE1228" s="241"/>
      <c r="DF1228" s="241"/>
      <c r="DG1228" s="241"/>
      <c r="DH1228" s="241"/>
      <c r="DI1228" s="241"/>
      <c r="DJ1228" s="241"/>
      <c r="DK1228" s="241"/>
      <c r="DL1228" s="241"/>
      <c r="DM1228" s="241"/>
      <c r="DN1228" s="241"/>
      <c r="DO1228" s="241"/>
      <c r="DP1228" s="241"/>
      <c r="DQ1228" s="241"/>
      <c r="DR1228" s="241"/>
      <c r="DS1228" s="241"/>
      <c r="DT1228" s="241"/>
      <c r="DU1228" s="241"/>
      <c r="DV1228" s="241"/>
      <c r="DW1228" s="241"/>
      <c r="DX1228" s="241"/>
      <c r="DY1228" s="241"/>
      <c r="DZ1228" s="241"/>
      <c r="EA1228" s="241"/>
      <c r="EB1228" s="241"/>
      <c r="EC1228" s="241"/>
      <c r="ED1228" s="241"/>
      <c r="EE1228" s="241"/>
      <c r="EF1228" s="241"/>
      <c r="EG1228" s="241"/>
      <c r="EH1228" s="241"/>
      <c r="EI1228" s="241"/>
      <c r="EJ1228" s="241"/>
      <c r="EK1228" s="241"/>
      <c r="EL1228" s="345"/>
      <c r="EM1228" s="245"/>
      <c r="EN1228" s="245"/>
      <c r="EO1228" s="245"/>
      <c r="EP1228" s="245"/>
      <c r="EQ1228" s="351"/>
    </row>
    <row r="1229" spans="2:147" s="243" customFormat="1" ht="11.25" hidden="1" customHeight="1">
      <c r="B1229" s="343"/>
      <c r="C1229" s="240"/>
      <c r="D1229" s="240"/>
      <c r="E1229" s="240" t="s">
        <v>727</v>
      </c>
      <c r="F1229" s="240"/>
      <c r="G1229" s="240"/>
      <c r="H1229" s="240" t="s">
        <v>678</v>
      </c>
      <c r="I1229" s="240"/>
      <c r="J1229" s="240"/>
      <c r="K1229" s="240"/>
      <c r="L1229" s="240" t="s">
        <v>96</v>
      </c>
      <c r="M1229" s="240"/>
      <c r="N1229" s="240"/>
      <c r="O1229" s="240"/>
      <c r="P1229" s="240"/>
      <c r="Q1229" s="240"/>
      <c r="R1229" s="240"/>
      <c r="S1229" s="240"/>
      <c r="T1229" s="240"/>
      <c r="U1229" s="240"/>
      <c r="V1229" s="240"/>
      <c r="W1229" s="240"/>
      <c r="X1229" s="240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0"/>
      <c r="BN1229" s="240"/>
      <c r="BO1229" s="240"/>
      <c r="BP1229" s="240"/>
      <c r="BQ1229" s="240"/>
      <c r="BR1229" s="240"/>
      <c r="BS1229" s="240"/>
      <c r="BT1229" s="240"/>
      <c r="BU1229" s="240"/>
      <c r="BV1229" s="240"/>
      <c r="BW1229" s="240"/>
      <c r="BX1229" s="240"/>
      <c r="BY1229" s="240"/>
      <c r="BZ1229" s="240"/>
      <c r="CA1229" s="240"/>
      <c r="CB1229" s="240"/>
      <c r="CC1229" s="240"/>
      <c r="CD1229" s="240"/>
      <c r="CE1229" s="240"/>
      <c r="CF1229" s="240"/>
      <c r="CG1229" s="240"/>
      <c r="CH1229" s="240"/>
      <c r="CI1229" s="240"/>
      <c r="CJ1229" s="240"/>
      <c r="CK1229" s="240"/>
      <c r="CL1229" s="240"/>
      <c r="CM1229" s="240"/>
      <c r="CN1229" s="240"/>
      <c r="CO1229" s="240"/>
      <c r="CP1229" s="240"/>
      <c r="CQ1229" s="240"/>
      <c r="CR1229" s="240"/>
      <c r="CS1229" s="240"/>
      <c r="CT1229" s="240"/>
      <c r="CU1229" s="240"/>
      <c r="CV1229" s="240"/>
      <c r="CW1229" s="240"/>
      <c r="CX1229" s="240"/>
      <c r="CY1229" s="240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345"/>
      <c r="EM1229" s="245"/>
      <c r="EN1229" s="245"/>
      <c r="EO1229" s="245"/>
      <c r="EP1229" s="245"/>
      <c r="EQ1229" s="351"/>
    </row>
    <row r="1230" spans="2:147" s="243" customFormat="1" ht="11.25" hidden="1" customHeight="1">
      <c r="B1230" s="343"/>
      <c r="C1230" s="240"/>
      <c r="D1230" s="240"/>
      <c r="E1230" s="240"/>
      <c r="F1230" s="240"/>
      <c r="G1230" s="240"/>
      <c r="H1230" s="240"/>
      <c r="I1230" s="240"/>
      <c r="J1230" s="240"/>
      <c r="K1230" s="240"/>
      <c r="L1230" s="240"/>
      <c r="M1230" s="240"/>
      <c r="N1230" s="240"/>
      <c r="O1230" s="240"/>
      <c r="P1230" s="240"/>
      <c r="Q1230" s="240"/>
      <c r="R1230" s="240"/>
      <c r="S1230" s="240"/>
      <c r="T1230" s="240"/>
      <c r="U1230" s="240"/>
      <c r="V1230" s="240"/>
      <c r="W1230" s="240"/>
      <c r="X1230" s="240"/>
      <c r="Y1230" s="240"/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240"/>
      <c r="AM1230" s="240"/>
      <c r="AN1230" s="240"/>
      <c r="AO1230" s="240"/>
      <c r="AP1230" s="240"/>
      <c r="AQ1230" s="240"/>
      <c r="AR1230" s="240"/>
      <c r="AS1230" s="240"/>
      <c r="AT1230" s="240"/>
      <c r="AU1230" s="240"/>
      <c r="AV1230" s="240"/>
      <c r="AW1230" s="240"/>
      <c r="AX1230" s="240"/>
      <c r="AY1230" s="240"/>
      <c r="AZ1230" s="240"/>
      <c r="BA1230" s="240"/>
      <c r="BB1230" s="240"/>
      <c r="BC1230" s="240"/>
      <c r="BD1230" s="240"/>
      <c r="BE1230" s="240"/>
      <c r="BF1230" s="240"/>
      <c r="BG1230" s="240"/>
      <c r="BH1230" s="240"/>
      <c r="BI1230" s="240"/>
      <c r="BJ1230" s="240"/>
      <c r="BK1230" s="240"/>
      <c r="BL1230" s="240"/>
      <c r="BM1230" s="240"/>
      <c r="BN1230" s="240"/>
      <c r="BO1230" s="240"/>
      <c r="BP1230" s="240"/>
      <c r="BQ1230" s="240"/>
      <c r="BR1230" s="240"/>
      <c r="BS1230" s="240"/>
      <c r="BT1230" s="240"/>
      <c r="BU1230" s="240"/>
      <c r="BV1230" s="240"/>
      <c r="BW1230" s="240"/>
      <c r="BX1230" s="240"/>
      <c r="BY1230" s="240"/>
      <c r="BZ1230" s="240"/>
      <c r="CA1230" s="240"/>
      <c r="CB1230" s="240"/>
      <c r="CC1230" s="240"/>
      <c r="CD1230" s="240"/>
      <c r="CE1230" s="240"/>
      <c r="CF1230" s="240"/>
      <c r="CG1230" s="240"/>
      <c r="CH1230" s="240"/>
      <c r="CI1230" s="240"/>
      <c r="CJ1230" s="240"/>
      <c r="CK1230" s="240"/>
      <c r="CL1230" s="240"/>
      <c r="CM1230" s="240"/>
      <c r="CN1230" s="240"/>
      <c r="CO1230" s="240"/>
      <c r="CP1230" s="240"/>
      <c r="CQ1230" s="240"/>
      <c r="CR1230" s="240"/>
      <c r="CS1230" s="240"/>
      <c r="CT1230" s="240"/>
      <c r="CU1230" s="240"/>
      <c r="CV1230" s="240"/>
      <c r="CW1230" s="240"/>
      <c r="CX1230" s="240"/>
      <c r="CY1230" s="240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345"/>
      <c r="EM1230" s="245"/>
      <c r="EN1230" s="245"/>
      <c r="EO1230" s="245"/>
      <c r="EP1230" s="245"/>
      <c r="EQ1230" s="351"/>
    </row>
    <row r="1231" spans="2:147" s="243" customFormat="1" ht="11.25" hidden="1" customHeight="1">
      <c r="B1231" s="343"/>
      <c r="C1231" s="240"/>
      <c r="D1231" s="240"/>
      <c r="E1231" s="240"/>
      <c r="F1231" s="240"/>
      <c r="G1231" s="240"/>
      <c r="H1231" s="240"/>
      <c r="I1231" s="240" t="s">
        <v>616</v>
      </c>
      <c r="J1231" s="240"/>
      <c r="K1231" s="240"/>
      <c r="L1231" s="240"/>
      <c r="M1231" s="240"/>
      <c r="N1231" s="240"/>
      <c r="O1231" s="240"/>
      <c r="P1231" s="240" t="s">
        <v>132</v>
      </c>
      <c r="Q1231" s="240"/>
      <c r="R1231" s="240" t="str">
        <f>TEXT(EN1210,"#,###.##")</f>
        <v>787.7</v>
      </c>
      <c r="S1231" s="240"/>
      <c r="T1231" s="240"/>
      <c r="U1231" s="240"/>
      <c r="V1231" s="240"/>
      <c r="W1231" s="240"/>
      <c r="X1231" s="240" t="s">
        <v>130</v>
      </c>
      <c r="Y1231" s="240"/>
      <c r="Z1231" s="240" t="e">
        <f>TEXT(EN1227,"#,###.##")</f>
        <v>#REF!</v>
      </c>
      <c r="AA1231" s="240"/>
      <c r="AB1231" s="240"/>
      <c r="AC1231" s="240"/>
      <c r="AD1231" s="240"/>
      <c r="AE1231" s="240"/>
      <c r="AF1231" s="240" t="s">
        <v>134</v>
      </c>
      <c r="AG1231" s="240"/>
      <c r="AH1231" s="240"/>
      <c r="AI1231" s="240" t="e">
        <f>TEXT(TRUNC(EN1210+EN1227,0),"#,##0")</f>
        <v>#REF!</v>
      </c>
      <c r="AJ1231" s="240"/>
      <c r="AK1231" s="240"/>
      <c r="AL1231" s="240"/>
      <c r="AM1231" s="240"/>
      <c r="AN1231" s="240"/>
      <c r="AO1231" s="240"/>
      <c r="AP1231" s="240"/>
      <c r="AQ1231" s="240"/>
      <c r="AR1231" s="240"/>
      <c r="AS1231" s="240"/>
      <c r="AT1231" s="240"/>
      <c r="AU1231" s="240"/>
      <c r="AV1231" s="240"/>
      <c r="AW1231" s="240"/>
      <c r="AX1231" s="240"/>
      <c r="AY1231" s="240"/>
      <c r="AZ1231" s="240"/>
      <c r="BA1231" s="240"/>
      <c r="BB1231" s="240"/>
      <c r="BC1231" s="240"/>
      <c r="BD1231" s="240"/>
      <c r="BE1231" s="240"/>
      <c r="BF1231" s="240"/>
      <c r="BG1231" s="240"/>
      <c r="BH1231" s="240"/>
      <c r="BI1231" s="240"/>
      <c r="BJ1231" s="240"/>
      <c r="BK1231" s="240"/>
      <c r="BL1231" s="240"/>
      <c r="BM1231" s="240"/>
      <c r="BN1231" s="240"/>
      <c r="BO1231" s="240"/>
      <c r="BP1231" s="240"/>
      <c r="BQ1231" s="240"/>
      <c r="BR1231" s="240"/>
      <c r="BS1231" s="240"/>
      <c r="BT1231" s="240"/>
      <c r="BU1231" s="240"/>
      <c r="BV1231" s="240"/>
      <c r="BW1231" s="240"/>
      <c r="BX1231" s="240"/>
      <c r="BY1231" s="240"/>
      <c r="BZ1231" s="240"/>
      <c r="CA1231" s="240"/>
      <c r="CB1231" s="240"/>
      <c r="CC1231" s="240"/>
      <c r="CD1231" s="240"/>
      <c r="CE1231" s="240"/>
      <c r="CF1231" s="240"/>
      <c r="CG1231" s="240"/>
      <c r="CH1231" s="240"/>
      <c r="CI1231" s="240"/>
      <c r="CJ1231" s="240"/>
      <c r="CK1231" s="240"/>
      <c r="CL1231" s="240"/>
      <c r="CM1231" s="240"/>
      <c r="CN1231" s="240"/>
      <c r="CO1231" s="240"/>
      <c r="CP1231" s="240"/>
      <c r="CQ1231" s="240"/>
      <c r="CR1231" s="240"/>
      <c r="CS1231" s="240"/>
      <c r="CT1231" s="240"/>
      <c r="CU1231" s="240"/>
      <c r="CV1231" s="240"/>
      <c r="CW1231" s="240"/>
      <c r="CX1231" s="240"/>
      <c r="CY1231" s="240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345"/>
      <c r="EM1231" s="245"/>
      <c r="EN1231" s="245"/>
      <c r="EO1231" s="245"/>
      <c r="EP1231" s="245"/>
      <c r="EQ1231" s="351"/>
    </row>
    <row r="1232" spans="2:147" s="243" customFormat="1" ht="11.25" hidden="1" customHeight="1">
      <c r="B1232" s="343"/>
      <c r="C1232" s="240"/>
      <c r="D1232" s="240"/>
      <c r="E1232" s="240"/>
      <c r="F1232" s="240"/>
      <c r="G1232" s="240"/>
      <c r="H1232" s="240"/>
      <c r="I1232" s="240" t="s">
        <v>617</v>
      </c>
      <c r="J1232" s="240"/>
      <c r="K1232" s="240"/>
      <c r="L1232" s="240"/>
      <c r="M1232" s="240"/>
      <c r="N1232" s="240"/>
      <c r="O1232" s="240"/>
      <c r="P1232" s="240" t="s">
        <v>132</v>
      </c>
      <c r="Q1232" s="240"/>
      <c r="R1232" s="240" t="str">
        <f>TEXT(EO1202,"#,###.##")</f>
        <v>5,246.</v>
      </c>
      <c r="S1232" s="240"/>
      <c r="T1232" s="240"/>
      <c r="U1232" s="240"/>
      <c r="V1232" s="240"/>
      <c r="W1232" s="240"/>
      <c r="X1232" s="240"/>
      <c r="Y1232" s="240"/>
      <c r="Z1232" s="240" t="s">
        <v>130</v>
      </c>
      <c r="AA1232" s="240"/>
      <c r="AB1232" s="240" t="str">
        <f>TEXT(EO1214,"#,###.##")</f>
        <v>52.4</v>
      </c>
      <c r="AC1232" s="240"/>
      <c r="AD1232" s="240"/>
      <c r="AE1232" s="240"/>
      <c r="AF1232" s="240"/>
      <c r="AG1232" s="240" t="s">
        <v>130</v>
      </c>
      <c r="AH1232" s="240"/>
      <c r="AI1232" s="240" t="str">
        <f>TEXT(EO1218,"#,###.##")</f>
        <v>23.6</v>
      </c>
      <c r="AJ1232" s="240"/>
      <c r="AK1232" s="240"/>
      <c r="AL1232" s="240"/>
      <c r="AM1232" s="240"/>
      <c r="AN1232" s="240" t="s">
        <v>130</v>
      </c>
      <c r="AO1232" s="240"/>
      <c r="AP1232" s="240" t="e">
        <f>TEXT(EO1227,"#,###.##")</f>
        <v>#REF!</v>
      </c>
      <c r="AQ1232" s="240"/>
      <c r="AR1232" s="240"/>
      <c r="AS1232" s="240"/>
      <c r="AT1232" s="240"/>
      <c r="AU1232" s="240" t="s">
        <v>134</v>
      </c>
      <c r="AV1232" s="240"/>
      <c r="AW1232" s="240"/>
      <c r="AX1232" s="240" t="e">
        <f>TEXT(TRUNC(EO1202+EO1214+EO1218+EO1227,0),"#,##0")</f>
        <v>#REF!</v>
      </c>
      <c r="AY1232" s="240"/>
      <c r="AZ1232" s="240"/>
      <c r="BA1232" s="240"/>
      <c r="BB1232" s="240"/>
      <c r="BC1232" s="240"/>
      <c r="BD1232" s="240"/>
      <c r="BE1232" s="240"/>
      <c r="BF1232" s="240"/>
      <c r="BG1232" s="240"/>
      <c r="BH1232" s="240"/>
      <c r="BI1232" s="240"/>
      <c r="BJ1232" s="240"/>
      <c r="BK1232" s="240"/>
      <c r="BL1232" s="240"/>
      <c r="BM1232" s="240"/>
      <c r="BN1232" s="240"/>
      <c r="BO1232" s="240"/>
      <c r="BP1232" s="240"/>
      <c r="BQ1232" s="240"/>
      <c r="BR1232" s="240"/>
      <c r="BS1232" s="240"/>
      <c r="BT1232" s="240"/>
      <c r="BU1232" s="240"/>
      <c r="BV1232" s="240"/>
      <c r="BW1232" s="240"/>
      <c r="BX1232" s="240"/>
      <c r="BY1232" s="240"/>
      <c r="BZ1232" s="240"/>
      <c r="CA1232" s="240"/>
      <c r="CB1232" s="240"/>
      <c r="CC1232" s="240"/>
      <c r="CD1232" s="240"/>
      <c r="CE1232" s="240"/>
      <c r="CF1232" s="240"/>
      <c r="CG1232" s="240"/>
      <c r="CH1232" s="240"/>
      <c r="CI1232" s="240"/>
      <c r="CJ1232" s="240"/>
      <c r="CK1232" s="240"/>
      <c r="CL1232" s="240"/>
      <c r="CM1232" s="240"/>
      <c r="CN1232" s="240"/>
      <c r="CO1232" s="240"/>
      <c r="CP1232" s="240"/>
      <c r="CQ1232" s="240"/>
      <c r="CR1232" s="240"/>
      <c r="CS1232" s="240"/>
      <c r="CT1232" s="240"/>
      <c r="CU1232" s="240"/>
      <c r="CV1232" s="240"/>
      <c r="CW1232" s="240"/>
      <c r="CX1232" s="240"/>
      <c r="CY1232" s="240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345"/>
      <c r="EM1232" s="245"/>
      <c r="EN1232" s="245"/>
      <c r="EO1232" s="245"/>
      <c r="EP1232" s="245"/>
      <c r="EQ1232" s="351"/>
    </row>
    <row r="1233" spans="2:147" s="243" customFormat="1" ht="11.25" hidden="1" customHeight="1">
      <c r="B1233" s="343"/>
      <c r="C1233" s="240"/>
      <c r="D1233" s="240"/>
      <c r="E1233" s="240"/>
      <c r="F1233" s="240"/>
      <c r="G1233" s="240"/>
      <c r="H1233" s="240"/>
      <c r="I1233" s="240" t="s">
        <v>679</v>
      </c>
      <c r="J1233" s="240"/>
      <c r="K1233" s="240"/>
      <c r="L1233" s="240"/>
      <c r="M1233" s="240" t="s">
        <v>680</v>
      </c>
      <c r="N1233" s="240"/>
      <c r="O1233" s="240"/>
      <c r="P1233" s="240" t="s">
        <v>132</v>
      </c>
      <c r="Q1233" s="240"/>
      <c r="R1233" s="240" t="e">
        <f>TEXT(TRUNC(EP1227,0),"#,##0")</f>
        <v>#REF!</v>
      </c>
      <c r="S1233" s="240"/>
      <c r="T1233" s="240"/>
      <c r="U1233" s="240"/>
      <c r="V1233" s="240"/>
      <c r="W1233" s="240"/>
      <c r="X1233" s="240"/>
      <c r="Y1233" s="240"/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240"/>
      <c r="AM1233" s="240"/>
      <c r="AN1233" s="240"/>
      <c r="AO1233" s="240"/>
      <c r="AP1233" s="240"/>
      <c r="AQ1233" s="240"/>
      <c r="AR1233" s="240"/>
      <c r="AS1233" s="240"/>
      <c r="AT1233" s="240"/>
      <c r="AU1233" s="240"/>
      <c r="AV1233" s="240"/>
      <c r="AW1233" s="240"/>
      <c r="AX1233" s="240"/>
      <c r="AY1233" s="240"/>
      <c r="AZ1233" s="240"/>
      <c r="BA1233" s="240"/>
      <c r="BB1233" s="240"/>
      <c r="BC1233" s="240"/>
      <c r="BD1233" s="240"/>
      <c r="BE1233" s="240"/>
      <c r="BF1233" s="240"/>
      <c r="BG1233" s="240"/>
      <c r="BH1233" s="240"/>
      <c r="BI1233" s="240"/>
      <c r="BJ1233" s="240"/>
      <c r="BK1233" s="240"/>
      <c r="BL1233" s="240"/>
      <c r="BM1233" s="240"/>
      <c r="BN1233" s="240"/>
      <c r="BO1233" s="240"/>
      <c r="BP1233" s="240"/>
      <c r="BQ1233" s="240"/>
      <c r="BR1233" s="240"/>
      <c r="BS1233" s="240"/>
      <c r="BT1233" s="240"/>
      <c r="BU1233" s="240"/>
      <c r="BV1233" s="240"/>
      <c r="BW1233" s="240"/>
      <c r="BX1233" s="240"/>
      <c r="BY1233" s="240"/>
      <c r="BZ1233" s="240"/>
      <c r="CA1233" s="240"/>
      <c r="CB1233" s="240"/>
      <c r="CC1233" s="240"/>
      <c r="CD1233" s="240"/>
      <c r="CE1233" s="240"/>
      <c r="CF1233" s="240"/>
      <c r="CG1233" s="240"/>
      <c r="CH1233" s="240"/>
      <c r="CI1233" s="240"/>
      <c r="CJ1233" s="240"/>
      <c r="CK1233" s="240"/>
      <c r="CL1233" s="240"/>
      <c r="CM1233" s="240"/>
      <c r="CN1233" s="240"/>
      <c r="CO1233" s="240"/>
      <c r="CP1233" s="240"/>
      <c r="CQ1233" s="240"/>
      <c r="CR1233" s="240"/>
      <c r="CS1233" s="240"/>
      <c r="CT1233" s="240"/>
      <c r="CU1233" s="240"/>
      <c r="CV1233" s="240"/>
      <c r="CW1233" s="240"/>
      <c r="CX1233" s="240"/>
      <c r="CY1233" s="240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345"/>
      <c r="EM1233" s="245"/>
      <c r="EN1233" s="245"/>
      <c r="EO1233" s="245"/>
      <c r="EP1233" s="245"/>
      <c r="EQ1233" s="351"/>
    </row>
    <row r="1234" spans="2:147" s="243" customFormat="1" ht="11.25" hidden="1" customHeight="1">
      <c r="B1234" s="343"/>
      <c r="C1234" s="240"/>
      <c r="D1234" s="240"/>
      <c r="E1234" s="240"/>
      <c r="F1234" s="240"/>
      <c r="G1234" s="240"/>
      <c r="H1234" s="240"/>
      <c r="I1234" s="240"/>
      <c r="J1234" s="240"/>
      <c r="K1234" s="240" t="s">
        <v>96</v>
      </c>
      <c r="L1234" s="240"/>
      <c r="M1234" s="240"/>
      <c r="N1234" s="240"/>
      <c r="O1234" s="240"/>
      <c r="P1234" s="240" t="s">
        <v>132</v>
      </c>
      <c r="Q1234" s="240"/>
      <c r="R1234" s="240" t="e">
        <f>TEXT(AI1231+AX1232+R1233,"#,##0")</f>
        <v>#REF!</v>
      </c>
      <c r="T1234" s="240"/>
      <c r="U1234" s="240"/>
      <c r="V1234" s="240"/>
      <c r="W1234" s="240"/>
      <c r="X1234" s="240"/>
      <c r="Y1234" s="240"/>
      <c r="Z1234" s="240"/>
      <c r="AA1234" s="240"/>
      <c r="AB1234" s="240"/>
      <c r="AC1234" s="240"/>
      <c r="AD1234" s="240"/>
      <c r="AE1234" s="240"/>
      <c r="AF1234" s="240"/>
      <c r="AG1234" s="240"/>
      <c r="AH1234" s="240"/>
      <c r="AI1234" s="240"/>
      <c r="AJ1234" s="240"/>
      <c r="AK1234" s="240"/>
      <c r="AL1234" s="240"/>
      <c r="AM1234" s="240"/>
      <c r="AN1234" s="240"/>
      <c r="AO1234" s="240"/>
      <c r="AP1234" s="240"/>
      <c r="AQ1234" s="240"/>
      <c r="AR1234" s="240"/>
      <c r="AS1234" s="240"/>
      <c r="AT1234" s="240"/>
      <c r="AU1234" s="240"/>
      <c r="AV1234" s="240"/>
      <c r="AW1234" s="240"/>
      <c r="AX1234" s="240"/>
      <c r="AY1234" s="240"/>
      <c r="AZ1234" s="240"/>
      <c r="BA1234" s="240"/>
      <c r="BB1234" s="240"/>
      <c r="BC1234" s="240"/>
      <c r="BD1234" s="240"/>
      <c r="BE1234" s="240"/>
      <c r="BF1234" s="240"/>
      <c r="BG1234" s="240"/>
      <c r="BH1234" s="240"/>
      <c r="BI1234" s="240"/>
      <c r="BJ1234" s="240"/>
      <c r="BK1234" s="240"/>
      <c r="BL1234" s="240"/>
      <c r="BM1234" s="240"/>
      <c r="BN1234" s="240"/>
      <c r="BO1234" s="240"/>
      <c r="BP1234" s="240"/>
      <c r="BQ1234" s="240"/>
      <c r="BR1234" s="240"/>
      <c r="BS1234" s="240"/>
      <c r="BT1234" s="240"/>
      <c r="BU1234" s="240"/>
      <c r="BV1234" s="240"/>
      <c r="BW1234" s="240"/>
      <c r="BX1234" s="240"/>
      <c r="BY1234" s="240"/>
      <c r="BZ1234" s="240"/>
      <c r="CA1234" s="240"/>
      <c r="CB1234" s="240"/>
      <c r="CC1234" s="240"/>
      <c r="CD1234" s="240"/>
      <c r="CE1234" s="240"/>
      <c r="CF1234" s="240"/>
      <c r="CG1234" s="240"/>
      <c r="CH1234" s="240"/>
      <c r="CI1234" s="240"/>
      <c r="CJ1234" s="240"/>
      <c r="CK1234" s="240"/>
      <c r="CL1234" s="240"/>
      <c r="CM1234" s="240"/>
      <c r="CN1234" s="240"/>
      <c r="CO1234" s="240"/>
      <c r="CP1234" s="240"/>
      <c r="CQ1234" s="240"/>
      <c r="CR1234" s="240"/>
      <c r="CS1234" s="240"/>
      <c r="CT1234" s="240"/>
      <c r="CU1234" s="240"/>
      <c r="CV1234" s="240"/>
      <c r="CW1234" s="240"/>
      <c r="CX1234" s="240"/>
      <c r="CY1234" s="240"/>
      <c r="CZ1234" s="241"/>
      <c r="DA1234" s="241"/>
      <c r="DB1234" s="241"/>
      <c r="DC1234" s="241"/>
      <c r="DD1234" s="241"/>
      <c r="DE1234" s="241"/>
      <c r="DF1234" s="241"/>
      <c r="DG1234" s="241"/>
      <c r="DH1234" s="241"/>
      <c r="DI1234" s="241"/>
      <c r="DJ1234" s="241"/>
      <c r="DK1234" s="241"/>
      <c r="DL1234" s="241"/>
      <c r="DM1234" s="241"/>
      <c r="DN1234" s="241"/>
      <c r="DO1234" s="241"/>
      <c r="DP1234" s="241"/>
      <c r="DQ1234" s="241"/>
      <c r="DR1234" s="241"/>
      <c r="DS1234" s="241"/>
      <c r="DT1234" s="241"/>
      <c r="DU1234" s="241"/>
      <c r="DV1234" s="241"/>
      <c r="DW1234" s="241"/>
      <c r="DX1234" s="241"/>
      <c r="DY1234" s="241"/>
      <c r="DZ1234" s="241"/>
      <c r="EA1234" s="241"/>
      <c r="EB1234" s="241"/>
      <c r="EC1234" s="241"/>
      <c r="ED1234" s="241"/>
      <c r="EE1234" s="241"/>
      <c r="EF1234" s="241"/>
      <c r="EG1234" s="241"/>
      <c r="EH1234" s="241"/>
      <c r="EI1234" s="241"/>
      <c r="EJ1234" s="241"/>
      <c r="EK1234" s="241"/>
      <c r="EL1234" s="345"/>
      <c r="EM1234" s="250" t="e">
        <f>EN1234+EO1234+EP1234</f>
        <v>#REF!</v>
      </c>
      <c r="EN1234" s="245" t="e">
        <f>TEXT(AI1231,"#,##0")</f>
        <v>#REF!</v>
      </c>
      <c r="EO1234" s="245" t="e">
        <f>TEXT(AX1232,"#,##0")</f>
        <v>#REF!</v>
      </c>
      <c r="EP1234" s="245" t="e">
        <f>TEXT(R1233,"#,##0")</f>
        <v>#REF!</v>
      </c>
      <c r="EQ1234" s="351"/>
    </row>
    <row r="1235" spans="2:147" s="243" customFormat="1" ht="11.25" hidden="1" customHeight="1">
      <c r="B1235" s="350"/>
      <c r="C1235" s="247"/>
      <c r="D1235" s="247"/>
      <c r="E1235" s="247"/>
      <c r="F1235" s="247"/>
      <c r="G1235" s="247"/>
      <c r="H1235" s="247"/>
      <c r="I1235" s="247"/>
      <c r="J1235" s="247"/>
      <c r="K1235" s="247"/>
      <c r="L1235" s="247"/>
      <c r="M1235" s="247"/>
      <c r="N1235" s="247"/>
      <c r="O1235" s="247"/>
      <c r="P1235" s="247"/>
      <c r="Q1235" s="247"/>
      <c r="R1235" s="247"/>
      <c r="S1235" s="247"/>
      <c r="T1235" s="247"/>
      <c r="U1235" s="247"/>
      <c r="V1235" s="247"/>
      <c r="W1235" s="247"/>
      <c r="X1235" s="247"/>
      <c r="Y1235" s="247"/>
      <c r="Z1235" s="247"/>
      <c r="AA1235" s="247"/>
      <c r="AB1235" s="247"/>
      <c r="AC1235" s="247"/>
      <c r="AD1235" s="247"/>
      <c r="AE1235" s="247"/>
      <c r="AF1235" s="247"/>
      <c r="AG1235" s="247"/>
      <c r="AH1235" s="247"/>
      <c r="AI1235" s="247"/>
      <c r="AJ1235" s="247"/>
      <c r="AK1235" s="247"/>
      <c r="AL1235" s="247"/>
      <c r="AM1235" s="247"/>
      <c r="AN1235" s="247"/>
      <c r="AO1235" s="247"/>
      <c r="AP1235" s="247"/>
      <c r="AQ1235" s="247"/>
      <c r="AR1235" s="247"/>
      <c r="AS1235" s="247"/>
      <c r="AT1235" s="247"/>
      <c r="AU1235" s="247"/>
      <c r="AV1235" s="247"/>
      <c r="AW1235" s="247"/>
      <c r="AX1235" s="247"/>
      <c r="AY1235" s="247"/>
      <c r="AZ1235" s="247"/>
      <c r="BA1235" s="247"/>
      <c r="BB1235" s="247"/>
      <c r="BC1235" s="247"/>
      <c r="BD1235" s="247"/>
      <c r="BE1235" s="247"/>
      <c r="BF1235" s="247"/>
      <c r="BG1235" s="247"/>
      <c r="BH1235" s="247"/>
      <c r="BI1235" s="247"/>
      <c r="BJ1235" s="247"/>
      <c r="BK1235" s="247"/>
      <c r="BL1235" s="247"/>
      <c r="BM1235" s="247"/>
      <c r="BN1235" s="247"/>
      <c r="BO1235" s="247"/>
      <c r="BP1235" s="247"/>
      <c r="BQ1235" s="247"/>
      <c r="BR1235" s="247"/>
      <c r="BS1235" s="247"/>
      <c r="BT1235" s="247"/>
      <c r="BU1235" s="247"/>
      <c r="BV1235" s="247"/>
      <c r="BW1235" s="247"/>
      <c r="BX1235" s="247"/>
      <c r="BY1235" s="247"/>
      <c r="BZ1235" s="247"/>
      <c r="CA1235" s="247"/>
      <c r="CB1235" s="247"/>
      <c r="CC1235" s="247"/>
      <c r="CD1235" s="247"/>
      <c r="CE1235" s="247"/>
      <c r="CF1235" s="247"/>
      <c r="CG1235" s="247"/>
      <c r="CH1235" s="247"/>
      <c r="CI1235" s="247"/>
      <c r="CJ1235" s="247"/>
      <c r="CK1235" s="247"/>
      <c r="CL1235" s="247"/>
      <c r="CM1235" s="247"/>
      <c r="CN1235" s="247"/>
      <c r="CO1235" s="247"/>
      <c r="CP1235" s="247"/>
      <c r="CQ1235" s="247"/>
      <c r="CR1235" s="247"/>
      <c r="CS1235" s="247"/>
      <c r="CT1235" s="247"/>
      <c r="CU1235" s="247"/>
      <c r="CV1235" s="247"/>
      <c r="CW1235" s="247"/>
      <c r="CX1235" s="247"/>
      <c r="CY1235" s="247"/>
      <c r="CZ1235" s="248"/>
      <c r="DA1235" s="248"/>
      <c r="DB1235" s="248"/>
      <c r="DC1235" s="248"/>
      <c r="DD1235" s="248"/>
      <c r="DE1235" s="248"/>
      <c r="DF1235" s="248"/>
      <c r="DG1235" s="248"/>
      <c r="DH1235" s="248"/>
      <c r="DI1235" s="248"/>
      <c r="DJ1235" s="248"/>
      <c r="DK1235" s="248"/>
      <c r="DL1235" s="248"/>
      <c r="DM1235" s="248"/>
      <c r="DN1235" s="248"/>
      <c r="DO1235" s="248"/>
      <c r="DP1235" s="248"/>
      <c r="DQ1235" s="248"/>
      <c r="DR1235" s="248"/>
      <c r="DS1235" s="248"/>
      <c r="DT1235" s="248"/>
      <c r="DU1235" s="248"/>
      <c r="DV1235" s="248"/>
      <c r="DW1235" s="248"/>
      <c r="DX1235" s="248"/>
      <c r="DY1235" s="248"/>
      <c r="DZ1235" s="248"/>
      <c r="EA1235" s="248"/>
      <c r="EB1235" s="248"/>
      <c r="EC1235" s="248"/>
      <c r="ED1235" s="248"/>
      <c r="EE1235" s="248"/>
      <c r="EF1235" s="248"/>
      <c r="EG1235" s="248"/>
      <c r="EH1235" s="248"/>
      <c r="EI1235" s="248"/>
      <c r="EJ1235" s="248"/>
      <c r="EK1235" s="248"/>
      <c r="EL1235" s="357"/>
      <c r="EM1235" s="249"/>
      <c r="EN1235" s="249"/>
      <c r="EO1235" s="249"/>
      <c r="EP1235" s="249"/>
      <c r="EQ1235" s="352"/>
    </row>
    <row r="1236" spans="2:147" ht="11.25" hidden="1" customHeight="1">
      <c r="B1236" s="228"/>
      <c r="C1236" s="229"/>
      <c r="D1236" s="229"/>
      <c r="E1236" s="229"/>
      <c r="F1236" s="229"/>
      <c r="G1236" s="229"/>
      <c r="H1236" s="229"/>
      <c r="I1236" s="229"/>
      <c r="J1236" s="229"/>
      <c r="K1236" s="229"/>
      <c r="L1236" s="296"/>
      <c r="M1236" s="296"/>
      <c r="N1236" s="296"/>
      <c r="O1236" s="229"/>
      <c r="P1236" s="229"/>
      <c r="Q1236" s="229"/>
      <c r="R1236" s="229"/>
      <c r="S1236" s="229"/>
      <c r="T1236" s="229"/>
      <c r="U1236" s="229"/>
      <c r="V1236" s="229"/>
      <c r="W1236" s="229"/>
      <c r="X1236" s="229"/>
      <c r="Y1236" s="229"/>
      <c r="Z1236" s="229"/>
      <c r="AA1236" s="229"/>
      <c r="AB1236" s="229"/>
      <c r="AC1236" s="229"/>
      <c r="AD1236" s="229"/>
      <c r="AE1236" s="229"/>
      <c r="AF1236" s="229"/>
      <c r="AG1236" s="229"/>
      <c r="AH1236" s="229"/>
      <c r="AI1236" s="229"/>
      <c r="AJ1236" s="229"/>
      <c r="AK1236" s="229"/>
      <c r="AL1236" s="229"/>
      <c r="AM1236" s="229"/>
      <c r="AN1236" s="229"/>
      <c r="AO1236" s="229"/>
      <c r="AP1236" s="229"/>
      <c r="AQ1236" s="229"/>
      <c r="AR1236" s="229"/>
      <c r="AS1236" s="229"/>
      <c r="AT1236" s="229"/>
      <c r="AU1236" s="229"/>
      <c r="AV1236" s="229"/>
      <c r="AW1236" s="229"/>
      <c r="AX1236" s="229"/>
      <c r="AY1236" s="229"/>
      <c r="AZ1236" s="229"/>
      <c r="BA1236" s="229"/>
      <c r="BB1236" s="229"/>
      <c r="BC1236" s="229"/>
      <c r="BD1236" s="229"/>
      <c r="BE1236" s="229"/>
      <c r="BF1236" s="229"/>
      <c r="BG1236" s="229"/>
      <c r="BH1236" s="229"/>
      <c r="BI1236" s="229"/>
      <c r="BJ1236" s="229"/>
      <c r="BK1236" s="229"/>
      <c r="BL1236" s="229"/>
      <c r="BM1236" s="229"/>
      <c r="BN1236" s="229"/>
      <c r="BO1236" s="229"/>
      <c r="BP1236" s="229"/>
      <c r="BQ1236" s="229"/>
      <c r="BR1236" s="229"/>
      <c r="BS1236" s="296"/>
      <c r="BT1236" s="229"/>
      <c r="BU1236" s="229"/>
      <c r="BV1236" s="229"/>
      <c r="BW1236" s="229"/>
      <c r="BX1236" s="229"/>
      <c r="BY1236" s="229"/>
      <c r="BZ1236" s="229"/>
      <c r="CA1236" s="229"/>
      <c r="CB1236" s="229"/>
      <c r="CC1236" s="229"/>
      <c r="CD1236" s="229"/>
      <c r="CE1236" s="229"/>
      <c r="CF1236" s="229"/>
      <c r="CG1236" s="229"/>
      <c r="CH1236" s="229"/>
      <c r="CI1236" s="229"/>
      <c r="CJ1236" s="229"/>
      <c r="CK1236" s="229"/>
      <c r="CL1236" s="229"/>
      <c r="CM1236" s="229"/>
      <c r="CN1236" s="229"/>
      <c r="CO1236" s="229"/>
      <c r="CP1236" s="229"/>
      <c r="CQ1236" s="229"/>
      <c r="CR1236" s="229"/>
      <c r="CS1236" s="229"/>
      <c r="CT1236" s="229"/>
      <c r="CU1236" s="229"/>
      <c r="CV1236" s="229"/>
      <c r="CW1236" s="229"/>
      <c r="CX1236" s="229"/>
      <c r="CY1236" s="229"/>
      <c r="CZ1236" s="229"/>
      <c r="DA1236" s="229"/>
      <c r="DB1236" s="229"/>
      <c r="DC1236" s="229"/>
      <c r="DD1236" s="229"/>
      <c r="DE1236" s="229"/>
      <c r="DF1236" s="229"/>
      <c r="DG1236" s="229"/>
      <c r="DH1236" s="229"/>
      <c r="DI1236" s="229"/>
      <c r="DJ1236" s="229"/>
      <c r="DK1236" s="229"/>
      <c r="DL1236" s="229"/>
      <c r="DM1236" s="229"/>
      <c r="DN1236" s="229"/>
      <c r="DO1236" s="229"/>
      <c r="DP1236" s="229"/>
      <c r="DQ1236" s="229"/>
      <c r="DR1236" s="229"/>
      <c r="DS1236" s="229"/>
      <c r="DT1236" s="229"/>
      <c r="DU1236" s="229"/>
      <c r="DV1236" s="229"/>
      <c r="DW1236" s="229"/>
      <c r="DX1236" s="229"/>
      <c r="DY1236" s="229"/>
      <c r="DZ1236" s="229"/>
      <c r="EA1236" s="229"/>
      <c r="EB1236" s="229"/>
      <c r="EC1236" s="229"/>
      <c r="ED1236" s="229"/>
      <c r="EE1236" s="229"/>
      <c r="EF1236" s="229"/>
      <c r="EG1236" s="229"/>
      <c r="EH1236" s="229"/>
      <c r="EI1236" s="229"/>
      <c r="EJ1236" s="229"/>
      <c r="EK1236" s="229"/>
      <c r="EL1236" s="229"/>
      <c r="EM1236" s="234"/>
      <c r="EN1236" s="234"/>
      <c r="EO1236" s="234"/>
      <c r="EP1236" s="233"/>
      <c r="EQ1236" s="233"/>
    </row>
    <row r="1237" spans="2:147" ht="11.25" hidden="1" customHeight="1">
      <c r="B1237" s="228"/>
      <c r="C1237" s="229"/>
      <c r="D1237" s="229"/>
      <c r="E1237" s="229"/>
      <c r="F1237" s="229"/>
      <c r="G1237" s="229"/>
      <c r="H1237" s="229"/>
      <c r="I1237" s="229"/>
      <c r="J1237" s="229"/>
      <c r="K1237" s="229"/>
      <c r="L1237" s="296"/>
      <c r="M1237" s="296"/>
      <c r="N1237" s="296"/>
      <c r="O1237" s="229"/>
      <c r="P1237" s="229"/>
      <c r="Q1237" s="229"/>
      <c r="R1237" s="229"/>
      <c r="S1237" s="229"/>
      <c r="T1237" s="229"/>
      <c r="U1237" s="229"/>
      <c r="V1237" s="229"/>
      <c r="W1237" s="229"/>
      <c r="X1237" s="229"/>
      <c r="Y1237" s="229"/>
      <c r="Z1237" s="229"/>
      <c r="AA1237" s="229"/>
      <c r="AB1237" s="229"/>
      <c r="AC1237" s="229"/>
      <c r="AD1237" s="229"/>
      <c r="AE1237" s="229"/>
      <c r="AF1237" s="229"/>
      <c r="AG1237" s="229"/>
      <c r="AH1237" s="229"/>
      <c r="AI1237" s="229"/>
      <c r="AJ1237" s="229"/>
      <c r="AK1237" s="229"/>
      <c r="AL1237" s="229"/>
      <c r="AM1237" s="229"/>
      <c r="AN1237" s="229"/>
      <c r="AO1237" s="229"/>
      <c r="AP1237" s="229"/>
      <c r="AQ1237" s="229"/>
      <c r="AR1237" s="229"/>
      <c r="AS1237" s="229"/>
      <c r="AT1237" s="229"/>
      <c r="AU1237" s="229"/>
      <c r="AV1237" s="229"/>
      <c r="AW1237" s="229"/>
      <c r="AX1237" s="229"/>
      <c r="AY1237" s="229"/>
      <c r="AZ1237" s="229"/>
      <c r="BA1237" s="229"/>
      <c r="BB1237" s="229"/>
      <c r="BC1237" s="229"/>
      <c r="BD1237" s="229"/>
      <c r="BE1237" s="229"/>
      <c r="BF1237" s="229"/>
      <c r="BG1237" s="229"/>
      <c r="BH1237" s="229"/>
      <c r="BI1237" s="229"/>
      <c r="BJ1237" s="229"/>
      <c r="BK1237" s="229"/>
      <c r="BL1237" s="229"/>
      <c r="BM1237" s="229"/>
      <c r="BN1237" s="229"/>
      <c r="BO1237" s="229"/>
      <c r="BP1237" s="229"/>
      <c r="BQ1237" s="229"/>
      <c r="BR1237" s="229"/>
      <c r="BS1237" s="296"/>
      <c r="BT1237" s="229"/>
      <c r="BU1237" s="229"/>
      <c r="BV1237" s="229"/>
      <c r="BW1237" s="229"/>
      <c r="BX1237" s="229"/>
      <c r="BY1237" s="229"/>
      <c r="BZ1237" s="229"/>
      <c r="CA1237" s="229"/>
      <c r="CB1237" s="229"/>
      <c r="CC1237" s="229"/>
      <c r="CD1237" s="229"/>
      <c r="CE1237" s="229"/>
      <c r="CF1237" s="229"/>
      <c r="CG1237" s="229"/>
      <c r="CH1237" s="229"/>
      <c r="CI1237" s="229"/>
      <c r="CJ1237" s="229"/>
      <c r="CK1237" s="229"/>
      <c r="CL1237" s="229"/>
      <c r="CM1237" s="229"/>
      <c r="CN1237" s="229"/>
      <c r="CO1237" s="229"/>
      <c r="CP1237" s="229"/>
      <c r="CQ1237" s="229"/>
      <c r="CR1237" s="229"/>
      <c r="CS1237" s="229"/>
      <c r="CT1237" s="229"/>
      <c r="CU1237" s="229"/>
      <c r="CV1237" s="229"/>
      <c r="CW1237" s="229"/>
      <c r="CX1237" s="229"/>
      <c r="CY1237" s="229"/>
      <c r="CZ1237" s="229"/>
      <c r="DA1237" s="229"/>
      <c r="DB1237" s="229"/>
      <c r="DC1237" s="229"/>
      <c r="DD1237" s="229"/>
      <c r="DE1237" s="229"/>
      <c r="DF1237" s="229"/>
      <c r="DG1237" s="229"/>
      <c r="DH1237" s="229"/>
      <c r="DI1237" s="229"/>
      <c r="DJ1237" s="229"/>
      <c r="DK1237" s="229"/>
      <c r="DL1237" s="229"/>
      <c r="DM1237" s="229"/>
      <c r="DN1237" s="229"/>
      <c r="DO1237" s="229"/>
      <c r="DP1237" s="229"/>
      <c r="DQ1237" s="229"/>
      <c r="DR1237" s="229"/>
      <c r="DS1237" s="229"/>
      <c r="DT1237" s="229"/>
      <c r="DU1237" s="229"/>
      <c r="DV1237" s="229"/>
      <c r="DW1237" s="229"/>
      <c r="DX1237" s="229"/>
      <c r="DY1237" s="229"/>
      <c r="DZ1237" s="229"/>
      <c r="EA1237" s="229"/>
      <c r="EB1237" s="229"/>
      <c r="EC1237" s="229"/>
      <c r="ED1237" s="229"/>
      <c r="EE1237" s="229"/>
      <c r="EF1237" s="229"/>
      <c r="EG1237" s="229"/>
      <c r="EH1237" s="229"/>
      <c r="EI1237" s="229"/>
      <c r="EJ1237" s="229"/>
      <c r="EK1237" s="229"/>
      <c r="EL1237" s="229"/>
      <c r="EM1237" s="234"/>
      <c r="EN1237" s="234"/>
      <c r="EO1237" s="234"/>
      <c r="EP1237" s="233"/>
      <c r="EQ1237" s="233"/>
    </row>
    <row r="1238" spans="2:147" ht="11.25" hidden="1" customHeight="1">
      <c r="B1238" s="228"/>
      <c r="C1238" s="229"/>
      <c r="D1238" s="229"/>
      <c r="E1238" s="229"/>
      <c r="F1238" s="229"/>
      <c r="G1238" s="229"/>
      <c r="H1238" s="229"/>
      <c r="I1238" s="229"/>
      <c r="J1238" s="229"/>
      <c r="K1238" s="229"/>
      <c r="L1238" s="296"/>
      <c r="M1238" s="296"/>
      <c r="N1238" s="296"/>
      <c r="O1238" s="229"/>
      <c r="P1238" s="229"/>
      <c r="Q1238" s="229"/>
      <c r="R1238" s="229"/>
      <c r="S1238" s="229"/>
      <c r="T1238" s="229"/>
      <c r="U1238" s="229"/>
      <c r="V1238" s="229"/>
      <c r="W1238" s="229"/>
      <c r="X1238" s="229"/>
      <c r="Y1238" s="229"/>
      <c r="Z1238" s="229"/>
      <c r="AA1238" s="229"/>
      <c r="AB1238" s="229"/>
      <c r="AC1238" s="229"/>
      <c r="AD1238" s="229"/>
      <c r="AE1238" s="229"/>
      <c r="AF1238" s="229"/>
      <c r="AG1238" s="229"/>
      <c r="AH1238" s="229"/>
      <c r="AI1238" s="229"/>
      <c r="AJ1238" s="229"/>
      <c r="AK1238" s="229"/>
      <c r="AL1238" s="229"/>
      <c r="AM1238" s="229"/>
      <c r="AN1238" s="229"/>
      <c r="AO1238" s="229"/>
      <c r="AP1238" s="229"/>
      <c r="AQ1238" s="229"/>
      <c r="AR1238" s="229"/>
      <c r="AS1238" s="229"/>
      <c r="AT1238" s="229"/>
      <c r="AU1238" s="229"/>
      <c r="AV1238" s="229"/>
      <c r="AW1238" s="229"/>
      <c r="AX1238" s="229"/>
      <c r="AY1238" s="229"/>
      <c r="AZ1238" s="229"/>
      <c r="BA1238" s="229"/>
      <c r="BB1238" s="229"/>
      <c r="BC1238" s="229"/>
      <c r="BD1238" s="229"/>
      <c r="BE1238" s="229"/>
      <c r="BF1238" s="229"/>
      <c r="BG1238" s="229"/>
      <c r="BH1238" s="229"/>
      <c r="BI1238" s="229"/>
      <c r="BJ1238" s="229"/>
      <c r="BK1238" s="229"/>
      <c r="BL1238" s="229"/>
      <c r="BM1238" s="229"/>
      <c r="BN1238" s="229"/>
      <c r="BO1238" s="229"/>
      <c r="BP1238" s="229"/>
      <c r="BQ1238" s="229"/>
      <c r="BR1238" s="229"/>
      <c r="BS1238" s="296"/>
      <c r="BT1238" s="229"/>
      <c r="BU1238" s="229"/>
      <c r="BV1238" s="229"/>
      <c r="BW1238" s="229"/>
      <c r="BX1238" s="229"/>
      <c r="BY1238" s="229"/>
      <c r="BZ1238" s="229"/>
      <c r="CA1238" s="229"/>
      <c r="CB1238" s="229"/>
      <c r="CC1238" s="229"/>
      <c r="CD1238" s="229"/>
      <c r="CE1238" s="229"/>
      <c r="CF1238" s="229"/>
      <c r="CG1238" s="229"/>
      <c r="CH1238" s="229"/>
      <c r="CI1238" s="229"/>
      <c r="CJ1238" s="229"/>
      <c r="CK1238" s="229"/>
      <c r="CL1238" s="229"/>
      <c r="CM1238" s="229"/>
      <c r="CN1238" s="229"/>
      <c r="CO1238" s="229"/>
      <c r="CP1238" s="229"/>
      <c r="CQ1238" s="229"/>
      <c r="CR1238" s="229"/>
      <c r="CS1238" s="229"/>
      <c r="CT1238" s="229"/>
      <c r="CU1238" s="229"/>
      <c r="CV1238" s="229"/>
      <c r="CW1238" s="229"/>
      <c r="CX1238" s="229"/>
      <c r="CY1238" s="229"/>
      <c r="CZ1238" s="229"/>
      <c r="DA1238" s="229"/>
      <c r="DB1238" s="229"/>
      <c r="DC1238" s="229"/>
      <c r="DD1238" s="229"/>
      <c r="DE1238" s="229"/>
      <c r="DF1238" s="229"/>
      <c r="DG1238" s="229"/>
      <c r="DH1238" s="229"/>
      <c r="DI1238" s="229"/>
      <c r="DJ1238" s="229"/>
      <c r="DK1238" s="229"/>
      <c r="DL1238" s="229"/>
      <c r="DM1238" s="229"/>
      <c r="DN1238" s="229"/>
      <c r="DO1238" s="229"/>
      <c r="DP1238" s="229"/>
      <c r="DQ1238" s="229"/>
      <c r="DR1238" s="229"/>
      <c r="DS1238" s="229"/>
      <c r="DT1238" s="229"/>
      <c r="DU1238" s="229"/>
      <c r="DV1238" s="229"/>
      <c r="DW1238" s="229"/>
      <c r="DX1238" s="229"/>
      <c r="DY1238" s="229"/>
      <c r="DZ1238" s="229"/>
      <c r="EA1238" s="229"/>
      <c r="EB1238" s="229"/>
      <c r="EC1238" s="229"/>
      <c r="ED1238" s="229"/>
      <c r="EE1238" s="229"/>
      <c r="EF1238" s="229"/>
      <c r="EG1238" s="229"/>
      <c r="EH1238" s="229"/>
      <c r="EI1238" s="229"/>
      <c r="EJ1238" s="229"/>
      <c r="EK1238" s="229"/>
      <c r="EL1238" s="229"/>
      <c r="EM1238" s="234"/>
      <c r="EN1238" s="234"/>
      <c r="EO1238" s="234"/>
      <c r="EP1238" s="233"/>
      <c r="EQ1238" s="233"/>
    </row>
    <row r="1239" spans="2:147" ht="11.25" hidden="1" customHeight="1">
      <c r="B1239" s="228"/>
      <c r="C1239" s="229"/>
      <c r="D1239" s="229"/>
      <c r="E1239" s="229"/>
      <c r="F1239" s="229"/>
      <c r="G1239" s="229"/>
      <c r="H1239" s="229"/>
      <c r="I1239" s="229"/>
      <c r="J1239" s="229"/>
      <c r="K1239" s="229"/>
      <c r="L1239" s="296"/>
      <c r="M1239" s="296"/>
      <c r="N1239" s="296"/>
      <c r="O1239" s="229"/>
      <c r="P1239" s="229"/>
      <c r="Q1239" s="229"/>
      <c r="R1239" s="229"/>
      <c r="S1239" s="229"/>
      <c r="T1239" s="229"/>
      <c r="U1239" s="229"/>
      <c r="V1239" s="229"/>
      <c r="W1239" s="229"/>
      <c r="X1239" s="229"/>
      <c r="Y1239" s="229"/>
      <c r="Z1239" s="229"/>
      <c r="AA1239" s="229"/>
      <c r="AB1239" s="229"/>
      <c r="AC1239" s="229"/>
      <c r="AD1239" s="229"/>
      <c r="AE1239" s="229"/>
      <c r="AF1239" s="229"/>
      <c r="AG1239" s="229"/>
      <c r="AH1239" s="229"/>
      <c r="AI1239" s="229"/>
      <c r="AJ1239" s="229"/>
      <c r="AK1239" s="229"/>
      <c r="AL1239" s="229"/>
      <c r="AM1239" s="229"/>
      <c r="AN1239" s="229"/>
      <c r="AO1239" s="229"/>
      <c r="AP1239" s="229"/>
      <c r="AQ1239" s="229"/>
      <c r="AR1239" s="229"/>
      <c r="AS1239" s="229"/>
      <c r="AT1239" s="229"/>
      <c r="AU1239" s="229"/>
      <c r="AV1239" s="229"/>
      <c r="AW1239" s="229"/>
      <c r="AX1239" s="229"/>
      <c r="AY1239" s="229"/>
      <c r="AZ1239" s="229"/>
      <c r="BA1239" s="229"/>
      <c r="BB1239" s="229"/>
      <c r="BC1239" s="229"/>
      <c r="BD1239" s="229"/>
      <c r="BE1239" s="229"/>
      <c r="BF1239" s="229"/>
      <c r="BG1239" s="229"/>
      <c r="BH1239" s="229"/>
      <c r="BI1239" s="229"/>
      <c r="BJ1239" s="229"/>
      <c r="BK1239" s="229"/>
      <c r="BL1239" s="229"/>
      <c r="BM1239" s="229"/>
      <c r="BN1239" s="229"/>
      <c r="BO1239" s="229"/>
      <c r="BP1239" s="229"/>
      <c r="BQ1239" s="229"/>
      <c r="BR1239" s="229"/>
      <c r="BS1239" s="296"/>
      <c r="BT1239" s="229"/>
      <c r="BU1239" s="229"/>
      <c r="BV1239" s="229"/>
      <c r="BW1239" s="229"/>
      <c r="BX1239" s="229"/>
      <c r="BY1239" s="229"/>
      <c r="BZ1239" s="229"/>
      <c r="CA1239" s="229"/>
      <c r="CB1239" s="229"/>
      <c r="CC1239" s="229"/>
      <c r="CD1239" s="229"/>
      <c r="CE1239" s="229"/>
      <c r="CF1239" s="229"/>
      <c r="CG1239" s="229"/>
      <c r="CH1239" s="229"/>
      <c r="CI1239" s="229"/>
      <c r="CJ1239" s="229"/>
      <c r="CK1239" s="229"/>
      <c r="CL1239" s="229"/>
      <c r="CM1239" s="229"/>
      <c r="CN1239" s="229"/>
      <c r="CO1239" s="229"/>
      <c r="CP1239" s="229"/>
      <c r="CQ1239" s="229"/>
      <c r="CR1239" s="229"/>
      <c r="CS1239" s="229"/>
      <c r="CT1239" s="229"/>
      <c r="CU1239" s="229"/>
      <c r="CV1239" s="229"/>
      <c r="CW1239" s="229"/>
      <c r="CX1239" s="229"/>
      <c r="CY1239" s="229"/>
      <c r="CZ1239" s="229"/>
      <c r="DA1239" s="229"/>
      <c r="DB1239" s="229"/>
      <c r="DC1239" s="229"/>
      <c r="DD1239" s="229"/>
      <c r="DE1239" s="229"/>
      <c r="DF1239" s="229"/>
      <c r="DG1239" s="229"/>
      <c r="DH1239" s="229"/>
      <c r="DI1239" s="229"/>
      <c r="DJ1239" s="229"/>
      <c r="DK1239" s="229"/>
      <c r="DL1239" s="229"/>
      <c r="DM1239" s="229"/>
      <c r="DN1239" s="229"/>
      <c r="DO1239" s="229"/>
      <c r="DP1239" s="229"/>
      <c r="DQ1239" s="229"/>
      <c r="DR1239" s="229"/>
      <c r="DS1239" s="229"/>
      <c r="DT1239" s="229"/>
      <c r="DU1239" s="229"/>
      <c r="DV1239" s="229"/>
      <c r="DW1239" s="229"/>
      <c r="DX1239" s="229"/>
      <c r="DY1239" s="229"/>
      <c r="DZ1239" s="229"/>
      <c r="EA1239" s="229"/>
      <c r="EB1239" s="229"/>
      <c r="EC1239" s="229"/>
      <c r="ED1239" s="229"/>
      <c r="EE1239" s="229"/>
      <c r="EF1239" s="229"/>
      <c r="EG1239" s="229"/>
      <c r="EH1239" s="229"/>
      <c r="EI1239" s="229"/>
      <c r="EJ1239" s="229"/>
      <c r="EK1239" s="229"/>
      <c r="EL1239" s="229"/>
      <c r="EM1239" s="234"/>
      <c r="EN1239" s="234"/>
      <c r="EO1239" s="234"/>
      <c r="EP1239" s="233"/>
      <c r="EQ1239" s="233"/>
    </row>
    <row r="1240" spans="2:147" ht="11.25" hidden="1" customHeight="1">
      <c r="B1240" s="228"/>
      <c r="C1240" s="229"/>
      <c r="D1240" s="229"/>
      <c r="E1240" s="229"/>
      <c r="F1240" s="229"/>
      <c r="G1240" s="229"/>
      <c r="H1240" s="229"/>
      <c r="I1240" s="229"/>
      <c r="J1240" s="229"/>
      <c r="K1240" s="229"/>
      <c r="L1240" s="296"/>
      <c r="M1240" s="296"/>
      <c r="N1240" s="296"/>
      <c r="O1240" s="229"/>
      <c r="P1240" s="229"/>
      <c r="Q1240" s="229"/>
      <c r="R1240" s="229"/>
      <c r="S1240" s="229"/>
      <c r="T1240" s="229"/>
      <c r="U1240" s="229"/>
      <c r="V1240" s="229"/>
      <c r="W1240" s="229"/>
      <c r="X1240" s="229"/>
      <c r="Y1240" s="229"/>
      <c r="Z1240" s="229"/>
      <c r="AA1240" s="229"/>
      <c r="AB1240" s="229"/>
      <c r="AC1240" s="229"/>
      <c r="AD1240" s="229"/>
      <c r="AE1240" s="229"/>
      <c r="AF1240" s="229"/>
      <c r="AG1240" s="229"/>
      <c r="AH1240" s="229"/>
      <c r="AI1240" s="229"/>
      <c r="AJ1240" s="229"/>
      <c r="AK1240" s="229"/>
      <c r="AL1240" s="229"/>
      <c r="AM1240" s="229"/>
      <c r="AN1240" s="229"/>
      <c r="AO1240" s="229"/>
      <c r="AP1240" s="229"/>
      <c r="AQ1240" s="229"/>
      <c r="AR1240" s="229"/>
      <c r="AS1240" s="229"/>
      <c r="AT1240" s="229"/>
      <c r="AU1240" s="229"/>
      <c r="AV1240" s="229"/>
      <c r="AW1240" s="229"/>
      <c r="AX1240" s="229"/>
      <c r="AY1240" s="229"/>
      <c r="AZ1240" s="229"/>
      <c r="BA1240" s="229"/>
      <c r="BB1240" s="229"/>
      <c r="BC1240" s="229"/>
      <c r="BD1240" s="229"/>
      <c r="BE1240" s="229"/>
      <c r="BF1240" s="229"/>
      <c r="BG1240" s="229"/>
      <c r="BH1240" s="229"/>
      <c r="BI1240" s="229"/>
      <c r="BJ1240" s="229"/>
      <c r="BK1240" s="229"/>
      <c r="BL1240" s="229"/>
      <c r="BM1240" s="229"/>
      <c r="BN1240" s="229"/>
      <c r="BO1240" s="229"/>
      <c r="BP1240" s="229"/>
      <c r="BQ1240" s="229"/>
      <c r="BR1240" s="229"/>
      <c r="BS1240" s="296"/>
      <c r="BT1240" s="229"/>
      <c r="BU1240" s="229"/>
      <c r="BV1240" s="229"/>
      <c r="BW1240" s="229"/>
      <c r="BX1240" s="229"/>
      <c r="BY1240" s="229"/>
      <c r="BZ1240" s="229"/>
      <c r="CA1240" s="229"/>
      <c r="CB1240" s="229"/>
      <c r="CC1240" s="229"/>
      <c r="CD1240" s="229"/>
      <c r="CE1240" s="229"/>
      <c r="CF1240" s="229"/>
      <c r="CG1240" s="229"/>
      <c r="CH1240" s="229"/>
      <c r="CI1240" s="229"/>
      <c r="CJ1240" s="229"/>
      <c r="CK1240" s="229"/>
      <c r="CL1240" s="229"/>
      <c r="CM1240" s="229"/>
      <c r="CN1240" s="229"/>
      <c r="CO1240" s="229"/>
      <c r="CP1240" s="229"/>
      <c r="CQ1240" s="229"/>
      <c r="CR1240" s="229"/>
      <c r="CS1240" s="229"/>
      <c r="CT1240" s="229"/>
      <c r="CU1240" s="229"/>
      <c r="CV1240" s="229"/>
      <c r="CW1240" s="229"/>
      <c r="CX1240" s="229"/>
      <c r="CY1240" s="229"/>
      <c r="CZ1240" s="229"/>
      <c r="DA1240" s="229"/>
      <c r="DB1240" s="229"/>
      <c r="DC1240" s="229"/>
      <c r="DD1240" s="229"/>
      <c r="DE1240" s="229"/>
      <c r="DF1240" s="229"/>
      <c r="DG1240" s="229"/>
      <c r="DH1240" s="229"/>
      <c r="DI1240" s="229"/>
      <c r="DJ1240" s="229"/>
      <c r="DK1240" s="229"/>
      <c r="DL1240" s="229"/>
      <c r="DM1240" s="229"/>
      <c r="DN1240" s="229"/>
      <c r="DO1240" s="229"/>
      <c r="DP1240" s="229"/>
      <c r="DQ1240" s="229"/>
      <c r="DR1240" s="229"/>
      <c r="DS1240" s="229"/>
      <c r="DT1240" s="229"/>
      <c r="DU1240" s="229"/>
      <c r="DV1240" s="229"/>
      <c r="DW1240" s="229"/>
      <c r="DX1240" s="229"/>
      <c r="DY1240" s="229"/>
      <c r="DZ1240" s="229"/>
      <c r="EA1240" s="229"/>
      <c r="EB1240" s="229"/>
      <c r="EC1240" s="229"/>
      <c r="ED1240" s="229"/>
      <c r="EE1240" s="229"/>
      <c r="EF1240" s="229"/>
      <c r="EG1240" s="229"/>
      <c r="EH1240" s="229"/>
      <c r="EI1240" s="229"/>
      <c r="EJ1240" s="229"/>
      <c r="EK1240" s="229"/>
      <c r="EL1240" s="229"/>
      <c r="EM1240" s="234"/>
      <c r="EN1240" s="234"/>
      <c r="EO1240" s="234"/>
      <c r="EP1240" s="233"/>
      <c r="EQ1240" s="233"/>
    </row>
    <row r="1241" spans="2:147" ht="11.25" hidden="1" customHeight="1">
      <c r="B1241" s="228"/>
      <c r="C1241" s="229"/>
      <c r="D1241" s="229"/>
      <c r="E1241" s="229"/>
      <c r="F1241" s="229"/>
      <c r="G1241" s="229"/>
      <c r="H1241" s="229"/>
      <c r="I1241" s="229"/>
      <c r="J1241" s="229"/>
      <c r="K1241" s="229"/>
      <c r="L1241" s="296"/>
      <c r="M1241" s="296"/>
      <c r="N1241" s="296"/>
      <c r="O1241" s="229"/>
      <c r="P1241" s="229"/>
      <c r="Q1241" s="229"/>
      <c r="R1241" s="229"/>
      <c r="S1241" s="229"/>
      <c r="T1241" s="229"/>
      <c r="U1241" s="229"/>
      <c r="V1241" s="229"/>
      <c r="W1241" s="229"/>
      <c r="X1241" s="229"/>
      <c r="Y1241" s="229"/>
      <c r="Z1241" s="229"/>
      <c r="AA1241" s="229"/>
      <c r="AB1241" s="229"/>
      <c r="AC1241" s="229"/>
      <c r="AD1241" s="229"/>
      <c r="AE1241" s="229"/>
      <c r="AF1241" s="229"/>
      <c r="AG1241" s="229"/>
      <c r="AH1241" s="229"/>
      <c r="AI1241" s="229"/>
      <c r="AJ1241" s="229"/>
      <c r="AK1241" s="229"/>
      <c r="AL1241" s="229"/>
      <c r="AM1241" s="229"/>
      <c r="AN1241" s="229"/>
      <c r="AO1241" s="229"/>
      <c r="AP1241" s="229"/>
      <c r="AQ1241" s="229"/>
      <c r="AR1241" s="229"/>
      <c r="AS1241" s="229"/>
      <c r="AT1241" s="229"/>
      <c r="AU1241" s="229"/>
      <c r="AV1241" s="229"/>
      <c r="AW1241" s="229"/>
      <c r="AX1241" s="229"/>
      <c r="AY1241" s="229"/>
      <c r="AZ1241" s="229"/>
      <c r="BA1241" s="229"/>
      <c r="BB1241" s="229"/>
      <c r="BC1241" s="229"/>
      <c r="BD1241" s="229"/>
      <c r="BE1241" s="229"/>
      <c r="BF1241" s="229"/>
      <c r="BG1241" s="229"/>
      <c r="BH1241" s="229"/>
      <c r="BI1241" s="229"/>
      <c r="BJ1241" s="229"/>
      <c r="BK1241" s="229"/>
      <c r="BL1241" s="229"/>
      <c r="BM1241" s="229"/>
      <c r="BN1241" s="229"/>
      <c r="BO1241" s="229"/>
      <c r="BP1241" s="229"/>
      <c r="BQ1241" s="229"/>
      <c r="BR1241" s="229"/>
      <c r="BS1241" s="296"/>
      <c r="BT1241" s="229"/>
      <c r="BU1241" s="229"/>
      <c r="BV1241" s="229"/>
      <c r="BW1241" s="229"/>
      <c r="BX1241" s="229"/>
      <c r="BY1241" s="229"/>
      <c r="BZ1241" s="229"/>
      <c r="CA1241" s="229"/>
      <c r="CB1241" s="229"/>
      <c r="CC1241" s="229"/>
      <c r="CD1241" s="229"/>
      <c r="CE1241" s="229"/>
      <c r="CF1241" s="229"/>
      <c r="CG1241" s="229"/>
      <c r="CH1241" s="229"/>
      <c r="CI1241" s="229"/>
      <c r="CJ1241" s="229"/>
      <c r="CK1241" s="229"/>
      <c r="CL1241" s="229"/>
      <c r="CM1241" s="229"/>
      <c r="CN1241" s="229"/>
      <c r="CO1241" s="229"/>
      <c r="CP1241" s="229"/>
      <c r="CQ1241" s="229"/>
      <c r="CR1241" s="229"/>
      <c r="CS1241" s="229"/>
      <c r="CT1241" s="229"/>
      <c r="CU1241" s="229"/>
      <c r="CV1241" s="229"/>
      <c r="CW1241" s="229"/>
      <c r="CX1241" s="229"/>
      <c r="CY1241" s="229"/>
      <c r="CZ1241" s="229"/>
      <c r="DA1241" s="229"/>
      <c r="DB1241" s="229"/>
      <c r="DC1241" s="229"/>
      <c r="DD1241" s="229"/>
      <c r="DE1241" s="229"/>
      <c r="DF1241" s="229"/>
      <c r="DG1241" s="229"/>
      <c r="DH1241" s="229"/>
      <c r="DI1241" s="229"/>
      <c r="DJ1241" s="229"/>
      <c r="DK1241" s="229"/>
      <c r="DL1241" s="229"/>
      <c r="DM1241" s="229"/>
      <c r="DN1241" s="229"/>
      <c r="DO1241" s="229"/>
      <c r="DP1241" s="229"/>
      <c r="DQ1241" s="229"/>
      <c r="DR1241" s="229"/>
      <c r="DS1241" s="229"/>
      <c r="DT1241" s="229"/>
      <c r="DU1241" s="229"/>
      <c r="DV1241" s="229"/>
      <c r="DW1241" s="229"/>
      <c r="DX1241" s="229"/>
      <c r="DY1241" s="229"/>
      <c r="DZ1241" s="229"/>
      <c r="EA1241" s="229"/>
      <c r="EB1241" s="229"/>
      <c r="EC1241" s="229"/>
      <c r="ED1241" s="229"/>
      <c r="EE1241" s="229"/>
      <c r="EF1241" s="229"/>
      <c r="EG1241" s="229"/>
      <c r="EH1241" s="229"/>
      <c r="EI1241" s="229"/>
      <c r="EJ1241" s="229"/>
      <c r="EK1241" s="229"/>
      <c r="EL1241" s="229"/>
      <c r="EM1241" s="234"/>
      <c r="EN1241" s="234"/>
      <c r="EO1241" s="234"/>
      <c r="EP1241" s="233"/>
      <c r="EQ1241" s="233"/>
    </row>
    <row r="1242" spans="2:147" ht="11.25" hidden="1" customHeight="1">
      <c r="B1242" s="228"/>
      <c r="C1242" s="229"/>
      <c r="D1242" s="229"/>
      <c r="E1242" s="229"/>
      <c r="F1242" s="229"/>
      <c r="G1242" s="229"/>
      <c r="H1242" s="229"/>
      <c r="I1242" s="229"/>
      <c r="J1242" s="229"/>
      <c r="K1242" s="229"/>
      <c r="L1242" s="296"/>
      <c r="M1242" s="296"/>
      <c r="N1242" s="296"/>
      <c r="O1242" s="229"/>
      <c r="P1242" s="229"/>
      <c r="Q1242" s="229"/>
      <c r="R1242" s="229"/>
      <c r="S1242" s="229"/>
      <c r="T1242" s="229"/>
      <c r="U1242" s="229"/>
      <c r="V1242" s="229"/>
      <c r="W1242" s="229"/>
      <c r="X1242" s="229"/>
      <c r="Y1242" s="229"/>
      <c r="Z1242" s="229"/>
      <c r="AA1242" s="229"/>
      <c r="AB1242" s="229"/>
      <c r="AC1242" s="229"/>
      <c r="AD1242" s="229"/>
      <c r="AE1242" s="229"/>
      <c r="AF1242" s="229"/>
      <c r="AG1242" s="229"/>
      <c r="AH1242" s="229"/>
      <c r="AI1242" s="229"/>
      <c r="AJ1242" s="229"/>
      <c r="AK1242" s="229"/>
      <c r="AL1242" s="229"/>
      <c r="AM1242" s="229"/>
      <c r="AN1242" s="229"/>
      <c r="AO1242" s="229"/>
      <c r="AP1242" s="229"/>
      <c r="AQ1242" s="229"/>
      <c r="AR1242" s="229"/>
      <c r="AS1242" s="229"/>
      <c r="AT1242" s="229"/>
      <c r="AU1242" s="229"/>
      <c r="AV1242" s="229"/>
      <c r="AW1242" s="229"/>
      <c r="AX1242" s="229"/>
      <c r="AY1242" s="229"/>
      <c r="AZ1242" s="229"/>
      <c r="BA1242" s="229"/>
      <c r="BB1242" s="229"/>
      <c r="BC1242" s="229"/>
      <c r="BD1242" s="229"/>
      <c r="BE1242" s="229"/>
      <c r="BF1242" s="229"/>
      <c r="BG1242" s="229"/>
      <c r="BH1242" s="229"/>
      <c r="BI1242" s="229"/>
      <c r="BJ1242" s="229"/>
      <c r="BK1242" s="229"/>
      <c r="BL1242" s="229"/>
      <c r="BM1242" s="229"/>
      <c r="BN1242" s="229"/>
      <c r="BO1242" s="229"/>
      <c r="BP1242" s="229"/>
      <c r="BQ1242" s="229"/>
      <c r="BR1242" s="229"/>
      <c r="BS1242" s="296"/>
      <c r="BT1242" s="229"/>
      <c r="BU1242" s="229"/>
      <c r="BV1242" s="229"/>
      <c r="BW1242" s="229"/>
      <c r="BX1242" s="229"/>
      <c r="BY1242" s="229"/>
      <c r="BZ1242" s="229"/>
      <c r="CA1242" s="229"/>
      <c r="CB1242" s="229"/>
      <c r="CC1242" s="229"/>
      <c r="CD1242" s="229"/>
      <c r="CE1242" s="229"/>
      <c r="CF1242" s="229"/>
      <c r="CG1242" s="229"/>
      <c r="CH1242" s="229"/>
      <c r="CI1242" s="229"/>
      <c r="CJ1242" s="229"/>
      <c r="CK1242" s="229"/>
      <c r="CL1242" s="229"/>
      <c r="CM1242" s="229"/>
      <c r="CN1242" s="229"/>
      <c r="CO1242" s="229"/>
      <c r="CP1242" s="229"/>
      <c r="CQ1242" s="229"/>
      <c r="CR1242" s="229"/>
      <c r="CS1242" s="229"/>
      <c r="CT1242" s="229"/>
      <c r="CU1242" s="229"/>
      <c r="CV1242" s="229"/>
      <c r="CW1242" s="229"/>
      <c r="CX1242" s="229"/>
      <c r="CY1242" s="229"/>
      <c r="CZ1242" s="229"/>
      <c r="DA1242" s="229"/>
      <c r="DB1242" s="229"/>
      <c r="DC1242" s="229"/>
      <c r="DD1242" s="229"/>
      <c r="DE1242" s="229"/>
      <c r="DF1242" s="229"/>
      <c r="DG1242" s="229"/>
      <c r="DH1242" s="229"/>
      <c r="DI1242" s="229"/>
      <c r="DJ1242" s="229"/>
      <c r="DK1242" s="229"/>
      <c r="DL1242" s="229"/>
      <c r="DM1242" s="229"/>
      <c r="DN1242" s="229"/>
      <c r="DO1242" s="229"/>
      <c r="DP1242" s="229"/>
      <c r="DQ1242" s="229"/>
      <c r="DR1242" s="229"/>
      <c r="DS1242" s="229"/>
      <c r="DT1242" s="229"/>
      <c r="DU1242" s="229"/>
      <c r="DV1242" s="229"/>
      <c r="DW1242" s="229"/>
      <c r="DX1242" s="229"/>
      <c r="DY1242" s="229"/>
      <c r="DZ1242" s="229"/>
      <c r="EA1242" s="229"/>
      <c r="EB1242" s="229"/>
      <c r="EC1242" s="229"/>
      <c r="ED1242" s="229"/>
      <c r="EE1242" s="229"/>
      <c r="EF1242" s="229"/>
      <c r="EG1242" s="229"/>
      <c r="EH1242" s="229"/>
      <c r="EI1242" s="229"/>
      <c r="EJ1242" s="229"/>
      <c r="EK1242" s="229"/>
      <c r="EL1242" s="229"/>
      <c r="EM1242" s="234"/>
      <c r="EN1242" s="234"/>
      <c r="EO1242" s="234"/>
      <c r="EP1242" s="233"/>
      <c r="EQ1242" s="233"/>
    </row>
    <row r="1243" spans="2:147" ht="11.25" customHeight="1">
      <c r="B1243" s="228"/>
      <c r="C1243" s="229"/>
      <c r="D1243" s="229"/>
      <c r="E1243" s="229"/>
      <c r="F1243" s="229"/>
      <c r="G1243" s="229"/>
      <c r="H1243" s="229"/>
      <c r="I1243" s="229"/>
      <c r="J1243" s="229"/>
      <c r="K1243" s="229"/>
      <c r="L1243" s="296"/>
      <c r="M1243" s="296"/>
      <c r="N1243" s="296"/>
      <c r="O1243" s="229"/>
      <c r="P1243" s="229"/>
      <c r="Q1243" s="229"/>
      <c r="R1243" s="229"/>
      <c r="S1243" s="229"/>
      <c r="T1243" s="229"/>
      <c r="U1243" s="229"/>
      <c r="V1243" s="229"/>
      <c r="W1243" s="229"/>
      <c r="X1243" s="229"/>
      <c r="Y1243" s="229"/>
      <c r="Z1243" s="229"/>
      <c r="AA1243" s="229"/>
      <c r="AB1243" s="229"/>
      <c r="AC1243" s="229"/>
      <c r="AD1243" s="229"/>
      <c r="AE1243" s="229"/>
      <c r="AF1243" s="229"/>
      <c r="AG1243" s="229"/>
      <c r="AH1243" s="229"/>
      <c r="AI1243" s="229"/>
      <c r="AJ1243" s="229"/>
      <c r="AK1243" s="229"/>
      <c r="AL1243" s="229"/>
      <c r="AM1243" s="229"/>
      <c r="AN1243" s="229"/>
      <c r="AO1243" s="229"/>
      <c r="AP1243" s="229"/>
      <c r="AQ1243" s="229"/>
      <c r="AR1243" s="229"/>
      <c r="AS1243" s="229"/>
      <c r="AT1243" s="229"/>
      <c r="AU1243" s="229"/>
      <c r="AV1243" s="229"/>
      <c r="AW1243" s="229"/>
      <c r="AX1243" s="229"/>
      <c r="AY1243" s="229"/>
      <c r="AZ1243" s="229"/>
      <c r="BA1243" s="229"/>
      <c r="BB1243" s="229"/>
      <c r="BC1243" s="229"/>
      <c r="BD1243" s="229"/>
      <c r="BE1243" s="229"/>
      <c r="BF1243" s="229"/>
      <c r="BG1243" s="229"/>
      <c r="BH1243" s="229"/>
      <c r="BI1243" s="229"/>
      <c r="BJ1243" s="229"/>
      <c r="BK1243" s="229"/>
      <c r="BL1243" s="229"/>
      <c r="BM1243" s="229"/>
      <c r="BN1243" s="229"/>
      <c r="BO1243" s="229"/>
      <c r="BP1243" s="229"/>
      <c r="BQ1243" s="229"/>
      <c r="BR1243" s="229"/>
      <c r="BS1243" s="296"/>
      <c r="BT1243" s="229"/>
      <c r="BU1243" s="229"/>
      <c r="BV1243" s="229"/>
      <c r="BW1243" s="229"/>
      <c r="BX1243" s="229"/>
      <c r="BY1243" s="229"/>
      <c r="BZ1243" s="229"/>
      <c r="CA1243" s="229"/>
      <c r="CB1243" s="229"/>
      <c r="CC1243" s="229"/>
      <c r="CD1243" s="229"/>
      <c r="CE1243" s="229"/>
      <c r="CF1243" s="229"/>
      <c r="CG1243" s="229"/>
      <c r="CH1243" s="229"/>
      <c r="CI1243" s="229"/>
      <c r="CJ1243" s="229"/>
      <c r="CK1243" s="229"/>
      <c r="CL1243" s="229"/>
      <c r="CM1243" s="229"/>
      <c r="CN1243" s="229"/>
      <c r="CO1243" s="229"/>
      <c r="CP1243" s="229"/>
      <c r="CQ1243" s="229"/>
      <c r="CR1243" s="229"/>
      <c r="CS1243" s="229"/>
      <c r="CT1243" s="229"/>
      <c r="CU1243" s="229"/>
      <c r="CV1243" s="229"/>
      <c r="CW1243" s="229"/>
      <c r="CX1243" s="229"/>
      <c r="CY1243" s="229"/>
      <c r="CZ1243" s="229"/>
      <c r="DA1243" s="229"/>
      <c r="DB1243" s="229"/>
      <c r="DC1243" s="229"/>
      <c r="DD1243" s="229"/>
      <c r="DE1243" s="229"/>
      <c r="DF1243" s="229"/>
      <c r="DG1243" s="229"/>
      <c r="DH1243" s="229"/>
      <c r="DI1243" s="229"/>
      <c r="DJ1243" s="229"/>
      <c r="DK1243" s="229"/>
      <c r="DL1243" s="229"/>
      <c r="DM1243" s="229"/>
      <c r="DN1243" s="229"/>
      <c r="DO1243" s="229"/>
      <c r="DP1243" s="229"/>
      <c r="DQ1243" s="229"/>
      <c r="DR1243" s="229"/>
      <c r="DS1243" s="229"/>
      <c r="DT1243" s="229"/>
      <c r="DU1243" s="229"/>
      <c r="DV1243" s="229"/>
      <c r="DW1243" s="229"/>
      <c r="DX1243" s="229"/>
      <c r="DY1243" s="229"/>
      <c r="DZ1243" s="229"/>
      <c r="EA1243" s="229"/>
      <c r="EB1243" s="229"/>
      <c r="EC1243" s="229"/>
      <c r="ED1243" s="229"/>
      <c r="EE1243" s="229"/>
      <c r="EF1243" s="229"/>
      <c r="EG1243" s="229"/>
      <c r="EH1243" s="229"/>
      <c r="EI1243" s="229"/>
      <c r="EJ1243" s="229"/>
      <c r="EK1243" s="229"/>
      <c r="EL1243" s="229"/>
      <c r="EM1243" s="234"/>
      <c r="EN1243" s="234"/>
      <c r="EO1243" s="234"/>
      <c r="EP1243" s="233"/>
      <c r="EQ1243" s="233"/>
    </row>
    <row r="1244" spans="2:147" ht="11.25" customHeight="1">
      <c r="B1244" s="228"/>
      <c r="C1244" s="229"/>
      <c r="D1244" s="229"/>
      <c r="E1244" s="229"/>
      <c r="F1244" s="229"/>
      <c r="G1244" s="229"/>
      <c r="H1244" s="229"/>
      <c r="I1244" s="229"/>
      <c r="J1244" s="229"/>
      <c r="K1244" s="229"/>
      <c r="L1244" s="296"/>
      <c r="M1244" s="296"/>
      <c r="N1244" s="296"/>
      <c r="O1244" s="229"/>
      <c r="P1244" s="229"/>
      <c r="Q1244" s="229"/>
      <c r="R1244" s="229"/>
      <c r="S1244" s="229"/>
      <c r="T1244" s="229"/>
      <c r="U1244" s="229"/>
      <c r="V1244" s="229"/>
      <c r="W1244" s="229"/>
      <c r="X1244" s="229"/>
      <c r="Y1244" s="229"/>
      <c r="Z1244" s="229"/>
      <c r="AA1244" s="229"/>
      <c r="AB1244" s="229"/>
      <c r="AC1244" s="229"/>
      <c r="AD1244" s="229"/>
      <c r="AE1244" s="229"/>
      <c r="AF1244" s="229"/>
      <c r="AG1244" s="229"/>
      <c r="AH1244" s="229"/>
      <c r="AI1244" s="229"/>
      <c r="AJ1244" s="229"/>
      <c r="AK1244" s="229"/>
      <c r="AL1244" s="229"/>
      <c r="AM1244" s="229"/>
      <c r="AN1244" s="229"/>
      <c r="AO1244" s="229"/>
      <c r="AP1244" s="229"/>
      <c r="AQ1244" s="229"/>
      <c r="AR1244" s="229"/>
      <c r="AS1244" s="229"/>
      <c r="AT1244" s="229"/>
      <c r="AU1244" s="229"/>
      <c r="AV1244" s="229"/>
      <c r="AW1244" s="229"/>
      <c r="AX1244" s="229"/>
      <c r="AY1244" s="229"/>
      <c r="AZ1244" s="229"/>
      <c r="BA1244" s="229"/>
      <c r="BB1244" s="229"/>
      <c r="BC1244" s="229"/>
      <c r="BD1244" s="229"/>
      <c r="BE1244" s="229"/>
      <c r="BF1244" s="229"/>
      <c r="BG1244" s="229"/>
      <c r="BH1244" s="229"/>
      <c r="BI1244" s="229"/>
      <c r="BJ1244" s="229"/>
      <c r="BK1244" s="229"/>
      <c r="BL1244" s="229"/>
      <c r="BM1244" s="229"/>
      <c r="BN1244" s="229"/>
      <c r="BO1244" s="229"/>
      <c r="BP1244" s="229"/>
      <c r="BQ1244" s="229"/>
      <c r="BR1244" s="229"/>
      <c r="BS1244" s="296"/>
      <c r="BT1244" s="229"/>
      <c r="BU1244" s="229"/>
      <c r="BV1244" s="229"/>
      <c r="BW1244" s="229"/>
      <c r="BX1244" s="229"/>
      <c r="BY1244" s="229"/>
      <c r="BZ1244" s="229"/>
      <c r="CA1244" s="229"/>
      <c r="CB1244" s="229"/>
      <c r="CC1244" s="229"/>
      <c r="CD1244" s="229"/>
      <c r="CE1244" s="229"/>
      <c r="CF1244" s="229"/>
      <c r="CG1244" s="229"/>
      <c r="CH1244" s="229"/>
      <c r="CI1244" s="229"/>
      <c r="CJ1244" s="229"/>
      <c r="CK1244" s="229"/>
      <c r="CL1244" s="229"/>
      <c r="CM1244" s="229"/>
      <c r="CN1244" s="229"/>
      <c r="CO1244" s="229"/>
      <c r="CP1244" s="229"/>
      <c r="CQ1244" s="229"/>
      <c r="CR1244" s="229"/>
      <c r="CS1244" s="229"/>
      <c r="CT1244" s="229"/>
      <c r="CU1244" s="229"/>
      <c r="CV1244" s="229"/>
      <c r="CW1244" s="229"/>
      <c r="CX1244" s="229"/>
      <c r="CY1244" s="229"/>
      <c r="CZ1244" s="229"/>
      <c r="DA1244" s="229"/>
      <c r="DB1244" s="229"/>
      <c r="DC1244" s="229"/>
      <c r="DD1244" s="229"/>
      <c r="DE1244" s="229"/>
      <c r="DF1244" s="229"/>
      <c r="DG1244" s="229"/>
      <c r="DH1244" s="229"/>
      <c r="DI1244" s="229"/>
      <c r="DJ1244" s="229"/>
      <c r="DK1244" s="229"/>
      <c r="DL1244" s="229"/>
      <c r="DM1244" s="229"/>
      <c r="DN1244" s="229"/>
      <c r="DO1244" s="229"/>
      <c r="DP1244" s="229"/>
      <c r="DQ1244" s="229"/>
      <c r="DR1244" s="229"/>
      <c r="DS1244" s="229"/>
      <c r="DT1244" s="229"/>
      <c r="DU1244" s="229"/>
      <c r="DV1244" s="229"/>
      <c r="DW1244" s="229"/>
      <c r="DX1244" s="229"/>
      <c r="DY1244" s="229"/>
      <c r="DZ1244" s="229"/>
      <c r="EA1244" s="229"/>
      <c r="EB1244" s="229"/>
      <c r="EC1244" s="229"/>
      <c r="ED1244" s="229"/>
      <c r="EE1244" s="229"/>
      <c r="EF1244" s="229"/>
      <c r="EG1244" s="229"/>
      <c r="EH1244" s="229"/>
      <c r="EI1244" s="229"/>
      <c r="EJ1244" s="229"/>
      <c r="EK1244" s="229"/>
      <c r="EL1244" s="229"/>
      <c r="EM1244" s="234"/>
      <c r="EN1244" s="234"/>
      <c r="EO1244" s="234"/>
      <c r="EP1244" s="233"/>
      <c r="EQ1244" s="233"/>
    </row>
    <row r="1245" spans="2:147" ht="11.25" customHeight="1">
      <c r="B1245" s="228"/>
      <c r="C1245" s="229"/>
      <c r="D1245" s="229"/>
      <c r="E1245" s="229"/>
      <c r="F1245" s="229"/>
      <c r="G1245" s="229"/>
      <c r="H1245" s="229"/>
      <c r="I1245" s="229"/>
      <c r="J1245" s="229"/>
      <c r="K1245" s="229"/>
      <c r="L1245" s="296"/>
      <c r="M1245" s="296"/>
      <c r="N1245" s="296"/>
      <c r="O1245" s="229"/>
      <c r="P1245" s="229"/>
      <c r="Q1245" s="229"/>
      <c r="R1245" s="229"/>
      <c r="S1245" s="229"/>
      <c r="T1245" s="229"/>
      <c r="U1245" s="229"/>
      <c r="V1245" s="229"/>
      <c r="W1245" s="229"/>
      <c r="X1245" s="229"/>
      <c r="Y1245" s="229"/>
      <c r="Z1245" s="229"/>
      <c r="AA1245" s="229"/>
      <c r="AB1245" s="229"/>
      <c r="AC1245" s="229"/>
      <c r="AD1245" s="229"/>
      <c r="AE1245" s="229"/>
      <c r="AF1245" s="229"/>
      <c r="AG1245" s="229"/>
      <c r="AH1245" s="229"/>
      <c r="AI1245" s="229"/>
      <c r="AJ1245" s="229"/>
      <c r="AK1245" s="229"/>
      <c r="AL1245" s="229"/>
      <c r="AM1245" s="229"/>
      <c r="AN1245" s="229"/>
      <c r="AO1245" s="229"/>
      <c r="AP1245" s="229"/>
      <c r="AQ1245" s="229"/>
      <c r="AR1245" s="229"/>
      <c r="AS1245" s="229"/>
      <c r="AT1245" s="229"/>
      <c r="AU1245" s="229"/>
      <c r="AV1245" s="229"/>
      <c r="AW1245" s="229"/>
      <c r="AX1245" s="229"/>
      <c r="AY1245" s="229"/>
      <c r="AZ1245" s="229"/>
      <c r="BA1245" s="229"/>
      <c r="BB1245" s="229"/>
      <c r="BC1245" s="229"/>
      <c r="BD1245" s="229"/>
      <c r="BE1245" s="229"/>
      <c r="BF1245" s="229"/>
      <c r="BG1245" s="229"/>
      <c r="BH1245" s="229"/>
      <c r="BI1245" s="229"/>
      <c r="BJ1245" s="229"/>
      <c r="BK1245" s="229"/>
      <c r="BL1245" s="229"/>
      <c r="BM1245" s="229"/>
      <c r="BN1245" s="229"/>
      <c r="BO1245" s="229"/>
      <c r="BP1245" s="229"/>
      <c r="BQ1245" s="229"/>
      <c r="BR1245" s="229"/>
      <c r="BS1245" s="296"/>
      <c r="BT1245" s="229"/>
      <c r="BU1245" s="229"/>
      <c r="BV1245" s="229"/>
      <c r="BW1245" s="229"/>
      <c r="BX1245" s="229"/>
      <c r="BY1245" s="229"/>
      <c r="BZ1245" s="229"/>
      <c r="CA1245" s="229"/>
      <c r="CB1245" s="229"/>
      <c r="CC1245" s="229"/>
      <c r="CD1245" s="229"/>
      <c r="CE1245" s="229"/>
      <c r="CF1245" s="229"/>
      <c r="CG1245" s="229"/>
      <c r="CH1245" s="229"/>
      <c r="CI1245" s="229"/>
      <c r="CJ1245" s="229"/>
      <c r="CK1245" s="229"/>
      <c r="CL1245" s="229"/>
      <c r="CM1245" s="229"/>
      <c r="CN1245" s="229"/>
      <c r="CO1245" s="229"/>
      <c r="CP1245" s="229"/>
      <c r="CQ1245" s="229"/>
      <c r="CR1245" s="229"/>
      <c r="CS1245" s="229"/>
      <c r="CT1245" s="229"/>
      <c r="CU1245" s="229"/>
      <c r="CV1245" s="229"/>
      <c r="CW1245" s="229"/>
      <c r="CX1245" s="229"/>
      <c r="CY1245" s="229"/>
      <c r="CZ1245" s="229"/>
      <c r="DA1245" s="229"/>
      <c r="DB1245" s="229"/>
      <c r="DC1245" s="229"/>
      <c r="DD1245" s="229"/>
      <c r="DE1245" s="229"/>
      <c r="DF1245" s="229"/>
      <c r="DG1245" s="229"/>
      <c r="DH1245" s="229"/>
      <c r="DI1245" s="229"/>
      <c r="DJ1245" s="229"/>
      <c r="DK1245" s="229"/>
      <c r="DL1245" s="229"/>
      <c r="DM1245" s="229"/>
      <c r="DN1245" s="229"/>
      <c r="DO1245" s="229"/>
      <c r="DP1245" s="229"/>
      <c r="DQ1245" s="229"/>
      <c r="DR1245" s="229"/>
      <c r="DS1245" s="229"/>
      <c r="DT1245" s="229"/>
      <c r="DU1245" s="229"/>
      <c r="DV1245" s="229"/>
      <c r="DW1245" s="229"/>
      <c r="DX1245" s="229"/>
      <c r="DY1245" s="229"/>
      <c r="DZ1245" s="229"/>
      <c r="EA1245" s="229"/>
      <c r="EB1245" s="229"/>
      <c r="EC1245" s="229"/>
      <c r="ED1245" s="229"/>
      <c r="EE1245" s="229"/>
      <c r="EF1245" s="229"/>
      <c r="EG1245" s="229"/>
      <c r="EH1245" s="229"/>
      <c r="EI1245" s="229"/>
      <c r="EJ1245" s="229"/>
      <c r="EK1245" s="229"/>
      <c r="EL1245" s="229"/>
      <c r="EM1245" s="234"/>
      <c r="EN1245" s="234"/>
      <c r="EO1245" s="234"/>
      <c r="EP1245" s="233"/>
      <c r="EQ1245" s="233"/>
    </row>
    <row r="1246" spans="2:147" ht="11.25" customHeight="1">
      <c r="B1246" s="228"/>
      <c r="C1246" s="229"/>
      <c r="D1246" s="229"/>
      <c r="E1246" s="229"/>
      <c r="F1246" s="229"/>
      <c r="G1246" s="229"/>
      <c r="H1246" s="229"/>
      <c r="I1246" s="229"/>
      <c r="J1246" s="229"/>
      <c r="K1246" s="229"/>
      <c r="L1246" s="296"/>
      <c r="M1246" s="296"/>
      <c r="N1246" s="296"/>
      <c r="O1246" s="229"/>
      <c r="P1246" s="229"/>
      <c r="Q1246" s="229"/>
      <c r="R1246" s="229"/>
      <c r="S1246" s="229"/>
      <c r="T1246" s="229"/>
      <c r="U1246" s="229"/>
      <c r="V1246" s="229"/>
      <c r="W1246" s="229"/>
      <c r="X1246" s="229"/>
      <c r="Y1246" s="229"/>
      <c r="Z1246" s="229"/>
      <c r="AA1246" s="229"/>
      <c r="AB1246" s="229"/>
      <c r="AC1246" s="229"/>
      <c r="AD1246" s="229"/>
      <c r="AE1246" s="229"/>
      <c r="AF1246" s="229"/>
      <c r="AG1246" s="229"/>
      <c r="AH1246" s="229"/>
      <c r="AI1246" s="229"/>
      <c r="AJ1246" s="229"/>
      <c r="AK1246" s="229"/>
      <c r="AL1246" s="229"/>
      <c r="AM1246" s="229"/>
      <c r="AN1246" s="229"/>
      <c r="AO1246" s="229"/>
      <c r="AP1246" s="229"/>
      <c r="AQ1246" s="229"/>
      <c r="AR1246" s="229"/>
      <c r="AS1246" s="229"/>
      <c r="AT1246" s="229"/>
      <c r="AU1246" s="229"/>
      <c r="AV1246" s="229"/>
      <c r="AW1246" s="229"/>
      <c r="AX1246" s="229"/>
      <c r="AY1246" s="229"/>
      <c r="AZ1246" s="229"/>
      <c r="BA1246" s="229"/>
      <c r="BB1246" s="229"/>
      <c r="BC1246" s="229"/>
      <c r="BD1246" s="229"/>
      <c r="BE1246" s="229"/>
      <c r="BF1246" s="229"/>
      <c r="BG1246" s="229"/>
      <c r="BH1246" s="229"/>
      <c r="BI1246" s="229"/>
      <c r="BJ1246" s="229"/>
      <c r="BK1246" s="229"/>
      <c r="BL1246" s="229"/>
      <c r="BM1246" s="229"/>
      <c r="BN1246" s="229"/>
      <c r="BO1246" s="229"/>
      <c r="BP1246" s="229"/>
      <c r="BQ1246" s="229"/>
      <c r="BR1246" s="229"/>
      <c r="BS1246" s="296"/>
      <c r="BT1246" s="229"/>
      <c r="BU1246" s="229"/>
      <c r="BV1246" s="229"/>
      <c r="BW1246" s="229"/>
      <c r="BX1246" s="229"/>
      <c r="BY1246" s="229"/>
      <c r="BZ1246" s="229"/>
      <c r="CA1246" s="229"/>
      <c r="CB1246" s="229"/>
      <c r="CC1246" s="229"/>
      <c r="CD1246" s="229"/>
      <c r="CE1246" s="229"/>
      <c r="CF1246" s="229"/>
      <c r="CG1246" s="229"/>
      <c r="CH1246" s="229"/>
      <c r="CI1246" s="229"/>
      <c r="CJ1246" s="229"/>
      <c r="CK1246" s="229"/>
      <c r="CL1246" s="229"/>
      <c r="CM1246" s="229"/>
      <c r="CN1246" s="229"/>
      <c r="CO1246" s="229"/>
      <c r="CP1246" s="229"/>
      <c r="CQ1246" s="229"/>
      <c r="CR1246" s="229"/>
      <c r="CS1246" s="229"/>
      <c r="CT1246" s="229"/>
      <c r="CU1246" s="229"/>
      <c r="CV1246" s="229"/>
      <c r="CW1246" s="229"/>
      <c r="CX1246" s="229"/>
      <c r="CY1246" s="229"/>
      <c r="CZ1246" s="229"/>
      <c r="DA1246" s="229"/>
      <c r="DB1246" s="229"/>
      <c r="DC1246" s="229"/>
      <c r="DD1246" s="229"/>
      <c r="DE1246" s="229"/>
      <c r="DF1246" s="229"/>
      <c r="DG1246" s="229"/>
      <c r="DH1246" s="229"/>
      <c r="DI1246" s="229"/>
      <c r="DJ1246" s="229"/>
      <c r="DK1246" s="229"/>
      <c r="DL1246" s="229"/>
      <c r="DM1246" s="229"/>
      <c r="DN1246" s="229"/>
      <c r="DO1246" s="229"/>
      <c r="DP1246" s="229"/>
      <c r="DQ1246" s="229"/>
      <c r="DR1246" s="229"/>
      <c r="DS1246" s="229"/>
      <c r="DT1246" s="229"/>
      <c r="DU1246" s="229"/>
      <c r="DV1246" s="229"/>
      <c r="DW1246" s="229"/>
      <c r="DX1246" s="229"/>
      <c r="DY1246" s="229"/>
      <c r="DZ1246" s="229"/>
      <c r="EA1246" s="229"/>
      <c r="EB1246" s="229"/>
      <c r="EC1246" s="229"/>
      <c r="ED1246" s="229"/>
      <c r="EE1246" s="229"/>
      <c r="EF1246" s="229"/>
      <c r="EG1246" s="229"/>
      <c r="EH1246" s="229"/>
      <c r="EI1246" s="229"/>
      <c r="EJ1246" s="229"/>
      <c r="EK1246" s="229"/>
      <c r="EL1246" s="229"/>
      <c r="EM1246" s="234"/>
      <c r="EN1246" s="234"/>
      <c r="EO1246" s="234"/>
      <c r="EP1246" s="233"/>
      <c r="EQ1246" s="233"/>
    </row>
    <row r="1247" spans="2:147" ht="11.25" customHeight="1">
      <c r="B1247" s="228"/>
      <c r="C1247" s="229"/>
      <c r="D1247" s="229"/>
      <c r="E1247" s="229"/>
      <c r="F1247" s="229"/>
      <c r="G1247" s="229"/>
      <c r="H1247" s="229"/>
      <c r="I1247" s="229"/>
      <c r="J1247" s="229"/>
      <c r="K1247" s="229"/>
      <c r="L1247" s="296"/>
      <c r="M1247" s="296"/>
      <c r="N1247" s="296"/>
      <c r="O1247" s="229"/>
      <c r="P1247" s="229"/>
      <c r="Q1247" s="229"/>
      <c r="R1247" s="229"/>
      <c r="S1247" s="229"/>
      <c r="T1247" s="229"/>
      <c r="U1247" s="229"/>
      <c r="V1247" s="229"/>
      <c r="W1247" s="229"/>
      <c r="X1247" s="229"/>
      <c r="Y1247" s="229"/>
      <c r="Z1247" s="229"/>
      <c r="AA1247" s="229"/>
      <c r="AB1247" s="229"/>
      <c r="AC1247" s="229"/>
      <c r="AD1247" s="229"/>
      <c r="AE1247" s="229"/>
      <c r="AF1247" s="229"/>
      <c r="AG1247" s="229"/>
      <c r="AH1247" s="229"/>
      <c r="AI1247" s="229"/>
      <c r="AJ1247" s="229"/>
      <c r="AK1247" s="229"/>
      <c r="AL1247" s="229"/>
      <c r="AM1247" s="229"/>
      <c r="AN1247" s="229"/>
      <c r="AO1247" s="229"/>
      <c r="AP1247" s="229"/>
      <c r="AQ1247" s="229"/>
      <c r="AR1247" s="229"/>
      <c r="AS1247" s="229"/>
      <c r="AT1247" s="229"/>
      <c r="AU1247" s="229"/>
      <c r="AV1247" s="229"/>
      <c r="AW1247" s="229"/>
      <c r="AX1247" s="229"/>
      <c r="AY1247" s="229"/>
      <c r="AZ1247" s="229"/>
      <c r="BA1247" s="229"/>
      <c r="BB1247" s="229"/>
      <c r="BC1247" s="229"/>
      <c r="BD1247" s="229"/>
      <c r="BE1247" s="229"/>
      <c r="BF1247" s="229"/>
      <c r="BG1247" s="229"/>
      <c r="BH1247" s="229"/>
      <c r="BI1247" s="229"/>
      <c r="BJ1247" s="229"/>
      <c r="BK1247" s="229"/>
      <c r="BL1247" s="229"/>
      <c r="BM1247" s="229"/>
      <c r="BN1247" s="229"/>
      <c r="BO1247" s="229"/>
      <c r="BP1247" s="229"/>
      <c r="BQ1247" s="229"/>
      <c r="BR1247" s="229"/>
      <c r="BS1247" s="296"/>
      <c r="BT1247" s="229"/>
      <c r="BU1247" s="229"/>
      <c r="BV1247" s="229"/>
      <c r="BW1247" s="229"/>
      <c r="BX1247" s="229"/>
      <c r="BY1247" s="229"/>
      <c r="BZ1247" s="229"/>
      <c r="CA1247" s="229"/>
      <c r="CB1247" s="229"/>
      <c r="CC1247" s="229"/>
      <c r="CD1247" s="229"/>
      <c r="CE1247" s="229"/>
      <c r="CF1247" s="229"/>
      <c r="CG1247" s="229"/>
      <c r="CH1247" s="229"/>
      <c r="CI1247" s="229"/>
      <c r="CJ1247" s="229"/>
      <c r="CK1247" s="229"/>
      <c r="CL1247" s="229"/>
      <c r="CM1247" s="229"/>
      <c r="CN1247" s="229"/>
      <c r="CO1247" s="229"/>
      <c r="CP1247" s="229"/>
      <c r="CQ1247" s="229"/>
      <c r="CR1247" s="229"/>
      <c r="CS1247" s="229"/>
      <c r="CT1247" s="229"/>
      <c r="CU1247" s="229"/>
      <c r="CV1247" s="229"/>
      <c r="CW1247" s="229"/>
      <c r="CX1247" s="229"/>
      <c r="CY1247" s="229"/>
      <c r="CZ1247" s="229"/>
      <c r="DA1247" s="229"/>
      <c r="DB1247" s="229"/>
      <c r="DC1247" s="229"/>
      <c r="DD1247" s="229"/>
      <c r="DE1247" s="229"/>
      <c r="DF1247" s="229"/>
      <c r="DG1247" s="229"/>
      <c r="DH1247" s="229"/>
      <c r="DI1247" s="229"/>
      <c r="DJ1247" s="229"/>
      <c r="DK1247" s="229"/>
      <c r="DL1247" s="229"/>
      <c r="DM1247" s="229"/>
      <c r="DN1247" s="229"/>
      <c r="DO1247" s="229"/>
      <c r="DP1247" s="229"/>
      <c r="DQ1247" s="229"/>
      <c r="DR1247" s="229"/>
      <c r="DS1247" s="229"/>
      <c r="DT1247" s="229"/>
      <c r="DU1247" s="229"/>
      <c r="DV1247" s="229"/>
      <c r="DW1247" s="229"/>
      <c r="DX1247" s="229"/>
      <c r="DY1247" s="229"/>
      <c r="DZ1247" s="229"/>
      <c r="EA1247" s="229"/>
      <c r="EB1247" s="229"/>
      <c r="EC1247" s="229"/>
      <c r="ED1247" s="229"/>
      <c r="EE1247" s="229"/>
      <c r="EF1247" s="229"/>
      <c r="EG1247" s="229"/>
      <c r="EH1247" s="229"/>
      <c r="EI1247" s="229"/>
      <c r="EJ1247" s="229"/>
      <c r="EK1247" s="229"/>
      <c r="EL1247" s="229"/>
      <c r="EM1247" s="234"/>
      <c r="EN1247" s="234"/>
      <c r="EO1247" s="234"/>
      <c r="EP1247" s="233"/>
      <c r="EQ1247" s="233"/>
    </row>
    <row r="1248" spans="2:147" ht="11.25" customHeight="1">
      <c r="B1248" s="228"/>
      <c r="C1248" s="229"/>
      <c r="D1248" s="229"/>
      <c r="E1248" s="229"/>
      <c r="F1248" s="229"/>
      <c r="G1248" s="229"/>
      <c r="H1248" s="229"/>
      <c r="I1248" s="229"/>
      <c r="J1248" s="229"/>
      <c r="K1248" s="229"/>
      <c r="L1248" s="296"/>
      <c r="M1248" s="296"/>
      <c r="N1248" s="296"/>
      <c r="O1248" s="229"/>
      <c r="P1248" s="229"/>
      <c r="Q1248" s="229"/>
      <c r="R1248" s="229"/>
      <c r="S1248" s="229"/>
      <c r="T1248" s="229"/>
      <c r="U1248" s="229"/>
      <c r="V1248" s="229"/>
      <c r="W1248" s="229"/>
      <c r="X1248" s="229"/>
      <c r="Y1248" s="229"/>
      <c r="Z1248" s="229"/>
      <c r="AA1248" s="229"/>
      <c r="AB1248" s="229"/>
      <c r="AC1248" s="229"/>
      <c r="AD1248" s="229"/>
      <c r="AE1248" s="229"/>
      <c r="AF1248" s="229"/>
      <c r="AG1248" s="229"/>
      <c r="AH1248" s="229"/>
      <c r="AI1248" s="229"/>
      <c r="AJ1248" s="229"/>
      <c r="AK1248" s="229"/>
      <c r="AL1248" s="229"/>
      <c r="AM1248" s="229"/>
      <c r="AN1248" s="229"/>
      <c r="AO1248" s="229"/>
      <c r="AP1248" s="229"/>
      <c r="AQ1248" s="229"/>
      <c r="AR1248" s="229"/>
      <c r="AS1248" s="229"/>
      <c r="AT1248" s="229"/>
      <c r="AU1248" s="229"/>
      <c r="AV1248" s="229"/>
      <c r="AW1248" s="229"/>
      <c r="AX1248" s="229"/>
      <c r="AY1248" s="229"/>
      <c r="AZ1248" s="229"/>
      <c r="BA1248" s="229"/>
      <c r="BB1248" s="229"/>
      <c r="BC1248" s="229"/>
      <c r="BD1248" s="229"/>
      <c r="BE1248" s="229"/>
      <c r="BF1248" s="229"/>
      <c r="BG1248" s="229"/>
      <c r="BH1248" s="229"/>
      <c r="BI1248" s="229"/>
      <c r="BJ1248" s="229"/>
      <c r="BK1248" s="229"/>
      <c r="BL1248" s="229"/>
      <c r="BM1248" s="229"/>
      <c r="BN1248" s="229"/>
      <c r="BO1248" s="229"/>
      <c r="BP1248" s="229"/>
      <c r="BQ1248" s="229"/>
      <c r="BR1248" s="229"/>
      <c r="BS1248" s="296"/>
      <c r="BT1248" s="229"/>
      <c r="BU1248" s="229"/>
      <c r="BV1248" s="229"/>
      <c r="BW1248" s="229"/>
      <c r="BX1248" s="229"/>
      <c r="BY1248" s="229"/>
      <c r="BZ1248" s="229"/>
      <c r="CA1248" s="229"/>
      <c r="CB1248" s="229"/>
      <c r="CC1248" s="229"/>
      <c r="CD1248" s="229"/>
      <c r="CE1248" s="229"/>
      <c r="CF1248" s="229"/>
      <c r="CG1248" s="229"/>
      <c r="CH1248" s="229"/>
      <c r="CI1248" s="229"/>
      <c r="CJ1248" s="229"/>
      <c r="CK1248" s="229"/>
      <c r="CL1248" s="229"/>
      <c r="CM1248" s="229"/>
      <c r="CN1248" s="229"/>
      <c r="CO1248" s="229"/>
      <c r="CP1248" s="229"/>
      <c r="CQ1248" s="229"/>
      <c r="CR1248" s="229"/>
      <c r="CS1248" s="229"/>
      <c r="CT1248" s="229"/>
      <c r="CU1248" s="229"/>
      <c r="CV1248" s="229"/>
      <c r="CW1248" s="229"/>
      <c r="CX1248" s="229"/>
      <c r="CY1248" s="229"/>
      <c r="CZ1248" s="229"/>
      <c r="DA1248" s="229"/>
      <c r="DB1248" s="229"/>
      <c r="DC1248" s="229"/>
      <c r="DD1248" s="229"/>
      <c r="DE1248" s="229"/>
      <c r="DF1248" s="229"/>
      <c r="DG1248" s="229"/>
      <c r="DH1248" s="229"/>
      <c r="DI1248" s="229"/>
      <c r="DJ1248" s="229"/>
      <c r="DK1248" s="229"/>
      <c r="DL1248" s="229"/>
      <c r="DM1248" s="229"/>
      <c r="DN1248" s="229"/>
      <c r="DO1248" s="229"/>
      <c r="DP1248" s="229"/>
      <c r="DQ1248" s="229"/>
      <c r="DR1248" s="229"/>
      <c r="DS1248" s="229"/>
      <c r="DT1248" s="229"/>
      <c r="DU1248" s="229"/>
      <c r="DV1248" s="229"/>
      <c r="DW1248" s="229"/>
      <c r="DX1248" s="229"/>
      <c r="DY1248" s="229"/>
      <c r="DZ1248" s="229"/>
      <c r="EA1248" s="229"/>
      <c r="EB1248" s="229"/>
      <c r="EC1248" s="229"/>
      <c r="ED1248" s="229"/>
      <c r="EE1248" s="229"/>
      <c r="EF1248" s="229"/>
      <c r="EG1248" s="229"/>
      <c r="EH1248" s="229"/>
      <c r="EI1248" s="229"/>
      <c r="EJ1248" s="229"/>
      <c r="EK1248" s="229"/>
      <c r="EL1248" s="229"/>
      <c r="EM1248" s="234"/>
      <c r="EN1248" s="234"/>
      <c r="EO1248" s="234"/>
      <c r="EP1248" s="233"/>
      <c r="EQ1248" s="233"/>
    </row>
    <row r="1249" spans="2:147" ht="11.25" customHeight="1">
      <c r="B1249" s="228"/>
      <c r="C1249" s="229"/>
      <c r="D1249" s="229"/>
      <c r="E1249" s="229"/>
      <c r="F1249" s="229"/>
      <c r="G1249" s="229"/>
      <c r="H1249" s="229"/>
      <c r="I1249" s="229"/>
      <c r="J1249" s="229"/>
      <c r="K1249" s="229"/>
      <c r="L1249" s="296"/>
      <c r="M1249" s="296"/>
      <c r="N1249" s="296"/>
      <c r="O1249" s="229"/>
      <c r="P1249" s="229"/>
      <c r="Q1249" s="229"/>
      <c r="R1249" s="229"/>
      <c r="S1249" s="229"/>
      <c r="T1249" s="229"/>
      <c r="U1249" s="229"/>
      <c r="V1249" s="229"/>
      <c r="W1249" s="229"/>
      <c r="X1249" s="229"/>
      <c r="Y1249" s="229"/>
      <c r="Z1249" s="229"/>
      <c r="AA1249" s="229"/>
      <c r="AB1249" s="229"/>
      <c r="AC1249" s="229"/>
      <c r="AD1249" s="229"/>
      <c r="AE1249" s="229"/>
      <c r="AF1249" s="229"/>
      <c r="AG1249" s="229"/>
      <c r="AH1249" s="229"/>
      <c r="AI1249" s="229"/>
      <c r="AJ1249" s="229"/>
      <c r="AK1249" s="229"/>
      <c r="AL1249" s="229"/>
      <c r="AM1249" s="229"/>
      <c r="AN1249" s="229"/>
      <c r="AO1249" s="229"/>
      <c r="AP1249" s="229"/>
      <c r="AQ1249" s="229"/>
      <c r="AR1249" s="229"/>
      <c r="AS1249" s="229"/>
      <c r="AT1249" s="229"/>
      <c r="AU1249" s="229"/>
      <c r="AV1249" s="229"/>
      <c r="AW1249" s="229"/>
      <c r="AX1249" s="229"/>
      <c r="AY1249" s="229"/>
      <c r="AZ1249" s="229"/>
      <c r="BA1249" s="229"/>
      <c r="BB1249" s="229"/>
      <c r="BC1249" s="229"/>
      <c r="BD1249" s="229"/>
      <c r="BE1249" s="229"/>
      <c r="BF1249" s="229"/>
      <c r="BG1249" s="229"/>
      <c r="BH1249" s="229"/>
      <c r="BI1249" s="229"/>
      <c r="BJ1249" s="229"/>
      <c r="BK1249" s="229"/>
      <c r="BL1249" s="229"/>
      <c r="BM1249" s="229"/>
      <c r="BN1249" s="229"/>
      <c r="BO1249" s="229"/>
      <c r="BP1249" s="229"/>
      <c r="BQ1249" s="229"/>
      <c r="BR1249" s="229"/>
      <c r="BS1249" s="296"/>
      <c r="BT1249" s="229"/>
      <c r="BU1249" s="229"/>
      <c r="BV1249" s="229"/>
      <c r="BW1249" s="229"/>
      <c r="BX1249" s="229"/>
      <c r="BY1249" s="229"/>
      <c r="BZ1249" s="229"/>
      <c r="CA1249" s="229"/>
      <c r="CB1249" s="229"/>
      <c r="CC1249" s="229"/>
      <c r="CD1249" s="229"/>
      <c r="CE1249" s="229"/>
      <c r="CF1249" s="229"/>
      <c r="CG1249" s="229"/>
      <c r="CH1249" s="229"/>
      <c r="CI1249" s="229"/>
      <c r="CJ1249" s="229"/>
      <c r="CK1249" s="229"/>
      <c r="CL1249" s="229"/>
      <c r="CM1249" s="229"/>
      <c r="CN1249" s="229"/>
      <c r="CO1249" s="229"/>
      <c r="CP1249" s="229"/>
      <c r="CQ1249" s="229"/>
      <c r="CR1249" s="229"/>
      <c r="CS1249" s="229"/>
      <c r="CT1249" s="229"/>
      <c r="CU1249" s="229"/>
      <c r="CV1249" s="229"/>
      <c r="CW1249" s="229"/>
      <c r="CX1249" s="229"/>
      <c r="CY1249" s="229"/>
      <c r="CZ1249" s="229"/>
      <c r="DA1249" s="229"/>
      <c r="DB1249" s="229"/>
      <c r="DC1249" s="229"/>
      <c r="DD1249" s="229"/>
      <c r="DE1249" s="229"/>
      <c r="DF1249" s="229"/>
      <c r="DG1249" s="229"/>
      <c r="DH1249" s="229"/>
      <c r="DI1249" s="229"/>
      <c r="DJ1249" s="229"/>
      <c r="DK1249" s="229"/>
      <c r="DL1249" s="229"/>
      <c r="DM1249" s="229"/>
      <c r="DN1249" s="229"/>
      <c r="DO1249" s="229"/>
      <c r="DP1249" s="229"/>
      <c r="DQ1249" s="229"/>
      <c r="DR1249" s="229"/>
      <c r="DS1249" s="229"/>
      <c r="DT1249" s="229"/>
      <c r="DU1249" s="229"/>
      <c r="DV1249" s="229"/>
      <c r="DW1249" s="229"/>
      <c r="DX1249" s="229"/>
      <c r="DY1249" s="229"/>
      <c r="DZ1249" s="229"/>
      <c r="EA1249" s="229"/>
      <c r="EB1249" s="229"/>
      <c r="EC1249" s="229"/>
      <c r="ED1249" s="229"/>
      <c r="EE1249" s="229"/>
      <c r="EF1249" s="229"/>
      <c r="EG1249" s="229"/>
      <c r="EH1249" s="229"/>
      <c r="EI1249" s="229"/>
      <c r="EJ1249" s="229"/>
      <c r="EK1249" s="229"/>
      <c r="EL1249" s="229"/>
      <c r="EM1249" s="234"/>
      <c r="EN1249" s="234"/>
      <c r="EO1249" s="234"/>
      <c r="EP1249" s="233"/>
      <c r="EQ1249" s="233"/>
    </row>
    <row r="1250" spans="2:147" ht="11.25" customHeight="1">
      <c r="B1250" s="228"/>
      <c r="C1250" s="229"/>
      <c r="D1250" s="229"/>
      <c r="E1250" s="229"/>
      <c r="F1250" s="229"/>
      <c r="G1250" s="229"/>
      <c r="H1250" s="229"/>
      <c r="I1250" s="229"/>
      <c r="J1250" s="229"/>
      <c r="K1250" s="229"/>
      <c r="L1250" s="296"/>
      <c r="M1250" s="296"/>
      <c r="N1250" s="296"/>
      <c r="O1250" s="229"/>
      <c r="P1250" s="229"/>
      <c r="Q1250" s="229"/>
      <c r="R1250" s="229"/>
      <c r="S1250" s="229"/>
      <c r="T1250" s="229"/>
      <c r="U1250" s="229"/>
      <c r="V1250" s="229"/>
      <c r="W1250" s="229"/>
      <c r="X1250" s="229"/>
      <c r="Y1250" s="229"/>
      <c r="Z1250" s="229"/>
      <c r="AA1250" s="229"/>
      <c r="AB1250" s="229"/>
      <c r="AC1250" s="229"/>
      <c r="AD1250" s="229"/>
      <c r="AE1250" s="229"/>
      <c r="AF1250" s="229"/>
      <c r="AG1250" s="229"/>
      <c r="AH1250" s="229"/>
      <c r="AI1250" s="229"/>
      <c r="AJ1250" s="229"/>
      <c r="AK1250" s="229"/>
      <c r="AL1250" s="229"/>
      <c r="AM1250" s="229"/>
      <c r="AN1250" s="229"/>
      <c r="AO1250" s="229"/>
      <c r="AP1250" s="229"/>
      <c r="AQ1250" s="229"/>
      <c r="AR1250" s="229"/>
      <c r="AS1250" s="229"/>
      <c r="AT1250" s="229"/>
      <c r="AU1250" s="229"/>
      <c r="AV1250" s="229"/>
      <c r="AW1250" s="229"/>
      <c r="AX1250" s="229"/>
      <c r="AY1250" s="229"/>
      <c r="AZ1250" s="229"/>
      <c r="BA1250" s="229"/>
      <c r="BB1250" s="229"/>
      <c r="BC1250" s="229"/>
      <c r="BD1250" s="229"/>
      <c r="BE1250" s="229"/>
      <c r="BF1250" s="229"/>
      <c r="BG1250" s="229"/>
      <c r="BH1250" s="229"/>
      <c r="BI1250" s="229"/>
      <c r="BJ1250" s="229"/>
      <c r="BK1250" s="229"/>
      <c r="BL1250" s="229"/>
      <c r="BM1250" s="229"/>
      <c r="BN1250" s="229"/>
      <c r="BO1250" s="229"/>
      <c r="BP1250" s="229"/>
      <c r="BQ1250" s="229"/>
      <c r="BR1250" s="229"/>
      <c r="BS1250" s="296"/>
      <c r="BT1250" s="229"/>
      <c r="BU1250" s="229"/>
      <c r="BV1250" s="229"/>
      <c r="BW1250" s="229"/>
      <c r="BX1250" s="229"/>
      <c r="BY1250" s="229"/>
      <c r="BZ1250" s="229"/>
      <c r="CA1250" s="229"/>
      <c r="CB1250" s="229"/>
      <c r="CC1250" s="229"/>
      <c r="CD1250" s="229"/>
      <c r="CE1250" s="229"/>
      <c r="CF1250" s="229"/>
      <c r="CG1250" s="229"/>
      <c r="CH1250" s="229"/>
      <c r="CI1250" s="229"/>
      <c r="CJ1250" s="229"/>
      <c r="CK1250" s="229"/>
      <c r="CL1250" s="229"/>
      <c r="CM1250" s="229"/>
      <c r="CN1250" s="229"/>
      <c r="CO1250" s="229"/>
      <c r="CP1250" s="229"/>
      <c r="CQ1250" s="229"/>
      <c r="CR1250" s="229"/>
      <c r="CS1250" s="229"/>
      <c r="CT1250" s="229"/>
      <c r="CU1250" s="229"/>
      <c r="CV1250" s="229"/>
      <c r="CW1250" s="229"/>
      <c r="CX1250" s="229"/>
      <c r="CY1250" s="229"/>
      <c r="CZ1250" s="229"/>
      <c r="DA1250" s="229"/>
      <c r="DB1250" s="229"/>
      <c r="DC1250" s="229"/>
      <c r="DD1250" s="229"/>
      <c r="DE1250" s="229"/>
      <c r="DF1250" s="229"/>
      <c r="DG1250" s="229"/>
      <c r="DH1250" s="229"/>
      <c r="DI1250" s="229"/>
      <c r="DJ1250" s="229"/>
      <c r="DK1250" s="229"/>
      <c r="DL1250" s="229"/>
      <c r="DM1250" s="229"/>
      <c r="DN1250" s="229"/>
      <c r="DO1250" s="229"/>
      <c r="DP1250" s="229"/>
      <c r="DQ1250" s="229"/>
      <c r="DR1250" s="229"/>
      <c r="DS1250" s="229"/>
      <c r="DT1250" s="229"/>
      <c r="DU1250" s="229"/>
      <c r="DV1250" s="229"/>
      <c r="DW1250" s="229"/>
      <c r="DX1250" s="229"/>
      <c r="DY1250" s="229"/>
      <c r="DZ1250" s="229"/>
      <c r="EA1250" s="229"/>
      <c r="EB1250" s="229"/>
      <c r="EC1250" s="229"/>
      <c r="ED1250" s="229"/>
      <c r="EE1250" s="229"/>
      <c r="EF1250" s="229"/>
      <c r="EG1250" s="229"/>
      <c r="EH1250" s="229"/>
      <c r="EI1250" s="229"/>
      <c r="EJ1250" s="229"/>
      <c r="EK1250" s="229"/>
      <c r="EL1250" s="229"/>
      <c r="EM1250" s="234"/>
      <c r="EN1250" s="234"/>
      <c r="EO1250" s="234"/>
      <c r="EP1250" s="233"/>
      <c r="EQ1250" s="233"/>
    </row>
    <row r="1251" spans="2:147" ht="11.25" customHeight="1">
      <c r="B1251" s="228"/>
      <c r="C1251" s="229"/>
      <c r="D1251" s="229"/>
      <c r="E1251" s="229"/>
      <c r="F1251" s="229"/>
      <c r="G1251" s="229"/>
      <c r="H1251" s="229"/>
      <c r="I1251" s="229"/>
      <c r="J1251" s="229"/>
      <c r="K1251" s="229"/>
      <c r="L1251" s="296"/>
      <c r="M1251" s="296"/>
      <c r="N1251" s="296"/>
      <c r="O1251" s="229"/>
      <c r="P1251" s="229"/>
      <c r="Q1251" s="229"/>
      <c r="R1251" s="229"/>
      <c r="S1251" s="229"/>
      <c r="T1251" s="229"/>
      <c r="U1251" s="229"/>
      <c r="V1251" s="229"/>
      <c r="W1251" s="229"/>
      <c r="X1251" s="229"/>
      <c r="Y1251" s="229"/>
      <c r="Z1251" s="229"/>
      <c r="AA1251" s="229"/>
      <c r="AB1251" s="229"/>
      <c r="AC1251" s="229"/>
      <c r="AD1251" s="229"/>
      <c r="AE1251" s="229"/>
      <c r="AF1251" s="229"/>
      <c r="AG1251" s="229"/>
      <c r="AH1251" s="229"/>
      <c r="AI1251" s="229"/>
      <c r="AJ1251" s="229"/>
      <c r="AK1251" s="229"/>
      <c r="AL1251" s="229"/>
      <c r="AM1251" s="229"/>
      <c r="AN1251" s="229"/>
      <c r="AO1251" s="229"/>
      <c r="AP1251" s="229"/>
      <c r="AQ1251" s="229"/>
      <c r="AR1251" s="229"/>
      <c r="AS1251" s="229"/>
      <c r="AT1251" s="229"/>
      <c r="AU1251" s="229"/>
      <c r="AV1251" s="229"/>
      <c r="AW1251" s="229"/>
      <c r="AX1251" s="229"/>
      <c r="AY1251" s="229"/>
      <c r="AZ1251" s="229"/>
      <c r="BA1251" s="229"/>
      <c r="BB1251" s="229"/>
      <c r="BC1251" s="229"/>
      <c r="BD1251" s="229"/>
      <c r="BE1251" s="229"/>
      <c r="BF1251" s="229"/>
      <c r="BG1251" s="229"/>
      <c r="BH1251" s="229"/>
      <c r="BI1251" s="229"/>
      <c r="BJ1251" s="229"/>
      <c r="BK1251" s="229"/>
      <c r="BL1251" s="229"/>
      <c r="BM1251" s="229"/>
      <c r="BN1251" s="229"/>
      <c r="BO1251" s="229"/>
      <c r="BP1251" s="229"/>
      <c r="BQ1251" s="229"/>
      <c r="BR1251" s="229"/>
      <c r="BS1251" s="296"/>
      <c r="BT1251" s="229"/>
      <c r="BU1251" s="229"/>
      <c r="BV1251" s="229"/>
      <c r="BW1251" s="229"/>
      <c r="BX1251" s="229"/>
      <c r="BY1251" s="229"/>
      <c r="BZ1251" s="229"/>
      <c r="CA1251" s="229"/>
      <c r="CB1251" s="229"/>
      <c r="CC1251" s="229"/>
      <c r="CD1251" s="229"/>
      <c r="CE1251" s="229"/>
      <c r="CF1251" s="229"/>
      <c r="CG1251" s="229"/>
      <c r="CH1251" s="229"/>
      <c r="CI1251" s="229"/>
      <c r="CJ1251" s="229"/>
      <c r="CK1251" s="229"/>
      <c r="CL1251" s="229"/>
      <c r="CM1251" s="229"/>
      <c r="CN1251" s="229"/>
      <c r="CO1251" s="229"/>
      <c r="CP1251" s="229"/>
      <c r="CQ1251" s="229"/>
      <c r="CR1251" s="229"/>
      <c r="CS1251" s="229"/>
      <c r="CT1251" s="229"/>
      <c r="CU1251" s="229"/>
      <c r="CV1251" s="229"/>
      <c r="CW1251" s="229"/>
      <c r="CX1251" s="229"/>
      <c r="CY1251" s="229"/>
      <c r="CZ1251" s="229"/>
      <c r="DA1251" s="229"/>
      <c r="DB1251" s="229"/>
      <c r="DC1251" s="229"/>
      <c r="DD1251" s="229"/>
      <c r="DE1251" s="229"/>
      <c r="DF1251" s="229"/>
      <c r="DG1251" s="229"/>
      <c r="DH1251" s="229"/>
      <c r="DI1251" s="229"/>
      <c r="DJ1251" s="229"/>
      <c r="DK1251" s="229"/>
      <c r="DL1251" s="229"/>
      <c r="DM1251" s="229"/>
      <c r="DN1251" s="229"/>
      <c r="DO1251" s="229"/>
      <c r="DP1251" s="229"/>
      <c r="DQ1251" s="229"/>
      <c r="DR1251" s="229"/>
      <c r="DS1251" s="229"/>
      <c r="DT1251" s="229"/>
      <c r="DU1251" s="229"/>
      <c r="DV1251" s="229"/>
      <c r="DW1251" s="229"/>
      <c r="DX1251" s="229"/>
      <c r="DY1251" s="229"/>
      <c r="DZ1251" s="229"/>
      <c r="EA1251" s="229"/>
      <c r="EB1251" s="229"/>
      <c r="EC1251" s="229"/>
      <c r="ED1251" s="229"/>
      <c r="EE1251" s="229"/>
      <c r="EF1251" s="229"/>
      <c r="EG1251" s="229"/>
      <c r="EH1251" s="229"/>
      <c r="EI1251" s="229"/>
      <c r="EJ1251" s="229"/>
      <c r="EK1251" s="229"/>
      <c r="EL1251" s="229"/>
      <c r="EM1251" s="234"/>
      <c r="EN1251" s="234"/>
      <c r="EO1251" s="234"/>
      <c r="EP1251" s="233"/>
      <c r="EQ1251" s="233"/>
    </row>
    <row r="1252" spans="2:147" ht="11.25" customHeight="1">
      <c r="B1252" s="228"/>
      <c r="C1252" s="229"/>
      <c r="D1252" s="229"/>
      <c r="E1252" s="229"/>
      <c r="F1252" s="229"/>
      <c r="G1252" s="229"/>
      <c r="H1252" s="229"/>
      <c r="I1252" s="229"/>
      <c r="J1252" s="229"/>
      <c r="K1252" s="229"/>
      <c r="L1252" s="296"/>
      <c r="M1252" s="296"/>
      <c r="N1252" s="296"/>
      <c r="O1252" s="229"/>
      <c r="P1252" s="229"/>
      <c r="Q1252" s="229"/>
      <c r="R1252" s="229"/>
      <c r="S1252" s="229"/>
      <c r="T1252" s="229"/>
      <c r="U1252" s="229"/>
      <c r="V1252" s="229"/>
      <c r="W1252" s="229"/>
      <c r="X1252" s="229"/>
      <c r="Y1252" s="229"/>
      <c r="Z1252" s="229"/>
      <c r="AA1252" s="229"/>
      <c r="AB1252" s="229"/>
      <c r="AC1252" s="229"/>
      <c r="AD1252" s="229"/>
      <c r="AE1252" s="229"/>
      <c r="AF1252" s="229"/>
      <c r="AG1252" s="229"/>
      <c r="AH1252" s="229"/>
      <c r="AI1252" s="229"/>
      <c r="AJ1252" s="229"/>
      <c r="AK1252" s="229"/>
      <c r="AL1252" s="229"/>
      <c r="AM1252" s="229"/>
      <c r="AN1252" s="229"/>
      <c r="AO1252" s="229"/>
      <c r="AP1252" s="229"/>
      <c r="AQ1252" s="229"/>
      <c r="AR1252" s="229"/>
      <c r="AS1252" s="229"/>
      <c r="AT1252" s="229"/>
      <c r="AU1252" s="229"/>
      <c r="AV1252" s="229"/>
      <c r="AW1252" s="229"/>
      <c r="AX1252" s="229"/>
      <c r="AY1252" s="229"/>
      <c r="AZ1252" s="229"/>
      <c r="BA1252" s="229"/>
      <c r="BB1252" s="229"/>
      <c r="BC1252" s="229"/>
      <c r="BD1252" s="229"/>
      <c r="BE1252" s="229"/>
      <c r="BF1252" s="229"/>
      <c r="BG1252" s="229"/>
      <c r="BH1252" s="229"/>
      <c r="BI1252" s="229"/>
      <c r="BJ1252" s="229"/>
      <c r="BK1252" s="229"/>
      <c r="BL1252" s="229"/>
      <c r="BM1252" s="229"/>
      <c r="BN1252" s="229"/>
      <c r="BO1252" s="229"/>
      <c r="BP1252" s="229"/>
      <c r="BQ1252" s="229"/>
      <c r="BR1252" s="229"/>
      <c r="BS1252" s="296"/>
      <c r="BT1252" s="229"/>
      <c r="BU1252" s="229"/>
      <c r="BV1252" s="229"/>
      <c r="BW1252" s="229"/>
      <c r="BX1252" s="229"/>
      <c r="BY1252" s="229"/>
      <c r="BZ1252" s="229"/>
      <c r="CA1252" s="229"/>
      <c r="CB1252" s="229"/>
      <c r="CC1252" s="229"/>
      <c r="CD1252" s="229"/>
      <c r="CE1252" s="229"/>
      <c r="CF1252" s="229"/>
      <c r="CG1252" s="229"/>
      <c r="CH1252" s="229"/>
      <c r="CI1252" s="229"/>
      <c r="CJ1252" s="229"/>
      <c r="CK1252" s="229"/>
      <c r="CL1252" s="229"/>
      <c r="CM1252" s="229"/>
      <c r="CN1252" s="229"/>
      <c r="CO1252" s="229"/>
      <c r="CP1252" s="229"/>
      <c r="CQ1252" s="229"/>
      <c r="CR1252" s="229"/>
      <c r="CS1252" s="229"/>
      <c r="CT1252" s="229"/>
      <c r="CU1252" s="229"/>
      <c r="CV1252" s="229"/>
      <c r="CW1252" s="229"/>
      <c r="CX1252" s="229"/>
      <c r="CY1252" s="229"/>
      <c r="CZ1252" s="229"/>
      <c r="DA1252" s="229"/>
      <c r="DB1252" s="229"/>
      <c r="DC1252" s="229"/>
      <c r="DD1252" s="229"/>
      <c r="DE1252" s="229"/>
      <c r="DF1252" s="229"/>
      <c r="DG1252" s="229"/>
      <c r="DH1252" s="229"/>
      <c r="DI1252" s="229"/>
      <c r="DJ1252" s="229"/>
      <c r="DK1252" s="229"/>
      <c r="DL1252" s="229"/>
      <c r="DM1252" s="229"/>
      <c r="DN1252" s="229"/>
      <c r="DO1252" s="229"/>
      <c r="DP1252" s="229"/>
      <c r="DQ1252" s="229"/>
      <c r="DR1252" s="229"/>
      <c r="DS1252" s="229"/>
      <c r="DT1252" s="229"/>
      <c r="DU1252" s="229"/>
      <c r="DV1252" s="229"/>
      <c r="DW1252" s="229"/>
      <c r="DX1252" s="229"/>
      <c r="DY1252" s="229"/>
      <c r="DZ1252" s="229"/>
      <c r="EA1252" s="229"/>
      <c r="EB1252" s="229"/>
      <c r="EC1252" s="229"/>
      <c r="ED1252" s="229"/>
      <c r="EE1252" s="229"/>
      <c r="EF1252" s="229"/>
      <c r="EG1252" s="229"/>
      <c r="EH1252" s="229"/>
      <c r="EI1252" s="229"/>
      <c r="EJ1252" s="229"/>
      <c r="EK1252" s="229"/>
      <c r="EL1252" s="229"/>
      <c r="EM1252" s="234"/>
      <c r="EN1252" s="234"/>
      <c r="EO1252" s="234"/>
      <c r="EP1252" s="233"/>
      <c r="EQ1252" s="233"/>
    </row>
    <row r="1253" spans="2:147" ht="11.25" customHeight="1">
      <c r="B1253" s="228"/>
      <c r="C1253" s="229"/>
      <c r="D1253" s="229"/>
      <c r="E1253" s="229"/>
      <c r="F1253" s="229"/>
      <c r="G1253" s="229"/>
      <c r="H1253" s="229"/>
      <c r="I1253" s="229"/>
      <c r="J1253" s="229"/>
      <c r="K1253" s="229"/>
      <c r="L1253" s="296"/>
      <c r="M1253" s="296"/>
      <c r="N1253" s="296"/>
      <c r="O1253" s="229"/>
      <c r="P1253" s="229"/>
      <c r="Q1253" s="229"/>
      <c r="R1253" s="229"/>
      <c r="S1253" s="229"/>
      <c r="T1253" s="229"/>
      <c r="U1253" s="229"/>
      <c r="V1253" s="229"/>
      <c r="W1253" s="229"/>
      <c r="X1253" s="229"/>
      <c r="Y1253" s="229"/>
      <c r="Z1253" s="229"/>
      <c r="AA1253" s="229"/>
      <c r="AB1253" s="229"/>
      <c r="AC1253" s="229"/>
      <c r="AD1253" s="229"/>
      <c r="AE1253" s="229"/>
      <c r="AF1253" s="229"/>
      <c r="AG1253" s="229"/>
      <c r="AH1253" s="229"/>
      <c r="AI1253" s="229"/>
      <c r="AJ1253" s="229"/>
      <c r="AK1253" s="229"/>
      <c r="AL1253" s="229"/>
      <c r="AM1253" s="229"/>
      <c r="AN1253" s="229"/>
      <c r="AO1253" s="229"/>
      <c r="AP1253" s="229"/>
      <c r="AQ1253" s="229"/>
      <c r="AR1253" s="229"/>
      <c r="AS1253" s="229"/>
      <c r="AT1253" s="229"/>
      <c r="AU1253" s="229"/>
      <c r="AV1253" s="229"/>
      <c r="AW1253" s="229"/>
      <c r="AX1253" s="229"/>
      <c r="AY1253" s="229"/>
      <c r="AZ1253" s="229"/>
      <c r="BA1253" s="229"/>
      <c r="BB1253" s="229"/>
      <c r="BC1253" s="229"/>
      <c r="BD1253" s="229"/>
      <c r="BE1253" s="229"/>
      <c r="BF1253" s="229"/>
      <c r="BG1253" s="229"/>
      <c r="BH1253" s="229"/>
      <c r="BI1253" s="229"/>
      <c r="BJ1253" s="229"/>
      <c r="BK1253" s="229"/>
      <c r="BL1253" s="229"/>
      <c r="BM1253" s="229"/>
      <c r="BN1253" s="229"/>
      <c r="BO1253" s="229"/>
      <c r="BP1253" s="229"/>
      <c r="BQ1253" s="229"/>
      <c r="BR1253" s="229"/>
      <c r="BS1253" s="296"/>
      <c r="BT1253" s="229"/>
      <c r="BU1253" s="229"/>
      <c r="BV1253" s="229"/>
      <c r="BW1253" s="229"/>
      <c r="BX1253" s="229"/>
      <c r="BY1253" s="229"/>
      <c r="BZ1253" s="229"/>
      <c r="CA1253" s="229"/>
      <c r="CB1253" s="229"/>
      <c r="CC1253" s="229"/>
      <c r="CD1253" s="229"/>
      <c r="CE1253" s="229"/>
      <c r="CF1253" s="229"/>
      <c r="CG1253" s="229"/>
      <c r="CH1253" s="229"/>
      <c r="CI1253" s="229"/>
      <c r="CJ1253" s="229"/>
      <c r="CK1253" s="229"/>
      <c r="CL1253" s="229"/>
      <c r="CM1253" s="229"/>
      <c r="CN1253" s="229"/>
      <c r="CO1253" s="229"/>
      <c r="CP1253" s="229"/>
      <c r="CQ1253" s="229"/>
      <c r="CR1253" s="229"/>
      <c r="CS1253" s="229"/>
      <c r="CT1253" s="229"/>
      <c r="CU1253" s="229"/>
      <c r="CV1253" s="229"/>
      <c r="CW1253" s="229"/>
      <c r="CX1253" s="229"/>
      <c r="CY1253" s="229"/>
      <c r="CZ1253" s="229"/>
      <c r="DA1253" s="229"/>
      <c r="DB1253" s="229"/>
      <c r="DC1253" s="229"/>
      <c r="DD1253" s="229"/>
      <c r="DE1253" s="229"/>
      <c r="DF1253" s="229"/>
      <c r="DG1253" s="229"/>
      <c r="DH1253" s="229"/>
      <c r="DI1253" s="229"/>
      <c r="DJ1253" s="229"/>
      <c r="DK1253" s="229"/>
      <c r="DL1253" s="229"/>
      <c r="DM1253" s="229"/>
      <c r="DN1253" s="229"/>
      <c r="DO1253" s="229"/>
      <c r="DP1253" s="229"/>
      <c r="DQ1253" s="229"/>
      <c r="DR1253" s="229"/>
      <c r="DS1253" s="229"/>
      <c r="DT1253" s="229"/>
      <c r="DU1253" s="229"/>
      <c r="DV1253" s="229"/>
      <c r="DW1253" s="229"/>
      <c r="DX1253" s="229"/>
      <c r="DY1253" s="229"/>
      <c r="DZ1253" s="229"/>
      <c r="EA1253" s="229"/>
      <c r="EB1253" s="229"/>
      <c r="EC1253" s="229"/>
      <c r="ED1253" s="229"/>
      <c r="EE1253" s="229"/>
      <c r="EF1253" s="229"/>
      <c r="EG1253" s="229"/>
      <c r="EH1253" s="229"/>
      <c r="EI1253" s="229"/>
      <c r="EJ1253" s="229"/>
      <c r="EK1253" s="229"/>
      <c r="EL1253" s="229"/>
      <c r="EM1253" s="234"/>
      <c r="EN1253" s="234"/>
      <c r="EO1253" s="234"/>
      <c r="EP1253" s="233"/>
      <c r="EQ1253" s="233"/>
    </row>
    <row r="1254" spans="2:147" ht="11.25" customHeight="1">
      <c r="B1254" s="228"/>
      <c r="C1254" s="229"/>
      <c r="D1254" s="229"/>
      <c r="E1254" s="229"/>
      <c r="F1254" s="229"/>
      <c r="G1254" s="229"/>
      <c r="H1254" s="229"/>
      <c r="I1254" s="229"/>
      <c r="J1254" s="229"/>
      <c r="K1254" s="229"/>
      <c r="L1254" s="296"/>
      <c r="M1254" s="296"/>
      <c r="N1254" s="296"/>
      <c r="O1254" s="229"/>
      <c r="P1254" s="229"/>
      <c r="Q1254" s="229"/>
      <c r="R1254" s="229"/>
      <c r="S1254" s="229"/>
      <c r="T1254" s="229"/>
      <c r="U1254" s="229"/>
      <c r="V1254" s="229"/>
      <c r="W1254" s="229"/>
      <c r="X1254" s="229"/>
      <c r="Y1254" s="229"/>
      <c r="Z1254" s="229"/>
      <c r="AA1254" s="229"/>
      <c r="AB1254" s="229"/>
      <c r="AC1254" s="229"/>
      <c r="AD1254" s="229"/>
      <c r="AE1254" s="229"/>
      <c r="AF1254" s="229"/>
      <c r="AG1254" s="229"/>
      <c r="AH1254" s="229"/>
      <c r="AI1254" s="229"/>
      <c r="AJ1254" s="229"/>
      <c r="AK1254" s="229"/>
      <c r="AL1254" s="229"/>
      <c r="AM1254" s="229"/>
      <c r="AN1254" s="229"/>
      <c r="AO1254" s="229"/>
      <c r="AP1254" s="229"/>
      <c r="AQ1254" s="229"/>
      <c r="AR1254" s="229"/>
      <c r="AS1254" s="229"/>
      <c r="AT1254" s="229"/>
      <c r="AU1254" s="229"/>
      <c r="AV1254" s="229"/>
      <c r="AW1254" s="229"/>
      <c r="AX1254" s="229"/>
      <c r="AY1254" s="229"/>
      <c r="AZ1254" s="229"/>
      <c r="BA1254" s="229"/>
      <c r="BB1254" s="229"/>
      <c r="BC1254" s="229"/>
      <c r="BD1254" s="229"/>
      <c r="BE1254" s="229"/>
      <c r="BF1254" s="229"/>
      <c r="BG1254" s="229"/>
      <c r="BH1254" s="229"/>
      <c r="BI1254" s="229"/>
      <c r="BJ1254" s="229"/>
      <c r="BK1254" s="229"/>
      <c r="BL1254" s="229"/>
      <c r="BM1254" s="229"/>
      <c r="BN1254" s="229"/>
      <c r="BO1254" s="229"/>
      <c r="BP1254" s="229"/>
      <c r="BQ1254" s="229"/>
      <c r="BR1254" s="229"/>
      <c r="BS1254" s="296"/>
      <c r="BT1254" s="229"/>
      <c r="BU1254" s="229"/>
      <c r="BV1254" s="229"/>
      <c r="BW1254" s="229"/>
      <c r="BX1254" s="229"/>
      <c r="BY1254" s="229"/>
      <c r="BZ1254" s="229"/>
      <c r="CA1254" s="229"/>
      <c r="CB1254" s="229"/>
      <c r="CC1254" s="229"/>
      <c r="CD1254" s="229"/>
      <c r="CE1254" s="229"/>
      <c r="CF1254" s="229"/>
      <c r="CG1254" s="229"/>
      <c r="CH1254" s="229"/>
      <c r="CI1254" s="229"/>
      <c r="CJ1254" s="229"/>
      <c r="CK1254" s="229"/>
      <c r="CL1254" s="229"/>
      <c r="CM1254" s="229"/>
      <c r="CN1254" s="229"/>
      <c r="CO1254" s="229"/>
      <c r="CP1254" s="229"/>
      <c r="CQ1254" s="229"/>
      <c r="CR1254" s="229"/>
      <c r="CS1254" s="229"/>
      <c r="CT1254" s="229"/>
      <c r="CU1254" s="229"/>
      <c r="CV1254" s="229"/>
      <c r="CW1254" s="229"/>
      <c r="CX1254" s="229"/>
      <c r="CY1254" s="229"/>
      <c r="CZ1254" s="229"/>
      <c r="DA1254" s="229"/>
      <c r="DB1254" s="229"/>
      <c r="DC1254" s="229"/>
      <c r="DD1254" s="229"/>
      <c r="DE1254" s="229"/>
      <c r="DF1254" s="229"/>
      <c r="DG1254" s="229"/>
      <c r="DH1254" s="229"/>
      <c r="DI1254" s="229"/>
      <c r="DJ1254" s="229"/>
      <c r="DK1254" s="229"/>
      <c r="DL1254" s="229"/>
      <c r="DM1254" s="229"/>
      <c r="DN1254" s="229"/>
      <c r="DO1254" s="229"/>
      <c r="DP1254" s="229"/>
      <c r="DQ1254" s="229"/>
      <c r="DR1254" s="229"/>
      <c r="DS1254" s="229"/>
      <c r="DT1254" s="229"/>
      <c r="DU1254" s="229"/>
      <c r="DV1254" s="229"/>
      <c r="DW1254" s="229"/>
      <c r="DX1254" s="229"/>
      <c r="DY1254" s="229"/>
      <c r="DZ1254" s="229"/>
      <c r="EA1254" s="229"/>
      <c r="EB1254" s="229"/>
      <c r="EC1254" s="229"/>
      <c r="ED1254" s="229"/>
      <c r="EE1254" s="229"/>
      <c r="EF1254" s="229"/>
      <c r="EG1254" s="229"/>
      <c r="EH1254" s="229"/>
      <c r="EI1254" s="229"/>
      <c r="EJ1254" s="229"/>
      <c r="EK1254" s="229"/>
      <c r="EL1254" s="229"/>
      <c r="EM1254" s="234"/>
      <c r="EN1254" s="234"/>
      <c r="EO1254" s="234"/>
      <c r="EP1254" s="233"/>
      <c r="EQ1254" s="233"/>
    </row>
    <row r="1255" spans="2:147" ht="11.25" customHeight="1">
      <c r="B1255" s="228"/>
      <c r="C1255" s="229"/>
      <c r="D1255" s="229"/>
      <c r="E1255" s="229"/>
      <c r="F1255" s="229"/>
      <c r="G1255" s="229"/>
      <c r="H1255" s="229"/>
      <c r="I1255" s="229"/>
      <c r="J1255" s="229"/>
      <c r="K1255" s="229"/>
      <c r="L1255" s="296"/>
      <c r="M1255" s="296"/>
      <c r="N1255" s="296"/>
      <c r="O1255" s="229"/>
      <c r="P1255" s="229"/>
      <c r="Q1255" s="229"/>
      <c r="R1255" s="229"/>
      <c r="S1255" s="229"/>
      <c r="T1255" s="229"/>
      <c r="U1255" s="229"/>
      <c r="V1255" s="229"/>
      <c r="W1255" s="229"/>
      <c r="X1255" s="229"/>
      <c r="Y1255" s="229"/>
      <c r="Z1255" s="229"/>
      <c r="AA1255" s="229"/>
      <c r="AB1255" s="229"/>
      <c r="AC1255" s="229"/>
      <c r="AD1255" s="229"/>
      <c r="AE1255" s="229"/>
      <c r="AF1255" s="229"/>
      <c r="AG1255" s="229"/>
      <c r="AH1255" s="229"/>
      <c r="AI1255" s="229"/>
      <c r="AJ1255" s="229"/>
      <c r="AK1255" s="229"/>
      <c r="AL1255" s="229"/>
      <c r="AM1255" s="229"/>
      <c r="AN1255" s="229"/>
      <c r="AO1255" s="229"/>
      <c r="AP1255" s="229"/>
      <c r="AQ1255" s="229"/>
      <c r="AR1255" s="229"/>
      <c r="AS1255" s="229"/>
      <c r="AT1255" s="229"/>
      <c r="AU1255" s="229"/>
      <c r="AV1255" s="229"/>
      <c r="AW1255" s="229"/>
      <c r="AX1255" s="229"/>
      <c r="AY1255" s="229"/>
      <c r="AZ1255" s="229"/>
      <c r="BA1255" s="229"/>
      <c r="BB1255" s="229"/>
      <c r="BC1255" s="229"/>
      <c r="BD1255" s="229"/>
      <c r="BE1255" s="229"/>
      <c r="BF1255" s="229"/>
      <c r="BG1255" s="229"/>
      <c r="BH1255" s="229"/>
      <c r="BI1255" s="229"/>
      <c r="BJ1255" s="229"/>
      <c r="BK1255" s="229"/>
      <c r="BL1255" s="229"/>
      <c r="BM1255" s="229"/>
      <c r="BN1255" s="229"/>
      <c r="BO1255" s="229"/>
      <c r="BP1255" s="229"/>
      <c r="BQ1255" s="229"/>
      <c r="BR1255" s="229"/>
      <c r="BS1255" s="296"/>
      <c r="BT1255" s="229"/>
      <c r="BU1255" s="229"/>
      <c r="BV1255" s="229"/>
      <c r="BW1255" s="229"/>
      <c r="BX1255" s="229"/>
      <c r="BY1255" s="229"/>
      <c r="BZ1255" s="229"/>
      <c r="CA1255" s="229"/>
      <c r="CB1255" s="229"/>
      <c r="CC1255" s="229"/>
      <c r="CD1255" s="229"/>
      <c r="CE1255" s="229"/>
      <c r="CF1255" s="229"/>
      <c r="CG1255" s="229"/>
      <c r="CH1255" s="229"/>
      <c r="CI1255" s="229"/>
      <c r="CJ1255" s="229"/>
      <c r="CK1255" s="229"/>
      <c r="CL1255" s="229"/>
      <c r="CM1255" s="229"/>
      <c r="CN1255" s="229"/>
      <c r="CO1255" s="229"/>
      <c r="CP1255" s="229"/>
      <c r="CQ1255" s="229"/>
      <c r="CR1255" s="229"/>
      <c r="CS1255" s="229"/>
      <c r="CT1255" s="229"/>
      <c r="CU1255" s="229"/>
      <c r="CV1255" s="229"/>
      <c r="CW1255" s="229"/>
      <c r="CX1255" s="229"/>
      <c r="CY1255" s="229"/>
      <c r="CZ1255" s="229"/>
      <c r="DA1255" s="229"/>
      <c r="DB1255" s="229"/>
      <c r="DC1255" s="229"/>
      <c r="DD1255" s="229"/>
      <c r="DE1255" s="229"/>
      <c r="DF1255" s="229"/>
      <c r="DG1255" s="229"/>
      <c r="DH1255" s="229"/>
      <c r="DI1255" s="229"/>
      <c r="DJ1255" s="229"/>
      <c r="DK1255" s="229"/>
      <c r="DL1255" s="229"/>
      <c r="DM1255" s="229"/>
      <c r="DN1255" s="229"/>
      <c r="DO1255" s="229"/>
      <c r="DP1255" s="229"/>
      <c r="DQ1255" s="229"/>
      <c r="DR1255" s="229"/>
      <c r="DS1255" s="229"/>
      <c r="DT1255" s="229"/>
      <c r="DU1255" s="229"/>
      <c r="DV1255" s="229"/>
      <c r="DW1255" s="229"/>
      <c r="DX1255" s="229"/>
      <c r="DY1255" s="229"/>
      <c r="DZ1255" s="229"/>
      <c r="EA1255" s="229"/>
      <c r="EB1255" s="229"/>
      <c r="EC1255" s="229"/>
      <c r="ED1255" s="229"/>
      <c r="EE1255" s="229"/>
      <c r="EF1255" s="229"/>
      <c r="EG1255" s="229"/>
      <c r="EH1255" s="229"/>
      <c r="EI1255" s="229"/>
      <c r="EJ1255" s="229"/>
      <c r="EK1255" s="229"/>
      <c r="EL1255" s="229"/>
      <c r="EM1255" s="234"/>
      <c r="EN1255" s="234"/>
      <c r="EO1255" s="234"/>
      <c r="EP1255" s="233"/>
      <c r="EQ1255" s="233"/>
    </row>
    <row r="1256" spans="2:147" ht="11.25" customHeight="1">
      <c r="B1256" s="228"/>
      <c r="C1256" s="229"/>
      <c r="D1256" s="229"/>
      <c r="E1256" s="229"/>
      <c r="F1256" s="229"/>
      <c r="G1256" s="229"/>
      <c r="H1256" s="229"/>
      <c r="I1256" s="229"/>
      <c r="J1256" s="229"/>
      <c r="K1256" s="229"/>
      <c r="L1256" s="296"/>
      <c r="M1256" s="296"/>
      <c r="N1256" s="296"/>
      <c r="O1256" s="229"/>
      <c r="P1256" s="229"/>
      <c r="Q1256" s="229"/>
      <c r="R1256" s="229"/>
      <c r="S1256" s="229"/>
      <c r="T1256" s="229"/>
      <c r="U1256" s="229"/>
      <c r="V1256" s="229"/>
      <c r="W1256" s="229"/>
      <c r="X1256" s="229"/>
      <c r="Y1256" s="229"/>
      <c r="Z1256" s="229"/>
      <c r="AA1256" s="229"/>
      <c r="AB1256" s="229"/>
      <c r="AC1256" s="229"/>
      <c r="AD1256" s="229"/>
      <c r="AE1256" s="229"/>
      <c r="AF1256" s="229"/>
      <c r="AG1256" s="229"/>
      <c r="AH1256" s="229"/>
      <c r="AI1256" s="229"/>
      <c r="AJ1256" s="229"/>
      <c r="AK1256" s="229"/>
      <c r="AL1256" s="229"/>
      <c r="AM1256" s="229"/>
      <c r="AN1256" s="229"/>
      <c r="AO1256" s="229"/>
      <c r="AP1256" s="229"/>
      <c r="AQ1256" s="229"/>
      <c r="AR1256" s="229"/>
      <c r="AS1256" s="229"/>
      <c r="AT1256" s="229"/>
      <c r="AU1256" s="229"/>
      <c r="AV1256" s="229"/>
      <c r="AW1256" s="229"/>
      <c r="AX1256" s="229"/>
      <c r="AY1256" s="229"/>
      <c r="AZ1256" s="229"/>
      <c r="BA1256" s="229"/>
      <c r="BB1256" s="229"/>
      <c r="BC1256" s="229"/>
      <c r="BD1256" s="229"/>
      <c r="BE1256" s="229"/>
      <c r="BF1256" s="229"/>
      <c r="BG1256" s="229"/>
      <c r="BH1256" s="229"/>
      <c r="BI1256" s="229"/>
      <c r="BJ1256" s="229"/>
      <c r="BK1256" s="229"/>
      <c r="BL1256" s="229"/>
      <c r="BM1256" s="229"/>
      <c r="BN1256" s="229"/>
      <c r="BO1256" s="229"/>
      <c r="BP1256" s="229"/>
      <c r="BQ1256" s="229"/>
      <c r="BR1256" s="229"/>
      <c r="BS1256" s="296"/>
      <c r="BT1256" s="229"/>
      <c r="BU1256" s="229"/>
      <c r="BV1256" s="229"/>
      <c r="BW1256" s="229"/>
      <c r="BX1256" s="229"/>
      <c r="BY1256" s="229"/>
      <c r="BZ1256" s="229"/>
      <c r="CA1256" s="229"/>
      <c r="CB1256" s="229"/>
      <c r="CC1256" s="229"/>
      <c r="CD1256" s="229"/>
      <c r="CE1256" s="229"/>
      <c r="CF1256" s="229"/>
      <c r="CG1256" s="229"/>
      <c r="CH1256" s="229"/>
      <c r="CI1256" s="229"/>
      <c r="CJ1256" s="229"/>
      <c r="CK1256" s="229"/>
      <c r="CL1256" s="229"/>
      <c r="CM1256" s="229"/>
      <c r="CN1256" s="229"/>
      <c r="CO1256" s="229"/>
      <c r="CP1256" s="229"/>
      <c r="CQ1256" s="229"/>
      <c r="CR1256" s="229"/>
      <c r="CS1256" s="229"/>
      <c r="CT1256" s="229"/>
      <c r="CU1256" s="229"/>
      <c r="CV1256" s="229"/>
      <c r="CW1256" s="229"/>
      <c r="CX1256" s="229"/>
      <c r="CY1256" s="229"/>
      <c r="CZ1256" s="229"/>
      <c r="DA1256" s="229"/>
      <c r="DB1256" s="229"/>
      <c r="DC1256" s="229"/>
      <c r="DD1256" s="229"/>
      <c r="DE1256" s="229"/>
      <c r="DF1256" s="229"/>
      <c r="DG1256" s="229"/>
      <c r="DH1256" s="229"/>
      <c r="DI1256" s="229"/>
      <c r="DJ1256" s="229"/>
      <c r="DK1256" s="229"/>
      <c r="DL1256" s="229"/>
      <c r="DM1256" s="229"/>
      <c r="DN1256" s="229"/>
      <c r="DO1256" s="229"/>
      <c r="DP1256" s="229"/>
      <c r="DQ1256" s="229"/>
      <c r="DR1256" s="229"/>
      <c r="DS1256" s="229"/>
      <c r="DT1256" s="229"/>
      <c r="DU1256" s="229"/>
      <c r="DV1256" s="229"/>
      <c r="DW1256" s="229"/>
      <c r="DX1256" s="229"/>
      <c r="DY1256" s="229"/>
      <c r="DZ1256" s="229"/>
      <c r="EA1256" s="229"/>
      <c r="EB1256" s="229"/>
      <c r="EC1256" s="229"/>
      <c r="ED1256" s="229"/>
      <c r="EE1256" s="229"/>
      <c r="EF1256" s="229"/>
      <c r="EG1256" s="229"/>
      <c r="EH1256" s="229"/>
      <c r="EI1256" s="229"/>
      <c r="EJ1256" s="229"/>
      <c r="EK1256" s="229"/>
      <c r="EL1256" s="229"/>
      <c r="EM1256" s="234"/>
      <c r="EN1256" s="234"/>
      <c r="EO1256" s="234"/>
      <c r="EP1256" s="233"/>
      <c r="EQ1256" s="233"/>
    </row>
    <row r="1257" spans="2:147" ht="11.25" customHeight="1">
      <c r="B1257" s="228"/>
      <c r="C1257" s="229"/>
      <c r="D1257" s="229"/>
      <c r="E1257" s="229"/>
      <c r="F1257" s="229"/>
      <c r="G1257" s="229"/>
      <c r="H1257" s="229"/>
      <c r="I1257" s="229"/>
      <c r="J1257" s="229"/>
      <c r="K1257" s="229"/>
      <c r="L1257" s="296"/>
      <c r="M1257" s="296"/>
      <c r="N1257" s="296"/>
      <c r="O1257" s="229"/>
      <c r="P1257" s="229"/>
      <c r="Q1257" s="229"/>
      <c r="R1257" s="229"/>
      <c r="S1257" s="229"/>
      <c r="T1257" s="229"/>
      <c r="U1257" s="229"/>
      <c r="V1257" s="229"/>
      <c r="W1257" s="229"/>
      <c r="X1257" s="229"/>
      <c r="Y1257" s="229"/>
      <c r="Z1257" s="229"/>
      <c r="AA1257" s="229"/>
      <c r="AB1257" s="229"/>
      <c r="AC1257" s="229"/>
      <c r="AD1257" s="229"/>
      <c r="AE1257" s="229"/>
      <c r="AF1257" s="229"/>
      <c r="AG1257" s="229"/>
      <c r="AH1257" s="229"/>
      <c r="AI1257" s="229"/>
      <c r="AJ1257" s="229"/>
      <c r="AK1257" s="229"/>
      <c r="AL1257" s="229"/>
      <c r="AM1257" s="229"/>
      <c r="AN1257" s="229"/>
      <c r="AO1257" s="229"/>
      <c r="AP1257" s="229"/>
      <c r="AQ1257" s="229"/>
      <c r="AR1257" s="229"/>
      <c r="AS1257" s="229"/>
      <c r="AT1257" s="229"/>
      <c r="AU1257" s="229"/>
      <c r="AV1257" s="229"/>
      <c r="AW1257" s="229"/>
      <c r="AX1257" s="229"/>
      <c r="AY1257" s="229"/>
      <c r="AZ1257" s="229"/>
      <c r="BA1257" s="229"/>
      <c r="BB1257" s="229"/>
      <c r="BC1257" s="229"/>
      <c r="BD1257" s="229"/>
      <c r="BE1257" s="229"/>
      <c r="BF1257" s="229"/>
      <c r="BG1257" s="229"/>
      <c r="BH1257" s="229"/>
      <c r="BI1257" s="229"/>
      <c r="BJ1257" s="229"/>
      <c r="BK1257" s="229"/>
      <c r="BL1257" s="229"/>
      <c r="BM1257" s="229"/>
      <c r="BN1257" s="229"/>
      <c r="BO1257" s="229"/>
      <c r="BP1257" s="229"/>
      <c r="BQ1257" s="229"/>
      <c r="BR1257" s="229"/>
      <c r="BS1257" s="296"/>
      <c r="BT1257" s="229"/>
      <c r="BU1257" s="229"/>
      <c r="BV1257" s="229"/>
      <c r="BW1257" s="229"/>
      <c r="BX1257" s="229"/>
      <c r="BY1257" s="229"/>
      <c r="BZ1257" s="229"/>
      <c r="CA1257" s="229"/>
      <c r="CB1257" s="229"/>
      <c r="CC1257" s="229"/>
      <c r="CD1257" s="229"/>
      <c r="CE1257" s="229"/>
      <c r="CF1257" s="229"/>
      <c r="CG1257" s="229"/>
      <c r="CH1257" s="229"/>
      <c r="CI1257" s="229"/>
      <c r="CJ1257" s="229"/>
      <c r="CK1257" s="229"/>
      <c r="CL1257" s="229"/>
      <c r="CM1257" s="229"/>
      <c r="CN1257" s="229"/>
      <c r="CO1257" s="229"/>
      <c r="CP1257" s="229"/>
      <c r="CQ1257" s="229"/>
      <c r="CR1257" s="229"/>
      <c r="CS1257" s="229"/>
      <c r="CT1257" s="229"/>
      <c r="CU1257" s="229"/>
      <c r="CV1257" s="229"/>
      <c r="CW1257" s="229"/>
      <c r="CX1257" s="229"/>
      <c r="CY1257" s="229"/>
      <c r="CZ1257" s="229"/>
      <c r="DA1257" s="229"/>
      <c r="DB1257" s="229"/>
      <c r="DC1257" s="229"/>
      <c r="DD1257" s="229"/>
      <c r="DE1257" s="229"/>
      <c r="DF1257" s="229"/>
      <c r="DG1257" s="229"/>
      <c r="DH1257" s="229"/>
      <c r="DI1257" s="229"/>
      <c r="DJ1257" s="229"/>
      <c r="DK1257" s="229"/>
      <c r="DL1257" s="229"/>
      <c r="DM1257" s="229"/>
      <c r="DN1257" s="229"/>
      <c r="DO1257" s="229"/>
      <c r="DP1257" s="229"/>
      <c r="DQ1257" s="229"/>
      <c r="DR1257" s="229"/>
      <c r="DS1257" s="229"/>
      <c r="DT1257" s="229"/>
      <c r="DU1257" s="229"/>
      <c r="DV1257" s="229"/>
      <c r="DW1257" s="229"/>
      <c r="DX1257" s="229"/>
      <c r="DY1257" s="229"/>
      <c r="DZ1257" s="229"/>
      <c r="EA1257" s="229"/>
      <c r="EB1257" s="229"/>
      <c r="EC1257" s="229"/>
      <c r="ED1257" s="229"/>
      <c r="EE1257" s="229"/>
      <c r="EF1257" s="229"/>
      <c r="EG1257" s="229"/>
      <c r="EH1257" s="229"/>
      <c r="EI1257" s="229"/>
      <c r="EJ1257" s="229"/>
      <c r="EK1257" s="229"/>
      <c r="EL1257" s="229"/>
      <c r="EM1257" s="234"/>
      <c r="EN1257" s="234"/>
      <c r="EO1257" s="234"/>
      <c r="EP1257" s="233"/>
      <c r="EQ1257" s="233"/>
    </row>
    <row r="1258" spans="2:147" ht="11.25" customHeight="1">
      <c r="B1258" s="228"/>
      <c r="C1258" s="229"/>
      <c r="D1258" s="229"/>
      <c r="E1258" s="229"/>
      <c r="F1258" s="229"/>
      <c r="G1258" s="229"/>
      <c r="H1258" s="229"/>
      <c r="I1258" s="229"/>
      <c r="J1258" s="229"/>
      <c r="K1258" s="229"/>
      <c r="L1258" s="296"/>
      <c r="M1258" s="296"/>
      <c r="N1258" s="296"/>
      <c r="O1258" s="229"/>
      <c r="P1258" s="229"/>
      <c r="Q1258" s="229"/>
      <c r="R1258" s="229"/>
      <c r="S1258" s="229"/>
      <c r="T1258" s="229"/>
      <c r="U1258" s="229"/>
      <c r="V1258" s="229"/>
      <c r="W1258" s="229"/>
      <c r="X1258" s="229"/>
      <c r="Y1258" s="229"/>
      <c r="Z1258" s="229"/>
      <c r="AA1258" s="229"/>
      <c r="AB1258" s="229"/>
      <c r="AC1258" s="229"/>
      <c r="AD1258" s="229"/>
      <c r="AE1258" s="229"/>
      <c r="AF1258" s="229"/>
      <c r="AG1258" s="229"/>
      <c r="AH1258" s="229"/>
      <c r="AI1258" s="229"/>
      <c r="AJ1258" s="229"/>
      <c r="AK1258" s="229"/>
      <c r="AL1258" s="229"/>
      <c r="AM1258" s="229"/>
      <c r="AN1258" s="229"/>
      <c r="AO1258" s="229"/>
      <c r="AP1258" s="229"/>
      <c r="AQ1258" s="229"/>
      <c r="AR1258" s="229"/>
      <c r="AS1258" s="229"/>
      <c r="AT1258" s="229"/>
      <c r="AU1258" s="229"/>
      <c r="AV1258" s="229"/>
      <c r="AW1258" s="229"/>
      <c r="AX1258" s="229"/>
      <c r="AY1258" s="229"/>
      <c r="AZ1258" s="229"/>
      <c r="BA1258" s="229"/>
      <c r="BB1258" s="229"/>
      <c r="BC1258" s="229"/>
      <c r="BD1258" s="229"/>
      <c r="BE1258" s="229"/>
      <c r="BF1258" s="229"/>
      <c r="BG1258" s="229"/>
      <c r="BH1258" s="229"/>
      <c r="BI1258" s="229"/>
      <c r="BJ1258" s="229"/>
      <c r="BK1258" s="229"/>
      <c r="BL1258" s="229"/>
      <c r="BM1258" s="229"/>
      <c r="BN1258" s="229"/>
      <c r="BO1258" s="229"/>
      <c r="BP1258" s="229"/>
      <c r="BQ1258" s="229"/>
      <c r="BR1258" s="229"/>
      <c r="BS1258" s="296"/>
      <c r="BT1258" s="229"/>
      <c r="BU1258" s="229"/>
      <c r="BV1258" s="229"/>
      <c r="BW1258" s="229"/>
      <c r="BX1258" s="229"/>
      <c r="BY1258" s="229"/>
      <c r="BZ1258" s="229"/>
      <c r="CA1258" s="229"/>
      <c r="CB1258" s="229"/>
      <c r="CC1258" s="229"/>
      <c r="CD1258" s="229"/>
      <c r="CE1258" s="229"/>
      <c r="CF1258" s="229"/>
      <c r="CG1258" s="229"/>
      <c r="CH1258" s="229"/>
      <c r="CI1258" s="229"/>
      <c r="CJ1258" s="229"/>
      <c r="CK1258" s="229"/>
      <c r="CL1258" s="229"/>
      <c r="CM1258" s="229"/>
      <c r="CN1258" s="229"/>
      <c r="CO1258" s="229"/>
      <c r="CP1258" s="229"/>
      <c r="CQ1258" s="229"/>
      <c r="CR1258" s="229"/>
      <c r="CS1258" s="229"/>
      <c r="CT1258" s="229"/>
      <c r="CU1258" s="229"/>
      <c r="CV1258" s="229"/>
      <c r="CW1258" s="229"/>
      <c r="CX1258" s="229"/>
      <c r="CY1258" s="229"/>
      <c r="CZ1258" s="229"/>
      <c r="DA1258" s="229"/>
      <c r="DB1258" s="229"/>
      <c r="DC1258" s="229"/>
      <c r="DD1258" s="229"/>
      <c r="DE1258" s="229"/>
      <c r="DF1258" s="229"/>
      <c r="DG1258" s="229"/>
      <c r="DH1258" s="229"/>
      <c r="DI1258" s="229"/>
      <c r="DJ1258" s="229"/>
      <c r="DK1258" s="229"/>
      <c r="DL1258" s="229"/>
      <c r="DM1258" s="229"/>
      <c r="DN1258" s="229"/>
      <c r="DO1258" s="229"/>
      <c r="DP1258" s="229"/>
      <c r="DQ1258" s="229"/>
      <c r="DR1258" s="229"/>
      <c r="DS1258" s="229"/>
      <c r="DT1258" s="229"/>
      <c r="DU1258" s="229"/>
      <c r="DV1258" s="229"/>
      <c r="DW1258" s="229"/>
      <c r="DX1258" s="229"/>
      <c r="DY1258" s="229"/>
      <c r="DZ1258" s="229"/>
      <c r="EA1258" s="229"/>
      <c r="EB1258" s="229"/>
      <c r="EC1258" s="229"/>
      <c r="ED1258" s="229"/>
      <c r="EE1258" s="229"/>
      <c r="EF1258" s="229"/>
      <c r="EG1258" s="229"/>
      <c r="EH1258" s="229"/>
      <c r="EI1258" s="229"/>
      <c r="EJ1258" s="229"/>
      <c r="EK1258" s="229"/>
      <c r="EL1258" s="229"/>
      <c r="EM1258" s="234"/>
      <c r="EN1258" s="234"/>
      <c r="EO1258" s="234"/>
      <c r="EP1258" s="233"/>
      <c r="EQ1258" s="233"/>
    </row>
    <row r="1259" spans="2:147" ht="11.25" customHeight="1">
      <c r="B1259" s="228"/>
      <c r="C1259" s="229"/>
      <c r="D1259" s="229"/>
      <c r="E1259" s="229"/>
      <c r="F1259" s="229"/>
      <c r="G1259" s="229"/>
      <c r="H1259" s="229"/>
      <c r="I1259" s="229"/>
      <c r="J1259" s="229"/>
      <c r="K1259" s="229"/>
      <c r="L1259" s="296"/>
      <c r="M1259" s="296"/>
      <c r="N1259" s="296"/>
      <c r="O1259" s="229"/>
      <c r="P1259" s="229"/>
      <c r="Q1259" s="229"/>
      <c r="R1259" s="229"/>
      <c r="S1259" s="229"/>
      <c r="T1259" s="229"/>
      <c r="U1259" s="229"/>
      <c r="V1259" s="229"/>
      <c r="W1259" s="229"/>
      <c r="X1259" s="229"/>
      <c r="Y1259" s="229"/>
      <c r="Z1259" s="229"/>
      <c r="AA1259" s="229"/>
      <c r="AB1259" s="229"/>
      <c r="AC1259" s="229"/>
      <c r="AD1259" s="229"/>
      <c r="AE1259" s="229"/>
      <c r="AF1259" s="229"/>
      <c r="AG1259" s="229"/>
      <c r="AH1259" s="229"/>
      <c r="AI1259" s="229"/>
      <c r="AJ1259" s="229"/>
      <c r="AK1259" s="229"/>
      <c r="AL1259" s="229"/>
      <c r="AM1259" s="229"/>
      <c r="AN1259" s="229"/>
      <c r="AO1259" s="229"/>
      <c r="AP1259" s="229"/>
      <c r="AQ1259" s="229"/>
      <c r="AR1259" s="229"/>
      <c r="AS1259" s="229"/>
      <c r="AT1259" s="229"/>
      <c r="AU1259" s="229"/>
      <c r="AV1259" s="229"/>
      <c r="AW1259" s="229"/>
      <c r="AX1259" s="229"/>
      <c r="AY1259" s="229"/>
      <c r="AZ1259" s="229"/>
      <c r="BA1259" s="229"/>
      <c r="BB1259" s="229"/>
      <c r="BC1259" s="229"/>
      <c r="BD1259" s="229"/>
      <c r="BE1259" s="229"/>
      <c r="BF1259" s="229"/>
      <c r="BG1259" s="229"/>
      <c r="BH1259" s="229"/>
      <c r="BI1259" s="229"/>
      <c r="BJ1259" s="229"/>
      <c r="BK1259" s="229"/>
      <c r="BL1259" s="229"/>
      <c r="BM1259" s="229"/>
      <c r="BN1259" s="229"/>
      <c r="BO1259" s="229"/>
      <c r="BP1259" s="229"/>
      <c r="BQ1259" s="229"/>
      <c r="BR1259" s="229"/>
      <c r="BS1259" s="296"/>
      <c r="BT1259" s="229"/>
      <c r="BU1259" s="229"/>
      <c r="BV1259" s="229"/>
      <c r="BW1259" s="229"/>
      <c r="BX1259" s="229"/>
      <c r="BY1259" s="229"/>
      <c r="BZ1259" s="229"/>
      <c r="CA1259" s="229"/>
      <c r="CB1259" s="229"/>
      <c r="CC1259" s="229"/>
      <c r="CD1259" s="229"/>
      <c r="CE1259" s="229"/>
      <c r="CF1259" s="229"/>
      <c r="CG1259" s="229"/>
      <c r="CH1259" s="229"/>
      <c r="CI1259" s="229"/>
      <c r="CJ1259" s="229"/>
      <c r="CK1259" s="229"/>
      <c r="CL1259" s="229"/>
      <c r="CM1259" s="229"/>
      <c r="CN1259" s="229"/>
      <c r="CO1259" s="229"/>
      <c r="CP1259" s="229"/>
      <c r="CQ1259" s="229"/>
      <c r="CR1259" s="229"/>
      <c r="CS1259" s="229"/>
      <c r="CT1259" s="229"/>
      <c r="CU1259" s="229"/>
      <c r="CV1259" s="229"/>
      <c r="CW1259" s="229"/>
      <c r="CX1259" s="229"/>
      <c r="CY1259" s="229"/>
      <c r="CZ1259" s="229"/>
      <c r="DA1259" s="229"/>
      <c r="DB1259" s="229"/>
      <c r="DC1259" s="229"/>
      <c r="DD1259" s="229"/>
      <c r="DE1259" s="229"/>
      <c r="DF1259" s="229"/>
      <c r="DG1259" s="229"/>
      <c r="DH1259" s="229"/>
      <c r="DI1259" s="229"/>
      <c r="DJ1259" s="229"/>
      <c r="DK1259" s="229"/>
      <c r="DL1259" s="229"/>
      <c r="DM1259" s="229"/>
      <c r="DN1259" s="229"/>
      <c r="DO1259" s="229"/>
      <c r="DP1259" s="229"/>
      <c r="DQ1259" s="229"/>
      <c r="DR1259" s="229"/>
      <c r="DS1259" s="229"/>
      <c r="DT1259" s="229"/>
      <c r="DU1259" s="229"/>
      <c r="DV1259" s="229"/>
      <c r="DW1259" s="229"/>
      <c r="DX1259" s="229"/>
      <c r="DY1259" s="229"/>
      <c r="DZ1259" s="229"/>
      <c r="EA1259" s="229"/>
      <c r="EB1259" s="229"/>
      <c r="EC1259" s="229"/>
      <c r="ED1259" s="229"/>
      <c r="EE1259" s="229"/>
      <c r="EF1259" s="229"/>
      <c r="EG1259" s="229"/>
      <c r="EH1259" s="229"/>
      <c r="EI1259" s="229"/>
      <c r="EJ1259" s="229"/>
      <c r="EK1259" s="229"/>
      <c r="EL1259" s="229"/>
      <c r="EM1259" s="234"/>
      <c r="EN1259" s="234"/>
      <c r="EO1259" s="234"/>
      <c r="EP1259" s="233"/>
      <c r="EQ1259" s="233"/>
    </row>
    <row r="1260" spans="2:147" ht="11.25" customHeight="1">
      <c r="B1260" s="228"/>
      <c r="C1260" s="229"/>
      <c r="D1260" s="229"/>
      <c r="E1260" s="229"/>
      <c r="F1260" s="229"/>
      <c r="G1260" s="229"/>
      <c r="H1260" s="229"/>
      <c r="I1260" s="229"/>
      <c r="J1260" s="229"/>
      <c r="K1260" s="229"/>
      <c r="L1260" s="296"/>
      <c r="M1260" s="296"/>
      <c r="N1260" s="296"/>
      <c r="O1260" s="229"/>
      <c r="P1260" s="229"/>
      <c r="Q1260" s="229"/>
      <c r="R1260" s="229"/>
      <c r="S1260" s="229"/>
      <c r="T1260" s="229"/>
      <c r="U1260" s="229"/>
      <c r="V1260" s="229"/>
      <c r="W1260" s="229"/>
      <c r="X1260" s="229"/>
      <c r="Y1260" s="229"/>
      <c r="Z1260" s="229"/>
      <c r="AA1260" s="229"/>
      <c r="AB1260" s="229"/>
      <c r="AC1260" s="229"/>
      <c r="AD1260" s="229"/>
      <c r="AE1260" s="229"/>
      <c r="AF1260" s="229"/>
      <c r="AG1260" s="229"/>
      <c r="AH1260" s="229"/>
      <c r="AI1260" s="229"/>
      <c r="AJ1260" s="229"/>
      <c r="AK1260" s="229"/>
      <c r="AL1260" s="229"/>
      <c r="AM1260" s="229"/>
      <c r="AN1260" s="229"/>
      <c r="AO1260" s="229"/>
      <c r="AP1260" s="229"/>
      <c r="AQ1260" s="229"/>
      <c r="AR1260" s="229"/>
      <c r="AS1260" s="229"/>
      <c r="AT1260" s="229"/>
      <c r="AU1260" s="229"/>
      <c r="AV1260" s="229"/>
      <c r="AW1260" s="229"/>
      <c r="AX1260" s="229"/>
      <c r="AY1260" s="229"/>
      <c r="AZ1260" s="229"/>
      <c r="BA1260" s="229"/>
      <c r="BB1260" s="229"/>
      <c r="BC1260" s="229"/>
      <c r="BD1260" s="229"/>
      <c r="BE1260" s="229"/>
      <c r="BF1260" s="229"/>
      <c r="BG1260" s="229"/>
      <c r="BH1260" s="229"/>
      <c r="BI1260" s="229"/>
      <c r="BJ1260" s="229"/>
      <c r="BK1260" s="229"/>
      <c r="BL1260" s="229"/>
      <c r="BM1260" s="229"/>
      <c r="BN1260" s="229"/>
      <c r="BO1260" s="229"/>
      <c r="BP1260" s="229"/>
      <c r="BQ1260" s="229"/>
      <c r="BR1260" s="229"/>
      <c r="BS1260" s="296"/>
      <c r="BT1260" s="229"/>
      <c r="BU1260" s="229"/>
      <c r="BV1260" s="229"/>
      <c r="BW1260" s="229"/>
      <c r="BX1260" s="229"/>
      <c r="BY1260" s="229"/>
      <c r="BZ1260" s="229"/>
      <c r="CA1260" s="229"/>
      <c r="CB1260" s="229"/>
      <c r="CC1260" s="229"/>
      <c r="CD1260" s="229"/>
      <c r="CE1260" s="229"/>
      <c r="CF1260" s="229"/>
      <c r="CG1260" s="229"/>
      <c r="CH1260" s="229"/>
      <c r="CI1260" s="229"/>
      <c r="CJ1260" s="229"/>
      <c r="CK1260" s="229"/>
      <c r="CL1260" s="229"/>
      <c r="CM1260" s="229"/>
      <c r="CN1260" s="229"/>
      <c r="CO1260" s="229"/>
      <c r="CP1260" s="229"/>
      <c r="CQ1260" s="229"/>
      <c r="CR1260" s="229"/>
      <c r="CS1260" s="229"/>
      <c r="CT1260" s="229"/>
      <c r="CU1260" s="229"/>
      <c r="CV1260" s="229"/>
      <c r="CW1260" s="229"/>
      <c r="CX1260" s="229"/>
      <c r="CY1260" s="229"/>
      <c r="CZ1260" s="229"/>
      <c r="DA1260" s="229"/>
      <c r="DB1260" s="229"/>
      <c r="DC1260" s="229"/>
      <c r="DD1260" s="229"/>
      <c r="DE1260" s="229"/>
      <c r="DF1260" s="229"/>
      <c r="DG1260" s="229"/>
      <c r="DH1260" s="229"/>
      <c r="DI1260" s="229"/>
      <c r="DJ1260" s="229"/>
      <c r="DK1260" s="229"/>
      <c r="DL1260" s="229"/>
      <c r="DM1260" s="229"/>
      <c r="DN1260" s="229"/>
      <c r="DO1260" s="229"/>
      <c r="DP1260" s="229"/>
      <c r="DQ1260" s="229"/>
      <c r="DR1260" s="229"/>
      <c r="DS1260" s="229"/>
      <c r="DT1260" s="229"/>
      <c r="DU1260" s="229"/>
      <c r="DV1260" s="229"/>
      <c r="DW1260" s="229"/>
      <c r="DX1260" s="229"/>
      <c r="DY1260" s="229"/>
      <c r="DZ1260" s="229"/>
      <c r="EA1260" s="229"/>
      <c r="EB1260" s="229"/>
      <c r="EC1260" s="229"/>
      <c r="ED1260" s="229"/>
      <c r="EE1260" s="229"/>
      <c r="EF1260" s="229"/>
      <c r="EG1260" s="229"/>
      <c r="EH1260" s="229"/>
      <c r="EI1260" s="229"/>
      <c r="EJ1260" s="229"/>
      <c r="EK1260" s="229"/>
      <c r="EL1260" s="229"/>
      <c r="EM1260" s="234"/>
      <c r="EN1260" s="234"/>
      <c r="EO1260" s="234"/>
      <c r="EP1260" s="233"/>
      <c r="EQ1260" s="233"/>
    </row>
    <row r="1261" spans="2:147" ht="11.25" customHeight="1">
      <c r="B1261" s="228"/>
      <c r="C1261" s="229"/>
      <c r="D1261" s="229"/>
      <c r="E1261" s="229"/>
      <c r="F1261" s="229"/>
      <c r="G1261" s="229"/>
      <c r="H1261" s="229"/>
      <c r="I1261" s="229"/>
      <c r="J1261" s="229"/>
      <c r="K1261" s="229"/>
      <c r="L1261" s="296"/>
      <c r="M1261" s="296"/>
      <c r="N1261" s="296"/>
      <c r="O1261" s="229"/>
      <c r="P1261" s="229"/>
      <c r="Q1261" s="229"/>
      <c r="R1261" s="229"/>
      <c r="S1261" s="229"/>
      <c r="T1261" s="229"/>
      <c r="U1261" s="229"/>
      <c r="V1261" s="229"/>
      <c r="W1261" s="229"/>
      <c r="X1261" s="229"/>
      <c r="Y1261" s="229"/>
      <c r="Z1261" s="229"/>
      <c r="AA1261" s="229"/>
      <c r="AB1261" s="229"/>
      <c r="AC1261" s="229"/>
      <c r="AD1261" s="229"/>
      <c r="AE1261" s="229"/>
      <c r="AF1261" s="229"/>
      <c r="AG1261" s="229"/>
      <c r="AH1261" s="229"/>
      <c r="AI1261" s="229"/>
      <c r="AJ1261" s="229"/>
      <c r="AK1261" s="229"/>
      <c r="AL1261" s="229"/>
      <c r="AM1261" s="229"/>
      <c r="AN1261" s="229"/>
      <c r="AO1261" s="229"/>
      <c r="AP1261" s="229"/>
      <c r="AQ1261" s="229"/>
      <c r="AR1261" s="229"/>
      <c r="AS1261" s="229"/>
      <c r="AT1261" s="229"/>
      <c r="AU1261" s="229"/>
      <c r="AV1261" s="229"/>
      <c r="AW1261" s="229"/>
      <c r="AX1261" s="229"/>
      <c r="AY1261" s="229"/>
      <c r="AZ1261" s="229"/>
      <c r="BA1261" s="229"/>
      <c r="BB1261" s="229"/>
      <c r="BC1261" s="229"/>
      <c r="BD1261" s="229"/>
      <c r="BE1261" s="229"/>
      <c r="BF1261" s="229"/>
      <c r="BG1261" s="229"/>
      <c r="BH1261" s="229"/>
      <c r="BI1261" s="229"/>
      <c r="BJ1261" s="229"/>
      <c r="BK1261" s="229"/>
      <c r="BL1261" s="229"/>
      <c r="BM1261" s="229"/>
      <c r="BN1261" s="229"/>
      <c r="BO1261" s="229"/>
      <c r="BP1261" s="229"/>
      <c r="BQ1261" s="229"/>
      <c r="BR1261" s="229"/>
      <c r="BS1261" s="296"/>
      <c r="BT1261" s="229"/>
      <c r="BU1261" s="229"/>
      <c r="BV1261" s="229"/>
      <c r="BW1261" s="229"/>
      <c r="BX1261" s="229"/>
      <c r="BY1261" s="229"/>
      <c r="BZ1261" s="229"/>
      <c r="CA1261" s="229"/>
      <c r="CB1261" s="229"/>
      <c r="CC1261" s="229"/>
      <c r="CD1261" s="229"/>
      <c r="CE1261" s="229"/>
      <c r="CF1261" s="229"/>
      <c r="CG1261" s="229"/>
      <c r="CH1261" s="229"/>
      <c r="CI1261" s="229"/>
      <c r="CJ1261" s="229"/>
      <c r="CK1261" s="229"/>
      <c r="CL1261" s="229"/>
      <c r="CM1261" s="229"/>
      <c r="CN1261" s="229"/>
      <c r="CO1261" s="229"/>
      <c r="CP1261" s="229"/>
      <c r="CQ1261" s="229"/>
      <c r="CR1261" s="229"/>
      <c r="CS1261" s="229"/>
      <c r="CT1261" s="229"/>
      <c r="CU1261" s="229"/>
      <c r="CV1261" s="229"/>
      <c r="CW1261" s="229"/>
      <c r="CX1261" s="229"/>
      <c r="CY1261" s="229"/>
      <c r="CZ1261" s="229"/>
      <c r="DA1261" s="229"/>
      <c r="DB1261" s="229"/>
      <c r="DC1261" s="229"/>
      <c r="DD1261" s="229"/>
      <c r="DE1261" s="229"/>
      <c r="DF1261" s="229"/>
      <c r="DG1261" s="229"/>
      <c r="DH1261" s="229"/>
      <c r="DI1261" s="229"/>
      <c r="DJ1261" s="229"/>
      <c r="DK1261" s="229"/>
      <c r="DL1261" s="229"/>
      <c r="DM1261" s="229"/>
      <c r="DN1261" s="229"/>
      <c r="DO1261" s="229"/>
      <c r="DP1261" s="229"/>
      <c r="DQ1261" s="229"/>
      <c r="DR1261" s="229"/>
      <c r="DS1261" s="229"/>
      <c r="DT1261" s="229"/>
      <c r="DU1261" s="229"/>
      <c r="DV1261" s="229"/>
      <c r="DW1261" s="229"/>
      <c r="DX1261" s="229"/>
      <c r="DY1261" s="229"/>
      <c r="DZ1261" s="229"/>
      <c r="EA1261" s="229"/>
      <c r="EB1261" s="229"/>
      <c r="EC1261" s="229"/>
      <c r="ED1261" s="229"/>
      <c r="EE1261" s="229"/>
      <c r="EF1261" s="229"/>
      <c r="EG1261" s="229"/>
      <c r="EH1261" s="229"/>
      <c r="EI1261" s="229"/>
      <c r="EJ1261" s="229"/>
      <c r="EK1261" s="229"/>
      <c r="EL1261" s="229"/>
      <c r="EM1261" s="234"/>
      <c r="EN1261" s="234"/>
      <c r="EO1261" s="234"/>
      <c r="EP1261" s="233"/>
      <c r="EQ1261" s="233"/>
    </row>
    <row r="1262" spans="2:147" ht="11.25" customHeight="1">
      <c r="B1262" s="228"/>
      <c r="C1262" s="229"/>
      <c r="D1262" s="229"/>
      <c r="E1262" s="229"/>
      <c r="F1262" s="229"/>
      <c r="G1262" s="229"/>
      <c r="H1262" s="229"/>
      <c r="I1262" s="229"/>
      <c r="J1262" s="229"/>
      <c r="K1262" s="229"/>
      <c r="L1262" s="296"/>
      <c r="M1262" s="296"/>
      <c r="N1262" s="296"/>
      <c r="O1262" s="229"/>
      <c r="P1262" s="229"/>
      <c r="Q1262" s="229"/>
      <c r="R1262" s="229"/>
      <c r="S1262" s="229"/>
      <c r="T1262" s="229"/>
      <c r="U1262" s="229"/>
      <c r="V1262" s="229"/>
      <c r="W1262" s="229"/>
      <c r="X1262" s="229"/>
      <c r="Y1262" s="229"/>
      <c r="Z1262" s="229"/>
      <c r="AA1262" s="229"/>
      <c r="AB1262" s="229"/>
      <c r="AC1262" s="229"/>
      <c r="AD1262" s="229"/>
      <c r="AE1262" s="229"/>
      <c r="AF1262" s="229"/>
      <c r="AG1262" s="229"/>
      <c r="AH1262" s="229"/>
      <c r="AI1262" s="229"/>
      <c r="AJ1262" s="229"/>
      <c r="AK1262" s="229"/>
      <c r="AL1262" s="229"/>
      <c r="AM1262" s="229"/>
      <c r="AN1262" s="229"/>
      <c r="AO1262" s="229"/>
      <c r="AP1262" s="229"/>
      <c r="AQ1262" s="229"/>
      <c r="AR1262" s="229"/>
      <c r="AS1262" s="229"/>
      <c r="AT1262" s="229"/>
      <c r="AU1262" s="229"/>
      <c r="AV1262" s="229"/>
      <c r="AW1262" s="229"/>
      <c r="AX1262" s="229"/>
      <c r="AY1262" s="229"/>
      <c r="AZ1262" s="229"/>
      <c r="BA1262" s="229"/>
      <c r="BB1262" s="229"/>
      <c r="BC1262" s="229"/>
      <c r="BD1262" s="229"/>
      <c r="BE1262" s="229"/>
      <c r="BF1262" s="229"/>
      <c r="BG1262" s="229"/>
      <c r="BH1262" s="229"/>
      <c r="BI1262" s="229"/>
      <c r="BJ1262" s="229"/>
      <c r="BK1262" s="229"/>
      <c r="BL1262" s="229"/>
      <c r="BM1262" s="229"/>
      <c r="BN1262" s="229"/>
      <c r="BO1262" s="229"/>
      <c r="BP1262" s="229"/>
      <c r="BQ1262" s="229"/>
      <c r="BR1262" s="229"/>
      <c r="BS1262" s="296"/>
      <c r="BT1262" s="229"/>
      <c r="BU1262" s="229"/>
      <c r="BV1262" s="229"/>
      <c r="BW1262" s="229"/>
      <c r="BX1262" s="229"/>
      <c r="BY1262" s="229"/>
      <c r="BZ1262" s="229"/>
      <c r="CA1262" s="229"/>
      <c r="CB1262" s="229"/>
      <c r="CC1262" s="229"/>
      <c r="CD1262" s="229"/>
      <c r="CE1262" s="229"/>
      <c r="CF1262" s="229"/>
      <c r="CG1262" s="229"/>
      <c r="CH1262" s="229"/>
      <c r="CI1262" s="229"/>
      <c r="CJ1262" s="229"/>
      <c r="CK1262" s="229"/>
      <c r="CL1262" s="229"/>
      <c r="CM1262" s="229"/>
      <c r="CN1262" s="229"/>
      <c r="CO1262" s="229"/>
      <c r="CP1262" s="229"/>
      <c r="CQ1262" s="229"/>
      <c r="CR1262" s="229"/>
      <c r="CS1262" s="229"/>
      <c r="CT1262" s="229"/>
      <c r="CU1262" s="229"/>
      <c r="CV1262" s="229"/>
      <c r="CW1262" s="229"/>
      <c r="CX1262" s="229"/>
      <c r="CY1262" s="229"/>
      <c r="CZ1262" s="229"/>
      <c r="DA1262" s="229"/>
      <c r="DB1262" s="229"/>
      <c r="DC1262" s="229"/>
      <c r="DD1262" s="229"/>
      <c r="DE1262" s="229"/>
      <c r="DF1262" s="229"/>
      <c r="DG1262" s="229"/>
      <c r="DH1262" s="229"/>
      <c r="DI1262" s="229"/>
      <c r="DJ1262" s="229"/>
      <c r="DK1262" s="229"/>
      <c r="DL1262" s="229"/>
      <c r="DM1262" s="229"/>
      <c r="DN1262" s="229"/>
      <c r="DO1262" s="229"/>
      <c r="DP1262" s="229"/>
      <c r="DQ1262" s="229"/>
      <c r="DR1262" s="229"/>
      <c r="DS1262" s="229"/>
      <c r="DT1262" s="229"/>
      <c r="DU1262" s="229"/>
      <c r="DV1262" s="229"/>
      <c r="DW1262" s="229"/>
      <c r="DX1262" s="229"/>
      <c r="DY1262" s="229"/>
      <c r="DZ1262" s="229"/>
      <c r="EA1262" s="229"/>
      <c r="EB1262" s="229"/>
      <c r="EC1262" s="229"/>
      <c r="ED1262" s="229"/>
      <c r="EE1262" s="229"/>
      <c r="EF1262" s="229"/>
      <c r="EG1262" s="229"/>
      <c r="EH1262" s="229"/>
      <c r="EI1262" s="229"/>
      <c r="EJ1262" s="229"/>
      <c r="EK1262" s="229"/>
      <c r="EL1262" s="229"/>
      <c r="EM1262" s="234"/>
      <c r="EN1262" s="234"/>
      <c r="EO1262" s="234"/>
      <c r="EP1262" s="233"/>
      <c r="EQ1262" s="233"/>
    </row>
    <row r="1263" spans="2:147" ht="11.25" customHeight="1">
      <c r="B1263" s="228"/>
      <c r="C1263" s="229"/>
      <c r="D1263" s="229"/>
      <c r="E1263" s="229"/>
      <c r="F1263" s="229"/>
      <c r="G1263" s="229"/>
      <c r="H1263" s="229"/>
      <c r="I1263" s="229"/>
      <c r="J1263" s="229"/>
      <c r="K1263" s="229"/>
      <c r="L1263" s="296"/>
      <c r="M1263" s="296"/>
      <c r="N1263" s="296"/>
      <c r="O1263" s="229"/>
      <c r="P1263" s="229"/>
      <c r="Q1263" s="229"/>
      <c r="R1263" s="229"/>
      <c r="S1263" s="229"/>
      <c r="T1263" s="229"/>
      <c r="U1263" s="229"/>
      <c r="V1263" s="229"/>
      <c r="W1263" s="229"/>
      <c r="X1263" s="229"/>
      <c r="Y1263" s="229"/>
      <c r="Z1263" s="229"/>
      <c r="AA1263" s="229"/>
      <c r="AB1263" s="229"/>
      <c r="AC1263" s="229"/>
      <c r="AD1263" s="229"/>
      <c r="AE1263" s="229"/>
      <c r="AF1263" s="229"/>
      <c r="AG1263" s="229"/>
      <c r="AH1263" s="229"/>
      <c r="AI1263" s="229"/>
      <c r="AJ1263" s="229"/>
      <c r="AK1263" s="229"/>
      <c r="AL1263" s="229"/>
      <c r="AM1263" s="229"/>
      <c r="AN1263" s="229"/>
      <c r="AO1263" s="229"/>
      <c r="AP1263" s="229"/>
      <c r="AQ1263" s="229"/>
      <c r="AR1263" s="229"/>
      <c r="AS1263" s="229"/>
      <c r="AT1263" s="229"/>
      <c r="AU1263" s="229"/>
      <c r="AV1263" s="229"/>
      <c r="AW1263" s="229"/>
      <c r="AX1263" s="229"/>
      <c r="AY1263" s="229"/>
      <c r="AZ1263" s="229"/>
      <c r="BA1263" s="229"/>
      <c r="BB1263" s="229"/>
      <c r="BC1263" s="229"/>
      <c r="BD1263" s="229"/>
      <c r="BE1263" s="229"/>
      <c r="BF1263" s="229"/>
      <c r="BG1263" s="229"/>
      <c r="BH1263" s="229"/>
      <c r="BI1263" s="229"/>
      <c r="BJ1263" s="229"/>
      <c r="BK1263" s="229"/>
      <c r="BL1263" s="229"/>
      <c r="BM1263" s="229"/>
      <c r="BN1263" s="229"/>
      <c r="BO1263" s="229"/>
      <c r="BP1263" s="229"/>
      <c r="BQ1263" s="229"/>
      <c r="BR1263" s="229"/>
      <c r="BS1263" s="296"/>
      <c r="BT1263" s="229"/>
      <c r="BU1263" s="229"/>
      <c r="BV1263" s="229"/>
      <c r="BW1263" s="229"/>
      <c r="BX1263" s="229"/>
      <c r="BY1263" s="229"/>
      <c r="BZ1263" s="229"/>
      <c r="CA1263" s="229"/>
      <c r="CB1263" s="229"/>
      <c r="CC1263" s="229"/>
      <c r="CD1263" s="229"/>
      <c r="CE1263" s="229"/>
      <c r="CF1263" s="229"/>
      <c r="CG1263" s="229"/>
      <c r="CH1263" s="229"/>
      <c r="CI1263" s="229"/>
      <c r="CJ1263" s="229"/>
      <c r="CK1263" s="229"/>
      <c r="CL1263" s="229"/>
      <c r="CM1263" s="229"/>
      <c r="CN1263" s="229"/>
      <c r="CO1263" s="229"/>
      <c r="CP1263" s="229"/>
      <c r="CQ1263" s="229"/>
      <c r="CR1263" s="229"/>
      <c r="CS1263" s="229"/>
      <c r="CT1263" s="229"/>
      <c r="CU1263" s="229"/>
      <c r="CV1263" s="229"/>
      <c r="CW1263" s="229"/>
      <c r="CX1263" s="229"/>
      <c r="CY1263" s="229"/>
      <c r="CZ1263" s="229"/>
      <c r="DA1263" s="229"/>
      <c r="DB1263" s="229"/>
      <c r="DC1263" s="229"/>
      <c r="DD1263" s="229"/>
      <c r="DE1263" s="229"/>
      <c r="DF1263" s="229"/>
      <c r="DG1263" s="229"/>
      <c r="DH1263" s="229"/>
      <c r="DI1263" s="229"/>
      <c r="DJ1263" s="229"/>
      <c r="DK1263" s="229"/>
      <c r="DL1263" s="229"/>
      <c r="DM1263" s="229"/>
      <c r="DN1263" s="229"/>
      <c r="DO1263" s="229"/>
      <c r="DP1263" s="229"/>
      <c r="DQ1263" s="229"/>
      <c r="DR1263" s="229"/>
      <c r="DS1263" s="229"/>
      <c r="DT1263" s="229"/>
      <c r="DU1263" s="229"/>
      <c r="DV1263" s="229"/>
      <c r="DW1263" s="229"/>
      <c r="DX1263" s="229"/>
      <c r="DY1263" s="229"/>
      <c r="DZ1263" s="229"/>
      <c r="EA1263" s="229"/>
      <c r="EB1263" s="229"/>
      <c r="EC1263" s="229"/>
      <c r="ED1263" s="229"/>
      <c r="EE1263" s="229"/>
      <c r="EF1263" s="229"/>
      <c r="EG1263" s="229"/>
      <c r="EH1263" s="229"/>
      <c r="EI1263" s="229"/>
      <c r="EJ1263" s="229"/>
      <c r="EK1263" s="229"/>
      <c r="EL1263" s="229"/>
      <c r="EM1263" s="234"/>
      <c r="EN1263" s="234"/>
      <c r="EO1263" s="234"/>
      <c r="EP1263" s="233"/>
      <c r="EQ1263" s="233"/>
    </row>
    <row r="1264" spans="2:147" ht="11.25" customHeight="1">
      <c r="B1264" s="228"/>
      <c r="C1264" s="229"/>
      <c r="D1264" s="229"/>
      <c r="E1264" s="229"/>
      <c r="F1264" s="229"/>
      <c r="G1264" s="229"/>
      <c r="H1264" s="229"/>
      <c r="I1264" s="229"/>
      <c r="J1264" s="229"/>
      <c r="K1264" s="229"/>
      <c r="L1264" s="296"/>
      <c r="M1264" s="296"/>
      <c r="N1264" s="296"/>
      <c r="O1264" s="229"/>
      <c r="P1264" s="229"/>
      <c r="Q1264" s="229"/>
      <c r="R1264" s="229"/>
      <c r="S1264" s="229"/>
      <c r="T1264" s="229"/>
      <c r="U1264" s="229"/>
      <c r="V1264" s="229"/>
      <c r="W1264" s="229"/>
      <c r="X1264" s="229"/>
      <c r="Y1264" s="229"/>
      <c r="Z1264" s="229"/>
      <c r="AA1264" s="229"/>
      <c r="AB1264" s="229"/>
      <c r="AC1264" s="229"/>
      <c r="AD1264" s="229"/>
      <c r="AE1264" s="229"/>
      <c r="AF1264" s="229"/>
      <c r="AG1264" s="229"/>
      <c r="AH1264" s="229"/>
      <c r="AI1264" s="229"/>
      <c r="AJ1264" s="229"/>
      <c r="AK1264" s="229"/>
      <c r="AL1264" s="229"/>
      <c r="AM1264" s="229"/>
      <c r="AN1264" s="229"/>
      <c r="AO1264" s="229"/>
      <c r="AP1264" s="229"/>
      <c r="AQ1264" s="229"/>
      <c r="AR1264" s="229"/>
      <c r="AS1264" s="229"/>
      <c r="AT1264" s="229"/>
      <c r="AU1264" s="229"/>
      <c r="AV1264" s="229"/>
      <c r="AW1264" s="229"/>
      <c r="AX1264" s="229"/>
      <c r="AY1264" s="229"/>
      <c r="AZ1264" s="229"/>
      <c r="BA1264" s="229"/>
      <c r="BB1264" s="229"/>
      <c r="BC1264" s="229"/>
      <c r="BD1264" s="229"/>
      <c r="BE1264" s="229"/>
      <c r="BF1264" s="229"/>
      <c r="BG1264" s="229"/>
      <c r="BH1264" s="229"/>
      <c r="BI1264" s="229"/>
      <c r="BJ1264" s="229"/>
      <c r="BK1264" s="229"/>
      <c r="BL1264" s="229"/>
      <c r="BM1264" s="229"/>
      <c r="BN1264" s="229"/>
      <c r="BO1264" s="229"/>
      <c r="BP1264" s="229"/>
      <c r="BQ1264" s="229"/>
      <c r="BR1264" s="229"/>
      <c r="BS1264" s="296"/>
      <c r="BT1264" s="229"/>
      <c r="BU1264" s="229"/>
      <c r="BV1264" s="229"/>
      <c r="BW1264" s="229"/>
      <c r="BX1264" s="229"/>
      <c r="BY1264" s="229"/>
      <c r="BZ1264" s="229"/>
      <c r="CA1264" s="229"/>
      <c r="CB1264" s="229"/>
      <c r="CC1264" s="229"/>
      <c r="CD1264" s="229"/>
      <c r="CE1264" s="229"/>
      <c r="CF1264" s="229"/>
      <c r="CG1264" s="229"/>
      <c r="CH1264" s="229"/>
      <c r="CI1264" s="229"/>
      <c r="CJ1264" s="229"/>
      <c r="CK1264" s="229"/>
      <c r="CL1264" s="229"/>
      <c r="CM1264" s="229"/>
      <c r="CN1264" s="229"/>
      <c r="CO1264" s="229"/>
      <c r="CP1264" s="229"/>
      <c r="CQ1264" s="229"/>
      <c r="CR1264" s="229"/>
      <c r="CS1264" s="229"/>
      <c r="CT1264" s="229"/>
      <c r="CU1264" s="229"/>
      <c r="CV1264" s="229"/>
      <c r="CW1264" s="229"/>
      <c r="CX1264" s="229"/>
      <c r="CY1264" s="229"/>
      <c r="CZ1264" s="229"/>
      <c r="DA1264" s="229"/>
      <c r="DB1264" s="229"/>
      <c r="DC1264" s="229"/>
      <c r="DD1264" s="229"/>
      <c r="DE1264" s="229"/>
      <c r="DF1264" s="229"/>
      <c r="DG1264" s="229"/>
      <c r="DH1264" s="229"/>
      <c r="DI1264" s="229"/>
      <c r="DJ1264" s="229"/>
      <c r="DK1264" s="229"/>
      <c r="DL1264" s="229"/>
      <c r="DM1264" s="229"/>
      <c r="DN1264" s="229"/>
      <c r="DO1264" s="229"/>
      <c r="DP1264" s="229"/>
      <c r="DQ1264" s="229"/>
      <c r="DR1264" s="229"/>
      <c r="DS1264" s="229"/>
      <c r="DT1264" s="229"/>
      <c r="DU1264" s="229"/>
      <c r="DV1264" s="229"/>
      <c r="DW1264" s="229"/>
      <c r="DX1264" s="229"/>
      <c r="DY1264" s="229"/>
      <c r="DZ1264" s="229"/>
      <c r="EA1264" s="229"/>
      <c r="EB1264" s="229"/>
      <c r="EC1264" s="229"/>
      <c r="ED1264" s="229"/>
      <c r="EE1264" s="229"/>
      <c r="EF1264" s="229"/>
      <c r="EG1264" s="229"/>
      <c r="EH1264" s="229"/>
      <c r="EI1264" s="229"/>
      <c r="EJ1264" s="229"/>
      <c r="EK1264" s="229"/>
      <c r="EL1264" s="229"/>
      <c r="EM1264" s="234"/>
      <c r="EN1264" s="234"/>
      <c r="EO1264" s="234"/>
      <c r="EP1264" s="233"/>
      <c r="EQ1264" s="233"/>
    </row>
    <row r="1265" spans="2:147" ht="11.25" customHeight="1">
      <c r="B1265" s="228"/>
      <c r="C1265" s="229"/>
      <c r="D1265" s="229"/>
      <c r="E1265" s="229"/>
      <c r="F1265" s="229"/>
      <c r="G1265" s="229"/>
      <c r="H1265" s="229"/>
      <c r="I1265" s="229"/>
      <c r="J1265" s="229"/>
      <c r="K1265" s="229"/>
      <c r="L1265" s="296"/>
      <c r="M1265" s="296"/>
      <c r="N1265" s="296"/>
      <c r="O1265" s="229"/>
      <c r="P1265" s="229"/>
      <c r="Q1265" s="229"/>
      <c r="R1265" s="229"/>
      <c r="S1265" s="229"/>
      <c r="T1265" s="229"/>
      <c r="U1265" s="229"/>
      <c r="V1265" s="229"/>
      <c r="W1265" s="229"/>
      <c r="X1265" s="229"/>
      <c r="Y1265" s="229"/>
      <c r="Z1265" s="229"/>
      <c r="AA1265" s="229"/>
      <c r="AB1265" s="229"/>
      <c r="AC1265" s="229"/>
      <c r="AD1265" s="229"/>
      <c r="AE1265" s="229"/>
      <c r="AF1265" s="229"/>
      <c r="AG1265" s="229"/>
      <c r="AH1265" s="229"/>
      <c r="AI1265" s="229"/>
      <c r="AJ1265" s="229"/>
      <c r="AK1265" s="229"/>
      <c r="AL1265" s="229"/>
      <c r="AM1265" s="229"/>
      <c r="AN1265" s="229"/>
      <c r="AO1265" s="229"/>
      <c r="AP1265" s="229"/>
      <c r="AQ1265" s="229"/>
      <c r="AR1265" s="229"/>
      <c r="AS1265" s="229"/>
      <c r="AT1265" s="229"/>
      <c r="AU1265" s="229"/>
      <c r="AV1265" s="229"/>
      <c r="AW1265" s="229"/>
      <c r="AX1265" s="229"/>
      <c r="AY1265" s="229"/>
      <c r="AZ1265" s="229"/>
      <c r="BA1265" s="229"/>
      <c r="BB1265" s="229"/>
      <c r="BC1265" s="229"/>
      <c r="BD1265" s="229"/>
      <c r="BE1265" s="229"/>
      <c r="BF1265" s="229"/>
      <c r="BG1265" s="229"/>
      <c r="BH1265" s="229"/>
      <c r="BI1265" s="229"/>
      <c r="BJ1265" s="229"/>
      <c r="BK1265" s="229"/>
      <c r="BL1265" s="229"/>
      <c r="BM1265" s="229"/>
      <c r="BN1265" s="229"/>
      <c r="BO1265" s="229"/>
      <c r="BP1265" s="229"/>
      <c r="BQ1265" s="229"/>
      <c r="BR1265" s="229"/>
      <c r="BS1265" s="296"/>
      <c r="BT1265" s="229"/>
      <c r="BU1265" s="229"/>
      <c r="BV1265" s="229"/>
      <c r="BW1265" s="229"/>
      <c r="BX1265" s="229"/>
      <c r="BY1265" s="229"/>
      <c r="BZ1265" s="229"/>
      <c r="CA1265" s="229"/>
      <c r="CB1265" s="229"/>
      <c r="CC1265" s="229"/>
      <c r="CD1265" s="229"/>
      <c r="CE1265" s="229"/>
      <c r="CF1265" s="229"/>
      <c r="CG1265" s="229"/>
      <c r="CH1265" s="229"/>
      <c r="CI1265" s="229"/>
      <c r="CJ1265" s="229"/>
      <c r="CK1265" s="229"/>
      <c r="CL1265" s="229"/>
      <c r="CM1265" s="229"/>
      <c r="CN1265" s="229"/>
      <c r="CO1265" s="229"/>
      <c r="CP1265" s="229"/>
      <c r="CQ1265" s="229"/>
      <c r="CR1265" s="229"/>
      <c r="CS1265" s="229"/>
      <c r="CT1265" s="229"/>
      <c r="CU1265" s="229"/>
      <c r="CV1265" s="229"/>
      <c r="CW1265" s="229"/>
      <c r="CX1265" s="229"/>
      <c r="CY1265" s="229"/>
      <c r="CZ1265" s="229"/>
      <c r="DA1265" s="229"/>
      <c r="DB1265" s="229"/>
      <c r="DC1265" s="229"/>
      <c r="DD1265" s="229"/>
      <c r="DE1265" s="229"/>
      <c r="DF1265" s="229"/>
      <c r="DG1265" s="229"/>
      <c r="DH1265" s="229"/>
      <c r="DI1265" s="229"/>
      <c r="DJ1265" s="229"/>
      <c r="DK1265" s="229"/>
      <c r="DL1265" s="229"/>
      <c r="DM1265" s="229"/>
      <c r="DN1265" s="229"/>
      <c r="DO1265" s="229"/>
      <c r="DP1265" s="229"/>
      <c r="DQ1265" s="229"/>
      <c r="DR1265" s="229"/>
      <c r="DS1265" s="229"/>
      <c r="DT1265" s="229"/>
      <c r="DU1265" s="229"/>
      <c r="DV1265" s="229"/>
      <c r="DW1265" s="229"/>
      <c r="DX1265" s="229"/>
      <c r="DY1265" s="229"/>
      <c r="DZ1265" s="229"/>
      <c r="EA1265" s="229"/>
      <c r="EB1265" s="229"/>
      <c r="EC1265" s="229"/>
      <c r="ED1265" s="229"/>
      <c r="EE1265" s="229"/>
      <c r="EF1265" s="229"/>
      <c r="EG1265" s="229"/>
      <c r="EH1265" s="229"/>
      <c r="EI1265" s="229"/>
      <c r="EJ1265" s="229"/>
      <c r="EK1265" s="229"/>
      <c r="EL1265" s="229"/>
      <c r="EM1265" s="234"/>
      <c r="EN1265" s="234"/>
      <c r="EO1265" s="234"/>
      <c r="EP1265" s="233"/>
      <c r="EQ1265" s="233"/>
    </row>
    <row r="1266" spans="2:147" ht="11.25" customHeight="1">
      <c r="B1266" s="228"/>
      <c r="C1266" s="229"/>
      <c r="D1266" s="229"/>
      <c r="E1266" s="229"/>
      <c r="F1266" s="229"/>
      <c r="G1266" s="229"/>
      <c r="H1266" s="229"/>
      <c r="I1266" s="229"/>
      <c r="J1266" s="229"/>
      <c r="K1266" s="229"/>
      <c r="L1266" s="296"/>
      <c r="M1266" s="296"/>
      <c r="N1266" s="296"/>
      <c r="O1266" s="229"/>
      <c r="P1266" s="229"/>
      <c r="Q1266" s="229"/>
      <c r="R1266" s="229"/>
      <c r="S1266" s="229"/>
      <c r="T1266" s="229"/>
      <c r="U1266" s="229"/>
      <c r="V1266" s="229"/>
      <c r="W1266" s="229"/>
      <c r="X1266" s="229"/>
      <c r="Y1266" s="229"/>
      <c r="Z1266" s="229"/>
      <c r="AA1266" s="229"/>
      <c r="AB1266" s="229"/>
      <c r="AC1266" s="229"/>
      <c r="AD1266" s="229"/>
      <c r="AE1266" s="229"/>
      <c r="AF1266" s="229"/>
      <c r="AG1266" s="229"/>
      <c r="AH1266" s="229"/>
      <c r="AI1266" s="229"/>
      <c r="AJ1266" s="229"/>
      <c r="AK1266" s="229"/>
      <c r="AL1266" s="229"/>
      <c r="AM1266" s="229"/>
      <c r="AN1266" s="229"/>
      <c r="AO1266" s="229"/>
      <c r="AP1266" s="229"/>
      <c r="AQ1266" s="229"/>
      <c r="AR1266" s="229"/>
      <c r="AS1266" s="229"/>
      <c r="AT1266" s="229"/>
      <c r="AU1266" s="229"/>
      <c r="AV1266" s="229"/>
      <c r="AW1266" s="229"/>
      <c r="AX1266" s="229"/>
      <c r="AY1266" s="229"/>
      <c r="AZ1266" s="229"/>
      <c r="BA1266" s="229"/>
      <c r="BB1266" s="229"/>
      <c r="BC1266" s="229"/>
      <c r="BD1266" s="229"/>
      <c r="BE1266" s="229"/>
      <c r="BF1266" s="229"/>
      <c r="BG1266" s="229"/>
      <c r="BH1266" s="229"/>
      <c r="BI1266" s="229"/>
      <c r="BJ1266" s="229"/>
      <c r="BK1266" s="229"/>
      <c r="BL1266" s="229"/>
      <c r="BM1266" s="229"/>
      <c r="BN1266" s="229"/>
      <c r="BO1266" s="229"/>
      <c r="BP1266" s="229"/>
      <c r="BQ1266" s="229"/>
      <c r="BR1266" s="229"/>
      <c r="BS1266" s="296"/>
      <c r="BT1266" s="229"/>
      <c r="BU1266" s="229"/>
      <c r="BV1266" s="229"/>
      <c r="BW1266" s="229"/>
      <c r="BX1266" s="229"/>
      <c r="BY1266" s="229"/>
      <c r="BZ1266" s="229"/>
      <c r="CA1266" s="229"/>
      <c r="CB1266" s="229"/>
      <c r="CC1266" s="229"/>
      <c r="CD1266" s="229"/>
      <c r="CE1266" s="229"/>
      <c r="CF1266" s="229"/>
      <c r="CG1266" s="229"/>
      <c r="CH1266" s="229"/>
      <c r="CI1266" s="229"/>
      <c r="CJ1266" s="229"/>
      <c r="CK1266" s="229"/>
      <c r="CL1266" s="229"/>
      <c r="CM1266" s="229"/>
      <c r="CN1266" s="229"/>
      <c r="CO1266" s="229"/>
      <c r="CP1266" s="229"/>
      <c r="CQ1266" s="229"/>
      <c r="CR1266" s="229"/>
      <c r="CS1266" s="229"/>
      <c r="CT1266" s="229"/>
      <c r="CU1266" s="229"/>
      <c r="CV1266" s="229"/>
      <c r="CW1266" s="229"/>
      <c r="CX1266" s="229"/>
      <c r="CY1266" s="229"/>
      <c r="CZ1266" s="229"/>
      <c r="DA1266" s="229"/>
      <c r="DB1266" s="229"/>
      <c r="DC1266" s="229"/>
      <c r="DD1266" s="229"/>
      <c r="DE1266" s="229"/>
      <c r="DF1266" s="229"/>
      <c r="DG1266" s="229"/>
      <c r="DH1266" s="229"/>
      <c r="DI1266" s="229"/>
      <c r="DJ1266" s="229"/>
      <c r="DK1266" s="229"/>
      <c r="DL1266" s="229"/>
      <c r="DM1266" s="229"/>
      <c r="DN1266" s="229"/>
      <c r="DO1266" s="229"/>
      <c r="DP1266" s="229"/>
      <c r="DQ1266" s="229"/>
      <c r="DR1266" s="229"/>
      <c r="DS1266" s="229"/>
      <c r="DT1266" s="229"/>
      <c r="DU1266" s="229"/>
      <c r="DV1266" s="229"/>
      <c r="DW1266" s="229"/>
      <c r="DX1266" s="229"/>
      <c r="DY1266" s="229"/>
      <c r="DZ1266" s="229"/>
      <c r="EA1266" s="229"/>
      <c r="EB1266" s="229"/>
      <c r="EC1266" s="229"/>
      <c r="ED1266" s="229"/>
      <c r="EE1266" s="229"/>
      <c r="EF1266" s="229"/>
      <c r="EG1266" s="229"/>
      <c r="EH1266" s="229"/>
      <c r="EI1266" s="229"/>
      <c r="EJ1266" s="229"/>
      <c r="EK1266" s="229"/>
      <c r="EL1266" s="229"/>
      <c r="EM1266" s="234"/>
      <c r="EN1266" s="234"/>
      <c r="EO1266" s="234"/>
      <c r="EP1266" s="233"/>
      <c r="EQ1266" s="233"/>
    </row>
    <row r="1267" spans="2:147" ht="11.25" customHeight="1">
      <c r="B1267" s="228"/>
      <c r="C1267" s="229"/>
      <c r="D1267" s="229"/>
      <c r="E1267" s="229"/>
      <c r="F1267" s="229"/>
      <c r="G1267" s="229"/>
      <c r="H1267" s="229"/>
      <c r="I1267" s="229"/>
      <c r="J1267" s="229"/>
      <c r="K1267" s="229"/>
      <c r="L1267" s="296"/>
      <c r="M1267" s="296"/>
      <c r="N1267" s="296"/>
      <c r="O1267" s="229"/>
      <c r="P1267" s="229"/>
      <c r="Q1267" s="229"/>
      <c r="R1267" s="229"/>
      <c r="S1267" s="229"/>
      <c r="T1267" s="229"/>
      <c r="U1267" s="229"/>
      <c r="V1267" s="229"/>
      <c r="W1267" s="229"/>
      <c r="X1267" s="229"/>
      <c r="Y1267" s="229"/>
      <c r="Z1267" s="229"/>
      <c r="AA1267" s="229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29"/>
      <c r="AN1267" s="229"/>
      <c r="AO1267" s="229"/>
      <c r="AP1267" s="229"/>
      <c r="AQ1267" s="229"/>
      <c r="AR1267" s="229"/>
      <c r="AS1267" s="229"/>
      <c r="AT1267" s="229"/>
      <c r="AU1267" s="229"/>
      <c r="AV1267" s="229"/>
      <c r="AW1267" s="229"/>
      <c r="AX1267" s="229"/>
      <c r="AY1267" s="229"/>
      <c r="AZ1267" s="229"/>
      <c r="BA1267" s="229"/>
      <c r="BB1267" s="229"/>
      <c r="BC1267" s="229"/>
      <c r="BD1267" s="229"/>
      <c r="BE1267" s="229"/>
      <c r="BF1267" s="229"/>
      <c r="BG1267" s="229"/>
      <c r="BH1267" s="229"/>
      <c r="BI1267" s="229"/>
      <c r="BJ1267" s="229"/>
      <c r="BK1267" s="229"/>
      <c r="BL1267" s="229"/>
      <c r="BM1267" s="229"/>
      <c r="BN1267" s="229"/>
      <c r="BO1267" s="229"/>
      <c r="BP1267" s="229"/>
      <c r="BQ1267" s="229"/>
      <c r="BR1267" s="229"/>
      <c r="BS1267" s="296"/>
      <c r="BT1267" s="229"/>
      <c r="BU1267" s="229"/>
      <c r="BV1267" s="229"/>
      <c r="BW1267" s="229"/>
      <c r="BX1267" s="229"/>
      <c r="BY1267" s="229"/>
      <c r="BZ1267" s="229"/>
      <c r="CA1267" s="229"/>
      <c r="CB1267" s="229"/>
      <c r="CC1267" s="229"/>
      <c r="CD1267" s="229"/>
      <c r="CE1267" s="229"/>
      <c r="CF1267" s="229"/>
      <c r="CG1267" s="229"/>
      <c r="CH1267" s="229"/>
      <c r="CI1267" s="229"/>
      <c r="CJ1267" s="229"/>
      <c r="CK1267" s="229"/>
      <c r="CL1267" s="229"/>
      <c r="CM1267" s="229"/>
      <c r="CN1267" s="229"/>
      <c r="CO1267" s="229"/>
      <c r="CP1267" s="229"/>
      <c r="CQ1267" s="229"/>
      <c r="CR1267" s="229"/>
      <c r="CS1267" s="229"/>
      <c r="CT1267" s="229"/>
      <c r="CU1267" s="229"/>
      <c r="CV1267" s="229"/>
      <c r="CW1267" s="229"/>
      <c r="CX1267" s="229"/>
      <c r="CY1267" s="229"/>
      <c r="CZ1267" s="229"/>
      <c r="DA1267" s="229"/>
      <c r="DB1267" s="229"/>
      <c r="DC1267" s="229"/>
      <c r="DD1267" s="229"/>
      <c r="DE1267" s="229"/>
      <c r="DF1267" s="229"/>
      <c r="DG1267" s="229"/>
      <c r="DH1267" s="229"/>
      <c r="DI1267" s="229"/>
      <c r="DJ1267" s="229"/>
      <c r="DK1267" s="229"/>
      <c r="DL1267" s="229"/>
      <c r="DM1267" s="229"/>
      <c r="DN1267" s="229"/>
      <c r="DO1267" s="229"/>
      <c r="DP1267" s="229"/>
      <c r="DQ1267" s="229"/>
      <c r="DR1267" s="229"/>
      <c r="DS1267" s="229"/>
      <c r="DT1267" s="229"/>
      <c r="DU1267" s="229"/>
      <c r="DV1267" s="229"/>
      <c r="DW1267" s="229"/>
      <c r="DX1267" s="229"/>
      <c r="DY1267" s="229"/>
      <c r="DZ1267" s="229"/>
      <c r="EA1267" s="229"/>
      <c r="EB1267" s="229"/>
      <c r="EC1267" s="229"/>
      <c r="ED1267" s="229"/>
      <c r="EE1267" s="229"/>
      <c r="EF1267" s="229"/>
      <c r="EG1267" s="229"/>
      <c r="EH1267" s="229"/>
      <c r="EI1267" s="229"/>
      <c r="EJ1267" s="229"/>
      <c r="EK1267" s="229"/>
      <c r="EL1267" s="229"/>
      <c r="EM1267" s="234"/>
      <c r="EN1267" s="234"/>
      <c r="EO1267" s="234"/>
      <c r="EP1267" s="233"/>
      <c r="EQ1267" s="233"/>
    </row>
    <row r="1268" spans="2:147" ht="11.25" customHeight="1">
      <c r="B1268" s="228"/>
      <c r="C1268" s="229"/>
      <c r="D1268" s="229"/>
      <c r="E1268" s="229"/>
      <c r="F1268" s="229"/>
      <c r="G1268" s="229"/>
      <c r="H1268" s="229"/>
      <c r="I1268" s="229"/>
      <c r="J1268" s="229"/>
      <c r="K1268" s="229"/>
      <c r="L1268" s="296"/>
      <c r="M1268" s="296"/>
      <c r="N1268" s="296"/>
      <c r="O1268" s="229"/>
      <c r="P1268" s="229"/>
      <c r="Q1268" s="229"/>
      <c r="R1268" s="229"/>
      <c r="S1268" s="229"/>
      <c r="T1268" s="229"/>
      <c r="U1268" s="229"/>
      <c r="V1268" s="229"/>
      <c r="W1268" s="229"/>
      <c r="X1268" s="229"/>
      <c r="Y1268" s="229"/>
      <c r="Z1268" s="229"/>
      <c r="AA1268" s="229"/>
      <c r="AB1268" s="229"/>
      <c r="AC1268" s="229"/>
      <c r="AD1268" s="229"/>
      <c r="AE1268" s="229"/>
      <c r="AF1268" s="229"/>
      <c r="AG1268" s="229"/>
      <c r="AH1268" s="229"/>
      <c r="AI1268" s="229"/>
      <c r="AJ1268" s="229"/>
      <c r="AK1268" s="229"/>
      <c r="AL1268" s="229"/>
      <c r="AM1268" s="229"/>
      <c r="AN1268" s="229"/>
      <c r="AO1268" s="229"/>
      <c r="AP1268" s="229"/>
      <c r="AQ1268" s="229"/>
      <c r="AR1268" s="229"/>
      <c r="AS1268" s="229"/>
      <c r="AT1268" s="229"/>
      <c r="AU1268" s="229"/>
      <c r="AV1268" s="229"/>
      <c r="AW1268" s="229"/>
      <c r="AX1268" s="229"/>
      <c r="AY1268" s="229"/>
      <c r="AZ1268" s="229"/>
      <c r="BA1268" s="229"/>
      <c r="BB1268" s="229"/>
      <c r="BC1268" s="229"/>
      <c r="BD1268" s="229"/>
      <c r="BE1268" s="229"/>
      <c r="BF1268" s="229"/>
      <c r="BG1268" s="229"/>
      <c r="BH1268" s="229"/>
      <c r="BI1268" s="229"/>
      <c r="BJ1268" s="229"/>
      <c r="BK1268" s="229"/>
      <c r="BL1268" s="229"/>
      <c r="BM1268" s="229"/>
      <c r="BN1268" s="229"/>
      <c r="BO1268" s="229"/>
      <c r="BP1268" s="229"/>
      <c r="BQ1268" s="229"/>
      <c r="BR1268" s="229"/>
      <c r="BS1268" s="296"/>
      <c r="BT1268" s="229"/>
      <c r="BU1268" s="229"/>
      <c r="BV1268" s="229"/>
      <c r="BW1268" s="229"/>
      <c r="BX1268" s="229"/>
      <c r="BY1268" s="229"/>
      <c r="BZ1268" s="229"/>
      <c r="CA1268" s="229"/>
      <c r="CB1268" s="229"/>
      <c r="CC1268" s="229"/>
      <c r="CD1268" s="229"/>
      <c r="CE1268" s="229"/>
      <c r="CF1268" s="229"/>
      <c r="CG1268" s="229"/>
      <c r="CH1268" s="229"/>
      <c r="CI1268" s="229"/>
      <c r="CJ1268" s="229"/>
      <c r="CK1268" s="229"/>
      <c r="CL1268" s="229"/>
      <c r="CM1268" s="229"/>
      <c r="CN1268" s="229"/>
      <c r="CO1268" s="229"/>
      <c r="CP1268" s="229"/>
      <c r="CQ1268" s="229"/>
      <c r="CR1268" s="229"/>
      <c r="CS1268" s="229"/>
      <c r="CT1268" s="229"/>
      <c r="CU1268" s="229"/>
      <c r="CV1268" s="229"/>
      <c r="CW1268" s="229"/>
      <c r="CX1268" s="229"/>
      <c r="CY1268" s="229"/>
      <c r="CZ1268" s="229"/>
      <c r="DA1268" s="229"/>
      <c r="DB1268" s="229"/>
      <c r="DC1268" s="229"/>
      <c r="DD1268" s="229"/>
      <c r="DE1268" s="229"/>
      <c r="DF1268" s="229"/>
      <c r="DG1268" s="229"/>
      <c r="DH1268" s="229"/>
      <c r="DI1268" s="229"/>
      <c r="DJ1268" s="229"/>
      <c r="DK1268" s="229"/>
      <c r="DL1268" s="229"/>
      <c r="DM1268" s="229"/>
      <c r="DN1268" s="229"/>
      <c r="DO1268" s="229"/>
      <c r="DP1268" s="229"/>
      <c r="DQ1268" s="229"/>
      <c r="DR1268" s="229"/>
      <c r="DS1268" s="229"/>
      <c r="DT1268" s="229"/>
      <c r="DU1268" s="229"/>
      <c r="DV1268" s="229"/>
      <c r="DW1268" s="229"/>
      <c r="DX1268" s="229"/>
      <c r="DY1268" s="229"/>
      <c r="DZ1268" s="229"/>
      <c r="EA1268" s="229"/>
      <c r="EB1268" s="229"/>
      <c r="EC1268" s="229"/>
      <c r="ED1268" s="229"/>
      <c r="EE1268" s="229"/>
      <c r="EF1268" s="229"/>
      <c r="EG1268" s="229"/>
      <c r="EH1268" s="229"/>
      <c r="EI1268" s="229"/>
      <c r="EJ1268" s="229"/>
      <c r="EK1268" s="229"/>
      <c r="EL1268" s="229"/>
      <c r="EM1268" s="234"/>
      <c r="EN1268" s="234"/>
      <c r="EO1268" s="234"/>
      <c r="EP1268" s="233"/>
      <c r="EQ1268" s="233"/>
    </row>
    <row r="1269" spans="2:147" ht="11.25" customHeight="1">
      <c r="B1269" s="228"/>
      <c r="C1269" s="229"/>
      <c r="D1269" s="229"/>
      <c r="E1269" s="229"/>
      <c r="F1269" s="229"/>
      <c r="G1269" s="229"/>
      <c r="H1269" s="229"/>
      <c r="I1269" s="229"/>
      <c r="J1269" s="229"/>
      <c r="K1269" s="229"/>
      <c r="L1269" s="296"/>
      <c r="M1269" s="296"/>
      <c r="N1269" s="296"/>
      <c r="O1269" s="229"/>
      <c r="P1269" s="229"/>
      <c r="Q1269" s="229"/>
      <c r="R1269" s="229"/>
      <c r="S1269" s="229"/>
      <c r="T1269" s="229"/>
      <c r="U1269" s="229"/>
      <c r="V1269" s="229"/>
      <c r="W1269" s="229"/>
      <c r="X1269" s="229"/>
      <c r="Y1269" s="229"/>
      <c r="Z1269" s="229"/>
      <c r="AA1269" s="229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29"/>
      <c r="AN1269" s="229"/>
      <c r="AO1269" s="229"/>
      <c r="AP1269" s="229"/>
      <c r="AQ1269" s="229"/>
      <c r="AR1269" s="229"/>
      <c r="AS1269" s="229"/>
      <c r="AT1269" s="229"/>
      <c r="AU1269" s="229"/>
      <c r="AV1269" s="229"/>
      <c r="AW1269" s="229"/>
      <c r="AX1269" s="229"/>
      <c r="AY1269" s="229"/>
      <c r="AZ1269" s="229"/>
      <c r="BA1269" s="229"/>
      <c r="BB1269" s="229"/>
      <c r="BC1269" s="229"/>
      <c r="BD1269" s="229"/>
      <c r="BE1269" s="229"/>
      <c r="BF1269" s="229"/>
      <c r="BG1269" s="229"/>
      <c r="BH1269" s="229"/>
      <c r="BI1269" s="229"/>
      <c r="BJ1269" s="229"/>
      <c r="BK1269" s="229"/>
      <c r="BL1269" s="229"/>
      <c r="BM1269" s="229"/>
      <c r="BN1269" s="229"/>
      <c r="BO1269" s="229"/>
      <c r="BP1269" s="229"/>
      <c r="BQ1269" s="229"/>
      <c r="BR1269" s="229"/>
      <c r="BS1269" s="296"/>
      <c r="BT1269" s="229"/>
      <c r="BU1269" s="229"/>
      <c r="BV1269" s="229"/>
      <c r="BW1269" s="229"/>
      <c r="BX1269" s="229"/>
      <c r="BY1269" s="229"/>
      <c r="BZ1269" s="229"/>
      <c r="CA1269" s="229"/>
      <c r="CB1269" s="229"/>
      <c r="CC1269" s="229"/>
      <c r="CD1269" s="229"/>
      <c r="CE1269" s="229"/>
      <c r="CF1269" s="229"/>
      <c r="CG1269" s="229"/>
      <c r="CH1269" s="229"/>
      <c r="CI1269" s="229"/>
      <c r="CJ1269" s="229"/>
      <c r="CK1269" s="229"/>
      <c r="CL1269" s="229"/>
      <c r="CM1269" s="229"/>
      <c r="CN1269" s="229"/>
      <c r="CO1269" s="229"/>
      <c r="CP1269" s="229"/>
      <c r="CQ1269" s="229"/>
      <c r="CR1269" s="229"/>
      <c r="CS1269" s="229"/>
      <c r="CT1269" s="229"/>
      <c r="CU1269" s="229"/>
      <c r="CV1269" s="229"/>
      <c r="CW1269" s="229"/>
      <c r="CX1269" s="229"/>
      <c r="CY1269" s="229"/>
      <c r="CZ1269" s="229"/>
      <c r="DA1269" s="229"/>
      <c r="DB1269" s="229"/>
      <c r="DC1269" s="229"/>
      <c r="DD1269" s="229"/>
      <c r="DE1269" s="229"/>
      <c r="DF1269" s="229"/>
      <c r="DG1269" s="229"/>
      <c r="DH1269" s="229"/>
      <c r="DI1269" s="229"/>
      <c r="DJ1269" s="229"/>
      <c r="DK1269" s="229"/>
      <c r="DL1269" s="229"/>
      <c r="DM1269" s="229"/>
      <c r="DN1269" s="229"/>
      <c r="DO1269" s="229"/>
      <c r="DP1269" s="229"/>
      <c r="DQ1269" s="229"/>
      <c r="DR1269" s="229"/>
      <c r="DS1269" s="229"/>
      <c r="DT1269" s="229"/>
      <c r="DU1269" s="229"/>
      <c r="DV1269" s="229"/>
      <c r="DW1269" s="229"/>
      <c r="DX1269" s="229"/>
      <c r="DY1269" s="229"/>
      <c r="DZ1269" s="229"/>
      <c r="EA1269" s="229"/>
      <c r="EB1269" s="229"/>
      <c r="EC1269" s="229"/>
      <c r="ED1269" s="229"/>
      <c r="EE1269" s="229"/>
      <c r="EF1269" s="229"/>
      <c r="EG1269" s="229"/>
      <c r="EH1269" s="229"/>
      <c r="EI1269" s="229"/>
      <c r="EJ1269" s="229"/>
      <c r="EK1269" s="229"/>
      <c r="EL1269" s="229"/>
      <c r="EM1269" s="234"/>
      <c r="EN1269" s="234"/>
      <c r="EO1269" s="234"/>
      <c r="EP1269" s="233"/>
      <c r="EQ1269" s="233"/>
    </row>
    <row r="1270" spans="2:147" ht="11.25" customHeight="1">
      <c r="B1270" s="228"/>
      <c r="C1270" s="229"/>
      <c r="D1270" s="229"/>
      <c r="E1270" s="229"/>
      <c r="F1270" s="229"/>
      <c r="G1270" s="229"/>
      <c r="H1270" s="229"/>
      <c r="I1270" s="229"/>
      <c r="J1270" s="229"/>
      <c r="K1270" s="229"/>
      <c r="L1270" s="296"/>
      <c r="M1270" s="296"/>
      <c r="N1270" s="296"/>
      <c r="O1270" s="229"/>
      <c r="P1270" s="229"/>
      <c r="Q1270" s="229"/>
      <c r="R1270" s="229"/>
      <c r="S1270" s="229"/>
      <c r="T1270" s="229"/>
      <c r="U1270" s="229"/>
      <c r="V1270" s="229"/>
      <c r="W1270" s="229"/>
      <c r="X1270" s="229"/>
      <c r="Y1270" s="229"/>
      <c r="Z1270" s="229"/>
      <c r="AA1270" s="229"/>
      <c r="AB1270" s="229"/>
      <c r="AC1270" s="229"/>
      <c r="AD1270" s="229"/>
      <c r="AE1270" s="229"/>
      <c r="AF1270" s="229"/>
      <c r="AG1270" s="229"/>
      <c r="AH1270" s="229"/>
      <c r="AI1270" s="229"/>
      <c r="AJ1270" s="229"/>
      <c r="AK1270" s="229"/>
      <c r="AL1270" s="229"/>
      <c r="AM1270" s="229"/>
      <c r="AN1270" s="229"/>
      <c r="AO1270" s="229"/>
      <c r="AP1270" s="229"/>
      <c r="AQ1270" s="229"/>
      <c r="AR1270" s="229"/>
      <c r="AS1270" s="229"/>
      <c r="AT1270" s="229"/>
      <c r="AU1270" s="229"/>
      <c r="AV1270" s="229"/>
      <c r="AW1270" s="229"/>
      <c r="AX1270" s="229"/>
      <c r="AY1270" s="229"/>
      <c r="AZ1270" s="229"/>
      <c r="BA1270" s="229"/>
      <c r="BB1270" s="229"/>
      <c r="BC1270" s="229"/>
      <c r="BD1270" s="229"/>
      <c r="BE1270" s="229"/>
      <c r="BF1270" s="229"/>
      <c r="BG1270" s="229"/>
      <c r="BH1270" s="229"/>
      <c r="BI1270" s="229"/>
      <c r="BJ1270" s="229"/>
      <c r="BK1270" s="229"/>
      <c r="BL1270" s="229"/>
      <c r="BM1270" s="229"/>
      <c r="BN1270" s="229"/>
      <c r="BO1270" s="229"/>
      <c r="BP1270" s="229"/>
      <c r="BQ1270" s="229"/>
      <c r="BR1270" s="229"/>
      <c r="BS1270" s="296"/>
      <c r="BT1270" s="229"/>
      <c r="BU1270" s="229"/>
      <c r="BV1270" s="229"/>
      <c r="BW1270" s="229"/>
      <c r="BX1270" s="229"/>
      <c r="BY1270" s="229"/>
      <c r="BZ1270" s="229"/>
      <c r="CA1270" s="229"/>
      <c r="CB1270" s="229"/>
      <c r="CC1270" s="229"/>
      <c r="CD1270" s="229"/>
      <c r="CE1270" s="229"/>
      <c r="CF1270" s="229"/>
      <c r="CG1270" s="229"/>
      <c r="CH1270" s="229"/>
      <c r="CI1270" s="229"/>
      <c r="CJ1270" s="229"/>
      <c r="CK1270" s="229"/>
      <c r="CL1270" s="229"/>
      <c r="CM1270" s="229"/>
      <c r="CN1270" s="229"/>
      <c r="CO1270" s="229"/>
      <c r="CP1270" s="229"/>
      <c r="CQ1270" s="229"/>
      <c r="CR1270" s="229"/>
      <c r="CS1270" s="229"/>
      <c r="CT1270" s="229"/>
      <c r="CU1270" s="229"/>
      <c r="CV1270" s="229"/>
      <c r="CW1270" s="229"/>
      <c r="CX1270" s="229"/>
      <c r="CY1270" s="229"/>
      <c r="CZ1270" s="229"/>
      <c r="DA1270" s="229"/>
      <c r="DB1270" s="229"/>
      <c r="DC1270" s="229"/>
      <c r="DD1270" s="229"/>
      <c r="DE1270" s="229"/>
      <c r="DF1270" s="229"/>
      <c r="DG1270" s="229"/>
      <c r="DH1270" s="229"/>
      <c r="DI1270" s="229"/>
      <c r="DJ1270" s="229"/>
      <c r="DK1270" s="229"/>
      <c r="DL1270" s="229"/>
      <c r="DM1270" s="229"/>
      <c r="DN1270" s="229"/>
      <c r="DO1270" s="229"/>
      <c r="DP1270" s="229"/>
      <c r="DQ1270" s="229"/>
      <c r="DR1270" s="229"/>
      <c r="DS1270" s="229"/>
      <c r="DT1270" s="229"/>
      <c r="DU1270" s="229"/>
      <c r="DV1270" s="229"/>
      <c r="DW1270" s="229"/>
      <c r="DX1270" s="229"/>
      <c r="DY1270" s="229"/>
      <c r="DZ1270" s="229"/>
      <c r="EA1270" s="229"/>
      <c r="EB1270" s="229"/>
      <c r="EC1270" s="229"/>
      <c r="ED1270" s="229"/>
      <c r="EE1270" s="229"/>
      <c r="EF1270" s="229"/>
      <c r="EG1270" s="229"/>
      <c r="EH1270" s="229"/>
      <c r="EI1270" s="229"/>
      <c r="EJ1270" s="229"/>
      <c r="EK1270" s="229"/>
      <c r="EL1270" s="229"/>
      <c r="EM1270" s="234"/>
      <c r="EN1270" s="234"/>
      <c r="EO1270" s="234"/>
      <c r="EP1270" s="233"/>
      <c r="EQ1270" s="233"/>
    </row>
    <row r="1271" spans="2:147" ht="11.25" customHeight="1">
      <c r="B1271" s="228"/>
      <c r="C1271" s="229"/>
      <c r="D1271" s="229"/>
      <c r="E1271" s="229"/>
      <c r="F1271" s="229"/>
      <c r="G1271" s="229"/>
      <c r="H1271" s="229"/>
      <c r="I1271" s="229"/>
      <c r="J1271" s="229"/>
      <c r="K1271" s="229"/>
      <c r="L1271" s="296"/>
      <c r="M1271" s="296"/>
      <c r="N1271" s="296"/>
      <c r="O1271" s="229"/>
      <c r="P1271" s="229"/>
      <c r="Q1271" s="229"/>
      <c r="R1271" s="229"/>
      <c r="S1271" s="229"/>
      <c r="T1271" s="229"/>
      <c r="U1271" s="229"/>
      <c r="V1271" s="229"/>
      <c r="W1271" s="229"/>
      <c r="X1271" s="229"/>
      <c r="Y1271" s="229"/>
      <c r="Z1271" s="229"/>
      <c r="AA1271" s="229"/>
      <c r="AB1271" s="229"/>
      <c r="AC1271" s="229"/>
      <c r="AD1271" s="229"/>
      <c r="AE1271" s="229"/>
      <c r="AF1271" s="229"/>
      <c r="AG1271" s="229"/>
      <c r="AH1271" s="229"/>
      <c r="AI1271" s="229"/>
      <c r="AJ1271" s="229"/>
      <c r="AK1271" s="229"/>
      <c r="AL1271" s="229"/>
      <c r="AM1271" s="229"/>
      <c r="AN1271" s="229"/>
      <c r="AO1271" s="229"/>
      <c r="AP1271" s="229"/>
      <c r="AQ1271" s="229"/>
      <c r="AR1271" s="229"/>
      <c r="AS1271" s="229"/>
      <c r="AT1271" s="229"/>
      <c r="AU1271" s="229"/>
      <c r="AV1271" s="229"/>
      <c r="AW1271" s="229"/>
      <c r="AX1271" s="229"/>
      <c r="AY1271" s="229"/>
      <c r="AZ1271" s="229"/>
      <c r="BA1271" s="229"/>
      <c r="BB1271" s="229"/>
      <c r="BC1271" s="229"/>
      <c r="BD1271" s="229"/>
      <c r="BE1271" s="229"/>
      <c r="BF1271" s="229"/>
      <c r="BG1271" s="229"/>
      <c r="BH1271" s="229"/>
      <c r="BI1271" s="229"/>
      <c r="BJ1271" s="229"/>
      <c r="BK1271" s="229"/>
      <c r="BL1271" s="229"/>
      <c r="BM1271" s="229"/>
      <c r="BN1271" s="229"/>
      <c r="BO1271" s="229"/>
      <c r="BP1271" s="229"/>
      <c r="BQ1271" s="229"/>
      <c r="BR1271" s="229"/>
      <c r="BS1271" s="296"/>
      <c r="BT1271" s="229"/>
      <c r="BU1271" s="229"/>
      <c r="BV1271" s="229"/>
      <c r="BW1271" s="229"/>
      <c r="BX1271" s="229"/>
      <c r="BY1271" s="229"/>
      <c r="BZ1271" s="229"/>
      <c r="CA1271" s="229"/>
      <c r="CB1271" s="229"/>
      <c r="CC1271" s="229"/>
      <c r="CD1271" s="229"/>
      <c r="CE1271" s="229"/>
      <c r="CF1271" s="229"/>
      <c r="CG1271" s="229"/>
      <c r="CH1271" s="229"/>
      <c r="CI1271" s="229"/>
      <c r="CJ1271" s="229"/>
      <c r="CK1271" s="229"/>
      <c r="CL1271" s="229"/>
      <c r="CM1271" s="229"/>
      <c r="CN1271" s="229"/>
      <c r="CO1271" s="229"/>
      <c r="CP1271" s="229"/>
      <c r="CQ1271" s="229"/>
      <c r="CR1271" s="229"/>
      <c r="CS1271" s="229"/>
      <c r="CT1271" s="229"/>
      <c r="CU1271" s="229"/>
      <c r="CV1271" s="229"/>
      <c r="CW1271" s="229"/>
      <c r="CX1271" s="229"/>
      <c r="CY1271" s="229"/>
      <c r="CZ1271" s="229"/>
      <c r="DA1271" s="229"/>
      <c r="DB1271" s="229"/>
      <c r="DC1271" s="229"/>
      <c r="DD1271" s="229"/>
      <c r="DE1271" s="229"/>
      <c r="DF1271" s="229"/>
      <c r="DG1271" s="229"/>
      <c r="DH1271" s="229"/>
      <c r="DI1271" s="229"/>
      <c r="DJ1271" s="229"/>
      <c r="DK1271" s="229"/>
      <c r="DL1271" s="229"/>
      <c r="DM1271" s="229"/>
      <c r="DN1271" s="229"/>
      <c r="DO1271" s="229"/>
      <c r="DP1271" s="229"/>
      <c r="DQ1271" s="229"/>
      <c r="DR1271" s="229"/>
      <c r="DS1271" s="229"/>
      <c r="DT1271" s="229"/>
      <c r="DU1271" s="229"/>
      <c r="DV1271" s="229"/>
      <c r="DW1271" s="229"/>
      <c r="DX1271" s="229"/>
      <c r="DY1271" s="229"/>
      <c r="DZ1271" s="229"/>
      <c r="EA1271" s="229"/>
      <c r="EB1271" s="229"/>
      <c r="EC1271" s="229"/>
      <c r="ED1271" s="229"/>
      <c r="EE1271" s="229"/>
      <c r="EF1271" s="229"/>
      <c r="EG1271" s="229"/>
      <c r="EH1271" s="229"/>
      <c r="EI1271" s="229"/>
      <c r="EJ1271" s="229"/>
      <c r="EK1271" s="229"/>
      <c r="EL1271" s="229"/>
      <c r="EM1271" s="234"/>
      <c r="EN1271" s="234"/>
      <c r="EO1271" s="234"/>
      <c r="EP1271" s="233"/>
      <c r="EQ1271" s="233"/>
    </row>
    <row r="1272" spans="2:147" ht="11.25" customHeight="1">
      <c r="B1272" s="228"/>
      <c r="C1272" s="229"/>
      <c r="D1272" s="229"/>
      <c r="E1272" s="229"/>
      <c r="F1272" s="229"/>
      <c r="G1272" s="229"/>
      <c r="H1272" s="229"/>
      <c r="I1272" s="229"/>
      <c r="J1272" s="229"/>
      <c r="K1272" s="229"/>
      <c r="L1272" s="296"/>
      <c r="M1272" s="296"/>
      <c r="N1272" s="296"/>
      <c r="O1272" s="229"/>
      <c r="P1272" s="229"/>
      <c r="Q1272" s="229"/>
      <c r="R1272" s="229"/>
      <c r="S1272" s="229"/>
      <c r="T1272" s="229"/>
      <c r="U1272" s="229"/>
      <c r="V1272" s="229"/>
      <c r="W1272" s="229"/>
      <c r="X1272" s="229"/>
      <c r="Y1272" s="229"/>
      <c r="Z1272" s="229"/>
      <c r="AA1272" s="229"/>
      <c r="AB1272" s="229"/>
      <c r="AC1272" s="229"/>
      <c r="AD1272" s="229"/>
      <c r="AE1272" s="229"/>
      <c r="AF1272" s="229"/>
      <c r="AG1272" s="229"/>
      <c r="AH1272" s="229"/>
      <c r="AI1272" s="229"/>
      <c r="AJ1272" s="229"/>
      <c r="AK1272" s="229"/>
      <c r="AL1272" s="229"/>
      <c r="AM1272" s="229"/>
      <c r="AN1272" s="229"/>
      <c r="AO1272" s="229"/>
      <c r="AP1272" s="229"/>
      <c r="AQ1272" s="229"/>
      <c r="AR1272" s="229"/>
      <c r="AS1272" s="229"/>
      <c r="AT1272" s="229"/>
      <c r="AU1272" s="229"/>
      <c r="AV1272" s="229"/>
      <c r="AW1272" s="229"/>
      <c r="AX1272" s="229"/>
      <c r="AY1272" s="229"/>
      <c r="AZ1272" s="229"/>
      <c r="BA1272" s="229"/>
      <c r="BB1272" s="229"/>
      <c r="BC1272" s="229"/>
      <c r="BD1272" s="229"/>
      <c r="BE1272" s="229"/>
      <c r="BF1272" s="229"/>
      <c r="BG1272" s="229"/>
      <c r="BH1272" s="229"/>
      <c r="BI1272" s="229"/>
      <c r="BJ1272" s="229"/>
      <c r="BK1272" s="229"/>
      <c r="BL1272" s="229"/>
      <c r="BM1272" s="229"/>
      <c r="BN1272" s="229"/>
      <c r="BO1272" s="229"/>
      <c r="BP1272" s="229"/>
      <c r="BQ1272" s="229"/>
      <c r="BR1272" s="229"/>
      <c r="BS1272" s="296"/>
      <c r="BT1272" s="229"/>
      <c r="BU1272" s="229"/>
      <c r="BV1272" s="229"/>
      <c r="BW1272" s="229"/>
      <c r="BX1272" s="229"/>
      <c r="BY1272" s="229"/>
      <c r="BZ1272" s="229"/>
      <c r="CA1272" s="229"/>
      <c r="CB1272" s="229"/>
      <c r="CC1272" s="229"/>
      <c r="CD1272" s="229"/>
      <c r="CE1272" s="229"/>
      <c r="CF1272" s="229"/>
      <c r="CG1272" s="229"/>
      <c r="CH1272" s="229"/>
      <c r="CI1272" s="229"/>
      <c r="CJ1272" s="229"/>
      <c r="CK1272" s="229"/>
      <c r="CL1272" s="229"/>
      <c r="CM1272" s="229"/>
      <c r="CN1272" s="229"/>
      <c r="CO1272" s="229"/>
      <c r="CP1272" s="229"/>
      <c r="CQ1272" s="229"/>
      <c r="CR1272" s="229"/>
      <c r="CS1272" s="229"/>
      <c r="CT1272" s="229"/>
      <c r="CU1272" s="229"/>
      <c r="CV1272" s="229"/>
      <c r="CW1272" s="229"/>
      <c r="CX1272" s="229"/>
      <c r="CY1272" s="229"/>
      <c r="CZ1272" s="229"/>
      <c r="DA1272" s="229"/>
      <c r="DB1272" s="229"/>
      <c r="DC1272" s="229"/>
      <c r="DD1272" s="229"/>
      <c r="DE1272" s="229"/>
      <c r="DF1272" s="229"/>
      <c r="DG1272" s="229"/>
      <c r="DH1272" s="229"/>
      <c r="DI1272" s="229"/>
      <c r="DJ1272" s="229"/>
      <c r="DK1272" s="229"/>
      <c r="DL1272" s="229"/>
      <c r="DM1272" s="229"/>
      <c r="DN1272" s="229"/>
      <c r="DO1272" s="229"/>
      <c r="DP1272" s="229"/>
      <c r="DQ1272" s="229"/>
      <c r="DR1272" s="229"/>
      <c r="DS1272" s="229"/>
      <c r="DT1272" s="229"/>
      <c r="DU1272" s="229"/>
      <c r="DV1272" s="229"/>
      <c r="DW1272" s="229"/>
      <c r="DX1272" s="229"/>
      <c r="DY1272" s="229"/>
      <c r="DZ1272" s="229"/>
      <c r="EA1272" s="229"/>
      <c r="EB1272" s="229"/>
      <c r="EC1272" s="229"/>
      <c r="ED1272" s="229"/>
      <c r="EE1272" s="229"/>
      <c r="EF1272" s="229"/>
      <c r="EG1272" s="229"/>
      <c r="EH1272" s="229"/>
      <c r="EI1272" s="229"/>
      <c r="EJ1272" s="229"/>
      <c r="EK1272" s="229"/>
      <c r="EL1272" s="229"/>
      <c r="EM1272" s="234"/>
      <c r="EN1272" s="234"/>
      <c r="EO1272" s="234"/>
      <c r="EP1272" s="233"/>
      <c r="EQ1272" s="233"/>
    </row>
    <row r="1273" spans="2:147" ht="11.25" customHeight="1">
      <c r="B1273" s="228"/>
      <c r="C1273" s="229"/>
      <c r="D1273" s="229"/>
      <c r="E1273" s="229"/>
      <c r="F1273" s="229"/>
      <c r="G1273" s="229"/>
      <c r="H1273" s="229"/>
      <c r="I1273" s="229"/>
      <c r="J1273" s="229"/>
      <c r="K1273" s="229"/>
      <c r="L1273" s="296"/>
      <c r="M1273" s="296"/>
      <c r="N1273" s="296"/>
      <c r="O1273" s="229"/>
      <c r="P1273" s="229"/>
      <c r="Q1273" s="229"/>
      <c r="R1273" s="229"/>
      <c r="S1273" s="229"/>
      <c r="T1273" s="229"/>
      <c r="U1273" s="229"/>
      <c r="V1273" s="229"/>
      <c r="W1273" s="229"/>
      <c r="X1273" s="229"/>
      <c r="Y1273" s="229"/>
      <c r="Z1273" s="229"/>
      <c r="AA1273" s="229"/>
      <c r="AB1273" s="229"/>
      <c r="AC1273" s="229"/>
      <c r="AD1273" s="229"/>
      <c r="AE1273" s="229"/>
      <c r="AF1273" s="229"/>
      <c r="AG1273" s="229"/>
      <c r="AH1273" s="229"/>
      <c r="AI1273" s="229"/>
      <c r="AJ1273" s="229"/>
      <c r="AK1273" s="229"/>
      <c r="AL1273" s="229"/>
      <c r="AM1273" s="229"/>
      <c r="AN1273" s="229"/>
      <c r="AO1273" s="229"/>
      <c r="AP1273" s="229"/>
      <c r="AQ1273" s="229"/>
      <c r="AR1273" s="229"/>
      <c r="AS1273" s="229"/>
      <c r="AT1273" s="229"/>
      <c r="AU1273" s="229"/>
      <c r="AV1273" s="229"/>
      <c r="AW1273" s="229"/>
      <c r="AX1273" s="229"/>
      <c r="AY1273" s="229"/>
      <c r="AZ1273" s="229"/>
      <c r="BA1273" s="229"/>
      <c r="BB1273" s="229"/>
      <c r="BC1273" s="229"/>
      <c r="BD1273" s="229"/>
      <c r="BE1273" s="229"/>
      <c r="BF1273" s="229"/>
      <c r="BG1273" s="229"/>
      <c r="BH1273" s="229"/>
      <c r="BI1273" s="229"/>
      <c r="BJ1273" s="229"/>
      <c r="BK1273" s="229"/>
      <c r="BL1273" s="229"/>
      <c r="BM1273" s="229"/>
      <c r="BN1273" s="229"/>
      <c r="BO1273" s="229"/>
      <c r="BP1273" s="229"/>
      <c r="BQ1273" s="229"/>
      <c r="BR1273" s="229"/>
      <c r="BS1273" s="296"/>
      <c r="BT1273" s="229"/>
      <c r="BU1273" s="229"/>
      <c r="BV1273" s="229"/>
      <c r="BW1273" s="229"/>
      <c r="BX1273" s="229"/>
      <c r="BY1273" s="229"/>
      <c r="BZ1273" s="229"/>
      <c r="CA1273" s="229"/>
      <c r="CB1273" s="229"/>
      <c r="CC1273" s="229"/>
      <c r="CD1273" s="229"/>
      <c r="CE1273" s="229"/>
      <c r="CF1273" s="229"/>
      <c r="CG1273" s="229"/>
      <c r="CH1273" s="229"/>
      <c r="CI1273" s="229"/>
      <c r="CJ1273" s="229"/>
      <c r="CK1273" s="229"/>
      <c r="CL1273" s="229"/>
      <c r="CM1273" s="229"/>
      <c r="CN1273" s="229"/>
      <c r="CO1273" s="229"/>
      <c r="CP1273" s="229"/>
      <c r="CQ1273" s="229"/>
      <c r="CR1273" s="229"/>
      <c r="CS1273" s="229"/>
      <c r="CT1273" s="229"/>
      <c r="CU1273" s="229"/>
      <c r="CV1273" s="229"/>
      <c r="CW1273" s="229"/>
      <c r="CX1273" s="229"/>
      <c r="CY1273" s="229"/>
      <c r="CZ1273" s="229"/>
      <c r="DA1273" s="229"/>
      <c r="DB1273" s="229"/>
      <c r="DC1273" s="229"/>
      <c r="DD1273" s="229"/>
      <c r="DE1273" s="229"/>
      <c r="DF1273" s="229"/>
      <c r="DG1273" s="229"/>
      <c r="DH1273" s="229"/>
      <c r="DI1273" s="229"/>
      <c r="DJ1273" s="229"/>
      <c r="DK1273" s="229"/>
      <c r="DL1273" s="229"/>
      <c r="DM1273" s="229"/>
      <c r="DN1273" s="229"/>
      <c r="DO1273" s="229"/>
      <c r="DP1273" s="229"/>
      <c r="DQ1273" s="229"/>
      <c r="DR1273" s="229"/>
      <c r="DS1273" s="229"/>
      <c r="DT1273" s="229"/>
      <c r="DU1273" s="229"/>
      <c r="DV1273" s="229"/>
      <c r="DW1273" s="229"/>
      <c r="DX1273" s="229"/>
      <c r="DY1273" s="229"/>
      <c r="DZ1273" s="229"/>
      <c r="EA1273" s="229"/>
      <c r="EB1273" s="229"/>
      <c r="EC1273" s="229"/>
      <c r="ED1273" s="229"/>
      <c r="EE1273" s="229"/>
      <c r="EF1273" s="229"/>
      <c r="EG1273" s="229"/>
      <c r="EH1273" s="229"/>
      <c r="EI1273" s="229"/>
      <c r="EJ1273" s="229"/>
      <c r="EK1273" s="229"/>
      <c r="EL1273" s="229"/>
      <c r="EM1273" s="234"/>
      <c r="EN1273" s="234"/>
      <c r="EO1273" s="234"/>
      <c r="EP1273" s="233"/>
      <c r="EQ1273" s="233"/>
    </row>
    <row r="1274" spans="2:147" ht="11.25" customHeight="1">
      <c r="B1274" s="228"/>
      <c r="C1274" s="229"/>
      <c r="D1274" s="229"/>
      <c r="E1274" s="229"/>
      <c r="F1274" s="229"/>
      <c r="G1274" s="229"/>
      <c r="H1274" s="229"/>
      <c r="I1274" s="229"/>
      <c r="J1274" s="229"/>
      <c r="K1274" s="229"/>
      <c r="L1274" s="296"/>
      <c r="M1274" s="296"/>
      <c r="N1274" s="296"/>
      <c r="O1274" s="229"/>
      <c r="P1274" s="229"/>
      <c r="Q1274" s="229"/>
      <c r="R1274" s="229"/>
      <c r="S1274" s="229"/>
      <c r="T1274" s="229"/>
      <c r="U1274" s="229"/>
      <c r="V1274" s="229"/>
      <c r="W1274" s="229"/>
      <c r="X1274" s="229"/>
      <c r="Y1274" s="229"/>
      <c r="Z1274" s="229"/>
      <c r="AA1274" s="229"/>
      <c r="AB1274" s="229"/>
      <c r="AC1274" s="229"/>
      <c r="AD1274" s="229"/>
      <c r="AE1274" s="229"/>
      <c r="AF1274" s="229"/>
      <c r="AG1274" s="229"/>
      <c r="AH1274" s="229"/>
      <c r="AI1274" s="229"/>
      <c r="AJ1274" s="229"/>
      <c r="AK1274" s="229"/>
      <c r="AL1274" s="229"/>
      <c r="AM1274" s="229"/>
      <c r="AN1274" s="229"/>
      <c r="AO1274" s="229"/>
      <c r="AP1274" s="229"/>
      <c r="AQ1274" s="229"/>
      <c r="AR1274" s="229"/>
      <c r="AS1274" s="229"/>
      <c r="AT1274" s="229"/>
      <c r="AU1274" s="229"/>
      <c r="AV1274" s="229"/>
      <c r="AW1274" s="229"/>
      <c r="AX1274" s="229"/>
      <c r="AY1274" s="229"/>
      <c r="AZ1274" s="229"/>
      <c r="BA1274" s="229"/>
      <c r="BB1274" s="229"/>
      <c r="BC1274" s="229"/>
      <c r="BD1274" s="229"/>
      <c r="BE1274" s="229"/>
      <c r="BF1274" s="229"/>
      <c r="BG1274" s="229"/>
      <c r="BH1274" s="229"/>
      <c r="BI1274" s="229"/>
      <c r="BJ1274" s="229"/>
      <c r="BK1274" s="229"/>
      <c r="BL1274" s="229"/>
      <c r="BM1274" s="229"/>
      <c r="BN1274" s="229"/>
      <c r="BO1274" s="229"/>
      <c r="BP1274" s="229"/>
      <c r="BQ1274" s="229"/>
      <c r="BR1274" s="229"/>
      <c r="BS1274" s="296"/>
      <c r="BT1274" s="229"/>
      <c r="BU1274" s="229"/>
      <c r="BV1274" s="229"/>
      <c r="BW1274" s="229"/>
      <c r="BX1274" s="229"/>
      <c r="BY1274" s="229"/>
      <c r="BZ1274" s="229"/>
      <c r="CA1274" s="229"/>
      <c r="CB1274" s="229"/>
      <c r="CC1274" s="229"/>
      <c r="CD1274" s="229"/>
      <c r="CE1274" s="229"/>
      <c r="CF1274" s="229"/>
      <c r="CG1274" s="229"/>
      <c r="CH1274" s="229"/>
      <c r="CI1274" s="229"/>
      <c r="CJ1274" s="229"/>
      <c r="CK1274" s="229"/>
      <c r="CL1274" s="229"/>
      <c r="CM1274" s="229"/>
      <c r="CN1274" s="229"/>
      <c r="CO1274" s="229"/>
      <c r="CP1274" s="229"/>
      <c r="CQ1274" s="229"/>
      <c r="CR1274" s="229"/>
      <c r="CS1274" s="229"/>
      <c r="CT1274" s="229"/>
      <c r="CU1274" s="229"/>
      <c r="CV1274" s="229"/>
      <c r="CW1274" s="229"/>
      <c r="CX1274" s="229"/>
      <c r="CY1274" s="229"/>
      <c r="CZ1274" s="229"/>
      <c r="DA1274" s="229"/>
      <c r="DB1274" s="229"/>
      <c r="DC1274" s="229"/>
      <c r="DD1274" s="229"/>
      <c r="DE1274" s="229"/>
      <c r="DF1274" s="229"/>
      <c r="DG1274" s="229"/>
      <c r="DH1274" s="229"/>
      <c r="DI1274" s="229"/>
      <c r="DJ1274" s="229"/>
      <c r="DK1274" s="229"/>
      <c r="DL1274" s="229"/>
      <c r="DM1274" s="229"/>
      <c r="DN1274" s="229"/>
      <c r="DO1274" s="229"/>
      <c r="DP1274" s="229"/>
      <c r="DQ1274" s="229"/>
      <c r="DR1274" s="229"/>
      <c r="DS1274" s="229"/>
      <c r="DT1274" s="229"/>
      <c r="DU1274" s="229"/>
      <c r="DV1274" s="229"/>
      <c r="DW1274" s="229"/>
      <c r="DX1274" s="229"/>
      <c r="DY1274" s="229"/>
      <c r="DZ1274" s="229"/>
      <c r="EA1274" s="229"/>
      <c r="EB1274" s="229"/>
      <c r="EC1274" s="229"/>
      <c r="ED1274" s="229"/>
      <c r="EE1274" s="229"/>
      <c r="EF1274" s="229"/>
      <c r="EG1274" s="229"/>
      <c r="EH1274" s="229"/>
      <c r="EI1274" s="229"/>
      <c r="EJ1274" s="229"/>
      <c r="EK1274" s="229"/>
      <c r="EL1274" s="229"/>
      <c r="EM1274" s="234"/>
      <c r="EN1274" s="234"/>
      <c r="EO1274" s="234"/>
      <c r="EP1274" s="233"/>
      <c r="EQ1274" s="233"/>
    </row>
    <row r="1275" spans="2:147" ht="11.25" customHeight="1">
      <c r="B1275" s="228"/>
      <c r="C1275" s="229"/>
      <c r="D1275" s="229"/>
      <c r="E1275" s="229"/>
      <c r="F1275" s="229"/>
      <c r="G1275" s="229"/>
      <c r="H1275" s="229"/>
      <c r="I1275" s="229"/>
      <c r="J1275" s="229"/>
      <c r="K1275" s="229"/>
      <c r="L1275" s="296"/>
      <c r="M1275" s="296"/>
      <c r="N1275" s="296"/>
      <c r="O1275" s="229"/>
      <c r="P1275" s="229"/>
      <c r="Q1275" s="229"/>
      <c r="R1275" s="229"/>
      <c r="S1275" s="229"/>
      <c r="T1275" s="229"/>
      <c r="U1275" s="229"/>
      <c r="V1275" s="229"/>
      <c r="W1275" s="229"/>
      <c r="X1275" s="229"/>
      <c r="Y1275" s="229"/>
      <c r="Z1275" s="229"/>
      <c r="AA1275" s="229"/>
      <c r="AB1275" s="229"/>
      <c r="AC1275" s="229"/>
      <c r="AD1275" s="229"/>
      <c r="AE1275" s="229"/>
      <c r="AF1275" s="229"/>
      <c r="AG1275" s="229"/>
      <c r="AH1275" s="229"/>
      <c r="AI1275" s="229"/>
      <c r="AJ1275" s="229"/>
      <c r="AK1275" s="229"/>
      <c r="AL1275" s="229"/>
      <c r="AM1275" s="229"/>
      <c r="AN1275" s="229"/>
      <c r="AO1275" s="229"/>
      <c r="AP1275" s="229"/>
      <c r="AQ1275" s="229"/>
      <c r="AR1275" s="229"/>
      <c r="AS1275" s="229"/>
      <c r="AT1275" s="229"/>
      <c r="AU1275" s="229"/>
      <c r="AV1275" s="229"/>
      <c r="AW1275" s="229"/>
      <c r="AX1275" s="229"/>
      <c r="AY1275" s="229"/>
      <c r="AZ1275" s="229"/>
      <c r="BA1275" s="229"/>
      <c r="BB1275" s="229"/>
      <c r="BC1275" s="229"/>
      <c r="BD1275" s="229"/>
      <c r="BE1275" s="229"/>
      <c r="BF1275" s="229"/>
      <c r="BG1275" s="229"/>
      <c r="BH1275" s="229"/>
      <c r="BI1275" s="229"/>
      <c r="BJ1275" s="229"/>
      <c r="BK1275" s="229"/>
      <c r="BL1275" s="229"/>
      <c r="BM1275" s="229"/>
      <c r="BN1275" s="229"/>
      <c r="BO1275" s="229"/>
      <c r="BP1275" s="229"/>
      <c r="BQ1275" s="229"/>
      <c r="BR1275" s="229"/>
      <c r="BS1275" s="296"/>
      <c r="BT1275" s="229"/>
      <c r="BU1275" s="229"/>
      <c r="BV1275" s="229"/>
      <c r="BW1275" s="229"/>
      <c r="BX1275" s="229"/>
      <c r="BY1275" s="229"/>
      <c r="BZ1275" s="229"/>
      <c r="CA1275" s="229"/>
      <c r="CB1275" s="229"/>
      <c r="CC1275" s="229"/>
      <c r="CD1275" s="229"/>
      <c r="CE1275" s="229"/>
      <c r="CF1275" s="229"/>
      <c r="CG1275" s="229"/>
      <c r="CH1275" s="229"/>
      <c r="CI1275" s="229"/>
      <c r="CJ1275" s="229"/>
      <c r="CK1275" s="229"/>
      <c r="CL1275" s="229"/>
      <c r="CM1275" s="229"/>
      <c r="CN1275" s="229"/>
      <c r="CO1275" s="229"/>
      <c r="CP1275" s="229"/>
      <c r="CQ1275" s="229"/>
      <c r="CR1275" s="229"/>
      <c r="CS1275" s="229"/>
      <c r="CT1275" s="229"/>
      <c r="CU1275" s="229"/>
      <c r="CV1275" s="229"/>
      <c r="CW1275" s="229"/>
      <c r="CX1275" s="229"/>
      <c r="CY1275" s="229"/>
      <c r="CZ1275" s="229"/>
      <c r="DA1275" s="229"/>
      <c r="DB1275" s="229"/>
      <c r="DC1275" s="229"/>
      <c r="DD1275" s="229"/>
      <c r="DE1275" s="229"/>
      <c r="DF1275" s="229"/>
      <c r="DG1275" s="229"/>
      <c r="DH1275" s="229"/>
      <c r="DI1275" s="229"/>
      <c r="DJ1275" s="229"/>
      <c r="DK1275" s="229"/>
      <c r="DL1275" s="229"/>
      <c r="DM1275" s="229"/>
      <c r="DN1275" s="229"/>
      <c r="DO1275" s="229"/>
      <c r="DP1275" s="229"/>
      <c r="DQ1275" s="229"/>
      <c r="DR1275" s="229"/>
      <c r="DS1275" s="229"/>
      <c r="DT1275" s="229"/>
      <c r="DU1275" s="229"/>
      <c r="DV1275" s="229"/>
      <c r="DW1275" s="229"/>
      <c r="DX1275" s="229"/>
      <c r="DY1275" s="229"/>
      <c r="DZ1275" s="229"/>
      <c r="EA1275" s="229"/>
      <c r="EB1275" s="229"/>
      <c r="EC1275" s="229"/>
      <c r="ED1275" s="229"/>
      <c r="EE1275" s="229"/>
      <c r="EF1275" s="229"/>
      <c r="EG1275" s="229"/>
      <c r="EH1275" s="229"/>
      <c r="EI1275" s="229"/>
      <c r="EJ1275" s="229"/>
      <c r="EK1275" s="229"/>
      <c r="EL1275" s="229"/>
      <c r="EM1275" s="234"/>
      <c r="EN1275" s="234"/>
      <c r="EO1275" s="234"/>
      <c r="EP1275" s="233"/>
      <c r="EQ1275" s="233"/>
    </row>
    <row r="1276" spans="2:147" ht="11.25" customHeight="1">
      <c r="B1276" s="228"/>
      <c r="C1276" s="229"/>
      <c r="D1276" s="229"/>
      <c r="E1276" s="229"/>
      <c r="F1276" s="229"/>
      <c r="G1276" s="229"/>
      <c r="H1276" s="229"/>
      <c r="I1276" s="229"/>
      <c r="J1276" s="229"/>
      <c r="K1276" s="229"/>
      <c r="L1276" s="296"/>
      <c r="M1276" s="296"/>
      <c r="N1276" s="296"/>
      <c r="O1276" s="229"/>
      <c r="P1276" s="229"/>
      <c r="Q1276" s="229"/>
      <c r="R1276" s="229"/>
      <c r="S1276" s="229"/>
      <c r="T1276" s="229"/>
      <c r="U1276" s="229"/>
      <c r="V1276" s="229"/>
      <c r="W1276" s="229"/>
      <c r="X1276" s="229"/>
      <c r="Y1276" s="229"/>
      <c r="Z1276" s="229"/>
      <c r="AA1276" s="229"/>
      <c r="AB1276" s="229"/>
      <c r="AC1276" s="229"/>
      <c r="AD1276" s="229"/>
      <c r="AE1276" s="229"/>
      <c r="AF1276" s="229"/>
      <c r="AG1276" s="229"/>
      <c r="AH1276" s="229"/>
      <c r="AI1276" s="229"/>
      <c r="AJ1276" s="229"/>
      <c r="AK1276" s="229"/>
      <c r="AL1276" s="229"/>
      <c r="AM1276" s="229"/>
      <c r="AN1276" s="229"/>
      <c r="AO1276" s="229"/>
      <c r="AP1276" s="229"/>
      <c r="AQ1276" s="229"/>
      <c r="AR1276" s="229"/>
      <c r="AS1276" s="229"/>
      <c r="AT1276" s="229"/>
      <c r="AU1276" s="229"/>
      <c r="AV1276" s="229"/>
      <c r="AW1276" s="229"/>
      <c r="AX1276" s="229"/>
      <c r="AY1276" s="229"/>
      <c r="AZ1276" s="229"/>
      <c r="BA1276" s="229"/>
      <c r="BB1276" s="229"/>
      <c r="BC1276" s="229"/>
      <c r="BD1276" s="229"/>
      <c r="BE1276" s="229"/>
      <c r="BF1276" s="229"/>
      <c r="BG1276" s="229"/>
      <c r="BH1276" s="229"/>
      <c r="BI1276" s="229"/>
      <c r="BJ1276" s="229"/>
      <c r="BK1276" s="229"/>
      <c r="BL1276" s="229"/>
      <c r="BM1276" s="229"/>
      <c r="BN1276" s="229"/>
      <c r="BO1276" s="229"/>
      <c r="BP1276" s="229"/>
      <c r="BQ1276" s="229"/>
      <c r="BR1276" s="229"/>
      <c r="BS1276" s="296"/>
      <c r="BT1276" s="229"/>
      <c r="BU1276" s="229"/>
      <c r="BV1276" s="229"/>
      <c r="BW1276" s="229"/>
      <c r="BX1276" s="229"/>
      <c r="BY1276" s="229"/>
      <c r="BZ1276" s="229"/>
      <c r="CA1276" s="229"/>
      <c r="CB1276" s="229"/>
      <c r="CC1276" s="229"/>
      <c r="CD1276" s="229"/>
      <c r="CE1276" s="229"/>
      <c r="CF1276" s="229"/>
      <c r="CG1276" s="229"/>
      <c r="CH1276" s="229"/>
      <c r="CI1276" s="229"/>
      <c r="CJ1276" s="229"/>
      <c r="CK1276" s="229"/>
      <c r="CL1276" s="229"/>
      <c r="CM1276" s="229"/>
      <c r="CN1276" s="229"/>
      <c r="CO1276" s="229"/>
      <c r="CP1276" s="229"/>
      <c r="CQ1276" s="229"/>
      <c r="CR1276" s="229"/>
      <c r="CS1276" s="229"/>
      <c r="CT1276" s="229"/>
      <c r="CU1276" s="229"/>
      <c r="CV1276" s="229"/>
      <c r="CW1276" s="229"/>
      <c r="CX1276" s="229"/>
      <c r="CY1276" s="229"/>
      <c r="CZ1276" s="229"/>
      <c r="DA1276" s="229"/>
      <c r="DB1276" s="229"/>
      <c r="DC1276" s="229"/>
      <c r="DD1276" s="229"/>
      <c r="DE1276" s="229"/>
      <c r="DF1276" s="229"/>
      <c r="DG1276" s="229"/>
      <c r="DH1276" s="229"/>
      <c r="DI1276" s="229"/>
      <c r="DJ1276" s="229"/>
      <c r="DK1276" s="229"/>
      <c r="DL1276" s="229"/>
      <c r="DM1276" s="229"/>
      <c r="DN1276" s="229"/>
      <c r="DO1276" s="229"/>
      <c r="DP1276" s="229"/>
      <c r="DQ1276" s="229"/>
      <c r="DR1276" s="229"/>
      <c r="DS1276" s="229"/>
      <c r="DT1276" s="229"/>
      <c r="DU1276" s="229"/>
      <c r="DV1276" s="229"/>
      <c r="DW1276" s="229"/>
      <c r="DX1276" s="229"/>
      <c r="DY1276" s="229"/>
      <c r="DZ1276" s="229"/>
      <c r="EA1276" s="229"/>
      <c r="EB1276" s="229"/>
      <c r="EC1276" s="229"/>
      <c r="ED1276" s="229"/>
      <c r="EE1276" s="229"/>
      <c r="EF1276" s="229"/>
      <c r="EG1276" s="229"/>
      <c r="EH1276" s="229"/>
      <c r="EI1276" s="229"/>
      <c r="EJ1276" s="229"/>
      <c r="EK1276" s="229"/>
      <c r="EL1276" s="229"/>
      <c r="EM1276" s="235"/>
      <c r="EN1276" s="234"/>
      <c r="EO1276" s="234"/>
      <c r="EP1276" s="233"/>
      <c r="EQ1276" s="233"/>
    </row>
    <row r="1277" spans="2:147" ht="11.25" customHeight="1">
      <c r="B1277" s="228"/>
      <c r="C1277" s="229"/>
      <c r="D1277" s="229"/>
      <c r="E1277" s="229"/>
      <c r="F1277" s="229"/>
      <c r="G1277" s="229"/>
      <c r="H1277" s="229"/>
      <c r="I1277" s="229"/>
      <c r="J1277" s="229"/>
      <c r="K1277" s="229"/>
      <c r="L1277" s="296"/>
      <c r="M1277" s="296"/>
      <c r="N1277" s="296"/>
      <c r="O1277" s="229"/>
      <c r="P1277" s="229"/>
      <c r="Q1277" s="229"/>
      <c r="R1277" s="229"/>
      <c r="S1277" s="229"/>
      <c r="T1277" s="229"/>
      <c r="U1277" s="229"/>
      <c r="V1277" s="229"/>
      <c r="W1277" s="229"/>
      <c r="X1277" s="229"/>
      <c r="Y1277" s="229"/>
      <c r="Z1277" s="229"/>
      <c r="AA1277" s="229"/>
      <c r="AB1277" s="229"/>
      <c r="AC1277" s="229"/>
      <c r="AD1277" s="229"/>
      <c r="AE1277" s="229"/>
      <c r="AF1277" s="229"/>
      <c r="AG1277" s="229"/>
      <c r="AH1277" s="229"/>
      <c r="AI1277" s="229"/>
      <c r="AJ1277" s="229"/>
      <c r="AK1277" s="229"/>
      <c r="AL1277" s="229"/>
      <c r="AM1277" s="229"/>
      <c r="AN1277" s="229"/>
      <c r="AO1277" s="229"/>
      <c r="AP1277" s="229"/>
      <c r="AQ1277" s="229"/>
      <c r="AR1277" s="229"/>
      <c r="AS1277" s="229"/>
      <c r="AT1277" s="229"/>
      <c r="AU1277" s="229"/>
      <c r="AV1277" s="229"/>
      <c r="AW1277" s="229"/>
      <c r="AX1277" s="229"/>
      <c r="AY1277" s="229"/>
      <c r="AZ1277" s="229"/>
      <c r="BA1277" s="229"/>
      <c r="BB1277" s="229"/>
      <c r="BC1277" s="229"/>
      <c r="BD1277" s="229"/>
      <c r="BE1277" s="229"/>
      <c r="BF1277" s="229"/>
      <c r="BG1277" s="229"/>
      <c r="BH1277" s="229"/>
      <c r="BI1277" s="229"/>
      <c r="BJ1277" s="229"/>
      <c r="BK1277" s="229"/>
      <c r="BL1277" s="229"/>
      <c r="BM1277" s="229"/>
      <c r="BN1277" s="229"/>
      <c r="BO1277" s="229"/>
      <c r="BP1277" s="229"/>
      <c r="BQ1277" s="229"/>
      <c r="BR1277" s="229"/>
      <c r="BS1277" s="296"/>
      <c r="BT1277" s="229"/>
      <c r="BU1277" s="229"/>
      <c r="BV1277" s="229"/>
      <c r="BW1277" s="229"/>
      <c r="BX1277" s="229"/>
      <c r="BY1277" s="229"/>
      <c r="BZ1277" s="229"/>
      <c r="CA1277" s="229"/>
      <c r="CB1277" s="229"/>
      <c r="CC1277" s="229"/>
      <c r="CD1277" s="229"/>
      <c r="CE1277" s="229"/>
      <c r="CF1277" s="229"/>
      <c r="CG1277" s="229"/>
      <c r="CH1277" s="229"/>
      <c r="CI1277" s="229"/>
      <c r="CJ1277" s="229"/>
      <c r="CK1277" s="229"/>
      <c r="CL1277" s="229"/>
      <c r="CM1277" s="229"/>
      <c r="CN1277" s="229"/>
      <c r="CO1277" s="229"/>
      <c r="CP1277" s="229"/>
      <c r="CQ1277" s="229"/>
      <c r="CR1277" s="229"/>
      <c r="CS1277" s="229"/>
      <c r="CT1277" s="229"/>
      <c r="CU1277" s="229"/>
      <c r="CV1277" s="229"/>
      <c r="CW1277" s="229"/>
      <c r="CX1277" s="229"/>
      <c r="CY1277" s="229"/>
      <c r="CZ1277" s="229"/>
      <c r="DA1277" s="229"/>
      <c r="DB1277" s="229"/>
      <c r="DC1277" s="229"/>
      <c r="DD1277" s="229"/>
      <c r="DE1277" s="229"/>
      <c r="DF1277" s="229"/>
      <c r="DG1277" s="229"/>
      <c r="DH1277" s="229"/>
      <c r="DI1277" s="229"/>
      <c r="DJ1277" s="229"/>
      <c r="DK1277" s="229"/>
      <c r="DL1277" s="229"/>
      <c r="DM1277" s="229"/>
      <c r="DN1277" s="229"/>
      <c r="DO1277" s="229"/>
      <c r="DP1277" s="229"/>
      <c r="DQ1277" s="229"/>
      <c r="DR1277" s="229"/>
      <c r="DS1277" s="229"/>
      <c r="DT1277" s="229"/>
      <c r="DU1277" s="229"/>
      <c r="DV1277" s="229"/>
      <c r="DW1277" s="229"/>
      <c r="DX1277" s="229"/>
      <c r="DY1277" s="229"/>
      <c r="DZ1277" s="229"/>
      <c r="EA1277" s="229"/>
      <c r="EB1277" s="229"/>
      <c r="EC1277" s="229"/>
      <c r="ED1277" s="229"/>
      <c r="EE1277" s="229"/>
      <c r="EF1277" s="229"/>
      <c r="EG1277" s="229"/>
      <c r="EH1277" s="229"/>
      <c r="EI1277" s="229"/>
      <c r="EJ1277" s="229"/>
      <c r="EK1277" s="229"/>
      <c r="EL1277" s="229"/>
      <c r="EM1277" s="234"/>
      <c r="EN1277" s="234"/>
      <c r="EO1277" s="234"/>
      <c r="EP1277" s="233"/>
      <c r="EQ1277" s="233"/>
    </row>
    <row r="1278" spans="2:147" ht="11.25" customHeight="1">
      <c r="B1278" s="228"/>
      <c r="C1278" s="229"/>
      <c r="D1278" s="229"/>
      <c r="E1278" s="229"/>
      <c r="F1278" s="229"/>
      <c r="G1278" s="229"/>
      <c r="H1278" s="229"/>
      <c r="I1278" s="229"/>
      <c r="J1278" s="229"/>
      <c r="K1278" s="229"/>
      <c r="L1278" s="296"/>
      <c r="M1278" s="296"/>
      <c r="N1278" s="296"/>
      <c r="O1278" s="229"/>
      <c r="P1278" s="229"/>
      <c r="Q1278" s="229"/>
      <c r="R1278" s="229"/>
      <c r="S1278" s="229"/>
      <c r="T1278" s="229"/>
      <c r="U1278" s="229"/>
      <c r="V1278" s="229"/>
      <c r="W1278" s="229"/>
      <c r="X1278" s="229"/>
      <c r="Y1278" s="229"/>
      <c r="Z1278" s="229"/>
      <c r="AA1278" s="229"/>
      <c r="AB1278" s="229"/>
      <c r="AC1278" s="229"/>
      <c r="AD1278" s="229"/>
      <c r="AE1278" s="229"/>
      <c r="AF1278" s="229"/>
      <c r="AG1278" s="229"/>
      <c r="AH1278" s="229"/>
      <c r="AI1278" s="229"/>
      <c r="AJ1278" s="229"/>
      <c r="AK1278" s="229"/>
      <c r="AL1278" s="229"/>
      <c r="AM1278" s="229"/>
      <c r="AN1278" s="229"/>
      <c r="AO1278" s="229"/>
      <c r="AP1278" s="229"/>
      <c r="AQ1278" s="229"/>
      <c r="AR1278" s="229"/>
      <c r="AS1278" s="229"/>
      <c r="AT1278" s="229"/>
      <c r="AU1278" s="229"/>
      <c r="AV1278" s="229"/>
      <c r="AW1278" s="229"/>
      <c r="AX1278" s="229"/>
      <c r="AY1278" s="229"/>
      <c r="AZ1278" s="229"/>
      <c r="BA1278" s="229"/>
      <c r="BB1278" s="229"/>
      <c r="BC1278" s="229"/>
      <c r="BD1278" s="229"/>
      <c r="BE1278" s="229"/>
      <c r="BF1278" s="229"/>
      <c r="BG1278" s="229"/>
      <c r="BH1278" s="229"/>
      <c r="BI1278" s="229"/>
      <c r="BJ1278" s="229"/>
      <c r="BK1278" s="229"/>
      <c r="BL1278" s="229"/>
      <c r="BM1278" s="229"/>
      <c r="BN1278" s="229"/>
      <c r="BO1278" s="229"/>
      <c r="BP1278" s="229"/>
      <c r="BQ1278" s="229"/>
      <c r="BR1278" s="229"/>
      <c r="BS1278" s="296"/>
      <c r="BT1278" s="229"/>
      <c r="BU1278" s="229"/>
      <c r="BV1278" s="229"/>
      <c r="BW1278" s="229"/>
      <c r="BX1278" s="229"/>
      <c r="BY1278" s="229"/>
      <c r="BZ1278" s="229"/>
      <c r="CA1278" s="229"/>
      <c r="CB1278" s="229"/>
      <c r="CC1278" s="229"/>
      <c r="CD1278" s="229"/>
      <c r="CE1278" s="229"/>
      <c r="CF1278" s="229"/>
      <c r="CG1278" s="229"/>
      <c r="CH1278" s="229"/>
      <c r="CI1278" s="229"/>
      <c r="CJ1278" s="229"/>
      <c r="CK1278" s="229"/>
      <c r="CL1278" s="229"/>
      <c r="CM1278" s="229"/>
      <c r="CN1278" s="229"/>
      <c r="CO1278" s="229"/>
      <c r="CP1278" s="229"/>
      <c r="CQ1278" s="229"/>
      <c r="CR1278" s="229"/>
      <c r="CS1278" s="229"/>
      <c r="CT1278" s="229"/>
      <c r="CU1278" s="229"/>
      <c r="CV1278" s="229"/>
      <c r="CW1278" s="229"/>
      <c r="CX1278" s="229"/>
      <c r="CY1278" s="229"/>
      <c r="CZ1278" s="229"/>
      <c r="DA1278" s="229"/>
      <c r="DB1278" s="229"/>
      <c r="DC1278" s="229"/>
      <c r="DD1278" s="229"/>
      <c r="DE1278" s="229"/>
      <c r="DF1278" s="229"/>
      <c r="DG1278" s="229"/>
      <c r="DH1278" s="229"/>
      <c r="DI1278" s="229"/>
      <c r="DJ1278" s="229"/>
      <c r="DK1278" s="229"/>
      <c r="DL1278" s="229"/>
      <c r="DM1278" s="229"/>
      <c r="DN1278" s="229"/>
      <c r="DO1278" s="229"/>
      <c r="DP1278" s="229"/>
      <c r="DQ1278" s="229"/>
      <c r="DR1278" s="229"/>
      <c r="DS1278" s="229"/>
      <c r="DT1278" s="229"/>
      <c r="DU1278" s="229"/>
      <c r="DV1278" s="229"/>
      <c r="DW1278" s="229"/>
      <c r="DX1278" s="229"/>
      <c r="DY1278" s="229"/>
      <c r="DZ1278" s="229"/>
      <c r="EA1278" s="229"/>
      <c r="EB1278" s="229"/>
      <c r="EC1278" s="229"/>
      <c r="ED1278" s="229"/>
      <c r="EE1278" s="229"/>
      <c r="EF1278" s="229"/>
      <c r="EG1278" s="229"/>
      <c r="EH1278" s="229"/>
      <c r="EI1278" s="229"/>
      <c r="EJ1278" s="229"/>
      <c r="EK1278" s="229"/>
      <c r="EL1278" s="229"/>
      <c r="EM1278" s="234"/>
      <c r="EN1278" s="234"/>
      <c r="EO1278" s="234"/>
      <c r="EP1278" s="233"/>
      <c r="EQ1278" s="233"/>
    </row>
    <row r="1279" spans="2:147" ht="11.25" customHeight="1">
      <c r="B1279" s="231"/>
      <c r="C1279" s="229"/>
      <c r="D1279" s="229"/>
      <c r="E1279" s="229"/>
      <c r="F1279" s="229"/>
      <c r="G1279" s="229"/>
      <c r="H1279" s="229"/>
      <c r="I1279" s="229"/>
      <c r="J1279" s="229"/>
      <c r="K1279" s="229"/>
      <c r="L1279" s="296"/>
      <c r="M1279" s="296"/>
      <c r="N1279" s="296"/>
      <c r="O1279" s="229"/>
      <c r="P1279" s="229"/>
      <c r="Q1279" s="229"/>
      <c r="R1279" s="229"/>
      <c r="S1279" s="229"/>
      <c r="T1279" s="229"/>
      <c r="U1279" s="229"/>
      <c r="V1279" s="229"/>
      <c r="W1279" s="229"/>
      <c r="X1279" s="229"/>
      <c r="Y1279" s="229"/>
      <c r="Z1279" s="229"/>
      <c r="AA1279" s="229"/>
      <c r="AB1279" s="229"/>
      <c r="AC1279" s="229"/>
      <c r="AD1279" s="229"/>
      <c r="AE1279" s="229"/>
      <c r="AF1279" s="229"/>
      <c r="AG1279" s="229"/>
      <c r="AH1279" s="229"/>
      <c r="AI1279" s="229"/>
      <c r="AJ1279" s="229"/>
      <c r="AK1279" s="229"/>
      <c r="AL1279" s="229"/>
      <c r="AM1279" s="229"/>
      <c r="AN1279" s="229"/>
      <c r="AO1279" s="229"/>
      <c r="AP1279" s="229"/>
      <c r="AQ1279" s="229"/>
      <c r="AR1279" s="229"/>
      <c r="AS1279" s="229"/>
      <c r="AT1279" s="229"/>
      <c r="AU1279" s="229"/>
      <c r="AV1279" s="229"/>
      <c r="AW1279" s="229"/>
      <c r="AX1279" s="229"/>
      <c r="AY1279" s="229"/>
      <c r="AZ1279" s="229"/>
      <c r="BA1279" s="229"/>
      <c r="BB1279" s="229"/>
      <c r="BC1279" s="229"/>
      <c r="BD1279" s="229"/>
      <c r="BE1279" s="229"/>
      <c r="BF1279" s="229"/>
      <c r="BG1279" s="229"/>
      <c r="BH1279" s="229"/>
      <c r="BI1279" s="229"/>
      <c r="BJ1279" s="229"/>
      <c r="BK1279" s="229"/>
      <c r="BL1279" s="229"/>
      <c r="BM1279" s="229"/>
      <c r="BN1279" s="229"/>
      <c r="BO1279" s="229"/>
      <c r="BP1279" s="229"/>
      <c r="BQ1279" s="229"/>
      <c r="BR1279" s="229"/>
      <c r="BS1279" s="296"/>
      <c r="BT1279" s="229"/>
      <c r="BU1279" s="229"/>
      <c r="BV1279" s="229"/>
      <c r="BW1279" s="229"/>
      <c r="BX1279" s="229"/>
      <c r="BY1279" s="229"/>
      <c r="BZ1279" s="229"/>
      <c r="CA1279" s="229"/>
      <c r="CB1279" s="229"/>
      <c r="CC1279" s="229"/>
      <c r="CD1279" s="229"/>
      <c r="CE1279" s="229"/>
      <c r="CF1279" s="229"/>
      <c r="CG1279" s="229"/>
      <c r="CH1279" s="229"/>
      <c r="CI1279" s="229"/>
      <c r="CJ1279" s="229"/>
      <c r="CK1279" s="229"/>
      <c r="CL1279" s="229"/>
      <c r="CM1279" s="229"/>
      <c r="CN1279" s="229"/>
      <c r="CO1279" s="229"/>
      <c r="CP1279" s="229"/>
      <c r="CQ1279" s="229"/>
      <c r="CR1279" s="229"/>
      <c r="CS1279" s="229"/>
      <c r="CT1279" s="229"/>
      <c r="CU1279" s="229"/>
      <c r="CV1279" s="229"/>
      <c r="CW1279" s="229"/>
      <c r="CX1279" s="229"/>
      <c r="CY1279" s="229"/>
      <c r="CZ1279" s="229"/>
      <c r="DA1279" s="229"/>
      <c r="DB1279" s="229"/>
      <c r="DC1279" s="229"/>
      <c r="DD1279" s="229"/>
      <c r="DE1279" s="229"/>
      <c r="DF1279" s="229"/>
      <c r="DG1279" s="229"/>
      <c r="DH1279" s="229"/>
      <c r="DI1279" s="229"/>
      <c r="DJ1279" s="229"/>
      <c r="DK1279" s="229"/>
      <c r="DL1279" s="229"/>
      <c r="DM1279" s="229"/>
      <c r="DN1279" s="229"/>
      <c r="DO1279" s="229"/>
      <c r="DP1279" s="229"/>
      <c r="DQ1279" s="229"/>
      <c r="DR1279" s="229"/>
      <c r="DS1279" s="229"/>
      <c r="DT1279" s="229"/>
      <c r="DU1279" s="229"/>
      <c r="DV1279" s="229"/>
      <c r="DW1279" s="229"/>
      <c r="DX1279" s="229"/>
      <c r="DY1279" s="229"/>
      <c r="DZ1279" s="229"/>
      <c r="EA1279" s="229"/>
      <c r="EB1279" s="229"/>
      <c r="EC1279" s="229"/>
      <c r="ED1279" s="229"/>
      <c r="EE1279" s="229"/>
      <c r="EF1279" s="229"/>
      <c r="EG1279" s="229"/>
      <c r="EH1279" s="229"/>
      <c r="EI1279" s="229"/>
      <c r="EJ1279" s="229"/>
      <c r="EK1279" s="229"/>
      <c r="EL1279" s="229"/>
      <c r="EM1279" s="232"/>
      <c r="EN1279" s="232"/>
      <c r="EO1279" s="232"/>
      <c r="EP1279" s="236"/>
      <c r="EQ1279" s="236"/>
    </row>
    <row r="1280" spans="2:147" ht="11.25" customHeight="1">
      <c r="B1280" s="228"/>
      <c r="C1280" s="229"/>
      <c r="D1280" s="229"/>
      <c r="E1280" s="229"/>
      <c r="F1280" s="229"/>
      <c r="G1280" s="229"/>
      <c r="H1280" s="229"/>
      <c r="I1280" s="229"/>
      <c r="J1280" s="229"/>
      <c r="K1280" s="229"/>
      <c r="L1280" s="296"/>
      <c r="M1280" s="296"/>
      <c r="N1280" s="296"/>
      <c r="O1280" s="229"/>
      <c r="P1280" s="229"/>
      <c r="Q1280" s="229"/>
      <c r="R1280" s="229"/>
      <c r="S1280" s="229"/>
      <c r="T1280" s="229"/>
      <c r="U1280" s="229"/>
      <c r="V1280" s="229"/>
      <c r="W1280" s="229"/>
      <c r="X1280" s="229"/>
      <c r="Y1280" s="229"/>
      <c r="Z1280" s="229"/>
      <c r="AA1280" s="229"/>
      <c r="AB1280" s="229"/>
      <c r="AC1280" s="229"/>
      <c r="AD1280" s="229"/>
      <c r="AE1280" s="229"/>
      <c r="AF1280" s="229"/>
      <c r="AG1280" s="229"/>
      <c r="AH1280" s="229"/>
      <c r="AI1280" s="229"/>
      <c r="AJ1280" s="229"/>
      <c r="AK1280" s="229"/>
      <c r="AL1280" s="229"/>
      <c r="AM1280" s="229"/>
      <c r="AN1280" s="229"/>
      <c r="AO1280" s="229"/>
      <c r="AP1280" s="229"/>
      <c r="AQ1280" s="229"/>
      <c r="AR1280" s="229"/>
      <c r="AS1280" s="229"/>
      <c r="AT1280" s="229"/>
      <c r="AU1280" s="229"/>
      <c r="AV1280" s="229"/>
      <c r="AW1280" s="229"/>
      <c r="AX1280" s="229"/>
      <c r="AY1280" s="229"/>
      <c r="AZ1280" s="229"/>
      <c r="BA1280" s="229"/>
      <c r="BB1280" s="229"/>
      <c r="BC1280" s="229"/>
      <c r="BD1280" s="229"/>
      <c r="BE1280" s="229"/>
      <c r="BF1280" s="229"/>
      <c r="BG1280" s="229"/>
      <c r="BH1280" s="229"/>
      <c r="BI1280" s="229"/>
      <c r="BJ1280" s="229"/>
      <c r="BK1280" s="229"/>
      <c r="BL1280" s="229"/>
      <c r="BM1280" s="229"/>
      <c r="BN1280" s="229"/>
      <c r="BO1280" s="229"/>
      <c r="BP1280" s="229"/>
      <c r="BQ1280" s="229"/>
      <c r="BR1280" s="229"/>
      <c r="BS1280" s="296"/>
      <c r="BT1280" s="229"/>
      <c r="BU1280" s="229"/>
      <c r="BV1280" s="229"/>
      <c r="BW1280" s="229"/>
      <c r="BX1280" s="229"/>
      <c r="BY1280" s="229"/>
      <c r="BZ1280" s="229"/>
      <c r="CA1280" s="229"/>
      <c r="CB1280" s="229"/>
      <c r="CC1280" s="229"/>
      <c r="CD1280" s="229"/>
      <c r="CE1280" s="229"/>
      <c r="CF1280" s="229"/>
      <c r="CG1280" s="229"/>
      <c r="CH1280" s="229"/>
      <c r="CI1280" s="229"/>
      <c r="CJ1280" s="229"/>
      <c r="CK1280" s="229"/>
      <c r="CL1280" s="229"/>
      <c r="CM1280" s="229"/>
      <c r="CN1280" s="229"/>
      <c r="CO1280" s="229"/>
      <c r="CP1280" s="229"/>
      <c r="CQ1280" s="229"/>
      <c r="CR1280" s="229"/>
      <c r="CS1280" s="229"/>
      <c r="CT1280" s="229"/>
      <c r="CU1280" s="229"/>
      <c r="CV1280" s="229"/>
      <c r="CW1280" s="229"/>
      <c r="CX1280" s="229"/>
      <c r="CY1280" s="229"/>
      <c r="CZ1280" s="229"/>
      <c r="DA1280" s="229"/>
      <c r="DB1280" s="229"/>
      <c r="DC1280" s="229"/>
      <c r="DD1280" s="229"/>
      <c r="DE1280" s="229"/>
      <c r="DF1280" s="229"/>
      <c r="DG1280" s="229"/>
      <c r="DH1280" s="229"/>
      <c r="DI1280" s="229"/>
      <c r="DJ1280" s="229"/>
      <c r="DK1280" s="229"/>
      <c r="DL1280" s="229"/>
      <c r="DM1280" s="229"/>
      <c r="DN1280" s="229"/>
      <c r="DO1280" s="229"/>
      <c r="DP1280" s="229"/>
      <c r="DQ1280" s="229"/>
      <c r="DR1280" s="229"/>
      <c r="DS1280" s="229"/>
      <c r="DT1280" s="229"/>
      <c r="DU1280" s="229"/>
      <c r="DV1280" s="229"/>
      <c r="DW1280" s="229"/>
      <c r="DX1280" s="229"/>
      <c r="DY1280" s="229"/>
      <c r="DZ1280" s="229"/>
      <c r="EA1280" s="229"/>
      <c r="EB1280" s="229"/>
      <c r="EC1280" s="229"/>
      <c r="ED1280" s="229"/>
      <c r="EE1280" s="229"/>
      <c r="EF1280" s="229"/>
      <c r="EG1280" s="229"/>
      <c r="EH1280" s="229"/>
      <c r="EI1280" s="229"/>
      <c r="EJ1280" s="229"/>
      <c r="EK1280" s="229"/>
      <c r="EL1280" s="229"/>
      <c r="EM1280" s="234"/>
      <c r="EN1280" s="234"/>
      <c r="EO1280" s="234"/>
      <c r="EP1280" s="233"/>
      <c r="EQ1280" s="233"/>
    </row>
    <row r="1281" spans="2:147" ht="11.25" customHeight="1">
      <c r="B1281" s="228"/>
      <c r="C1281" s="229"/>
      <c r="D1281" s="229"/>
      <c r="E1281" s="229"/>
      <c r="F1281" s="229"/>
      <c r="G1281" s="229"/>
      <c r="H1281" s="229"/>
      <c r="I1281" s="229"/>
      <c r="J1281" s="229"/>
      <c r="K1281" s="229"/>
      <c r="L1281" s="296"/>
      <c r="M1281" s="296"/>
      <c r="N1281" s="296"/>
      <c r="O1281" s="229"/>
      <c r="P1281" s="229"/>
      <c r="Q1281" s="229"/>
      <c r="R1281" s="229"/>
      <c r="S1281" s="229"/>
      <c r="T1281" s="229"/>
      <c r="U1281" s="229"/>
      <c r="V1281" s="229"/>
      <c r="W1281" s="229"/>
      <c r="X1281" s="229"/>
      <c r="Y1281" s="229"/>
      <c r="Z1281" s="229"/>
      <c r="AA1281" s="229"/>
      <c r="AB1281" s="229"/>
      <c r="AC1281" s="229"/>
      <c r="AD1281" s="229"/>
      <c r="AE1281" s="229"/>
      <c r="AF1281" s="229"/>
      <c r="AG1281" s="229"/>
      <c r="AH1281" s="229"/>
      <c r="AI1281" s="229"/>
      <c r="AJ1281" s="229"/>
      <c r="AK1281" s="229"/>
      <c r="AL1281" s="229"/>
      <c r="AM1281" s="229"/>
      <c r="AN1281" s="229"/>
      <c r="AO1281" s="229"/>
      <c r="AP1281" s="229"/>
      <c r="AQ1281" s="229"/>
      <c r="AR1281" s="229"/>
      <c r="AS1281" s="229"/>
      <c r="AT1281" s="229"/>
      <c r="AU1281" s="229"/>
      <c r="AV1281" s="229"/>
      <c r="AW1281" s="229"/>
      <c r="AX1281" s="229"/>
      <c r="AY1281" s="229"/>
      <c r="AZ1281" s="229"/>
      <c r="BA1281" s="229"/>
      <c r="BB1281" s="229"/>
      <c r="BC1281" s="229"/>
      <c r="BD1281" s="229"/>
      <c r="BE1281" s="229"/>
      <c r="BF1281" s="229"/>
      <c r="BG1281" s="229"/>
      <c r="BH1281" s="229"/>
      <c r="BI1281" s="229"/>
      <c r="BJ1281" s="229"/>
      <c r="BK1281" s="229"/>
      <c r="BL1281" s="229"/>
      <c r="BM1281" s="229"/>
      <c r="BN1281" s="229"/>
      <c r="BO1281" s="229"/>
      <c r="BP1281" s="229"/>
      <c r="BQ1281" s="229"/>
      <c r="BR1281" s="229"/>
      <c r="BS1281" s="296"/>
      <c r="BT1281" s="229"/>
      <c r="BU1281" s="229"/>
      <c r="BV1281" s="229"/>
      <c r="BW1281" s="229"/>
      <c r="BX1281" s="229"/>
      <c r="BY1281" s="229"/>
      <c r="BZ1281" s="229"/>
      <c r="CA1281" s="229"/>
      <c r="CB1281" s="229"/>
      <c r="CC1281" s="229"/>
      <c r="CD1281" s="229"/>
      <c r="CE1281" s="229"/>
      <c r="CF1281" s="229"/>
      <c r="CG1281" s="229"/>
      <c r="CH1281" s="229"/>
      <c r="CI1281" s="229"/>
      <c r="CJ1281" s="229"/>
      <c r="CK1281" s="229"/>
      <c r="CL1281" s="229"/>
      <c r="CM1281" s="229"/>
      <c r="CN1281" s="229"/>
      <c r="CO1281" s="229"/>
      <c r="CP1281" s="229"/>
      <c r="CQ1281" s="229"/>
      <c r="CR1281" s="229"/>
      <c r="CS1281" s="229"/>
      <c r="CT1281" s="229"/>
      <c r="CU1281" s="229"/>
      <c r="CV1281" s="229"/>
      <c r="CW1281" s="229"/>
      <c r="CX1281" s="229"/>
      <c r="CY1281" s="229"/>
      <c r="CZ1281" s="229"/>
      <c r="DA1281" s="229"/>
      <c r="DB1281" s="229"/>
      <c r="DC1281" s="229"/>
      <c r="DD1281" s="229"/>
      <c r="DE1281" s="229"/>
      <c r="DF1281" s="229"/>
      <c r="DG1281" s="229"/>
      <c r="DH1281" s="229"/>
      <c r="DI1281" s="229"/>
      <c r="DJ1281" s="229"/>
      <c r="DK1281" s="229"/>
      <c r="DL1281" s="229"/>
      <c r="DM1281" s="229"/>
      <c r="DN1281" s="229"/>
      <c r="DO1281" s="229"/>
      <c r="DP1281" s="229"/>
      <c r="DQ1281" s="229"/>
      <c r="DR1281" s="229"/>
      <c r="DS1281" s="229"/>
      <c r="DT1281" s="229"/>
      <c r="DU1281" s="229"/>
      <c r="DV1281" s="229"/>
      <c r="DW1281" s="229"/>
      <c r="DX1281" s="229"/>
      <c r="DY1281" s="229"/>
      <c r="DZ1281" s="229"/>
      <c r="EA1281" s="229"/>
      <c r="EB1281" s="229"/>
      <c r="EC1281" s="229"/>
      <c r="ED1281" s="229"/>
      <c r="EE1281" s="229"/>
      <c r="EF1281" s="229"/>
      <c r="EG1281" s="229"/>
      <c r="EH1281" s="229"/>
      <c r="EI1281" s="229"/>
      <c r="EJ1281" s="229"/>
      <c r="EK1281" s="229"/>
      <c r="EL1281" s="229"/>
      <c r="EM1281" s="234"/>
      <c r="EN1281" s="234"/>
      <c r="EO1281" s="234"/>
      <c r="EP1281" s="233"/>
      <c r="EQ1281" s="233"/>
    </row>
    <row r="1282" spans="2:147" ht="11.25" customHeight="1">
      <c r="B1282" s="228"/>
      <c r="C1282" s="229"/>
      <c r="D1282" s="229"/>
      <c r="E1282" s="229"/>
      <c r="F1282" s="229"/>
      <c r="G1282" s="229"/>
      <c r="H1282" s="229"/>
      <c r="I1282" s="229"/>
      <c r="J1282" s="229"/>
      <c r="K1282" s="229"/>
      <c r="L1282" s="296"/>
      <c r="M1282" s="296"/>
      <c r="N1282" s="296"/>
      <c r="O1282" s="229"/>
      <c r="P1282" s="229"/>
      <c r="Q1282" s="229"/>
      <c r="R1282" s="229"/>
      <c r="S1282" s="229"/>
      <c r="T1282" s="229"/>
      <c r="U1282" s="229"/>
      <c r="V1282" s="229"/>
      <c r="W1282" s="229"/>
      <c r="X1282" s="229"/>
      <c r="Y1282" s="229"/>
      <c r="Z1282" s="229"/>
      <c r="AA1282" s="229"/>
      <c r="AB1282" s="229"/>
      <c r="AC1282" s="229"/>
      <c r="AD1282" s="229"/>
      <c r="AE1282" s="229"/>
      <c r="AF1282" s="229"/>
      <c r="AG1282" s="229"/>
      <c r="AH1282" s="229"/>
      <c r="AI1282" s="229"/>
      <c r="AJ1282" s="229"/>
      <c r="AK1282" s="229"/>
      <c r="AL1282" s="229"/>
      <c r="AM1282" s="229"/>
      <c r="AN1282" s="229"/>
      <c r="AO1282" s="229"/>
      <c r="AP1282" s="229"/>
      <c r="AQ1282" s="229"/>
      <c r="AR1282" s="229"/>
      <c r="AS1282" s="229"/>
      <c r="AT1282" s="229"/>
      <c r="AU1282" s="229"/>
      <c r="AV1282" s="229"/>
      <c r="AW1282" s="229"/>
      <c r="AX1282" s="229"/>
      <c r="AY1282" s="229"/>
      <c r="AZ1282" s="229"/>
      <c r="BA1282" s="229"/>
      <c r="BB1282" s="229"/>
      <c r="BC1282" s="229"/>
      <c r="BD1282" s="229"/>
      <c r="BE1282" s="229"/>
      <c r="BF1282" s="229"/>
      <c r="BG1282" s="229"/>
      <c r="BH1282" s="229"/>
      <c r="BI1282" s="229"/>
      <c r="BJ1282" s="229"/>
      <c r="BK1282" s="229"/>
      <c r="BL1282" s="229"/>
      <c r="BM1282" s="229"/>
      <c r="BN1282" s="229"/>
      <c r="BO1282" s="229"/>
      <c r="BP1282" s="229"/>
      <c r="BQ1282" s="229"/>
      <c r="BR1282" s="229"/>
      <c r="BS1282" s="296"/>
      <c r="BT1282" s="229"/>
      <c r="BU1282" s="229"/>
      <c r="BV1282" s="229"/>
      <c r="BW1282" s="229"/>
      <c r="BX1282" s="229"/>
      <c r="BY1282" s="229"/>
      <c r="BZ1282" s="229"/>
      <c r="CA1282" s="229"/>
      <c r="CB1282" s="229"/>
      <c r="CC1282" s="229"/>
      <c r="CD1282" s="229"/>
      <c r="CE1282" s="229"/>
      <c r="CF1282" s="229"/>
      <c r="CG1282" s="229"/>
      <c r="CH1282" s="229"/>
      <c r="CI1282" s="229"/>
      <c r="CJ1282" s="229"/>
      <c r="CK1282" s="229"/>
      <c r="CL1282" s="229"/>
      <c r="CM1282" s="229"/>
      <c r="CN1282" s="229"/>
      <c r="CO1282" s="229"/>
      <c r="CP1282" s="229"/>
      <c r="CQ1282" s="229"/>
      <c r="CR1282" s="229"/>
      <c r="CS1282" s="229"/>
      <c r="CT1282" s="229"/>
      <c r="CU1282" s="229"/>
      <c r="CV1282" s="229"/>
      <c r="CW1282" s="229"/>
      <c r="CX1282" s="229"/>
      <c r="CY1282" s="229"/>
      <c r="CZ1282" s="229"/>
      <c r="DA1282" s="229"/>
      <c r="DB1282" s="229"/>
      <c r="DC1282" s="229"/>
      <c r="DD1282" s="229"/>
      <c r="DE1282" s="229"/>
      <c r="DF1282" s="229"/>
      <c r="DG1282" s="229"/>
      <c r="DH1282" s="229"/>
      <c r="DI1282" s="229"/>
      <c r="DJ1282" s="229"/>
      <c r="DK1282" s="229"/>
      <c r="DL1282" s="229"/>
      <c r="DM1282" s="229"/>
      <c r="DN1282" s="229"/>
      <c r="DO1282" s="229"/>
      <c r="DP1282" s="229"/>
      <c r="DQ1282" s="229"/>
      <c r="DR1282" s="229"/>
      <c r="DS1282" s="229"/>
      <c r="DT1282" s="229"/>
      <c r="DU1282" s="229"/>
      <c r="DV1282" s="229"/>
      <c r="DW1282" s="229"/>
      <c r="DX1282" s="229"/>
      <c r="DY1282" s="229"/>
      <c r="DZ1282" s="229"/>
      <c r="EA1282" s="229"/>
      <c r="EB1282" s="229"/>
      <c r="EC1282" s="229"/>
      <c r="ED1282" s="229"/>
      <c r="EE1282" s="229"/>
      <c r="EF1282" s="229"/>
      <c r="EG1282" s="229"/>
      <c r="EH1282" s="229"/>
      <c r="EI1282" s="229"/>
      <c r="EJ1282" s="229"/>
      <c r="EK1282" s="229"/>
      <c r="EL1282" s="229"/>
      <c r="EM1282" s="234"/>
      <c r="EN1282" s="234"/>
      <c r="EO1282" s="234"/>
      <c r="EP1282" s="233"/>
      <c r="EQ1282" s="233"/>
    </row>
    <row r="1283" spans="2:147" ht="11.25" customHeight="1">
      <c r="B1283" s="228"/>
      <c r="C1283" s="229"/>
      <c r="D1283" s="229"/>
      <c r="E1283" s="229"/>
      <c r="F1283" s="229"/>
      <c r="G1283" s="229"/>
      <c r="H1283" s="229"/>
      <c r="I1283" s="229"/>
      <c r="J1283" s="229"/>
      <c r="K1283" s="229"/>
      <c r="L1283" s="296"/>
      <c r="M1283" s="296"/>
      <c r="N1283" s="296"/>
      <c r="O1283" s="229"/>
      <c r="P1283" s="229"/>
      <c r="Q1283" s="229"/>
      <c r="R1283" s="229"/>
      <c r="S1283" s="229"/>
      <c r="T1283" s="229"/>
      <c r="U1283" s="229"/>
      <c r="V1283" s="229"/>
      <c r="W1283" s="229"/>
      <c r="X1283" s="229"/>
      <c r="Y1283" s="229"/>
      <c r="Z1283" s="229"/>
      <c r="AA1283" s="229"/>
      <c r="AB1283" s="229"/>
      <c r="AC1283" s="229"/>
      <c r="AD1283" s="229"/>
      <c r="AE1283" s="229"/>
      <c r="AF1283" s="229"/>
      <c r="AG1283" s="229"/>
      <c r="AH1283" s="229"/>
      <c r="AI1283" s="229"/>
      <c r="AJ1283" s="229"/>
      <c r="AK1283" s="229"/>
      <c r="AL1283" s="229"/>
      <c r="AM1283" s="229"/>
      <c r="AN1283" s="229"/>
      <c r="AO1283" s="229"/>
      <c r="AP1283" s="229"/>
      <c r="AQ1283" s="229"/>
      <c r="AR1283" s="229"/>
      <c r="AS1283" s="229"/>
      <c r="AT1283" s="229"/>
      <c r="AU1283" s="229"/>
      <c r="AV1283" s="229"/>
      <c r="AW1283" s="229"/>
      <c r="AX1283" s="229"/>
      <c r="AY1283" s="229"/>
      <c r="AZ1283" s="229"/>
      <c r="BA1283" s="229"/>
      <c r="BB1283" s="229"/>
      <c r="BC1283" s="229"/>
      <c r="BD1283" s="229"/>
      <c r="BE1283" s="229"/>
      <c r="BF1283" s="229"/>
      <c r="BG1283" s="229"/>
      <c r="BH1283" s="229"/>
      <c r="BI1283" s="229"/>
      <c r="BJ1283" s="229"/>
      <c r="BK1283" s="229"/>
      <c r="BL1283" s="229"/>
      <c r="BM1283" s="229"/>
      <c r="BN1283" s="229"/>
      <c r="BO1283" s="229"/>
      <c r="BP1283" s="229"/>
      <c r="BQ1283" s="229"/>
      <c r="BR1283" s="229"/>
      <c r="BS1283" s="296"/>
      <c r="BT1283" s="229"/>
      <c r="BU1283" s="229"/>
      <c r="BV1283" s="229"/>
      <c r="BW1283" s="229"/>
      <c r="BX1283" s="229"/>
      <c r="BY1283" s="229"/>
      <c r="BZ1283" s="229"/>
      <c r="CA1283" s="229"/>
      <c r="CB1283" s="229"/>
      <c r="CC1283" s="229"/>
      <c r="CD1283" s="229"/>
      <c r="CE1283" s="229"/>
      <c r="CF1283" s="229"/>
      <c r="CG1283" s="229"/>
      <c r="CH1283" s="229"/>
      <c r="CI1283" s="229"/>
      <c r="CJ1283" s="229"/>
      <c r="CK1283" s="229"/>
      <c r="CL1283" s="229"/>
      <c r="CM1283" s="229"/>
      <c r="CN1283" s="229"/>
      <c r="CO1283" s="229"/>
      <c r="CP1283" s="229"/>
      <c r="CQ1283" s="229"/>
      <c r="CR1283" s="229"/>
      <c r="CS1283" s="229"/>
      <c r="CT1283" s="229"/>
      <c r="CU1283" s="229"/>
      <c r="CV1283" s="229"/>
      <c r="CW1283" s="229"/>
      <c r="CX1283" s="229"/>
      <c r="CY1283" s="229"/>
      <c r="CZ1283" s="229"/>
      <c r="DA1283" s="229"/>
      <c r="DB1283" s="229"/>
      <c r="DC1283" s="229"/>
      <c r="DD1283" s="229"/>
      <c r="DE1283" s="229"/>
      <c r="DF1283" s="229"/>
      <c r="DG1283" s="229"/>
      <c r="DH1283" s="229"/>
      <c r="DI1283" s="229"/>
      <c r="DJ1283" s="229"/>
      <c r="DK1283" s="229"/>
      <c r="DL1283" s="229"/>
      <c r="DM1283" s="229"/>
      <c r="DN1283" s="229"/>
      <c r="DO1283" s="229"/>
      <c r="DP1283" s="229"/>
      <c r="DQ1283" s="229"/>
      <c r="DR1283" s="229"/>
      <c r="DS1283" s="229"/>
      <c r="DT1283" s="229"/>
      <c r="DU1283" s="229"/>
      <c r="DV1283" s="229"/>
      <c r="DW1283" s="229"/>
      <c r="DX1283" s="229"/>
      <c r="DY1283" s="229"/>
      <c r="DZ1283" s="229"/>
      <c r="EA1283" s="229"/>
      <c r="EB1283" s="229"/>
      <c r="EC1283" s="229"/>
      <c r="ED1283" s="229"/>
      <c r="EE1283" s="229"/>
      <c r="EF1283" s="229"/>
      <c r="EG1283" s="229"/>
      <c r="EH1283" s="229"/>
      <c r="EI1283" s="229"/>
      <c r="EJ1283" s="229"/>
      <c r="EK1283" s="229"/>
      <c r="EL1283" s="229"/>
      <c r="EM1283" s="234"/>
      <c r="EN1283" s="234"/>
      <c r="EO1283" s="234"/>
      <c r="EP1283" s="233"/>
      <c r="EQ1283" s="233"/>
    </row>
    <row r="1284" spans="2:147" ht="11.25" customHeight="1">
      <c r="B1284" s="228"/>
      <c r="C1284" s="229"/>
      <c r="D1284" s="229"/>
      <c r="E1284" s="229"/>
      <c r="F1284" s="229"/>
      <c r="G1284" s="229"/>
      <c r="H1284" s="229"/>
      <c r="I1284" s="229"/>
      <c r="J1284" s="229"/>
      <c r="K1284" s="229"/>
      <c r="L1284" s="296"/>
      <c r="M1284" s="296"/>
      <c r="N1284" s="296"/>
      <c r="O1284" s="229"/>
      <c r="P1284" s="229"/>
      <c r="Q1284" s="229"/>
      <c r="R1284" s="229"/>
      <c r="S1284" s="229"/>
      <c r="T1284" s="229"/>
      <c r="U1284" s="229"/>
      <c r="V1284" s="229"/>
      <c r="W1284" s="229"/>
      <c r="X1284" s="229"/>
      <c r="Y1284" s="229"/>
      <c r="Z1284" s="229"/>
      <c r="AA1284" s="229"/>
      <c r="AB1284" s="229"/>
      <c r="AC1284" s="229"/>
      <c r="AD1284" s="229"/>
      <c r="AE1284" s="229"/>
      <c r="AF1284" s="229"/>
      <c r="AG1284" s="229"/>
      <c r="AH1284" s="229"/>
      <c r="AI1284" s="229"/>
      <c r="AJ1284" s="229"/>
      <c r="AK1284" s="229"/>
      <c r="AL1284" s="229"/>
      <c r="AM1284" s="229"/>
      <c r="AN1284" s="229"/>
      <c r="AO1284" s="229"/>
      <c r="AP1284" s="229"/>
      <c r="AQ1284" s="229"/>
      <c r="AR1284" s="229"/>
      <c r="AS1284" s="229"/>
      <c r="AT1284" s="229"/>
      <c r="AU1284" s="229"/>
      <c r="AV1284" s="229"/>
      <c r="AW1284" s="229"/>
      <c r="AX1284" s="229"/>
      <c r="AY1284" s="229"/>
      <c r="AZ1284" s="229"/>
      <c r="BA1284" s="229"/>
      <c r="BB1284" s="229"/>
      <c r="BC1284" s="229"/>
      <c r="BD1284" s="229"/>
      <c r="BE1284" s="229"/>
      <c r="BF1284" s="229"/>
      <c r="BG1284" s="229"/>
      <c r="BH1284" s="229"/>
      <c r="BI1284" s="229"/>
      <c r="BJ1284" s="229"/>
      <c r="BK1284" s="229"/>
      <c r="BL1284" s="229"/>
      <c r="BM1284" s="229"/>
      <c r="BN1284" s="229"/>
      <c r="BO1284" s="229"/>
      <c r="BP1284" s="229"/>
      <c r="BQ1284" s="229"/>
      <c r="BR1284" s="229"/>
      <c r="BS1284" s="296"/>
      <c r="BT1284" s="229"/>
      <c r="BU1284" s="229"/>
      <c r="BV1284" s="229"/>
      <c r="BW1284" s="229"/>
      <c r="BX1284" s="229"/>
      <c r="BY1284" s="229"/>
      <c r="BZ1284" s="229"/>
      <c r="CA1284" s="229"/>
      <c r="CB1284" s="229"/>
      <c r="CC1284" s="229"/>
      <c r="CD1284" s="229"/>
      <c r="CE1284" s="229"/>
      <c r="CF1284" s="229"/>
      <c r="CG1284" s="229"/>
      <c r="CH1284" s="229"/>
      <c r="CI1284" s="229"/>
      <c r="CJ1284" s="229"/>
      <c r="CK1284" s="229"/>
      <c r="CL1284" s="229"/>
      <c r="CM1284" s="229"/>
      <c r="CN1284" s="229"/>
      <c r="CO1284" s="229"/>
      <c r="CP1284" s="229"/>
      <c r="CQ1284" s="229"/>
      <c r="CR1284" s="229"/>
      <c r="CS1284" s="229"/>
      <c r="CT1284" s="229"/>
      <c r="CU1284" s="229"/>
      <c r="CV1284" s="229"/>
      <c r="CW1284" s="229"/>
      <c r="CX1284" s="229"/>
      <c r="CY1284" s="229"/>
      <c r="CZ1284" s="229"/>
      <c r="DA1284" s="229"/>
      <c r="DB1284" s="229"/>
      <c r="DC1284" s="229"/>
      <c r="DD1284" s="229"/>
      <c r="DE1284" s="229"/>
      <c r="DF1284" s="229"/>
      <c r="DG1284" s="229"/>
      <c r="DH1284" s="229"/>
      <c r="DI1284" s="229"/>
      <c r="DJ1284" s="229"/>
      <c r="DK1284" s="229"/>
      <c r="DL1284" s="229"/>
      <c r="DM1284" s="229"/>
      <c r="DN1284" s="229"/>
      <c r="DO1284" s="229"/>
      <c r="DP1284" s="229"/>
      <c r="DQ1284" s="229"/>
      <c r="DR1284" s="229"/>
      <c r="DS1284" s="229"/>
      <c r="DT1284" s="229"/>
      <c r="DU1284" s="229"/>
      <c r="DV1284" s="229"/>
      <c r="DW1284" s="229"/>
      <c r="DX1284" s="229"/>
      <c r="DY1284" s="229"/>
      <c r="DZ1284" s="229"/>
      <c r="EA1284" s="229"/>
      <c r="EB1284" s="229"/>
      <c r="EC1284" s="229"/>
      <c r="ED1284" s="229"/>
      <c r="EE1284" s="229"/>
      <c r="EF1284" s="229"/>
      <c r="EG1284" s="229"/>
      <c r="EH1284" s="229"/>
      <c r="EI1284" s="229"/>
      <c r="EJ1284" s="229"/>
      <c r="EK1284" s="229"/>
      <c r="EL1284" s="229"/>
      <c r="EM1284" s="234"/>
      <c r="EN1284" s="234"/>
      <c r="EO1284" s="234"/>
      <c r="EP1284" s="233"/>
      <c r="EQ1284" s="233"/>
    </row>
    <row r="1285" spans="2:147" ht="11.25" customHeight="1">
      <c r="B1285" s="228"/>
      <c r="C1285" s="229"/>
      <c r="D1285" s="229"/>
      <c r="E1285" s="229"/>
      <c r="F1285" s="229"/>
      <c r="G1285" s="229"/>
      <c r="H1285" s="229"/>
      <c r="I1285" s="229"/>
      <c r="J1285" s="229"/>
      <c r="K1285" s="229"/>
      <c r="L1285" s="296"/>
      <c r="M1285" s="296"/>
      <c r="N1285" s="296"/>
      <c r="O1285" s="229"/>
      <c r="P1285" s="229"/>
      <c r="Q1285" s="229"/>
      <c r="R1285" s="229"/>
      <c r="S1285" s="229"/>
      <c r="T1285" s="229"/>
      <c r="U1285" s="229"/>
      <c r="V1285" s="229"/>
      <c r="W1285" s="229"/>
      <c r="X1285" s="229"/>
      <c r="Y1285" s="229"/>
      <c r="Z1285" s="229"/>
      <c r="AA1285" s="229"/>
      <c r="AB1285" s="229"/>
      <c r="AC1285" s="229"/>
      <c r="AD1285" s="229"/>
      <c r="AE1285" s="229"/>
      <c r="AF1285" s="229"/>
      <c r="AG1285" s="229"/>
      <c r="AH1285" s="229"/>
      <c r="AI1285" s="229"/>
      <c r="AJ1285" s="229"/>
      <c r="AK1285" s="229"/>
      <c r="AL1285" s="229"/>
      <c r="AM1285" s="229"/>
      <c r="AN1285" s="229"/>
      <c r="AO1285" s="229"/>
      <c r="AP1285" s="229"/>
      <c r="AQ1285" s="229"/>
      <c r="AR1285" s="229"/>
      <c r="AS1285" s="229"/>
      <c r="AT1285" s="229"/>
      <c r="AU1285" s="229"/>
      <c r="AV1285" s="229"/>
      <c r="AW1285" s="229"/>
      <c r="AX1285" s="229"/>
      <c r="AY1285" s="229"/>
      <c r="AZ1285" s="229"/>
      <c r="BA1285" s="229"/>
      <c r="BB1285" s="229"/>
      <c r="BC1285" s="229"/>
      <c r="BD1285" s="229"/>
      <c r="BE1285" s="229"/>
      <c r="BF1285" s="229"/>
      <c r="BG1285" s="229"/>
      <c r="BH1285" s="229"/>
      <c r="BI1285" s="229"/>
      <c r="BJ1285" s="229"/>
      <c r="BK1285" s="229"/>
      <c r="BL1285" s="229"/>
      <c r="BM1285" s="229"/>
      <c r="BN1285" s="229"/>
      <c r="BO1285" s="229"/>
      <c r="BP1285" s="229"/>
      <c r="BQ1285" s="229"/>
      <c r="BR1285" s="229"/>
      <c r="BS1285" s="296"/>
      <c r="BT1285" s="229"/>
      <c r="BU1285" s="229"/>
      <c r="BV1285" s="229"/>
      <c r="BW1285" s="229"/>
      <c r="BX1285" s="229"/>
      <c r="BY1285" s="229"/>
      <c r="BZ1285" s="229"/>
      <c r="CA1285" s="229"/>
      <c r="CB1285" s="229"/>
      <c r="CC1285" s="229"/>
      <c r="CD1285" s="229"/>
      <c r="CE1285" s="229"/>
      <c r="CF1285" s="229"/>
      <c r="CG1285" s="229"/>
      <c r="CH1285" s="229"/>
      <c r="CI1285" s="229"/>
      <c r="CJ1285" s="229"/>
      <c r="CK1285" s="229"/>
      <c r="CL1285" s="229"/>
      <c r="CM1285" s="229"/>
      <c r="CN1285" s="229"/>
      <c r="CO1285" s="229"/>
      <c r="CP1285" s="229"/>
      <c r="CQ1285" s="229"/>
      <c r="CR1285" s="229"/>
      <c r="CS1285" s="229"/>
      <c r="CT1285" s="229"/>
      <c r="CU1285" s="229"/>
      <c r="CV1285" s="229"/>
      <c r="CW1285" s="229"/>
      <c r="CX1285" s="229"/>
      <c r="CY1285" s="229"/>
      <c r="CZ1285" s="229"/>
      <c r="DA1285" s="229"/>
      <c r="DB1285" s="229"/>
      <c r="DC1285" s="229"/>
      <c r="DD1285" s="229"/>
      <c r="DE1285" s="229"/>
      <c r="DF1285" s="229"/>
      <c r="DG1285" s="229"/>
      <c r="DH1285" s="229"/>
      <c r="DI1285" s="229"/>
      <c r="DJ1285" s="229"/>
      <c r="DK1285" s="229"/>
      <c r="DL1285" s="229"/>
      <c r="DM1285" s="229"/>
      <c r="DN1285" s="229"/>
      <c r="DO1285" s="229"/>
      <c r="DP1285" s="229"/>
      <c r="DQ1285" s="229"/>
      <c r="DR1285" s="229"/>
      <c r="DS1285" s="229"/>
      <c r="DT1285" s="229"/>
      <c r="DU1285" s="229"/>
      <c r="DV1285" s="229"/>
      <c r="DW1285" s="229"/>
      <c r="DX1285" s="229"/>
      <c r="DY1285" s="229"/>
      <c r="DZ1285" s="229"/>
      <c r="EA1285" s="229"/>
      <c r="EB1285" s="229"/>
      <c r="EC1285" s="229"/>
      <c r="ED1285" s="229"/>
      <c r="EE1285" s="229"/>
      <c r="EF1285" s="229"/>
      <c r="EG1285" s="229"/>
      <c r="EH1285" s="229"/>
      <c r="EI1285" s="229"/>
      <c r="EJ1285" s="229"/>
      <c r="EK1285" s="229"/>
      <c r="EL1285" s="229"/>
      <c r="EM1285" s="234"/>
      <c r="EN1285" s="234"/>
      <c r="EO1285" s="234"/>
      <c r="EP1285" s="233"/>
      <c r="EQ1285" s="233"/>
    </row>
    <row r="1286" spans="2:147" ht="11.25" customHeight="1">
      <c r="B1286" s="228"/>
      <c r="C1286" s="229"/>
      <c r="D1286" s="229"/>
      <c r="E1286" s="229"/>
      <c r="F1286" s="229"/>
      <c r="G1286" s="229"/>
      <c r="H1286" s="229"/>
      <c r="I1286" s="229"/>
      <c r="J1286" s="229"/>
      <c r="K1286" s="229"/>
      <c r="L1286" s="296"/>
      <c r="M1286" s="296"/>
      <c r="N1286" s="296"/>
      <c r="O1286" s="229"/>
      <c r="P1286" s="229"/>
      <c r="Q1286" s="229"/>
      <c r="R1286" s="229"/>
      <c r="S1286" s="229"/>
      <c r="T1286" s="229"/>
      <c r="U1286" s="229"/>
      <c r="V1286" s="229"/>
      <c r="W1286" s="229"/>
      <c r="X1286" s="229"/>
      <c r="Y1286" s="229"/>
      <c r="Z1286" s="229"/>
      <c r="AA1286" s="229"/>
      <c r="AB1286" s="229"/>
      <c r="AC1286" s="229"/>
      <c r="AD1286" s="229"/>
      <c r="AE1286" s="229"/>
      <c r="AF1286" s="229"/>
      <c r="AG1286" s="229"/>
      <c r="AH1286" s="229"/>
      <c r="AI1286" s="229"/>
      <c r="AJ1286" s="229"/>
      <c r="AK1286" s="229"/>
      <c r="AL1286" s="229"/>
      <c r="AM1286" s="229"/>
      <c r="AN1286" s="229"/>
      <c r="AO1286" s="229"/>
      <c r="AP1286" s="229"/>
      <c r="AQ1286" s="229"/>
      <c r="AR1286" s="229"/>
      <c r="AS1286" s="229"/>
      <c r="AT1286" s="229"/>
      <c r="AU1286" s="229"/>
      <c r="AV1286" s="229"/>
      <c r="AW1286" s="229"/>
      <c r="AX1286" s="229"/>
      <c r="AY1286" s="229"/>
      <c r="AZ1286" s="229"/>
      <c r="BA1286" s="229"/>
      <c r="BB1286" s="229"/>
      <c r="BC1286" s="229"/>
      <c r="BD1286" s="229"/>
      <c r="BE1286" s="229"/>
      <c r="BF1286" s="229"/>
      <c r="BG1286" s="229"/>
      <c r="BH1286" s="229"/>
      <c r="BI1286" s="229"/>
      <c r="BJ1286" s="229"/>
      <c r="BK1286" s="229"/>
      <c r="BL1286" s="229"/>
      <c r="BM1286" s="229"/>
      <c r="BN1286" s="229"/>
      <c r="BO1286" s="229"/>
      <c r="BP1286" s="229"/>
      <c r="BQ1286" s="229"/>
      <c r="BR1286" s="229"/>
      <c r="BS1286" s="296"/>
      <c r="BT1286" s="229"/>
      <c r="BU1286" s="229"/>
      <c r="BV1286" s="229"/>
      <c r="BW1286" s="229"/>
      <c r="BX1286" s="229"/>
      <c r="BY1286" s="229"/>
      <c r="BZ1286" s="229"/>
      <c r="CA1286" s="229"/>
      <c r="CB1286" s="229"/>
      <c r="CC1286" s="229"/>
      <c r="CD1286" s="229"/>
      <c r="CE1286" s="229"/>
      <c r="CF1286" s="229"/>
      <c r="CG1286" s="229"/>
      <c r="CH1286" s="229"/>
      <c r="CI1286" s="229"/>
      <c r="CJ1286" s="229"/>
      <c r="CK1286" s="229"/>
      <c r="CL1286" s="229"/>
      <c r="CM1286" s="229"/>
      <c r="CN1286" s="229"/>
      <c r="CO1286" s="229"/>
      <c r="CP1286" s="229"/>
      <c r="CQ1286" s="229"/>
      <c r="CR1286" s="229"/>
      <c r="CS1286" s="229"/>
      <c r="CT1286" s="229"/>
      <c r="CU1286" s="229"/>
      <c r="CV1286" s="229"/>
      <c r="CW1286" s="229"/>
      <c r="CX1286" s="229"/>
      <c r="CY1286" s="229"/>
      <c r="CZ1286" s="229"/>
      <c r="DA1286" s="229"/>
      <c r="DB1286" s="229"/>
      <c r="DC1286" s="229"/>
      <c r="DD1286" s="229"/>
      <c r="DE1286" s="229"/>
      <c r="DF1286" s="229"/>
      <c r="DG1286" s="229"/>
      <c r="DH1286" s="229"/>
      <c r="DI1286" s="229"/>
      <c r="DJ1286" s="229"/>
      <c r="DK1286" s="229"/>
      <c r="DL1286" s="229"/>
      <c r="DM1286" s="229"/>
      <c r="DN1286" s="229"/>
      <c r="DO1286" s="229"/>
      <c r="DP1286" s="229"/>
      <c r="DQ1286" s="229"/>
      <c r="DR1286" s="229"/>
      <c r="DS1286" s="229"/>
      <c r="DT1286" s="229"/>
      <c r="DU1286" s="229"/>
      <c r="DV1286" s="229"/>
      <c r="DW1286" s="229"/>
      <c r="DX1286" s="229"/>
      <c r="DY1286" s="229"/>
      <c r="DZ1286" s="229"/>
      <c r="EA1286" s="229"/>
      <c r="EB1286" s="229"/>
      <c r="EC1286" s="229"/>
      <c r="ED1286" s="229"/>
      <c r="EE1286" s="229"/>
      <c r="EF1286" s="229"/>
      <c r="EG1286" s="229"/>
      <c r="EH1286" s="229"/>
      <c r="EI1286" s="229"/>
      <c r="EJ1286" s="229"/>
      <c r="EK1286" s="229"/>
      <c r="EL1286" s="229"/>
      <c r="EM1286" s="234"/>
      <c r="EN1286" s="234"/>
      <c r="EO1286" s="234"/>
      <c r="EP1286" s="233"/>
      <c r="EQ1286" s="233"/>
    </row>
    <row r="1287" spans="2:147" ht="11.25" customHeight="1">
      <c r="B1287" s="228"/>
      <c r="C1287" s="229"/>
      <c r="D1287" s="229"/>
      <c r="E1287" s="229"/>
      <c r="F1287" s="229"/>
      <c r="G1287" s="229"/>
      <c r="H1287" s="229"/>
      <c r="I1287" s="229"/>
      <c r="J1287" s="229"/>
      <c r="K1287" s="229"/>
      <c r="L1287" s="296"/>
      <c r="M1287" s="296"/>
      <c r="N1287" s="296"/>
      <c r="O1287" s="229"/>
      <c r="P1287" s="229"/>
      <c r="Q1287" s="229"/>
      <c r="R1287" s="229"/>
      <c r="S1287" s="229"/>
      <c r="T1287" s="229"/>
      <c r="U1287" s="229"/>
      <c r="V1287" s="229"/>
      <c r="W1287" s="229"/>
      <c r="X1287" s="229"/>
      <c r="Y1287" s="229"/>
      <c r="Z1287" s="229"/>
      <c r="AA1287" s="229"/>
      <c r="AB1287" s="229"/>
      <c r="AC1287" s="229"/>
      <c r="AD1287" s="229"/>
      <c r="AE1287" s="229"/>
      <c r="AF1287" s="229"/>
      <c r="AG1287" s="229"/>
      <c r="AH1287" s="229"/>
      <c r="AI1287" s="229"/>
      <c r="AJ1287" s="229"/>
      <c r="AK1287" s="229"/>
      <c r="AL1287" s="229"/>
      <c r="AM1287" s="229"/>
      <c r="AN1287" s="229"/>
      <c r="AO1287" s="229"/>
      <c r="AP1287" s="229"/>
      <c r="AQ1287" s="229"/>
      <c r="AR1287" s="229"/>
      <c r="AS1287" s="229"/>
      <c r="AT1287" s="229"/>
      <c r="AU1287" s="229"/>
      <c r="AV1287" s="229"/>
      <c r="AW1287" s="229"/>
      <c r="AX1287" s="229"/>
      <c r="AY1287" s="229"/>
      <c r="AZ1287" s="229"/>
      <c r="BA1287" s="229"/>
      <c r="BB1287" s="229"/>
      <c r="BC1287" s="229"/>
      <c r="BD1287" s="229"/>
      <c r="BE1287" s="229"/>
      <c r="BF1287" s="229"/>
      <c r="BG1287" s="229"/>
      <c r="BH1287" s="229"/>
      <c r="BI1287" s="229"/>
      <c r="BJ1287" s="229"/>
      <c r="BK1287" s="229"/>
      <c r="BL1287" s="229"/>
      <c r="BM1287" s="229"/>
      <c r="BN1287" s="229"/>
      <c r="BO1287" s="229"/>
      <c r="BP1287" s="229"/>
      <c r="BQ1287" s="229"/>
      <c r="BR1287" s="229"/>
      <c r="BS1287" s="296"/>
      <c r="BT1287" s="229"/>
      <c r="BU1287" s="229"/>
      <c r="BV1287" s="229"/>
      <c r="BW1287" s="229"/>
      <c r="BX1287" s="229"/>
      <c r="BY1287" s="229"/>
      <c r="BZ1287" s="229"/>
      <c r="CA1287" s="229"/>
      <c r="CB1287" s="229"/>
      <c r="CC1287" s="229"/>
      <c r="CD1287" s="229"/>
      <c r="CE1287" s="229"/>
      <c r="CF1287" s="229"/>
      <c r="CG1287" s="229"/>
      <c r="CH1287" s="229"/>
      <c r="CI1287" s="229"/>
      <c r="CJ1287" s="229"/>
      <c r="CK1287" s="229"/>
      <c r="CL1287" s="229"/>
      <c r="CM1287" s="229"/>
      <c r="CN1287" s="229"/>
      <c r="CO1287" s="229"/>
      <c r="CP1287" s="229"/>
      <c r="CQ1287" s="229"/>
      <c r="CR1287" s="229"/>
      <c r="CS1287" s="229"/>
      <c r="CT1287" s="229"/>
      <c r="CU1287" s="229"/>
      <c r="CV1287" s="229"/>
      <c r="CW1287" s="229"/>
      <c r="CX1287" s="229"/>
      <c r="CY1287" s="229"/>
      <c r="CZ1287" s="229"/>
      <c r="DA1287" s="229"/>
      <c r="DB1287" s="229"/>
      <c r="DC1287" s="229"/>
      <c r="DD1287" s="229"/>
      <c r="DE1287" s="229"/>
      <c r="DF1287" s="229"/>
      <c r="DG1287" s="229"/>
      <c r="DH1287" s="229"/>
      <c r="DI1287" s="229"/>
      <c r="DJ1287" s="229"/>
      <c r="DK1287" s="229"/>
      <c r="DL1287" s="229"/>
      <c r="DM1287" s="229"/>
      <c r="DN1287" s="229"/>
      <c r="DO1287" s="229"/>
      <c r="DP1287" s="229"/>
      <c r="DQ1287" s="229"/>
      <c r="DR1287" s="229"/>
      <c r="DS1287" s="229"/>
      <c r="DT1287" s="229"/>
      <c r="DU1287" s="229"/>
      <c r="DV1287" s="229"/>
      <c r="DW1287" s="229"/>
      <c r="DX1287" s="229"/>
      <c r="DY1287" s="229"/>
      <c r="DZ1287" s="229"/>
      <c r="EA1287" s="229"/>
      <c r="EB1287" s="229"/>
      <c r="EC1287" s="229"/>
      <c r="ED1287" s="229"/>
      <c r="EE1287" s="229"/>
      <c r="EF1287" s="229"/>
      <c r="EG1287" s="229"/>
      <c r="EH1287" s="229"/>
      <c r="EI1287" s="229"/>
      <c r="EJ1287" s="229"/>
      <c r="EK1287" s="229"/>
      <c r="EL1287" s="229"/>
      <c r="EM1287" s="234"/>
      <c r="EN1287" s="234"/>
      <c r="EO1287" s="234"/>
      <c r="EP1287" s="233"/>
      <c r="EQ1287" s="233"/>
    </row>
    <row r="1288" spans="2:147" ht="11.25" customHeight="1">
      <c r="B1288" s="228"/>
      <c r="C1288" s="229"/>
      <c r="D1288" s="229"/>
      <c r="E1288" s="229"/>
      <c r="F1288" s="229"/>
      <c r="G1288" s="229"/>
      <c r="H1288" s="229"/>
      <c r="I1288" s="229"/>
      <c r="J1288" s="229"/>
      <c r="K1288" s="229"/>
      <c r="L1288" s="296"/>
      <c r="M1288" s="296"/>
      <c r="N1288" s="296"/>
      <c r="O1288" s="229"/>
      <c r="P1288" s="229"/>
      <c r="Q1288" s="229"/>
      <c r="R1288" s="229"/>
      <c r="S1288" s="229"/>
      <c r="T1288" s="229"/>
      <c r="U1288" s="229"/>
      <c r="V1288" s="229"/>
      <c r="W1288" s="229"/>
      <c r="X1288" s="229"/>
      <c r="Y1288" s="229"/>
      <c r="Z1288" s="229"/>
      <c r="AA1288" s="229"/>
      <c r="AB1288" s="229"/>
      <c r="AC1288" s="229"/>
      <c r="AD1288" s="229"/>
      <c r="AE1288" s="229"/>
      <c r="AF1288" s="229"/>
      <c r="AG1288" s="229"/>
      <c r="AH1288" s="229"/>
      <c r="AI1288" s="229"/>
      <c r="AJ1288" s="229"/>
      <c r="AK1288" s="229"/>
      <c r="AL1288" s="229"/>
      <c r="AM1288" s="229"/>
      <c r="AN1288" s="229"/>
      <c r="AO1288" s="229"/>
      <c r="AP1288" s="229"/>
      <c r="AQ1288" s="229"/>
      <c r="AR1288" s="229"/>
      <c r="AS1288" s="229"/>
      <c r="AT1288" s="229"/>
      <c r="AU1288" s="229"/>
      <c r="AV1288" s="229"/>
      <c r="AW1288" s="229"/>
      <c r="AX1288" s="229"/>
      <c r="AY1288" s="229"/>
      <c r="AZ1288" s="229"/>
      <c r="BA1288" s="229"/>
      <c r="BB1288" s="229"/>
      <c r="BC1288" s="229"/>
      <c r="BD1288" s="229"/>
      <c r="BE1288" s="229"/>
      <c r="BF1288" s="229"/>
      <c r="BG1288" s="229"/>
      <c r="BH1288" s="229"/>
      <c r="BI1288" s="229"/>
      <c r="BJ1288" s="229"/>
      <c r="BK1288" s="229"/>
      <c r="BL1288" s="229"/>
      <c r="BM1288" s="229"/>
      <c r="BN1288" s="229"/>
      <c r="BO1288" s="229"/>
      <c r="BP1288" s="229"/>
      <c r="BQ1288" s="229"/>
      <c r="BR1288" s="229"/>
      <c r="BS1288" s="296"/>
      <c r="BT1288" s="229"/>
      <c r="BU1288" s="229"/>
      <c r="BV1288" s="229"/>
      <c r="BW1288" s="229"/>
      <c r="BX1288" s="229"/>
      <c r="BY1288" s="229"/>
      <c r="BZ1288" s="229"/>
      <c r="CA1288" s="229"/>
      <c r="CB1288" s="229"/>
      <c r="CC1288" s="229"/>
      <c r="CD1288" s="229"/>
      <c r="CE1288" s="229"/>
      <c r="CF1288" s="229"/>
      <c r="CG1288" s="229"/>
      <c r="CH1288" s="229"/>
      <c r="CI1288" s="229"/>
      <c r="CJ1288" s="229"/>
      <c r="CK1288" s="229"/>
      <c r="CL1288" s="229"/>
      <c r="CM1288" s="229"/>
      <c r="CN1288" s="229"/>
      <c r="CO1288" s="229"/>
      <c r="CP1288" s="229"/>
      <c r="CQ1288" s="229"/>
      <c r="CR1288" s="229"/>
      <c r="CS1288" s="229"/>
      <c r="CT1288" s="229"/>
      <c r="CU1288" s="229"/>
      <c r="CV1288" s="229"/>
      <c r="CW1288" s="229"/>
      <c r="CX1288" s="229"/>
      <c r="CY1288" s="229"/>
      <c r="CZ1288" s="229"/>
      <c r="DA1288" s="229"/>
      <c r="DB1288" s="229"/>
      <c r="DC1288" s="229"/>
      <c r="DD1288" s="229"/>
      <c r="DE1288" s="229"/>
      <c r="DF1288" s="229"/>
      <c r="DG1288" s="229"/>
      <c r="DH1288" s="229"/>
      <c r="DI1288" s="229"/>
      <c r="DJ1288" s="229"/>
      <c r="DK1288" s="229"/>
      <c r="DL1288" s="229"/>
      <c r="DM1288" s="229"/>
      <c r="DN1288" s="229"/>
      <c r="DO1288" s="229"/>
      <c r="DP1288" s="229"/>
      <c r="DQ1288" s="229"/>
      <c r="DR1288" s="229"/>
      <c r="DS1288" s="229"/>
      <c r="DT1288" s="229"/>
      <c r="DU1288" s="229"/>
      <c r="DV1288" s="229"/>
      <c r="DW1288" s="229"/>
      <c r="DX1288" s="229"/>
      <c r="DY1288" s="229"/>
      <c r="DZ1288" s="229"/>
      <c r="EA1288" s="229"/>
      <c r="EB1288" s="229"/>
      <c r="EC1288" s="229"/>
      <c r="ED1288" s="229"/>
      <c r="EE1288" s="229"/>
      <c r="EF1288" s="229"/>
      <c r="EG1288" s="229"/>
      <c r="EH1288" s="229"/>
      <c r="EI1288" s="229"/>
      <c r="EJ1288" s="229"/>
      <c r="EK1288" s="229"/>
      <c r="EL1288" s="229"/>
      <c r="EM1288" s="234"/>
      <c r="EN1288" s="234"/>
      <c r="EO1288" s="234"/>
      <c r="EP1288" s="233"/>
      <c r="EQ1288" s="233"/>
    </row>
    <row r="1289" spans="2:147" ht="11.25" customHeight="1">
      <c r="B1289" s="228"/>
      <c r="C1289" s="229"/>
      <c r="D1289" s="229"/>
      <c r="E1289" s="229"/>
      <c r="F1289" s="229"/>
      <c r="G1289" s="229"/>
      <c r="H1289" s="229"/>
      <c r="I1289" s="229"/>
      <c r="J1289" s="229"/>
      <c r="K1289" s="229"/>
      <c r="L1289" s="296"/>
      <c r="M1289" s="296"/>
      <c r="N1289" s="296"/>
      <c r="O1289" s="229"/>
      <c r="P1289" s="229"/>
      <c r="Q1289" s="229"/>
      <c r="R1289" s="229"/>
      <c r="S1289" s="229"/>
      <c r="T1289" s="229"/>
      <c r="U1289" s="229"/>
      <c r="V1289" s="229"/>
      <c r="W1289" s="229"/>
      <c r="X1289" s="229"/>
      <c r="Y1289" s="229"/>
      <c r="Z1289" s="229"/>
      <c r="AA1289" s="229"/>
      <c r="AB1289" s="229"/>
      <c r="AC1289" s="229"/>
      <c r="AD1289" s="229"/>
      <c r="AE1289" s="229"/>
      <c r="AF1289" s="229"/>
      <c r="AG1289" s="229"/>
      <c r="AH1289" s="229"/>
      <c r="AI1289" s="229"/>
      <c r="AJ1289" s="229"/>
      <c r="AK1289" s="229"/>
      <c r="AL1289" s="229"/>
      <c r="AM1289" s="229"/>
      <c r="AN1289" s="229"/>
      <c r="AO1289" s="229"/>
      <c r="AP1289" s="229"/>
      <c r="AQ1289" s="229"/>
      <c r="AR1289" s="229"/>
      <c r="AS1289" s="229"/>
      <c r="AT1289" s="229"/>
      <c r="AU1289" s="229"/>
      <c r="AV1289" s="229"/>
      <c r="AW1289" s="229"/>
      <c r="AX1289" s="229"/>
      <c r="AY1289" s="229"/>
      <c r="AZ1289" s="229"/>
      <c r="BA1289" s="229"/>
      <c r="BB1289" s="229"/>
      <c r="BC1289" s="229"/>
      <c r="BD1289" s="229"/>
      <c r="BE1289" s="229"/>
      <c r="BF1289" s="229"/>
      <c r="BG1289" s="229"/>
      <c r="BH1289" s="229"/>
      <c r="BI1289" s="229"/>
      <c r="BJ1289" s="229"/>
      <c r="BK1289" s="229"/>
      <c r="BL1289" s="229"/>
      <c r="BM1289" s="229"/>
      <c r="BN1289" s="229"/>
      <c r="BO1289" s="229"/>
      <c r="BP1289" s="229"/>
      <c r="BQ1289" s="229"/>
      <c r="BR1289" s="229"/>
      <c r="BS1289" s="296"/>
      <c r="BT1289" s="229"/>
      <c r="BU1289" s="229"/>
      <c r="BV1289" s="229"/>
      <c r="BW1289" s="229"/>
      <c r="BX1289" s="229"/>
      <c r="BY1289" s="229"/>
      <c r="BZ1289" s="229"/>
      <c r="CA1289" s="229"/>
      <c r="CB1289" s="229"/>
      <c r="CC1289" s="229"/>
      <c r="CD1289" s="229"/>
      <c r="CE1289" s="229"/>
      <c r="CF1289" s="229"/>
      <c r="CG1289" s="229"/>
      <c r="CH1289" s="229"/>
      <c r="CI1289" s="229"/>
      <c r="CJ1289" s="229"/>
      <c r="CK1289" s="229"/>
      <c r="CL1289" s="229"/>
      <c r="CM1289" s="229"/>
      <c r="CN1289" s="229"/>
      <c r="CO1289" s="229"/>
      <c r="CP1289" s="229"/>
      <c r="CQ1289" s="229"/>
      <c r="CR1289" s="229"/>
      <c r="CS1289" s="229"/>
      <c r="CT1289" s="229"/>
      <c r="CU1289" s="229"/>
      <c r="CV1289" s="229"/>
      <c r="CW1289" s="229"/>
      <c r="CX1289" s="229"/>
      <c r="CY1289" s="229"/>
      <c r="CZ1289" s="229"/>
      <c r="DA1289" s="229"/>
      <c r="DB1289" s="229"/>
      <c r="DC1289" s="229"/>
      <c r="DD1289" s="229"/>
      <c r="DE1289" s="229"/>
      <c r="DF1289" s="229"/>
      <c r="DG1289" s="229"/>
      <c r="DH1289" s="229"/>
      <c r="DI1289" s="229"/>
      <c r="DJ1289" s="229"/>
      <c r="DK1289" s="229"/>
      <c r="DL1289" s="229"/>
      <c r="DM1289" s="229"/>
      <c r="DN1289" s="229"/>
      <c r="DO1289" s="229"/>
      <c r="DP1289" s="229"/>
      <c r="DQ1289" s="229"/>
      <c r="DR1289" s="229"/>
      <c r="DS1289" s="229"/>
      <c r="DT1289" s="229"/>
      <c r="DU1289" s="229"/>
      <c r="DV1289" s="229"/>
      <c r="DW1289" s="229"/>
      <c r="DX1289" s="229"/>
      <c r="DY1289" s="229"/>
      <c r="DZ1289" s="229"/>
      <c r="EA1289" s="229"/>
      <c r="EB1289" s="229"/>
      <c r="EC1289" s="229"/>
      <c r="ED1289" s="229"/>
      <c r="EE1289" s="229"/>
      <c r="EF1289" s="229"/>
      <c r="EG1289" s="229"/>
      <c r="EH1289" s="229"/>
      <c r="EI1289" s="229"/>
      <c r="EJ1289" s="229"/>
      <c r="EK1289" s="229"/>
      <c r="EL1289" s="229"/>
      <c r="EM1289" s="234"/>
      <c r="EN1289" s="234"/>
      <c r="EO1289" s="234"/>
      <c r="EP1289" s="233"/>
      <c r="EQ1289" s="233"/>
    </row>
    <row r="1290" spans="2:147" ht="11.25" customHeight="1">
      <c r="B1290" s="228"/>
      <c r="C1290" s="229"/>
      <c r="D1290" s="229"/>
      <c r="E1290" s="229"/>
      <c r="F1290" s="229"/>
      <c r="G1290" s="229"/>
      <c r="H1290" s="229"/>
      <c r="I1290" s="229"/>
      <c r="J1290" s="229"/>
      <c r="K1290" s="229"/>
      <c r="L1290" s="296"/>
      <c r="M1290" s="296"/>
      <c r="N1290" s="296"/>
      <c r="O1290" s="229"/>
      <c r="P1290" s="229"/>
      <c r="Q1290" s="229"/>
      <c r="R1290" s="229"/>
      <c r="S1290" s="229"/>
      <c r="T1290" s="229"/>
      <c r="U1290" s="229"/>
      <c r="V1290" s="229"/>
      <c r="W1290" s="229"/>
      <c r="X1290" s="229"/>
      <c r="Y1290" s="229"/>
      <c r="Z1290" s="229"/>
      <c r="AA1290" s="229"/>
      <c r="AB1290" s="229"/>
      <c r="AC1290" s="229"/>
      <c r="AD1290" s="229"/>
      <c r="AE1290" s="229"/>
      <c r="AF1290" s="229"/>
      <c r="AG1290" s="229"/>
      <c r="AH1290" s="229"/>
      <c r="AI1290" s="229"/>
      <c r="AJ1290" s="229"/>
      <c r="AK1290" s="229"/>
      <c r="AL1290" s="229"/>
      <c r="AM1290" s="229"/>
      <c r="AN1290" s="229"/>
      <c r="AO1290" s="229"/>
      <c r="AP1290" s="229"/>
      <c r="AQ1290" s="229"/>
      <c r="AR1290" s="229"/>
      <c r="AS1290" s="229"/>
      <c r="AT1290" s="229"/>
      <c r="AU1290" s="229"/>
      <c r="AV1290" s="229"/>
      <c r="AW1290" s="229"/>
      <c r="AX1290" s="229"/>
      <c r="AY1290" s="229"/>
      <c r="AZ1290" s="229"/>
      <c r="BA1290" s="229"/>
      <c r="BB1290" s="229"/>
      <c r="BC1290" s="229"/>
      <c r="BD1290" s="229"/>
      <c r="BE1290" s="229"/>
      <c r="BF1290" s="229"/>
      <c r="BG1290" s="229"/>
      <c r="BH1290" s="229"/>
      <c r="BI1290" s="229"/>
      <c r="BJ1290" s="229"/>
      <c r="BK1290" s="229"/>
      <c r="BL1290" s="229"/>
      <c r="BM1290" s="229"/>
      <c r="BN1290" s="229"/>
      <c r="BO1290" s="229"/>
      <c r="BP1290" s="229"/>
      <c r="BQ1290" s="229"/>
      <c r="BR1290" s="229"/>
      <c r="BS1290" s="296"/>
      <c r="BT1290" s="229"/>
      <c r="BU1290" s="229"/>
      <c r="BV1290" s="229"/>
      <c r="BW1290" s="229"/>
      <c r="BX1290" s="229"/>
      <c r="BY1290" s="229"/>
      <c r="BZ1290" s="229"/>
      <c r="CA1290" s="229"/>
      <c r="CB1290" s="229"/>
      <c r="CC1290" s="229"/>
      <c r="CD1290" s="229"/>
      <c r="CE1290" s="229"/>
      <c r="CF1290" s="229"/>
      <c r="CG1290" s="229"/>
      <c r="CH1290" s="229"/>
      <c r="CI1290" s="229"/>
      <c r="CJ1290" s="229"/>
      <c r="CK1290" s="229"/>
      <c r="CL1290" s="229"/>
      <c r="CM1290" s="229"/>
      <c r="CN1290" s="229"/>
      <c r="CO1290" s="229"/>
      <c r="CP1290" s="229"/>
      <c r="CQ1290" s="229"/>
      <c r="CR1290" s="229"/>
      <c r="CS1290" s="229"/>
      <c r="CT1290" s="229"/>
      <c r="CU1290" s="229"/>
      <c r="CV1290" s="229"/>
      <c r="CW1290" s="229"/>
      <c r="CX1290" s="229"/>
      <c r="CY1290" s="229"/>
      <c r="CZ1290" s="229"/>
      <c r="DA1290" s="229"/>
      <c r="DB1290" s="229"/>
      <c r="DC1290" s="229"/>
      <c r="DD1290" s="229"/>
      <c r="DE1290" s="229"/>
      <c r="DF1290" s="229"/>
      <c r="DG1290" s="229"/>
      <c r="DH1290" s="229"/>
      <c r="DI1290" s="229"/>
      <c r="DJ1290" s="229"/>
      <c r="DK1290" s="229"/>
      <c r="DL1290" s="229"/>
      <c r="DM1290" s="229"/>
      <c r="DN1290" s="229"/>
      <c r="DO1290" s="229"/>
      <c r="DP1290" s="229"/>
      <c r="DQ1290" s="229"/>
      <c r="DR1290" s="229"/>
      <c r="DS1290" s="229"/>
      <c r="DT1290" s="229"/>
      <c r="DU1290" s="229"/>
      <c r="DV1290" s="229"/>
      <c r="DW1290" s="229"/>
      <c r="DX1290" s="229"/>
      <c r="DY1290" s="229"/>
      <c r="DZ1290" s="229"/>
      <c r="EA1290" s="229"/>
      <c r="EB1290" s="229"/>
      <c r="EC1290" s="229"/>
      <c r="ED1290" s="229"/>
      <c r="EE1290" s="229"/>
      <c r="EF1290" s="229"/>
      <c r="EG1290" s="229"/>
      <c r="EH1290" s="229"/>
      <c r="EI1290" s="229"/>
      <c r="EJ1290" s="229"/>
      <c r="EK1290" s="229"/>
      <c r="EL1290" s="229"/>
      <c r="EM1290" s="234"/>
      <c r="EN1290" s="234"/>
      <c r="EO1290" s="234"/>
      <c r="EP1290" s="233"/>
      <c r="EQ1290" s="233"/>
    </row>
    <row r="1291" spans="2:147" ht="11.25" customHeight="1">
      <c r="B1291" s="228"/>
      <c r="C1291" s="229"/>
      <c r="D1291" s="229"/>
      <c r="E1291" s="229"/>
      <c r="F1291" s="229"/>
      <c r="G1291" s="229"/>
      <c r="H1291" s="229"/>
      <c r="I1291" s="229"/>
      <c r="J1291" s="229"/>
      <c r="K1291" s="229"/>
      <c r="L1291" s="296"/>
      <c r="M1291" s="296"/>
      <c r="N1291" s="296"/>
      <c r="O1291" s="229"/>
      <c r="P1291" s="229"/>
      <c r="Q1291" s="229"/>
      <c r="R1291" s="229"/>
      <c r="S1291" s="229"/>
      <c r="T1291" s="229"/>
      <c r="U1291" s="229"/>
      <c r="V1291" s="229"/>
      <c r="W1291" s="229"/>
      <c r="X1291" s="229"/>
      <c r="Y1291" s="229"/>
      <c r="Z1291" s="229"/>
      <c r="AA1291" s="229"/>
      <c r="AB1291" s="229"/>
      <c r="AC1291" s="229"/>
      <c r="AD1291" s="229"/>
      <c r="AE1291" s="229"/>
      <c r="AF1291" s="229"/>
      <c r="AG1291" s="229"/>
      <c r="AH1291" s="229"/>
      <c r="AI1291" s="229"/>
      <c r="AJ1291" s="229"/>
      <c r="AK1291" s="229"/>
      <c r="AL1291" s="229"/>
      <c r="AM1291" s="229"/>
      <c r="AN1291" s="229"/>
      <c r="AO1291" s="229"/>
      <c r="AP1291" s="229"/>
      <c r="AQ1291" s="229"/>
      <c r="AR1291" s="229"/>
      <c r="AS1291" s="229"/>
      <c r="AT1291" s="229"/>
      <c r="AU1291" s="229"/>
      <c r="AV1291" s="229"/>
      <c r="AW1291" s="229"/>
      <c r="AX1291" s="229"/>
      <c r="AY1291" s="229"/>
      <c r="AZ1291" s="229"/>
      <c r="BA1291" s="229"/>
      <c r="BB1291" s="229"/>
      <c r="BC1291" s="229"/>
      <c r="BD1291" s="229"/>
      <c r="BE1291" s="229"/>
      <c r="BF1291" s="229"/>
      <c r="BG1291" s="229"/>
      <c r="BH1291" s="229"/>
      <c r="BI1291" s="229"/>
      <c r="BJ1291" s="229"/>
      <c r="BK1291" s="229"/>
      <c r="BL1291" s="229"/>
      <c r="BM1291" s="229"/>
      <c r="BN1291" s="229"/>
      <c r="BO1291" s="229"/>
      <c r="BP1291" s="229"/>
      <c r="BQ1291" s="229"/>
      <c r="BR1291" s="229"/>
      <c r="BS1291" s="296"/>
      <c r="BT1291" s="229"/>
      <c r="BU1291" s="229"/>
      <c r="BV1291" s="229"/>
      <c r="BW1291" s="229"/>
      <c r="BX1291" s="229"/>
      <c r="BY1291" s="229"/>
      <c r="BZ1291" s="229"/>
      <c r="CA1291" s="229"/>
      <c r="CB1291" s="229"/>
      <c r="CC1291" s="229"/>
      <c r="CD1291" s="229"/>
      <c r="CE1291" s="229"/>
      <c r="CF1291" s="229"/>
      <c r="CG1291" s="229"/>
      <c r="CH1291" s="229"/>
      <c r="CI1291" s="229"/>
      <c r="CJ1291" s="229"/>
      <c r="CK1291" s="229"/>
      <c r="CL1291" s="229"/>
      <c r="CM1291" s="229"/>
      <c r="CN1291" s="229"/>
      <c r="CO1291" s="229"/>
      <c r="CP1291" s="229"/>
      <c r="CQ1291" s="229"/>
      <c r="CR1291" s="229"/>
      <c r="CS1291" s="229"/>
      <c r="CT1291" s="229"/>
      <c r="CU1291" s="229"/>
      <c r="CV1291" s="229"/>
      <c r="CW1291" s="229"/>
      <c r="CX1291" s="229"/>
      <c r="CY1291" s="229"/>
      <c r="CZ1291" s="229"/>
      <c r="DA1291" s="229"/>
      <c r="DB1291" s="229"/>
      <c r="DC1291" s="229"/>
      <c r="DD1291" s="229"/>
      <c r="DE1291" s="229"/>
      <c r="DF1291" s="229"/>
      <c r="DG1291" s="229"/>
      <c r="DH1291" s="229"/>
      <c r="DI1291" s="229"/>
      <c r="DJ1291" s="229"/>
      <c r="DK1291" s="229"/>
      <c r="DL1291" s="229"/>
      <c r="DM1291" s="229"/>
      <c r="DN1291" s="229"/>
      <c r="DO1291" s="229"/>
      <c r="DP1291" s="229"/>
      <c r="DQ1291" s="229"/>
      <c r="DR1291" s="229"/>
      <c r="DS1291" s="229"/>
      <c r="DT1291" s="229"/>
      <c r="DU1291" s="229"/>
      <c r="DV1291" s="229"/>
      <c r="DW1291" s="229"/>
      <c r="DX1291" s="229"/>
      <c r="DY1291" s="229"/>
      <c r="DZ1291" s="229"/>
      <c r="EA1291" s="229"/>
      <c r="EB1291" s="229"/>
      <c r="EC1291" s="229"/>
      <c r="ED1291" s="229"/>
      <c r="EE1291" s="229"/>
      <c r="EF1291" s="229"/>
      <c r="EG1291" s="229"/>
      <c r="EH1291" s="229"/>
      <c r="EI1291" s="229"/>
      <c r="EJ1291" s="229"/>
      <c r="EK1291" s="229"/>
      <c r="EL1291" s="229"/>
      <c r="EM1291" s="234"/>
      <c r="EN1291" s="234"/>
      <c r="EO1291" s="234"/>
      <c r="EP1291" s="233"/>
      <c r="EQ1291" s="233"/>
    </row>
    <row r="1292" spans="2:147" ht="11.25" customHeight="1">
      <c r="B1292" s="228"/>
      <c r="C1292" s="229"/>
      <c r="D1292" s="229"/>
      <c r="E1292" s="229"/>
      <c r="F1292" s="229"/>
      <c r="G1292" s="229"/>
      <c r="H1292" s="229"/>
      <c r="I1292" s="229"/>
      <c r="J1292" s="229"/>
      <c r="K1292" s="229"/>
      <c r="L1292" s="296"/>
      <c r="M1292" s="296"/>
      <c r="N1292" s="296"/>
      <c r="O1292" s="229"/>
      <c r="P1292" s="229"/>
      <c r="Q1292" s="229"/>
      <c r="R1292" s="229"/>
      <c r="S1292" s="229"/>
      <c r="T1292" s="229"/>
      <c r="U1292" s="229"/>
      <c r="V1292" s="229"/>
      <c r="W1292" s="229"/>
      <c r="X1292" s="229"/>
      <c r="Y1292" s="229"/>
      <c r="Z1292" s="229"/>
      <c r="AA1292" s="229"/>
      <c r="AB1292" s="229"/>
      <c r="AC1292" s="229"/>
      <c r="AD1292" s="229"/>
      <c r="AE1292" s="229"/>
      <c r="AF1292" s="229"/>
      <c r="AG1292" s="229"/>
      <c r="AH1292" s="229"/>
      <c r="AI1292" s="229"/>
      <c r="AJ1292" s="229"/>
      <c r="AK1292" s="229"/>
      <c r="AL1292" s="229"/>
      <c r="AM1292" s="229"/>
      <c r="AN1292" s="229"/>
      <c r="AO1292" s="229"/>
      <c r="AP1292" s="229"/>
      <c r="AQ1292" s="229"/>
      <c r="AR1292" s="229"/>
      <c r="AS1292" s="229"/>
      <c r="AT1292" s="229"/>
      <c r="AU1292" s="229"/>
      <c r="AV1292" s="229"/>
      <c r="AW1292" s="229"/>
      <c r="AX1292" s="229"/>
      <c r="AY1292" s="229"/>
      <c r="AZ1292" s="229"/>
      <c r="BA1292" s="229"/>
      <c r="BB1292" s="229"/>
      <c r="BC1292" s="229"/>
      <c r="BD1292" s="229"/>
      <c r="BE1292" s="229"/>
      <c r="BF1292" s="229"/>
      <c r="BG1292" s="229"/>
      <c r="BH1292" s="229"/>
      <c r="BI1292" s="229"/>
      <c r="BJ1292" s="229"/>
      <c r="BK1292" s="229"/>
      <c r="BL1292" s="229"/>
      <c r="BM1292" s="229"/>
      <c r="BN1292" s="229"/>
      <c r="BO1292" s="229"/>
      <c r="BP1292" s="229"/>
      <c r="BQ1292" s="229"/>
      <c r="BR1292" s="229"/>
      <c r="BS1292" s="296"/>
      <c r="BT1292" s="229"/>
      <c r="BU1292" s="229"/>
      <c r="BV1292" s="229"/>
      <c r="BW1292" s="229"/>
      <c r="BX1292" s="229"/>
      <c r="BY1292" s="229"/>
      <c r="BZ1292" s="229"/>
      <c r="CA1292" s="229"/>
      <c r="CB1292" s="229"/>
      <c r="CC1292" s="229"/>
      <c r="CD1292" s="229"/>
      <c r="CE1292" s="229"/>
      <c r="CF1292" s="229"/>
      <c r="CG1292" s="229"/>
      <c r="CH1292" s="229"/>
      <c r="CI1292" s="229"/>
      <c r="CJ1292" s="229"/>
      <c r="CK1292" s="229"/>
      <c r="CL1292" s="229"/>
      <c r="CM1292" s="229"/>
      <c r="CN1292" s="229"/>
      <c r="CO1292" s="229"/>
      <c r="CP1292" s="229"/>
      <c r="CQ1292" s="229"/>
      <c r="CR1292" s="229"/>
      <c r="CS1292" s="229"/>
      <c r="CT1292" s="229"/>
      <c r="CU1292" s="229"/>
      <c r="CV1292" s="229"/>
      <c r="CW1292" s="229"/>
      <c r="CX1292" s="229"/>
      <c r="CY1292" s="229"/>
      <c r="CZ1292" s="229"/>
      <c r="DA1292" s="229"/>
      <c r="DB1292" s="229"/>
      <c r="DC1292" s="229"/>
      <c r="DD1292" s="229"/>
      <c r="DE1292" s="229"/>
      <c r="DF1292" s="229"/>
      <c r="DG1292" s="229"/>
      <c r="DH1292" s="229"/>
      <c r="DI1292" s="229"/>
      <c r="DJ1292" s="229"/>
      <c r="DK1292" s="229"/>
      <c r="DL1292" s="229"/>
      <c r="DM1292" s="229"/>
      <c r="DN1292" s="229"/>
      <c r="DO1292" s="229"/>
      <c r="DP1292" s="229"/>
      <c r="DQ1292" s="229"/>
      <c r="DR1292" s="229"/>
      <c r="DS1292" s="229"/>
      <c r="DT1292" s="229"/>
      <c r="DU1292" s="229"/>
      <c r="DV1292" s="229"/>
      <c r="DW1292" s="229"/>
      <c r="DX1292" s="229"/>
      <c r="DY1292" s="229"/>
      <c r="DZ1292" s="229"/>
      <c r="EA1292" s="229"/>
      <c r="EB1292" s="229"/>
      <c r="EC1292" s="229"/>
      <c r="ED1292" s="229"/>
      <c r="EE1292" s="229"/>
      <c r="EF1292" s="229"/>
      <c r="EG1292" s="229"/>
      <c r="EH1292" s="229"/>
      <c r="EI1292" s="229"/>
      <c r="EJ1292" s="229"/>
      <c r="EK1292" s="229"/>
      <c r="EL1292" s="229"/>
      <c r="EM1292" s="234"/>
      <c r="EN1292" s="234"/>
      <c r="EO1292" s="234"/>
      <c r="EP1292" s="233"/>
      <c r="EQ1292" s="233"/>
    </row>
    <row r="1293" spans="2:147" ht="11.25" customHeight="1">
      <c r="B1293" s="228"/>
      <c r="C1293" s="229"/>
      <c r="D1293" s="229"/>
      <c r="E1293" s="229"/>
      <c r="F1293" s="229"/>
      <c r="G1293" s="229"/>
      <c r="H1293" s="229"/>
      <c r="I1293" s="229"/>
      <c r="J1293" s="229"/>
      <c r="K1293" s="229"/>
      <c r="L1293" s="296"/>
      <c r="M1293" s="296"/>
      <c r="N1293" s="296"/>
      <c r="O1293" s="229"/>
      <c r="P1293" s="229"/>
      <c r="Q1293" s="229"/>
      <c r="R1293" s="229"/>
      <c r="S1293" s="229"/>
      <c r="T1293" s="229"/>
      <c r="U1293" s="229"/>
      <c r="V1293" s="229"/>
      <c r="W1293" s="229"/>
      <c r="X1293" s="229"/>
      <c r="Y1293" s="229"/>
      <c r="Z1293" s="229"/>
      <c r="AA1293" s="229"/>
      <c r="AB1293" s="229"/>
      <c r="AC1293" s="229"/>
      <c r="AD1293" s="229"/>
      <c r="AE1293" s="229"/>
      <c r="AF1293" s="229"/>
      <c r="AG1293" s="229"/>
      <c r="AH1293" s="229"/>
      <c r="AI1293" s="229"/>
      <c r="AJ1293" s="229"/>
      <c r="AK1293" s="229"/>
      <c r="AL1293" s="229"/>
      <c r="AM1293" s="229"/>
      <c r="AN1293" s="229"/>
      <c r="AO1293" s="229"/>
      <c r="AP1293" s="229"/>
      <c r="AQ1293" s="229"/>
      <c r="AR1293" s="229"/>
      <c r="AS1293" s="229"/>
      <c r="AT1293" s="229"/>
      <c r="AU1293" s="229"/>
      <c r="AV1293" s="229"/>
      <c r="AW1293" s="229"/>
      <c r="AX1293" s="229"/>
      <c r="AY1293" s="229"/>
      <c r="AZ1293" s="229"/>
      <c r="BA1293" s="229"/>
      <c r="BB1293" s="229"/>
      <c r="BC1293" s="229"/>
      <c r="BD1293" s="229"/>
      <c r="BE1293" s="229"/>
      <c r="BF1293" s="229"/>
      <c r="BG1293" s="229"/>
      <c r="BH1293" s="229"/>
      <c r="BI1293" s="229"/>
      <c r="BJ1293" s="229"/>
      <c r="BK1293" s="229"/>
      <c r="BL1293" s="229"/>
      <c r="BM1293" s="229"/>
      <c r="BN1293" s="229"/>
      <c r="BO1293" s="229"/>
      <c r="BP1293" s="229"/>
      <c r="BQ1293" s="229"/>
      <c r="BR1293" s="229"/>
      <c r="BS1293" s="296"/>
      <c r="BT1293" s="229"/>
      <c r="BU1293" s="229"/>
      <c r="BV1293" s="229"/>
      <c r="BW1293" s="229"/>
      <c r="BX1293" s="229"/>
      <c r="BY1293" s="229"/>
      <c r="BZ1293" s="229"/>
      <c r="CA1293" s="229"/>
      <c r="CB1293" s="229"/>
      <c r="CC1293" s="229"/>
      <c r="CD1293" s="229"/>
      <c r="CE1293" s="229"/>
      <c r="CF1293" s="229"/>
      <c r="CG1293" s="229"/>
      <c r="CH1293" s="229"/>
      <c r="CI1293" s="229"/>
      <c r="CJ1293" s="229"/>
      <c r="CK1293" s="229"/>
      <c r="CL1293" s="229"/>
      <c r="CM1293" s="229"/>
      <c r="CN1293" s="229"/>
      <c r="CO1293" s="229"/>
      <c r="CP1293" s="229"/>
      <c r="CQ1293" s="229"/>
      <c r="CR1293" s="229"/>
      <c r="CS1293" s="229"/>
      <c r="CT1293" s="229"/>
      <c r="CU1293" s="229"/>
      <c r="CV1293" s="229"/>
      <c r="CW1293" s="229"/>
      <c r="CX1293" s="229"/>
      <c r="CY1293" s="229"/>
      <c r="CZ1293" s="229"/>
      <c r="DA1293" s="229"/>
      <c r="DB1293" s="229"/>
      <c r="DC1293" s="229"/>
      <c r="DD1293" s="229"/>
      <c r="DE1293" s="229"/>
      <c r="DF1293" s="229"/>
      <c r="DG1293" s="229"/>
      <c r="DH1293" s="229"/>
      <c r="DI1293" s="229"/>
      <c r="DJ1293" s="229"/>
      <c r="DK1293" s="229"/>
      <c r="DL1293" s="229"/>
      <c r="DM1293" s="229"/>
      <c r="DN1293" s="229"/>
      <c r="DO1293" s="229"/>
      <c r="DP1293" s="229"/>
      <c r="DQ1293" s="229"/>
      <c r="DR1293" s="229"/>
      <c r="DS1293" s="229"/>
      <c r="DT1293" s="229"/>
      <c r="DU1293" s="229"/>
      <c r="DV1293" s="229"/>
      <c r="DW1293" s="229"/>
      <c r="DX1293" s="229"/>
      <c r="DY1293" s="229"/>
      <c r="DZ1293" s="229"/>
      <c r="EA1293" s="229"/>
      <c r="EB1293" s="229"/>
      <c r="EC1293" s="229"/>
      <c r="ED1293" s="229"/>
      <c r="EE1293" s="229"/>
      <c r="EF1293" s="229"/>
      <c r="EG1293" s="229"/>
      <c r="EH1293" s="229"/>
      <c r="EI1293" s="229"/>
      <c r="EJ1293" s="229"/>
      <c r="EK1293" s="229"/>
      <c r="EL1293" s="229"/>
      <c r="EM1293" s="234"/>
      <c r="EN1293" s="234"/>
      <c r="EO1293" s="234"/>
      <c r="EP1293" s="233"/>
      <c r="EQ1293" s="233"/>
    </row>
    <row r="1294" spans="2:147" ht="11.25" customHeight="1">
      <c r="B1294" s="228"/>
      <c r="C1294" s="229"/>
      <c r="D1294" s="229"/>
      <c r="E1294" s="229"/>
      <c r="F1294" s="229"/>
      <c r="G1294" s="229"/>
      <c r="H1294" s="229"/>
      <c r="I1294" s="229"/>
      <c r="J1294" s="229"/>
      <c r="K1294" s="229"/>
      <c r="L1294" s="296"/>
      <c r="M1294" s="296"/>
      <c r="N1294" s="296"/>
      <c r="O1294" s="229"/>
      <c r="P1294" s="229"/>
      <c r="Q1294" s="229"/>
      <c r="R1294" s="229"/>
      <c r="S1294" s="229"/>
      <c r="T1294" s="229"/>
      <c r="U1294" s="229"/>
      <c r="V1294" s="229"/>
      <c r="W1294" s="229"/>
      <c r="X1294" s="229"/>
      <c r="Y1294" s="229"/>
      <c r="Z1294" s="229"/>
      <c r="AA1294" s="229"/>
      <c r="AB1294" s="229"/>
      <c r="AC1294" s="229"/>
      <c r="AD1294" s="229"/>
      <c r="AE1294" s="229"/>
      <c r="AF1294" s="229"/>
      <c r="AG1294" s="229"/>
      <c r="AH1294" s="229"/>
      <c r="AI1294" s="229"/>
      <c r="AJ1294" s="229"/>
      <c r="AK1294" s="229"/>
      <c r="AL1294" s="229"/>
      <c r="AM1294" s="229"/>
      <c r="AN1294" s="229"/>
      <c r="AO1294" s="229"/>
      <c r="AP1294" s="229"/>
      <c r="AQ1294" s="229"/>
      <c r="AR1294" s="229"/>
      <c r="AS1294" s="229"/>
      <c r="AT1294" s="229"/>
      <c r="AU1294" s="229"/>
      <c r="AV1294" s="229"/>
      <c r="AW1294" s="229"/>
      <c r="AX1294" s="229"/>
      <c r="AY1294" s="229"/>
      <c r="AZ1294" s="229"/>
      <c r="BA1294" s="229"/>
      <c r="BB1294" s="229"/>
      <c r="BC1294" s="229"/>
      <c r="BD1294" s="229"/>
      <c r="BE1294" s="229"/>
      <c r="BF1294" s="229"/>
      <c r="BG1294" s="229"/>
      <c r="BH1294" s="229"/>
      <c r="BI1294" s="229"/>
      <c r="BJ1294" s="229"/>
      <c r="BK1294" s="229"/>
      <c r="BL1294" s="229"/>
      <c r="BM1294" s="229"/>
      <c r="BN1294" s="229"/>
      <c r="BO1294" s="229"/>
      <c r="BP1294" s="229"/>
      <c r="BQ1294" s="229"/>
      <c r="BR1294" s="229"/>
      <c r="BS1294" s="296"/>
      <c r="BT1294" s="229"/>
      <c r="BU1294" s="229"/>
      <c r="BV1294" s="229"/>
      <c r="BW1294" s="229"/>
      <c r="BX1294" s="229"/>
      <c r="BY1294" s="229"/>
      <c r="BZ1294" s="229"/>
      <c r="CA1294" s="229"/>
      <c r="CB1294" s="229"/>
      <c r="CC1294" s="229"/>
      <c r="CD1294" s="229"/>
      <c r="CE1294" s="229"/>
      <c r="CF1294" s="229"/>
      <c r="CG1294" s="229"/>
      <c r="CH1294" s="229"/>
      <c r="CI1294" s="229"/>
      <c r="CJ1294" s="229"/>
      <c r="CK1294" s="229"/>
      <c r="CL1294" s="229"/>
      <c r="CM1294" s="229"/>
      <c r="CN1294" s="229"/>
      <c r="CO1294" s="229"/>
      <c r="CP1294" s="229"/>
      <c r="CQ1294" s="229"/>
      <c r="CR1294" s="229"/>
      <c r="CS1294" s="229"/>
      <c r="CT1294" s="229"/>
      <c r="CU1294" s="229"/>
      <c r="CV1294" s="229"/>
      <c r="CW1294" s="229"/>
      <c r="CX1294" s="229"/>
      <c r="CY1294" s="229"/>
      <c r="CZ1294" s="229"/>
      <c r="DA1294" s="229"/>
      <c r="DB1294" s="229"/>
      <c r="DC1294" s="229"/>
      <c r="DD1294" s="229"/>
      <c r="DE1294" s="229"/>
      <c r="DF1294" s="229"/>
      <c r="DG1294" s="229"/>
      <c r="DH1294" s="229"/>
      <c r="DI1294" s="229"/>
      <c r="DJ1294" s="229"/>
      <c r="DK1294" s="229"/>
      <c r="DL1294" s="229"/>
      <c r="DM1294" s="229"/>
      <c r="DN1294" s="229"/>
      <c r="DO1294" s="229"/>
      <c r="DP1294" s="229"/>
      <c r="DQ1294" s="229"/>
      <c r="DR1294" s="229"/>
      <c r="DS1294" s="229"/>
      <c r="DT1294" s="229"/>
      <c r="DU1294" s="229"/>
      <c r="DV1294" s="229"/>
      <c r="DW1294" s="229"/>
      <c r="DX1294" s="229"/>
      <c r="DY1294" s="229"/>
      <c r="DZ1294" s="229"/>
      <c r="EA1294" s="229"/>
      <c r="EB1294" s="229"/>
      <c r="EC1294" s="229"/>
      <c r="ED1294" s="229"/>
      <c r="EE1294" s="229"/>
      <c r="EF1294" s="229"/>
      <c r="EG1294" s="229"/>
      <c r="EH1294" s="229"/>
      <c r="EI1294" s="229"/>
      <c r="EJ1294" s="229"/>
      <c r="EK1294" s="229"/>
      <c r="EL1294" s="229"/>
      <c r="EM1294" s="234"/>
      <c r="EN1294" s="234"/>
      <c r="EO1294" s="234"/>
      <c r="EP1294" s="233"/>
      <c r="EQ1294" s="233"/>
    </row>
    <row r="1295" spans="2:147" ht="11.25" customHeight="1">
      <c r="B1295" s="228"/>
      <c r="C1295" s="229"/>
      <c r="D1295" s="229"/>
      <c r="E1295" s="229"/>
      <c r="F1295" s="229"/>
      <c r="G1295" s="229"/>
      <c r="H1295" s="229"/>
      <c r="I1295" s="229"/>
      <c r="J1295" s="229"/>
      <c r="K1295" s="229"/>
      <c r="L1295" s="296"/>
      <c r="M1295" s="296"/>
      <c r="N1295" s="296"/>
      <c r="O1295" s="229"/>
      <c r="P1295" s="229"/>
      <c r="Q1295" s="229"/>
      <c r="R1295" s="229"/>
      <c r="S1295" s="229"/>
      <c r="T1295" s="229"/>
      <c r="U1295" s="229"/>
      <c r="V1295" s="229"/>
      <c r="W1295" s="229"/>
      <c r="X1295" s="229"/>
      <c r="Y1295" s="229"/>
      <c r="Z1295" s="229"/>
      <c r="AA1295" s="229"/>
      <c r="AB1295" s="229"/>
      <c r="AC1295" s="229"/>
      <c r="AD1295" s="229"/>
      <c r="AE1295" s="229"/>
      <c r="AF1295" s="229"/>
      <c r="AG1295" s="229"/>
      <c r="AH1295" s="229"/>
      <c r="AI1295" s="229"/>
      <c r="AJ1295" s="229"/>
      <c r="AK1295" s="229"/>
      <c r="AL1295" s="229"/>
      <c r="AM1295" s="229"/>
      <c r="AN1295" s="229"/>
      <c r="AO1295" s="229"/>
      <c r="AP1295" s="229"/>
      <c r="AQ1295" s="229"/>
      <c r="AR1295" s="229"/>
      <c r="AS1295" s="229"/>
      <c r="AT1295" s="229"/>
      <c r="AU1295" s="229"/>
      <c r="AV1295" s="229"/>
      <c r="AW1295" s="229"/>
      <c r="AX1295" s="229"/>
      <c r="AY1295" s="229"/>
      <c r="AZ1295" s="229"/>
      <c r="BA1295" s="229"/>
      <c r="BB1295" s="229"/>
      <c r="BC1295" s="229"/>
      <c r="BD1295" s="229"/>
      <c r="BE1295" s="229"/>
      <c r="BF1295" s="229"/>
      <c r="BG1295" s="229"/>
      <c r="BH1295" s="229"/>
      <c r="BI1295" s="229"/>
      <c r="BJ1295" s="229"/>
      <c r="BK1295" s="229"/>
      <c r="BL1295" s="229"/>
      <c r="BM1295" s="229"/>
      <c r="BN1295" s="229"/>
      <c r="BO1295" s="229"/>
      <c r="BP1295" s="229"/>
      <c r="BQ1295" s="229"/>
      <c r="BR1295" s="229"/>
      <c r="BS1295" s="296"/>
      <c r="BT1295" s="229"/>
      <c r="BU1295" s="229"/>
      <c r="BV1295" s="229"/>
      <c r="BW1295" s="229"/>
      <c r="BX1295" s="229"/>
      <c r="BY1295" s="229"/>
      <c r="BZ1295" s="229"/>
      <c r="CA1295" s="229"/>
      <c r="CB1295" s="229"/>
      <c r="CC1295" s="229"/>
      <c r="CD1295" s="229"/>
      <c r="CE1295" s="229"/>
      <c r="CF1295" s="229"/>
      <c r="CG1295" s="229"/>
      <c r="CH1295" s="229"/>
      <c r="CI1295" s="229"/>
      <c r="CJ1295" s="229"/>
      <c r="CK1295" s="229"/>
      <c r="CL1295" s="229"/>
      <c r="CM1295" s="229"/>
      <c r="CN1295" s="229"/>
      <c r="CO1295" s="229"/>
      <c r="CP1295" s="229"/>
      <c r="CQ1295" s="229"/>
      <c r="CR1295" s="229"/>
      <c r="CS1295" s="229"/>
      <c r="CT1295" s="229"/>
      <c r="CU1295" s="229"/>
      <c r="CV1295" s="229"/>
      <c r="CW1295" s="229"/>
      <c r="CX1295" s="229"/>
      <c r="CY1295" s="229"/>
      <c r="CZ1295" s="229"/>
      <c r="DA1295" s="229"/>
      <c r="DB1295" s="229"/>
      <c r="DC1295" s="229"/>
      <c r="DD1295" s="229"/>
      <c r="DE1295" s="229"/>
      <c r="DF1295" s="229"/>
      <c r="DG1295" s="229"/>
      <c r="DH1295" s="229"/>
      <c r="DI1295" s="229"/>
      <c r="DJ1295" s="229"/>
      <c r="DK1295" s="229"/>
      <c r="DL1295" s="229"/>
      <c r="DM1295" s="229"/>
      <c r="DN1295" s="229"/>
      <c r="DO1295" s="229"/>
      <c r="DP1295" s="229"/>
      <c r="DQ1295" s="229"/>
      <c r="DR1295" s="229"/>
      <c r="DS1295" s="229"/>
      <c r="DT1295" s="229"/>
      <c r="DU1295" s="229"/>
      <c r="DV1295" s="229"/>
      <c r="DW1295" s="229"/>
      <c r="DX1295" s="229"/>
      <c r="DY1295" s="229"/>
      <c r="DZ1295" s="229"/>
      <c r="EA1295" s="229"/>
      <c r="EB1295" s="229"/>
      <c r="EC1295" s="229"/>
      <c r="ED1295" s="229"/>
      <c r="EE1295" s="229"/>
      <c r="EF1295" s="229"/>
      <c r="EG1295" s="229"/>
      <c r="EH1295" s="229"/>
      <c r="EI1295" s="229"/>
      <c r="EJ1295" s="229"/>
      <c r="EK1295" s="229"/>
      <c r="EL1295" s="229"/>
      <c r="EM1295" s="234"/>
      <c r="EN1295" s="234"/>
      <c r="EO1295" s="234"/>
      <c r="EP1295" s="233"/>
      <c r="EQ1295" s="233"/>
    </row>
    <row r="1296" spans="2:147" ht="11.25" customHeight="1">
      <c r="B1296" s="228"/>
      <c r="C1296" s="229"/>
      <c r="D1296" s="229"/>
      <c r="E1296" s="229"/>
      <c r="F1296" s="229"/>
      <c r="G1296" s="229"/>
      <c r="H1296" s="229"/>
      <c r="I1296" s="229"/>
      <c r="J1296" s="229"/>
      <c r="K1296" s="229"/>
      <c r="L1296" s="296"/>
      <c r="M1296" s="296"/>
      <c r="N1296" s="296"/>
      <c r="O1296" s="229"/>
      <c r="P1296" s="229"/>
      <c r="Q1296" s="229"/>
      <c r="R1296" s="229"/>
      <c r="S1296" s="229"/>
      <c r="T1296" s="229"/>
      <c r="U1296" s="229"/>
      <c r="V1296" s="229"/>
      <c r="W1296" s="229"/>
      <c r="X1296" s="229"/>
      <c r="Y1296" s="229"/>
      <c r="Z1296" s="229"/>
      <c r="AA1296" s="229"/>
      <c r="AB1296" s="229"/>
      <c r="AC1296" s="229"/>
      <c r="AD1296" s="229"/>
      <c r="AE1296" s="229"/>
      <c r="AF1296" s="229"/>
      <c r="AG1296" s="229"/>
      <c r="AH1296" s="229"/>
      <c r="AI1296" s="229"/>
      <c r="AJ1296" s="229"/>
      <c r="AK1296" s="229"/>
      <c r="AL1296" s="229"/>
      <c r="AM1296" s="229"/>
      <c r="AN1296" s="229"/>
      <c r="AO1296" s="229"/>
      <c r="AP1296" s="229"/>
      <c r="AQ1296" s="229"/>
      <c r="AR1296" s="229"/>
      <c r="AS1296" s="229"/>
      <c r="AT1296" s="229"/>
      <c r="AU1296" s="229"/>
      <c r="AV1296" s="229"/>
      <c r="AW1296" s="229"/>
      <c r="AX1296" s="229"/>
      <c r="AY1296" s="229"/>
      <c r="AZ1296" s="229"/>
      <c r="BA1296" s="229"/>
      <c r="BB1296" s="229"/>
      <c r="BC1296" s="229"/>
      <c r="BD1296" s="229"/>
      <c r="BE1296" s="229"/>
      <c r="BF1296" s="229"/>
      <c r="BG1296" s="229"/>
      <c r="BH1296" s="229"/>
      <c r="BI1296" s="229"/>
      <c r="BJ1296" s="229"/>
      <c r="BK1296" s="229"/>
      <c r="BL1296" s="229"/>
      <c r="BM1296" s="229"/>
      <c r="BN1296" s="229"/>
      <c r="BO1296" s="229"/>
      <c r="BP1296" s="229"/>
      <c r="BQ1296" s="229"/>
      <c r="BR1296" s="229"/>
      <c r="BS1296" s="296"/>
      <c r="BT1296" s="229"/>
      <c r="BU1296" s="229"/>
      <c r="BV1296" s="229"/>
      <c r="BW1296" s="229"/>
      <c r="BX1296" s="229"/>
      <c r="BY1296" s="229"/>
      <c r="BZ1296" s="229"/>
      <c r="CA1296" s="229"/>
      <c r="CB1296" s="229"/>
      <c r="CC1296" s="229"/>
      <c r="CD1296" s="229"/>
      <c r="CE1296" s="229"/>
      <c r="CF1296" s="229"/>
      <c r="CG1296" s="229"/>
      <c r="CH1296" s="229"/>
      <c r="CI1296" s="229"/>
      <c r="CJ1296" s="229"/>
      <c r="CK1296" s="229"/>
      <c r="CL1296" s="229"/>
      <c r="CM1296" s="229"/>
      <c r="CN1296" s="229"/>
      <c r="CO1296" s="229"/>
      <c r="CP1296" s="229"/>
      <c r="CQ1296" s="229"/>
      <c r="CR1296" s="229"/>
      <c r="CS1296" s="229"/>
      <c r="CT1296" s="229"/>
      <c r="CU1296" s="229"/>
      <c r="CV1296" s="229"/>
      <c r="CW1296" s="229"/>
      <c r="CX1296" s="229"/>
      <c r="CY1296" s="229"/>
      <c r="CZ1296" s="229"/>
      <c r="DA1296" s="229"/>
      <c r="DB1296" s="229"/>
      <c r="DC1296" s="229"/>
      <c r="DD1296" s="229"/>
      <c r="DE1296" s="229"/>
      <c r="DF1296" s="229"/>
      <c r="DG1296" s="229"/>
      <c r="DH1296" s="229"/>
      <c r="DI1296" s="229"/>
      <c r="DJ1296" s="229"/>
      <c r="DK1296" s="229"/>
      <c r="DL1296" s="229"/>
      <c r="DM1296" s="229"/>
      <c r="DN1296" s="229"/>
      <c r="DO1296" s="229"/>
      <c r="DP1296" s="229"/>
      <c r="DQ1296" s="229"/>
      <c r="DR1296" s="229"/>
      <c r="DS1296" s="229"/>
      <c r="DT1296" s="229"/>
      <c r="DU1296" s="229"/>
      <c r="DV1296" s="229"/>
      <c r="DW1296" s="229"/>
      <c r="DX1296" s="229"/>
      <c r="DY1296" s="229"/>
      <c r="DZ1296" s="229"/>
      <c r="EA1296" s="229"/>
      <c r="EB1296" s="229"/>
      <c r="EC1296" s="229"/>
      <c r="ED1296" s="229"/>
      <c r="EE1296" s="229"/>
      <c r="EF1296" s="229"/>
      <c r="EG1296" s="229"/>
      <c r="EH1296" s="229"/>
      <c r="EI1296" s="229"/>
      <c r="EJ1296" s="229"/>
      <c r="EK1296" s="229"/>
      <c r="EL1296" s="229"/>
      <c r="EM1296" s="234"/>
      <c r="EN1296" s="234"/>
      <c r="EO1296" s="234"/>
      <c r="EP1296" s="233"/>
      <c r="EQ1296" s="233"/>
    </row>
    <row r="1297" spans="2:147" ht="11.25" customHeight="1">
      <c r="B1297" s="228"/>
      <c r="C1297" s="229"/>
      <c r="D1297" s="229"/>
      <c r="E1297" s="229"/>
      <c r="F1297" s="229"/>
      <c r="G1297" s="229"/>
      <c r="H1297" s="229"/>
      <c r="I1297" s="229"/>
      <c r="J1297" s="229"/>
      <c r="K1297" s="229"/>
      <c r="L1297" s="296"/>
      <c r="M1297" s="296"/>
      <c r="N1297" s="296"/>
      <c r="O1297" s="229"/>
      <c r="P1297" s="229"/>
      <c r="Q1297" s="229"/>
      <c r="R1297" s="229"/>
      <c r="S1297" s="229"/>
      <c r="T1297" s="229"/>
      <c r="U1297" s="229"/>
      <c r="V1297" s="229"/>
      <c r="W1297" s="229"/>
      <c r="X1297" s="229"/>
      <c r="Y1297" s="229"/>
      <c r="Z1297" s="229"/>
      <c r="AA1297" s="229"/>
      <c r="AB1297" s="229"/>
      <c r="AC1297" s="229"/>
      <c r="AD1297" s="229"/>
      <c r="AE1297" s="229"/>
      <c r="AF1297" s="229"/>
      <c r="AG1297" s="229"/>
      <c r="AH1297" s="229"/>
      <c r="AI1297" s="229"/>
      <c r="AJ1297" s="229"/>
      <c r="AK1297" s="229"/>
      <c r="AL1297" s="229"/>
      <c r="AM1297" s="229"/>
      <c r="AN1297" s="229"/>
      <c r="AO1297" s="229"/>
      <c r="AP1297" s="229"/>
      <c r="AQ1297" s="229"/>
      <c r="AR1297" s="229"/>
      <c r="AS1297" s="229"/>
      <c r="AT1297" s="229"/>
      <c r="AU1297" s="229"/>
      <c r="AV1297" s="229"/>
      <c r="AW1297" s="229"/>
      <c r="AX1297" s="229"/>
      <c r="AY1297" s="229"/>
      <c r="AZ1297" s="229"/>
      <c r="BA1297" s="229"/>
      <c r="BB1297" s="229"/>
      <c r="BC1297" s="229"/>
      <c r="BD1297" s="229"/>
      <c r="BE1297" s="229"/>
      <c r="BF1297" s="229"/>
      <c r="BG1297" s="229"/>
      <c r="BH1297" s="229"/>
      <c r="BI1297" s="229"/>
      <c r="BJ1297" s="229"/>
      <c r="BK1297" s="229"/>
      <c r="BL1297" s="229"/>
      <c r="BM1297" s="229"/>
      <c r="BN1297" s="229"/>
      <c r="BO1297" s="229"/>
      <c r="BP1297" s="229"/>
      <c r="BQ1297" s="229"/>
      <c r="BR1297" s="229"/>
      <c r="BS1297" s="296"/>
      <c r="BT1297" s="229"/>
      <c r="BU1297" s="229"/>
      <c r="BV1297" s="229"/>
      <c r="BW1297" s="229"/>
      <c r="BX1297" s="229"/>
      <c r="BY1297" s="229"/>
      <c r="BZ1297" s="229"/>
      <c r="CA1297" s="229"/>
      <c r="CB1297" s="229"/>
      <c r="CC1297" s="229"/>
      <c r="CD1297" s="229"/>
      <c r="CE1297" s="229"/>
      <c r="CF1297" s="229"/>
      <c r="CG1297" s="229"/>
      <c r="CH1297" s="229"/>
      <c r="CI1297" s="229"/>
      <c r="CJ1297" s="229"/>
      <c r="CK1297" s="229"/>
      <c r="CL1297" s="229"/>
      <c r="CM1297" s="229"/>
      <c r="CN1297" s="229"/>
      <c r="CO1297" s="229"/>
      <c r="CP1297" s="229"/>
      <c r="CQ1297" s="229"/>
      <c r="CR1297" s="229"/>
      <c r="CS1297" s="229"/>
      <c r="CT1297" s="229"/>
      <c r="CU1297" s="229"/>
      <c r="CV1297" s="229"/>
      <c r="CW1297" s="229"/>
      <c r="CX1297" s="229"/>
      <c r="CY1297" s="229"/>
      <c r="CZ1297" s="229"/>
      <c r="DA1297" s="229"/>
      <c r="DB1297" s="229"/>
      <c r="DC1297" s="229"/>
      <c r="DD1297" s="229"/>
      <c r="DE1297" s="229"/>
      <c r="DF1297" s="229"/>
      <c r="DG1297" s="229"/>
      <c r="DH1297" s="229"/>
      <c r="DI1297" s="229"/>
      <c r="DJ1297" s="229"/>
      <c r="DK1297" s="229"/>
      <c r="DL1297" s="229"/>
      <c r="DM1297" s="229"/>
      <c r="DN1297" s="229"/>
      <c r="DO1297" s="229"/>
      <c r="DP1297" s="229"/>
      <c r="DQ1297" s="229"/>
      <c r="DR1297" s="229"/>
      <c r="DS1297" s="229"/>
      <c r="DT1297" s="229"/>
      <c r="DU1297" s="229"/>
      <c r="DV1297" s="229"/>
      <c r="DW1297" s="229"/>
      <c r="DX1297" s="229"/>
      <c r="DY1297" s="229"/>
      <c r="DZ1297" s="229"/>
      <c r="EA1297" s="229"/>
      <c r="EB1297" s="229"/>
      <c r="EC1297" s="229"/>
      <c r="ED1297" s="229"/>
      <c r="EE1297" s="229"/>
      <c r="EF1297" s="229"/>
      <c r="EG1297" s="229"/>
      <c r="EH1297" s="229"/>
      <c r="EI1297" s="229"/>
      <c r="EJ1297" s="229"/>
      <c r="EK1297" s="229"/>
      <c r="EL1297" s="229"/>
      <c r="EM1297" s="234"/>
      <c r="EN1297" s="234"/>
      <c r="EO1297" s="234"/>
      <c r="EP1297" s="233"/>
      <c r="EQ1297" s="233"/>
    </row>
    <row r="1298" spans="2:147" ht="11.25" customHeight="1">
      <c r="B1298" s="228"/>
      <c r="C1298" s="229"/>
      <c r="D1298" s="229"/>
      <c r="E1298" s="229"/>
      <c r="F1298" s="229"/>
      <c r="G1298" s="229"/>
      <c r="H1298" s="229"/>
      <c r="I1298" s="229"/>
      <c r="J1298" s="229"/>
      <c r="K1298" s="229"/>
      <c r="L1298" s="296"/>
      <c r="M1298" s="296"/>
      <c r="N1298" s="296"/>
      <c r="O1298" s="229"/>
      <c r="P1298" s="229"/>
      <c r="Q1298" s="229"/>
      <c r="R1298" s="229"/>
      <c r="S1298" s="229"/>
      <c r="T1298" s="229"/>
      <c r="U1298" s="229"/>
      <c r="V1298" s="229"/>
      <c r="W1298" s="229"/>
      <c r="X1298" s="229"/>
      <c r="Y1298" s="229"/>
      <c r="Z1298" s="229"/>
      <c r="AA1298" s="229"/>
      <c r="AB1298" s="229"/>
      <c r="AC1298" s="229"/>
      <c r="AD1298" s="229"/>
      <c r="AE1298" s="229"/>
      <c r="AF1298" s="229"/>
      <c r="AG1298" s="229"/>
      <c r="AH1298" s="229"/>
      <c r="AI1298" s="229"/>
      <c r="AJ1298" s="229"/>
      <c r="AK1298" s="229"/>
      <c r="AL1298" s="229"/>
      <c r="AM1298" s="229"/>
      <c r="AN1298" s="229"/>
      <c r="AO1298" s="229"/>
      <c r="AP1298" s="229"/>
      <c r="AQ1298" s="229"/>
      <c r="AR1298" s="229"/>
      <c r="AS1298" s="229"/>
      <c r="AT1298" s="229"/>
      <c r="AU1298" s="229"/>
      <c r="AV1298" s="229"/>
      <c r="AW1298" s="229"/>
      <c r="AX1298" s="229"/>
      <c r="AY1298" s="229"/>
      <c r="AZ1298" s="229"/>
      <c r="BA1298" s="229"/>
      <c r="BB1298" s="229"/>
      <c r="BC1298" s="229"/>
      <c r="BD1298" s="229"/>
      <c r="BE1298" s="229"/>
      <c r="BF1298" s="229"/>
      <c r="BG1298" s="229"/>
      <c r="BH1298" s="229"/>
      <c r="BI1298" s="229"/>
      <c r="BJ1298" s="229"/>
      <c r="BK1298" s="229"/>
      <c r="BL1298" s="229"/>
      <c r="BM1298" s="229"/>
      <c r="BN1298" s="229"/>
      <c r="BO1298" s="229"/>
      <c r="BP1298" s="229"/>
      <c r="BQ1298" s="229"/>
      <c r="BR1298" s="229"/>
      <c r="BS1298" s="296"/>
      <c r="BT1298" s="229"/>
      <c r="BU1298" s="229"/>
      <c r="BV1298" s="229"/>
      <c r="BW1298" s="229"/>
      <c r="BX1298" s="229"/>
      <c r="BY1298" s="229"/>
      <c r="BZ1298" s="229"/>
      <c r="CA1298" s="229"/>
      <c r="CB1298" s="229"/>
      <c r="CC1298" s="229"/>
      <c r="CD1298" s="229"/>
      <c r="CE1298" s="229"/>
      <c r="CF1298" s="229"/>
      <c r="CG1298" s="229"/>
      <c r="CH1298" s="229"/>
      <c r="CI1298" s="229"/>
      <c r="CJ1298" s="229"/>
      <c r="CK1298" s="229"/>
      <c r="CL1298" s="229"/>
      <c r="CM1298" s="229"/>
      <c r="CN1298" s="229"/>
      <c r="CO1298" s="229"/>
      <c r="CP1298" s="229"/>
      <c r="CQ1298" s="229"/>
      <c r="CR1298" s="229"/>
      <c r="CS1298" s="229"/>
      <c r="CT1298" s="229"/>
      <c r="CU1298" s="229"/>
      <c r="CV1298" s="229"/>
      <c r="CW1298" s="229"/>
      <c r="CX1298" s="229"/>
      <c r="CY1298" s="229"/>
      <c r="CZ1298" s="229"/>
      <c r="DA1298" s="229"/>
      <c r="DB1298" s="229"/>
      <c r="DC1298" s="229"/>
      <c r="DD1298" s="229"/>
      <c r="DE1298" s="229"/>
      <c r="DF1298" s="229"/>
      <c r="DG1298" s="229"/>
      <c r="DH1298" s="229"/>
      <c r="DI1298" s="229"/>
      <c r="DJ1298" s="229"/>
      <c r="DK1298" s="229"/>
      <c r="DL1298" s="229"/>
      <c r="DM1298" s="229"/>
      <c r="DN1298" s="229"/>
      <c r="DO1298" s="229"/>
      <c r="DP1298" s="229"/>
      <c r="DQ1298" s="229"/>
      <c r="DR1298" s="229"/>
      <c r="DS1298" s="229"/>
      <c r="DT1298" s="229"/>
      <c r="DU1298" s="229"/>
      <c r="DV1298" s="229"/>
      <c r="DW1298" s="229"/>
      <c r="DX1298" s="229"/>
      <c r="DY1298" s="229"/>
      <c r="DZ1298" s="229"/>
      <c r="EA1298" s="229"/>
      <c r="EB1298" s="229"/>
      <c r="EC1298" s="229"/>
      <c r="ED1298" s="229"/>
      <c r="EE1298" s="229"/>
      <c r="EF1298" s="229"/>
      <c r="EG1298" s="229"/>
      <c r="EH1298" s="229"/>
      <c r="EI1298" s="229"/>
      <c r="EJ1298" s="229"/>
      <c r="EK1298" s="229"/>
      <c r="EL1298" s="229"/>
      <c r="EM1298" s="234"/>
      <c r="EN1298" s="234"/>
      <c r="EO1298" s="234"/>
      <c r="EP1298" s="233"/>
      <c r="EQ1298" s="233"/>
    </row>
    <row r="1299" spans="2:147" ht="11.25" customHeight="1">
      <c r="B1299" s="228"/>
      <c r="C1299" s="229"/>
      <c r="D1299" s="229"/>
      <c r="E1299" s="229"/>
      <c r="F1299" s="229"/>
      <c r="G1299" s="229"/>
      <c r="H1299" s="229"/>
      <c r="I1299" s="229"/>
      <c r="J1299" s="229"/>
      <c r="K1299" s="229"/>
      <c r="L1299" s="296"/>
      <c r="M1299" s="296"/>
      <c r="N1299" s="296"/>
      <c r="O1299" s="229"/>
      <c r="P1299" s="229"/>
      <c r="Q1299" s="229"/>
      <c r="R1299" s="229"/>
      <c r="S1299" s="229"/>
      <c r="T1299" s="229"/>
      <c r="U1299" s="229"/>
      <c r="V1299" s="229"/>
      <c r="W1299" s="229"/>
      <c r="X1299" s="229"/>
      <c r="Y1299" s="229"/>
      <c r="Z1299" s="229"/>
      <c r="AA1299" s="229"/>
      <c r="AB1299" s="229"/>
      <c r="AC1299" s="229"/>
      <c r="AD1299" s="229"/>
      <c r="AE1299" s="229"/>
      <c r="AF1299" s="229"/>
      <c r="AG1299" s="229"/>
      <c r="AH1299" s="229"/>
      <c r="AI1299" s="229"/>
      <c r="AJ1299" s="229"/>
      <c r="AK1299" s="229"/>
      <c r="AL1299" s="229"/>
      <c r="AM1299" s="229"/>
      <c r="AN1299" s="229"/>
      <c r="AO1299" s="229"/>
      <c r="AP1299" s="229"/>
      <c r="AQ1299" s="229"/>
      <c r="AR1299" s="229"/>
      <c r="AS1299" s="229"/>
      <c r="AT1299" s="229"/>
      <c r="AU1299" s="229"/>
      <c r="AV1299" s="229"/>
      <c r="AW1299" s="229"/>
      <c r="AX1299" s="229"/>
      <c r="AY1299" s="229"/>
      <c r="AZ1299" s="229"/>
      <c r="BA1299" s="229"/>
      <c r="BB1299" s="229"/>
      <c r="BC1299" s="229"/>
      <c r="BD1299" s="229"/>
      <c r="BE1299" s="229"/>
      <c r="BF1299" s="229"/>
      <c r="BG1299" s="229"/>
      <c r="BH1299" s="229"/>
      <c r="BI1299" s="229"/>
      <c r="BJ1299" s="229"/>
      <c r="BK1299" s="229"/>
      <c r="BL1299" s="229"/>
      <c r="BM1299" s="229"/>
      <c r="BN1299" s="229"/>
      <c r="BO1299" s="229"/>
      <c r="BP1299" s="229"/>
      <c r="BQ1299" s="229"/>
      <c r="BR1299" s="229"/>
      <c r="BS1299" s="296"/>
      <c r="BT1299" s="229"/>
      <c r="BU1299" s="229"/>
      <c r="BV1299" s="229"/>
      <c r="BW1299" s="229"/>
      <c r="BX1299" s="229"/>
      <c r="BY1299" s="229"/>
      <c r="BZ1299" s="229"/>
      <c r="CA1299" s="229"/>
      <c r="CB1299" s="229"/>
      <c r="CC1299" s="229"/>
      <c r="CD1299" s="229"/>
      <c r="CE1299" s="229"/>
      <c r="CF1299" s="229"/>
      <c r="CG1299" s="229"/>
      <c r="CH1299" s="229"/>
      <c r="CI1299" s="229"/>
      <c r="CJ1299" s="229"/>
      <c r="CK1299" s="229"/>
      <c r="CL1299" s="229"/>
      <c r="CM1299" s="229"/>
      <c r="CN1299" s="229"/>
      <c r="CO1299" s="229"/>
      <c r="CP1299" s="229"/>
      <c r="CQ1299" s="229"/>
      <c r="CR1299" s="229"/>
      <c r="CS1299" s="229"/>
      <c r="CT1299" s="229"/>
      <c r="CU1299" s="229"/>
      <c r="CV1299" s="229"/>
      <c r="CW1299" s="229"/>
      <c r="CX1299" s="229"/>
      <c r="CY1299" s="229"/>
      <c r="CZ1299" s="229"/>
      <c r="DA1299" s="229"/>
      <c r="DB1299" s="229"/>
      <c r="DC1299" s="229"/>
      <c r="DD1299" s="229"/>
      <c r="DE1299" s="229"/>
      <c r="DF1299" s="229"/>
      <c r="DG1299" s="229"/>
      <c r="DH1299" s="229"/>
      <c r="DI1299" s="229"/>
      <c r="DJ1299" s="229"/>
      <c r="DK1299" s="229"/>
      <c r="DL1299" s="229"/>
      <c r="DM1299" s="229"/>
      <c r="DN1299" s="229"/>
      <c r="DO1299" s="229"/>
      <c r="DP1299" s="229"/>
      <c r="DQ1299" s="229"/>
      <c r="DR1299" s="229"/>
      <c r="DS1299" s="229"/>
      <c r="DT1299" s="229"/>
      <c r="DU1299" s="229"/>
      <c r="DV1299" s="229"/>
      <c r="DW1299" s="229"/>
      <c r="DX1299" s="229"/>
      <c r="DY1299" s="229"/>
      <c r="DZ1299" s="229"/>
      <c r="EA1299" s="229"/>
      <c r="EB1299" s="229"/>
      <c r="EC1299" s="229"/>
      <c r="ED1299" s="229"/>
      <c r="EE1299" s="229"/>
      <c r="EF1299" s="229"/>
      <c r="EG1299" s="229"/>
      <c r="EH1299" s="229"/>
      <c r="EI1299" s="229"/>
      <c r="EJ1299" s="229"/>
      <c r="EK1299" s="229"/>
      <c r="EL1299" s="229"/>
      <c r="EM1299" s="234"/>
      <c r="EN1299" s="234"/>
      <c r="EO1299" s="234"/>
      <c r="EP1299" s="233"/>
      <c r="EQ1299" s="233"/>
    </row>
    <row r="1300" spans="2:147" ht="11.25" customHeight="1">
      <c r="B1300" s="228"/>
      <c r="C1300" s="229"/>
      <c r="D1300" s="229"/>
      <c r="E1300" s="229"/>
      <c r="F1300" s="229"/>
      <c r="G1300" s="229"/>
      <c r="H1300" s="229"/>
      <c r="I1300" s="229"/>
      <c r="J1300" s="229"/>
      <c r="K1300" s="229"/>
      <c r="L1300" s="296"/>
      <c r="M1300" s="296"/>
      <c r="N1300" s="296"/>
      <c r="O1300" s="229"/>
      <c r="P1300" s="229"/>
      <c r="Q1300" s="229"/>
      <c r="R1300" s="229"/>
      <c r="S1300" s="229"/>
      <c r="T1300" s="229"/>
      <c r="U1300" s="229"/>
      <c r="V1300" s="229"/>
      <c r="W1300" s="229"/>
      <c r="X1300" s="229"/>
      <c r="Y1300" s="229"/>
      <c r="Z1300" s="229"/>
      <c r="AA1300" s="229"/>
      <c r="AB1300" s="229"/>
      <c r="AC1300" s="229"/>
      <c r="AD1300" s="229"/>
      <c r="AE1300" s="229"/>
      <c r="AF1300" s="229"/>
      <c r="AG1300" s="229"/>
      <c r="AH1300" s="229"/>
      <c r="AI1300" s="229"/>
      <c r="AJ1300" s="229"/>
      <c r="AK1300" s="229"/>
      <c r="AL1300" s="229"/>
      <c r="AM1300" s="229"/>
      <c r="AN1300" s="229"/>
      <c r="AO1300" s="229"/>
      <c r="AP1300" s="229"/>
      <c r="AQ1300" s="229"/>
      <c r="AR1300" s="229"/>
      <c r="AS1300" s="229"/>
      <c r="AT1300" s="229"/>
      <c r="AU1300" s="229"/>
      <c r="AV1300" s="229"/>
      <c r="AW1300" s="229"/>
      <c r="AX1300" s="229"/>
      <c r="AY1300" s="229"/>
      <c r="AZ1300" s="229"/>
      <c r="BA1300" s="229"/>
      <c r="BB1300" s="229"/>
      <c r="BC1300" s="229"/>
      <c r="BD1300" s="229"/>
      <c r="BE1300" s="229"/>
      <c r="BF1300" s="229"/>
      <c r="BG1300" s="229"/>
      <c r="BH1300" s="229"/>
      <c r="BI1300" s="229"/>
      <c r="BJ1300" s="229"/>
      <c r="BK1300" s="229"/>
      <c r="BL1300" s="229"/>
      <c r="BM1300" s="229"/>
      <c r="BN1300" s="229"/>
      <c r="BO1300" s="229"/>
      <c r="BP1300" s="229"/>
      <c r="BQ1300" s="229"/>
      <c r="BR1300" s="229"/>
      <c r="BS1300" s="296"/>
      <c r="BT1300" s="229"/>
      <c r="BU1300" s="229"/>
      <c r="BV1300" s="229"/>
      <c r="BW1300" s="229"/>
      <c r="BX1300" s="229"/>
      <c r="BY1300" s="229"/>
      <c r="BZ1300" s="229"/>
      <c r="CA1300" s="229"/>
      <c r="CB1300" s="229"/>
      <c r="CC1300" s="229"/>
      <c r="CD1300" s="229"/>
      <c r="CE1300" s="229"/>
      <c r="CF1300" s="229"/>
      <c r="CG1300" s="229"/>
      <c r="CH1300" s="229"/>
      <c r="CI1300" s="229"/>
      <c r="CJ1300" s="229"/>
      <c r="CK1300" s="229"/>
      <c r="CL1300" s="229"/>
      <c r="CM1300" s="229"/>
      <c r="CN1300" s="229"/>
      <c r="CO1300" s="229"/>
      <c r="CP1300" s="229"/>
      <c r="CQ1300" s="229"/>
      <c r="CR1300" s="229"/>
      <c r="CS1300" s="229"/>
      <c r="CT1300" s="229"/>
      <c r="CU1300" s="229"/>
      <c r="CV1300" s="229"/>
      <c r="CW1300" s="229"/>
      <c r="CX1300" s="229"/>
      <c r="CY1300" s="229"/>
      <c r="CZ1300" s="229"/>
      <c r="DA1300" s="229"/>
      <c r="DB1300" s="229"/>
      <c r="DC1300" s="229"/>
      <c r="DD1300" s="229"/>
      <c r="DE1300" s="229"/>
      <c r="DF1300" s="229"/>
      <c r="DG1300" s="229"/>
      <c r="DH1300" s="229"/>
      <c r="DI1300" s="229"/>
      <c r="DJ1300" s="229"/>
      <c r="DK1300" s="229"/>
      <c r="DL1300" s="229"/>
      <c r="DM1300" s="229"/>
      <c r="DN1300" s="229"/>
      <c r="DO1300" s="229"/>
      <c r="DP1300" s="229"/>
      <c r="DQ1300" s="229"/>
      <c r="DR1300" s="229"/>
      <c r="DS1300" s="229"/>
      <c r="DT1300" s="229"/>
      <c r="DU1300" s="229"/>
      <c r="DV1300" s="229"/>
      <c r="DW1300" s="229"/>
      <c r="DX1300" s="229"/>
      <c r="DY1300" s="229"/>
      <c r="DZ1300" s="229"/>
      <c r="EA1300" s="229"/>
      <c r="EB1300" s="229"/>
      <c r="EC1300" s="229"/>
      <c r="ED1300" s="229"/>
      <c r="EE1300" s="229"/>
      <c r="EF1300" s="229"/>
      <c r="EG1300" s="229"/>
      <c r="EH1300" s="229"/>
      <c r="EI1300" s="229"/>
      <c r="EJ1300" s="229"/>
      <c r="EK1300" s="229"/>
      <c r="EL1300" s="229"/>
      <c r="EM1300" s="234"/>
      <c r="EN1300" s="234"/>
      <c r="EO1300" s="234"/>
      <c r="EP1300" s="233"/>
      <c r="EQ1300" s="233"/>
    </row>
    <row r="1301" spans="2:147" ht="11.25" customHeight="1">
      <c r="B1301" s="228"/>
      <c r="C1301" s="229"/>
      <c r="D1301" s="229"/>
      <c r="E1301" s="229"/>
      <c r="F1301" s="229"/>
      <c r="G1301" s="229"/>
      <c r="H1301" s="229"/>
      <c r="I1301" s="229"/>
      <c r="J1301" s="229"/>
      <c r="K1301" s="229"/>
      <c r="L1301" s="296"/>
      <c r="M1301" s="296"/>
      <c r="N1301" s="296"/>
      <c r="O1301" s="229"/>
      <c r="P1301" s="229"/>
      <c r="Q1301" s="229"/>
      <c r="R1301" s="229"/>
      <c r="S1301" s="229"/>
      <c r="T1301" s="229"/>
      <c r="U1301" s="229"/>
      <c r="V1301" s="229"/>
      <c r="W1301" s="229"/>
      <c r="X1301" s="229"/>
      <c r="Y1301" s="229"/>
      <c r="Z1301" s="229"/>
      <c r="AA1301" s="229"/>
      <c r="AB1301" s="229"/>
      <c r="AC1301" s="229"/>
      <c r="AD1301" s="229"/>
      <c r="AE1301" s="229"/>
      <c r="AF1301" s="229"/>
      <c r="AG1301" s="229"/>
      <c r="AH1301" s="229"/>
      <c r="AI1301" s="229"/>
      <c r="AJ1301" s="229"/>
      <c r="AK1301" s="229"/>
      <c r="AL1301" s="229"/>
      <c r="AM1301" s="229"/>
      <c r="AN1301" s="229"/>
      <c r="AO1301" s="229"/>
      <c r="AP1301" s="229"/>
      <c r="AQ1301" s="229"/>
      <c r="AR1301" s="229"/>
      <c r="AS1301" s="229"/>
      <c r="AT1301" s="229"/>
      <c r="AU1301" s="229"/>
      <c r="AV1301" s="229"/>
      <c r="AW1301" s="229"/>
      <c r="AX1301" s="229"/>
      <c r="AY1301" s="229"/>
      <c r="AZ1301" s="229"/>
      <c r="BA1301" s="229"/>
      <c r="BB1301" s="229"/>
      <c r="BC1301" s="229"/>
      <c r="BD1301" s="229"/>
      <c r="BE1301" s="229"/>
      <c r="BF1301" s="229"/>
      <c r="BG1301" s="229"/>
      <c r="BH1301" s="229"/>
      <c r="BI1301" s="229"/>
      <c r="BJ1301" s="229"/>
      <c r="BK1301" s="229"/>
      <c r="BL1301" s="229"/>
      <c r="BM1301" s="229"/>
      <c r="BN1301" s="229"/>
      <c r="BO1301" s="229"/>
      <c r="BP1301" s="229"/>
      <c r="BQ1301" s="229"/>
      <c r="BR1301" s="229"/>
      <c r="BS1301" s="296"/>
      <c r="BT1301" s="229"/>
      <c r="BU1301" s="229"/>
      <c r="BV1301" s="229"/>
      <c r="BW1301" s="229"/>
      <c r="BX1301" s="229"/>
      <c r="BY1301" s="229"/>
      <c r="BZ1301" s="229"/>
      <c r="CA1301" s="229"/>
      <c r="CB1301" s="229"/>
      <c r="CC1301" s="229"/>
      <c r="CD1301" s="229"/>
      <c r="CE1301" s="229"/>
      <c r="CF1301" s="229"/>
      <c r="CG1301" s="229"/>
      <c r="CH1301" s="229"/>
      <c r="CI1301" s="229"/>
      <c r="CJ1301" s="229"/>
      <c r="CK1301" s="229"/>
      <c r="CL1301" s="229"/>
      <c r="CM1301" s="229"/>
      <c r="CN1301" s="229"/>
      <c r="CO1301" s="229"/>
      <c r="CP1301" s="229"/>
      <c r="CQ1301" s="229"/>
      <c r="CR1301" s="229"/>
      <c r="CS1301" s="229"/>
      <c r="CT1301" s="229"/>
      <c r="CU1301" s="229"/>
      <c r="CV1301" s="229"/>
      <c r="CW1301" s="229"/>
      <c r="CX1301" s="229"/>
      <c r="CY1301" s="229"/>
      <c r="CZ1301" s="229"/>
      <c r="DA1301" s="229"/>
      <c r="DB1301" s="229"/>
      <c r="DC1301" s="229"/>
      <c r="DD1301" s="229"/>
      <c r="DE1301" s="229"/>
      <c r="DF1301" s="229"/>
      <c r="DG1301" s="229"/>
      <c r="DH1301" s="229"/>
      <c r="DI1301" s="229"/>
      <c r="DJ1301" s="229"/>
      <c r="DK1301" s="229"/>
      <c r="DL1301" s="229"/>
      <c r="DM1301" s="229"/>
      <c r="DN1301" s="229"/>
      <c r="DO1301" s="229"/>
      <c r="DP1301" s="229"/>
      <c r="DQ1301" s="229"/>
      <c r="DR1301" s="229"/>
      <c r="DS1301" s="229"/>
      <c r="DT1301" s="229"/>
      <c r="DU1301" s="229"/>
      <c r="DV1301" s="229"/>
      <c r="DW1301" s="229"/>
      <c r="DX1301" s="229"/>
      <c r="DY1301" s="229"/>
      <c r="DZ1301" s="229"/>
      <c r="EA1301" s="229"/>
      <c r="EB1301" s="229"/>
      <c r="EC1301" s="229"/>
      <c r="ED1301" s="229"/>
      <c r="EE1301" s="229"/>
      <c r="EF1301" s="229"/>
      <c r="EG1301" s="229"/>
      <c r="EH1301" s="229"/>
      <c r="EI1301" s="229"/>
      <c r="EJ1301" s="229"/>
      <c r="EK1301" s="229"/>
      <c r="EL1301" s="229"/>
      <c r="EM1301" s="234"/>
      <c r="EN1301" s="234"/>
      <c r="EO1301" s="234"/>
      <c r="EP1301" s="233"/>
      <c r="EQ1301" s="233"/>
    </row>
    <row r="1302" spans="2:147" ht="11.25" customHeight="1">
      <c r="B1302" s="228"/>
      <c r="C1302" s="229"/>
      <c r="D1302" s="229"/>
      <c r="E1302" s="229"/>
      <c r="F1302" s="229"/>
      <c r="G1302" s="229"/>
      <c r="H1302" s="229"/>
      <c r="I1302" s="229"/>
      <c r="J1302" s="229"/>
      <c r="K1302" s="229"/>
      <c r="L1302" s="296"/>
      <c r="M1302" s="296"/>
      <c r="N1302" s="296"/>
      <c r="O1302" s="229"/>
      <c r="P1302" s="229"/>
      <c r="Q1302" s="229"/>
      <c r="R1302" s="229"/>
      <c r="S1302" s="229"/>
      <c r="T1302" s="229"/>
      <c r="U1302" s="229"/>
      <c r="V1302" s="229"/>
      <c r="W1302" s="229"/>
      <c r="X1302" s="229"/>
      <c r="Y1302" s="229"/>
      <c r="Z1302" s="229"/>
      <c r="AA1302" s="229"/>
      <c r="AB1302" s="229"/>
      <c r="AC1302" s="229"/>
      <c r="AD1302" s="229"/>
      <c r="AE1302" s="229"/>
      <c r="AF1302" s="229"/>
      <c r="AG1302" s="229"/>
      <c r="AH1302" s="229"/>
      <c r="AI1302" s="229"/>
      <c r="AJ1302" s="229"/>
      <c r="AK1302" s="229"/>
      <c r="AL1302" s="229"/>
      <c r="AM1302" s="229"/>
      <c r="AN1302" s="229"/>
      <c r="AO1302" s="229"/>
      <c r="AP1302" s="229"/>
      <c r="AQ1302" s="229"/>
      <c r="AR1302" s="229"/>
      <c r="AS1302" s="229"/>
      <c r="AT1302" s="229"/>
      <c r="AU1302" s="229"/>
      <c r="AV1302" s="229"/>
      <c r="AW1302" s="229"/>
      <c r="AX1302" s="229"/>
      <c r="AY1302" s="229"/>
      <c r="AZ1302" s="229"/>
      <c r="BA1302" s="229"/>
      <c r="BB1302" s="229"/>
      <c r="BC1302" s="229"/>
      <c r="BD1302" s="229"/>
      <c r="BE1302" s="229"/>
      <c r="BF1302" s="229"/>
      <c r="BG1302" s="229"/>
      <c r="BH1302" s="229"/>
      <c r="BI1302" s="229"/>
      <c r="BJ1302" s="229"/>
      <c r="BK1302" s="229"/>
      <c r="BL1302" s="229"/>
      <c r="BM1302" s="229"/>
      <c r="BN1302" s="229"/>
      <c r="BO1302" s="229"/>
      <c r="BP1302" s="229"/>
      <c r="BQ1302" s="229"/>
      <c r="BR1302" s="229"/>
      <c r="BS1302" s="296"/>
      <c r="BT1302" s="229"/>
      <c r="BU1302" s="229"/>
      <c r="BV1302" s="229"/>
      <c r="BW1302" s="229"/>
      <c r="BX1302" s="229"/>
      <c r="BY1302" s="229"/>
      <c r="BZ1302" s="229"/>
      <c r="CA1302" s="229"/>
      <c r="CB1302" s="229"/>
      <c r="CC1302" s="229"/>
      <c r="CD1302" s="229"/>
      <c r="CE1302" s="229"/>
      <c r="CF1302" s="229"/>
      <c r="CG1302" s="229"/>
      <c r="CH1302" s="229"/>
      <c r="CI1302" s="229"/>
      <c r="CJ1302" s="229"/>
      <c r="CK1302" s="229"/>
      <c r="CL1302" s="229"/>
      <c r="CM1302" s="229"/>
      <c r="CN1302" s="229"/>
      <c r="CO1302" s="229"/>
      <c r="CP1302" s="229"/>
      <c r="CQ1302" s="229"/>
      <c r="CR1302" s="229"/>
      <c r="CS1302" s="229"/>
      <c r="CT1302" s="229"/>
      <c r="CU1302" s="229"/>
      <c r="CV1302" s="229"/>
      <c r="CW1302" s="229"/>
      <c r="CX1302" s="229"/>
      <c r="CY1302" s="229"/>
      <c r="CZ1302" s="229"/>
      <c r="DA1302" s="229"/>
      <c r="DB1302" s="229"/>
      <c r="DC1302" s="229"/>
      <c r="DD1302" s="229"/>
      <c r="DE1302" s="229"/>
      <c r="DF1302" s="229"/>
      <c r="DG1302" s="229"/>
      <c r="DH1302" s="229"/>
      <c r="DI1302" s="229"/>
      <c r="DJ1302" s="229"/>
      <c r="DK1302" s="229"/>
      <c r="DL1302" s="229"/>
      <c r="DM1302" s="229"/>
      <c r="DN1302" s="229"/>
      <c r="DO1302" s="229"/>
      <c r="DP1302" s="229"/>
      <c r="DQ1302" s="229"/>
      <c r="DR1302" s="229"/>
      <c r="DS1302" s="229"/>
      <c r="DT1302" s="229"/>
      <c r="DU1302" s="229"/>
      <c r="DV1302" s="229"/>
      <c r="DW1302" s="229"/>
      <c r="DX1302" s="229"/>
      <c r="DY1302" s="229"/>
      <c r="DZ1302" s="229"/>
      <c r="EA1302" s="229"/>
      <c r="EB1302" s="229"/>
      <c r="EC1302" s="229"/>
      <c r="ED1302" s="229"/>
      <c r="EE1302" s="229"/>
      <c r="EF1302" s="229"/>
      <c r="EG1302" s="229"/>
      <c r="EH1302" s="229"/>
      <c r="EI1302" s="229"/>
      <c r="EJ1302" s="229"/>
      <c r="EK1302" s="229"/>
      <c r="EL1302" s="229"/>
      <c r="EM1302" s="234"/>
      <c r="EN1302" s="234"/>
      <c r="EO1302" s="234"/>
      <c r="EP1302" s="233"/>
      <c r="EQ1302" s="233"/>
    </row>
    <row r="1303" spans="2:147" ht="11.25" customHeight="1">
      <c r="B1303" s="228"/>
      <c r="C1303" s="229"/>
      <c r="D1303" s="229"/>
      <c r="E1303" s="229"/>
      <c r="F1303" s="229"/>
      <c r="G1303" s="229"/>
      <c r="H1303" s="229"/>
      <c r="I1303" s="229"/>
      <c r="J1303" s="229"/>
      <c r="K1303" s="229"/>
      <c r="L1303" s="296"/>
      <c r="M1303" s="296"/>
      <c r="N1303" s="296"/>
      <c r="O1303" s="229"/>
      <c r="P1303" s="229"/>
      <c r="Q1303" s="229"/>
      <c r="R1303" s="229"/>
      <c r="S1303" s="229"/>
      <c r="T1303" s="229"/>
      <c r="U1303" s="229"/>
      <c r="V1303" s="229"/>
      <c r="W1303" s="229"/>
      <c r="X1303" s="229"/>
      <c r="Y1303" s="229"/>
      <c r="Z1303" s="229"/>
      <c r="AA1303" s="229"/>
      <c r="AB1303" s="229"/>
      <c r="AC1303" s="229"/>
      <c r="AD1303" s="229"/>
      <c r="AE1303" s="229"/>
      <c r="AF1303" s="229"/>
      <c r="AG1303" s="229"/>
      <c r="AH1303" s="229"/>
      <c r="AI1303" s="229"/>
      <c r="AJ1303" s="229"/>
      <c r="AK1303" s="229"/>
      <c r="AL1303" s="229"/>
      <c r="AM1303" s="229"/>
      <c r="AN1303" s="229"/>
      <c r="AO1303" s="229"/>
      <c r="AP1303" s="229"/>
      <c r="AQ1303" s="229"/>
      <c r="AR1303" s="229"/>
      <c r="AS1303" s="229"/>
      <c r="AT1303" s="229"/>
      <c r="AU1303" s="229"/>
      <c r="AV1303" s="229"/>
      <c r="AW1303" s="229"/>
      <c r="AX1303" s="229"/>
      <c r="AY1303" s="229"/>
      <c r="AZ1303" s="229"/>
      <c r="BA1303" s="229"/>
      <c r="BB1303" s="229"/>
      <c r="BC1303" s="229"/>
      <c r="BD1303" s="229"/>
      <c r="BE1303" s="229"/>
      <c r="BF1303" s="229"/>
      <c r="BG1303" s="229"/>
      <c r="BH1303" s="229"/>
      <c r="BI1303" s="229"/>
      <c r="BJ1303" s="229"/>
      <c r="BK1303" s="229"/>
      <c r="BL1303" s="229"/>
      <c r="BM1303" s="229"/>
      <c r="BN1303" s="229"/>
      <c r="BO1303" s="229"/>
      <c r="BP1303" s="229"/>
      <c r="BQ1303" s="229"/>
      <c r="BR1303" s="229"/>
      <c r="BS1303" s="296"/>
      <c r="BT1303" s="229"/>
      <c r="BU1303" s="229"/>
      <c r="BV1303" s="229"/>
      <c r="BW1303" s="229"/>
      <c r="BX1303" s="229"/>
      <c r="BY1303" s="229"/>
      <c r="BZ1303" s="229"/>
      <c r="CA1303" s="229"/>
      <c r="CB1303" s="229"/>
      <c r="CC1303" s="229"/>
      <c r="CD1303" s="229"/>
      <c r="CE1303" s="229"/>
      <c r="CF1303" s="229"/>
      <c r="CG1303" s="229"/>
      <c r="CH1303" s="229"/>
      <c r="CI1303" s="229"/>
      <c r="CJ1303" s="229"/>
      <c r="CK1303" s="229"/>
      <c r="CL1303" s="229"/>
      <c r="CM1303" s="229"/>
      <c r="CN1303" s="229"/>
      <c r="CO1303" s="229"/>
      <c r="CP1303" s="229"/>
      <c r="CQ1303" s="229"/>
      <c r="CR1303" s="229"/>
      <c r="CS1303" s="229"/>
      <c r="CT1303" s="229"/>
      <c r="CU1303" s="229"/>
      <c r="CV1303" s="229"/>
      <c r="CW1303" s="229"/>
      <c r="CX1303" s="229"/>
      <c r="CY1303" s="229"/>
      <c r="CZ1303" s="229"/>
      <c r="DA1303" s="229"/>
      <c r="DB1303" s="229"/>
      <c r="DC1303" s="229"/>
      <c r="DD1303" s="229"/>
      <c r="DE1303" s="229"/>
      <c r="DF1303" s="229"/>
      <c r="DG1303" s="229"/>
      <c r="DH1303" s="229"/>
      <c r="DI1303" s="229"/>
      <c r="DJ1303" s="229"/>
      <c r="DK1303" s="229"/>
      <c r="DL1303" s="229"/>
      <c r="DM1303" s="229"/>
      <c r="DN1303" s="229"/>
      <c r="DO1303" s="229"/>
      <c r="DP1303" s="229"/>
      <c r="DQ1303" s="229"/>
      <c r="DR1303" s="229"/>
      <c r="DS1303" s="229"/>
      <c r="DT1303" s="229"/>
      <c r="DU1303" s="229"/>
      <c r="DV1303" s="229"/>
      <c r="DW1303" s="229"/>
      <c r="DX1303" s="229"/>
      <c r="DY1303" s="229"/>
      <c r="DZ1303" s="229"/>
      <c r="EA1303" s="229"/>
      <c r="EB1303" s="229"/>
      <c r="EC1303" s="229"/>
      <c r="ED1303" s="229"/>
      <c r="EE1303" s="229"/>
      <c r="EF1303" s="229"/>
      <c r="EG1303" s="229"/>
      <c r="EH1303" s="229"/>
      <c r="EI1303" s="229"/>
      <c r="EJ1303" s="229"/>
      <c r="EK1303" s="229"/>
      <c r="EL1303" s="229"/>
      <c r="EM1303" s="234"/>
      <c r="EN1303" s="234"/>
      <c r="EO1303" s="234"/>
      <c r="EP1303" s="233"/>
      <c r="EQ1303" s="233"/>
    </row>
    <row r="1304" spans="2:147" ht="11.25" customHeight="1">
      <c r="B1304" s="228"/>
      <c r="C1304" s="229"/>
      <c r="D1304" s="229"/>
      <c r="E1304" s="229"/>
      <c r="F1304" s="229"/>
      <c r="G1304" s="229"/>
      <c r="H1304" s="229"/>
      <c r="I1304" s="229"/>
      <c r="J1304" s="229"/>
      <c r="K1304" s="229"/>
      <c r="L1304" s="296"/>
      <c r="M1304" s="296"/>
      <c r="N1304" s="296"/>
      <c r="O1304" s="229"/>
      <c r="P1304" s="229"/>
      <c r="Q1304" s="229"/>
      <c r="R1304" s="229"/>
      <c r="S1304" s="229"/>
      <c r="T1304" s="229"/>
      <c r="U1304" s="229"/>
      <c r="V1304" s="229"/>
      <c r="W1304" s="229"/>
      <c r="X1304" s="229"/>
      <c r="Y1304" s="229"/>
      <c r="Z1304" s="229"/>
      <c r="AA1304" s="229"/>
      <c r="AB1304" s="229"/>
      <c r="AC1304" s="229"/>
      <c r="AD1304" s="229"/>
      <c r="AE1304" s="229"/>
      <c r="AF1304" s="229"/>
      <c r="AG1304" s="229"/>
      <c r="AH1304" s="229"/>
      <c r="AI1304" s="229"/>
      <c r="AJ1304" s="229"/>
      <c r="AK1304" s="229"/>
      <c r="AL1304" s="229"/>
      <c r="AM1304" s="229"/>
      <c r="AN1304" s="229"/>
      <c r="AO1304" s="229"/>
      <c r="AP1304" s="229"/>
      <c r="AQ1304" s="229"/>
      <c r="AR1304" s="229"/>
      <c r="AS1304" s="229"/>
      <c r="AT1304" s="229"/>
      <c r="AU1304" s="229"/>
      <c r="AV1304" s="229"/>
      <c r="AW1304" s="229"/>
      <c r="AX1304" s="229"/>
      <c r="AY1304" s="229"/>
      <c r="AZ1304" s="229"/>
      <c r="BA1304" s="229"/>
      <c r="BB1304" s="229"/>
      <c r="BC1304" s="229"/>
      <c r="BD1304" s="229"/>
      <c r="BE1304" s="229"/>
      <c r="BF1304" s="229"/>
      <c r="BG1304" s="229"/>
      <c r="BH1304" s="229"/>
      <c r="BI1304" s="229"/>
      <c r="BJ1304" s="229"/>
      <c r="BK1304" s="229"/>
      <c r="BL1304" s="229"/>
      <c r="BM1304" s="229"/>
      <c r="BN1304" s="229"/>
      <c r="BO1304" s="229"/>
      <c r="BP1304" s="229"/>
      <c r="BQ1304" s="229"/>
      <c r="BR1304" s="229"/>
      <c r="BS1304" s="296"/>
      <c r="BT1304" s="229"/>
      <c r="BU1304" s="229"/>
      <c r="BV1304" s="229"/>
      <c r="BW1304" s="229"/>
      <c r="BX1304" s="229"/>
      <c r="BY1304" s="229"/>
      <c r="BZ1304" s="229"/>
      <c r="CA1304" s="229"/>
      <c r="CB1304" s="229"/>
      <c r="CC1304" s="229"/>
      <c r="CD1304" s="229"/>
      <c r="CE1304" s="229"/>
      <c r="CF1304" s="229"/>
      <c r="CG1304" s="229"/>
      <c r="CH1304" s="229"/>
      <c r="CI1304" s="229"/>
      <c r="CJ1304" s="229"/>
      <c r="CK1304" s="229"/>
      <c r="CL1304" s="229"/>
      <c r="CM1304" s="229"/>
      <c r="CN1304" s="229"/>
      <c r="CO1304" s="229"/>
      <c r="CP1304" s="229"/>
      <c r="CQ1304" s="229"/>
      <c r="CR1304" s="229"/>
      <c r="CS1304" s="229"/>
      <c r="CT1304" s="229"/>
      <c r="CU1304" s="229"/>
      <c r="CV1304" s="229"/>
      <c r="CW1304" s="229"/>
      <c r="CX1304" s="229"/>
      <c r="CY1304" s="229"/>
      <c r="CZ1304" s="229"/>
      <c r="DA1304" s="229"/>
      <c r="DB1304" s="229"/>
      <c r="DC1304" s="229"/>
      <c r="DD1304" s="229"/>
      <c r="DE1304" s="229"/>
      <c r="DF1304" s="229"/>
      <c r="DG1304" s="229"/>
      <c r="DH1304" s="229"/>
      <c r="DI1304" s="229"/>
      <c r="DJ1304" s="229"/>
      <c r="DK1304" s="229"/>
      <c r="DL1304" s="229"/>
      <c r="DM1304" s="229"/>
      <c r="DN1304" s="229"/>
      <c r="DO1304" s="229"/>
      <c r="DP1304" s="229"/>
      <c r="DQ1304" s="229"/>
      <c r="DR1304" s="229"/>
      <c r="DS1304" s="229"/>
      <c r="DT1304" s="229"/>
      <c r="DU1304" s="229"/>
      <c r="DV1304" s="229"/>
      <c r="DW1304" s="229"/>
      <c r="DX1304" s="229"/>
      <c r="DY1304" s="229"/>
      <c r="DZ1304" s="229"/>
      <c r="EA1304" s="229"/>
      <c r="EB1304" s="229"/>
      <c r="EC1304" s="229"/>
      <c r="ED1304" s="229"/>
      <c r="EE1304" s="229"/>
      <c r="EF1304" s="229"/>
      <c r="EG1304" s="229"/>
      <c r="EH1304" s="229"/>
      <c r="EI1304" s="229"/>
      <c r="EJ1304" s="229"/>
      <c r="EK1304" s="229"/>
      <c r="EL1304" s="229"/>
      <c r="EM1304" s="234"/>
      <c r="EN1304" s="234"/>
      <c r="EO1304" s="234"/>
      <c r="EP1304" s="233"/>
      <c r="EQ1304" s="233"/>
    </row>
    <row r="1305" spans="2:147" ht="11.25" customHeight="1">
      <c r="B1305" s="228"/>
      <c r="C1305" s="229"/>
      <c r="D1305" s="229"/>
      <c r="E1305" s="229"/>
      <c r="F1305" s="229"/>
      <c r="G1305" s="229"/>
      <c r="H1305" s="229"/>
      <c r="I1305" s="229"/>
      <c r="J1305" s="229"/>
      <c r="K1305" s="229"/>
      <c r="L1305" s="296"/>
      <c r="M1305" s="296"/>
      <c r="N1305" s="296"/>
      <c r="O1305" s="229"/>
      <c r="P1305" s="229"/>
      <c r="Q1305" s="229"/>
      <c r="R1305" s="229"/>
      <c r="S1305" s="229"/>
      <c r="T1305" s="229"/>
      <c r="U1305" s="229"/>
      <c r="V1305" s="229"/>
      <c r="W1305" s="229"/>
      <c r="X1305" s="229"/>
      <c r="Y1305" s="229"/>
      <c r="Z1305" s="229"/>
      <c r="AA1305" s="229"/>
      <c r="AB1305" s="229"/>
      <c r="AC1305" s="229"/>
      <c r="AD1305" s="229"/>
      <c r="AE1305" s="229"/>
      <c r="AF1305" s="229"/>
      <c r="AG1305" s="229"/>
      <c r="AH1305" s="229"/>
      <c r="AI1305" s="229"/>
      <c r="AJ1305" s="229"/>
      <c r="AK1305" s="229"/>
      <c r="AL1305" s="229"/>
      <c r="AM1305" s="229"/>
      <c r="AN1305" s="229"/>
      <c r="AO1305" s="229"/>
      <c r="AP1305" s="229"/>
      <c r="AQ1305" s="229"/>
      <c r="AR1305" s="229"/>
      <c r="AS1305" s="229"/>
      <c r="AT1305" s="229"/>
      <c r="AU1305" s="229"/>
      <c r="AV1305" s="229"/>
      <c r="AW1305" s="229"/>
      <c r="AX1305" s="229"/>
      <c r="AY1305" s="229"/>
      <c r="AZ1305" s="229"/>
      <c r="BA1305" s="229"/>
      <c r="BB1305" s="229"/>
      <c r="BC1305" s="229"/>
      <c r="BD1305" s="229"/>
      <c r="BE1305" s="229"/>
      <c r="BF1305" s="229"/>
      <c r="BG1305" s="229"/>
      <c r="BH1305" s="229"/>
      <c r="BI1305" s="229"/>
      <c r="BJ1305" s="229"/>
      <c r="BK1305" s="229"/>
      <c r="BL1305" s="229"/>
      <c r="BM1305" s="229"/>
      <c r="BN1305" s="229"/>
      <c r="BO1305" s="229"/>
      <c r="BP1305" s="229"/>
      <c r="BQ1305" s="229"/>
      <c r="BR1305" s="229"/>
      <c r="BS1305" s="296"/>
      <c r="BT1305" s="229"/>
      <c r="BU1305" s="229"/>
      <c r="BV1305" s="229"/>
      <c r="BW1305" s="229"/>
      <c r="BX1305" s="229"/>
      <c r="BY1305" s="229"/>
      <c r="BZ1305" s="229"/>
      <c r="CA1305" s="229"/>
      <c r="CB1305" s="229"/>
      <c r="CC1305" s="229"/>
      <c r="CD1305" s="229"/>
      <c r="CE1305" s="229"/>
      <c r="CF1305" s="229"/>
      <c r="CG1305" s="229"/>
      <c r="CH1305" s="229"/>
      <c r="CI1305" s="229"/>
      <c r="CJ1305" s="229"/>
      <c r="CK1305" s="229"/>
      <c r="CL1305" s="229"/>
      <c r="CM1305" s="229"/>
      <c r="CN1305" s="229"/>
      <c r="CO1305" s="229"/>
      <c r="CP1305" s="229"/>
      <c r="CQ1305" s="229"/>
      <c r="CR1305" s="229"/>
      <c r="CS1305" s="229"/>
      <c r="CT1305" s="229"/>
      <c r="CU1305" s="229"/>
      <c r="CV1305" s="229"/>
      <c r="CW1305" s="229"/>
      <c r="CX1305" s="229"/>
      <c r="CY1305" s="229"/>
      <c r="CZ1305" s="229"/>
      <c r="DA1305" s="229"/>
      <c r="DB1305" s="229"/>
      <c r="DC1305" s="229"/>
      <c r="DD1305" s="229"/>
      <c r="DE1305" s="229"/>
      <c r="DF1305" s="229"/>
      <c r="DG1305" s="229"/>
      <c r="DH1305" s="229"/>
      <c r="DI1305" s="229"/>
      <c r="DJ1305" s="229"/>
      <c r="DK1305" s="229"/>
      <c r="DL1305" s="229"/>
      <c r="DM1305" s="229"/>
      <c r="DN1305" s="229"/>
      <c r="DO1305" s="229"/>
      <c r="DP1305" s="229"/>
      <c r="DQ1305" s="229"/>
      <c r="DR1305" s="229"/>
      <c r="DS1305" s="229"/>
      <c r="DT1305" s="229"/>
      <c r="DU1305" s="229"/>
      <c r="DV1305" s="229"/>
      <c r="DW1305" s="229"/>
      <c r="DX1305" s="229"/>
      <c r="DY1305" s="229"/>
      <c r="DZ1305" s="229"/>
      <c r="EA1305" s="229"/>
      <c r="EB1305" s="229"/>
      <c r="EC1305" s="229"/>
      <c r="ED1305" s="229"/>
      <c r="EE1305" s="229"/>
      <c r="EF1305" s="229"/>
      <c r="EG1305" s="229"/>
      <c r="EH1305" s="229"/>
      <c r="EI1305" s="229"/>
      <c r="EJ1305" s="229"/>
      <c r="EK1305" s="229"/>
      <c r="EL1305" s="229"/>
      <c r="EM1305" s="234"/>
      <c r="EN1305" s="234"/>
      <c r="EO1305" s="234"/>
      <c r="EP1305" s="233"/>
      <c r="EQ1305" s="233"/>
    </row>
    <row r="1306" spans="2:147" ht="11.25" customHeight="1">
      <c r="B1306" s="228"/>
      <c r="C1306" s="229"/>
      <c r="D1306" s="229"/>
      <c r="E1306" s="229"/>
      <c r="F1306" s="229"/>
      <c r="G1306" s="229"/>
      <c r="H1306" s="229"/>
      <c r="I1306" s="229"/>
      <c r="J1306" s="229"/>
      <c r="K1306" s="229"/>
      <c r="L1306" s="296"/>
      <c r="M1306" s="296"/>
      <c r="N1306" s="296"/>
      <c r="O1306" s="229"/>
      <c r="P1306" s="229"/>
      <c r="Q1306" s="229"/>
      <c r="R1306" s="229"/>
      <c r="S1306" s="229"/>
      <c r="T1306" s="229"/>
      <c r="U1306" s="229"/>
      <c r="V1306" s="229"/>
      <c r="W1306" s="229"/>
      <c r="X1306" s="229"/>
      <c r="Y1306" s="229"/>
      <c r="Z1306" s="229"/>
      <c r="AA1306" s="229"/>
      <c r="AB1306" s="229"/>
      <c r="AC1306" s="229"/>
      <c r="AD1306" s="229"/>
      <c r="AE1306" s="229"/>
      <c r="AF1306" s="229"/>
      <c r="AG1306" s="229"/>
      <c r="AH1306" s="229"/>
      <c r="AI1306" s="229"/>
      <c r="AJ1306" s="229"/>
      <c r="AK1306" s="229"/>
      <c r="AL1306" s="229"/>
      <c r="AM1306" s="229"/>
      <c r="AN1306" s="229"/>
      <c r="AO1306" s="229"/>
      <c r="AP1306" s="229"/>
      <c r="AQ1306" s="229"/>
      <c r="AR1306" s="229"/>
      <c r="AS1306" s="229"/>
      <c r="AT1306" s="229"/>
      <c r="AU1306" s="229"/>
      <c r="AV1306" s="229"/>
      <c r="AW1306" s="229"/>
      <c r="AX1306" s="229"/>
      <c r="AY1306" s="229"/>
      <c r="AZ1306" s="229"/>
      <c r="BA1306" s="229"/>
      <c r="BB1306" s="229"/>
      <c r="BC1306" s="229"/>
      <c r="BD1306" s="229"/>
      <c r="BE1306" s="229"/>
      <c r="BF1306" s="229"/>
      <c r="BG1306" s="229"/>
      <c r="BH1306" s="229"/>
      <c r="BI1306" s="229"/>
      <c r="BJ1306" s="229"/>
      <c r="BK1306" s="229"/>
      <c r="BL1306" s="229"/>
      <c r="BM1306" s="229"/>
      <c r="BN1306" s="229"/>
      <c r="BO1306" s="229"/>
      <c r="BP1306" s="229"/>
      <c r="BQ1306" s="229"/>
      <c r="BR1306" s="229"/>
      <c r="BS1306" s="296"/>
      <c r="BT1306" s="229"/>
      <c r="BU1306" s="229"/>
      <c r="BV1306" s="229"/>
      <c r="BW1306" s="229"/>
      <c r="BX1306" s="229"/>
      <c r="BY1306" s="229"/>
      <c r="BZ1306" s="229"/>
      <c r="CA1306" s="229"/>
      <c r="CB1306" s="229"/>
      <c r="CC1306" s="229"/>
      <c r="CD1306" s="229"/>
      <c r="CE1306" s="229"/>
      <c r="CF1306" s="229"/>
      <c r="CG1306" s="229"/>
      <c r="CH1306" s="229"/>
      <c r="CI1306" s="229"/>
      <c r="CJ1306" s="229"/>
      <c r="CK1306" s="229"/>
      <c r="CL1306" s="229"/>
      <c r="CM1306" s="229"/>
      <c r="CN1306" s="229"/>
      <c r="CO1306" s="229"/>
      <c r="CP1306" s="229"/>
      <c r="CQ1306" s="229"/>
      <c r="CR1306" s="229"/>
      <c r="CS1306" s="229"/>
      <c r="CT1306" s="229"/>
      <c r="CU1306" s="229"/>
      <c r="CV1306" s="229"/>
      <c r="CW1306" s="229"/>
      <c r="CX1306" s="229"/>
      <c r="CY1306" s="229"/>
      <c r="CZ1306" s="229"/>
      <c r="DA1306" s="229"/>
      <c r="DB1306" s="229"/>
      <c r="DC1306" s="229"/>
      <c r="DD1306" s="229"/>
      <c r="DE1306" s="229"/>
      <c r="DF1306" s="229"/>
      <c r="DG1306" s="229"/>
      <c r="DH1306" s="229"/>
      <c r="DI1306" s="229"/>
      <c r="DJ1306" s="229"/>
      <c r="DK1306" s="229"/>
      <c r="DL1306" s="229"/>
      <c r="DM1306" s="229"/>
      <c r="DN1306" s="229"/>
      <c r="DO1306" s="229"/>
      <c r="DP1306" s="229"/>
      <c r="DQ1306" s="229"/>
      <c r="DR1306" s="229"/>
      <c r="DS1306" s="229"/>
      <c r="DT1306" s="229"/>
      <c r="DU1306" s="229"/>
      <c r="DV1306" s="229"/>
      <c r="DW1306" s="229"/>
      <c r="DX1306" s="229"/>
      <c r="DY1306" s="229"/>
      <c r="DZ1306" s="229"/>
      <c r="EA1306" s="229"/>
      <c r="EB1306" s="229"/>
      <c r="EC1306" s="229"/>
      <c r="ED1306" s="229"/>
      <c r="EE1306" s="229"/>
      <c r="EF1306" s="229"/>
      <c r="EG1306" s="229"/>
      <c r="EH1306" s="229"/>
      <c r="EI1306" s="229"/>
      <c r="EJ1306" s="229"/>
      <c r="EK1306" s="229"/>
      <c r="EL1306" s="229"/>
      <c r="EM1306" s="234"/>
      <c r="EN1306" s="234"/>
      <c r="EO1306" s="234"/>
      <c r="EP1306" s="233"/>
      <c r="EQ1306" s="233"/>
    </row>
    <row r="1307" spans="2:147" ht="11.25" customHeight="1">
      <c r="B1307" s="228"/>
      <c r="C1307" s="229"/>
      <c r="D1307" s="229"/>
      <c r="E1307" s="229"/>
      <c r="F1307" s="229"/>
      <c r="G1307" s="229"/>
      <c r="H1307" s="229"/>
      <c r="I1307" s="229"/>
      <c r="J1307" s="229"/>
      <c r="K1307" s="229"/>
      <c r="L1307" s="296"/>
      <c r="M1307" s="296"/>
      <c r="N1307" s="296"/>
      <c r="O1307" s="229"/>
      <c r="P1307" s="229"/>
      <c r="Q1307" s="229"/>
      <c r="R1307" s="229"/>
      <c r="S1307" s="229"/>
      <c r="T1307" s="229"/>
      <c r="U1307" s="229"/>
      <c r="V1307" s="229"/>
      <c r="W1307" s="229"/>
      <c r="X1307" s="229"/>
      <c r="Y1307" s="229"/>
      <c r="Z1307" s="229"/>
      <c r="AA1307" s="229"/>
      <c r="AB1307" s="229"/>
      <c r="AC1307" s="229"/>
      <c r="AD1307" s="229"/>
      <c r="AE1307" s="229"/>
      <c r="AF1307" s="229"/>
      <c r="AG1307" s="229"/>
      <c r="AH1307" s="229"/>
      <c r="AI1307" s="229"/>
      <c r="AJ1307" s="229"/>
      <c r="AK1307" s="229"/>
      <c r="AL1307" s="229"/>
      <c r="AM1307" s="229"/>
      <c r="AN1307" s="229"/>
      <c r="AO1307" s="229"/>
      <c r="AP1307" s="229"/>
      <c r="AQ1307" s="229"/>
      <c r="AR1307" s="229"/>
      <c r="AS1307" s="229"/>
      <c r="AT1307" s="229"/>
      <c r="AU1307" s="229"/>
      <c r="AV1307" s="229"/>
      <c r="AW1307" s="229"/>
      <c r="AX1307" s="229"/>
      <c r="AY1307" s="229"/>
      <c r="AZ1307" s="229"/>
      <c r="BA1307" s="229"/>
      <c r="BB1307" s="229"/>
      <c r="BC1307" s="229"/>
      <c r="BD1307" s="229"/>
      <c r="BE1307" s="229"/>
      <c r="BF1307" s="229"/>
      <c r="BG1307" s="229"/>
      <c r="BH1307" s="229"/>
      <c r="BI1307" s="229"/>
      <c r="BJ1307" s="229"/>
      <c r="BK1307" s="229"/>
      <c r="BL1307" s="229"/>
      <c r="BM1307" s="229"/>
      <c r="BN1307" s="229"/>
      <c r="BO1307" s="229"/>
      <c r="BP1307" s="229"/>
      <c r="BQ1307" s="229"/>
      <c r="BR1307" s="229"/>
      <c r="BS1307" s="296"/>
      <c r="BT1307" s="229"/>
      <c r="BU1307" s="229"/>
      <c r="BV1307" s="229"/>
      <c r="BW1307" s="229"/>
      <c r="BX1307" s="229"/>
      <c r="BY1307" s="229"/>
      <c r="BZ1307" s="229"/>
      <c r="CA1307" s="229"/>
      <c r="CB1307" s="229"/>
      <c r="CC1307" s="229"/>
      <c r="CD1307" s="229"/>
      <c r="CE1307" s="229"/>
      <c r="CF1307" s="229"/>
      <c r="CG1307" s="229"/>
      <c r="CH1307" s="229"/>
      <c r="CI1307" s="229"/>
      <c r="CJ1307" s="229"/>
      <c r="CK1307" s="229"/>
      <c r="CL1307" s="229"/>
      <c r="CM1307" s="229"/>
      <c r="CN1307" s="229"/>
      <c r="CO1307" s="229"/>
      <c r="CP1307" s="229"/>
      <c r="CQ1307" s="229"/>
      <c r="CR1307" s="229"/>
      <c r="CS1307" s="229"/>
      <c r="CT1307" s="229"/>
      <c r="CU1307" s="229"/>
      <c r="CV1307" s="229"/>
      <c r="CW1307" s="229"/>
      <c r="CX1307" s="229"/>
      <c r="CY1307" s="229"/>
      <c r="CZ1307" s="229"/>
      <c r="DA1307" s="229"/>
      <c r="DB1307" s="229"/>
      <c r="DC1307" s="229"/>
      <c r="DD1307" s="229"/>
      <c r="DE1307" s="229"/>
      <c r="DF1307" s="229"/>
      <c r="DG1307" s="229"/>
      <c r="DH1307" s="229"/>
      <c r="DI1307" s="229"/>
      <c r="DJ1307" s="229"/>
      <c r="DK1307" s="229"/>
      <c r="DL1307" s="229"/>
      <c r="DM1307" s="229"/>
      <c r="DN1307" s="229"/>
      <c r="DO1307" s="229"/>
      <c r="DP1307" s="229"/>
      <c r="DQ1307" s="229"/>
      <c r="DR1307" s="229"/>
      <c r="DS1307" s="229"/>
      <c r="DT1307" s="229"/>
      <c r="DU1307" s="229"/>
      <c r="DV1307" s="229"/>
      <c r="DW1307" s="229"/>
      <c r="DX1307" s="229"/>
      <c r="DY1307" s="229"/>
      <c r="DZ1307" s="229"/>
      <c r="EA1307" s="229"/>
      <c r="EB1307" s="229"/>
      <c r="EC1307" s="229"/>
      <c r="ED1307" s="229"/>
      <c r="EE1307" s="229"/>
      <c r="EF1307" s="229"/>
      <c r="EG1307" s="229"/>
      <c r="EH1307" s="229"/>
      <c r="EI1307" s="229"/>
      <c r="EJ1307" s="229"/>
      <c r="EK1307" s="229"/>
      <c r="EL1307" s="229"/>
      <c r="EM1307" s="234"/>
      <c r="EN1307" s="234"/>
      <c r="EO1307" s="234"/>
      <c r="EP1307" s="233"/>
      <c r="EQ1307" s="233"/>
    </row>
    <row r="1308" spans="2:147" ht="11.25" customHeight="1">
      <c r="B1308" s="228"/>
      <c r="C1308" s="229"/>
      <c r="D1308" s="229"/>
      <c r="E1308" s="229"/>
      <c r="F1308" s="229"/>
      <c r="G1308" s="229"/>
      <c r="H1308" s="229"/>
      <c r="I1308" s="229"/>
      <c r="J1308" s="229"/>
      <c r="K1308" s="229"/>
      <c r="L1308" s="296"/>
      <c r="M1308" s="296"/>
      <c r="N1308" s="296"/>
      <c r="O1308" s="229"/>
      <c r="P1308" s="229"/>
      <c r="Q1308" s="229"/>
      <c r="R1308" s="229"/>
      <c r="S1308" s="229"/>
      <c r="T1308" s="229"/>
      <c r="U1308" s="229"/>
      <c r="V1308" s="229"/>
      <c r="W1308" s="229"/>
      <c r="X1308" s="229"/>
      <c r="Y1308" s="229"/>
      <c r="Z1308" s="229"/>
      <c r="AA1308" s="229"/>
      <c r="AB1308" s="229"/>
      <c r="AC1308" s="229"/>
      <c r="AD1308" s="229"/>
      <c r="AE1308" s="229"/>
      <c r="AF1308" s="229"/>
      <c r="AG1308" s="229"/>
      <c r="AH1308" s="229"/>
      <c r="AI1308" s="229"/>
      <c r="AJ1308" s="229"/>
      <c r="AK1308" s="229"/>
      <c r="AL1308" s="229"/>
      <c r="AM1308" s="229"/>
      <c r="AN1308" s="229"/>
      <c r="AO1308" s="229"/>
      <c r="AP1308" s="229"/>
      <c r="AQ1308" s="229"/>
      <c r="AR1308" s="229"/>
      <c r="AS1308" s="229"/>
      <c r="AT1308" s="229"/>
      <c r="AU1308" s="229"/>
      <c r="AV1308" s="229"/>
      <c r="AW1308" s="229"/>
      <c r="AX1308" s="229"/>
      <c r="AY1308" s="229"/>
      <c r="AZ1308" s="229"/>
      <c r="BA1308" s="229"/>
      <c r="BB1308" s="229"/>
      <c r="BC1308" s="229"/>
      <c r="BD1308" s="229"/>
      <c r="BE1308" s="229"/>
      <c r="BF1308" s="229"/>
      <c r="BG1308" s="229"/>
      <c r="BH1308" s="229"/>
      <c r="BI1308" s="229"/>
      <c r="BJ1308" s="229"/>
      <c r="BK1308" s="229"/>
      <c r="BL1308" s="229"/>
      <c r="BM1308" s="229"/>
      <c r="BN1308" s="229"/>
      <c r="BO1308" s="229"/>
      <c r="BP1308" s="229"/>
      <c r="BQ1308" s="229"/>
      <c r="BR1308" s="229"/>
      <c r="BS1308" s="296"/>
      <c r="BT1308" s="229"/>
      <c r="BU1308" s="229"/>
      <c r="BV1308" s="229"/>
      <c r="BW1308" s="229"/>
      <c r="BX1308" s="229"/>
      <c r="BY1308" s="229"/>
      <c r="BZ1308" s="229"/>
      <c r="CA1308" s="229"/>
      <c r="CB1308" s="229"/>
      <c r="CC1308" s="229"/>
      <c r="CD1308" s="229"/>
      <c r="CE1308" s="229"/>
      <c r="CF1308" s="229"/>
      <c r="CG1308" s="229"/>
      <c r="CH1308" s="229"/>
      <c r="CI1308" s="229"/>
      <c r="CJ1308" s="229"/>
      <c r="CK1308" s="229"/>
      <c r="CL1308" s="229"/>
      <c r="CM1308" s="229"/>
      <c r="CN1308" s="229"/>
      <c r="CO1308" s="229"/>
      <c r="CP1308" s="229"/>
      <c r="CQ1308" s="229"/>
      <c r="CR1308" s="229"/>
      <c r="CS1308" s="229"/>
      <c r="CT1308" s="229"/>
      <c r="CU1308" s="229"/>
      <c r="CV1308" s="229"/>
      <c r="CW1308" s="229"/>
      <c r="CX1308" s="229"/>
      <c r="CY1308" s="229"/>
      <c r="CZ1308" s="229"/>
      <c r="DA1308" s="229"/>
      <c r="DB1308" s="229"/>
      <c r="DC1308" s="229"/>
      <c r="DD1308" s="229"/>
      <c r="DE1308" s="229"/>
      <c r="DF1308" s="229"/>
      <c r="DG1308" s="229"/>
      <c r="DH1308" s="229"/>
      <c r="DI1308" s="229"/>
      <c r="DJ1308" s="229"/>
      <c r="DK1308" s="229"/>
      <c r="DL1308" s="229"/>
      <c r="DM1308" s="229"/>
      <c r="DN1308" s="229"/>
      <c r="DO1308" s="229"/>
      <c r="DP1308" s="229"/>
      <c r="DQ1308" s="229"/>
      <c r="DR1308" s="229"/>
      <c r="DS1308" s="229"/>
      <c r="DT1308" s="229"/>
      <c r="DU1308" s="229"/>
      <c r="DV1308" s="229"/>
      <c r="DW1308" s="229"/>
      <c r="DX1308" s="229"/>
      <c r="DY1308" s="229"/>
      <c r="DZ1308" s="229"/>
      <c r="EA1308" s="229"/>
      <c r="EB1308" s="229"/>
      <c r="EC1308" s="229"/>
      <c r="ED1308" s="229"/>
      <c r="EE1308" s="229"/>
      <c r="EF1308" s="229"/>
      <c r="EG1308" s="229"/>
      <c r="EH1308" s="229"/>
      <c r="EI1308" s="229"/>
      <c r="EJ1308" s="229"/>
      <c r="EK1308" s="229"/>
      <c r="EL1308" s="229"/>
      <c r="EM1308" s="234"/>
      <c r="EN1308" s="234"/>
      <c r="EO1308" s="234"/>
      <c r="EP1308" s="233"/>
      <c r="EQ1308" s="233"/>
    </row>
    <row r="1309" spans="2:147" ht="11.25" customHeight="1">
      <c r="B1309" s="228"/>
      <c r="C1309" s="229"/>
      <c r="D1309" s="229"/>
      <c r="E1309" s="229"/>
      <c r="F1309" s="229"/>
      <c r="G1309" s="229"/>
      <c r="H1309" s="229"/>
      <c r="I1309" s="229"/>
      <c r="J1309" s="229"/>
      <c r="K1309" s="229"/>
      <c r="L1309" s="296"/>
      <c r="M1309" s="296"/>
      <c r="N1309" s="296"/>
      <c r="O1309" s="229"/>
      <c r="P1309" s="229"/>
      <c r="Q1309" s="229"/>
      <c r="R1309" s="229"/>
      <c r="S1309" s="229"/>
      <c r="T1309" s="229"/>
      <c r="U1309" s="229"/>
      <c r="V1309" s="229"/>
      <c r="W1309" s="229"/>
      <c r="X1309" s="229"/>
      <c r="Y1309" s="229"/>
      <c r="Z1309" s="229"/>
      <c r="AA1309" s="229"/>
      <c r="AB1309" s="229"/>
      <c r="AC1309" s="229"/>
      <c r="AD1309" s="229"/>
      <c r="AE1309" s="229"/>
      <c r="AF1309" s="229"/>
      <c r="AG1309" s="229"/>
      <c r="AH1309" s="229"/>
      <c r="AI1309" s="229"/>
      <c r="AJ1309" s="229"/>
      <c r="AK1309" s="229"/>
      <c r="AL1309" s="229"/>
      <c r="AM1309" s="229"/>
      <c r="AN1309" s="229"/>
      <c r="AO1309" s="229"/>
      <c r="AP1309" s="229"/>
      <c r="AQ1309" s="229"/>
      <c r="AR1309" s="229"/>
      <c r="AS1309" s="229"/>
      <c r="AT1309" s="229"/>
      <c r="AU1309" s="229"/>
      <c r="AV1309" s="229"/>
      <c r="AW1309" s="229"/>
      <c r="AX1309" s="229"/>
      <c r="AY1309" s="229"/>
      <c r="AZ1309" s="229"/>
      <c r="BA1309" s="229"/>
      <c r="BB1309" s="229"/>
      <c r="BC1309" s="229"/>
      <c r="BD1309" s="229"/>
      <c r="BE1309" s="229"/>
      <c r="BF1309" s="229"/>
      <c r="BG1309" s="229"/>
      <c r="BH1309" s="229"/>
      <c r="BI1309" s="229"/>
      <c r="BJ1309" s="229"/>
      <c r="BK1309" s="229"/>
      <c r="BL1309" s="229"/>
      <c r="BM1309" s="229"/>
      <c r="BN1309" s="229"/>
      <c r="BO1309" s="229"/>
      <c r="BP1309" s="229"/>
      <c r="BQ1309" s="229"/>
      <c r="BR1309" s="229"/>
      <c r="BS1309" s="296"/>
      <c r="BT1309" s="229"/>
      <c r="BU1309" s="229"/>
      <c r="BV1309" s="229"/>
      <c r="BW1309" s="229"/>
      <c r="BX1309" s="229"/>
      <c r="BY1309" s="229"/>
      <c r="BZ1309" s="229"/>
      <c r="CA1309" s="229"/>
      <c r="CB1309" s="229"/>
      <c r="CC1309" s="229"/>
      <c r="CD1309" s="229"/>
      <c r="CE1309" s="229"/>
      <c r="CF1309" s="229"/>
      <c r="CG1309" s="229"/>
      <c r="CH1309" s="229"/>
      <c r="CI1309" s="229"/>
      <c r="CJ1309" s="229"/>
      <c r="CK1309" s="229"/>
      <c r="CL1309" s="229"/>
      <c r="CM1309" s="229"/>
      <c r="CN1309" s="229"/>
      <c r="CO1309" s="229"/>
      <c r="CP1309" s="229"/>
      <c r="CQ1309" s="229"/>
      <c r="CR1309" s="229"/>
      <c r="CS1309" s="229"/>
      <c r="CT1309" s="229"/>
      <c r="CU1309" s="229"/>
      <c r="CV1309" s="229"/>
      <c r="CW1309" s="229"/>
      <c r="CX1309" s="229"/>
      <c r="CY1309" s="229"/>
      <c r="CZ1309" s="229"/>
      <c r="DA1309" s="229"/>
      <c r="DB1309" s="229"/>
      <c r="DC1309" s="229"/>
      <c r="DD1309" s="229"/>
      <c r="DE1309" s="229"/>
      <c r="DF1309" s="229"/>
      <c r="DG1309" s="229"/>
      <c r="DH1309" s="229"/>
      <c r="DI1309" s="229"/>
      <c r="DJ1309" s="229"/>
      <c r="DK1309" s="229"/>
      <c r="DL1309" s="229"/>
      <c r="DM1309" s="229"/>
      <c r="DN1309" s="229"/>
      <c r="DO1309" s="229"/>
      <c r="DP1309" s="229"/>
      <c r="DQ1309" s="229"/>
      <c r="DR1309" s="229"/>
      <c r="DS1309" s="229"/>
      <c r="DT1309" s="229"/>
      <c r="DU1309" s="229"/>
      <c r="DV1309" s="229"/>
      <c r="DW1309" s="229"/>
      <c r="DX1309" s="229"/>
      <c r="DY1309" s="229"/>
      <c r="DZ1309" s="229"/>
      <c r="EA1309" s="229"/>
      <c r="EB1309" s="229"/>
      <c r="EC1309" s="229"/>
      <c r="ED1309" s="229"/>
      <c r="EE1309" s="229"/>
      <c r="EF1309" s="229"/>
      <c r="EG1309" s="229"/>
      <c r="EH1309" s="229"/>
      <c r="EI1309" s="229"/>
      <c r="EJ1309" s="229"/>
      <c r="EK1309" s="229"/>
      <c r="EL1309" s="229"/>
      <c r="EM1309" s="234"/>
      <c r="EN1309" s="234"/>
      <c r="EO1309" s="234"/>
      <c r="EP1309" s="233"/>
      <c r="EQ1309" s="233"/>
    </row>
    <row r="1310" spans="2:147" ht="11.25" customHeight="1">
      <c r="B1310" s="228"/>
      <c r="C1310" s="229"/>
      <c r="D1310" s="229"/>
      <c r="E1310" s="229"/>
      <c r="F1310" s="229"/>
      <c r="G1310" s="229"/>
      <c r="H1310" s="229"/>
      <c r="I1310" s="229"/>
      <c r="J1310" s="229"/>
      <c r="K1310" s="229"/>
      <c r="L1310" s="296"/>
      <c r="M1310" s="296"/>
      <c r="N1310" s="296"/>
      <c r="O1310" s="229"/>
      <c r="P1310" s="229"/>
      <c r="Q1310" s="229"/>
      <c r="R1310" s="229"/>
      <c r="S1310" s="229"/>
      <c r="T1310" s="229"/>
      <c r="U1310" s="229"/>
      <c r="V1310" s="229"/>
      <c r="W1310" s="229"/>
      <c r="X1310" s="229"/>
      <c r="Y1310" s="229"/>
      <c r="Z1310" s="229"/>
      <c r="AA1310" s="229"/>
      <c r="AB1310" s="229"/>
      <c r="AC1310" s="229"/>
      <c r="AD1310" s="229"/>
      <c r="AE1310" s="229"/>
      <c r="AF1310" s="229"/>
      <c r="AG1310" s="229"/>
      <c r="AH1310" s="229"/>
      <c r="AI1310" s="229"/>
      <c r="AJ1310" s="229"/>
      <c r="AK1310" s="229"/>
      <c r="AL1310" s="229"/>
      <c r="AM1310" s="229"/>
      <c r="AN1310" s="229"/>
      <c r="AO1310" s="229"/>
      <c r="AP1310" s="229"/>
      <c r="AQ1310" s="229"/>
      <c r="AR1310" s="229"/>
      <c r="AS1310" s="229"/>
      <c r="AT1310" s="229"/>
      <c r="AU1310" s="229"/>
      <c r="AV1310" s="229"/>
      <c r="AW1310" s="229"/>
      <c r="AX1310" s="229"/>
      <c r="AY1310" s="229"/>
      <c r="AZ1310" s="229"/>
      <c r="BA1310" s="229"/>
      <c r="BB1310" s="229"/>
      <c r="BC1310" s="229"/>
      <c r="BD1310" s="229"/>
      <c r="BE1310" s="229"/>
      <c r="BF1310" s="229"/>
      <c r="BG1310" s="229"/>
      <c r="BH1310" s="229"/>
      <c r="BI1310" s="229"/>
      <c r="BJ1310" s="229"/>
      <c r="BK1310" s="229"/>
      <c r="BL1310" s="229"/>
      <c r="BM1310" s="229"/>
      <c r="BN1310" s="229"/>
      <c r="BO1310" s="229"/>
      <c r="BP1310" s="229"/>
      <c r="BQ1310" s="229"/>
      <c r="BR1310" s="229"/>
      <c r="BS1310" s="296"/>
      <c r="BT1310" s="229"/>
      <c r="BU1310" s="229"/>
      <c r="BV1310" s="229"/>
      <c r="BW1310" s="229"/>
      <c r="BX1310" s="229"/>
      <c r="BY1310" s="229"/>
      <c r="BZ1310" s="229"/>
      <c r="CA1310" s="229"/>
      <c r="CB1310" s="229"/>
      <c r="CC1310" s="229"/>
      <c r="CD1310" s="229"/>
      <c r="CE1310" s="229"/>
      <c r="CF1310" s="229"/>
      <c r="CG1310" s="229"/>
      <c r="CH1310" s="229"/>
      <c r="CI1310" s="229"/>
      <c r="CJ1310" s="229"/>
      <c r="CK1310" s="229"/>
      <c r="CL1310" s="229"/>
      <c r="CM1310" s="229"/>
      <c r="CN1310" s="229"/>
      <c r="CO1310" s="229"/>
      <c r="CP1310" s="229"/>
      <c r="CQ1310" s="229"/>
      <c r="CR1310" s="229"/>
      <c r="CS1310" s="229"/>
      <c r="CT1310" s="229"/>
      <c r="CU1310" s="229"/>
      <c r="CV1310" s="229"/>
      <c r="CW1310" s="229"/>
      <c r="CX1310" s="229"/>
      <c r="CY1310" s="229"/>
      <c r="CZ1310" s="229"/>
      <c r="DA1310" s="229"/>
      <c r="DB1310" s="229"/>
      <c r="DC1310" s="229"/>
      <c r="DD1310" s="229"/>
      <c r="DE1310" s="229"/>
      <c r="DF1310" s="229"/>
      <c r="DG1310" s="229"/>
      <c r="DH1310" s="229"/>
      <c r="DI1310" s="229"/>
      <c r="DJ1310" s="229"/>
      <c r="DK1310" s="229"/>
      <c r="DL1310" s="229"/>
      <c r="DM1310" s="229"/>
      <c r="DN1310" s="229"/>
      <c r="DO1310" s="229"/>
      <c r="DP1310" s="229"/>
      <c r="DQ1310" s="229"/>
      <c r="DR1310" s="229"/>
      <c r="DS1310" s="229"/>
      <c r="DT1310" s="229"/>
      <c r="DU1310" s="229"/>
      <c r="DV1310" s="229"/>
      <c r="DW1310" s="229"/>
      <c r="DX1310" s="229"/>
      <c r="DY1310" s="229"/>
      <c r="DZ1310" s="229"/>
      <c r="EA1310" s="229"/>
      <c r="EB1310" s="229"/>
      <c r="EC1310" s="229"/>
      <c r="ED1310" s="229"/>
      <c r="EE1310" s="229"/>
      <c r="EF1310" s="229"/>
      <c r="EG1310" s="229"/>
      <c r="EH1310" s="229"/>
      <c r="EI1310" s="229"/>
      <c r="EJ1310" s="229"/>
      <c r="EK1310" s="229"/>
      <c r="EL1310" s="229"/>
      <c r="EM1310" s="234"/>
      <c r="EN1310" s="234"/>
      <c r="EO1310" s="234"/>
      <c r="EP1310" s="233"/>
      <c r="EQ1310" s="233"/>
    </row>
    <row r="1311" spans="2:147" ht="11.25" customHeight="1">
      <c r="B1311" s="228"/>
      <c r="C1311" s="229"/>
      <c r="D1311" s="229"/>
      <c r="E1311" s="229"/>
      <c r="F1311" s="229"/>
      <c r="G1311" s="229"/>
      <c r="H1311" s="229"/>
      <c r="I1311" s="229"/>
      <c r="J1311" s="229"/>
      <c r="K1311" s="229"/>
      <c r="L1311" s="296"/>
      <c r="M1311" s="296"/>
      <c r="N1311" s="296"/>
      <c r="O1311" s="229"/>
      <c r="P1311" s="229"/>
      <c r="Q1311" s="229"/>
      <c r="R1311" s="229"/>
      <c r="S1311" s="229"/>
      <c r="T1311" s="229"/>
      <c r="U1311" s="229"/>
      <c r="V1311" s="229"/>
      <c r="W1311" s="229"/>
      <c r="X1311" s="229"/>
      <c r="Y1311" s="229"/>
      <c r="Z1311" s="229"/>
      <c r="AA1311" s="229"/>
      <c r="AB1311" s="229"/>
      <c r="AC1311" s="229"/>
      <c r="AD1311" s="229"/>
      <c r="AE1311" s="229"/>
      <c r="AF1311" s="229"/>
      <c r="AG1311" s="229"/>
      <c r="AH1311" s="229"/>
      <c r="AI1311" s="229"/>
      <c r="AJ1311" s="229"/>
      <c r="AK1311" s="229"/>
      <c r="AL1311" s="229"/>
      <c r="AM1311" s="229"/>
      <c r="AN1311" s="229"/>
      <c r="AO1311" s="229"/>
      <c r="AP1311" s="229"/>
      <c r="AQ1311" s="229"/>
      <c r="AR1311" s="229"/>
      <c r="AS1311" s="229"/>
      <c r="AT1311" s="229"/>
      <c r="AU1311" s="229"/>
      <c r="AV1311" s="229"/>
      <c r="AW1311" s="229"/>
      <c r="AX1311" s="229"/>
      <c r="AY1311" s="229"/>
      <c r="AZ1311" s="229"/>
      <c r="BA1311" s="229"/>
      <c r="BB1311" s="229"/>
      <c r="BC1311" s="229"/>
      <c r="BD1311" s="229"/>
      <c r="BE1311" s="229"/>
      <c r="BF1311" s="229"/>
      <c r="BG1311" s="229"/>
      <c r="BH1311" s="229"/>
      <c r="BI1311" s="229"/>
      <c r="BJ1311" s="229"/>
      <c r="BK1311" s="229"/>
      <c r="BL1311" s="229"/>
      <c r="BM1311" s="229"/>
      <c r="BN1311" s="229"/>
      <c r="BO1311" s="229"/>
      <c r="BP1311" s="229"/>
      <c r="BQ1311" s="229"/>
      <c r="BR1311" s="229"/>
      <c r="BS1311" s="296"/>
      <c r="BT1311" s="229"/>
      <c r="BU1311" s="229"/>
      <c r="BV1311" s="229"/>
      <c r="BW1311" s="229"/>
      <c r="BX1311" s="229"/>
      <c r="BY1311" s="229"/>
      <c r="BZ1311" s="229"/>
      <c r="CA1311" s="229"/>
      <c r="CB1311" s="229"/>
      <c r="CC1311" s="229"/>
      <c r="CD1311" s="229"/>
      <c r="CE1311" s="229"/>
      <c r="CF1311" s="229"/>
      <c r="CG1311" s="229"/>
      <c r="CH1311" s="229"/>
      <c r="CI1311" s="229"/>
      <c r="CJ1311" s="229"/>
      <c r="CK1311" s="229"/>
      <c r="CL1311" s="229"/>
      <c r="CM1311" s="229"/>
      <c r="CN1311" s="229"/>
      <c r="CO1311" s="229"/>
      <c r="CP1311" s="229"/>
      <c r="CQ1311" s="229"/>
      <c r="CR1311" s="229"/>
      <c r="CS1311" s="229"/>
      <c r="CT1311" s="229"/>
      <c r="CU1311" s="229"/>
      <c r="CV1311" s="229"/>
      <c r="CW1311" s="229"/>
      <c r="CX1311" s="229"/>
      <c r="CY1311" s="229"/>
      <c r="CZ1311" s="229"/>
      <c r="DA1311" s="229"/>
      <c r="DB1311" s="229"/>
      <c r="DC1311" s="229"/>
      <c r="DD1311" s="229"/>
      <c r="DE1311" s="229"/>
      <c r="DF1311" s="229"/>
      <c r="DG1311" s="229"/>
      <c r="DH1311" s="229"/>
      <c r="DI1311" s="229"/>
      <c r="DJ1311" s="229"/>
      <c r="DK1311" s="229"/>
      <c r="DL1311" s="229"/>
      <c r="DM1311" s="229"/>
      <c r="DN1311" s="229"/>
      <c r="DO1311" s="229"/>
      <c r="DP1311" s="229"/>
      <c r="DQ1311" s="229"/>
      <c r="DR1311" s="229"/>
      <c r="DS1311" s="229"/>
      <c r="DT1311" s="229"/>
      <c r="DU1311" s="229"/>
      <c r="DV1311" s="229"/>
      <c r="DW1311" s="229"/>
      <c r="DX1311" s="229"/>
      <c r="DY1311" s="229"/>
      <c r="DZ1311" s="229"/>
      <c r="EA1311" s="229"/>
      <c r="EB1311" s="229"/>
      <c r="EC1311" s="229"/>
      <c r="ED1311" s="229"/>
      <c r="EE1311" s="229"/>
      <c r="EF1311" s="229"/>
      <c r="EG1311" s="229"/>
      <c r="EH1311" s="229"/>
      <c r="EI1311" s="229"/>
      <c r="EJ1311" s="229"/>
      <c r="EK1311" s="229"/>
      <c r="EL1311" s="229"/>
      <c r="EM1311" s="234"/>
      <c r="EN1311" s="234"/>
      <c r="EO1311" s="234"/>
      <c r="EP1311" s="233"/>
      <c r="EQ1311" s="233"/>
    </row>
  </sheetData>
  <mergeCells count="203">
    <mergeCell ref="B250:D250"/>
    <mergeCell ref="P508:T508"/>
    <mergeCell ref="P509:T509"/>
    <mergeCell ref="P510:T510"/>
    <mergeCell ref="N559:S559"/>
    <mergeCell ref="Q995:U995"/>
    <mergeCell ref="Q996:U996"/>
    <mergeCell ref="Q997:U997"/>
    <mergeCell ref="M1002:R1002"/>
    <mergeCell ref="Q383:U383"/>
    <mergeCell ref="Q849:U849"/>
    <mergeCell ref="Q850:U850"/>
    <mergeCell ref="Q851:U851"/>
    <mergeCell ref="Q855:U855"/>
    <mergeCell ref="Q856:U856"/>
    <mergeCell ref="Q857:U857"/>
    <mergeCell ref="Q862:U862"/>
    <mergeCell ref="Q863:U863"/>
    <mergeCell ref="Q454:U454"/>
    <mergeCell ref="Q455:U455"/>
    <mergeCell ref="P460:U460"/>
    <mergeCell ref="Q476:U476"/>
    <mergeCell ref="Q477:U477"/>
    <mergeCell ref="N771:R771"/>
    <mergeCell ref="AM1192:AP1192"/>
    <mergeCell ref="B1188:D1188"/>
    <mergeCell ref="B299:D299"/>
    <mergeCell ref="B398:D398"/>
    <mergeCell ref="B447:D447"/>
    <mergeCell ref="B495:D495"/>
    <mergeCell ref="B548:D548"/>
    <mergeCell ref="B595:D595"/>
    <mergeCell ref="B644:D644"/>
    <mergeCell ref="B742:D742"/>
    <mergeCell ref="B790:D790"/>
    <mergeCell ref="B839:D839"/>
    <mergeCell ref="B887:D887"/>
    <mergeCell ref="B934:D934"/>
    <mergeCell ref="B983:D983"/>
    <mergeCell ref="B1041:D1041"/>
    <mergeCell ref="P653:T653"/>
    <mergeCell ref="P654:T654"/>
    <mergeCell ref="O747:T747"/>
    <mergeCell ref="O748:T748"/>
    <mergeCell ref="B348:D348"/>
    <mergeCell ref="Q362:U362"/>
    <mergeCell ref="Q363:U363"/>
    <mergeCell ref="Q364:U364"/>
    <mergeCell ref="C5:D5"/>
    <mergeCell ref="C22:D22"/>
    <mergeCell ref="C55:D55"/>
    <mergeCell ref="C103:D103"/>
    <mergeCell ref="C135:D135"/>
    <mergeCell ref="C152:D152"/>
    <mergeCell ref="C166:D166"/>
    <mergeCell ref="Q1176:U1176"/>
    <mergeCell ref="Q1177:U1177"/>
    <mergeCell ref="Q1030:U1030"/>
    <mergeCell ref="Q1031:U1031"/>
    <mergeCell ref="Q1127:U1127"/>
    <mergeCell ref="Q1128:U1128"/>
    <mergeCell ref="Q1129:U1129"/>
    <mergeCell ref="Q989:U989"/>
    <mergeCell ref="Q990:U990"/>
    <mergeCell ref="B1090:D1090"/>
    <mergeCell ref="B1139:D1139"/>
    <mergeCell ref="Q1053:U1053"/>
    <mergeCell ref="C201:D201"/>
    <mergeCell ref="Q215:U215"/>
    <mergeCell ref="Q216:U216"/>
    <mergeCell ref="Q217:U217"/>
    <mergeCell ref="P222:U222"/>
    <mergeCell ref="P1007:U1007"/>
    <mergeCell ref="Q1029:U1029"/>
    <mergeCell ref="Q864:U864"/>
    <mergeCell ref="Q868:U868"/>
    <mergeCell ref="Q869:U869"/>
    <mergeCell ref="Q870:U870"/>
    <mergeCell ref="Q988:U988"/>
    <mergeCell ref="O944:S944"/>
    <mergeCell ref="R1226:V1226"/>
    <mergeCell ref="Q1178:U1178"/>
    <mergeCell ref="P1206:U1206"/>
    <mergeCell ref="P1208:U1208"/>
    <mergeCell ref="R1225:V1225"/>
    <mergeCell ref="R1224:V1224"/>
    <mergeCell ref="Q1054:U1054"/>
    <mergeCell ref="Q1055:U1055"/>
    <mergeCell ref="P1006:U1006"/>
    <mergeCell ref="P798:T798"/>
    <mergeCell ref="P799:T799"/>
    <mergeCell ref="P800:T800"/>
    <mergeCell ref="O957:S957"/>
    <mergeCell ref="O958:S958"/>
    <mergeCell ref="O945:S945"/>
    <mergeCell ref="O946:S946"/>
    <mergeCell ref="O950:S950"/>
    <mergeCell ref="O951:S951"/>
    <mergeCell ref="O952:S952"/>
    <mergeCell ref="O956:S956"/>
    <mergeCell ref="O900:S900"/>
    <mergeCell ref="O901:S901"/>
    <mergeCell ref="O902:S902"/>
    <mergeCell ref="O940:T940"/>
    <mergeCell ref="O894:T894"/>
    <mergeCell ref="O895:T895"/>
    <mergeCell ref="O941:T941"/>
    <mergeCell ref="P844:U844"/>
    <mergeCell ref="P845:U845"/>
    <mergeCell ref="N773:R773"/>
    <mergeCell ref="O795:T795"/>
    <mergeCell ref="P608:U608"/>
    <mergeCell ref="P624:T624"/>
    <mergeCell ref="P625:T625"/>
    <mergeCell ref="P626:T626"/>
    <mergeCell ref="N765:R765"/>
    <mergeCell ref="N766:R766"/>
    <mergeCell ref="N767:R767"/>
    <mergeCell ref="N752:R752"/>
    <mergeCell ref="N753:R753"/>
    <mergeCell ref="N754:R754"/>
    <mergeCell ref="N758:R758"/>
    <mergeCell ref="N759:R759"/>
    <mergeCell ref="N760:R760"/>
    <mergeCell ref="M706:Q706"/>
    <mergeCell ref="N772:R772"/>
    <mergeCell ref="Q478:U478"/>
    <mergeCell ref="Q411:V411"/>
    <mergeCell ref="Q427:U427"/>
    <mergeCell ref="Q428:U428"/>
    <mergeCell ref="Q429:U429"/>
    <mergeCell ref="Q453:U453"/>
    <mergeCell ref="Q262:U262"/>
    <mergeCell ref="Q263:U263"/>
    <mergeCell ref="Q264:U264"/>
    <mergeCell ref="Q404:U404"/>
    <mergeCell ref="Q405:U405"/>
    <mergeCell ref="Q406:U406"/>
    <mergeCell ref="Q315:U315"/>
    <mergeCell ref="P320:U320"/>
    <mergeCell ref="Q332:U332"/>
    <mergeCell ref="Q333:U333"/>
    <mergeCell ref="Q334:U334"/>
    <mergeCell ref="Q277:U277"/>
    <mergeCell ref="Q278:U278"/>
    <mergeCell ref="Q279:U279"/>
    <mergeCell ref="Q313:U313"/>
    <mergeCell ref="Q314:U314"/>
    <mergeCell ref="P369:U369"/>
    <mergeCell ref="Q381:U381"/>
    <mergeCell ref="Q382:U382"/>
    <mergeCell ref="O191:S191"/>
    <mergeCell ref="Q179:U179"/>
    <mergeCell ref="O189:S189"/>
    <mergeCell ref="O190:S190"/>
    <mergeCell ref="P11:U11"/>
    <mergeCell ref="Q34:U34"/>
    <mergeCell ref="Q35:U35"/>
    <mergeCell ref="Q36:U36"/>
    <mergeCell ref="Q69:U69"/>
    <mergeCell ref="Q70:U70"/>
    <mergeCell ref="Q71:U71"/>
    <mergeCell ref="P76:U76"/>
    <mergeCell ref="Q117:U117"/>
    <mergeCell ref="Q118:U118"/>
    <mergeCell ref="Q119:U119"/>
    <mergeCell ref="P124:U124"/>
    <mergeCell ref="Q234:U234"/>
    <mergeCell ref="Q235:U235"/>
    <mergeCell ref="Q236:U236"/>
    <mergeCell ref="AG855:AI855"/>
    <mergeCell ref="AG856:AI856"/>
    <mergeCell ref="AG857:AI857"/>
    <mergeCell ref="B3:EL3"/>
    <mergeCell ref="B1:EQ2"/>
    <mergeCell ref="N501:S501"/>
    <mergeCell ref="N502:S502"/>
    <mergeCell ref="P652:T652"/>
    <mergeCell ref="P570:T570"/>
    <mergeCell ref="P574:T574"/>
    <mergeCell ref="P575:T575"/>
    <mergeCell ref="P576:T576"/>
    <mergeCell ref="N557:S557"/>
    <mergeCell ref="N558:S558"/>
    <mergeCell ref="P568:T568"/>
    <mergeCell ref="P569:T569"/>
    <mergeCell ref="P601:T601"/>
    <mergeCell ref="P602:T602"/>
    <mergeCell ref="P603:T603"/>
    <mergeCell ref="Q178:U178"/>
    <mergeCell ref="P155:U155"/>
    <mergeCell ref="P158:U158"/>
    <mergeCell ref="Q177:U177"/>
    <mergeCell ref="P139:U139"/>
    <mergeCell ref="X554:AC554"/>
    <mergeCell ref="P658:T658"/>
    <mergeCell ref="P659:T659"/>
    <mergeCell ref="P660:T660"/>
    <mergeCell ref="M665:R665"/>
    <mergeCell ref="Q669:V669"/>
    <mergeCell ref="Q670:V670"/>
    <mergeCell ref="M704:Q704"/>
    <mergeCell ref="M705:Q705"/>
  </mergeCells>
  <phoneticPr fontId="7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90" orientation="landscape" r:id="rId1"/>
  <headerFooter alignWithMargins="0"/>
  <rowBreaks count="1" manualBreakCount="1">
    <brk id="123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E303"/>
  <sheetViews>
    <sheetView view="pageBreakPreview" zoomScaleSheetLayoutView="100" workbookViewId="0">
      <pane ySplit="3" topLeftCell="A241" activePane="bottomLeft" state="frozen"/>
      <selection activeCell="B4" sqref="B4"/>
      <selection pane="bottomLeft" activeCell="C289" sqref="C289"/>
    </sheetView>
  </sheetViews>
  <sheetFormatPr defaultRowHeight="12.75"/>
  <cols>
    <col min="1" max="1" width="3.77734375" style="197" customWidth="1"/>
    <col min="2" max="2" width="22.109375" style="197" customWidth="1"/>
    <col min="3" max="3" width="18.109375" style="197" customWidth="1"/>
    <col min="4" max="4" width="10.77734375" style="197" customWidth="1"/>
    <col min="5" max="7" width="5.77734375" style="197" customWidth="1"/>
    <col min="8" max="8" width="12.77734375" style="197" customWidth="1"/>
    <col min="9" max="9" width="8.109375" style="197" customWidth="1"/>
    <col min="10" max="12" width="7.5546875" style="197" customWidth="1"/>
    <col min="13" max="13" width="10.44140625" style="198" customWidth="1"/>
    <col min="14" max="14" width="8.88671875" style="197" customWidth="1"/>
    <col min="15" max="16" width="8.88671875" style="215" customWidth="1"/>
    <col min="17" max="18" width="8.88671875" style="197" customWidth="1"/>
    <col min="19" max="240" width="8.88671875" style="197"/>
    <col min="241" max="241" width="0.5546875" style="197" customWidth="1"/>
    <col min="242" max="242" width="22.109375" style="197" customWidth="1"/>
    <col min="243" max="243" width="18.109375" style="197" customWidth="1"/>
    <col min="244" max="265" width="1.44140625" style="197" customWidth="1"/>
    <col min="266" max="266" width="8.109375" style="197" customWidth="1"/>
    <col min="267" max="269" width="7.5546875" style="197" customWidth="1"/>
    <col min="270" max="270" width="10.44140625" style="197" customWidth="1"/>
    <col min="271" max="496" width="8.88671875" style="197"/>
    <col min="497" max="497" width="0.5546875" style="197" customWidth="1"/>
    <col min="498" max="498" width="22.109375" style="197" customWidth="1"/>
    <col min="499" max="499" width="18.109375" style="197" customWidth="1"/>
    <col min="500" max="521" width="1.44140625" style="197" customWidth="1"/>
    <col min="522" max="522" width="8.109375" style="197" customWidth="1"/>
    <col min="523" max="525" width="7.5546875" style="197" customWidth="1"/>
    <col min="526" max="526" width="10.44140625" style="197" customWidth="1"/>
    <col min="527" max="752" width="8.88671875" style="197"/>
    <col min="753" max="753" width="0.5546875" style="197" customWidth="1"/>
    <col min="754" max="754" width="22.109375" style="197" customWidth="1"/>
    <col min="755" max="755" width="18.109375" style="197" customWidth="1"/>
    <col min="756" max="777" width="1.44140625" style="197" customWidth="1"/>
    <col min="778" max="778" width="8.109375" style="197" customWidth="1"/>
    <col min="779" max="781" width="7.5546875" style="197" customWidth="1"/>
    <col min="782" max="782" width="10.44140625" style="197" customWidth="1"/>
    <col min="783" max="1008" width="8.88671875" style="197"/>
    <col min="1009" max="1009" width="0.5546875" style="197" customWidth="1"/>
    <col min="1010" max="1010" width="22.109375" style="197" customWidth="1"/>
    <col min="1011" max="1011" width="18.109375" style="197" customWidth="1"/>
    <col min="1012" max="1033" width="1.44140625" style="197" customWidth="1"/>
    <col min="1034" max="1034" width="8.109375" style="197" customWidth="1"/>
    <col min="1035" max="1037" width="7.5546875" style="197" customWidth="1"/>
    <col min="1038" max="1038" width="10.44140625" style="197" customWidth="1"/>
    <col min="1039" max="1264" width="8.88671875" style="197"/>
    <col min="1265" max="1265" width="0.5546875" style="197" customWidth="1"/>
    <col min="1266" max="1266" width="22.109375" style="197" customWidth="1"/>
    <col min="1267" max="1267" width="18.109375" style="197" customWidth="1"/>
    <col min="1268" max="1289" width="1.44140625" style="197" customWidth="1"/>
    <col min="1290" max="1290" width="8.109375" style="197" customWidth="1"/>
    <col min="1291" max="1293" width="7.5546875" style="197" customWidth="1"/>
    <col min="1294" max="1294" width="10.44140625" style="197" customWidth="1"/>
    <col min="1295" max="1520" width="8.88671875" style="197"/>
    <col min="1521" max="1521" width="0.5546875" style="197" customWidth="1"/>
    <col min="1522" max="1522" width="22.109375" style="197" customWidth="1"/>
    <col min="1523" max="1523" width="18.109375" style="197" customWidth="1"/>
    <col min="1524" max="1545" width="1.44140625" style="197" customWidth="1"/>
    <col min="1546" max="1546" width="8.109375" style="197" customWidth="1"/>
    <col min="1547" max="1549" width="7.5546875" style="197" customWidth="1"/>
    <col min="1550" max="1550" width="10.44140625" style="197" customWidth="1"/>
    <col min="1551" max="1776" width="8.88671875" style="197"/>
    <col min="1777" max="1777" width="0.5546875" style="197" customWidth="1"/>
    <col min="1778" max="1778" width="22.109375" style="197" customWidth="1"/>
    <col min="1779" max="1779" width="18.109375" style="197" customWidth="1"/>
    <col min="1780" max="1801" width="1.44140625" style="197" customWidth="1"/>
    <col min="1802" max="1802" width="8.109375" style="197" customWidth="1"/>
    <col min="1803" max="1805" width="7.5546875" style="197" customWidth="1"/>
    <col min="1806" max="1806" width="10.44140625" style="197" customWidth="1"/>
    <col min="1807" max="2032" width="8.88671875" style="197"/>
    <col min="2033" max="2033" width="0.5546875" style="197" customWidth="1"/>
    <col min="2034" max="2034" width="22.109375" style="197" customWidth="1"/>
    <col min="2035" max="2035" width="18.109375" style="197" customWidth="1"/>
    <col min="2036" max="2057" width="1.44140625" style="197" customWidth="1"/>
    <col min="2058" max="2058" width="8.109375" style="197" customWidth="1"/>
    <col min="2059" max="2061" width="7.5546875" style="197" customWidth="1"/>
    <col min="2062" max="2062" width="10.44140625" style="197" customWidth="1"/>
    <col min="2063" max="2288" width="8.88671875" style="197"/>
    <col min="2289" max="2289" width="0.5546875" style="197" customWidth="1"/>
    <col min="2290" max="2290" width="22.109375" style="197" customWidth="1"/>
    <col min="2291" max="2291" width="18.109375" style="197" customWidth="1"/>
    <col min="2292" max="2313" width="1.44140625" style="197" customWidth="1"/>
    <col min="2314" max="2314" width="8.109375" style="197" customWidth="1"/>
    <col min="2315" max="2317" width="7.5546875" style="197" customWidth="1"/>
    <col min="2318" max="2318" width="10.44140625" style="197" customWidth="1"/>
    <col min="2319" max="2544" width="8.88671875" style="197"/>
    <col min="2545" max="2545" width="0.5546875" style="197" customWidth="1"/>
    <col min="2546" max="2546" width="22.109375" style="197" customWidth="1"/>
    <col min="2547" max="2547" width="18.109375" style="197" customWidth="1"/>
    <col min="2548" max="2569" width="1.44140625" style="197" customWidth="1"/>
    <col min="2570" max="2570" width="8.109375" style="197" customWidth="1"/>
    <col min="2571" max="2573" width="7.5546875" style="197" customWidth="1"/>
    <col min="2574" max="2574" width="10.44140625" style="197" customWidth="1"/>
    <col min="2575" max="2800" width="8.88671875" style="197"/>
    <col min="2801" max="2801" width="0.5546875" style="197" customWidth="1"/>
    <col min="2802" max="2802" width="22.109375" style="197" customWidth="1"/>
    <col min="2803" max="2803" width="18.109375" style="197" customWidth="1"/>
    <col min="2804" max="2825" width="1.44140625" style="197" customWidth="1"/>
    <col min="2826" max="2826" width="8.109375" style="197" customWidth="1"/>
    <col min="2827" max="2829" width="7.5546875" style="197" customWidth="1"/>
    <col min="2830" max="2830" width="10.44140625" style="197" customWidth="1"/>
    <col min="2831" max="3056" width="8.88671875" style="197"/>
    <col min="3057" max="3057" width="0.5546875" style="197" customWidth="1"/>
    <col min="3058" max="3058" width="22.109375" style="197" customWidth="1"/>
    <col min="3059" max="3059" width="18.109375" style="197" customWidth="1"/>
    <col min="3060" max="3081" width="1.44140625" style="197" customWidth="1"/>
    <col min="3082" max="3082" width="8.109375" style="197" customWidth="1"/>
    <col min="3083" max="3085" width="7.5546875" style="197" customWidth="1"/>
    <col min="3086" max="3086" width="10.44140625" style="197" customWidth="1"/>
    <col min="3087" max="3312" width="8.88671875" style="197"/>
    <col min="3313" max="3313" width="0.5546875" style="197" customWidth="1"/>
    <col min="3314" max="3314" width="22.109375" style="197" customWidth="1"/>
    <col min="3315" max="3315" width="18.109375" style="197" customWidth="1"/>
    <col min="3316" max="3337" width="1.44140625" style="197" customWidth="1"/>
    <col min="3338" max="3338" width="8.109375" style="197" customWidth="1"/>
    <col min="3339" max="3341" width="7.5546875" style="197" customWidth="1"/>
    <col min="3342" max="3342" width="10.44140625" style="197" customWidth="1"/>
    <col min="3343" max="3568" width="8.88671875" style="197"/>
    <col min="3569" max="3569" width="0.5546875" style="197" customWidth="1"/>
    <col min="3570" max="3570" width="22.109375" style="197" customWidth="1"/>
    <col min="3571" max="3571" width="18.109375" style="197" customWidth="1"/>
    <col min="3572" max="3593" width="1.44140625" style="197" customWidth="1"/>
    <col min="3594" max="3594" width="8.109375" style="197" customWidth="1"/>
    <col min="3595" max="3597" width="7.5546875" style="197" customWidth="1"/>
    <col min="3598" max="3598" width="10.44140625" style="197" customWidth="1"/>
    <col min="3599" max="3824" width="8.88671875" style="197"/>
    <col min="3825" max="3825" width="0.5546875" style="197" customWidth="1"/>
    <col min="3826" max="3826" width="22.109375" style="197" customWidth="1"/>
    <col min="3827" max="3827" width="18.109375" style="197" customWidth="1"/>
    <col min="3828" max="3849" width="1.44140625" style="197" customWidth="1"/>
    <col min="3850" max="3850" width="8.109375" style="197" customWidth="1"/>
    <col min="3851" max="3853" width="7.5546875" style="197" customWidth="1"/>
    <col min="3854" max="3854" width="10.44140625" style="197" customWidth="1"/>
    <col min="3855" max="4080" width="8.88671875" style="197"/>
    <col min="4081" max="4081" width="0.5546875" style="197" customWidth="1"/>
    <col min="4082" max="4082" width="22.109375" style="197" customWidth="1"/>
    <col min="4083" max="4083" width="18.109375" style="197" customWidth="1"/>
    <col min="4084" max="4105" width="1.44140625" style="197" customWidth="1"/>
    <col min="4106" max="4106" width="8.109375" style="197" customWidth="1"/>
    <col min="4107" max="4109" width="7.5546875" style="197" customWidth="1"/>
    <col min="4110" max="4110" width="10.44140625" style="197" customWidth="1"/>
    <col min="4111" max="4336" width="8.88671875" style="197"/>
    <col min="4337" max="4337" width="0.5546875" style="197" customWidth="1"/>
    <col min="4338" max="4338" width="22.109375" style="197" customWidth="1"/>
    <col min="4339" max="4339" width="18.109375" style="197" customWidth="1"/>
    <col min="4340" max="4361" width="1.44140625" style="197" customWidth="1"/>
    <col min="4362" max="4362" width="8.109375" style="197" customWidth="1"/>
    <col min="4363" max="4365" width="7.5546875" style="197" customWidth="1"/>
    <col min="4366" max="4366" width="10.44140625" style="197" customWidth="1"/>
    <col min="4367" max="4592" width="8.88671875" style="197"/>
    <col min="4593" max="4593" width="0.5546875" style="197" customWidth="1"/>
    <col min="4594" max="4594" width="22.109375" style="197" customWidth="1"/>
    <col min="4595" max="4595" width="18.109375" style="197" customWidth="1"/>
    <col min="4596" max="4617" width="1.44140625" style="197" customWidth="1"/>
    <col min="4618" max="4618" width="8.109375" style="197" customWidth="1"/>
    <col min="4619" max="4621" width="7.5546875" style="197" customWidth="1"/>
    <col min="4622" max="4622" width="10.44140625" style="197" customWidth="1"/>
    <col min="4623" max="4848" width="8.88671875" style="197"/>
    <col min="4849" max="4849" width="0.5546875" style="197" customWidth="1"/>
    <col min="4850" max="4850" width="22.109375" style="197" customWidth="1"/>
    <col min="4851" max="4851" width="18.109375" style="197" customWidth="1"/>
    <col min="4852" max="4873" width="1.44140625" style="197" customWidth="1"/>
    <col min="4874" max="4874" width="8.109375" style="197" customWidth="1"/>
    <col min="4875" max="4877" width="7.5546875" style="197" customWidth="1"/>
    <col min="4878" max="4878" width="10.44140625" style="197" customWidth="1"/>
    <col min="4879" max="5104" width="8.88671875" style="197"/>
    <col min="5105" max="5105" width="0.5546875" style="197" customWidth="1"/>
    <col min="5106" max="5106" width="22.109375" style="197" customWidth="1"/>
    <col min="5107" max="5107" width="18.109375" style="197" customWidth="1"/>
    <col min="5108" max="5129" width="1.44140625" style="197" customWidth="1"/>
    <col min="5130" max="5130" width="8.109375" style="197" customWidth="1"/>
    <col min="5131" max="5133" width="7.5546875" style="197" customWidth="1"/>
    <col min="5134" max="5134" width="10.44140625" style="197" customWidth="1"/>
    <col min="5135" max="5360" width="8.88671875" style="197"/>
    <col min="5361" max="5361" width="0.5546875" style="197" customWidth="1"/>
    <col min="5362" max="5362" width="22.109375" style="197" customWidth="1"/>
    <col min="5363" max="5363" width="18.109375" style="197" customWidth="1"/>
    <col min="5364" max="5385" width="1.44140625" style="197" customWidth="1"/>
    <col min="5386" max="5386" width="8.109375" style="197" customWidth="1"/>
    <col min="5387" max="5389" width="7.5546875" style="197" customWidth="1"/>
    <col min="5390" max="5390" width="10.44140625" style="197" customWidth="1"/>
    <col min="5391" max="5616" width="8.88671875" style="197"/>
    <col min="5617" max="5617" width="0.5546875" style="197" customWidth="1"/>
    <col min="5618" max="5618" width="22.109375" style="197" customWidth="1"/>
    <col min="5619" max="5619" width="18.109375" style="197" customWidth="1"/>
    <col min="5620" max="5641" width="1.44140625" style="197" customWidth="1"/>
    <col min="5642" max="5642" width="8.109375" style="197" customWidth="1"/>
    <col min="5643" max="5645" width="7.5546875" style="197" customWidth="1"/>
    <col min="5646" max="5646" width="10.44140625" style="197" customWidth="1"/>
    <col min="5647" max="5872" width="8.88671875" style="197"/>
    <col min="5873" max="5873" width="0.5546875" style="197" customWidth="1"/>
    <col min="5874" max="5874" width="22.109375" style="197" customWidth="1"/>
    <col min="5875" max="5875" width="18.109375" style="197" customWidth="1"/>
    <col min="5876" max="5897" width="1.44140625" style="197" customWidth="1"/>
    <col min="5898" max="5898" width="8.109375" style="197" customWidth="1"/>
    <col min="5899" max="5901" width="7.5546875" style="197" customWidth="1"/>
    <col min="5902" max="5902" width="10.44140625" style="197" customWidth="1"/>
    <col min="5903" max="6128" width="8.88671875" style="197"/>
    <col min="6129" max="6129" width="0.5546875" style="197" customWidth="1"/>
    <col min="6130" max="6130" width="22.109375" style="197" customWidth="1"/>
    <col min="6131" max="6131" width="18.109375" style="197" customWidth="1"/>
    <col min="6132" max="6153" width="1.44140625" style="197" customWidth="1"/>
    <col min="6154" max="6154" width="8.109375" style="197" customWidth="1"/>
    <col min="6155" max="6157" width="7.5546875" style="197" customWidth="1"/>
    <col min="6158" max="6158" width="10.44140625" style="197" customWidth="1"/>
    <col min="6159" max="6384" width="8.88671875" style="197"/>
    <col min="6385" max="6385" width="0.5546875" style="197" customWidth="1"/>
    <col min="6386" max="6386" width="22.109375" style="197" customWidth="1"/>
    <col min="6387" max="6387" width="18.109375" style="197" customWidth="1"/>
    <col min="6388" max="6409" width="1.44140625" style="197" customWidth="1"/>
    <col min="6410" max="6410" width="8.109375" style="197" customWidth="1"/>
    <col min="6411" max="6413" width="7.5546875" style="197" customWidth="1"/>
    <col min="6414" max="6414" width="10.44140625" style="197" customWidth="1"/>
    <col min="6415" max="6640" width="8.88671875" style="197"/>
    <col min="6641" max="6641" width="0.5546875" style="197" customWidth="1"/>
    <col min="6642" max="6642" width="22.109375" style="197" customWidth="1"/>
    <col min="6643" max="6643" width="18.109375" style="197" customWidth="1"/>
    <col min="6644" max="6665" width="1.44140625" style="197" customWidth="1"/>
    <col min="6666" max="6666" width="8.109375" style="197" customWidth="1"/>
    <col min="6667" max="6669" width="7.5546875" style="197" customWidth="1"/>
    <col min="6670" max="6670" width="10.44140625" style="197" customWidth="1"/>
    <col min="6671" max="6896" width="8.88671875" style="197"/>
    <col min="6897" max="6897" width="0.5546875" style="197" customWidth="1"/>
    <col min="6898" max="6898" width="22.109375" style="197" customWidth="1"/>
    <col min="6899" max="6899" width="18.109375" style="197" customWidth="1"/>
    <col min="6900" max="6921" width="1.44140625" style="197" customWidth="1"/>
    <col min="6922" max="6922" width="8.109375" style="197" customWidth="1"/>
    <col min="6923" max="6925" width="7.5546875" style="197" customWidth="1"/>
    <col min="6926" max="6926" width="10.44140625" style="197" customWidth="1"/>
    <col min="6927" max="7152" width="8.88671875" style="197"/>
    <col min="7153" max="7153" width="0.5546875" style="197" customWidth="1"/>
    <col min="7154" max="7154" width="22.109375" style="197" customWidth="1"/>
    <col min="7155" max="7155" width="18.109375" style="197" customWidth="1"/>
    <col min="7156" max="7177" width="1.44140625" style="197" customWidth="1"/>
    <col min="7178" max="7178" width="8.109375" style="197" customWidth="1"/>
    <col min="7179" max="7181" width="7.5546875" style="197" customWidth="1"/>
    <col min="7182" max="7182" width="10.44140625" style="197" customWidth="1"/>
    <col min="7183" max="7408" width="8.88671875" style="197"/>
    <col min="7409" max="7409" width="0.5546875" style="197" customWidth="1"/>
    <col min="7410" max="7410" width="22.109375" style="197" customWidth="1"/>
    <col min="7411" max="7411" width="18.109375" style="197" customWidth="1"/>
    <col min="7412" max="7433" width="1.44140625" style="197" customWidth="1"/>
    <col min="7434" max="7434" width="8.109375" style="197" customWidth="1"/>
    <col min="7435" max="7437" width="7.5546875" style="197" customWidth="1"/>
    <col min="7438" max="7438" width="10.44140625" style="197" customWidth="1"/>
    <col min="7439" max="7664" width="8.88671875" style="197"/>
    <col min="7665" max="7665" width="0.5546875" style="197" customWidth="1"/>
    <col min="7666" max="7666" width="22.109375" style="197" customWidth="1"/>
    <col min="7667" max="7667" width="18.109375" style="197" customWidth="1"/>
    <col min="7668" max="7689" width="1.44140625" style="197" customWidth="1"/>
    <col min="7690" max="7690" width="8.109375" style="197" customWidth="1"/>
    <col min="7691" max="7693" width="7.5546875" style="197" customWidth="1"/>
    <col min="7694" max="7694" width="10.44140625" style="197" customWidth="1"/>
    <col min="7695" max="7920" width="8.88671875" style="197"/>
    <col min="7921" max="7921" width="0.5546875" style="197" customWidth="1"/>
    <col min="7922" max="7922" width="22.109375" style="197" customWidth="1"/>
    <col min="7923" max="7923" width="18.109375" style="197" customWidth="1"/>
    <col min="7924" max="7945" width="1.44140625" style="197" customWidth="1"/>
    <col min="7946" max="7946" width="8.109375" style="197" customWidth="1"/>
    <col min="7947" max="7949" width="7.5546875" style="197" customWidth="1"/>
    <col min="7950" max="7950" width="10.44140625" style="197" customWidth="1"/>
    <col min="7951" max="8176" width="8.88671875" style="197"/>
    <col min="8177" max="8177" width="0.5546875" style="197" customWidth="1"/>
    <col min="8178" max="8178" width="22.109375" style="197" customWidth="1"/>
    <col min="8179" max="8179" width="18.109375" style="197" customWidth="1"/>
    <col min="8180" max="8201" width="1.44140625" style="197" customWidth="1"/>
    <col min="8202" max="8202" width="8.109375" style="197" customWidth="1"/>
    <col min="8203" max="8205" width="7.5546875" style="197" customWidth="1"/>
    <col min="8206" max="8206" width="10.44140625" style="197" customWidth="1"/>
    <col min="8207" max="8432" width="8.88671875" style="197"/>
    <col min="8433" max="8433" width="0.5546875" style="197" customWidth="1"/>
    <col min="8434" max="8434" width="22.109375" style="197" customWidth="1"/>
    <col min="8435" max="8435" width="18.109375" style="197" customWidth="1"/>
    <col min="8436" max="8457" width="1.44140625" style="197" customWidth="1"/>
    <col min="8458" max="8458" width="8.109375" style="197" customWidth="1"/>
    <col min="8459" max="8461" width="7.5546875" style="197" customWidth="1"/>
    <col min="8462" max="8462" width="10.44140625" style="197" customWidth="1"/>
    <col min="8463" max="8688" width="8.88671875" style="197"/>
    <col min="8689" max="8689" width="0.5546875" style="197" customWidth="1"/>
    <col min="8690" max="8690" width="22.109375" style="197" customWidth="1"/>
    <col min="8691" max="8691" width="18.109375" style="197" customWidth="1"/>
    <col min="8692" max="8713" width="1.44140625" style="197" customWidth="1"/>
    <col min="8714" max="8714" width="8.109375" style="197" customWidth="1"/>
    <col min="8715" max="8717" width="7.5546875" style="197" customWidth="1"/>
    <col min="8718" max="8718" width="10.44140625" style="197" customWidth="1"/>
    <col min="8719" max="8944" width="8.88671875" style="197"/>
    <col min="8945" max="8945" width="0.5546875" style="197" customWidth="1"/>
    <col min="8946" max="8946" width="22.109375" style="197" customWidth="1"/>
    <col min="8947" max="8947" width="18.109375" style="197" customWidth="1"/>
    <col min="8948" max="8969" width="1.44140625" style="197" customWidth="1"/>
    <col min="8970" max="8970" width="8.109375" style="197" customWidth="1"/>
    <col min="8971" max="8973" width="7.5546875" style="197" customWidth="1"/>
    <col min="8974" max="8974" width="10.44140625" style="197" customWidth="1"/>
    <col min="8975" max="9200" width="8.88671875" style="197"/>
    <col min="9201" max="9201" width="0.5546875" style="197" customWidth="1"/>
    <col min="9202" max="9202" width="22.109375" style="197" customWidth="1"/>
    <col min="9203" max="9203" width="18.109375" style="197" customWidth="1"/>
    <col min="9204" max="9225" width="1.44140625" style="197" customWidth="1"/>
    <col min="9226" max="9226" width="8.109375" style="197" customWidth="1"/>
    <col min="9227" max="9229" width="7.5546875" style="197" customWidth="1"/>
    <col min="9230" max="9230" width="10.44140625" style="197" customWidth="1"/>
    <col min="9231" max="9456" width="8.88671875" style="197"/>
    <col min="9457" max="9457" width="0.5546875" style="197" customWidth="1"/>
    <col min="9458" max="9458" width="22.109375" style="197" customWidth="1"/>
    <col min="9459" max="9459" width="18.109375" style="197" customWidth="1"/>
    <col min="9460" max="9481" width="1.44140625" style="197" customWidth="1"/>
    <col min="9482" max="9482" width="8.109375" style="197" customWidth="1"/>
    <col min="9483" max="9485" width="7.5546875" style="197" customWidth="1"/>
    <col min="9486" max="9486" width="10.44140625" style="197" customWidth="1"/>
    <col min="9487" max="9712" width="8.88671875" style="197"/>
    <col min="9713" max="9713" width="0.5546875" style="197" customWidth="1"/>
    <col min="9714" max="9714" width="22.109375" style="197" customWidth="1"/>
    <col min="9715" max="9715" width="18.109375" style="197" customWidth="1"/>
    <col min="9716" max="9737" width="1.44140625" style="197" customWidth="1"/>
    <col min="9738" max="9738" width="8.109375" style="197" customWidth="1"/>
    <col min="9739" max="9741" width="7.5546875" style="197" customWidth="1"/>
    <col min="9742" max="9742" width="10.44140625" style="197" customWidth="1"/>
    <col min="9743" max="9968" width="8.88671875" style="197"/>
    <col min="9969" max="9969" width="0.5546875" style="197" customWidth="1"/>
    <col min="9970" max="9970" width="22.109375" style="197" customWidth="1"/>
    <col min="9971" max="9971" width="18.109375" style="197" customWidth="1"/>
    <col min="9972" max="9993" width="1.44140625" style="197" customWidth="1"/>
    <col min="9994" max="9994" width="8.109375" style="197" customWidth="1"/>
    <col min="9995" max="9997" width="7.5546875" style="197" customWidth="1"/>
    <col min="9998" max="9998" width="10.44140625" style="197" customWidth="1"/>
    <col min="9999" max="10224" width="8.88671875" style="197"/>
    <col min="10225" max="10225" width="0.5546875" style="197" customWidth="1"/>
    <col min="10226" max="10226" width="22.109375" style="197" customWidth="1"/>
    <col min="10227" max="10227" width="18.109375" style="197" customWidth="1"/>
    <col min="10228" max="10249" width="1.44140625" style="197" customWidth="1"/>
    <col min="10250" max="10250" width="8.109375" style="197" customWidth="1"/>
    <col min="10251" max="10253" width="7.5546875" style="197" customWidth="1"/>
    <col min="10254" max="10254" width="10.44140625" style="197" customWidth="1"/>
    <col min="10255" max="10480" width="8.88671875" style="197"/>
    <col min="10481" max="10481" width="0.5546875" style="197" customWidth="1"/>
    <col min="10482" max="10482" width="22.109375" style="197" customWidth="1"/>
    <col min="10483" max="10483" width="18.109375" style="197" customWidth="1"/>
    <col min="10484" max="10505" width="1.44140625" style="197" customWidth="1"/>
    <col min="10506" max="10506" width="8.109375" style="197" customWidth="1"/>
    <col min="10507" max="10509" width="7.5546875" style="197" customWidth="1"/>
    <col min="10510" max="10510" width="10.44140625" style="197" customWidth="1"/>
    <col min="10511" max="10736" width="8.88671875" style="197"/>
    <col min="10737" max="10737" width="0.5546875" style="197" customWidth="1"/>
    <col min="10738" max="10738" width="22.109375" style="197" customWidth="1"/>
    <col min="10739" max="10739" width="18.109375" style="197" customWidth="1"/>
    <col min="10740" max="10761" width="1.44140625" style="197" customWidth="1"/>
    <col min="10762" max="10762" width="8.109375" style="197" customWidth="1"/>
    <col min="10763" max="10765" width="7.5546875" style="197" customWidth="1"/>
    <col min="10766" max="10766" width="10.44140625" style="197" customWidth="1"/>
    <col min="10767" max="10992" width="8.88671875" style="197"/>
    <col min="10993" max="10993" width="0.5546875" style="197" customWidth="1"/>
    <col min="10994" max="10994" width="22.109375" style="197" customWidth="1"/>
    <col min="10995" max="10995" width="18.109375" style="197" customWidth="1"/>
    <col min="10996" max="11017" width="1.44140625" style="197" customWidth="1"/>
    <col min="11018" max="11018" width="8.109375" style="197" customWidth="1"/>
    <col min="11019" max="11021" width="7.5546875" style="197" customWidth="1"/>
    <col min="11022" max="11022" width="10.44140625" style="197" customWidth="1"/>
    <col min="11023" max="11248" width="8.88671875" style="197"/>
    <col min="11249" max="11249" width="0.5546875" style="197" customWidth="1"/>
    <col min="11250" max="11250" width="22.109375" style="197" customWidth="1"/>
    <col min="11251" max="11251" width="18.109375" style="197" customWidth="1"/>
    <col min="11252" max="11273" width="1.44140625" style="197" customWidth="1"/>
    <col min="11274" max="11274" width="8.109375" style="197" customWidth="1"/>
    <col min="11275" max="11277" width="7.5546875" style="197" customWidth="1"/>
    <col min="11278" max="11278" width="10.44140625" style="197" customWidth="1"/>
    <col min="11279" max="11504" width="8.88671875" style="197"/>
    <col min="11505" max="11505" width="0.5546875" style="197" customWidth="1"/>
    <col min="11506" max="11506" width="22.109375" style="197" customWidth="1"/>
    <col min="11507" max="11507" width="18.109375" style="197" customWidth="1"/>
    <col min="11508" max="11529" width="1.44140625" style="197" customWidth="1"/>
    <col min="11530" max="11530" width="8.109375" style="197" customWidth="1"/>
    <col min="11531" max="11533" width="7.5546875" style="197" customWidth="1"/>
    <col min="11534" max="11534" width="10.44140625" style="197" customWidth="1"/>
    <col min="11535" max="11760" width="8.88671875" style="197"/>
    <col min="11761" max="11761" width="0.5546875" style="197" customWidth="1"/>
    <col min="11762" max="11762" width="22.109375" style="197" customWidth="1"/>
    <col min="11763" max="11763" width="18.109375" style="197" customWidth="1"/>
    <col min="11764" max="11785" width="1.44140625" style="197" customWidth="1"/>
    <col min="11786" max="11786" width="8.109375" style="197" customWidth="1"/>
    <col min="11787" max="11789" width="7.5546875" style="197" customWidth="1"/>
    <col min="11790" max="11790" width="10.44140625" style="197" customWidth="1"/>
    <col min="11791" max="12016" width="8.88671875" style="197"/>
    <col min="12017" max="12017" width="0.5546875" style="197" customWidth="1"/>
    <col min="12018" max="12018" width="22.109375" style="197" customWidth="1"/>
    <col min="12019" max="12019" width="18.109375" style="197" customWidth="1"/>
    <col min="12020" max="12041" width="1.44140625" style="197" customWidth="1"/>
    <col min="12042" max="12042" width="8.109375" style="197" customWidth="1"/>
    <col min="12043" max="12045" width="7.5546875" style="197" customWidth="1"/>
    <col min="12046" max="12046" width="10.44140625" style="197" customWidth="1"/>
    <col min="12047" max="12272" width="8.88671875" style="197"/>
    <col min="12273" max="12273" width="0.5546875" style="197" customWidth="1"/>
    <col min="12274" max="12274" width="22.109375" style="197" customWidth="1"/>
    <col min="12275" max="12275" width="18.109375" style="197" customWidth="1"/>
    <col min="12276" max="12297" width="1.44140625" style="197" customWidth="1"/>
    <col min="12298" max="12298" width="8.109375" style="197" customWidth="1"/>
    <col min="12299" max="12301" width="7.5546875" style="197" customWidth="1"/>
    <col min="12302" max="12302" width="10.44140625" style="197" customWidth="1"/>
    <col min="12303" max="12528" width="8.88671875" style="197"/>
    <col min="12529" max="12529" width="0.5546875" style="197" customWidth="1"/>
    <col min="12530" max="12530" width="22.109375" style="197" customWidth="1"/>
    <col min="12531" max="12531" width="18.109375" style="197" customWidth="1"/>
    <col min="12532" max="12553" width="1.44140625" style="197" customWidth="1"/>
    <col min="12554" max="12554" width="8.109375" style="197" customWidth="1"/>
    <col min="12555" max="12557" width="7.5546875" style="197" customWidth="1"/>
    <col min="12558" max="12558" width="10.44140625" style="197" customWidth="1"/>
    <col min="12559" max="12784" width="8.88671875" style="197"/>
    <col min="12785" max="12785" width="0.5546875" style="197" customWidth="1"/>
    <col min="12786" max="12786" width="22.109375" style="197" customWidth="1"/>
    <col min="12787" max="12787" width="18.109375" style="197" customWidth="1"/>
    <col min="12788" max="12809" width="1.44140625" style="197" customWidth="1"/>
    <col min="12810" max="12810" width="8.109375" style="197" customWidth="1"/>
    <col min="12811" max="12813" width="7.5546875" style="197" customWidth="1"/>
    <col min="12814" max="12814" width="10.44140625" style="197" customWidth="1"/>
    <col min="12815" max="13040" width="8.88671875" style="197"/>
    <col min="13041" max="13041" width="0.5546875" style="197" customWidth="1"/>
    <col min="13042" max="13042" width="22.109375" style="197" customWidth="1"/>
    <col min="13043" max="13043" width="18.109375" style="197" customWidth="1"/>
    <col min="13044" max="13065" width="1.44140625" style="197" customWidth="1"/>
    <col min="13066" max="13066" width="8.109375" style="197" customWidth="1"/>
    <col min="13067" max="13069" width="7.5546875" style="197" customWidth="1"/>
    <col min="13070" max="13070" width="10.44140625" style="197" customWidth="1"/>
    <col min="13071" max="13296" width="8.88671875" style="197"/>
    <col min="13297" max="13297" width="0.5546875" style="197" customWidth="1"/>
    <col min="13298" max="13298" width="22.109375" style="197" customWidth="1"/>
    <col min="13299" max="13299" width="18.109375" style="197" customWidth="1"/>
    <col min="13300" max="13321" width="1.44140625" style="197" customWidth="1"/>
    <col min="13322" max="13322" width="8.109375" style="197" customWidth="1"/>
    <col min="13323" max="13325" width="7.5546875" style="197" customWidth="1"/>
    <col min="13326" max="13326" width="10.44140625" style="197" customWidth="1"/>
    <col min="13327" max="13552" width="8.88671875" style="197"/>
    <col min="13553" max="13553" width="0.5546875" style="197" customWidth="1"/>
    <col min="13554" max="13554" width="22.109375" style="197" customWidth="1"/>
    <col min="13555" max="13555" width="18.109375" style="197" customWidth="1"/>
    <col min="13556" max="13577" width="1.44140625" style="197" customWidth="1"/>
    <col min="13578" max="13578" width="8.109375" style="197" customWidth="1"/>
    <col min="13579" max="13581" width="7.5546875" style="197" customWidth="1"/>
    <col min="13582" max="13582" width="10.44140625" style="197" customWidth="1"/>
    <col min="13583" max="13808" width="8.88671875" style="197"/>
    <col min="13809" max="13809" width="0.5546875" style="197" customWidth="1"/>
    <col min="13810" max="13810" width="22.109375" style="197" customWidth="1"/>
    <col min="13811" max="13811" width="18.109375" style="197" customWidth="1"/>
    <col min="13812" max="13833" width="1.44140625" style="197" customWidth="1"/>
    <col min="13834" max="13834" width="8.109375" style="197" customWidth="1"/>
    <col min="13835" max="13837" width="7.5546875" style="197" customWidth="1"/>
    <col min="13838" max="13838" width="10.44140625" style="197" customWidth="1"/>
    <col min="13839" max="14064" width="8.88671875" style="197"/>
    <col min="14065" max="14065" width="0.5546875" style="197" customWidth="1"/>
    <col min="14066" max="14066" width="22.109375" style="197" customWidth="1"/>
    <col min="14067" max="14067" width="18.109375" style="197" customWidth="1"/>
    <col min="14068" max="14089" width="1.44140625" style="197" customWidth="1"/>
    <col min="14090" max="14090" width="8.109375" style="197" customWidth="1"/>
    <col min="14091" max="14093" width="7.5546875" style="197" customWidth="1"/>
    <col min="14094" max="14094" width="10.44140625" style="197" customWidth="1"/>
    <col min="14095" max="14320" width="8.88671875" style="197"/>
    <col min="14321" max="14321" width="0.5546875" style="197" customWidth="1"/>
    <col min="14322" max="14322" width="22.109375" style="197" customWidth="1"/>
    <col min="14323" max="14323" width="18.109375" style="197" customWidth="1"/>
    <col min="14324" max="14345" width="1.44140625" style="197" customWidth="1"/>
    <col min="14346" max="14346" width="8.109375" style="197" customWidth="1"/>
    <col min="14347" max="14349" width="7.5546875" style="197" customWidth="1"/>
    <col min="14350" max="14350" width="10.44140625" style="197" customWidth="1"/>
    <col min="14351" max="14576" width="8.88671875" style="197"/>
    <col min="14577" max="14577" width="0.5546875" style="197" customWidth="1"/>
    <col min="14578" max="14578" width="22.109375" style="197" customWidth="1"/>
    <col min="14579" max="14579" width="18.109375" style="197" customWidth="1"/>
    <col min="14580" max="14601" width="1.44140625" style="197" customWidth="1"/>
    <col min="14602" max="14602" width="8.109375" style="197" customWidth="1"/>
    <col min="14603" max="14605" width="7.5546875" style="197" customWidth="1"/>
    <col min="14606" max="14606" width="10.44140625" style="197" customWidth="1"/>
    <col min="14607" max="14832" width="8.88671875" style="197"/>
    <col min="14833" max="14833" width="0.5546875" style="197" customWidth="1"/>
    <col min="14834" max="14834" width="22.109375" style="197" customWidth="1"/>
    <col min="14835" max="14835" width="18.109375" style="197" customWidth="1"/>
    <col min="14836" max="14857" width="1.44140625" style="197" customWidth="1"/>
    <col min="14858" max="14858" width="8.109375" style="197" customWidth="1"/>
    <col min="14859" max="14861" width="7.5546875" style="197" customWidth="1"/>
    <col min="14862" max="14862" width="10.44140625" style="197" customWidth="1"/>
    <col min="14863" max="15088" width="8.88671875" style="197"/>
    <col min="15089" max="15089" width="0.5546875" style="197" customWidth="1"/>
    <col min="15090" max="15090" width="22.109375" style="197" customWidth="1"/>
    <col min="15091" max="15091" width="18.109375" style="197" customWidth="1"/>
    <col min="15092" max="15113" width="1.44140625" style="197" customWidth="1"/>
    <col min="15114" max="15114" width="8.109375" style="197" customWidth="1"/>
    <col min="15115" max="15117" width="7.5546875" style="197" customWidth="1"/>
    <col min="15118" max="15118" width="10.44140625" style="197" customWidth="1"/>
    <col min="15119" max="15344" width="8.88671875" style="197"/>
    <col min="15345" max="15345" width="0.5546875" style="197" customWidth="1"/>
    <col min="15346" max="15346" width="22.109375" style="197" customWidth="1"/>
    <col min="15347" max="15347" width="18.109375" style="197" customWidth="1"/>
    <col min="15348" max="15369" width="1.44140625" style="197" customWidth="1"/>
    <col min="15370" max="15370" width="8.109375" style="197" customWidth="1"/>
    <col min="15371" max="15373" width="7.5546875" style="197" customWidth="1"/>
    <col min="15374" max="15374" width="10.44140625" style="197" customWidth="1"/>
    <col min="15375" max="15600" width="8.88671875" style="197"/>
    <col min="15601" max="15601" width="0.5546875" style="197" customWidth="1"/>
    <col min="15602" max="15602" width="22.109375" style="197" customWidth="1"/>
    <col min="15603" max="15603" width="18.109375" style="197" customWidth="1"/>
    <col min="15604" max="15625" width="1.44140625" style="197" customWidth="1"/>
    <col min="15626" max="15626" width="8.109375" style="197" customWidth="1"/>
    <col min="15627" max="15629" width="7.5546875" style="197" customWidth="1"/>
    <col min="15630" max="15630" width="10.44140625" style="197" customWidth="1"/>
    <col min="15631" max="15856" width="8.88671875" style="197"/>
    <col min="15857" max="15857" width="0.5546875" style="197" customWidth="1"/>
    <col min="15858" max="15858" width="22.109375" style="197" customWidth="1"/>
    <col min="15859" max="15859" width="18.109375" style="197" customWidth="1"/>
    <col min="15860" max="15881" width="1.44140625" style="197" customWidth="1"/>
    <col min="15882" max="15882" width="8.109375" style="197" customWidth="1"/>
    <col min="15883" max="15885" width="7.5546875" style="197" customWidth="1"/>
    <col min="15886" max="15886" width="10.44140625" style="197" customWidth="1"/>
    <col min="15887" max="16112" width="8.88671875" style="197"/>
    <col min="16113" max="16113" width="0.5546875" style="197" customWidth="1"/>
    <col min="16114" max="16114" width="22.109375" style="197" customWidth="1"/>
    <col min="16115" max="16115" width="18.109375" style="197" customWidth="1"/>
    <col min="16116" max="16137" width="1.44140625" style="197" customWidth="1"/>
    <col min="16138" max="16138" width="8.109375" style="197" customWidth="1"/>
    <col min="16139" max="16141" width="7.5546875" style="197" customWidth="1"/>
    <col min="16142" max="16142" width="10.44140625" style="197" customWidth="1"/>
    <col min="16143" max="16384" width="8.88671875" style="197"/>
  </cols>
  <sheetData>
    <row r="1" spans="1:18" ht="24.95" customHeight="1">
      <c r="B1" s="1783" t="s">
        <v>647</v>
      </c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</row>
    <row r="2" spans="1:18" ht="9.9499999999999993" customHeight="1">
      <c r="B2" s="1784"/>
      <c r="C2" s="1784"/>
      <c r="D2" s="1784"/>
      <c r="E2" s="1784"/>
      <c r="F2" s="1784"/>
      <c r="G2" s="1784"/>
      <c r="H2" s="1784"/>
      <c r="I2" s="1784"/>
      <c r="J2" s="1784"/>
      <c r="K2" s="1784"/>
      <c r="L2" s="1784"/>
      <c r="M2" s="1784"/>
    </row>
    <row r="3" spans="1:18" ht="30.75" customHeight="1">
      <c r="B3" s="787" t="s">
        <v>648</v>
      </c>
      <c r="C3" s="875" t="s">
        <v>533</v>
      </c>
      <c r="D3" s="1785" t="s">
        <v>649</v>
      </c>
      <c r="E3" s="1785"/>
      <c r="F3" s="1785"/>
      <c r="G3" s="1785"/>
      <c r="H3" s="1785"/>
      <c r="I3" s="788" t="s">
        <v>650</v>
      </c>
      <c r="J3" s="875" t="s">
        <v>616</v>
      </c>
      <c r="K3" s="875" t="s">
        <v>617</v>
      </c>
      <c r="L3" s="875" t="s">
        <v>651</v>
      </c>
      <c r="M3" s="789" t="s">
        <v>628</v>
      </c>
      <c r="O3" s="239" t="s">
        <v>1387</v>
      </c>
      <c r="P3" s="215">
        <v>1000</v>
      </c>
      <c r="Q3" s="215" t="s">
        <v>1405</v>
      </c>
      <c r="R3" s="215">
        <v>1157</v>
      </c>
    </row>
    <row r="4" spans="1:18" ht="19.7" customHeight="1">
      <c r="A4" s="827" t="s">
        <v>816</v>
      </c>
      <c r="B4" s="881" t="str">
        <f>A4&amp;B5</f>
        <v>01.굴삭기(유압식 백호)</v>
      </c>
      <c r="C4" s="882"/>
      <c r="D4" s="883"/>
      <c r="E4" s="884"/>
      <c r="F4" s="884"/>
      <c r="G4" s="884"/>
      <c r="H4" s="885"/>
      <c r="I4" s="882"/>
      <c r="J4" s="882"/>
      <c r="K4" s="882"/>
      <c r="L4" s="882"/>
      <c r="M4" s="886"/>
      <c r="O4" s="239"/>
      <c r="Q4" s="215"/>
      <c r="R4" s="215"/>
    </row>
    <row r="5" spans="1:18" ht="19.7" customHeight="1">
      <c r="A5" s="197">
        <v>1</v>
      </c>
      <c r="B5" s="828" t="s">
        <v>1377</v>
      </c>
      <c r="C5" s="887" t="s">
        <v>1406</v>
      </c>
      <c r="D5" s="829"/>
      <c r="E5" s="830"/>
      <c r="F5" s="830"/>
      <c r="G5" s="830"/>
      <c r="H5" s="831"/>
      <c r="I5" s="832" t="e">
        <f>TEXT(J5+K5+L5,"#,##0")</f>
        <v>#REF!</v>
      </c>
      <c r="J5" s="832" t="e">
        <f>TRUNC(J6+J7+J8+J9)</f>
        <v>#REF!</v>
      </c>
      <c r="K5" s="832" t="e">
        <f>TRUNC(K6+K7+K8+K9)</f>
        <v>#REF!</v>
      </c>
      <c r="L5" s="832">
        <f>TRUNC(L6+L7+L8+L9)</f>
        <v>12510</v>
      </c>
      <c r="M5" s="888" t="s">
        <v>1280</v>
      </c>
    </row>
    <row r="6" spans="1:18" ht="19.7" customHeight="1">
      <c r="B6" s="833" t="s">
        <v>1374</v>
      </c>
      <c r="C6" s="834"/>
      <c r="D6" s="829">
        <f>$P$3*O6</f>
        <v>60000000</v>
      </c>
      <c r="E6" s="830" t="s">
        <v>1407</v>
      </c>
      <c r="F6" s="830">
        <v>2085</v>
      </c>
      <c r="G6" s="835" t="s">
        <v>652</v>
      </c>
      <c r="H6" s="831" t="s">
        <v>653</v>
      </c>
      <c r="I6" s="836"/>
      <c r="J6" s="836"/>
      <c r="K6" s="836"/>
      <c r="L6" s="836">
        <f>TRUNC(D6*F6*0.0000001,1)</f>
        <v>12510</v>
      </c>
      <c r="M6" s="837"/>
      <c r="O6" s="215">
        <v>60000</v>
      </c>
    </row>
    <row r="7" spans="1:18" ht="19.7" customHeight="1">
      <c r="B7" s="833" t="s">
        <v>661</v>
      </c>
      <c r="C7" s="834" t="s">
        <v>655</v>
      </c>
      <c r="D7" s="838">
        <v>5</v>
      </c>
      <c r="E7" s="830" t="s">
        <v>1408</v>
      </c>
      <c r="F7" s="830" t="e">
        <f>VLOOKUP($C7,토목기계경비적용기준!H:K,4,FALSE)</f>
        <v>#REF!</v>
      </c>
      <c r="G7" s="835"/>
      <c r="H7" s="831"/>
      <c r="I7" s="836"/>
      <c r="J7" s="836"/>
      <c r="K7" s="836" t="e">
        <f>TRUNC(D7*F7,1)</f>
        <v>#REF!</v>
      </c>
      <c r="L7" s="839"/>
      <c r="M7" s="837"/>
    </row>
    <row r="8" spans="1:18" ht="19.7" customHeight="1">
      <c r="B8" s="833" t="s">
        <v>659</v>
      </c>
      <c r="C8" s="834" t="s">
        <v>656</v>
      </c>
      <c r="D8" s="838">
        <v>21</v>
      </c>
      <c r="E8" s="830" t="s">
        <v>1282</v>
      </c>
      <c r="F8" s="830" t="e">
        <f>K7</f>
        <v>#REF!</v>
      </c>
      <c r="G8" s="835"/>
      <c r="H8" s="831"/>
      <c r="I8" s="836"/>
      <c r="J8" s="836"/>
      <c r="K8" s="836" t="e">
        <f>TRUNC(D8/100*F8,1)</f>
        <v>#REF!</v>
      </c>
      <c r="L8" s="839"/>
      <c r="M8" s="837"/>
    </row>
    <row r="9" spans="1:18" ht="19.7" customHeight="1">
      <c r="B9" s="833" t="s">
        <v>566</v>
      </c>
      <c r="C9" s="834"/>
      <c r="D9" s="840">
        <v>1</v>
      </c>
      <c r="E9" s="830" t="s">
        <v>1409</v>
      </c>
      <c r="F9" s="830" t="e">
        <f>VLOOKUP(B9,#REF!,2,FALSE)</f>
        <v>#REF!</v>
      </c>
      <c r="G9" s="835" t="s">
        <v>652</v>
      </c>
      <c r="H9" s="831" t="s">
        <v>1376</v>
      </c>
      <c r="I9" s="836"/>
      <c r="J9" s="836" t="e">
        <f>TRUNC(D9*F9*토목기계경비적용기준!$E$19,1)</f>
        <v>#REF!</v>
      </c>
      <c r="K9" s="839"/>
      <c r="L9" s="839"/>
      <c r="M9" s="841"/>
    </row>
    <row r="10" spans="1:18" ht="19.7" customHeight="1">
      <c r="B10" s="833"/>
      <c r="C10" s="834"/>
      <c r="D10" s="840"/>
      <c r="E10" s="830"/>
      <c r="F10" s="830"/>
      <c r="G10" s="835"/>
      <c r="H10" s="831"/>
      <c r="I10" s="836"/>
      <c r="J10" s="836"/>
      <c r="K10" s="839"/>
      <c r="L10" s="839"/>
      <c r="M10" s="841"/>
    </row>
    <row r="11" spans="1:18" ht="19.7" customHeight="1">
      <c r="A11" s="827" t="s">
        <v>1388</v>
      </c>
      <c r="B11" s="828" t="str">
        <f>A11&amp;B12</f>
        <v>02.굴삭기(유압식 백호)</v>
      </c>
      <c r="C11" s="842"/>
      <c r="D11" s="889"/>
      <c r="E11" s="890"/>
      <c r="F11" s="890"/>
      <c r="G11" s="890"/>
      <c r="H11" s="891"/>
      <c r="I11" s="842"/>
      <c r="J11" s="842"/>
      <c r="K11" s="842"/>
      <c r="L11" s="842"/>
      <c r="M11" s="892"/>
      <c r="O11" s="239"/>
      <c r="Q11" s="215"/>
      <c r="R11" s="215"/>
    </row>
    <row r="12" spans="1:18" ht="19.7" customHeight="1">
      <c r="A12" s="197">
        <v>2</v>
      </c>
      <c r="B12" s="828" t="s">
        <v>1377</v>
      </c>
      <c r="C12" s="887" t="s">
        <v>1378</v>
      </c>
      <c r="D12" s="829"/>
      <c r="E12" s="830"/>
      <c r="F12" s="830"/>
      <c r="G12" s="830"/>
      <c r="H12" s="831"/>
      <c r="I12" s="832" t="e">
        <f>TEXT(J12+K12+L12,"#,##0")</f>
        <v>#REF!</v>
      </c>
      <c r="J12" s="832" t="e">
        <f>TRUNC(J13+J14+J15+J16)</f>
        <v>#REF!</v>
      </c>
      <c r="K12" s="832" t="e">
        <f>TRUNC(K13+K14+K15+K16)</f>
        <v>#REF!</v>
      </c>
      <c r="L12" s="832">
        <f>TRUNC(L13+L14+L15+L16)</f>
        <v>15429</v>
      </c>
      <c r="M12" s="841" t="s">
        <v>1389</v>
      </c>
    </row>
    <row r="13" spans="1:18" ht="19.7" customHeight="1">
      <c r="B13" s="833" t="s">
        <v>658</v>
      </c>
      <c r="C13" s="834"/>
      <c r="D13" s="829">
        <f>$P$3*O13</f>
        <v>74000000</v>
      </c>
      <c r="E13" s="830" t="s">
        <v>1281</v>
      </c>
      <c r="F13" s="830">
        <v>2085</v>
      </c>
      <c r="G13" s="835" t="s">
        <v>652</v>
      </c>
      <c r="H13" s="831" t="s">
        <v>653</v>
      </c>
      <c r="I13" s="836"/>
      <c r="J13" s="836"/>
      <c r="K13" s="836"/>
      <c r="L13" s="836">
        <f>TRUNC(D13*F13*0.0000001,1)</f>
        <v>15429</v>
      </c>
      <c r="M13" s="837"/>
      <c r="O13" s="215">
        <v>74000</v>
      </c>
    </row>
    <row r="14" spans="1:18" ht="19.7" customHeight="1">
      <c r="B14" s="833" t="s">
        <v>661</v>
      </c>
      <c r="C14" s="834" t="s">
        <v>655</v>
      </c>
      <c r="D14" s="838">
        <v>9.9</v>
      </c>
      <c r="E14" s="830" t="s">
        <v>1375</v>
      </c>
      <c r="F14" s="830" t="e">
        <f>VLOOKUP($C14,토목기계경비적용기준!H:K,4,FALSE)</f>
        <v>#REF!</v>
      </c>
      <c r="G14" s="835"/>
      <c r="H14" s="831"/>
      <c r="I14" s="836"/>
      <c r="J14" s="836"/>
      <c r="K14" s="836" t="e">
        <f>TRUNC(D14*F14,1)</f>
        <v>#REF!</v>
      </c>
      <c r="L14" s="839"/>
      <c r="M14" s="837"/>
    </row>
    <row r="15" spans="1:18" ht="19.7" customHeight="1">
      <c r="B15" s="833" t="s">
        <v>659</v>
      </c>
      <c r="C15" s="834" t="s">
        <v>656</v>
      </c>
      <c r="D15" s="838">
        <v>22</v>
      </c>
      <c r="E15" s="830" t="s">
        <v>1410</v>
      </c>
      <c r="F15" s="830" t="e">
        <f>K14</f>
        <v>#REF!</v>
      </c>
      <c r="G15" s="835"/>
      <c r="H15" s="831"/>
      <c r="I15" s="836"/>
      <c r="J15" s="836"/>
      <c r="K15" s="836" t="e">
        <f>TRUNC(D15/100*F15,1)</f>
        <v>#REF!</v>
      </c>
      <c r="L15" s="839"/>
      <c r="M15" s="837"/>
    </row>
    <row r="16" spans="1:18" ht="19.7" customHeight="1">
      <c r="B16" s="833" t="s">
        <v>566</v>
      </c>
      <c r="C16" s="834"/>
      <c r="D16" s="840">
        <v>1</v>
      </c>
      <c r="E16" s="830" t="s">
        <v>1287</v>
      </c>
      <c r="F16" s="830" t="e">
        <f>VLOOKUP(B16,#REF!,2,FALSE)</f>
        <v>#REF!</v>
      </c>
      <c r="G16" s="835" t="s">
        <v>652</v>
      </c>
      <c r="H16" s="831" t="s">
        <v>639</v>
      </c>
      <c r="I16" s="836"/>
      <c r="J16" s="836" t="e">
        <f>TRUNC(D16*F16*토목기계경비적용기준!$E$19,1)</f>
        <v>#REF!</v>
      </c>
      <c r="K16" s="839"/>
      <c r="L16" s="839"/>
      <c r="M16" s="841"/>
    </row>
    <row r="17" spans="1:18" ht="19.7" customHeight="1">
      <c r="B17" s="833"/>
      <c r="C17" s="834"/>
      <c r="D17" s="840"/>
      <c r="E17" s="830"/>
      <c r="F17" s="830"/>
      <c r="G17" s="835"/>
      <c r="H17" s="831"/>
      <c r="I17" s="836"/>
      <c r="J17" s="836"/>
      <c r="K17" s="839"/>
      <c r="L17" s="839"/>
      <c r="M17" s="841"/>
    </row>
    <row r="18" spans="1:18" ht="19.7" customHeight="1">
      <c r="A18" s="827" t="s">
        <v>817</v>
      </c>
      <c r="B18" s="828" t="str">
        <f>A18&amp;B19</f>
        <v>03.굴삭기(유압식 백호)</v>
      </c>
      <c r="C18" s="842"/>
      <c r="D18" s="889"/>
      <c r="E18" s="890"/>
      <c r="F18" s="890"/>
      <c r="G18" s="890"/>
      <c r="H18" s="891"/>
      <c r="I18" s="842"/>
      <c r="J18" s="842"/>
      <c r="K18" s="842"/>
      <c r="L18" s="842"/>
      <c r="M18" s="892"/>
      <c r="O18" s="239"/>
      <c r="Q18" s="215"/>
      <c r="R18" s="215"/>
    </row>
    <row r="19" spans="1:18" ht="19.7" customHeight="1">
      <c r="A19" s="197">
        <v>3</v>
      </c>
      <c r="B19" s="828" t="s">
        <v>1411</v>
      </c>
      <c r="C19" s="887" t="s">
        <v>1412</v>
      </c>
      <c r="D19" s="829"/>
      <c r="E19" s="830"/>
      <c r="F19" s="830"/>
      <c r="G19" s="830"/>
      <c r="H19" s="831"/>
      <c r="I19" s="832" t="e">
        <f>TEXT(J19+K19+L19,"#,##0")</f>
        <v>#REF!</v>
      </c>
      <c r="J19" s="832" t="e">
        <f>TRUNC(J20+J21+J22+J23)</f>
        <v>#REF!</v>
      </c>
      <c r="K19" s="832" t="e">
        <f>TRUNC(K20+K21+K22+K23)</f>
        <v>#REF!</v>
      </c>
      <c r="L19" s="832">
        <f>TRUNC(L20+L21+L22+L23)</f>
        <v>20718</v>
      </c>
      <c r="M19" s="841" t="s">
        <v>1379</v>
      </c>
    </row>
    <row r="20" spans="1:18" ht="19.7" customHeight="1">
      <c r="B20" s="833" t="s">
        <v>658</v>
      </c>
      <c r="C20" s="834"/>
      <c r="D20" s="829">
        <f>$P$3*O20</f>
        <v>99370000</v>
      </c>
      <c r="E20" s="830" t="s">
        <v>1281</v>
      </c>
      <c r="F20" s="830">
        <v>2085</v>
      </c>
      <c r="G20" s="835" t="s">
        <v>652</v>
      </c>
      <c r="H20" s="831" t="s">
        <v>653</v>
      </c>
      <c r="I20" s="836"/>
      <c r="J20" s="836"/>
      <c r="K20" s="836"/>
      <c r="L20" s="836">
        <f>TRUNC(D20*F20*0.0000001,1)</f>
        <v>20718.599999999999</v>
      </c>
      <c r="M20" s="837"/>
      <c r="O20" s="215">
        <v>99370</v>
      </c>
    </row>
    <row r="21" spans="1:18" ht="19.7" customHeight="1">
      <c r="B21" s="833" t="s">
        <v>661</v>
      </c>
      <c r="C21" s="834" t="s">
        <v>655</v>
      </c>
      <c r="D21" s="838">
        <v>10.199999999999999</v>
      </c>
      <c r="E21" s="830" t="s">
        <v>1375</v>
      </c>
      <c r="F21" s="830" t="e">
        <f>VLOOKUP($C21,토목기계경비적용기준!H:K,4,FALSE)</f>
        <v>#REF!</v>
      </c>
      <c r="G21" s="835"/>
      <c r="H21" s="831"/>
      <c r="I21" s="836"/>
      <c r="J21" s="836"/>
      <c r="K21" s="836" t="e">
        <f>TRUNC(D21*F21,1)</f>
        <v>#REF!</v>
      </c>
      <c r="L21" s="839"/>
      <c r="M21" s="837"/>
    </row>
    <row r="22" spans="1:18" ht="19.7" customHeight="1">
      <c r="B22" s="833" t="s">
        <v>659</v>
      </c>
      <c r="C22" s="834" t="s">
        <v>656</v>
      </c>
      <c r="D22" s="838">
        <v>22</v>
      </c>
      <c r="E22" s="830" t="s">
        <v>1282</v>
      </c>
      <c r="F22" s="830" t="e">
        <f>K21</f>
        <v>#REF!</v>
      </c>
      <c r="G22" s="835"/>
      <c r="H22" s="831"/>
      <c r="I22" s="836"/>
      <c r="J22" s="836"/>
      <c r="K22" s="836" t="e">
        <f>TRUNC(D22/100*F22,1)</f>
        <v>#REF!</v>
      </c>
      <c r="L22" s="839"/>
      <c r="M22" s="837"/>
    </row>
    <row r="23" spans="1:18" ht="19.7" customHeight="1">
      <c r="B23" s="833" t="s">
        <v>566</v>
      </c>
      <c r="C23" s="834"/>
      <c r="D23" s="840">
        <v>1</v>
      </c>
      <c r="E23" s="830" t="s">
        <v>1287</v>
      </c>
      <c r="F23" s="830" t="e">
        <f>VLOOKUP(B23,#REF!,2,FALSE)</f>
        <v>#REF!</v>
      </c>
      <c r="G23" s="835" t="s">
        <v>652</v>
      </c>
      <c r="H23" s="831" t="s">
        <v>639</v>
      </c>
      <c r="I23" s="836"/>
      <c r="J23" s="836" t="e">
        <f>TRUNC(D23*F23*토목기계경비적용기준!$E$19,1)</f>
        <v>#REF!</v>
      </c>
      <c r="K23" s="839"/>
      <c r="L23" s="839"/>
      <c r="M23" s="841"/>
    </row>
    <row r="24" spans="1:18" ht="19.7" customHeight="1">
      <c r="B24" s="833"/>
      <c r="C24" s="834"/>
      <c r="D24" s="840"/>
      <c r="E24" s="830"/>
      <c r="F24" s="830"/>
      <c r="G24" s="835"/>
      <c r="H24" s="831"/>
      <c r="I24" s="836"/>
      <c r="J24" s="836"/>
      <c r="K24" s="839"/>
      <c r="L24" s="839"/>
      <c r="M24" s="841"/>
    </row>
    <row r="25" spans="1:18" ht="19.7" customHeight="1">
      <c r="B25" s="833"/>
      <c r="C25" s="834"/>
      <c r="D25" s="840"/>
      <c r="E25" s="830"/>
      <c r="F25" s="830"/>
      <c r="G25" s="835"/>
      <c r="H25" s="831"/>
      <c r="I25" s="836"/>
      <c r="J25" s="836"/>
      <c r="K25" s="839"/>
      <c r="L25" s="839"/>
      <c r="M25" s="841"/>
    </row>
    <row r="26" spans="1:18" ht="19.7" customHeight="1">
      <c r="B26" s="833"/>
      <c r="C26" s="834"/>
      <c r="D26" s="840"/>
      <c r="E26" s="830"/>
      <c r="F26" s="830"/>
      <c r="G26" s="835"/>
      <c r="H26" s="831"/>
      <c r="I26" s="836"/>
      <c r="J26" s="836"/>
      <c r="K26" s="839"/>
      <c r="L26" s="839"/>
      <c r="M26" s="841"/>
    </row>
    <row r="27" spans="1:18" ht="19.7" customHeight="1">
      <c r="B27" s="833"/>
      <c r="C27" s="834"/>
      <c r="D27" s="840"/>
      <c r="E27" s="830"/>
      <c r="F27" s="830"/>
      <c r="G27" s="835"/>
      <c r="H27" s="831"/>
      <c r="I27" s="836"/>
      <c r="J27" s="836"/>
      <c r="K27" s="839"/>
      <c r="L27" s="839"/>
      <c r="M27" s="841"/>
    </row>
    <row r="28" spans="1:18" ht="19.7" customHeight="1">
      <c r="B28" s="893"/>
      <c r="C28" s="894"/>
      <c r="D28" s="895"/>
      <c r="E28" s="896"/>
      <c r="F28" s="896"/>
      <c r="G28" s="897"/>
      <c r="H28" s="898"/>
      <c r="I28" s="899"/>
      <c r="J28" s="899"/>
      <c r="K28" s="900"/>
      <c r="L28" s="900"/>
      <c r="M28" s="901"/>
    </row>
    <row r="29" spans="1:18" ht="19.7" customHeight="1">
      <c r="A29" s="827" t="s">
        <v>1380</v>
      </c>
      <c r="B29" s="881" t="str">
        <f>A29&amp;B30</f>
        <v>04.굴삭기(유압식 백호)</v>
      </c>
      <c r="C29" s="882"/>
      <c r="D29" s="883"/>
      <c r="E29" s="884"/>
      <c r="F29" s="884"/>
      <c r="G29" s="884"/>
      <c r="H29" s="885"/>
      <c r="I29" s="882"/>
      <c r="J29" s="882"/>
      <c r="K29" s="882"/>
      <c r="L29" s="882"/>
      <c r="M29" s="886"/>
      <c r="O29" s="239"/>
      <c r="Q29" s="215"/>
      <c r="R29" s="215"/>
    </row>
    <row r="30" spans="1:18" ht="19.7" customHeight="1">
      <c r="A30" s="197">
        <v>4</v>
      </c>
      <c r="B30" s="828" t="s">
        <v>1377</v>
      </c>
      <c r="C30" s="887" t="s">
        <v>530</v>
      </c>
      <c r="D30" s="829"/>
      <c r="E30" s="830"/>
      <c r="F30" s="830"/>
      <c r="G30" s="830"/>
      <c r="H30" s="831"/>
      <c r="I30" s="832" t="e">
        <f>TEXT(J30+K30+L30,"#,##0")</f>
        <v>#REF!</v>
      </c>
      <c r="J30" s="832" t="e">
        <f>TRUNC(J31+J32+J33+J34)</f>
        <v>#REF!</v>
      </c>
      <c r="K30" s="832" t="e">
        <f>TRUNC(K31+K32+K33+K34)</f>
        <v>#REF!</v>
      </c>
      <c r="L30" s="832">
        <f>TRUNC(L31+L32+L33+L34)</f>
        <v>21780</v>
      </c>
      <c r="M30" s="841" t="s">
        <v>1381</v>
      </c>
    </row>
    <row r="31" spans="1:18" ht="19.7" customHeight="1">
      <c r="B31" s="833" t="s">
        <v>1374</v>
      </c>
      <c r="C31" s="834"/>
      <c r="D31" s="829">
        <f>$P$3*O31</f>
        <v>104465000</v>
      </c>
      <c r="E31" s="830" t="s">
        <v>1281</v>
      </c>
      <c r="F31" s="830">
        <v>2085</v>
      </c>
      <c r="G31" s="835" t="s">
        <v>652</v>
      </c>
      <c r="H31" s="831" t="s">
        <v>653</v>
      </c>
      <c r="I31" s="836"/>
      <c r="J31" s="836"/>
      <c r="K31" s="836"/>
      <c r="L31" s="836">
        <f>TRUNC(D31*F31*0.0000001,1)</f>
        <v>21780.9</v>
      </c>
      <c r="M31" s="837"/>
      <c r="O31" s="215">
        <v>104465</v>
      </c>
    </row>
    <row r="32" spans="1:18" ht="19.7" customHeight="1">
      <c r="B32" s="833" t="s">
        <v>661</v>
      </c>
      <c r="C32" s="834" t="s">
        <v>655</v>
      </c>
      <c r="D32" s="838">
        <v>11.6</v>
      </c>
      <c r="E32" s="830" t="s">
        <v>1375</v>
      </c>
      <c r="F32" s="830" t="e">
        <f>VLOOKUP($C32,토목기계경비적용기준!H:K,4,FALSE)</f>
        <v>#REF!</v>
      </c>
      <c r="G32" s="835"/>
      <c r="H32" s="831"/>
      <c r="I32" s="836"/>
      <c r="J32" s="836"/>
      <c r="K32" s="836" t="e">
        <f>TRUNC(D32*F32,1)</f>
        <v>#REF!</v>
      </c>
      <c r="L32" s="839"/>
      <c r="M32" s="837"/>
    </row>
    <row r="33" spans="1:18" ht="19.7" customHeight="1">
      <c r="B33" s="833" t="s">
        <v>659</v>
      </c>
      <c r="C33" s="834" t="s">
        <v>656</v>
      </c>
      <c r="D33" s="838">
        <v>22</v>
      </c>
      <c r="E33" s="830" t="s">
        <v>1282</v>
      </c>
      <c r="F33" s="830" t="e">
        <f>K32</f>
        <v>#REF!</v>
      </c>
      <c r="G33" s="835"/>
      <c r="H33" s="831"/>
      <c r="I33" s="836"/>
      <c r="J33" s="836"/>
      <c r="K33" s="836" t="e">
        <f>TRUNC(D33/100*F33,1)</f>
        <v>#REF!</v>
      </c>
      <c r="L33" s="839"/>
      <c r="M33" s="837"/>
    </row>
    <row r="34" spans="1:18" ht="19.7" customHeight="1">
      <c r="B34" s="833" t="s">
        <v>566</v>
      </c>
      <c r="C34" s="834"/>
      <c r="D34" s="840">
        <v>1</v>
      </c>
      <c r="E34" s="830" t="s">
        <v>1287</v>
      </c>
      <c r="F34" s="830" t="e">
        <f>VLOOKUP(B34,#REF!,2,FALSE)</f>
        <v>#REF!</v>
      </c>
      <c r="G34" s="835" t="s">
        <v>652</v>
      </c>
      <c r="H34" s="831" t="s">
        <v>639</v>
      </c>
      <c r="I34" s="836"/>
      <c r="J34" s="836" t="e">
        <f>TRUNC(D34*F34*토목기계경비적용기준!$E$19,1)</f>
        <v>#REF!</v>
      </c>
      <c r="K34" s="839"/>
      <c r="L34" s="839"/>
      <c r="M34" s="841"/>
    </row>
    <row r="35" spans="1:18" ht="19.7" customHeight="1">
      <c r="B35" s="833"/>
      <c r="C35" s="834"/>
      <c r="D35" s="840"/>
      <c r="E35" s="830"/>
      <c r="F35" s="830"/>
      <c r="G35" s="835"/>
      <c r="H35" s="831"/>
      <c r="I35" s="836"/>
      <c r="J35" s="836"/>
      <c r="K35" s="839"/>
      <c r="L35" s="839"/>
      <c r="M35" s="841"/>
    </row>
    <row r="36" spans="1:18" ht="19.7" customHeight="1">
      <c r="A36" s="827" t="s">
        <v>1382</v>
      </c>
      <c r="B36" s="828" t="str">
        <f>A36&amp;B37</f>
        <v>05.굴삭기(타이어형)</v>
      </c>
      <c r="C36" s="842"/>
      <c r="D36" s="889"/>
      <c r="E36" s="890"/>
      <c r="F36" s="890"/>
      <c r="G36" s="890"/>
      <c r="H36" s="891"/>
      <c r="I36" s="842"/>
      <c r="J36" s="842"/>
      <c r="K36" s="842"/>
      <c r="L36" s="842"/>
      <c r="M36" s="892"/>
      <c r="O36" s="239"/>
      <c r="Q36" s="215"/>
      <c r="R36" s="215"/>
    </row>
    <row r="37" spans="1:18" ht="19.7" customHeight="1">
      <c r="A37" s="197">
        <v>5</v>
      </c>
      <c r="B37" s="828" t="s">
        <v>1383</v>
      </c>
      <c r="C37" s="887" t="s">
        <v>801</v>
      </c>
      <c r="D37" s="829"/>
      <c r="E37" s="830"/>
      <c r="F37" s="830"/>
      <c r="G37" s="830"/>
      <c r="H37" s="831"/>
      <c r="I37" s="832" t="e">
        <f>TEXT(J37+K37+L37,"#,##0")</f>
        <v>#REF!</v>
      </c>
      <c r="J37" s="832" t="e">
        <f>TRUNC(J38+J39+J40+J41)</f>
        <v>#REF!</v>
      </c>
      <c r="K37" s="832" t="e">
        <f>TRUNC(K38+K39+K40+K41)</f>
        <v>#REF!</v>
      </c>
      <c r="L37" s="832">
        <f>TRUNC(L38+L39+L40+L41)</f>
        <v>24238</v>
      </c>
      <c r="M37" s="841" t="s">
        <v>1384</v>
      </c>
    </row>
    <row r="38" spans="1:18" ht="19.7" customHeight="1">
      <c r="B38" s="833" t="s">
        <v>658</v>
      </c>
      <c r="C38" s="834"/>
      <c r="D38" s="829">
        <f>$P$3*O38</f>
        <v>106357000</v>
      </c>
      <c r="E38" s="830" t="s">
        <v>1413</v>
      </c>
      <c r="F38" s="830">
        <v>2279</v>
      </c>
      <c r="G38" s="835" t="s">
        <v>652</v>
      </c>
      <c r="H38" s="831" t="s">
        <v>653</v>
      </c>
      <c r="I38" s="836"/>
      <c r="J38" s="836"/>
      <c r="K38" s="836"/>
      <c r="L38" s="836">
        <f>TRUNC(D38*F38*0.0000001,1)</f>
        <v>24238.7</v>
      </c>
      <c r="M38" s="837"/>
      <c r="O38" s="215">
        <v>106357</v>
      </c>
    </row>
    <row r="39" spans="1:18" ht="19.7" customHeight="1">
      <c r="B39" s="833" t="s">
        <v>654</v>
      </c>
      <c r="C39" s="834" t="s">
        <v>655</v>
      </c>
      <c r="D39" s="838">
        <v>11.6</v>
      </c>
      <c r="E39" s="830" t="s">
        <v>1414</v>
      </c>
      <c r="F39" s="830" t="e">
        <f>VLOOKUP($C39,토목기계경비적용기준!H:K,4,FALSE)</f>
        <v>#REF!</v>
      </c>
      <c r="G39" s="835"/>
      <c r="H39" s="831"/>
      <c r="I39" s="836"/>
      <c r="J39" s="836"/>
      <c r="K39" s="836" t="e">
        <f>TRUNC(D39*F39,1)</f>
        <v>#REF!</v>
      </c>
      <c r="L39" s="839"/>
      <c r="M39" s="837"/>
    </row>
    <row r="40" spans="1:18" ht="19.7" customHeight="1">
      <c r="B40" s="833" t="s">
        <v>659</v>
      </c>
      <c r="C40" s="834" t="s">
        <v>656</v>
      </c>
      <c r="D40" s="838">
        <v>24</v>
      </c>
      <c r="E40" s="830" t="s">
        <v>1415</v>
      </c>
      <c r="F40" s="830" t="e">
        <f>K39</f>
        <v>#REF!</v>
      </c>
      <c r="G40" s="835"/>
      <c r="H40" s="831"/>
      <c r="I40" s="836"/>
      <c r="J40" s="836"/>
      <c r="K40" s="836" t="e">
        <f>TRUNC(D40/100*F40,1)</f>
        <v>#REF!</v>
      </c>
      <c r="L40" s="839"/>
      <c r="M40" s="837"/>
    </row>
    <row r="41" spans="1:18" ht="19.7" customHeight="1">
      <c r="B41" s="833" t="s">
        <v>566</v>
      </c>
      <c r="C41" s="834"/>
      <c r="D41" s="840">
        <v>1</v>
      </c>
      <c r="E41" s="830" t="s">
        <v>1416</v>
      </c>
      <c r="F41" s="830" t="e">
        <f>VLOOKUP(B41,#REF!,2,FALSE)</f>
        <v>#REF!</v>
      </c>
      <c r="G41" s="835" t="s">
        <v>652</v>
      </c>
      <c r="H41" s="831" t="s">
        <v>639</v>
      </c>
      <c r="I41" s="836"/>
      <c r="J41" s="836" t="e">
        <f>TRUNC(D41*F41*토목기계경비적용기준!$E$19,1)</f>
        <v>#REF!</v>
      </c>
      <c r="K41" s="839"/>
      <c r="L41" s="839"/>
      <c r="M41" s="841"/>
    </row>
    <row r="42" spans="1:18" ht="19.7" customHeight="1">
      <c r="B42" s="833"/>
      <c r="C42" s="834"/>
      <c r="D42" s="840"/>
      <c r="E42" s="830"/>
      <c r="F42" s="830"/>
      <c r="G42" s="835"/>
      <c r="H42" s="831"/>
      <c r="I42" s="836"/>
      <c r="J42" s="836"/>
      <c r="K42" s="839"/>
      <c r="L42" s="839"/>
      <c r="M42" s="841"/>
    </row>
    <row r="43" spans="1:18" ht="19.7" customHeight="1">
      <c r="A43" s="827" t="s">
        <v>1417</v>
      </c>
      <c r="B43" s="828" t="str">
        <f>A43&amp;B44</f>
        <v>06.덤프트럭</v>
      </c>
      <c r="C43" s="842"/>
      <c r="D43" s="889"/>
      <c r="E43" s="890"/>
      <c r="F43" s="890"/>
      <c r="G43" s="890"/>
      <c r="H43" s="891"/>
      <c r="I43" s="842"/>
      <c r="J43" s="842"/>
      <c r="K43" s="842"/>
      <c r="L43" s="842"/>
      <c r="M43" s="892"/>
      <c r="O43" s="239"/>
      <c r="Q43" s="215"/>
      <c r="R43" s="215"/>
    </row>
    <row r="44" spans="1:18" ht="19.7" customHeight="1">
      <c r="A44" s="197">
        <v>6</v>
      </c>
      <c r="B44" s="828" t="s">
        <v>1418</v>
      </c>
      <c r="C44" s="887" t="s">
        <v>802</v>
      </c>
      <c r="D44" s="829"/>
      <c r="E44" s="830"/>
      <c r="F44" s="830"/>
      <c r="G44" s="830"/>
      <c r="H44" s="831"/>
      <c r="I44" s="832" t="e">
        <f>TEXT(J44+K44+L44,"#,##0")</f>
        <v>#REF!</v>
      </c>
      <c r="J44" s="832" t="e">
        <f>TRUNC(J45+J46+J47+J48)</f>
        <v>#REF!</v>
      </c>
      <c r="K44" s="832" t="e">
        <f>TRUNC(K45+K46+K47+K48)</f>
        <v>#REF!</v>
      </c>
      <c r="L44" s="832">
        <f>TRUNC(L45+L46+L47+L48)</f>
        <v>5887</v>
      </c>
      <c r="M44" s="841" t="s">
        <v>1419</v>
      </c>
    </row>
    <row r="45" spans="1:18" ht="19.7" customHeight="1">
      <c r="B45" s="833" t="s">
        <v>755</v>
      </c>
      <c r="C45" s="834"/>
      <c r="D45" s="829">
        <f>$P$3*O45</f>
        <v>19844000</v>
      </c>
      <c r="E45" s="830" t="s">
        <v>1413</v>
      </c>
      <c r="F45" s="830">
        <v>2967</v>
      </c>
      <c r="G45" s="835" t="s">
        <v>652</v>
      </c>
      <c r="H45" s="831" t="s">
        <v>653</v>
      </c>
      <c r="I45" s="836"/>
      <c r="J45" s="836"/>
      <c r="K45" s="836"/>
      <c r="L45" s="836">
        <f>TRUNC(D45*F45*0.0000001,1)</f>
        <v>5887.7</v>
      </c>
      <c r="M45" s="837"/>
      <c r="O45" s="215">
        <v>19844</v>
      </c>
    </row>
    <row r="46" spans="1:18" ht="19.7" customHeight="1">
      <c r="B46" s="833" t="s">
        <v>654</v>
      </c>
      <c r="C46" s="834" t="s">
        <v>1420</v>
      </c>
      <c r="D46" s="838">
        <v>2.9</v>
      </c>
      <c r="E46" s="830" t="s">
        <v>1414</v>
      </c>
      <c r="F46" s="830" t="e">
        <f>VLOOKUP($C46,토목기계경비적용기준!H:K,4,FALSE)</f>
        <v>#REF!</v>
      </c>
      <c r="G46" s="835"/>
      <c r="H46" s="831"/>
      <c r="I46" s="836"/>
      <c r="J46" s="836"/>
      <c r="K46" s="836" t="e">
        <f>TRUNC(D46*F46,1)</f>
        <v>#REF!</v>
      </c>
      <c r="L46" s="839"/>
      <c r="M46" s="837"/>
    </row>
    <row r="47" spans="1:18" ht="19.7" customHeight="1">
      <c r="B47" s="833" t="s">
        <v>756</v>
      </c>
      <c r="C47" s="834" t="s">
        <v>656</v>
      </c>
      <c r="D47" s="838">
        <v>38</v>
      </c>
      <c r="E47" s="830" t="s">
        <v>1415</v>
      </c>
      <c r="F47" s="830" t="e">
        <f>K46</f>
        <v>#REF!</v>
      </c>
      <c r="G47" s="835"/>
      <c r="H47" s="831"/>
      <c r="I47" s="836"/>
      <c r="J47" s="836"/>
      <c r="K47" s="836" t="e">
        <f>TRUNC(D47/100*F47,1)</f>
        <v>#REF!</v>
      </c>
      <c r="L47" s="839"/>
      <c r="M47" s="837"/>
    </row>
    <row r="48" spans="1:18" ht="19.7" customHeight="1">
      <c r="B48" s="833" t="s">
        <v>567</v>
      </c>
      <c r="C48" s="834"/>
      <c r="D48" s="840">
        <v>1</v>
      </c>
      <c r="E48" s="830" t="s">
        <v>1416</v>
      </c>
      <c r="F48" s="830" t="e">
        <f>VLOOKUP(B48,#REF!,2,FALSE)</f>
        <v>#REF!</v>
      </c>
      <c r="G48" s="835" t="s">
        <v>652</v>
      </c>
      <c r="H48" s="831" t="s">
        <v>639</v>
      </c>
      <c r="I48" s="836"/>
      <c r="J48" s="836" t="e">
        <f>TRUNC(D48*F48*토목기계경비적용기준!$E$19,1)</f>
        <v>#REF!</v>
      </c>
      <c r="K48" s="839"/>
      <c r="L48" s="839"/>
      <c r="M48" s="841"/>
    </row>
    <row r="49" spans="1:18" ht="19.7" customHeight="1">
      <c r="B49" s="833"/>
      <c r="C49" s="834"/>
      <c r="D49" s="840"/>
      <c r="E49" s="830"/>
      <c r="F49" s="830"/>
      <c r="G49" s="835"/>
      <c r="H49" s="831"/>
      <c r="I49" s="836"/>
      <c r="J49" s="836"/>
      <c r="K49" s="839"/>
      <c r="L49" s="839"/>
      <c r="M49" s="841"/>
    </row>
    <row r="50" spans="1:18" ht="19.7" customHeight="1">
      <c r="B50" s="833"/>
      <c r="C50" s="834"/>
      <c r="D50" s="840"/>
      <c r="E50" s="830"/>
      <c r="F50" s="830"/>
      <c r="G50" s="835"/>
      <c r="H50" s="831"/>
      <c r="I50" s="836"/>
      <c r="J50" s="836"/>
      <c r="K50" s="839"/>
      <c r="L50" s="839"/>
      <c r="M50" s="841"/>
    </row>
    <row r="51" spans="1:18" ht="19.7" customHeight="1">
      <c r="B51" s="833"/>
      <c r="C51" s="834"/>
      <c r="D51" s="840"/>
      <c r="E51" s="830"/>
      <c r="F51" s="830"/>
      <c r="G51" s="835"/>
      <c r="H51" s="831"/>
      <c r="I51" s="836"/>
      <c r="J51" s="836"/>
      <c r="K51" s="839"/>
      <c r="L51" s="839"/>
      <c r="M51" s="841"/>
    </row>
    <row r="52" spans="1:18" ht="19.7" customHeight="1">
      <c r="B52" s="833"/>
      <c r="C52" s="834"/>
      <c r="D52" s="840"/>
      <c r="E52" s="830"/>
      <c r="F52" s="830"/>
      <c r="G52" s="835"/>
      <c r="H52" s="831"/>
      <c r="I52" s="836"/>
      <c r="J52" s="836"/>
      <c r="K52" s="839"/>
      <c r="L52" s="839"/>
      <c r="M52" s="841"/>
    </row>
    <row r="53" spans="1:18" ht="19.7" customHeight="1">
      <c r="B53" s="893"/>
      <c r="C53" s="894"/>
      <c r="D53" s="895"/>
      <c r="E53" s="896"/>
      <c r="F53" s="896"/>
      <c r="G53" s="897"/>
      <c r="H53" s="898"/>
      <c r="I53" s="899"/>
      <c r="J53" s="899"/>
      <c r="K53" s="900"/>
      <c r="L53" s="900"/>
      <c r="M53" s="901"/>
    </row>
    <row r="54" spans="1:18" ht="19.7" customHeight="1">
      <c r="A54" s="827" t="s">
        <v>1421</v>
      </c>
      <c r="B54" s="881" t="str">
        <f>A54&amp;B55</f>
        <v>07.덤프트럭</v>
      </c>
      <c r="C54" s="882"/>
      <c r="D54" s="883"/>
      <c r="E54" s="884"/>
      <c r="F54" s="884"/>
      <c r="G54" s="884"/>
      <c r="H54" s="885"/>
      <c r="I54" s="882"/>
      <c r="J54" s="882"/>
      <c r="K54" s="882"/>
      <c r="L54" s="882"/>
      <c r="M54" s="886"/>
      <c r="O54" s="239"/>
      <c r="Q54" s="215"/>
      <c r="R54" s="215"/>
    </row>
    <row r="55" spans="1:18" ht="19.7" customHeight="1">
      <c r="A55" s="197">
        <v>7</v>
      </c>
      <c r="B55" s="828" t="s">
        <v>1418</v>
      </c>
      <c r="C55" s="887" t="s">
        <v>803</v>
      </c>
      <c r="D55" s="829"/>
      <c r="E55" s="830"/>
      <c r="F55" s="830"/>
      <c r="G55" s="830"/>
      <c r="H55" s="831"/>
      <c r="I55" s="832" t="e">
        <f>TEXT(J55+K55+L55,"#,##0")</f>
        <v>#REF!</v>
      </c>
      <c r="J55" s="832" t="e">
        <f>TRUNC(J56+J57+J58+J59)</f>
        <v>#REF!</v>
      </c>
      <c r="K55" s="832" t="e">
        <f>TRUNC(K56+K57+K58+K59)</f>
        <v>#REF!</v>
      </c>
      <c r="L55" s="832">
        <f>TRUNC(L56+L57+L58+L59)</f>
        <v>6873</v>
      </c>
      <c r="M55" s="841" t="s">
        <v>1385</v>
      </c>
    </row>
    <row r="56" spans="1:18" ht="19.7" customHeight="1">
      <c r="B56" s="833" t="s">
        <v>755</v>
      </c>
      <c r="C56" s="834"/>
      <c r="D56" s="829">
        <f>$P$3*O56</f>
        <v>23167000</v>
      </c>
      <c r="E56" s="830" t="s">
        <v>1413</v>
      </c>
      <c r="F56" s="830">
        <v>2967</v>
      </c>
      <c r="G56" s="835" t="s">
        <v>652</v>
      </c>
      <c r="H56" s="831" t="s">
        <v>653</v>
      </c>
      <c r="I56" s="836"/>
      <c r="J56" s="836"/>
      <c r="K56" s="836"/>
      <c r="L56" s="836">
        <f>TRUNC(D56*F56*0.0000001,1)</f>
        <v>6873.6</v>
      </c>
      <c r="M56" s="837"/>
      <c r="O56" s="215">
        <v>23167</v>
      </c>
    </row>
    <row r="57" spans="1:18" ht="19.7" customHeight="1">
      <c r="B57" s="833" t="s">
        <v>654</v>
      </c>
      <c r="C57" s="834" t="s">
        <v>1420</v>
      </c>
      <c r="D57" s="838">
        <v>5</v>
      </c>
      <c r="E57" s="830" t="s">
        <v>1414</v>
      </c>
      <c r="F57" s="830" t="e">
        <f>VLOOKUP($C57,토목기계경비적용기준!H:K,4,FALSE)</f>
        <v>#REF!</v>
      </c>
      <c r="G57" s="835"/>
      <c r="H57" s="831"/>
      <c r="I57" s="836"/>
      <c r="J57" s="836"/>
      <c r="K57" s="836" t="e">
        <f>TRUNC(D57*F57,1)</f>
        <v>#REF!</v>
      </c>
      <c r="L57" s="839"/>
      <c r="M57" s="837"/>
    </row>
    <row r="58" spans="1:18" ht="19.7" customHeight="1">
      <c r="B58" s="833" t="s">
        <v>756</v>
      </c>
      <c r="C58" s="834" t="s">
        <v>656</v>
      </c>
      <c r="D58" s="838">
        <v>38</v>
      </c>
      <c r="E58" s="830" t="s">
        <v>1415</v>
      </c>
      <c r="F58" s="830" t="e">
        <f>K57</f>
        <v>#REF!</v>
      </c>
      <c r="G58" s="835"/>
      <c r="H58" s="831"/>
      <c r="I58" s="836"/>
      <c r="J58" s="836"/>
      <c r="K58" s="836" t="e">
        <f>TRUNC(D58/100*F58,1)</f>
        <v>#REF!</v>
      </c>
      <c r="L58" s="839"/>
      <c r="M58" s="837"/>
    </row>
    <row r="59" spans="1:18" ht="19.7" customHeight="1">
      <c r="B59" s="833" t="s">
        <v>567</v>
      </c>
      <c r="C59" s="834"/>
      <c r="D59" s="840">
        <v>1</v>
      </c>
      <c r="E59" s="830" t="s">
        <v>1416</v>
      </c>
      <c r="F59" s="830" t="e">
        <f>VLOOKUP(B59,#REF!,2,FALSE)</f>
        <v>#REF!</v>
      </c>
      <c r="G59" s="835" t="s">
        <v>652</v>
      </c>
      <c r="H59" s="831" t="s">
        <v>639</v>
      </c>
      <c r="I59" s="836"/>
      <c r="J59" s="836" t="e">
        <f>TRUNC(D59*F59*토목기계경비적용기준!$E$19,1)</f>
        <v>#REF!</v>
      </c>
      <c r="K59" s="839"/>
      <c r="L59" s="839"/>
      <c r="M59" s="841"/>
    </row>
    <row r="60" spans="1:18" ht="19.7" customHeight="1">
      <c r="B60" s="833"/>
      <c r="C60" s="834"/>
      <c r="D60" s="840"/>
      <c r="E60" s="830"/>
      <c r="F60" s="830"/>
      <c r="G60" s="835"/>
      <c r="H60" s="831"/>
      <c r="I60" s="836"/>
      <c r="J60" s="836"/>
      <c r="K60" s="839"/>
      <c r="L60" s="839"/>
      <c r="M60" s="841"/>
    </row>
    <row r="61" spans="1:18" ht="19.7" customHeight="1">
      <c r="A61" s="827" t="s">
        <v>1422</v>
      </c>
      <c r="B61" s="828" t="str">
        <f>A61&amp;B62</f>
        <v>08.덤프트럭(자동덮개)</v>
      </c>
      <c r="C61" s="842"/>
      <c r="D61" s="889"/>
      <c r="E61" s="890"/>
      <c r="F61" s="890"/>
      <c r="G61" s="890"/>
      <c r="H61" s="891"/>
      <c r="I61" s="842"/>
      <c r="J61" s="842"/>
      <c r="K61" s="842"/>
      <c r="L61" s="842"/>
      <c r="M61" s="892"/>
      <c r="O61" s="239"/>
      <c r="Q61" s="215"/>
      <c r="R61" s="215"/>
    </row>
    <row r="62" spans="1:18" ht="19.7" customHeight="1">
      <c r="A62" s="197">
        <v>8</v>
      </c>
      <c r="B62" s="828" t="s">
        <v>1423</v>
      </c>
      <c r="C62" s="887" t="s">
        <v>806</v>
      </c>
      <c r="D62" s="829"/>
      <c r="E62" s="830"/>
      <c r="F62" s="830"/>
      <c r="G62" s="830"/>
      <c r="H62" s="831"/>
      <c r="I62" s="832" t="e">
        <f>TEXT(J62+K62+L62,"#,##0")</f>
        <v>#REF!</v>
      </c>
      <c r="J62" s="832" t="e">
        <f>TRUNC(J63+J65+J66+J67+J64)</f>
        <v>#REF!</v>
      </c>
      <c r="K62" s="832" t="e">
        <f>TRUNC(K63+K65+K66+K67+K64)</f>
        <v>#REF!</v>
      </c>
      <c r="L62" s="832">
        <f>TRUNC(L63+L65+L66+L67+L64)</f>
        <v>19180</v>
      </c>
      <c r="M62" s="841" t="s">
        <v>1424</v>
      </c>
    </row>
    <row r="63" spans="1:18" ht="19.7" customHeight="1">
      <c r="B63" s="833" t="s">
        <v>804</v>
      </c>
      <c r="C63" s="834"/>
      <c r="D63" s="829">
        <f>$P$3*O63</f>
        <v>82425000</v>
      </c>
      <c r="E63" s="830" t="s">
        <v>1413</v>
      </c>
      <c r="F63" s="830">
        <v>2279</v>
      </c>
      <c r="G63" s="835" t="s">
        <v>652</v>
      </c>
      <c r="H63" s="831" t="s">
        <v>653</v>
      </c>
      <c r="I63" s="836"/>
      <c r="J63" s="836"/>
      <c r="K63" s="836"/>
      <c r="L63" s="836">
        <f>TRUNC(D63*F63*0.0000001,1)</f>
        <v>18784.599999999999</v>
      </c>
      <c r="M63" s="837"/>
      <c r="O63" s="215">
        <v>82425</v>
      </c>
    </row>
    <row r="64" spans="1:18" ht="19.7" customHeight="1">
      <c r="B64" s="833" t="s">
        <v>805</v>
      </c>
      <c r="C64" s="834"/>
      <c r="D64" s="829">
        <f>$P$3*O64</f>
        <v>1475000</v>
      </c>
      <c r="E64" s="830" t="s">
        <v>1413</v>
      </c>
      <c r="F64" s="830">
        <v>2684</v>
      </c>
      <c r="G64" s="835" t="s">
        <v>652</v>
      </c>
      <c r="H64" s="831" t="s">
        <v>653</v>
      </c>
      <c r="I64" s="836"/>
      <c r="J64" s="836"/>
      <c r="K64" s="836"/>
      <c r="L64" s="836">
        <f>TRUNC(D64*F64*0.0000001,1)</f>
        <v>395.8</v>
      </c>
      <c r="M64" s="837"/>
      <c r="O64" s="215">
        <v>1475</v>
      </c>
    </row>
    <row r="65" spans="1:18" ht="19.7" customHeight="1">
      <c r="B65" s="833" t="s">
        <v>654</v>
      </c>
      <c r="C65" s="834" t="s">
        <v>1420</v>
      </c>
      <c r="D65" s="838">
        <v>15.9</v>
      </c>
      <c r="E65" s="830" t="s">
        <v>1414</v>
      </c>
      <c r="F65" s="830" t="e">
        <f>VLOOKUP($C65,토목기계경비적용기준!H:K,4,FALSE)</f>
        <v>#REF!</v>
      </c>
      <c r="G65" s="835"/>
      <c r="H65" s="831"/>
      <c r="I65" s="836"/>
      <c r="J65" s="836"/>
      <c r="K65" s="836" t="e">
        <f>TRUNC(D65*F65,1)</f>
        <v>#REF!</v>
      </c>
      <c r="L65" s="839"/>
      <c r="M65" s="837"/>
    </row>
    <row r="66" spans="1:18" ht="19.7" customHeight="1">
      <c r="B66" s="833" t="s">
        <v>659</v>
      </c>
      <c r="C66" s="834" t="s">
        <v>656</v>
      </c>
      <c r="D66" s="838">
        <v>38</v>
      </c>
      <c r="E66" s="830" t="s">
        <v>1415</v>
      </c>
      <c r="F66" s="830" t="e">
        <f>K65</f>
        <v>#REF!</v>
      </c>
      <c r="G66" s="835"/>
      <c r="H66" s="831"/>
      <c r="I66" s="836"/>
      <c r="J66" s="836"/>
      <c r="K66" s="836" t="e">
        <f>TRUNC(D66/100*F66,1)</f>
        <v>#REF!</v>
      </c>
      <c r="L66" s="839"/>
      <c r="M66" s="837"/>
    </row>
    <row r="67" spans="1:18" ht="19.7" customHeight="1">
      <c r="B67" s="833" t="s">
        <v>566</v>
      </c>
      <c r="C67" s="834"/>
      <c r="D67" s="840">
        <v>1</v>
      </c>
      <c r="E67" s="830" t="s">
        <v>1416</v>
      </c>
      <c r="F67" s="830" t="e">
        <f>VLOOKUP(B67,#REF!,2,FALSE)</f>
        <v>#REF!</v>
      </c>
      <c r="G67" s="835" t="s">
        <v>652</v>
      </c>
      <c r="H67" s="831" t="s">
        <v>639</v>
      </c>
      <c r="I67" s="836"/>
      <c r="J67" s="836" t="e">
        <f>TRUNC(D67*F67*토목기계경비적용기준!$E$19,1)</f>
        <v>#REF!</v>
      </c>
      <c r="K67" s="839"/>
      <c r="L67" s="839"/>
      <c r="M67" s="841"/>
    </row>
    <row r="68" spans="1:18" ht="19.7" customHeight="1">
      <c r="B68" s="833"/>
      <c r="C68" s="834"/>
      <c r="D68" s="840"/>
      <c r="E68" s="830"/>
      <c r="F68" s="830"/>
      <c r="G68" s="835"/>
      <c r="H68" s="831"/>
      <c r="I68" s="836"/>
      <c r="J68" s="836"/>
      <c r="K68" s="839"/>
      <c r="L68" s="839"/>
      <c r="M68" s="841"/>
    </row>
    <row r="69" spans="1:18" ht="19.7" customHeight="1">
      <c r="A69" s="827" t="s">
        <v>1425</v>
      </c>
      <c r="B69" s="828" t="str">
        <f>A69&amp;B70</f>
        <v>09.대형브레이카</v>
      </c>
      <c r="C69" s="842"/>
      <c r="D69" s="889"/>
      <c r="E69" s="890"/>
      <c r="F69" s="890"/>
      <c r="G69" s="890"/>
      <c r="H69" s="891"/>
      <c r="I69" s="842"/>
      <c r="J69" s="842"/>
      <c r="K69" s="842"/>
      <c r="L69" s="842"/>
      <c r="M69" s="892"/>
      <c r="O69" s="239"/>
      <c r="Q69" s="215"/>
      <c r="R69" s="215"/>
    </row>
    <row r="70" spans="1:18" ht="19.7" customHeight="1">
      <c r="A70" s="197">
        <v>9</v>
      </c>
      <c r="B70" s="828" t="s">
        <v>1426</v>
      </c>
      <c r="C70" s="887" t="s">
        <v>815</v>
      </c>
      <c r="D70" s="829"/>
      <c r="E70" s="830"/>
      <c r="F70" s="830"/>
      <c r="G70" s="830"/>
      <c r="H70" s="831"/>
      <c r="I70" s="832" t="e">
        <f>TEXT(J70+K70+L70,"#,##0")</f>
        <v>#REF!</v>
      </c>
      <c r="J70" s="832" t="e">
        <f>TRUNC(J71+J72+J73+J74+J75)</f>
        <v>#REF!</v>
      </c>
      <c r="K70" s="832" t="e">
        <f>TRUNC(K71+K72+K73+K74+K75)</f>
        <v>#REF!</v>
      </c>
      <c r="L70" s="832">
        <f>TRUNC(L71+L72+L73+L74+L75)</f>
        <v>15166</v>
      </c>
      <c r="M70" s="841" t="s">
        <v>1427</v>
      </c>
    </row>
    <row r="71" spans="1:18" ht="19.7" customHeight="1">
      <c r="B71" s="833" t="s">
        <v>1428</v>
      </c>
      <c r="C71" s="834"/>
      <c r="D71" s="829">
        <f>$P$3*O71</f>
        <v>60000000</v>
      </c>
      <c r="E71" s="830" t="s">
        <v>1413</v>
      </c>
      <c r="F71" s="830">
        <v>2085</v>
      </c>
      <c r="G71" s="835" t="s">
        <v>652</v>
      </c>
      <c r="H71" s="831" t="s">
        <v>653</v>
      </c>
      <c r="I71" s="836"/>
      <c r="J71" s="836"/>
      <c r="K71" s="836"/>
      <c r="L71" s="836">
        <f>TRUNC(D71*F71*0.0000001,1)</f>
        <v>12510</v>
      </c>
      <c r="M71" s="837"/>
      <c r="O71" s="215">
        <v>60000</v>
      </c>
    </row>
    <row r="72" spans="1:18" ht="19.7" customHeight="1">
      <c r="B72" s="833" t="s">
        <v>1429</v>
      </c>
      <c r="C72" s="834"/>
      <c r="D72" s="829">
        <f>$P$3*O72</f>
        <v>4024000</v>
      </c>
      <c r="E72" s="830" t="s">
        <v>1413</v>
      </c>
      <c r="F72" s="830">
        <v>6601</v>
      </c>
      <c r="G72" s="835" t="s">
        <v>652</v>
      </c>
      <c r="H72" s="831" t="s">
        <v>653</v>
      </c>
      <c r="I72" s="836"/>
      <c r="J72" s="836"/>
      <c r="K72" s="836"/>
      <c r="L72" s="836">
        <f>TRUNC(D72*F72*0.0000001,1)</f>
        <v>2656.2</v>
      </c>
      <c r="M72" s="837"/>
      <c r="O72" s="215">
        <v>4024</v>
      </c>
    </row>
    <row r="73" spans="1:18" ht="19.7" customHeight="1">
      <c r="B73" s="833" t="s">
        <v>654</v>
      </c>
      <c r="C73" s="834" t="s">
        <v>655</v>
      </c>
      <c r="D73" s="838">
        <v>5</v>
      </c>
      <c r="E73" s="830" t="s">
        <v>1414</v>
      </c>
      <c r="F73" s="830" t="e">
        <f>VLOOKUP($C73,토목기계경비적용기준!H:K,4,FALSE)</f>
        <v>#REF!</v>
      </c>
      <c r="G73" s="835"/>
      <c r="H73" s="831"/>
      <c r="I73" s="836"/>
      <c r="J73" s="836"/>
      <c r="K73" s="836" t="e">
        <f>TRUNC(D73*F73,1)</f>
        <v>#REF!</v>
      </c>
      <c r="L73" s="839"/>
      <c r="M73" s="837"/>
    </row>
    <row r="74" spans="1:18" ht="19.7" customHeight="1">
      <c r="B74" s="833" t="s">
        <v>659</v>
      </c>
      <c r="C74" s="834" t="s">
        <v>656</v>
      </c>
      <c r="D74" s="838">
        <v>16</v>
      </c>
      <c r="E74" s="830" t="s">
        <v>1415</v>
      </c>
      <c r="F74" s="830" t="e">
        <f>K73</f>
        <v>#REF!</v>
      </c>
      <c r="G74" s="835"/>
      <c r="H74" s="831"/>
      <c r="I74" s="836"/>
      <c r="J74" s="836"/>
      <c r="K74" s="836" t="e">
        <f>TRUNC(D74/100*F74,1)</f>
        <v>#REF!</v>
      </c>
      <c r="L74" s="839"/>
      <c r="M74" s="837"/>
    </row>
    <row r="75" spans="1:18" ht="19.7" customHeight="1">
      <c r="B75" s="833" t="s">
        <v>566</v>
      </c>
      <c r="C75" s="834"/>
      <c r="D75" s="840">
        <v>1</v>
      </c>
      <c r="E75" s="830" t="s">
        <v>1416</v>
      </c>
      <c r="F75" s="830" t="e">
        <f>VLOOKUP(B75,#REF!,2,FALSE)</f>
        <v>#REF!</v>
      </c>
      <c r="G75" s="835" t="s">
        <v>652</v>
      </c>
      <c r="H75" s="831" t="s">
        <v>639</v>
      </c>
      <c r="I75" s="836"/>
      <c r="J75" s="836" t="e">
        <f>TRUNC(D75*F75*토목기계경비적용기준!$E$19,1)</f>
        <v>#REF!</v>
      </c>
      <c r="K75" s="839"/>
      <c r="L75" s="839"/>
      <c r="M75" s="841"/>
    </row>
    <row r="76" spans="1:18" ht="19.7" customHeight="1">
      <c r="B76" s="833"/>
      <c r="C76" s="834"/>
      <c r="D76" s="840"/>
      <c r="E76" s="830"/>
      <c r="F76" s="830"/>
      <c r="G76" s="835"/>
      <c r="H76" s="831"/>
      <c r="I76" s="836"/>
      <c r="J76" s="836"/>
      <c r="K76" s="839"/>
      <c r="L76" s="839"/>
      <c r="M76" s="841"/>
    </row>
    <row r="77" spans="1:18" ht="19.7" customHeight="1">
      <c r="B77" s="833"/>
      <c r="C77" s="834"/>
      <c r="D77" s="840"/>
      <c r="E77" s="830"/>
      <c r="F77" s="830"/>
      <c r="G77" s="835"/>
      <c r="H77" s="831"/>
      <c r="I77" s="836"/>
      <c r="J77" s="836"/>
      <c r="K77" s="839"/>
      <c r="L77" s="839"/>
      <c r="M77" s="841"/>
    </row>
    <row r="78" spans="1:18" ht="19.7" customHeight="1">
      <c r="B78" s="893"/>
      <c r="C78" s="894"/>
      <c r="D78" s="895"/>
      <c r="E78" s="896"/>
      <c r="F78" s="896"/>
      <c r="G78" s="897"/>
      <c r="H78" s="898"/>
      <c r="I78" s="899"/>
      <c r="J78" s="899"/>
      <c r="K78" s="900"/>
      <c r="L78" s="900"/>
      <c r="M78" s="901"/>
    </row>
    <row r="79" spans="1:18" ht="19.7" customHeight="1">
      <c r="A79" s="827" t="s">
        <v>1430</v>
      </c>
      <c r="B79" s="881" t="str">
        <f>A79&amp;B80</f>
        <v>10.대형브레이카</v>
      </c>
      <c r="C79" s="882"/>
      <c r="D79" s="883"/>
      <c r="E79" s="884"/>
      <c r="F79" s="884"/>
      <c r="G79" s="884"/>
      <c r="H79" s="885"/>
      <c r="I79" s="882"/>
      <c r="J79" s="882"/>
      <c r="K79" s="882"/>
      <c r="L79" s="882"/>
      <c r="M79" s="886"/>
      <c r="O79" s="239"/>
      <c r="Q79" s="215"/>
      <c r="R79" s="215"/>
    </row>
    <row r="80" spans="1:18" ht="19.7" customHeight="1">
      <c r="A80" s="197">
        <v>10</v>
      </c>
      <c r="B80" s="828" t="s">
        <v>1426</v>
      </c>
      <c r="C80" s="887" t="s">
        <v>814</v>
      </c>
      <c r="D80" s="829"/>
      <c r="E80" s="830"/>
      <c r="F80" s="830"/>
      <c r="G80" s="830"/>
      <c r="H80" s="831"/>
      <c r="I80" s="832" t="e">
        <f>TEXT(J80+K80+L80,"#,##0")</f>
        <v>#REF!</v>
      </c>
      <c r="J80" s="832" t="e">
        <f>TRUNC(J81+J82+J83+J84+J85)</f>
        <v>#REF!</v>
      </c>
      <c r="K80" s="832" t="e">
        <f>TRUNC(K81+K82+K83+K84+K85)</f>
        <v>#REF!</v>
      </c>
      <c r="L80" s="832">
        <f>TRUNC(L81+L82+L83+L84+L85)</f>
        <v>20295</v>
      </c>
      <c r="M80" s="841" t="s">
        <v>1431</v>
      </c>
    </row>
    <row r="81" spans="1:18" ht="19.7" customHeight="1">
      <c r="B81" s="833" t="s">
        <v>1428</v>
      </c>
      <c r="C81" s="834"/>
      <c r="D81" s="829">
        <f>$P$3*O81</f>
        <v>74000000</v>
      </c>
      <c r="E81" s="830" t="s">
        <v>1413</v>
      </c>
      <c r="F81" s="830">
        <v>2085</v>
      </c>
      <c r="G81" s="835" t="s">
        <v>652</v>
      </c>
      <c r="H81" s="831" t="s">
        <v>653</v>
      </c>
      <c r="I81" s="836"/>
      <c r="J81" s="836"/>
      <c r="K81" s="836"/>
      <c r="L81" s="836">
        <f>TRUNC(D81*F81*0.0000001,1)</f>
        <v>15429</v>
      </c>
      <c r="M81" s="837"/>
      <c r="O81" s="215">
        <v>74000</v>
      </c>
    </row>
    <row r="82" spans="1:18" ht="19.7" customHeight="1">
      <c r="B82" s="833" t="s">
        <v>1429</v>
      </c>
      <c r="C82" s="834"/>
      <c r="D82" s="829">
        <f>$P$3*O82</f>
        <v>7373000</v>
      </c>
      <c r="E82" s="830" t="s">
        <v>1413</v>
      </c>
      <c r="F82" s="830">
        <v>6601</v>
      </c>
      <c r="G82" s="835" t="s">
        <v>652</v>
      </c>
      <c r="H82" s="831" t="s">
        <v>653</v>
      </c>
      <c r="I82" s="836"/>
      <c r="J82" s="836"/>
      <c r="K82" s="836"/>
      <c r="L82" s="836">
        <f>TRUNC(D82*F82*0.0000001,1)</f>
        <v>4866.8999999999996</v>
      </c>
      <c r="M82" s="837"/>
      <c r="O82" s="215">
        <v>7373</v>
      </c>
    </row>
    <row r="83" spans="1:18" ht="19.7" customHeight="1">
      <c r="B83" s="833" t="s">
        <v>654</v>
      </c>
      <c r="C83" s="834" t="s">
        <v>655</v>
      </c>
      <c r="D83" s="838">
        <v>9.9</v>
      </c>
      <c r="E83" s="830" t="s">
        <v>1414</v>
      </c>
      <c r="F83" s="830" t="e">
        <f>VLOOKUP($C83,토목기계경비적용기준!H:K,4,FALSE)</f>
        <v>#REF!</v>
      </c>
      <c r="G83" s="835"/>
      <c r="H83" s="831"/>
      <c r="I83" s="836"/>
      <c r="J83" s="836"/>
      <c r="K83" s="836" t="e">
        <f>TRUNC(D83*F83,1)</f>
        <v>#REF!</v>
      </c>
      <c r="L83" s="839"/>
      <c r="M83" s="837"/>
    </row>
    <row r="84" spans="1:18" ht="19.7" customHeight="1">
      <c r="B84" s="833" t="s">
        <v>659</v>
      </c>
      <c r="C84" s="834" t="s">
        <v>656</v>
      </c>
      <c r="D84" s="838">
        <v>16</v>
      </c>
      <c r="E84" s="830" t="s">
        <v>1415</v>
      </c>
      <c r="F84" s="830" t="e">
        <f>K83</f>
        <v>#REF!</v>
      </c>
      <c r="G84" s="835"/>
      <c r="H84" s="831"/>
      <c r="I84" s="836"/>
      <c r="J84" s="836"/>
      <c r="K84" s="836" t="e">
        <f>TRUNC(D84/100*F84,1)</f>
        <v>#REF!</v>
      </c>
      <c r="L84" s="839"/>
      <c r="M84" s="837"/>
    </row>
    <row r="85" spans="1:18" ht="19.7" customHeight="1">
      <c r="B85" s="833" t="s">
        <v>566</v>
      </c>
      <c r="C85" s="834"/>
      <c r="D85" s="840">
        <v>1</v>
      </c>
      <c r="E85" s="830" t="s">
        <v>1416</v>
      </c>
      <c r="F85" s="830" t="e">
        <f>VLOOKUP(B85,#REF!,2,FALSE)</f>
        <v>#REF!</v>
      </c>
      <c r="G85" s="835" t="s">
        <v>652</v>
      </c>
      <c r="H85" s="831" t="s">
        <v>639</v>
      </c>
      <c r="I85" s="836"/>
      <c r="J85" s="836" t="e">
        <f>TRUNC(D85*F85*토목기계경비적용기준!$E$19,1)</f>
        <v>#REF!</v>
      </c>
      <c r="K85" s="839"/>
      <c r="L85" s="839"/>
      <c r="M85" s="841"/>
    </row>
    <row r="86" spans="1:18" ht="19.7" customHeight="1">
      <c r="B86" s="833"/>
      <c r="C86" s="834"/>
      <c r="D86" s="840"/>
      <c r="E86" s="830"/>
      <c r="F86" s="830"/>
      <c r="G86" s="835"/>
      <c r="H86" s="831"/>
      <c r="I86" s="836"/>
      <c r="J86" s="836"/>
      <c r="K86" s="839"/>
      <c r="L86" s="839"/>
      <c r="M86" s="841"/>
    </row>
    <row r="87" spans="1:18" ht="19.7" customHeight="1">
      <c r="A87" s="827" t="s">
        <v>1432</v>
      </c>
      <c r="B87" s="828" t="str">
        <f>A87&amp;B88</f>
        <v>11.대형브레이카</v>
      </c>
      <c r="C87" s="842"/>
      <c r="D87" s="889"/>
      <c r="E87" s="890"/>
      <c r="F87" s="890"/>
      <c r="G87" s="890"/>
      <c r="H87" s="891"/>
      <c r="I87" s="842"/>
      <c r="J87" s="842"/>
      <c r="K87" s="842"/>
      <c r="L87" s="842"/>
      <c r="M87" s="892"/>
      <c r="O87" s="239"/>
      <c r="Q87" s="215"/>
      <c r="R87" s="215"/>
    </row>
    <row r="88" spans="1:18" ht="19.7" customHeight="1">
      <c r="A88" s="197">
        <v>11</v>
      </c>
      <c r="B88" s="828" t="s">
        <v>529</v>
      </c>
      <c r="C88" s="887" t="s">
        <v>767</v>
      </c>
      <c r="D88" s="829"/>
      <c r="E88" s="830"/>
      <c r="F88" s="830"/>
      <c r="G88" s="830"/>
      <c r="H88" s="831"/>
      <c r="I88" s="832" t="e">
        <f>TEXT(J88+K88+L88,"#,##0")</f>
        <v>#REF!</v>
      </c>
      <c r="J88" s="832" t="e">
        <f>TRUNC(J89+J90+J91+J92+J93)</f>
        <v>#REF!</v>
      </c>
      <c r="K88" s="832" t="e">
        <f>TRUNC(K89+K90+K91+K92+K93)</f>
        <v>#REF!</v>
      </c>
      <c r="L88" s="832">
        <f>TRUNC(L89+L90+L91+L92+L93)</f>
        <v>31854</v>
      </c>
      <c r="M88" s="841" t="s">
        <v>1433</v>
      </c>
    </row>
    <row r="89" spans="1:18" ht="19.7" customHeight="1">
      <c r="B89" s="833" t="s">
        <v>1428</v>
      </c>
      <c r="C89" s="834"/>
      <c r="D89" s="829">
        <f>$P$3*O89</f>
        <v>104465000</v>
      </c>
      <c r="E89" s="830" t="s">
        <v>1413</v>
      </c>
      <c r="F89" s="830">
        <v>2085</v>
      </c>
      <c r="G89" s="835" t="s">
        <v>652</v>
      </c>
      <c r="H89" s="831" t="s">
        <v>653</v>
      </c>
      <c r="I89" s="836"/>
      <c r="J89" s="836"/>
      <c r="K89" s="836"/>
      <c r="L89" s="836">
        <f>TRUNC(D89*F89*0.0000001,1)</f>
        <v>21780.9</v>
      </c>
      <c r="M89" s="837"/>
      <c r="O89" s="215">
        <v>104465</v>
      </c>
    </row>
    <row r="90" spans="1:18" ht="19.7" customHeight="1">
      <c r="B90" s="833" t="s">
        <v>1429</v>
      </c>
      <c r="C90" s="834"/>
      <c r="D90" s="829">
        <f>$P$3*O90</f>
        <v>15261000</v>
      </c>
      <c r="E90" s="830" t="s">
        <v>1413</v>
      </c>
      <c r="F90" s="830">
        <v>6601</v>
      </c>
      <c r="G90" s="835" t="s">
        <v>652</v>
      </c>
      <c r="H90" s="831" t="s">
        <v>653</v>
      </c>
      <c r="I90" s="836"/>
      <c r="J90" s="836"/>
      <c r="K90" s="836"/>
      <c r="L90" s="836">
        <f>TRUNC(D90*F90*0.0000001,1)</f>
        <v>10073.700000000001</v>
      </c>
      <c r="M90" s="837"/>
      <c r="O90" s="215">
        <v>15261</v>
      </c>
    </row>
    <row r="91" spans="1:18" ht="19.7" customHeight="1">
      <c r="B91" s="833" t="s">
        <v>654</v>
      </c>
      <c r="C91" s="834" t="s">
        <v>655</v>
      </c>
      <c r="D91" s="838">
        <v>11.6</v>
      </c>
      <c r="E91" s="830" t="s">
        <v>1414</v>
      </c>
      <c r="F91" s="830" t="e">
        <f>VLOOKUP($C91,토목기계경비적용기준!H:K,4,FALSE)</f>
        <v>#REF!</v>
      </c>
      <c r="G91" s="835"/>
      <c r="H91" s="831"/>
      <c r="I91" s="836"/>
      <c r="J91" s="836"/>
      <c r="K91" s="836" t="e">
        <f>TRUNC(D91*F91,1)</f>
        <v>#REF!</v>
      </c>
      <c r="L91" s="839"/>
      <c r="M91" s="837"/>
    </row>
    <row r="92" spans="1:18" ht="19.7" customHeight="1">
      <c r="B92" s="833" t="s">
        <v>659</v>
      </c>
      <c r="C92" s="834" t="s">
        <v>656</v>
      </c>
      <c r="D92" s="838">
        <v>16</v>
      </c>
      <c r="E92" s="830" t="s">
        <v>1415</v>
      </c>
      <c r="F92" s="830" t="e">
        <f>K91</f>
        <v>#REF!</v>
      </c>
      <c r="G92" s="835"/>
      <c r="H92" s="831"/>
      <c r="I92" s="836"/>
      <c r="J92" s="836"/>
      <c r="K92" s="836" t="e">
        <f>TRUNC(D92/100*F92,1)</f>
        <v>#REF!</v>
      </c>
      <c r="L92" s="839"/>
      <c r="M92" s="837"/>
    </row>
    <row r="93" spans="1:18" ht="19.7" customHeight="1">
      <c r="B93" s="833" t="s">
        <v>566</v>
      </c>
      <c r="C93" s="834"/>
      <c r="D93" s="840">
        <v>1</v>
      </c>
      <c r="E93" s="830" t="s">
        <v>1416</v>
      </c>
      <c r="F93" s="830" t="e">
        <f>VLOOKUP(B93,#REF!,2,FALSE)</f>
        <v>#REF!</v>
      </c>
      <c r="G93" s="835" t="s">
        <v>652</v>
      </c>
      <c r="H93" s="831" t="s">
        <v>639</v>
      </c>
      <c r="I93" s="836"/>
      <c r="J93" s="836" t="e">
        <f>TRUNC(D93*F93*토목기계경비적용기준!$E$19,1)</f>
        <v>#REF!</v>
      </c>
      <c r="K93" s="839"/>
      <c r="L93" s="839"/>
      <c r="M93" s="841"/>
    </row>
    <row r="94" spans="1:18" ht="19.7" customHeight="1">
      <c r="B94" s="833"/>
      <c r="C94" s="834"/>
      <c r="D94" s="840"/>
      <c r="E94" s="830"/>
      <c r="F94" s="830"/>
      <c r="G94" s="835"/>
      <c r="H94" s="831"/>
      <c r="I94" s="836"/>
      <c r="J94" s="836"/>
      <c r="K94" s="839"/>
      <c r="L94" s="839"/>
      <c r="M94" s="841"/>
    </row>
    <row r="95" spans="1:18" ht="19.7" customHeight="1">
      <c r="A95" s="827" t="s">
        <v>1434</v>
      </c>
      <c r="B95" s="828" t="str">
        <f>A95&amp;B96</f>
        <v>12.플레이트 콤팩터</v>
      </c>
      <c r="C95" s="842"/>
      <c r="D95" s="889"/>
      <c r="E95" s="890"/>
      <c r="F95" s="890"/>
      <c r="G95" s="890"/>
      <c r="H95" s="891"/>
      <c r="I95" s="842"/>
      <c r="J95" s="842"/>
      <c r="K95" s="842"/>
      <c r="L95" s="842"/>
      <c r="M95" s="892"/>
      <c r="O95" s="239"/>
      <c r="Q95" s="215"/>
      <c r="R95" s="215"/>
    </row>
    <row r="96" spans="1:18" ht="19.7" customHeight="1">
      <c r="A96" s="843">
        <v>12</v>
      </c>
      <c r="B96" s="828" t="s">
        <v>1435</v>
      </c>
      <c r="C96" s="887" t="s">
        <v>666</v>
      </c>
      <c r="D96" s="829"/>
      <c r="E96" s="830"/>
      <c r="F96" s="830"/>
      <c r="G96" s="830"/>
      <c r="H96" s="831"/>
      <c r="I96" s="832" t="e">
        <f>TEXT(J96+K96+L96,"#,##0")</f>
        <v>#REF!</v>
      </c>
      <c r="J96" s="832" t="e">
        <f>TRUNC(J97+J98+J99+J100)</f>
        <v>#REF!</v>
      </c>
      <c r="K96" s="832" t="e">
        <f>TRUNC(K97+K98+K99+K100)</f>
        <v>#REF!</v>
      </c>
      <c r="L96" s="832">
        <f>TRUNC(L97+L98+L99+L100)</f>
        <v>539</v>
      </c>
      <c r="M96" s="841" t="s">
        <v>1436</v>
      </c>
    </row>
    <row r="97" spans="1:18" ht="19.7" customHeight="1">
      <c r="B97" s="833" t="s">
        <v>658</v>
      </c>
      <c r="C97" s="834"/>
      <c r="D97" s="829">
        <f>$P$3*O97</f>
        <v>1455000</v>
      </c>
      <c r="E97" s="830" t="s">
        <v>1413</v>
      </c>
      <c r="F97" s="830">
        <v>3708</v>
      </c>
      <c r="G97" s="835" t="s">
        <v>652</v>
      </c>
      <c r="H97" s="831" t="s">
        <v>1437</v>
      </c>
      <c r="I97" s="836"/>
      <c r="J97" s="836"/>
      <c r="K97" s="836"/>
      <c r="L97" s="836">
        <f>TRUNC(D97*F97*0.0000001,1)</f>
        <v>539.5</v>
      </c>
      <c r="M97" s="837"/>
      <c r="O97" s="215">
        <v>1455</v>
      </c>
      <c r="Q97" s="215"/>
    </row>
    <row r="98" spans="1:18" ht="19.7" customHeight="1">
      <c r="B98" s="833" t="s">
        <v>654</v>
      </c>
      <c r="C98" s="834" t="s">
        <v>665</v>
      </c>
      <c r="D98" s="838">
        <v>1</v>
      </c>
      <c r="E98" s="830" t="s">
        <v>1414</v>
      </c>
      <c r="F98" s="830" t="e">
        <f>VLOOKUP($C98,토목기계경비적용기준!H:K,4,FALSE)</f>
        <v>#REF!</v>
      </c>
      <c r="G98" s="835"/>
      <c r="H98" s="831"/>
      <c r="I98" s="836"/>
      <c r="J98" s="836"/>
      <c r="K98" s="836" t="e">
        <f>TRUNC(D98*F98,1)</f>
        <v>#REF!</v>
      </c>
      <c r="L98" s="839"/>
      <c r="M98" s="837"/>
    </row>
    <row r="99" spans="1:18" ht="19.7" customHeight="1">
      <c r="B99" s="833" t="s">
        <v>659</v>
      </c>
      <c r="C99" s="834" t="s">
        <v>656</v>
      </c>
      <c r="D99" s="838">
        <v>20</v>
      </c>
      <c r="E99" s="830" t="s">
        <v>1415</v>
      </c>
      <c r="F99" s="830" t="e">
        <f>K98</f>
        <v>#REF!</v>
      </c>
      <c r="G99" s="835"/>
      <c r="H99" s="831"/>
      <c r="I99" s="836"/>
      <c r="J99" s="836"/>
      <c r="K99" s="836" t="e">
        <f>TRUNC(D99/100*F99,1)</f>
        <v>#REF!</v>
      </c>
      <c r="L99" s="839"/>
      <c r="M99" s="837"/>
    </row>
    <row r="100" spans="1:18" ht="19.7" customHeight="1">
      <c r="B100" s="833" t="s">
        <v>568</v>
      </c>
      <c r="C100" s="834"/>
      <c r="D100" s="840">
        <v>1</v>
      </c>
      <c r="E100" s="830" t="s">
        <v>1416</v>
      </c>
      <c r="F100" s="830" t="e">
        <f>VLOOKUP(B100,#REF!,2,FALSE)</f>
        <v>#REF!</v>
      </c>
      <c r="G100" s="835" t="s">
        <v>652</v>
      </c>
      <c r="H100" s="831" t="s">
        <v>639</v>
      </c>
      <c r="I100" s="836"/>
      <c r="J100" s="836" t="e">
        <f>TRUNC(D100*F100*토목기계경비적용기준!$E$19,1)</f>
        <v>#REF!</v>
      </c>
      <c r="K100" s="839"/>
      <c r="L100" s="839"/>
      <c r="M100" s="841"/>
    </row>
    <row r="101" spans="1:18" ht="19.7" customHeight="1">
      <c r="B101" s="833"/>
      <c r="C101" s="834"/>
      <c r="D101" s="840"/>
      <c r="E101" s="830"/>
      <c r="F101" s="830"/>
      <c r="G101" s="835"/>
      <c r="H101" s="831"/>
      <c r="I101" s="836"/>
      <c r="J101" s="836"/>
      <c r="K101" s="839"/>
      <c r="L101" s="839"/>
      <c r="M101" s="841"/>
    </row>
    <row r="102" spans="1:18" ht="19.7" customHeight="1">
      <c r="B102" s="833"/>
      <c r="C102" s="834"/>
      <c r="D102" s="840"/>
      <c r="E102" s="830"/>
      <c r="F102" s="830"/>
      <c r="G102" s="835"/>
      <c r="H102" s="831"/>
      <c r="I102" s="836"/>
      <c r="J102" s="836"/>
      <c r="K102" s="839"/>
      <c r="L102" s="839"/>
      <c r="M102" s="841"/>
    </row>
    <row r="103" spans="1:18" ht="19.7" customHeight="1">
      <c r="B103" s="893"/>
      <c r="C103" s="894"/>
      <c r="D103" s="895"/>
      <c r="E103" s="896"/>
      <c r="F103" s="896"/>
      <c r="G103" s="897"/>
      <c r="H103" s="898"/>
      <c r="I103" s="899"/>
      <c r="J103" s="899"/>
      <c r="K103" s="900"/>
      <c r="L103" s="900"/>
      <c r="M103" s="901"/>
    </row>
    <row r="104" spans="1:18" ht="19.7" customHeight="1">
      <c r="A104" s="827" t="s">
        <v>1438</v>
      </c>
      <c r="B104" s="881" t="str">
        <f>A104&amp;B105</f>
        <v>13.커 터</v>
      </c>
      <c r="C104" s="882"/>
      <c r="D104" s="883"/>
      <c r="E104" s="884"/>
      <c r="F104" s="884"/>
      <c r="G104" s="884"/>
      <c r="H104" s="885"/>
      <c r="I104" s="882"/>
      <c r="J104" s="882"/>
      <c r="K104" s="882"/>
      <c r="L104" s="882"/>
      <c r="M104" s="886"/>
      <c r="O104" s="239"/>
      <c r="Q104" s="215"/>
      <c r="R104" s="215"/>
    </row>
    <row r="105" spans="1:18" ht="19.7" customHeight="1">
      <c r="A105" s="843">
        <v>13</v>
      </c>
      <c r="B105" s="828" t="s">
        <v>1439</v>
      </c>
      <c r="C105" s="887" t="s">
        <v>669</v>
      </c>
      <c r="D105" s="829"/>
      <c r="E105" s="830"/>
      <c r="F105" s="830"/>
      <c r="G105" s="830"/>
      <c r="H105" s="831"/>
      <c r="I105" s="832" t="e">
        <f>TEXT(J105+K105+L105,"#,##0")</f>
        <v>#REF!</v>
      </c>
      <c r="J105" s="832" t="e">
        <f>TRUNC(J106+J107+J108+J109)</f>
        <v>#REF!</v>
      </c>
      <c r="K105" s="832" t="e">
        <f>TRUNC(K106+K107+K108+K109)</f>
        <v>#REF!</v>
      </c>
      <c r="L105" s="832">
        <f>TRUNC(L106+L107+L108+L109)</f>
        <v>1777</v>
      </c>
      <c r="M105" s="841" t="s">
        <v>1440</v>
      </c>
    </row>
    <row r="106" spans="1:18" ht="19.7" customHeight="1">
      <c r="B106" s="833" t="s">
        <v>658</v>
      </c>
      <c r="C106" s="834"/>
      <c r="D106" s="829">
        <f>$P$3*O106</f>
        <v>2797000</v>
      </c>
      <c r="E106" s="830" t="s">
        <v>1413</v>
      </c>
      <c r="F106" s="830">
        <v>6354</v>
      </c>
      <c r="G106" s="835" t="s">
        <v>652</v>
      </c>
      <c r="H106" s="831" t="s">
        <v>653</v>
      </c>
      <c r="I106" s="836"/>
      <c r="J106" s="836"/>
      <c r="K106" s="836"/>
      <c r="L106" s="836">
        <f>TRUNC(D106*F106*0.0000001,1)</f>
        <v>1777.2</v>
      </c>
      <c r="M106" s="837"/>
      <c r="O106" s="215">
        <v>2797</v>
      </c>
    </row>
    <row r="107" spans="1:18" ht="19.7" customHeight="1">
      <c r="B107" s="833" t="s">
        <v>654</v>
      </c>
      <c r="C107" s="834" t="s">
        <v>665</v>
      </c>
      <c r="D107" s="838">
        <v>5.6</v>
      </c>
      <c r="E107" s="830" t="s">
        <v>1414</v>
      </c>
      <c r="F107" s="830" t="e">
        <f>VLOOKUP($C107,토목기계경비적용기준!H:K,4,FALSE)</f>
        <v>#REF!</v>
      </c>
      <c r="G107" s="835"/>
      <c r="H107" s="831"/>
      <c r="I107" s="836"/>
      <c r="J107" s="836"/>
      <c r="K107" s="836" t="e">
        <f>TRUNC(D107*F107,1)</f>
        <v>#REF!</v>
      </c>
      <c r="L107" s="839"/>
      <c r="M107" s="837"/>
    </row>
    <row r="108" spans="1:18" ht="19.7" customHeight="1">
      <c r="B108" s="833" t="s">
        <v>659</v>
      </c>
      <c r="C108" s="834" t="s">
        <v>656</v>
      </c>
      <c r="D108" s="838">
        <v>20</v>
      </c>
      <c r="E108" s="830" t="s">
        <v>1415</v>
      </c>
      <c r="F108" s="830" t="e">
        <f>K107</f>
        <v>#REF!</v>
      </c>
      <c r="G108" s="835"/>
      <c r="H108" s="831"/>
      <c r="I108" s="836"/>
      <c r="J108" s="836"/>
      <c r="K108" s="836" t="e">
        <f>TRUNC(D108/100*F108,1)</f>
        <v>#REF!</v>
      </c>
      <c r="L108" s="839"/>
      <c r="M108" s="837"/>
    </row>
    <row r="109" spans="1:18" ht="19.7" customHeight="1">
      <c r="B109" s="833" t="s">
        <v>568</v>
      </c>
      <c r="C109" s="834"/>
      <c r="D109" s="840">
        <v>1</v>
      </c>
      <c r="E109" s="830" t="s">
        <v>1287</v>
      </c>
      <c r="F109" s="830" t="e">
        <f>VLOOKUP(B109,#REF!,2,FALSE)</f>
        <v>#REF!</v>
      </c>
      <c r="G109" s="835" t="s">
        <v>652</v>
      </c>
      <c r="H109" s="831" t="s">
        <v>639</v>
      </c>
      <c r="I109" s="836"/>
      <c r="J109" s="836" t="e">
        <f>TRUNC(D109*F109*토목기계경비적용기준!$E$19,1)</f>
        <v>#REF!</v>
      </c>
      <c r="K109" s="839"/>
      <c r="L109" s="839"/>
      <c r="M109" s="841"/>
    </row>
    <row r="110" spans="1:18" ht="19.7" customHeight="1">
      <c r="B110" s="833"/>
      <c r="C110" s="834"/>
      <c r="D110" s="840"/>
      <c r="E110" s="830"/>
      <c r="F110" s="830"/>
      <c r="G110" s="835"/>
      <c r="H110" s="831"/>
      <c r="I110" s="836"/>
      <c r="J110" s="836"/>
      <c r="K110" s="839"/>
      <c r="L110" s="839"/>
      <c r="M110" s="841"/>
    </row>
    <row r="111" spans="1:18" ht="19.7" customHeight="1">
      <c r="A111" s="827" t="s">
        <v>1390</v>
      </c>
      <c r="B111" s="828" t="str">
        <f>A111&amp;B112</f>
        <v>14.물탱크</v>
      </c>
      <c r="C111" s="842"/>
      <c r="D111" s="889"/>
      <c r="E111" s="890"/>
      <c r="F111" s="890"/>
      <c r="G111" s="890"/>
      <c r="H111" s="891"/>
      <c r="I111" s="842"/>
      <c r="J111" s="842"/>
      <c r="K111" s="842"/>
      <c r="L111" s="842"/>
      <c r="M111" s="892"/>
      <c r="O111" s="239"/>
      <c r="Q111" s="215"/>
      <c r="R111" s="215"/>
    </row>
    <row r="112" spans="1:18" ht="19.7" customHeight="1">
      <c r="A112" s="197">
        <v>14</v>
      </c>
      <c r="B112" s="828" t="s">
        <v>1391</v>
      </c>
      <c r="C112" s="887" t="s">
        <v>670</v>
      </c>
      <c r="D112" s="829"/>
      <c r="E112" s="830"/>
      <c r="F112" s="830"/>
      <c r="G112" s="830"/>
      <c r="H112" s="831"/>
      <c r="I112" s="832" t="e">
        <f>TEXT(J112+K112+L112,"#,##0")</f>
        <v>#REF!</v>
      </c>
      <c r="J112" s="832" t="e">
        <f>TRUNC(J113+J114+J115+J116)</f>
        <v>#REF!</v>
      </c>
      <c r="K112" s="832" t="e">
        <f>TRUNC(K113+K114+K115+K116)</f>
        <v>#REF!</v>
      </c>
      <c r="L112" s="832">
        <f>TRUNC(L113+L114+L115+L116)</f>
        <v>8908</v>
      </c>
      <c r="M112" s="841" t="s">
        <v>1441</v>
      </c>
    </row>
    <row r="113" spans="1:18" ht="19.7" customHeight="1">
      <c r="B113" s="833" t="s">
        <v>658</v>
      </c>
      <c r="C113" s="834"/>
      <c r="D113" s="829">
        <f>$P$3*O113</f>
        <v>42159000</v>
      </c>
      <c r="E113" s="830" t="s">
        <v>1281</v>
      </c>
      <c r="F113" s="830">
        <v>2113</v>
      </c>
      <c r="G113" s="835" t="s">
        <v>652</v>
      </c>
      <c r="H113" s="831" t="s">
        <v>653</v>
      </c>
      <c r="I113" s="836"/>
      <c r="J113" s="836"/>
      <c r="K113" s="836"/>
      <c r="L113" s="836">
        <f>TRUNC(D113*F113*0.0000001,1)</f>
        <v>8908.1</v>
      </c>
      <c r="M113" s="837"/>
      <c r="O113" s="215">
        <v>42159</v>
      </c>
    </row>
    <row r="114" spans="1:18" ht="19.7" customHeight="1">
      <c r="B114" s="833" t="s">
        <v>654</v>
      </c>
      <c r="C114" s="834" t="s">
        <v>655</v>
      </c>
      <c r="D114" s="838">
        <v>9.3000000000000007</v>
      </c>
      <c r="E114" s="830" t="s">
        <v>1408</v>
      </c>
      <c r="F114" s="830" t="e">
        <f>VLOOKUP($C114,토목기계경비적용기준!H:K,4,FALSE)</f>
        <v>#REF!</v>
      </c>
      <c r="G114" s="835"/>
      <c r="H114" s="831"/>
      <c r="I114" s="836"/>
      <c r="J114" s="836"/>
      <c r="K114" s="836" t="e">
        <f>TRUNC(D114*F114,1)</f>
        <v>#REF!</v>
      </c>
      <c r="L114" s="839"/>
      <c r="M114" s="837"/>
    </row>
    <row r="115" spans="1:18" ht="19.7" customHeight="1">
      <c r="B115" s="833" t="s">
        <v>659</v>
      </c>
      <c r="C115" s="834" t="s">
        <v>656</v>
      </c>
      <c r="D115" s="838">
        <v>30</v>
      </c>
      <c r="E115" s="830" t="s">
        <v>1282</v>
      </c>
      <c r="F115" s="830" t="e">
        <f>K114</f>
        <v>#REF!</v>
      </c>
      <c r="G115" s="835"/>
      <c r="H115" s="831"/>
      <c r="I115" s="836"/>
      <c r="J115" s="836"/>
      <c r="K115" s="836" t="e">
        <f>TRUNC(D115/100*F115,1)</f>
        <v>#REF!</v>
      </c>
      <c r="L115" s="839"/>
      <c r="M115" s="837"/>
    </row>
    <row r="116" spans="1:18" ht="19.7" customHeight="1">
      <c r="B116" s="833" t="s">
        <v>567</v>
      </c>
      <c r="C116" s="834"/>
      <c r="D116" s="840">
        <v>1</v>
      </c>
      <c r="E116" s="830" t="s">
        <v>1416</v>
      </c>
      <c r="F116" s="830" t="e">
        <f>VLOOKUP(B116,#REF!,2,FALSE)</f>
        <v>#REF!</v>
      </c>
      <c r="G116" s="835" t="s">
        <v>652</v>
      </c>
      <c r="H116" s="831" t="s">
        <v>639</v>
      </c>
      <c r="I116" s="836"/>
      <c r="J116" s="836" t="e">
        <f>TRUNC(D116*F116*토목기계경비적용기준!$E$19,1)</f>
        <v>#REF!</v>
      </c>
      <c r="K116" s="839"/>
      <c r="L116" s="839"/>
      <c r="M116" s="841"/>
    </row>
    <row r="117" spans="1:18" ht="19.7" customHeight="1">
      <c r="B117" s="833"/>
      <c r="C117" s="834"/>
      <c r="D117" s="840"/>
      <c r="E117" s="830"/>
      <c r="F117" s="830"/>
      <c r="G117" s="835"/>
      <c r="H117" s="831"/>
      <c r="I117" s="836"/>
      <c r="J117" s="836"/>
      <c r="K117" s="839"/>
      <c r="L117" s="839"/>
      <c r="M117" s="841"/>
    </row>
    <row r="118" spans="1:18" ht="19.7" customHeight="1">
      <c r="A118" s="827" t="s">
        <v>1392</v>
      </c>
      <c r="B118" s="828" t="str">
        <f>A118&amp;B119</f>
        <v>15.물탱크</v>
      </c>
      <c r="C118" s="842"/>
      <c r="D118" s="889"/>
      <c r="E118" s="890"/>
      <c r="F118" s="890"/>
      <c r="G118" s="890"/>
      <c r="H118" s="891"/>
      <c r="I118" s="842"/>
      <c r="J118" s="842"/>
      <c r="K118" s="842"/>
      <c r="L118" s="842"/>
      <c r="M118" s="892"/>
      <c r="O118" s="239"/>
      <c r="Q118" s="215"/>
      <c r="R118" s="215"/>
    </row>
    <row r="119" spans="1:18" ht="19.7" customHeight="1">
      <c r="A119" s="197">
        <v>15</v>
      </c>
      <c r="B119" s="828" t="s">
        <v>1442</v>
      </c>
      <c r="C119" s="887" t="s">
        <v>671</v>
      </c>
      <c r="D119" s="829"/>
      <c r="E119" s="830"/>
      <c r="F119" s="830"/>
      <c r="G119" s="830"/>
      <c r="H119" s="831"/>
      <c r="I119" s="832" t="e">
        <f>TEXT(J119+K119+L119,"#,##0")</f>
        <v>#REF!</v>
      </c>
      <c r="J119" s="832" t="e">
        <f>TRUNC(J120+J121+J122+J123)</f>
        <v>#REF!</v>
      </c>
      <c r="K119" s="832" t="e">
        <f>TRUNC(K120+K121+K122+K123)</f>
        <v>#REF!</v>
      </c>
      <c r="L119" s="832">
        <f>TRUNC(L120+L121+L122+L123)</f>
        <v>17085</v>
      </c>
      <c r="M119" s="841" t="s">
        <v>1393</v>
      </c>
    </row>
    <row r="120" spans="1:18" ht="19.7" customHeight="1">
      <c r="B120" s="833" t="s">
        <v>658</v>
      </c>
      <c r="C120" s="834"/>
      <c r="D120" s="829">
        <f>$P$3*O120</f>
        <v>80859000</v>
      </c>
      <c r="E120" s="830" t="s">
        <v>1413</v>
      </c>
      <c r="F120" s="830">
        <v>2113</v>
      </c>
      <c r="G120" s="835" t="s">
        <v>652</v>
      </c>
      <c r="H120" s="831" t="s">
        <v>653</v>
      </c>
      <c r="I120" s="836"/>
      <c r="J120" s="836"/>
      <c r="K120" s="836"/>
      <c r="L120" s="836">
        <f>TRUNC(D120*F120*0.0000001,1)</f>
        <v>17085.5</v>
      </c>
      <c r="M120" s="837"/>
      <c r="O120" s="215">
        <v>80859</v>
      </c>
    </row>
    <row r="121" spans="1:18" ht="19.7" customHeight="1">
      <c r="B121" s="833" t="s">
        <v>654</v>
      </c>
      <c r="C121" s="834" t="s">
        <v>655</v>
      </c>
      <c r="D121" s="838">
        <v>12.9</v>
      </c>
      <c r="E121" s="830" t="s">
        <v>1375</v>
      </c>
      <c r="F121" s="830" t="e">
        <f>VLOOKUP($C121,토목기계경비적용기준!H:K,4,FALSE)</f>
        <v>#REF!</v>
      </c>
      <c r="G121" s="835"/>
      <c r="H121" s="831"/>
      <c r="I121" s="836"/>
      <c r="J121" s="836"/>
      <c r="K121" s="836" t="e">
        <f>TRUNC(D121*F121,1)</f>
        <v>#REF!</v>
      </c>
      <c r="L121" s="839"/>
      <c r="M121" s="837"/>
    </row>
    <row r="122" spans="1:18" ht="19.7" customHeight="1">
      <c r="B122" s="833" t="s">
        <v>659</v>
      </c>
      <c r="C122" s="834" t="s">
        <v>656</v>
      </c>
      <c r="D122" s="838">
        <v>30</v>
      </c>
      <c r="E122" s="830" t="s">
        <v>1282</v>
      </c>
      <c r="F122" s="830" t="e">
        <f>K121</f>
        <v>#REF!</v>
      </c>
      <c r="G122" s="835"/>
      <c r="H122" s="831"/>
      <c r="I122" s="836"/>
      <c r="J122" s="836"/>
      <c r="K122" s="836" t="e">
        <f>TRUNC(D122/100*F122,1)</f>
        <v>#REF!</v>
      </c>
      <c r="L122" s="839"/>
      <c r="M122" s="837"/>
    </row>
    <row r="123" spans="1:18" ht="19.7" customHeight="1">
      <c r="B123" s="833" t="s">
        <v>567</v>
      </c>
      <c r="C123" s="834"/>
      <c r="D123" s="840">
        <v>1</v>
      </c>
      <c r="E123" s="830" t="s">
        <v>1287</v>
      </c>
      <c r="F123" s="830" t="e">
        <f>VLOOKUP(B123,#REF!,2,FALSE)</f>
        <v>#REF!</v>
      </c>
      <c r="G123" s="835" t="s">
        <v>652</v>
      </c>
      <c r="H123" s="831" t="s">
        <v>639</v>
      </c>
      <c r="I123" s="836"/>
      <c r="J123" s="836" t="e">
        <f>TRUNC(D123*F123*토목기계경비적용기준!$E$19,1)</f>
        <v>#REF!</v>
      </c>
      <c r="K123" s="839"/>
      <c r="L123" s="839"/>
      <c r="M123" s="841"/>
    </row>
    <row r="124" spans="1:18" ht="19.7" customHeight="1">
      <c r="B124" s="833"/>
      <c r="C124" s="834"/>
      <c r="D124" s="840"/>
      <c r="E124" s="830"/>
      <c r="F124" s="830"/>
      <c r="G124" s="835"/>
      <c r="H124" s="831"/>
      <c r="I124" s="836"/>
      <c r="J124" s="836"/>
      <c r="K124" s="839"/>
      <c r="L124" s="839"/>
      <c r="M124" s="841"/>
    </row>
    <row r="125" spans="1:18" ht="19.7" customHeight="1">
      <c r="B125" s="833"/>
      <c r="C125" s="834"/>
      <c r="D125" s="840"/>
      <c r="E125" s="830"/>
      <c r="F125" s="830"/>
      <c r="G125" s="835"/>
      <c r="H125" s="831"/>
      <c r="I125" s="836"/>
      <c r="J125" s="836"/>
      <c r="K125" s="839"/>
      <c r="L125" s="839"/>
      <c r="M125" s="841"/>
    </row>
    <row r="126" spans="1:18" ht="19.7" customHeight="1">
      <c r="B126" s="833"/>
      <c r="C126" s="834"/>
      <c r="D126" s="840"/>
      <c r="E126" s="830"/>
      <c r="F126" s="830"/>
      <c r="G126" s="835"/>
      <c r="H126" s="831"/>
      <c r="I126" s="836"/>
      <c r="J126" s="836"/>
      <c r="K126" s="839"/>
      <c r="L126" s="839"/>
      <c r="M126" s="841"/>
    </row>
    <row r="127" spans="1:18" ht="19.7" customHeight="1">
      <c r="B127" s="833"/>
      <c r="C127" s="834"/>
      <c r="D127" s="840"/>
      <c r="E127" s="830"/>
      <c r="F127" s="830"/>
      <c r="G127" s="835"/>
      <c r="H127" s="831"/>
      <c r="I127" s="836"/>
      <c r="J127" s="836"/>
      <c r="K127" s="839"/>
      <c r="L127" s="839"/>
      <c r="M127" s="841"/>
    </row>
    <row r="128" spans="1:18" ht="19.7" customHeight="1">
      <c r="B128" s="893"/>
      <c r="C128" s="894"/>
      <c r="D128" s="895"/>
      <c r="E128" s="896"/>
      <c r="F128" s="896"/>
      <c r="G128" s="897"/>
      <c r="H128" s="898"/>
      <c r="I128" s="899"/>
      <c r="J128" s="899"/>
      <c r="K128" s="900"/>
      <c r="L128" s="900"/>
      <c r="M128" s="901"/>
    </row>
    <row r="129" spans="1:18" ht="19.7" customHeight="1">
      <c r="A129" s="827" t="s">
        <v>1443</v>
      </c>
      <c r="B129" s="881" t="str">
        <f>A129&amp;B130</f>
        <v>16.진동로울러(핸드가이드식)</v>
      </c>
      <c r="C129" s="882"/>
      <c r="D129" s="883"/>
      <c r="E129" s="884"/>
      <c r="F129" s="884"/>
      <c r="G129" s="884"/>
      <c r="H129" s="885"/>
      <c r="I129" s="882"/>
      <c r="J129" s="882"/>
      <c r="K129" s="882"/>
      <c r="L129" s="882"/>
      <c r="M129" s="886"/>
      <c r="O129" s="239"/>
      <c r="Q129" s="215"/>
      <c r="R129" s="215"/>
    </row>
    <row r="130" spans="1:18" ht="19.7" customHeight="1">
      <c r="A130" s="197">
        <v>16</v>
      </c>
      <c r="B130" s="828" t="s">
        <v>1283</v>
      </c>
      <c r="C130" s="887" t="s">
        <v>664</v>
      </c>
      <c r="D130" s="829"/>
      <c r="E130" s="830"/>
      <c r="F130" s="830"/>
      <c r="G130" s="830"/>
      <c r="H130" s="831"/>
      <c r="I130" s="832" t="e">
        <f>TEXT(J130+K130+L130,"#,##0")</f>
        <v>#REF!</v>
      </c>
      <c r="J130" s="832" t="e">
        <f>TRUNC(J131+J132+J133+J134)</f>
        <v>#REF!</v>
      </c>
      <c r="K130" s="832" t="e">
        <f>TRUNC(K131+K132+K133+K134)</f>
        <v>#REF!</v>
      </c>
      <c r="L130" s="832">
        <f>TRUNC(L131+L132+L133+L134)</f>
        <v>1712</v>
      </c>
      <c r="M130" s="841" t="s">
        <v>1394</v>
      </c>
    </row>
    <row r="131" spans="1:18" ht="19.7" customHeight="1">
      <c r="B131" s="833" t="s">
        <v>658</v>
      </c>
      <c r="C131" s="834"/>
      <c r="D131" s="829">
        <f>$P$3*O131</f>
        <v>6061000</v>
      </c>
      <c r="E131" s="830" t="s">
        <v>1281</v>
      </c>
      <c r="F131" s="830">
        <v>2825</v>
      </c>
      <c r="G131" s="835" t="s">
        <v>652</v>
      </c>
      <c r="H131" s="831" t="s">
        <v>653</v>
      </c>
      <c r="I131" s="836"/>
      <c r="J131" s="836"/>
      <c r="K131" s="836"/>
      <c r="L131" s="836">
        <f>TRUNC(D131*F131*0.0000001,1)</f>
        <v>1712.2</v>
      </c>
      <c r="M131" s="837"/>
      <c r="O131" s="215">
        <v>6061</v>
      </c>
    </row>
    <row r="132" spans="1:18" ht="19.7" customHeight="1">
      <c r="B132" s="833" t="s">
        <v>654</v>
      </c>
      <c r="C132" s="834" t="s">
        <v>655</v>
      </c>
      <c r="D132" s="838">
        <v>2.2000000000000002</v>
      </c>
      <c r="E132" s="830" t="s">
        <v>1375</v>
      </c>
      <c r="F132" s="830" t="e">
        <f>VLOOKUP($C132,토목기계경비적용기준!H:K,4,FALSE)</f>
        <v>#REF!</v>
      </c>
      <c r="G132" s="835"/>
      <c r="H132" s="831"/>
      <c r="I132" s="836"/>
      <c r="J132" s="836"/>
      <c r="K132" s="836" t="e">
        <f>TRUNC(D132*F132,1)</f>
        <v>#REF!</v>
      </c>
      <c r="L132" s="839"/>
      <c r="M132" s="837"/>
    </row>
    <row r="133" spans="1:18" ht="19.7" customHeight="1">
      <c r="B133" s="833" t="s">
        <v>659</v>
      </c>
      <c r="C133" s="834" t="s">
        <v>656</v>
      </c>
      <c r="D133" s="838">
        <v>13</v>
      </c>
      <c r="E133" s="830" t="s">
        <v>1282</v>
      </c>
      <c r="F133" s="830" t="e">
        <f>K132</f>
        <v>#REF!</v>
      </c>
      <c r="G133" s="835"/>
      <c r="H133" s="831"/>
      <c r="I133" s="836"/>
      <c r="J133" s="836"/>
      <c r="K133" s="836" t="e">
        <f>TRUNC(D133/100*F133,1)</f>
        <v>#REF!</v>
      </c>
      <c r="L133" s="839"/>
      <c r="M133" s="837"/>
    </row>
    <row r="134" spans="1:18" ht="19.7" customHeight="1">
      <c r="B134" s="833" t="s">
        <v>568</v>
      </c>
      <c r="C134" s="834"/>
      <c r="D134" s="840">
        <v>1</v>
      </c>
      <c r="E134" s="830" t="s">
        <v>1287</v>
      </c>
      <c r="F134" s="830" t="e">
        <f>VLOOKUP(B134,#REF!,2,FALSE)</f>
        <v>#REF!</v>
      </c>
      <c r="G134" s="835" t="s">
        <v>652</v>
      </c>
      <c r="H134" s="831" t="s">
        <v>639</v>
      </c>
      <c r="I134" s="836"/>
      <c r="J134" s="836" t="e">
        <f>TRUNC(D134*F134*토목기계경비적용기준!$E$19,1)</f>
        <v>#REF!</v>
      </c>
      <c r="K134" s="839"/>
      <c r="L134" s="839"/>
      <c r="M134" s="841"/>
    </row>
    <row r="135" spans="1:18" ht="19.7" customHeight="1">
      <c r="B135" s="833"/>
      <c r="C135" s="834"/>
      <c r="D135" s="840"/>
      <c r="E135" s="830"/>
      <c r="F135" s="830"/>
      <c r="G135" s="835"/>
      <c r="H135" s="831"/>
      <c r="I135" s="836"/>
      <c r="J135" s="836"/>
      <c r="K135" s="839"/>
      <c r="L135" s="839"/>
      <c r="M135" s="841"/>
    </row>
    <row r="136" spans="1:18" ht="19.7" customHeight="1">
      <c r="A136" s="827" t="s">
        <v>1386</v>
      </c>
      <c r="B136" s="828" t="str">
        <f>A136&amp;B137</f>
        <v>17.진동로울러(자주식)</v>
      </c>
      <c r="C136" s="842"/>
      <c r="D136" s="889"/>
      <c r="E136" s="890"/>
      <c r="F136" s="890"/>
      <c r="G136" s="890"/>
      <c r="H136" s="891"/>
      <c r="I136" s="842"/>
      <c r="J136" s="842"/>
      <c r="K136" s="842"/>
      <c r="L136" s="842"/>
      <c r="M136" s="892"/>
      <c r="O136" s="239"/>
      <c r="Q136" s="215"/>
      <c r="R136" s="215"/>
    </row>
    <row r="137" spans="1:18" ht="19.7" customHeight="1">
      <c r="A137" s="197">
        <v>17</v>
      </c>
      <c r="B137" s="828" t="s">
        <v>1284</v>
      </c>
      <c r="C137" s="887" t="s">
        <v>619</v>
      </c>
      <c r="D137" s="829"/>
      <c r="E137" s="830"/>
      <c r="F137" s="830"/>
      <c r="G137" s="830"/>
      <c r="H137" s="831"/>
      <c r="I137" s="832" t="e">
        <f>TEXT(J137+K137+L137,"#,##0")</f>
        <v>#REF!</v>
      </c>
      <c r="J137" s="832" t="e">
        <f>TRUNC(J138+J139+J140+J141)</f>
        <v>#REF!</v>
      </c>
      <c r="K137" s="832" t="e">
        <f>TRUNC(K138+K139+K140+K141)</f>
        <v>#REF!</v>
      </c>
      <c r="L137" s="832">
        <f>TRUNC(L138+L139+L140+L141)</f>
        <v>24304</v>
      </c>
      <c r="M137" s="841" t="s">
        <v>1444</v>
      </c>
    </row>
    <row r="138" spans="1:18" ht="19.7" customHeight="1">
      <c r="B138" s="833" t="s">
        <v>658</v>
      </c>
      <c r="C138" s="834"/>
      <c r="D138" s="829">
        <f>$P$3*O138</f>
        <v>86033000</v>
      </c>
      <c r="E138" s="830" t="s">
        <v>1281</v>
      </c>
      <c r="F138" s="830">
        <v>2825</v>
      </c>
      <c r="G138" s="835" t="s">
        <v>652</v>
      </c>
      <c r="H138" s="831" t="s">
        <v>1445</v>
      </c>
      <c r="I138" s="836"/>
      <c r="J138" s="836"/>
      <c r="K138" s="836"/>
      <c r="L138" s="836">
        <f>TRUNC(D138*F138*0.0000001,1)</f>
        <v>24304.3</v>
      </c>
      <c r="M138" s="837"/>
      <c r="O138" s="215">
        <v>86033</v>
      </c>
      <c r="Q138" s="215"/>
    </row>
    <row r="139" spans="1:18" ht="19.7" customHeight="1">
      <c r="B139" s="833" t="s">
        <v>654</v>
      </c>
      <c r="C139" s="834" t="s">
        <v>655</v>
      </c>
      <c r="D139" s="838">
        <v>14.4</v>
      </c>
      <c r="E139" s="830" t="s">
        <v>1446</v>
      </c>
      <c r="F139" s="830" t="e">
        <f>VLOOKUP($C139,토목기계경비적용기준!H:K,4,FALSE)</f>
        <v>#REF!</v>
      </c>
      <c r="G139" s="835"/>
      <c r="H139" s="831"/>
      <c r="I139" s="836"/>
      <c r="J139" s="836"/>
      <c r="K139" s="836" t="e">
        <f>TRUNC(D139*F139,1)</f>
        <v>#REF!</v>
      </c>
      <c r="L139" s="839"/>
      <c r="M139" s="837"/>
    </row>
    <row r="140" spans="1:18" ht="19.7" customHeight="1">
      <c r="B140" s="833" t="s">
        <v>659</v>
      </c>
      <c r="C140" s="834" t="s">
        <v>656</v>
      </c>
      <c r="D140" s="838">
        <v>30</v>
      </c>
      <c r="E140" s="830" t="s">
        <v>1282</v>
      </c>
      <c r="F140" s="830" t="e">
        <f>K139</f>
        <v>#REF!</v>
      </c>
      <c r="G140" s="835"/>
      <c r="H140" s="831"/>
      <c r="I140" s="836"/>
      <c r="J140" s="836"/>
      <c r="K140" s="836" t="e">
        <f>TRUNC(D140/100*F140,1)</f>
        <v>#REF!</v>
      </c>
      <c r="L140" s="839"/>
      <c r="M140" s="837"/>
    </row>
    <row r="141" spans="1:18" ht="19.7" customHeight="1">
      <c r="B141" s="833" t="s">
        <v>566</v>
      </c>
      <c r="C141" s="834"/>
      <c r="D141" s="840">
        <v>1</v>
      </c>
      <c r="E141" s="830" t="s">
        <v>1287</v>
      </c>
      <c r="F141" s="830" t="e">
        <f>VLOOKUP(B141,#REF!,2,FALSE)</f>
        <v>#REF!</v>
      </c>
      <c r="G141" s="835" t="s">
        <v>652</v>
      </c>
      <c r="H141" s="831" t="s">
        <v>639</v>
      </c>
      <c r="I141" s="836"/>
      <c r="J141" s="836" t="e">
        <f>TRUNC(D141*F141*토목기계경비적용기준!$E$19,1)</f>
        <v>#REF!</v>
      </c>
      <c r="K141" s="839"/>
      <c r="L141" s="839"/>
      <c r="M141" s="841"/>
    </row>
    <row r="142" spans="1:18" ht="19.7" customHeight="1">
      <c r="B142" s="833"/>
      <c r="C142" s="834"/>
      <c r="D142" s="840"/>
      <c r="E142" s="830"/>
      <c r="F142" s="830"/>
      <c r="G142" s="835"/>
      <c r="H142" s="831"/>
      <c r="I142" s="836"/>
      <c r="J142" s="836"/>
      <c r="K142" s="839"/>
      <c r="L142" s="839"/>
      <c r="M142" s="841"/>
    </row>
    <row r="143" spans="1:18" ht="19.7" customHeight="1">
      <c r="A143" s="827" t="s">
        <v>1447</v>
      </c>
      <c r="B143" s="828" t="str">
        <f>A143&amp;B144</f>
        <v>18.로우더(타이어)</v>
      </c>
      <c r="C143" s="842"/>
      <c r="D143" s="889"/>
      <c r="E143" s="890"/>
      <c r="F143" s="890"/>
      <c r="G143" s="890"/>
      <c r="H143" s="891"/>
      <c r="I143" s="842"/>
      <c r="J143" s="842"/>
      <c r="K143" s="842"/>
      <c r="L143" s="842"/>
      <c r="M143" s="892"/>
      <c r="O143" s="239"/>
      <c r="Q143" s="215"/>
      <c r="R143" s="215"/>
    </row>
    <row r="144" spans="1:18" ht="19.7" customHeight="1">
      <c r="A144" s="197">
        <v>18</v>
      </c>
      <c r="B144" s="828" t="s">
        <v>1395</v>
      </c>
      <c r="C144" s="887" t="s">
        <v>662</v>
      </c>
      <c r="D144" s="829"/>
      <c r="E144" s="830"/>
      <c r="F144" s="830"/>
      <c r="G144" s="830"/>
      <c r="H144" s="831"/>
      <c r="I144" s="832" t="e">
        <f>TEXT(J144+K144+L144,"#,##0")</f>
        <v>#REF!</v>
      </c>
      <c r="J144" s="832" t="e">
        <f>TRUNC(J145+J146+J147+J148)</f>
        <v>#REF!</v>
      </c>
      <c r="K144" s="832" t="e">
        <f>TRUNC(K145+K146+K147+K148)</f>
        <v>#REF!</v>
      </c>
      <c r="L144" s="832">
        <f>TRUNC(L145+L146+L147+L148)</f>
        <v>6564</v>
      </c>
      <c r="M144" s="841" t="s">
        <v>1396</v>
      </c>
    </row>
    <row r="145" spans="1:18" ht="19.7" customHeight="1">
      <c r="B145" s="833" t="s">
        <v>658</v>
      </c>
      <c r="C145" s="834"/>
      <c r="D145" s="829">
        <f>$P$3*O145</f>
        <v>31484000</v>
      </c>
      <c r="E145" s="830" t="s">
        <v>1281</v>
      </c>
      <c r="F145" s="830">
        <v>2085</v>
      </c>
      <c r="G145" s="835" t="s">
        <v>652</v>
      </c>
      <c r="H145" s="831" t="s">
        <v>653</v>
      </c>
      <c r="I145" s="836"/>
      <c r="J145" s="836"/>
      <c r="K145" s="836"/>
      <c r="L145" s="836">
        <f>TRUNC(D145*F145*0.0000001,1)</f>
        <v>6564.4</v>
      </c>
      <c r="M145" s="837"/>
      <c r="O145" s="215">
        <v>31484</v>
      </c>
    </row>
    <row r="146" spans="1:18" ht="19.7" customHeight="1">
      <c r="B146" s="833" t="s">
        <v>654</v>
      </c>
      <c r="C146" s="834" t="s">
        <v>655</v>
      </c>
      <c r="D146" s="838">
        <v>3.5</v>
      </c>
      <c r="E146" s="830" t="s">
        <v>1414</v>
      </c>
      <c r="F146" s="830" t="e">
        <f>VLOOKUP($C146,토목기계경비적용기준!H:K,4,FALSE)</f>
        <v>#REF!</v>
      </c>
      <c r="G146" s="835"/>
      <c r="H146" s="831"/>
      <c r="I146" s="836"/>
      <c r="J146" s="836"/>
      <c r="K146" s="836" t="e">
        <f>TRUNC(D146*F146,1)</f>
        <v>#REF!</v>
      </c>
      <c r="L146" s="839"/>
      <c r="M146" s="837"/>
    </row>
    <row r="147" spans="1:18" ht="19.7" customHeight="1">
      <c r="B147" s="833" t="s">
        <v>659</v>
      </c>
      <c r="C147" s="834" t="s">
        <v>656</v>
      </c>
      <c r="D147" s="838">
        <v>44</v>
      </c>
      <c r="E147" s="830" t="s">
        <v>1282</v>
      </c>
      <c r="F147" s="830" t="e">
        <f>K146</f>
        <v>#REF!</v>
      </c>
      <c r="G147" s="835"/>
      <c r="H147" s="831"/>
      <c r="I147" s="836"/>
      <c r="J147" s="836"/>
      <c r="K147" s="836" t="e">
        <f>TRUNC(D147/100*F147,1)</f>
        <v>#REF!</v>
      </c>
      <c r="L147" s="839"/>
      <c r="M147" s="837"/>
    </row>
    <row r="148" spans="1:18" ht="19.7" customHeight="1">
      <c r="B148" s="833" t="s">
        <v>566</v>
      </c>
      <c r="C148" s="834"/>
      <c r="D148" s="840">
        <v>1</v>
      </c>
      <c r="E148" s="830" t="s">
        <v>1287</v>
      </c>
      <c r="F148" s="830" t="e">
        <f>VLOOKUP(B148,#REF!,2,FALSE)</f>
        <v>#REF!</v>
      </c>
      <c r="G148" s="835" t="s">
        <v>652</v>
      </c>
      <c r="H148" s="831" t="s">
        <v>639</v>
      </c>
      <c r="I148" s="836"/>
      <c r="J148" s="836" t="e">
        <f>TRUNC(D148*F148*토목기계경비적용기준!$E$19,1)</f>
        <v>#REF!</v>
      </c>
      <c r="K148" s="839"/>
      <c r="L148" s="839"/>
      <c r="M148" s="841"/>
    </row>
    <row r="149" spans="1:18" ht="19.7" customHeight="1">
      <c r="B149" s="833"/>
      <c r="C149" s="834"/>
      <c r="D149" s="840"/>
      <c r="E149" s="830"/>
      <c r="F149" s="830"/>
      <c r="G149" s="835"/>
      <c r="H149" s="831"/>
      <c r="I149" s="836"/>
      <c r="J149" s="836"/>
      <c r="K149" s="839"/>
      <c r="L149" s="839"/>
      <c r="M149" s="841"/>
    </row>
    <row r="150" spans="1:18" ht="19.7" customHeight="1">
      <c r="B150" s="833"/>
      <c r="C150" s="834"/>
      <c r="D150" s="840"/>
      <c r="E150" s="830"/>
      <c r="F150" s="830"/>
      <c r="G150" s="835"/>
      <c r="H150" s="831"/>
      <c r="I150" s="836"/>
      <c r="J150" s="836"/>
      <c r="K150" s="839"/>
      <c r="L150" s="839"/>
      <c r="M150" s="841"/>
    </row>
    <row r="151" spans="1:18" ht="19.7" customHeight="1">
      <c r="B151" s="833"/>
      <c r="C151" s="834"/>
      <c r="D151" s="840"/>
      <c r="E151" s="830"/>
      <c r="F151" s="830"/>
      <c r="G151" s="835"/>
      <c r="H151" s="831"/>
      <c r="I151" s="836"/>
      <c r="J151" s="836"/>
      <c r="K151" s="839"/>
      <c r="L151" s="839"/>
      <c r="M151" s="841"/>
    </row>
    <row r="152" spans="1:18" ht="19.7" customHeight="1">
      <c r="B152" s="833"/>
      <c r="C152" s="834"/>
      <c r="D152" s="840"/>
      <c r="E152" s="830"/>
      <c r="F152" s="830"/>
      <c r="G152" s="835"/>
      <c r="H152" s="831"/>
      <c r="I152" s="836"/>
      <c r="J152" s="836"/>
      <c r="K152" s="839"/>
      <c r="L152" s="839"/>
      <c r="M152" s="841"/>
    </row>
    <row r="153" spans="1:18" ht="19.7" customHeight="1">
      <c r="B153" s="893"/>
      <c r="C153" s="894"/>
      <c r="D153" s="895"/>
      <c r="E153" s="896"/>
      <c r="F153" s="896"/>
      <c r="G153" s="897"/>
      <c r="H153" s="898"/>
      <c r="I153" s="899"/>
      <c r="J153" s="899"/>
      <c r="K153" s="900"/>
      <c r="L153" s="900"/>
      <c r="M153" s="901"/>
    </row>
    <row r="154" spans="1:18" ht="19.7" customHeight="1">
      <c r="A154" s="827" t="s">
        <v>1448</v>
      </c>
      <c r="B154" s="881" t="str">
        <f>A154&amp;B155</f>
        <v>19.아스팔트 스프레이어</v>
      </c>
      <c r="C154" s="882"/>
      <c r="D154" s="883"/>
      <c r="E154" s="884"/>
      <c r="F154" s="884"/>
      <c r="G154" s="884"/>
      <c r="H154" s="885"/>
      <c r="I154" s="882"/>
      <c r="J154" s="882"/>
      <c r="K154" s="882"/>
      <c r="L154" s="882"/>
      <c r="M154" s="886"/>
      <c r="O154" s="239"/>
      <c r="Q154" s="215"/>
      <c r="R154" s="215"/>
    </row>
    <row r="155" spans="1:18" ht="19.7" customHeight="1">
      <c r="A155" s="843">
        <v>19</v>
      </c>
      <c r="B155" s="828" t="s">
        <v>1397</v>
      </c>
      <c r="C155" s="887" t="s">
        <v>1449</v>
      </c>
      <c r="D155" s="829"/>
      <c r="E155" s="830"/>
      <c r="F155" s="830"/>
      <c r="G155" s="830"/>
      <c r="H155" s="831"/>
      <c r="I155" s="832" t="e">
        <f>TEXT(J155+K155+L155,"#,##0")</f>
        <v>#REF!</v>
      </c>
      <c r="J155" s="832" t="e">
        <f>TRUNC(J156+J157+J158+J159)</f>
        <v>#REF!</v>
      </c>
      <c r="K155" s="832" t="e">
        <f>TRUNC(K156+K157+K158+K159)</f>
        <v>#REF!</v>
      </c>
      <c r="L155" s="832">
        <f>TRUNC(L156+L157+L158+L159)</f>
        <v>505</v>
      </c>
      <c r="M155" s="841" t="s">
        <v>818</v>
      </c>
    </row>
    <row r="156" spans="1:18" ht="19.7" customHeight="1">
      <c r="B156" s="833" t="s">
        <v>658</v>
      </c>
      <c r="C156" s="834"/>
      <c r="D156" s="829">
        <f>$P$3*O156</f>
        <v>1982000</v>
      </c>
      <c r="E156" s="830" t="s">
        <v>1281</v>
      </c>
      <c r="F156" s="830">
        <v>2549</v>
      </c>
      <c r="G156" s="835" t="s">
        <v>652</v>
      </c>
      <c r="H156" s="831" t="s">
        <v>1437</v>
      </c>
      <c r="I156" s="836"/>
      <c r="J156" s="836"/>
      <c r="K156" s="836"/>
      <c r="L156" s="836">
        <f>TRUNC(D156*F156*0.0000001,1)</f>
        <v>505.2</v>
      </c>
      <c r="M156" s="837"/>
      <c r="O156" s="215">
        <v>1982</v>
      </c>
      <c r="Q156" s="215"/>
    </row>
    <row r="157" spans="1:18" ht="19.7" customHeight="1">
      <c r="B157" s="833" t="s">
        <v>654</v>
      </c>
      <c r="C157" s="834" t="s">
        <v>665</v>
      </c>
      <c r="D157" s="838">
        <v>0.8</v>
      </c>
      <c r="E157" s="830" t="s">
        <v>1414</v>
      </c>
      <c r="F157" s="830" t="e">
        <f>VLOOKUP($C157,토목기계경비적용기준!H:K,4,FALSE)</f>
        <v>#REF!</v>
      </c>
      <c r="G157" s="835"/>
      <c r="H157" s="831"/>
      <c r="I157" s="836"/>
      <c r="J157" s="836"/>
      <c r="K157" s="836" t="e">
        <f>TRUNC(D157*F157,1)</f>
        <v>#REF!</v>
      </c>
      <c r="L157" s="839"/>
      <c r="M157" s="837"/>
    </row>
    <row r="158" spans="1:18" ht="19.7" customHeight="1">
      <c r="B158" s="833" t="s">
        <v>659</v>
      </c>
      <c r="C158" s="834" t="s">
        <v>656</v>
      </c>
      <c r="D158" s="838">
        <v>6</v>
      </c>
      <c r="E158" s="830" t="s">
        <v>1282</v>
      </c>
      <c r="F158" s="830" t="e">
        <f>K157</f>
        <v>#REF!</v>
      </c>
      <c r="G158" s="835"/>
      <c r="H158" s="831"/>
      <c r="I158" s="836"/>
      <c r="J158" s="836"/>
      <c r="K158" s="836" t="e">
        <f>TRUNC(D158/100*F158,1)</f>
        <v>#REF!</v>
      </c>
      <c r="L158" s="839"/>
      <c r="M158" s="837"/>
    </row>
    <row r="159" spans="1:18" ht="19.7" customHeight="1">
      <c r="B159" s="833" t="s">
        <v>1398</v>
      </c>
      <c r="C159" s="834"/>
      <c r="D159" s="840">
        <v>1</v>
      </c>
      <c r="E159" s="830" t="s">
        <v>1287</v>
      </c>
      <c r="F159" s="830" t="e">
        <f>VLOOKUP(B159,#REF!,2,FALSE)</f>
        <v>#REF!</v>
      </c>
      <c r="G159" s="835" t="s">
        <v>652</v>
      </c>
      <c r="H159" s="831" t="s">
        <v>639</v>
      </c>
      <c r="I159" s="836"/>
      <c r="J159" s="836" t="e">
        <f>TRUNC(D159*F159*토목기계경비적용기준!$E$19,1)</f>
        <v>#REF!</v>
      </c>
      <c r="K159" s="839"/>
      <c r="L159" s="839"/>
      <c r="M159" s="841"/>
    </row>
    <row r="160" spans="1:18" ht="19.7" customHeight="1">
      <c r="B160" s="833"/>
      <c r="C160" s="834"/>
      <c r="D160" s="840"/>
      <c r="E160" s="830"/>
      <c r="F160" s="830"/>
      <c r="G160" s="835"/>
      <c r="H160" s="831"/>
      <c r="I160" s="836"/>
      <c r="J160" s="836"/>
      <c r="K160" s="839"/>
      <c r="L160" s="839"/>
      <c r="M160" s="841"/>
    </row>
    <row r="161" spans="1:18" ht="19.7" customHeight="1">
      <c r="A161" s="827" t="s">
        <v>1399</v>
      </c>
      <c r="B161" s="828" t="str">
        <f>A161&amp;B162</f>
        <v>20.아스팔트 스프레이어</v>
      </c>
      <c r="C161" s="842"/>
      <c r="D161" s="889"/>
      <c r="E161" s="890"/>
      <c r="F161" s="890"/>
      <c r="G161" s="890"/>
      <c r="H161" s="891"/>
      <c r="I161" s="842"/>
      <c r="J161" s="842"/>
      <c r="K161" s="842"/>
      <c r="L161" s="842"/>
      <c r="M161" s="892"/>
      <c r="O161" s="239"/>
      <c r="Q161" s="215"/>
      <c r="R161" s="215"/>
    </row>
    <row r="162" spans="1:18" ht="19.7" customHeight="1">
      <c r="A162" s="843">
        <v>20</v>
      </c>
      <c r="B162" s="828" t="s">
        <v>1397</v>
      </c>
      <c r="C162" s="887" t="s">
        <v>668</v>
      </c>
      <c r="D162" s="829"/>
      <c r="E162" s="830"/>
      <c r="F162" s="830"/>
      <c r="G162" s="830"/>
      <c r="H162" s="831"/>
      <c r="I162" s="832" t="e">
        <f>TEXT(J162+K162+L162,"#,##0")</f>
        <v>#REF!</v>
      </c>
      <c r="J162" s="832" t="e">
        <f>TRUNC(J163+J164+J165+J166)</f>
        <v>#REF!</v>
      </c>
      <c r="K162" s="832" t="e">
        <f>TRUNC(K163+K164+K165+K166)</f>
        <v>#REF!</v>
      </c>
      <c r="L162" s="832">
        <f>TRUNC(L163+L164+L165+L166)</f>
        <v>687</v>
      </c>
      <c r="M162" s="841" t="s">
        <v>1285</v>
      </c>
    </row>
    <row r="163" spans="1:18" ht="19.7" customHeight="1">
      <c r="B163" s="833" t="s">
        <v>658</v>
      </c>
      <c r="C163" s="834"/>
      <c r="D163" s="829">
        <f>$P$3*O163</f>
        <v>2696000</v>
      </c>
      <c r="E163" s="830" t="s">
        <v>1281</v>
      </c>
      <c r="F163" s="830">
        <v>2549</v>
      </c>
      <c r="G163" s="835" t="s">
        <v>652</v>
      </c>
      <c r="H163" s="831" t="s">
        <v>1437</v>
      </c>
      <c r="I163" s="836"/>
      <c r="J163" s="836"/>
      <c r="K163" s="836"/>
      <c r="L163" s="836">
        <f>TRUNC(D163*F163*0.0000001,1)</f>
        <v>687.2</v>
      </c>
      <c r="M163" s="837"/>
      <c r="O163" s="215">
        <v>2696</v>
      </c>
      <c r="Q163" s="215"/>
    </row>
    <row r="164" spans="1:18" ht="19.7" customHeight="1">
      <c r="B164" s="833" t="s">
        <v>654</v>
      </c>
      <c r="C164" s="834" t="s">
        <v>665</v>
      </c>
      <c r="D164" s="838">
        <v>1.2</v>
      </c>
      <c r="E164" s="830" t="s">
        <v>1375</v>
      </c>
      <c r="F164" s="830" t="e">
        <f>VLOOKUP($C164,토목기계경비적용기준!H:K,4,FALSE)</f>
        <v>#REF!</v>
      </c>
      <c r="G164" s="835"/>
      <c r="H164" s="831"/>
      <c r="I164" s="836"/>
      <c r="J164" s="836"/>
      <c r="K164" s="836" t="e">
        <f>TRUNC(D164*F164,1)</f>
        <v>#REF!</v>
      </c>
      <c r="L164" s="839"/>
      <c r="M164" s="837"/>
    </row>
    <row r="165" spans="1:18" ht="19.7" customHeight="1">
      <c r="B165" s="833" t="s">
        <v>659</v>
      </c>
      <c r="C165" s="834" t="s">
        <v>656</v>
      </c>
      <c r="D165" s="838">
        <v>6</v>
      </c>
      <c r="E165" s="830" t="s">
        <v>1282</v>
      </c>
      <c r="F165" s="830" t="e">
        <f>K164</f>
        <v>#REF!</v>
      </c>
      <c r="G165" s="835"/>
      <c r="H165" s="831"/>
      <c r="I165" s="836"/>
      <c r="J165" s="836"/>
      <c r="K165" s="836" t="e">
        <f>TRUNC(D165/100*F165,1)</f>
        <v>#REF!</v>
      </c>
      <c r="L165" s="839"/>
      <c r="M165" s="837"/>
    </row>
    <row r="166" spans="1:18" ht="19.7" customHeight="1">
      <c r="B166" s="833" t="s">
        <v>1398</v>
      </c>
      <c r="C166" s="834"/>
      <c r="D166" s="840">
        <v>1</v>
      </c>
      <c r="E166" s="830" t="s">
        <v>1416</v>
      </c>
      <c r="F166" s="830" t="e">
        <f>VLOOKUP(B166,#REF!,2,FALSE)</f>
        <v>#REF!</v>
      </c>
      <c r="G166" s="835" t="s">
        <v>652</v>
      </c>
      <c r="H166" s="831" t="s">
        <v>639</v>
      </c>
      <c r="I166" s="836"/>
      <c r="J166" s="836" t="e">
        <f>TRUNC(D166*F166*토목기계경비적용기준!$E$19,1)</f>
        <v>#REF!</v>
      </c>
      <c r="K166" s="839"/>
      <c r="L166" s="839"/>
      <c r="M166" s="841"/>
    </row>
    <row r="167" spans="1:18" ht="19.7" customHeight="1">
      <c r="B167" s="833"/>
      <c r="C167" s="834"/>
      <c r="D167" s="840"/>
      <c r="E167" s="830"/>
      <c r="F167" s="830"/>
      <c r="G167" s="835"/>
      <c r="H167" s="831"/>
      <c r="I167" s="836"/>
      <c r="J167" s="836"/>
      <c r="K167" s="839"/>
      <c r="L167" s="839"/>
      <c r="M167" s="841"/>
    </row>
    <row r="168" spans="1:18" ht="19.7" customHeight="1">
      <c r="A168" s="827" t="s">
        <v>1450</v>
      </c>
      <c r="B168" s="828" t="str">
        <f>A168&amp;B169</f>
        <v>21.대형브레이카</v>
      </c>
      <c r="C168" s="842"/>
      <c r="D168" s="889"/>
      <c r="E168" s="890"/>
      <c r="F168" s="890"/>
      <c r="G168" s="890"/>
      <c r="H168" s="891"/>
      <c r="I168" s="842"/>
      <c r="J168" s="842"/>
      <c r="K168" s="842"/>
      <c r="L168" s="842"/>
      <c r="M168" s="892"/>
      <c r="O168" s="239"/>
      <c r="Q168" s="215"/>
      <c r="R168" s="215"/>
    </row>
    <row r="169" spans="1:18" ht="19.7" customHeight="1">
      <c r="A169" s="197">
        <v>21</v>
      </c>
      <c r="B169" s="828" t="s">
        <v>1426</v>
      </c>
      <c r="C169" s="887" t="s">
        <v>1451</v>
      </c>
      <c r="D169" s="838"/>
      <c r="E169" s="830"/>
      <c r="F169" s="830"/>
      <c r="G169" s="830"/>
      <c r="H169" s="831"/>
      <c r="I169" s="832" t="str">
        <f>TEXT(J169+K169+L169,"#,##0")</f>
        <v>4,866</v>
      </c>
      <c r="J169" s="832">
        <f>TRUNC(J170)</f>
        <v>0</v>
      </c>
      <c r="K169" s="832">
        <f>TRUNC(K170)</f>
        <v>0</v>
      </c>
      <c r="L169" s="832">
        <f>TRUNC(L170)</f>
        <v>4866</v>
      </c>
      <c r="M169" s="841" t="s">
        <v>1400</v>
      </c>
    </row>
    <row r="170" spans="1:18" ht="19.7" customHeight="1">
      <c r="B170" s="833" t="s">
        <v>1286</v>
      </c>
      <c r="C170" s="834"/>
      <c r="D170" s="829">
        <f>$P$3*O170</f>
        <v>7373000</v>
      </c>
      <c r="E170" s="830" t="s">
        <v>1281</v>
      </c>
      <c r="F170" s="830">
        <v>6601</v>
      </c>
      <c r="G170" s="835" t="s">
        <v>652</v>
      </c>
      <c r="H170" s="831" t="s">
        <v>653</v>
      </c>
      <c r="I170" s="836"/>
      <c r="J170" s="836"/>
      <c r="K170" s="836"/>
      <c r="L170" s="836">
        <f>TRUNC(D170*F170*0.0000001,1)</f>
        <v>4866.8999999999996</v>
      </c>
      <c r="M170" s="837"/>
      <c r="O170" s="215">
        <v>7373</v>
      </c>
    </row>
    <row r="171" spans="1:18" ht="19.7" customHeight="1">
      <c r="B171" s="833"/>
      <c r="C171" s="834"/>
      <c r="D171" s="829"/>
      <c r="E171" s="830"/>
      <c r="F171" s="830"/>
      <c r="G171" s="835"/>
      <c r="H171" s="831"/>
      <c r="I171" s="836"/>
      <c r="J171" s="836"/>
      <c r="K171" s="836"/>
      <c r="L171" s="836"/>
      <c r="M171" s="837"/>
    </row>
    <row r="172" spans="1:18" ht="19.7" customHeight="1">
      <c r="A172" s="827" t="s">
        <v>1401</v>
      </c>
      <c r="B172" s="828" t="str">
        <f>A172&amp;B173</f>
        <v>22.대형브레이카</v>
      </c>
      <c r="C172" s="842"/>
      <c r="D172" s="889"/>
      <c r="E172" s="890"/>
      <c r="F172" s="890"/>
      <c r="G172" s="890"/>
      <c r="H172" s="891"/>
      <c r="I172" s="842"/>
      <c r="J172" s="842"/>
      <c r="K172" s="842"/>
      <c r="L172" s="842"/>
      <c r="M172" s="892"/>
      <c r="O172" s="239"/>
      <c r="Q172" s="215"/>
      <c r="R172" s="215"/>
    </row>
    <row r="173" spans="1:18" ht="19.7" customHeight="1">
      <c r="A173" s="197">
        <v>22</v>
      </c>
      <c r="B173" s="828" t="s">
        <v>1452</v>
      </c>
      <c r="C173" s="887" t="s">
        <v>660</v>
      </c>
      <c r="D173" s="838"/>
      <c r="E173" s="830"/>
      <c r="F173" s="830"/>
      <c r="G173" s="830"/>
      <c r="H173" s="831"/>
      <c r="I173" s="832" t="str">
        <f>TEXT(J173+K173+L173,"#,##0")</f>
        <v>10,073</v>
      </c>
      <c r="J173" s="832">
        <f>TRUNC(J174)</f>
        <v>0</v>
      </c>
      <c r="K173" s="832">
        <f>TRUNC(K174)</f>
        <v>0</v>
      </c>
      <c r="L173" s="832">
        <f>TRUNC(L174)</f>
        <v>10073</v>
      </c>
      <c r="M173" s="841" t="s">
        <v>1453</v>
      </c>
    </row>
    <row r="174" spans="1:18" ht="19.7" customHeight="1">
      <c r="B174" s="833" t="s">
        <v>1454</v>
      </c>
      <c r="C174" s="834"/>
      <c r="D174" s="829">
        <f>$P$3*O174</f>
        <v>15261000</v>
      </c>
      <c r="E174" s="830" t="s">
        <v>1407</v>
      </c>
      <c r="F174" s="830">
        <v>6601</v>
      </c>
      <c r="G174" s="835" t="s">
        <v>652</v>
      </c>
      <c r="H174" s="831" t="s">
        <v>653</v>
      </c>
      <c r="I174" s="836"/>
      <c r="J174" s="836"/>
      <c r="K174" s="836"/>
      <c r="L174" s="836">
        <f>TRUNC(D174*F174*0.0000001,1)</f>
        <v>10073.700000000001</v>
      </c>
      <c r="M174" s="837"/>
      <c r="O174" s="215">
        <v>15261</v>
      </c>
    </row>
    <row r="175" spans="1:18" ht="19.7" customHeight="1">
      <c r="B175" s="833"/>
      <c r="C175" s="834"/>
      <c r="D175" s="829"/>
      <c r="E175" s="830"/>
      <c r="F175" s="830"/>
      <c r="G175" s="835"/>
      <c r="H175" s="831"/>
      <c r="I175" s="836"/>
      <c r="J175" s="836"/>
      <c r="K175" s="836"/>
      <c r="L175" s="836"/>
      <c r="M175" s="837"/>
    </row>
    <row r="176" spans="1:18" ht="19.7" customHeight="1">
      <c r="A176" s="827"/>
      <c r="B176" s="828"/>
      <c r="C176" s="842"/>
      <c r="D176" s="889"/>
      <c r="E176" s="890"/>
      <c r="F176" s="890"/>
      <c r="G176" s="890"/>
      <c r="H176" s="891"/>
      <c r="I176" s="842"/>
      <c r="J176" s="842"/>
      <c r="K176" s="842"/>
      <c r="L176" s="842"/>
      <c r="M176" s="892"/>
      <c r="O176" s="239"/>
      <c r="Q176" s="215"/>
      <c r="R176" s="215"/>
    </row>
    <row r="177" spans="1:18" ht="19.7" customHeight="1">
      <c r="B177" s="828"/>
      <c r="C177" s="887"/>
      <c r="D177" s="829"/>
      <c r="E177" s="830"/>
      <c r="F177" s="830"/>
      <c r="G177" s="830"/>
      <c r="H177" s="831"/>
      <c r="I177" s="832"/>
      <c r="J177" s="832"/>
      <c r="K177" s="832"/>
      <c r="L177" s="832"/>
      <c r="M177" s="841"/>
    </row>
    <row r="178" spans="1:18" ht="19.7" customHeight="1">
      <c r="B178" s="893"/>
      <c r="C178" s="894"/>
      <c r="D178" s="902"/>
      <c r="E178" s="896"/>
      <c r="F178" s="896"/>
      <c r="G178" s="897"/>
      <c r="H178" s="898"/>
      <c r="I178" s="899"/>
      <c r="J178" s="899"/>
      <c r="K178" s="899"/>
      <c r="L178" s="899"/>
      <c r="M178" s="903"/>
    </row>
    <row r="179" spans="1:18" ht="19.7" customHeight="1">
      <c r="A179" s="827" t="s">
        <v>1455</v>
      </c>
      <c r="B179" s="881" t="str">
        <f>A179&amp;B180</f>
        <v>23.크레인(타이어)</v>
      </c>
      <c r="C179" s="882"/>
      <c r="D179" s="883"/>
      <c r="E179" s="884"/>
      <c r="F179" s="884"/>
      <c r="G179" s="884"/>
      <c r="H179" s="885"/>
      <c r="I179" s="882"/>
      <c r="J179" s="882"/>
      <c r="K179" s="882"/>
      <c r="L179" s="882"/>
      <c r="M179" s="886"/>
      <c r="O179" s="239"/>
      <c r="Q179" s="215"/>
      <c r="R179" s="215"/>
    </row>
    <row r="180" spans="1:18" ht="19.7" customHeight="1">
      <c r="A180" s="197">
        <v>23</v>
      </c>
      <c r="B180" s="828" t="s">
        <v>1456</v>
      </c>
      <c r="C180" s="887" t="s">
        <v>619</v>
      </c>
      <c r="D180" s="829"/>
      <c r="E180" s="830"/>
      <c r="F180" s="830"/>
      <c r="G180" s="830"/>
      <c r="H180" s="831"/>
      <c r="I180" s="832" t="e">
        <f>TEXT(J180+K180+L180,"#,##0")</f>
        <v>#REF!</v>
      </c>
      <c r="J180" s="832" t="e">
        <f>TRUNC(J181+J182+J183+J184)</f>
        <v>#REF!</v>
      </c>
      <c r="K180" s="832" t="e">
        <f>TRUNC(K181+K182+K183+K184)</f>
        <v>#REF!</v>
      </c>
      <c r="L180" s="832">
        <f>TRUNC(L181+L182+L183+L184)</f>
        <v>28219</v>
      </c>
      <c r="M180" s="841" t="s">
        <v>1457</v>
      </c>
    </row>
    <row r="181" spans="1:18" ht="19.7" customHeight="1">
      <c r="B181" s="833" t="s">
        <v>658</v>
      </c>
      <c r="C181" s="834"/>
      <c r="D181" s="829">
        <f>$P$3*O181</f>
        <v>122800000</v>
      </c>
      <c r="E181" s="830" t="s">
        <v>1407</v>
      </c>
      <c r="F181" s="830">
        <v>2298</v>
      </c>
      <c r="G181" s="835" t="s">
        <v>652</v>
      </c>
      <c r="H181" s="831" t="s">
        <v>653</v>
      </c>
      <c r="I181" s="836"/>
      <c r="J181" s="836"/>
      <c r="K181" s="836"/>
      <c r="L181" s="836">
        <f>TRUNC(D181*F181*0.0000001,1)</f>
        <v>28219.4</v>
      </c>
      <c r="M181" s="837"/>
      <c r="O181" s="215">
        <v>122800</v>
      </c>
    </row>
    <row r="182" spans="1:18" ht="19.7" customHeight="1">
      <c r="B182" s="833" t="s">
        <v>654</v>
      </c>
      <c r="C182" s="834" t="s">
        <v>655</v>
      </c>
      <c r="D182" s="838">
        <v>3.8</v>
      </c>
      <c r="E182" s="830" t="s">
        <v>1408</v>
      </c>
      <c r="F182" s="830" t="e">
        <f>VLOOKUP($C182,토목기계경비적용기준!H:K,4,FALSE)</f>
        <v>#REF!</v>
      </c>
      <c r="G182" s="835"/>
      <c r="H182" s="831"/>
      <c r="I182" s="836"/>
      <c r="J182" s="836"/>
      <c r="K182" s="836" t="e">
        <f>TRUNC(D182*F182,1)</f>
        <v>#REF!</v>
      </c>
      <c r="L182" s="839"/>
      <c r="M182" s="837"/>
    </row>
    <row r="183" spans="1:18" ht="19.7" customHeight="1">
      <c r="B183" s="833" t="s">
        <v>659</v>
      </c>
      <c r="C183" s="834" t="s">
        <v>656</v>
      </c>
      <c r="D183" s="838">
        <v>39</v>
      </c>
      <c r="E183" s="830" t="s">
        <v>1410</v>
      </c>
      <c r="F183" s="830" t="e">
        <f>K182</f>
        <v>#REF!</v>
      </c>
      <c r="G183" s="835"/>
      <c r="H183" s="831"/>
      <c r="I183" s="836"/>
      <c r="J183" s="836"/>
      <c r="K183" s="836" t="e">
        <f>TRUNC(D183/100*F183,1)</f>
        <v>#REF!</v>
      </c>
      <c r="L183" s="839"/>
      <c r="M183" s="837"/>
    </row>
    <row r="184" spans="1:18" ht="19.7" customHeight="1">
      <c r="B184" s="833" t="s">
        <v>566</v>
      </c>
      <c r="C184" s="834"/>
      <c r="D184" s="840">
        <v>1</v>
      </c>
      <c r="E184" s="830" t="s">
        <v>1409</v>
      </c>
      <c r="F184" s="830" t="e">
        <f>VLOOKUP(B184,#REF!,2,FALSE)</f>
        <v>#REF!</v>
      </c>
      <c r="G184" s="835" t="s">
        <v>652</v>
      </c>
      <c r="H184" s="831" t="s">
        <v>639</v>
      </c>
      <c r="I184" s="836"/>
      <c r="J184" s="836" t="e">
        <f>TRUNC(D184*F184*토목기계경비적용기준!$E$19,1)</f>
        <v>#REF!</v>
      </c>
      <c r="K184" s="839"/>
      <c r="L184" s="839"/>
      <c r="M184" s="841"/>
    </row>
    <row r="185" spans="1:18" ht="19.7" customHeight="1">
      <c r="B185" s="833"/>
      <c r="C185" s="834"/>
      <c r="D185" s="840"/>
      <c r="E185" s="830"/>
      <c r="F185" s="830"/>
      <c r="G185" s="835"/>
      <c r="H185" s="831"/>
      <c r="I185" s="836"/>
      <c r="J185" s="836"/>
      <c r="K185" s="839"/>
      <c r="L185" s="839"/>
      <c r="M185" s="841"/>
    </row>
    <row r="186" spans="1:18" ht="19.7" customHeight="1">
      <c r="A186" s="827" t="s">
        <v>1458</v>
      </c>
      <c r="B186" s="828" t="str">
        <f>A186&amp;B187</f>
        <v>24.크레인(타이어)</v>
      </c>
      <c r="C186" s="842"/>
      <c r="D186" s="889"/>
      <c r="E186" s="890"/>
      <c r="F186" s="890"/>
      <c r="G186" s="890"/>
      <c r="H186" s="891"/>
      <c r="I186" s="842"/>
      <c r="J186" s="842"/>
      <c r="K186" s="842"/>
      <c r="L186" s="842"/>
      <c r="M186" s="892"/>
      <c r="O186" s="239"/>
      <c r="Q186" s="215"/>
      <c r="R186" s="215"/>
    </row>
    <row r="187" spans="1:18" ht="19.7" customHeight="1">
      <c r="A187" s="197">
        <v>24</v>
      </c>
      <c r="B187" s="828" t="s">
        <v>1456</v>
      </c>
      <c r="C187" s="887" t="s">
        <v>810</v>
      </c>
      <c r="D187" s="829"/>
      <c r="E187" s="830"/>
      <c r="F187" s="830"/>
      <c r="G187" s="830"/>
      <c r="H187" s="831"/>
      <c r="I187" s="832" t="e">
        <f>TEXT(J187+K187+L187,"#,##0")</f>
        <v>#REF!</v>
      </c>
      <c r="J187" s="832" t="e">
        <f>TRUNC(J188+J189+J190+J191)</f>
        <v>#REF!</v>
      </c>
      <c r="K187" s="832" t="e">
        <f>TRUNC(K188+K189+K190+K191)</f>
        <v>#REF!</v>
      </c>
      <c r="L187" s="832">
        <f>TRUNC(L188+L189+L190+L191)</f>
        <v>54110</v>
      </c>
      <c r="M187" s="841" t="s">
        <v>1459</v>
      </c>
    </row>
    <row r="188" spans="1:18" ht="19.7" customHeight="1">
      <c r="B188" s="833" t="s">
        <v>658</v>
      </c>
      <c r="C188" s="834"/>
      <c r="D188" s="829">
        <f>$P$3*O188</f>
        <v>263057000</v>
      </c>
      <c r="E188" s="830" t="s">
        <v>1407</v>
      </c>
      <c r="F188" s="830">
        <v>2057</v>
      </c>
      <c r="G188" s="835" t="s">
        <v>652</v>
      </c>
      <c r="H188" s="831" t="s">
        <v>653</v>
      </c>
      <c r="I188" s="836"/>
      <c r="J188" s="836"/>
      <c r="K188" s="836"/>
      <c r="L188" s="836">
        <f>TRUNC(D188*F188*0.0000001,1)</f>
        <v>54110.8</v>
      </c>
      <c r="M188" s="837"/>
      <c r="O188" s="215">
        <v>263057</v>
      </c>
    </row>
    <row r="189" spans="1:18" ht="19.7" customHeight="1">
      <c r="B189" s="833" t="s">
        <v>654</v>
      </c>
      <c r="C189" s="834" t="s">
        <v>655</v>
      </c>
      <c r="D189" s="838">
        <v>6.1</v>
      </c>
      <c r="E189" s="830" t="s">
        <v>1408</v>
      </c>
      <c r="F189" s="830" t="e">
        <f>VLOOKUP($C189,토목기계경비적용기준!H:K,4,FALSE)</f>
        <v>#REF!</v>
      </c>
      <c r="G189" s="835"/>
      <c r="H189" s="831"/>
      <c r="I189" s="836"/>
      <c r="J189" s="836"/>
      <c r="K189" s="836" t="e">
        <f>TRUNC(D189*F189,1)</f>
        <v>#REF!</v>
      </c>
      <c r="L189" s="839"/>
      <c r="M189" s="837"/>
    </row>
    <row r="190" spans="1:18" ht="19.7" customHeight="1">
      <c r="B190" s="833" t="s">
        <v>659</v>
      </c>
      <c r="C190" s="834" t="s">
        <v>656</v>
      </c>
      <c r="D190" s="838">
        <v>39</v>
      </c>
      <c r="E190" s="830" t="s">
        <v>1410</v>
      </c>
      <c r="F190" s="830" t="e">
        <f>K189</f>
        <v>#REF!</v>
      </c>
      <c r="G190" s="835"/>
      <c r="H190" s="831"/>
      <c r="I190" s="836"/>
      <c r="J190" s="836"/>
      <c r="K190" s="836" t="e">
        <f>TRUNC(D190/100*F190,1)</f>
        <v>#REF!</v>
      </c>
      <c r="L190" s="839"/>
      <c r="M190" s="837"/>
    </row>
    <row r="191" spans="1:18" ht="19.7" customHeight="1">
      <c r="B191" s="833" t="s">
        <v>566</v>
      </c>
      <c r="C191" s="834"/>
      <c r="D191" s="840">
        <v>1</v>
      </c>
      <c r="E191" s="830" t="s">
        <v>1409</v>
      </c>
      <c r="F191" s="830" t="e">
        <f>VLOOKUP(B191,#REF!,2,FALSE)</f>
        <v>#REF!</v>
      </c>
      <c r="G191" s="835" t="s">
        <v>652</v>
      </c>
      <c r="H191" s="831" t="s">
        <v>639</v>
      </c>
      <c r="I191" s="836"/>
      <c r="J191" s="836" t="e">
        <f>TRUNC(D191*F191*토목기계경비적용기준!$E$19,1)</f>
        <v>#REF!</v>
      </c>
      <c r="K191" s="839"/>
      <c r="L191" s="839"/>
      <c r="M191" s="841"/>
    </row>
    <row r="192" spans="1:18" ht="19.7" customHeight="1">
      <c r="B192" s="833"/>
      <c r="C192" s="834"/>
      <c r="D192" s="840"/>
      <c r="E192" s="830"/>
      <c r="F192" s="830"/>
      <c r="G192" s="835"/>
      <c r="H192" s="831"/>
      <c r="I192" s="836"/>
      <c r="J192" s="836"/>
      <c r="K192" s="839"/>
      <c r="L192" s="839"/>
      <c r="M192" s="841"/>
    </row>
    <row r="193" spans="1:18" ht="19.7" customHeight="1">
      <c r="A193" s="827" t="s">
        <v>1460</v>
      </c>
      <c r="B193" s="828" t="str">
        <f>A193&amp;B194</f>
        <v>25.아스팔트 페이버(피니셔)</v>
      </c>
      <c r="C193" s="842"/>
      <c r="D193" s="889"/>
      <c r="E193" s="890"/>
      <c r="F193" s="890"/>
      <c r="G193" s="890"/>
      <c r="H193" s="891"/>
      <c r="I193" s="842"/>
      <c r="J193" s="842"/>
      <c r="K193" s="842"/>
      <c r="L193" s="842"/>
      <c r="M193" s="892"/>
      <c r="O193" s="239"/>
      <c r="Q193" s="215"/>
      <c r="R193" s="215"/>
    </row>
    <row r="194" spans="1:18" ht="19.7" customHeight="1">
      <c r="A194" s="197">
        <v>25</v>
      </c>
      <c r="B194" s="828" t="s">
        <v>1461</v>
      </c>
      <c r="C194" s="887" t="s">
        <v>667</v>
      </c>
      <c r="D194" s="829"/>
      <c r="E194" s="830"/>
      <c r="F194" s="830"/>
      <c r="G194" s="830"/>
      <c r="H194" s="831"/>
      <c r="I194" s="832" t="e">
        <f>TEXT(J194+K194+L194,"#,##0")</f>
        <v>#REF!</v>
      </c>
      <c r="J194" s="832" t="e">
        <f>TRUNC(J195+J196+J197+J198)</f>
        <v>#REF!</v>
      </c>
      <c r="K194" s="832" t="e">
        <f>TRUNC(K195+K196+K197+K198)</f>
        <v>#REF!</v>
      </c>
      <c r="L194" s="832">
        <f>TRUNC(L195+L196+L197+L198)</f>
        <v>49004</v>
      </c>
      <c r="M194" s="841" t="s">
        <v>1462</v>
      </c>
    </row>
    <row r="195" spans="1:18" ht="19.7" customHeight="1">
      <c r="B195" s="833" t="s">
        <v>658</v>
      </c>
      <c r="C195" s="834"/>
      <c r="D195" s="829">
        <f>$P$3*O195</f>
        <v>207472000</v>
      </c>
      <c r="E195" s="830" t="s">
        <v>1407</v>
      </c>
      <c r="F195" s="830">
        <v>2362</v>
      </c>
      <c r="G195" s="835" t="s">
        <v>652</v>
      </c>
      <c r="H195" s="831" t="s">
        <v>653</v>
      </c>
      <c r="I195" s="836"/>
      <c r="J195" s="836"/>
      <c r="K195" s="836"/>
      <c r="L195" s="836">
        <f>TRUNC(D195*F195*0.0000001,1)</f>
        <v>49004.800000000003</v>
      </c>
      <c r="M195" s="837"/>
      <c r="O195" s="215">
        <v>207472</v>
      </c>
    </row>
    <row r="196" spans="1:18" ht="19.7" customHeight="1">
      <c r="B196" s="833" t="s">
        <v>654</v>
      </c>
      <c r="C196" s="834" t="s">
        <v>655</v>
      </c>
      <c r="D196" s="838">
        <v>13</v>
      </c>
      <c r="E196" s="830" t="s">
        <v>1408</v>
      </c>
      <c r="F196" s="830" t="e">
        <f>VLOOKUP($C196,토목기계경비적용기준!H:K,4,FALSE)</f>
        <v>#REF!</v>
      </c>
      <c r="G196" s="835"/>
      <c r="H196" s="831"/>
      <c r="I196" s="836"/>
      <c r="J196" s="836"/>
      <c r="K196" s="836" t="e">
        <f>TRUNC(D196*F196,1)</f>
        <v>#REF!</v>
      </c>
      <c r="L196" s="839"/>
      <c r="M196" s="837"/>
    </row>
    <row r="197" spans="1:18" ht="19.7" customHeight="1">
      <c r="B197" s="833" t="s">
        <v>659</v>
      </c>
      <c r="C197" s="834" t="s">
        <v>656</v>
      </c>
      <c r="D197" s="838">
        <v>7</v>
      </c>
      <c r="E197" s="830" t="s">
        <v>1410</v>
      </c>
      <c r="F197" s="830" t="e">
        <f>K196</f>
        <v>#REF!</v>
      </c>
      <c r="G197" s="835"/>
      <c r="H197" s="831"/>
      <c r="I197" s="836"/>
      <c r="J197" s="836"/>
      <c r="K197" s="836" t="e">
        <f>TRUNC(D197/100*F197,1)</f>
        <v>#REF!</v>
      </c>
      <c r="L197" s="839"/>
      <c r="M197" s="837"/>
    </row>
    <row r="198" spans="1:18" ht="19.7" customHeight="1">
      <c r="B198" s="833" t="s">
        <v>566</v>
      </c>
      <c r="C198" s="834"/>
      <c r="D198" s="840">
        <v>1</v>
      </c>
      <c r="E198" s="830" t="s">
        <v>1409</v>
      </c>
      <c r="F198" s="830" t="e">
        <f>VLOOKUP(B198,#REF!,2,FALSE)</f>
        <v>#REF!</v>
      </c>
      <c r="G198" s="835" t="s">
        <v>652</v>
      </c>
      <c r="H198" s="831" t="s">
        <v>639</v>
      </c>
      <c r="I198" s="836"/>
      <c r="J198" s="836" t="e">
        <f>TRUNC(D198*F198*토목기계경비적용기준!$E$19,1)</f>
        <v>#REF!</v>
      </c>
      <c r="K198" s="839"/>
      <c r="L198" s="839"/>
      <c r="M198" s="841"/>
    </row>
    <row r="199" spans="1:18" ht="19.7" customHeight="1">
      <c r="B199" s="833"/>
      <c r="C199" s="834"/>
      <c r="D199" s="840"/>
      <c r="E199" s="830"/>
      <c r="F199" s="830"/>
      <c r="G199" s="835"/>
      <c r="H199" s="831"/>
      <c r="I199" s="836"/>
      <c r="J199" s="836"/>
      <c r="K199" s="839"/>
      <c r="L199" s="839"/>
      <c r="M199" s="841"/>
    </row>
    <row r="200" spans="1:18" ht="19.7" customHeight="1">
      <c r="B200" s="833"/>
      <c r="C200" s="834"/>
      <c r="D200" s="840"/>
      <c r="E200" s="830"/>
      <c r="F200" s="830"/>
      <c r="G200" s="835"/>
      <c r="H200" s="831"/>
      <c r="I200" s="836"/>
      <c r="J200" s="836"/>
      <c r="K200" s="839"/>
      <c r="L200" s="839"/>
      <c r="M200" s="841"/>
    </row>
    <row r="201" spans="1:18" ht="19.7" customHeight="1">
      <c r="B201" s="833"/>
      <c r="C201" s="834"/>
      <c r="D201" s="840"/>
      <c r="E201" s="830"/>
      <c r="F201" s="830"/>
      <c r="G201" s="835"/>
      <c r="H201" s="831"/>
      <c r="I201" s="836"/>
      <c r="J201" s="836"/>
      <c r="K201" s="839"/>
      <c r="L201" s="839"/>
      <c r="M201" s="841"/>
    </row>
    <row r="202" spans="1:18" ht="19.7" customHeight="1">
      <c r="B202" s="833"/>
      <c r="C202" s="834"/>
      <c r="D202" s="840"/>
      <c r="E202" s="830"/>
      <c r="F202" s="830"/>
      <c r="G202" s="835"/>
      <c r="H202" s="831"/>
      <c r="I202" s="836"/>
      <c r="J202" s="836"/>
      <c r="K202" s="839"/>
      <c r="L202" s="839"/>
      <c r="M202" s="841"/>
    </row>
    <row r="203" spans="1:18" ht="19.7" customHeight="1">
      <c r="B203" s="893"/>
      <c r="C203" s="894"/>
      <c r="D203" s="895"/>
      <c r="E203" s="896"/>
      <c r="F203" s="896"/>
      <c r="G203" s="897"/>
      <c r="H203" s="898"/>
      <c r="I203" s="899"/>
      <c r="J203" s="899"/>
      <c r="K203" s="900"/>
      <c r="L203" s="900"/>
      <c r="M203" s="901"/>
    </row>
    <row r="204" spans="1:18" ht="19.7" customHeight="1">
      <c r="A204" s="827" t="s">
        <v>1463</v>
      </c>
      <c r="B204" s="881" t="str">
        <f>A204&amp;B205</f>
        <v>26.머캐덤 로울러(자주식)</v>
      </c>
      <c r="C204" s="882"/>
      <c r="D204" s="883"/>
      <c r="E204" s="884"/>
      <c r="F204" s="884"/>
      <c r="G204" s="884"/>
      <c r="H204" s="885"/>
      <c r="I204" s="882"/>
      <c r="J204" s="882"/>
      <c r="K204" s="882"/>
      <c r="L204" s="882"/>
      <c r="M204" s="886"/>
      <c r="O204" s="239"/>
      <c r="Q204" s="215"/>
      <c r="R204" s="215"/>
    </row>
    <row r="205" spans="1:18" ht="19.7" customHeight="1">
      <c r="A205" s="197">
        <v>26</v>
      </c>
      <c r="B205" s="828" t="s">
        <v>1464</v>
      </c>
      <c r="C205" s="887" t="s">
        <v>663</v>
      </c>
      <c r="D205" s="829"/>
      <c r="E205" s="830"/>
      <c r="F205" s="830"/>
      <c r="G205" s="830"/>
      <c r="H205" s="831"/>
      <c r="I205" s="832" t="e">
        <f>TEXT(J205+K205+L205,"#,##0")</f>
        <v>#REF!</v>
      </c>
      <c r="J205" s="832" t="e">
        <f>TRUNC(J206+J207+J208+J209)</f>
        <v>#REF!</v>
      </c>
      <c r="K205" s="832" t="e">
        <f>TRUNC(K206+K207+K208+K209)</f>
        <v>#REF!</v>
      </c>
      <c r="L205" s="832">
        <f>TRUNC(L206+L207+L208+L209)</f>
        <v>10707</v>
      </c>
      <c r="M205" s="841" t="s">
        <v>1465</v>
      </c>
    </row>
    <row r="206" spans="1:18" ht="19.7" customHeight="1">
      <c r="B206" s="833" t="s">
        <v>658</v>
      </c>
      <c r="C206" s="834"/>
      <c r="D206" s="829">
        <f>$P$3*O206</f>
        <v>59419000</v>
      </c>
      <c r="E206" s="830" t="s">
        <v>1407</v>
      </c>
      <c r="F206" s="830">
        <v>1802</v>
      </c>
      <c r="G206" s="835" t="s">
        <v>652</v>
      </c>
      <c r="H206" s="831" t="s">
        <v>1445</v>
      </c>
      <c r="I206" s="836"/>
      <c r="J206" s="836"/>
      <c r="K206" s="836"/>
      <c r="L206" s="836">
        <f>TRUNC(D206*F206*0.0000001,1)</f>
        <v>10707.3</v>
      </c>
      <c r="M206" s="837"/>
      <c r="O206" s="215">
        <v>59419</v>
      </c>
      <c r="Q206" s="215"/>
    </row>
    <row r="207" spans="1:18" ht="19.7" customHeight="1">
      <c r="B207" s="833" t="s">
        <v>654</v>
      </c>
      <c r="C207" s="834" t="s">
        <v>655</v>
      </c>
      <c r="D207" s="838">
        <v>9.3000000000000007</v>
      </c>
      <c r="E207" s="830" t="s">
        <v>1408</v>
      </c>
      <c r="F207" s="830" t="e">
        <f>VLOOKUP($C207,토목기계경비적용기준!H:K,4,FALSE)</f>
        <v>#REF!</v>
      </c>
      <c r="G207" s="835"/>
      <c r="H207" s="831"/>
      <c r="I207" s="836"/>
      <c r="J207" s="836"/>
      <c r="K207" s="836" t="e">
        <f>TRUNC(D207*F207,1)</f>
        <v>#REF!</v>
      </c>
      <c r="L207" s="839"/>
      <c r="M207" s="837"/>
    </row>
    <row r="208" spans="1:18" ht="19.7" customHeight="1">
      <c r="B208" s="833" t="s">
        <v>659</v>
      </c>
      <c r="C208" s="834" t="s">
        <v>656</v>
      </c>
      <c r="D208" s="838">
        <v>18</v>
      </c>
      <c r="E208" s="830" t="s">
        <v>1410</v>
      </c>
      <c r="F208" s="830" t="e">
        <f>K207</f>
        <v>#REF!</v>
      </c>
      <c r="G208" s="835"/>
      <c r="H208" s="831"/>
      <c r="I208" s="836"/>
      <c r="J208" s="836"/>
      <c r="K208" s="836" t="e">
        <f>TRUNC(D208/100*F208,1)</f>
        <v>#REF!</v>
      </c>
      <c r="L208" s="839"/>
      <c r="M208" s="837"/>
    </row>
    <row r="209" spans="1:18" ht="19.7" customHeight="1">
      <c r="B209" s="833" t="s">
        <v>566</v>
      </c>
      <c r="C209" s="834"/>
      <c r="D209" s="840">
        <v>1</v>
      </c>
      <c r="E209" s="830" t="s">
        <v>1409</v>
      </c>
      <c r="F209" s="830" t="e">
        <f>VLOOKUP(B209,#REF!,2,FALSE)</f>
        <v>#REF!</v>
      </c>
      <c r="G209" s="835" t="s">
        <v>652</v>
      </c>
      <c r="H209" s="831" t="s">
        <v>639</v>
      </c>
      <c r="I209" s="836"/>
      <c r="J209" s="836" t="e">
        <f>TRUNC(D209*F209*토목기계경비적용기준!$E$19,1)</f>
        <v>#REF!</v>
      </c>
      <c r="K209" s="839"/>
      <c r="L209" s="839"/>
      <c r="M209" s="841"/>
    </row>
    <row r="210" spans="1:18" ht="19.7" customHeight="1">
      <c r="B210" s="833"/>
      <c r="C210" s="834"/>
      <c r="D210" s="840"/>
      <c r="E210" s="830"/>
      <c r="F210" s="830"/>
      <c r="G210" s="835"/>
      <c r="H210" s="831"/>
      <c r="I210" s="836"/>
      <c r="J210" s="836"/>
      <c r="K210" s="839"/>
      <c r="L210" s="839"/>
      <c r="M210" s="841"/>
    </row>
    <row r="211" spans="1:18" ht="19.7" customHeight="1">
      <c r="A211" s="827" t="s">
        <v>1466</v>
      </c>
      <c r="B211" s="828" t="str">
        <f>A211&amp;B212</f>
        <v>27.타이어 로울러(자주식)</v>
      </c>
      <c r="C211" s="842"/>
      <c r="D211" s="889"/>
      <c r="E211" s="890"/>
      <c r="F211" s="890"/>
      <c r="G211" s="890"/>
      <c r="H211" s="891"/>
      <c r="I211" s="842"/>
      <c r="J211" s="842"/>
      <c r="K211" s="842"/>
      <c r="L211" s="842"/>
      <c r="M211" s="892"/>
      <c r="O211" s="239"/>
      <c r="Q211" s="215"/>
      <c r="R211" s="215"/>
    </row>
    <row r="212" spans="1:18" ht="19.7" customHeight="1">
      <c r="A212" s="197">
        <v>27</v>
      </c>
      <c r="B212" s="828" t="s">
        <v>1467</v>
      </c>
      <c r="C212" s="887" t="s">
        <v>754</v>
      </c>
      <c r="D212" s="829"/>
      <c r="E212" s="830"/>
      <c r="F212" s="830"/>
      <c r="G212" s="830"/>
      <c r="H212" s="831"/>
      <c r="I212" s="832" t="e">
        <f>TEXT(J212+K212+L212,"#,##0")</f>
        <v>#REF!</v>
      </c>
      <c r="J212" s="832" t="e">
        <f>TRUNC(J213+J214+J215+J216)</f>
        <v>#REF!</v>
      </c>
      <c r="K212" s="832" t="e">
        <f>TRUNC(K213+K214+K215+K216)</f>
        <v>#REF!</v>
      </c>
      <c r="L212" s="832">
        <f>TRUNC(L213+L214+L215+L216)</f>
        <v>15407</v>
      </c>
      <c r="M212" s="841" t="s">
        <v>1468</v>
      </c>
    </row>
    <row r="213" spans="1:18" ht="19.7" customHeight="1">
      <c r="B213" s="833" t="s">
        <v>658</v>
      </c>
      <c r="C213" s="834"/>
      <c r="D213" s="829">
        <f>$P$3*O213</f>
        <v>85501000</v>
      </c>
      <c r="E213" s="830" t="s">
        <v>1407</v>
      </c>
      <c r="F213" s="830">
        <v>1802</v>
      </c>
      <c r="G213" s="835" t="s">
        <v>652</v>
      </c>
      <c r="H213" s="831" t="s">
        <v>1445</v>
      </c>
      <c r="I213" s="836"/>
      <c r="J213" s="836"/>
      <c r="K213" s="836"/>
      <c r="L213" s="836">
        <f>TRUNC(D213*F213*0.0000001,1)</f>
        <v>15407.2</v>
      </c>
      <c r="M213" s="837"/>
      <c r="O213" s="215">
        <v>85501</v>
      </c>
      <c r="Q213" s="215"/>
    </row>
    <row r="214" spans="1:18" ht="19.7" customHeight="1">
      <c r="B214" s="833" t="s">
        <v>654</v>
      </c>
      <c r="C214" s="834" t="s">
        <v>655</v>
      </c>
      <c r="D214" s="838">
        <v>8</v>
      </c>
      <c r="E214" s="830" t="s">
        <v>1408</v>
      </c>
      <c r="F214" s="830" t="e">
        <f>VLOOKUP($C214,토목기계경비적용기준!H:K,4,FALSE)</f>
        <v>#REF!</v>
      </c>
      <c r="G214" s="835"/>
      <c r="H214" s="831"/>
      <c r="I214" s="836"/>
      <c r="J214" s="836"/>
      <c r="K214" s="836" t="e">
        <f>TRUNC(D214*F214,1)</f>
        <v>#REF!</v>
      </c>
      <c r="L214" s="839"/>
      <c r="M214" s="837"/>
    </row>
    <row r="215" spans="1:18" ht="19.7" customHeight="1">
      <c r="B215" s="833" t="s">
        <v>659</v>
      </c>
      <c r="C215" s="834" t="s">
        <v>656</v>
      </c>
      <c r="D215" s="838">
        <v>23</v>
      </c>
      <c r="E215" s="830" t="s">
        <v>1410</v>
      </c>
      <c r="F215" s="830" t="e">
        <f>K214</f>
        <v>#REF!</v>
      </c>
      <c r="G215" s="835"/>
      <c r="H215" s="831"/>
      <c r="I215" s="836"/>
      <c r="J215" s="836"/>
      <c r="K215" s="836" t="e">
        <f>TRUNC(D215/100*F215,1)</f>
        <v>#REF!</v>
      </c>
      <c r="L215" s="839"/>
      <c r="M215" s="837"/>
    </row>
    <row r="216" spans="1:18" ht="19.7" customHeight="1">
      <c r="B216" s="833" t="s">
        <v>566</v>
      </c>
      <c r="C216" s="834"/>
      <c r="D216" s="840">
        <v>1</v>
      </c>
      <c r="E216" s="830" t="s">
        <v>1409</v>
      </c>
      <c r="F216" s="830" t="e">
        <f>VLOOKUP(B216,#REF!,2,FALSE)</f>
        <v>#REF!</v>
      </c>
      <c r="G216" s="835" t="s">
        <v>652</v>
      </c>
      <c r="H216" s="831" t="s">
        <v>639</v>
      </c>
      <c r="I216" s="836"/>
      <c r="J216" s="836" t="e">
        <f>TRUNC(D216*F216*토목기계경비적용기준!$E$19,1)</f>
        <v>#REF!</v>
      </c>
      <c r="K216" s="839"/>
      <c r="L216" s="839"/>
      <c r="M216" s="841"/>
    </row>
    <row r="217" spans="1:18" ht="19.7" customHeight="1">
      <c r="B217" s="833"/>
      <c r="C217" s="834"/>
      <c r="D217" s="840"/>
      <c r="E217" s="830"/>
      <c r="F217" s="830"/>
      <c r="G217" s="835"/>
      <c r="H217" s="831"/>
      <c r="I217" s="836"/>
      <c r="J217" s="836"/>
      <c r="K217" s="839"/>
      <c r="L217" s="839"/>
      <c r="M217" s="841"/>
    </row>
    <row r="218" spans="1:18" ht="19.7" customHeight="1">
      <c r="A218" s="827" t="s">
        <v>1469</v>
      </c>
      <c r="B218" s="828" t="str">
        <f>A218&amp;B219</f>
        <v>02.램  머</v>
      </c>
      <c r="C218" s="842"/>
      <c r="D218" s="889"/>
      <c r="E218" s="890"/>
      <c r="F218" s="890"/>
      <c r="G218" s="890"/>
      <c r="H218" s="891"/>
      <c r="I218" s="842"/>
      <c r="J218" s="842"/>
      <c r="K218" s="842"/>
      <c r="L218" s="842"/>
      <c r="M218" s="892"/>
      <c r="O218" s="239"/>
      <c r="Q218" s="215"/>
      <c r="R218" s="215"/>
    </row>
    <row r="219" spans="1:18" ht="19.7" customHeight="1">
      <c r="A219" s="843">
        <v>28</v>
      </c>
      <c r="B219" s="828" t="s">
        <v>1470</v>
      </c>
      <c r="C219" s="887" t="s">
        <v>758</v>
      </c>
      <c r="D219" s="829"/>
      <c r="E219" s="830"/>
      <c r="F219" s="830"/>
      <c r="G219" s="830"/>
      <c r="H219" s="831"/>
      <c r="I219" s="832" t="e">
        <f>TEXT(J219+K219+L219,"#,##0")</f>
        <v>#REF!</v>
      </c>
      <c r="J219" s="832" t="e">
        <f>TRUNC(J220+J221+J222+J223)</f>
        <v>#REF!</v>
      </c>
      <c r="K219" s="832" t="e">
        <f>TRUNC(K220+K221+K222+K223)</f>
        <v>#REF!</v>
      </c>
      <c r="L219" s="832">
        <f>TRUNC(L220+L221+L222+L223)</f>
        <v>457</v>
      </c>
      <c r="M219" s="841" t="s">
        <v>1471</v>
      </c>
    </row>
    <row r="220" spans="1:18" ht="19.7" customHeight="1">
      <c r="B220" s="833" t="s">
        <v>658</v>
      </c>
      <c r="C220" s="834"/>
      <c r="D220" s="829">
        <f>$P$3*O220</f>
        <v>1233000</v>
      </c>
      <c r="E220" s="830" t="s">
        <v>1407</v>
      </c>
      <c r="F220" s="830">
        <v>3708</v>
      </c>
      <c r="G220" s="835" t="s">
        <v>652</v>
      </c>
      <c r="H220" s="831" t="s">
        <v>653</v>
      </c>
      <c r="I220" s="836"/>
      <c r="J220" s="836"/>
      <c r="K220" s="836"/>
      <c r="L220" s="836">
        <f>TRUNC(D220*F220*0.0000001,1)</f>
        <v>457.1</v>
      </c>
      <c r="M220" s="837"/>
      <c r="O220" s="215">
        <v>1233</v>
      </c>
    </row>
    <row r="221" spans="1:18" ht="19.7" customHeight="1">
      <c r="B221" s="833" t="s">
        <v>654</v>
      </c>
      <c r="C221" s="834" t="s">
        <v>665</v>
      </c>
      <c r="D221" s="838">
        <v>0.7</v>
      </c>
      <c r="E221" s="830" t="s">
        <v>1408</v>
      </c>
      <c r="F221" s="830" t="e">
        <f>VLOOKUP($C221,토목기계경비적용기준!H:K,4,FALSE)</f>
        <v>#REF!</v>
      </c>
      <c r="G221" s="835"/>
      <c r="H221" s="831"/>
      <c r="I221" s="836"/>
      <c r="J221" s="836"/>
      <c r="K221" s="836" t="e">
        <f>TRUNC(D221*F221,1)</f>
        <v>#REF!</v>
      </c>
      <c r="L221" s="839"/>
      <c r="M221" s="837"/>
    </row>
    <row r="222" spans="1:18" ht="19.7" customHeight="1">
      <c r="B222" s="833" t="s">
        <v>659</v>
      </c>
      <c r="C222" s="834" t="s">
        <v>656</v>
      </c>
      <c r="D222" s="838">
        <v>10</v>
      </c>
      <c r="E222" s="830" t="s">
        <v>1410</v>
      </c>
      <c r="F222" s="830" t="e">
        <f>K221</f>
        <v>#REF!</v>
      </c>
      <c r="G222" s="835"/>
      <c r="H222" s="831"/>
      <c r="I222" s="836"/>
      <c r="J222" s="836"/>
      <c r="K222" s="836" t="e">
        <f>TRUNC(D222/100*F222,1)</f>
        <v>#REF!</v>
      </c>
      <c r="L222" s="839"/>
      <c r="M222" s="837"/>
    </row>
    <row r="223" spans="1:18" ht="19.7" customHeight="1">
      <c r="B223" s="833" t="s">
        <v>568</v>
      </c>
      <c r="C223" s="834"/>
      <c r="D223" s="840">
        <v>1</v>
      </c>
      <c r="E223" s="830" t="s">
        <v>1409</v>
      </c>
      <c r="F223" s="830" t="e">
        <f>VLOOKUP(B223,#REF!,2,FALSE)</f>
        <v>#REF!</v>
      </c>
      <c r="G223" s="835" t="s">
        <v>652</v>
      </c>
      <c r="H223" s="831" t="s">
        <v>639</v>
      </c>
      <c r="I223" s="836"/>
      <c r="J223" s="836" t="e">
        <f>TRUNC(D223*F223*토목기계경비적용기준!$E$19,1)</f>
        <v>#REF!</v>
      </c>
      <c r="K223" s="839"/>
      <c r="L223" s="839"/>
      <c r="M223" s="841"/>
    </row>
    <row r="224" spans="1:18" ht="19.7" customHeight="1">
      <c r="B224" s="833"/>
      <c r="C224" s="834"/>
      <c r="D224" s="840"/>
      <c r="E224" s="830"/>
      <c r="F224" s="830"/>
      <c r="G224" s="835"/>
      <c r="H224" s="831"/>
      <c r="I224" s="836"/>
      <c r="J224" s="836"/>
      <c r="K224" s="839"/>
      <c r="L224" s="839"/>
      <c r="M224" s="841"/>
    </row>
    <row r="225" spans="1:18" ht="19.7" customHeight="1">
      <c r="B225" s="833"/>
      <c r="C225" s="834"/>
      <c r="D225" s="840"/>
      <c r="E225" s="830"/>
      <c r="F225" s="830"/>
      <c r="G225" s="835"/>
      <c r="H225" s="831"/>
      <c r="I225" s="836"/>
      <c r="J225" s="836"/>
      <c r="K225" s="839"/>
      <c r="L225" s="839"/>
      <c r="M225" s="841"/>
    </row>
    <row r="226" spans="1:18" ht="19.7" customHeight="1">
      <c r="B226" s="833"/>
      <c r="C226" s="834"/>
      <c r="D226" s="840"/>
      <c r="E226" s="830"/>
      <c r="F226" s="830"/>
      <c r="G226" s="835"/>
      <c r="H226" s="831"/>
      <c r="I226" s="836"/>
      <c r="J226" s="836"/>
      <c r="K226" s="839"/>
      <c r="L226" s="839"/>
      <c r="M226" s="841"/>
    </row>
    <row r="227" spans="1:18" ht="19.7" customHeight="1">
      <c r="B227" s="833"/>
      <c r="C227" s="834"/>
      <c r="D227" s="840"/>
      <c r="E227" s="830"/>
      <c r="F227" s="830"/>
      <c r="G227" s="835"/>
      <c r="H227" s="831"/>
      <c r="I227" s="836"/>
      <c r="J227" s="836"/>
      <c r="K227" s="839"/>
      <c r="L227" s="839"/>
      <c r="M227" s="841"/>
    </row>
    <row r="228" spans="1:18" ht="19.7" customHeight="1">
      <c r="B228" s="833"/>
      <c r="C228" s="834"/>
      <c r="D228" s="840"/>
      <c r="E228" s="830"/>
      <c r="F228" s="830"/>
      <c r="G228" s="835"/>
      <c r="H228" s="831"/>
      <c r="I228" s="836"/>
      <c r="J228" s="836"/>
      <c r="K228" s="839"/>
      <c r="L228" s="839"/>
      <c r="M228" s="841"/>
    </row>
    <row r="229" spans="1:18" ht="19.7" customHeight="1">
      <c r="A229" s="827" t="s">
        <v>1472</v>
      </c>
      <c r="B229" s="828" t="str">
        <f>A229&amp;B230</f>
        <v>03.트럭탑재형크레인</v>
      </c>
      <c r="C229" s="842"/>
      <c r="D229" s="889"/>
      <c r="E229" s="890"/>
      <c r="F229" s="890"/>
      <c r="G229" s="890"/>
      <c r="H229" s="891"/>
      <c r="I229" s="842"/>
      <c r="J229" s="842"/>
      <c r="K229" s="842"/>
      <c r="L229" s="842"/>
      <c r="M229" s="892"/>
      <c r="O229" s="239"/>
      <c r="Q229" s="215"/>
      <c r="R229" s="215"/>
    </row>
    <row r="230" spans="1:18" ht="19.7" customHeight="1">
      <c r="A230" s="843">
        <v>29</v>
      </c>
      <c r="B230" s="828" t="s">
        <v>1473</v>
      </c>
      <c r="C230" s="887" t="s">
        <v>757</v>
      </c>
      <c r="D230" s="829"/>
      <c r="E230" s="830"/>
      <c r="F230" s="830"/>
      <c r="G230" s="830"/>
      <c r="H230" s="831"/>
      <c r="I230" s="832" t="e">
        <f>TEXT(J230+K230+L230,"#,##0")</f>
        <v>#REF!</v>
      </c>
      <c r="J230" s="832" t="e">
        <f>TRUNC(J231+J232+J233+J234)</f>
        <v>#REF!</v>
      </c>
      <c r="K230" s="832" t="e">
        <f>TRUNC(K231+K232+K233+K234)</f>
        <v>#REF!</v>
      </c>
      <c r="L230" s="832">
        <f>TRUNC(L231+L232+L233+L234)</f>
        <v>9469</v>
      </c>
      <c r="M230" s="841" t="s">
        <v>1474</v>
      </c>
    </row>
    <row r="231" spans="1:18" ht="19.7" customHeight="1">
      <c r="B231" s="833" t="s">
        <v>755</v>
      </c>
      <c r="C231" s="834"/>
      <c r="D231" s="829">
        <f>$P$3*O231</f>
        <v>36449000</v>
      </c>
      <c r="E231" s="830" t="s">
        <v>1407</v>
      </c>
      <c r="F231" s="830">
        <v>2598</v>
      </c>
      <c r="G231" s="835" t="s">
        <v>652</v>
      </c>
      <c r="H231" s="831" t="s">
        <v>653</v>
      </c>
      <c r="I231" s="836"/>
      <c r="J231" s="836"/>
      <c r="K231" s="836"/>
      <c r="L231" s="836">
        <f>TRUNC(D231*F231*0.0000001,1)</f>
        <v>9469.4</v>
      </c>
      <c r="M231" s="837"/>
      <c r="O231" s="215">
        <v>36449</v>
      </c>
    </row>
    <row r="232" spans="1:18" ht="19.7" customHeight="1">
      <c r="B232" s="833" t="s">
        <v>654</v>
      </c>
      <c r="C232" s="834" t="s">
        <v>655</v>
      </c>
      <c r="D232" s="838">
        <v>5.0999999999999996</v>
      </c>
      <c r="E232" s="830" t="s">
        <v>1408</v>
      </c>
      <c r="F232" s="830" t="e">
        <f>VLOOKUP($C232,토목기계경비적용기준!H:K,4,FALSE)</f>
        <v>#REF!</v>
      </c>
      <c r="G232" s="835"/>
      <c r="H232" s="831"/>
      <c r="I232" s="836"/>
      <c r="J232" s="836"/>
      <c r="K232" s="836" t="e">
        <f>TRUNC(D232*F232,1)</f>
        <v>#REF!</v>
      </c>
      <c r="L232" s="839"/>
      <c r="M232" s="837"/>
    </row>
    <row r="233" spans="1:18" ht="19.7" customHeight="1">
      <c r="B233" s="833" t="s">
        <v>756</v>
      </c>
      <c r="C233" s="834" t="s">
        <v>656</v>
      </c>
      <c r="D233" s="838">
        <v>20</v>
      </c>
      <c r="E233" s="830" t="s">
        <v>1410</v>
      </c>
      <c r="F233" s="830" t="e">
        <f>K232</f>
        <v>#REF!</v>
      </c>
      <c r="G233" s="835"/>
      <c r="H233" s="831"/>
      <c r="I233" s="836"/>
      <c r="J233" s="836"/>
      <c r="K233" s="836" t="e">
        <f>TRUNC(D233/100*F233,1)</f>
        <v>#REF!</v>
      </c>
      <c r="L233" s="839"/>
      <c r="M233" s="837"/>
    </row>
    <row r="234" spans="1:18" ht="19.7" customHeight="1">
      <c r="B234" s="833" t="s">
        <v>567</v>
      </c>
      <c r="C234" s="834"/>
      <c r="D234" s="840">
        <v>1</v>
      </c>
      <c r="E234" s="830" t="s">
        <v>1409</v>
      </c>
      <c r="F234" s="830" t="e">
        <f>VLOOKUP(B234,#REF!,2,FALSE)</f>
        <v>#REF!</v>
      </c>
      <c r="G234" s="835" t="s">
        <v>652</v>
      </c>
      <c r="H234" s="831" t="s">
        <v>639</v>
      </c>
      <c r="I234" s="836"/>
      <c r="J234" s="836" t="e">
        <f>TRUNC(D234*F234*토목기계경비적용기준!$E$19,1)</f>
        <v>#REF!</v>
      </c>
      <c r="K234" s="839"/>
      <c r="L234" s="839"/>
      <c r="M234" s="841"/>
    </row>
    <row r="235" spans="1:18" ht="19.7" customHeight="1">
      <c r="B235" s="833"/>
      <c r="C235" s="834"/>
      <c r="D235" s="840"/>
      <c r="E235" s="830"/>
      <c r="F235" s="830"/>
      <c r="G235" s="835"/>
      <c r="H235" s="831"/>
      <c r="I235" s="836"/>
      <c r="J235" s="836"/>
      <c r="K235" s="839"/>
      <c r="L235" s="839"/>
      <c r="M235" s="841"/>
    </row>
    <row r="236" spans="1:18" ht="19.7" customHeight="1">
      <c r="A236" s="827" t="s">
        <v>1475</v>
      </c>
      <c r="B236" s="828" t="str">
        <f>A236&amp;B237</f>
        <v>30.트럭탑재형크레인</v>
      </c>
      <c r="C236" s="842"/>
      <c r="D236" s="889"/>
      <c r="E236" s="890"/>
      <c r="F236" s="890"/>
      <c r="G236" s="890"/>
      <c r="H236" s="891"/>
      <c r="I236" s="842"/>
      <c r="J236" s="842"/>
      <c r="K236" s="842"/>
      <c r="L236" s="842"/>
      <c r="M236" s="892"/>
      <c r="O236" s="239"/>
      <c r="Q236" s="215"/>
      <c r="R236" s="215"/>
    </row>
    <row r="237" spans="1:18" ht="19.7" customHeight="1">
      <c r="A237" s="843">
        <v>30</v>
      </c>
      <c r="B237" s="828" t="s">
        <v>1473</v>
      </c>
      <c r="C237" s="887" t="s">
        <v>619</v>
      </c>
      <c r="D237" s="829"/>
      <c r="E237" s="830"/>
      <c r="F237" s="830"/>
      <c r="G237" s="830"/>
      <c r="H237" s="831"/>
      <c r="I237" s="832" t="e">
        <f>TEXT(J237+K237+L237,"#,##0")</f>
        <v>#REF!</v>
      </c>
      <c r="J237" s="832" t="e">
        <f>TRUNC(J238+J239+J240+J241)</f>
        <v>#REF!</v>
      </c>
      <c r="K237" s="832" t="e">
        <f>TRUNC(K238+K239+K240+K241)</f>
        <v>#REF!</v>
      </c>
      <c r="L237" s="832">
        <f>TRUNC(L238+L239+L240+L241)</f>
        <v>20490</v>
      </c>
      <c r="M237" s="841" t="s">
        <v>1476</v>
      </c>
    </row>
    <row r="238" spans="1:18" ht="19.7" customHeight="1">
      <c r="B238" s="833" t="s">
        <v>755</v>
      </c>
      <c r="C238" s="834"/>
      <c r="D238" s="829">
        <f>$P$3*O238</f>
        <v>78871000</v>
      </c>
      <c r="E238" s="830" t="s">
        <v>1407</v>
      </c>
      <c r="F238" s="830">
        <v>2598</v>
      </c>
      <c r="G238" s="835" t="s">
        <v>652</v>
      </c>
      <c r="H238" s="831" t="s">
        <v>653</v>
      </c>
      <c r="I238" s="836"/>
      <c r="J238" s="836"/>
      <c r="K238" s="836"/>
      <c r="L238" s="836">
        <f>TRUNC(D238*F238*0.0000001,1)</f>
        <v>20490.599999999999</v>
      </c>
      <c r="M238" s="837"/>
      <c r="O238" s="215">
        <v>78871</v>
      </c>
    </row>
    <row r="239" spans="1:18" ht="19.7" customHeight="1">
      <c r="B239" s="833" t="s">
        <v>654</v>
      </c>
      <c r="C239" s="834" t="s">
        <v>655</v>
      </c>
      <c r="D239" s="838">
        <v>10.3</v>
      </c>
      <c r="E239" s="830" t="s">
        <v>1408</v>
      </c>
      <c r="F239" s="830" t="e">
        <f>VLOOKUP($C239,토목기계경비적용기준!H:K,4,FALSE)</f>
        <v>#REF!</v>
      </c>
      <c r="G239" s="835"/>
      <c r="H239" s="831"/>
      <c r="I239" s="836"/>
      <c r="J239" s="836"/>
      <c r="K239" s="836" t="e">
        <f>TRUNC(D239*F239,1)</f>
        <v>#REF!</v>
      </c>
      <c r="L239" s="839"/>
      <c r="M239" s="837"/>
    </row>
    <row r="240" spans="1:18" ht="19.7" customHeight="1">
      <c r="B240" s="833" t="s">
        <v>756</v>
      </c>
      <c r="C240" s="834" t="s">
        <v>656</v>
      </c>
      <c r="D240" s="838">
        <v>20</v>
      </c>
      <c r="E240" s="830" t="s">
        <v>1410</v>
      </c>
      <c r="F240" s="830" t="e">
        <f>K239</f>
        <v>#REF!</v>
      </c>
      <c r="G240" s="835"/>
      <c r="H240" s="831"/>
      <c r="I240" s="836"/>
      <c r="J240" s="836"/>
      <c r="K240" s="836" t="e">
        <f>TRUNC(D240/100*F240,1)</f>
        <v>#REF!</v>
      </c>
      <c r="L240" s="839"/>
      <c r="M240" s="837"/>
    </row>
    <row r="241" spans="1:18" ht="19.7" customHeight="1">
      <c r="B241" s="833" t="s">
        <v>567</v>
      </c>
      <c r="C241" s="834"/>
      <c r="D241" s="840">
        <v>1</v>
      </c>
      <c r="E241" s="830" t="s">
        <v>1409</v>
      </c>
      <c r="F241" s="830" t="e">
        <f>VLOOKUP(B241,#REF!,2,FALSE)</f>
        <v>#REF!</v>
      </c>
      <c r="G241" s="835" t="s">
        <v>652</v>
      </c>
      <c r="H241" s="831" t="s">
        <v>639</v>
      </c>
      <c r="I241" s="836"/>
      <c r="J241" s="836" t="e">
        <f>TRUNC(D241*F241*토목기계경비적용기준!$E$19,1)</f>
        <v>#REF!</v>
      </c>
      <c r="K241" s="839"/>
      <c r="L241" s="839"/>
      <c r="M241" s="841"/>
    </row>
    <row r="242" spans="1:18" ht="19.7" customHeight="1">
      <c r="B242" s="833"/>
      <c r="C242" s="834"/>
      <c r="D242" s="840"/>
      <c r="E242" s="830"/>
      <c r="F242" s="830"/>
      <c r="G242" s="830"/>
      <c r="H242" s="831"/>
      <c r="I242" s="836"/>
      <c r="J242" s="839"/>
      <c r="K242" s="839"/>
      <c r="L242" s="839"/>
      <c r="M242" s="841"/>
    </row>
    <row r="243" spans="1:18" ht="19.7" customHeight="1">
      <c r="A243" s="827" t="s">
        <v>1477</v>
      </c>
      <c r="B243" s="828" t="str">
        <f>A243&amp;B244</f>
        <v>31.라인마커</v>
      </c>
      <c r="C243" s="842"/>
      <c r="D243" s="889"/>
      <c r="E243" s="890"/>
      <c r="F243" s="890"/>
      <c r="G243" s="890"/>
      <c r="H243" s="891"/>
      <c r="I243" s="842"/>
      <c r="J243" s="842"/>
      <c r="K243" s="842"/>
      <c r="L243" s="842"/>
      <c r="M243" s="892"/>
      <c r="O243" s="239"/>
      <c r="Q243" s="215"/>
      <c r="R243" s="215"/>
    </row>
    <row r="244" spans="1:18" ht="19.7" customHeight="1">
      <c r="A244" s="843">
        <v>31</v>
      </c>
      <c r="B244" s="828" t="s">
        <v>1478</v>
      </c>
      <c r="C244" s="887" t="s">
        <v>807</v>
      </c>
      <c r="D244" s="829"/>
      <c r="E244" s="830"/>
      <c r="F244" s="830"/>
      <c r="G244" s="830"/>
      <c r="H244" s="831"/>
      <c r="I244" s="832" t="e">
        <f>TEXT(J244+K244+L244,"#,##0")</f>
        <v>#REF!</v>
      </c>
      <c r="J244" s="832" t="e">
        <f>TRUNC(J245+J246+J247+J248)</f>
        <v>#REF!</v>
      </c>
      <c r="K244" s="832" t="e">
        <f>TRUNC(K245+K246+K247+K248)</f>
        <v>#REF!</v>
      </c>
      <c r="L244" s="832">
        <f>TRUNC(L245+L246+L247+L248)</f>
        <v>14389</v>
      </c>
      <c r="M244" s="841" t="s">
        <v>1479</v>
      </c>
    </row>
    <row r="245" spans="1:18" ht="19.7" customHeight="1">
      <c r="B245" s="833" t="s">
        <v>658</v>
      </c>
      <c r="C245" s="834"/>
      <c r="D245" s="829">
        <f>$P$3*O245</f>
        <v>60922000</v>
      </c>
      <c r="E245" s="830" t="s">
        <v>1407</v>
      </c>
      <c r="F245" s="830">
        <v>2362</v>
      </c>
      <c r="G245" s="835" t="s">
        <v>652</v>
      </c>
      <c r="H245" s="831" t="s">
        <v>653</v>
      </c>
      <c r="I245" s="836"/>
      <c r="J245" s="836"/>
      <c r="K245" s="836"/>
      <c r="L245" s="836">
        <f>TRUNC(D245*F245*0.0000001,1)</f>
        <v>14389.7</v>
      </c>
      <c r="M245" s="837"/>
      <c r="O245" s="215">
        <v>60922</v>
      </c>
    </row>
    <row r="246" spans="1:18" ht="19.7" customHeight="1">
      <c r="B246" s="833" t="s">
        <v>654</v>
      </c>
      <c r="C246" s="834" t="s">
        <v>655</v>
      </c>
      <c r="D246" s="838">
        <v>20.7</v>
      </c>
      <c r="E246" s="830" t="s">
        <v>1408</v>
      </c>
      <c r="F246" s="830" t="e">
        <f>VLOOKUP($C246,토목기계경비적용기준!H:K,4,FALSE)</f>
        <v>#REF!</v>
      </c>
      <c r="G246" s="835"/>
      <c r="H246" s="831"/>
      <c r="I246" s="836"/>
      <c r="J246" s="836"/>
      <c r="K246" s="836" t="e">
        <f>TRUNC(D246*F246,1)</f>
        <v>#REF!</v>
      </c>
      <c r="L246" s="839"/>
      <c r="M246" s="837"/>
    </row>
    <row r="247" spans="1:18" ht="19.7" customHeight="1">
      <c r="B247" s="833" t="s">
        <v>659</v>
      </c>
      <c r="C247" s="834" t="s">
        <v>656</v>
      </c>
      <c r="D247" s="838">
        <v>4</v>
      </c>
      <c r="E247" s="830" t="s">
        <v>1410</v>
      </c>
      <c r="F247" s="830" t="e">
        <f>K246</f>
        <v>#REF!</v>
      </c>
      <c r="G247" s="835"/>
      <c r="H247" s="831"/>
      <c r="I247" s="836"/>
      <c r="J247" s="836"/>
      <c r="K247" s="836" t="e">
        <f>TRUNC(D247/100*F247,1)</f>
        <v>#REF!</v>
      </c>
      <c r="L247" s="839"/>
      <c r="M247" s="837"/>
    </row>
    <row r="248" spans="1:18" ht="19.7" customHeight="1">
      <c r="B248" s="833" t="s">
        <v>568</v>
      </c>
      <c r="C248" s="834"/>
      <c r="D248" s="840">
        <v>1</v>
      </c>
      <c r="E248" s="830" t="s">
        <v>1409</v>
      </c>
      <c r="F248" s="830" t="e">
        <f>VLOOKUP(B248,#REF!,2,FALSE)</f>
        <v>#REF!</v>
      </c>
      <c r="G248" s="835" t="s">
        <v>652</v>
      </c>
      <c r="H248" s="831" t="s">
        <v>639</v>
      </c>
      <c r="I248" s="836"/>
      <c r="J248" s="836" t="e">
        <f>TRUNC(D248*F248*토목기계경비적용기준!$E$19,1)</f>
        <v>#REF!</v>
      </c>
      <c r="K248" s="839"/>
      <c r="L248" s="839"/>
      <c r="M248" s="841"/>
    </row>
    <row r="249" spans="1:18" ht="19.7" customHeight="1">
      <c r="B249" s="833"/>
      <c r="C249" s="834"/>
      <c r="D249" s="840"/>
      <c r="E249" s="830"/>
      <c r="F249" s="830"/>
      <c r="G249" s="835"/>
      <c r="H249" s="831"/>
      <c r="I249" s="836"/>
      <c r="J249" s="836"/>
      <c r="K249" s="839"/>
      <c r="L249" s="839"/>
      <c r="M249" s="841"/>
    </row>
    <row r="250" spans="1:18" ht="19.7" customHeight="1">
      <c r="B250" s="833"/>
      <c r="C250" s="834"/>
      <c r="D250" s="840"/>
      <c r="E250" s="830"/>
      <c r="F250" s="830"/>
      <c r="G250" s="835"/>
      <c r="H250" s="831"/>
      <c r="I250" s="836"/>
      <c r="J250" s="836"/>
      <c r="K250" s="839"/>
      <c r="L250" s="839"/>
      <c r="M250" s="841"/>
    </row>
    <row r="251" spans="1:18" ht="19.7" customHeight="1">
      <c r="B251" s="833"/>
      <c r="C251" s="834"/>
      <c r="D251" s="840"/>
      <c r="E251" s="830"/>
      <c r="F251" s="830"/>
      <c r="G251" s="835"/>
      <c r="H251" s="831"/>
      <c r="I251" s="836"/>
      <c r="J251" s="836"/>
      <c r="K251" s="839"/>
      <c r="L251" s="839"/>
      <c r="M251" s="841"/>
    </row>
    <row r="252" spans="1:18" ht="19.7" customHeight="1">
      <c r="B252" s="833"/>
      <c r="C252" s="834"/>
      <c r="D252" s="840"/>
      <c r="E252" s="830"/>
      <c r="F252" s="830"/>
      <c r="G252" s="835"/>
      <c r="H252" s="831"/>
      <c r="I252" s="836"/>
      <c r="J252" s="836"/>
      <c r="K252" s="839"/>
      <c r="L252" s="839"/>
      <c r="M252" s="841"/>
    </row>
    <row r="253" spans="1:18" ht="19.7" customHeight="1">
      <c r="B253" s="893"/>
      <c r="C253" s="894"/>
      <c r="D253" s="895"/>
      <c r="E253" s="896"/>
      <c r="F253" s="896"/>
      <c r="G253" s="897"/>
      <c r="H253" s="898"/>
      <c r="I253" s="899"/>
      <c r="J253" s="899"/>
      <c r="K253" s="900"/>
      <c r="L253" s="900"/>
      <c r="M253" s="901"/>
    </row>
    <row r="254" spans="1:18" ht="19.7" customHeight="1">
      <c r="A254" s="827" t="s">
        <v>1480</v>
      </c>
      <c r="B254" s="881" t="str">
        <f>A254&amp;B255</f>
        <v>32.발전기</v>
      </c>
      <c r="C254" s="882"/>
      <c r="D254" s="883"/>
      <c r="E254" s="884"/>
      <c r="F254" s="884"/>
      <c r="G254" s="884"/>
      <c r="H254" s="885"/>
      <c r="I254" s="882"/>
      <c r="J254" s="882"/>
      <c r="K254" s="882"/>
      <c r="L254" s="882"/>
      <c r="M254" s="886"/>
      <c r="O254" s="239"/>
      <c r="Q254" s="215"/>
      <c r="R254" s="215"/>
    </row>
    <row r="255" spans="1:18" ht="19.7" customHeight="1">
      <c r="A255" s="843">
        <v>32</v>
      </c>
      <c r="B255" s="828" t="s">
        <v>1481</v>
      </c>
      <c r="C255" s="887" t="s">
        <v>808</v>
      </c>
      <c r="D255" s="829"/>
      <c r="E255" s="830"/>
      <c r="F255" s="830"/>
      <c r="G255" s="830"/>
      <c r="H255" s="831"/>
      <c r="I255" s="832" t="e">
        <f>TEXT(J255+K255+L255,"#,##0")</f>
        <v>#REF!</v>
      </c>
      <c r="J255" s="832" t="e">
        <f>TRUNC(J256+J257+J258+J259)</f>
        <v>#REF!</v>
      </c>
      <c r="K255" s="832" t="e">
        <f>TRUNC(K256+K257+K258+K259)</f>
        <v>#REF!</v>
      </c>
      <c r="L255" s="832">
        <f>TRUNC(L256+L257+L258+L259)</f>
        <v>3045</v>
      </c>
      <c r="M255" s="841" t="s">
        <v>1482</v>
      </c>
    </row>
    <row r="256" spans="1:18" ht="19.7" customHeight="1">
      <c r="B256" s="833" t="s">
        <v>755</v>
      </c>
      <c r="C256" s="834"/>
      <c r="D256" s="829">
        <f>$P$3*O256</f>
        <v>12892000</v>
      </c>
      <c r="E256" s="830" t="s">
        <v>1407</v>
      </c>
      <c r="F256" s="830">
        <v>2362</v>
      </c>
      <c r="G256" s="835" t="s">
        <v>652</v>
      </c>
      <c r="H256" s="831" t="s">
        <v>653</v>
      </c>
      <c r="I256" s="836"/>
      <c r="J256" s="836"/>
      <c r="K256" s="836"/>
      <c r="L256" s="836">
        <f>TRUNC(D256*F256*0.0000001,1)</f>
        <v>3045</v>
      </c>
      <c r="M256" s="837"/>
      <c r="O256" s="215">
        <v>12892</v>
      </c>
    </row>
    <row r="257" spans="1:18" ht="19.7" customHeight="1">
      <c r="B257" s="833" t="s">
        <v>654</v>
      </c>
      <c r="C257" s="834" t="s">
        <v>655</v>
      </c>
      <c r="D257" s="838">
        <v>4.3</v>
      </c>
      <c r="E257" s="830" t="s">
        <v>1408</v>
      </c>
      <c r="F257" s="830" t="e">
        <f>VLOOKUP($C257,토목기계경비적용기준!H:K,4,FALSE)</f>
        <v>#REF!</v>
      </c>
      <c r="G257" s="835"/>
      <c r="H257" s="831"/>
      <c r="I257" s="836"/>
      <c r="J257" s="836"/>
      <c r="K257" s="836" t="e">
        <f>TRUNC(D257*F257,1)</f>
        <v>#REF!</v>
      </c>
      <c r="L257" s="839"/>
      <c r="M257" s="837"/>
    </row>
    <row r="258" spans="1:18" ht="19.7" customHeight="1">
      <c r="B258" s="833" t="s">
        <v>756</v>
      </c>
      <c r="C258" s="834" t="s">
        <v>656</v>
      </c>
      <c r="D258" s="838">
        <v>24</v>
      </c>
      <c r="E258" s="830" t="s">
        <v>1410</v>
      </c>
      <c r="F258" s="830" t="e">
        <f>K257</f>
        <v>#REF!</v>
      </c>
      <c r="G258" s="835"/>
      <c r="H258" s="831"/>
      <c r="I258" s="836"/>
      <c r="J258" s="836"/>
      <c r="K258" s="836" t="e">
        <f>TRUNC(D258/100*F258,1)</f>
        <v>#REF!</v>
      </c>
      <c r="L258" s="839"/>
      <c r="M258" s="837"/>
    </row>
    <row r="259" spans="1:18" ht="19.7" customHeight="1">
      <c r="B259" s="833" t="s">
        <v>568</v>
      </c>
      <c r="C259" s="834"/>
      <c r="D259" s="840">
        <v>1</v>
      </c>
      <c r="E259" s="830" t="s">
        <v>1409</v>
      </c>
      <c r="F259" s="830" t="e">
        <f>VLOOKUP(B259,#REF!,2,FALSE)</f>
        <v>#REF!</v>
      </c>
      <c r="G259" s="835" t="s">
        <v>652</v>
      </c>
      <c r="H259" s="831" t="s">
        <v>639</v>
      </c>
      <c r="I259" s="836"/>
      <c r="J259" s="836" t="e">
        <f>TRUNC(D259*F259*토목기계경비적용기준!$E$19,1)</f>
        <v>#REF!</v>
      </c>
      <c r="K259" s="839"/>
      <c r="L259" s="839"/>
      <c r="M259" s="841"/>
    </row>
    <row r="260" spans="1:18" ht="19.7" customHeight="1">
      <c r="B260" s="833"/>
      <c r="C260" s="834"/>
      <c r="D260" s="840"/>
      <c r="E260" s="830"/>
      <c r="F260" s="830"/>
      <c r="G260" s="835"/>
      <c r="H260" s="831"/>
      <c r="I260" s="836"/>
      <c r="J260" s="836"/>
      <c r="K260" s="839"/>
      <c r="L260" s="839"/>
      <c r="M260" s="841"/>
    </row>
    <row r="261" spans="1:18" ht="19.7" customHeight="1">
      <c r="A261" s="827" t="s">
        <v>1483</v>
      </c>
      <c r="B261" s="828" t="str">
        <f>A261&amp;B262</f>
        <v>33.발전기</v>
      </c>
      <c r="C261" s="842"/>
      <c r="D261" s="889"/>
      <c r="E261" s="890"/>
      <c r="F261" s="890"/>
      <c r="G261" s="890"/>
      <c r="H261" s="891"/>
      <c r="I261" s="842"/>
      <c r="J261" s="842"/>
      <c r="K261" s="842"/>
      <c r="L261" s="842"/>
      <c r="M261" s="892"/>
      <c r="O261" s="239"/>
      <c r="Q261" s="215"/>
      <c r="R261" s="215"/>
    </row>
    <row r="262" spans="1:18" ht="19.7" customHeight="1">
      <c r="A262" s="843">
        <v>33</v>
      </c>
      <c r="B262" s="828" t="s">
        <v>1481</v>
      </c>
      <c r="C262" s="887" t="s">
        <v>1484</v>
      </c>
      <c r="D262" s="829"/>
      <c r="E262" s="830"/>
      <c r="F262" s="830"/>
      <c r="G262" s="830"/>
      <c r="H262" s="831"/>
      <c r="I262" s="832" t="e">
        <f>TEXT(J262+K262+L262,"#,##0")</f>
        <v>#REF!</v>
      </c>
      <c r="J262" s="832" t="e">
        <f>TRUNC(J263+J264+J265+J266)</f>
        <v>#REF!</v>
      </c>
      <c r="K262" s="832" t="e">
        <f>TRUNC(K263+K264+K265+K266)</f>
        <v>#REF!</v>
      </c>
      <c r="L262" s="832">
        <f>TRUNC(L263+L264+L265+L266)</f>
        <v>4183</v>
      </c>
      <c r="M262" s="841" t="s">
        <v>1485</v>
      </c>
    </row>
    <row r="263" spans="1:18" ht="19.7" customHeight="1">
      <c r="B263" s="833" t="s">
        <v>755</v>
      </c>
      <c r="C263" s="834"/>
      <c r="D263" s="829">
        <f>$P$3*O263</f>
        <v>17712000</v>
      </c>
      <c r="E263" s="830" t="s">
        <v>1407</v>
      </c>
      <c r="F263" s="830">
        <v>2362</v>
      </c>
      <c r="G263" s="835" t="s">
        <v>652</v>
      </c>
      <c r="H263" s="831" t="s">
        <v>653</v>
      </c>
      <c r="I263" s="836"/>
      <c r="J263" s="836"/>
      <c r="K263" s="836"/>
      <c r="L263" s="836">
        <f>TRUNC(D263*F263*0.0000001,1)</f>
        <v>4183.5</v>
      </c>
      <c r="M263" s="837"/>
      <c r="O263" s="215">
        <v>17712</v>
      </c>
    </row>
    <row r="264" spans="1:18" ht="19.7" customHeight="1">
      <c r="B264" s="833" t="s">
        <v>654</v>
      </c>
      <c r="C264" s="834" t="s">
        <v>655</v>
      </c>
      <c r="D264" s="838">
        <v>8.6999999999999993</v>
      </c>
      <c r="E264" s="830" t="s">
        <v>1408</v>
      </c>
      <c r="F264" s="830" t="e">
        <f>VLOOKUP($C264,토목기계경비적용기준!H:K,4,FALSE)</f>
        <v>#REF!</v>
      </c>
      <c r="G264" s="835"/>
      <c r="H264" s="831"/>
      <c r="I264" s="836"/>
      <c r="J264" s="836"/>
      <c r="K264" s="836" t="e">
        <f>TRUNC(D264*F264,1)</f>
        <v>#REF!</v>
      </c>
      <c r="L264" s="839"/>
      <c r="M264" s="837"/>
    </row>
    <row r="265" spans="1:18" ht="19.7" customHeight="1">
      <c r="B265" s="833" t="s">
        <v>756</v>
      </c>
      <c r="C265" s="834" t="s">
        <v>656</v>
      </c>
      <c r="D265" s="838">
        <v>24</v>
      </c>
      <c r="E265" s="830" t="s">
        <v>1410</v>
      </c>
      <c r="F265" s="830" t="e">
        <f>K264</f>
        <v>#REF!</v>
      </c>
      <c r="G265" s="835"/>
      <c r="H265" s="831"/>
      <c r="I265" s="836"/>
      <c r="J265" s="836"/>
      <c r="K265" s="836" t="e">
        <f>TRUNC(D265/100*F265,1)</f>
        <v>#REF!</v>
      </c>
      <c r="L265" s="839"/>
      <c r="M265" s="837"/>
    </row>
    <row r="266" spans="1:18" ht="19.7" customHeight="1">
      <c r="B266" s="833" t="s">
        <v>568</v>
      </c>
      <c r="C266" s="834"/>
      <c r="D266" s="840">
        <v>1</v>
      </c>
      <c r="E266" s="830" t="s">
        <v>1409</v>
      </c>
      <c r="F266" s="830" t="e">
        <f>VLOOKUP(B266,#REF!,2,FALSE)</f>
        <v>#REF!</v>
      </c>
      <c r="G266" s="835" t="s">
        <v>652</v>
      </c>
      <c r="H266" s="831" t="s">
        <v>639</v>
      </c>
      <c r="I266" s="836"/>
      <c r="J266" s="836" t="e">
        <f>TRUNC(D266*F266*토목기계경비적용기준!$E$19,1)</f>
        <v>#REF!</v>
      </c>
      <c r="K266" s="839"/>
      <c r="L266" s="839"/>
      <c r="M266" s="841"/>
    </row>
    <row r="267" spans="1:18" ht="19.7" customHeight="1">
      <c r="B267" s="833"/>
      <c r="C267" s="834"/>
      <c r="D267" s="840"/>
      <c r="E267" s="830"/>
      <c r="F267" s="830"/>
      <c r="G267" s="835"/>
      <c r="H267" s="831"/>
      <c r="I267" s="836"/>
      <c r="J267" s="836"/>
      <c r="K267" s="839"/>
      <c r="L267" s="839"/>
      <c r="M267" s="841"/>
    </row>
    <row r="268" spans="1:18" ht="19.7" customHeight="1">
      <c r="A268" s="827" t="s">
        <v>1486</v>
      </c>
      <c r="B268" s="828" t="str">
        <f>A268&amp;B269</f>
        <v>34.절연버킷트럭</v>
      </c>
      <c r="C268" s="842"/>
      <c r="D268" s="889"/>
      <c r="E268" s="890"/>
      <c r="F268" s="890"/>
      <c r="G268" s="890"/>
      <c r="H268" s="891"/>
      <c r="I268" s="842"/>
      <c r="J268" s="842"/>
      <c r="K268" s="842"/>
      <c r="L268" s="842"/>
      <c r="M268" s="892"/>
      <c r="O268" s="239"/>
      <c r="Q268" s="215"/>
      <c r="R268" s="215"/>
    </row>
    <row r="269" spans="1:18" ht="19.7" customHeight="1">
      <c r="A269" s="843">
        <v>34</v>
      </c>
      <c r="B269" s="828" t="s">
        <v>1487</v>
      </c>
      <c r="C269" s="887" t="s">
        <v>757</v>
      </c>
      <c r="D269" s="829"/>
      <c r="E269" s="830"/>
      <c r="F269" s="830"/>
      <c r="G269" s="830"/>
      <c r="H269" s="831"/>
      <c r="I269" s="832" t="e">
        <f>TEXT(J269+K269+L269,"#,##0")</f>
        <v>#REF!</v>
      </c>
      <c r="J269" s="832" t="e">
        <f>TRUNC(J270+J271+J272+J273)</f>
        <v>#REF!</v>
      </c>
      <c r="K269" s="832" t="e">
        <f>TRUNC(K270+K271+K272+K273)</f>
        <v>#REF!</v>
      </c>
      <c r="L269" s="832">
        <f>TRUNC(L270+L271+L272+L273)</f>
        <v>21012</v>
      </c>
      <c r="M269" s="841" t="s">
        <v>1488</v>
      </c>
    </row>
    <row r="270" spans="1:18" ht="19.7" customHeight="1">
      <c r="B270" s="833" t="s">
        <v>809</v>
      </c>
      <c r="C270" s="834"/>
      <c r="D270" s="829">
        <f>$P$3*O270</f>
        <v>89000000</v>
      </c>
      <c r="E270" s="830" t="s">
        <v>1413</v>
      </c>
      <c r="F270" s="830">
        <v>2361</v>
      </c>
      <c r="G270" s="835" t="s">
        <v>652</v>
      </c>
      <c r="H270" s="831" t="s">
        <v>653</v>
      </c>
      <c r="I270" s="836"/>
      <c r="J270" s="836"/>
      <c r="K270" s="836"/>
      <c r="L270" s="836">
        <f>TRUNC(D270*F270*0.0000001,1)</f>
        <v>21012.9</v>
      </c>
      <c r="M270" s="837"/>
      <c r="O270" s="215">
        <v>89000</v>
      </c>
    </row>
    <row r="271" spans="1:18" ht="19.7" customHeight="1">
      <c r="B271" s="833" t="s">
        <v>654</v>
      </c>
      <c r="C271" s="834" t="s">
        <v>655</v>
      </c>
      <c r="D271" s="838">
        <v>7.2</v>
      </c>
      <c r="E271" s="830" t="s">
        <v>1414</v>
      </c>
      <c r="F271" s="830" t="e">
        <f>VLOOKUP($C271,토목기계경비적용기준!H:K,4,FALSE)</f>
        <v>#REF!</v>
      </c>
      <c r="G271" s="835"/>
      <c r="H271" s="831"/>
      <c r="I271" s="836"/>
      <c r="J271" s="836"/>
      <c r="K271" s="836" t="e">
        <f>TRUNC(D271*F271,1)</f>
        <v>#REF!</v>
      </c>
      <c r="L271" s="839"/>
      <c r="M271" s="837"/>
    </row>
    <row r="272" spans="1:18" ht="19.7" customHeight="1">
      <c r="B272" s="833" t="s">
        <v>756</v>
      </c>
      <c r="C272" s="834" t="s">
        <v>656</v>
      </c>
      <c r="D272" s="838">
        <v>35</v>
      </c>
      <c r="E272" s="830" t="s">
        <v>1282</v>
      </c>
      <c r="F272" s="830" t="e">
        <f>K271</f>
        <v>#REF!</v>
      </c>
      <c r="G272" s="835"/>
      <c r="H272" s="831"/>
      <c r="I272" s="836"/>
      <c r="J272" s="836"/>
      <c r="K272" s="836" t="e">
        <f>TRUNC(D272/100*F272,1)</f>
        <v>#REF!</v>
      </c>
      <c r="L272" s="839"/>
      <c r="M272" s="837"/>
    </row>
    <row r="273" spans="1:31" ht="19.7" customHeight="1">
      <c r="B273" s="833" t="s">
        <v>566</v>
      </c>
      <c r="C273" s="834"/>
      <c r="D273" s="840">
        <v>1</v>
      </c>
      <c r="E273" s="830" t="s">
        <v>1416</v>
      </c>
      <c r="F273" s="830" t="e">
        <f>VLOOKUP(B273,#REF!,2,FALSE)</f>
        <v>#REF!</v>
      </c>
      <c r="G273" s="835" t="s">
        <v>652</v>
      </c>
      <c r="H273" s="831" t="s">
        <v>639</v>
      </c>
      <c r="I273" s="836"/>
      <c r="J273" s="836" t="e">
        <f>TRUNC(D273*F273*토목기계경비적용기준!$E$19,1)</f>
        <v>#REF!</v>
      </c>
      <c r="K273" s="839"/>
      <c r="L273" s="839"/>
      <c r="M273" s="841"/>
    </row>
    <row r="274" spans="1:31" ht="19.7" customHeight="1">
      <c r="B274" s="833"/>
      <c r="C274" s="834"/>
      <c r="D274" s="840"/>
      <c r="E274" s="830"/>
      <c r="F274" s="830"/>
      <c r="G274" s="835"/>
      <c r="H274" s="831"/>
      <c r="I274" s="836"/>
      <c r="J274" s="836"/>
      <c r="K274" s="839"/>
      <c r="L274" s="839"/>
      <c r="M274" s="841"/>
    </row>
    <row r="275" spans="1:31" ht="19.7" customHeight="1">
      <c r="B275" s="833"/>
      <c r="C275" s="834"/>
      <c r="D275" s="840"/>
      <c r="E275" s="830"/>
      <c r="F275" s="830"/>
      <c r="G275" s="835"/>
      <c r="H275" s="831"/>
      <c r="I275" s="836"/>
      <c r="J275" s="836"/>
      <c r="K275" s="839"/>
      <c r="L275" s="839"/>
      <c r="M275" s="841"/>
    </row>
    <row r="276" spans="1:31" ht="19.7" customHeight="1">
      <c r="B276" s="833"/>
      <c r="C276" s="834"/>
      <c r="D276" s="840"/>
      <c r="E276" s="830"/>
      <c r="F276" s="830"/>
      <c r="G276" s="835"/>
      <c r="H276" s="831"/>
      <c r="I276" s="836"/>
      <c r="J276" s="836"/>
      <c r="K276" s="839"/>
      <c r="L276" s="839"/>
      <c r="M276" s="841"/>
    </row>
    <row r="277" spans="1:31" ht="19.7" customHeight="1">
      <c r="B277" s="833"/>
      <c r="C277" s="834"/>
      <c r="D277" s="840"/>
      <c r="E277" s="830"/>
      <c r="F277" s="830"/>
      <c r="G277" s="835"/>
      <c r="H277" s="831"/>
      <c r="I277" s="836"/>
      <c r="J277" s="836"/>
      <c r="K277" s="839"/>
      <c r="L277" s="839"/>
      <c r="M277" s="841"/>
    </row>
    <row r="278" spans="1:31" ht="19.7" customHeight="1">
      <c r="B278" s="833"/>
      <c r="C278" s="834"/>
      <c r="D278" s="840"/>
      <c r="E278" s="830"/>
      <c r="F278" s="830"/>
      <c r="G278" s="835"/>
      <c r="H278" s="831"/>
      <c r="I278" s="836"/>
      <c r="J278" s="836"/>
      <c r="K278" s="839"/>
      <c r="L278" s="839"/>
      <c r="M278" s="841"/>
    </row>
    <row r="279" spans="1:31" s="243" customFormat="1" ht="19.7" customHeight="1">
      <c r="A279" s="827" t="s">
        <v>1402</v>
      </c>
      <c r="B279" s="828" t="str">
        <f>A279&amp;B280</f>
        <v>35.동력분무기</v>
      </c>
      <c r="C279" s="842"/>
      <c r="D279" s="844"/>
      <c r="E279" s="844"/>
      <c r="F279" s="844"/>
      <c r="G279" s="844"/>
      <c r="H279" s="845"/>
      <c r="I279" s="846"/>
      <c r="J279" s="846"/>
      <c r="K279" s="846"/>
      <c r="L279" s="847"/>
      <c r="M279" s="848"/>
      <c r="N279" s="197"/>
      <c r="O279" s="215"/>
      <c r="P279" s="215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</row>
    <row r="280" spans="1:31" s="243" customFormat="1" ht="19.7" customHeight="1">
      <c r="A280" s="843">
        <v>35</v>
      </c>
      <c r="B280" s="849" t="s">
        <v>1403</v>
      </c>
      <c r="C280" s="850" t="s">
        <v>1325</v>
      </c>
      <c r="D280" s="844"/>
      <c r="E280" s="844"/>
      <c r="F280" s="844"/>
      <c r="G280" s="844"/>
      <c r="H280" s="845"/>
      <c r="I280" s="832" t="e">
        <f>TEXT(J280+K280+L280,"#,##0")</f>
        <v>#REF!</v>
      </c>
      <c r="J280" s="832">
        <f>TRUNC(J281+J282+J283)</f>
        <v>0</v>
      </c>
      <c r="K280" s="832" t="e">
        <f>TRUNC(K281+K282+K283)</f>
        <v>#REF!</v>
      </c>
      <c r="L280" s="832">
        <f>TRUNC(L281+L282+L283)</f>
        <v>230</v>
      </c>
      <c r="M280" s="841" t="s">
        <v>1404</v>
      </c>
      <c r="N280" s="197"/>
      <c r="O280" s="215"/>
      <c r="P280" s="215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</row>
    <row r="281" spans="1:31" ht="19.7" customHeight="1">
      <c r="B281" s="833" t="s">
        <v>809</v>
      </c>
      <c r="C281" s="834"/>
      <c r="D281" s="829">
        <f>$P$3*O281</f>
        <v>823000</v>
      </c>
      <c r="E281" s="830" t="s">
        <v>1281</v>
      </c>
      <c r="F281" s="830">
        <v>2799</v>
      </c>
      <c r="G281" s="835" t="s">
        <v>652</v>
      </c>
      <c r="H281" s="831" t="s">
        <v>653</v>
      </c>
      <c r="I281" s="836"/>
      <c r="J281" s="836"/>
      <c r="K281" s="836"/>
      <c r="L281" s="836">
        <f>TRUNC(D281*F281*0.0000001,1)</f>
        <v>230.3</v>
      </c>
      <c r="M281" s="837"/>
      <c r="O281" s="215">
        <v>823</v>
      </c>
    </row>
    <row r="282" spans="1:31" ht="19.7" customHeight="1">
      <c r="B282" s="833" t="s">
        <v>654</v>
      </c>
      <c r="C282" s="834" t="s">
        <v>149</v>
      </c>
      <c r="D282" s="838">
        <v>1.3</v>
      </c>
      <c r="E282" s="830" t="s">
        <v>1375</v>
      </c>
      <c r="F282" s="830" t="e">
        <f>VLOOKUP($C282,토목기계경비적용기준!H:K,4,FALSE)</f>
        <v>#REF!</v>
      </c>
      <c r="G282" s="835"/>
      <c r="H282" s="831"/>
      <c r="I282" s="836"/>
      <c r="J282" s="836"/>
      <c r="K282" s="836" t="e">
        <f>TRUNC(D282*F282,1)</f>
        <v>#REF!</v>
      </c>
      <c r="L282" s="839"/>
      <c r="M282" s="837"/>
    </row>
    <row r="283" spans="1:31" ht="19.7" customHeight="1">
      <c r="B283" s="833" t="s">
        <v>756</v>
      </c>
      <c r="C283" s="834" t="s">
        <v>656</v>
      </c>
      <c r="D283" s="838">
        <v>20</v>
      </c>
      <c r="E283" s="830" t="s">
        <v>1282</v>
      </c>
      <c r="F283" s="830" t="e">
        <f>K282</f>
        <v>#REF!</v>
      </c>
      <c r="G283" s="835"/>
      <c r="H283" s="831" t="s">
        <v>1489</v>
      </c>
      <c r="I283" s="836"/>
      <c r="J283" s="836"/>
      <c r="K283" s="836" t="e">
        <f>TRUNC(D283/100*F283,1)</f>
        <v>#REF!</v>
      </c>
      <c r="L283" s="839"/>
      <c r="M283" s="837"/>
    </row>
    <row r="284" spans="1:31" ht="19.7" customHeight="1">
      <c r="B284" s="833"/>
      <c r="C284" s="834"/>
      <c r="D284" s="840"/>
      <c r="E284" s="830"/>
      <c r="F284" s="830"/>
      <c r="G284" s="835"/>
      <c r="H284" s="831"/>
      <c r="I284" s="836"/>
      <c r="J284" s="836"/>
      <c r="K284" s="839"/>
      <c r="L284" s="839"/>
      <c r="M284" s="841"/>
    </row>
    <row r="285" spans="1:31" s="243" customFormat="1" ht="19.7" customHeight="1">
      <c r="A285" s="827" t="s">
        <v>1614</v>
      </c>
      <c r="B285" s="828" t="str">
        <f>A285&amp;B286</f>
        <v>36.굴삭기(유압식 백호)</v>
      </c>
      <c r="C285" s="842"/>
      <c r="D285" s="844"/>
      <c r="E285" s="844"/>
      <c r="F285" s="844"/>
      <c r="G285" s="844"/>
      <c r="H285" s="845"/>
      <c r="I285" s="846"/>
      <c r="J285" s="846"/>
      <c r="K285" s="846"/>
      <c r="L285" s="847"/>
      <c r="M285" s="848"/>
      <c r="N285" s="197"/>
      <c r="O285" s="215"/>
      <c r="P285" s="215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</row>
    <row r="286" spans="1:31" s="243" customFormat="1" ht="19.7" customHeight="1">
      <c r="A286" s="843">
        <v>36</v>
      </c>
      <c r="B286" s="1062" t="s">
        <v>1615</v>
      </c>
      <c r="C286" s="1063" t="s">
        <v>1616</v>
      </c>
      <c r="D286" s="844"/>
      <c r="E286" s="844"/>
      <c r="F286" s="844"/>
      <c r="G286" s="844"/>
      <c r="H286" s="845"/>
      <c r="I286" s="832" t="e">
        <f>TEXT(J286+K286+L286,"#,##0")</f>
        <v>#REF!</v>
      </c>
      <c r="J286" s="832" t="e">
        <f>TRUNC(J287+J288+J289+J290)</f>
        <v>#REF!</v>
      </c>
      <c r="K286" s="832" t="e">
        <f>TRUNC(K287+K288+K289)</f>
        <v>#REF!</v>
      </c>
      <c r="L286" s="832">
        <f>TRUNC(L287+L288+L289)</f>
        <v>17797</v>
      </c>
      <c r="M286" s="841" t="s">
        <v>1619</v>
      </c>
      <c r="N286" s="197"/>
      <c r="O286" s="215"/>
      <c r="P286" s="215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</row>
    <row r="287" spans="1:31" ht="19.7" customHeight="1">
      <c r="B287" s="833" t="s">
        <v>809</v>
      </c>
      <c r="C287" s="834"/>
      <c r="D287" s="829">
        <f>$P$3*O287</f>
        <v>74000000</v>
      </c>
      <c r="E287" s="830" t="s">
        <v>1281</v>
      </c>
      <c r="F287" s="830">
        <v>2405</v>
      </c>
      <c r="G287" s="835" t="s">
        <v>652</v>
      </c>
      <c r="H287" s="831" t="s">
        <v>653</v>
      </c>
      <c r="I287" s="836"/>
      <c r="J287" s="836"/>
      <c r="K287" s="836"/>
      <c r="L287" s="836">
        <f>TRUNC(D287*F287*0.0000001,1)</f>
        <v>17797</v>
      </c>
      <c r="M287" s="837"/>
      <c r="O287" s="215">
        <v>74000</v>
      </c>
    </row>
    <row r="288" spans="1:31" ht="19.7" customHeight="1">
      <c r="B288" s="833" t="s">
        <v>654</v>
      </c>
      <c r="C288" s="834" t="s">
        <v>380</v>
      </c>
      <c r="D288" s="838">
        <v>9.9</v>
      </c>
      <c r="E288" s="830" t="s">
        <v>1375</v>
      </c>
      <c r="F288" s="830" t="e">
        <f>VLOOKUP($C288,토목기계경비적용기준!H:K,4,FALSE)</f>
        <v>#REF!</v>
      </c>
      <c r="G288" s="835"/>
      <c r="H288" s="831"/>
      <c r="I288" s="836"/>
      <c r="J288" s="836"/>
      <c r="K288" s="836" t="e">
        <f>TRUNC(D288*F288,1)</f>
        <v>#REF!</v>
      </c>
      <c r="L288" s="839"/>
      <c r="M288" s="837"/>
    </row>
    <row r="289" spans="2:13" ht="19.7" customHeight="1">
      <c r="B289" s="833" t="s">
        <v>756</v>
      </c>
      <c r="C289" s="834" t="s">
        <v>656</v>
      </c>
      <c r="D289" s="838">
        <v>22</v>
      </c>
      <c r="E289" s="830" t="s">
        <v>1282</v>
      </c>
      <c r="F289" s="830" t="e">
        <f>K288</f>
        <v>#REF!</v>
      </c>
      <c r="G289" s="835"/>
      <c r="H289" s="831" t="s">
        <v>1489</v>
      </c>
      <c r="I289" s="836"/>
      <c r="J289" s="836"/>
      <c r="K289" s="836" t="e">
        <f>TRUNC(D289/100*F289,1)</f>
        <v>#REF!</v>
      </c>
      <c r="L289" s="839"/>
      <c r="M289" s="837"/>
    </row>
    <row r="290" spans="2:13" ht="19.7" customHeight="1">
      <c r="B290" s="1064" t="s">
        <v>566</v>
      </c>
      <c r="C290" s="894"/>
      <c r="D290" s="1065">
        <v>1</v>
      </c>
      <c r="E290" s="1066" t="s">
        <v>1617</v>
      </c>
      <c r="F290" s="896" t="e">
        <f>VLOOKUP(B290,#REF!,2,FALSE)</f>
        <v>#REF!</v>
      </c>
      <c r="G290" s="1067" t="s">
        <v>1618</v>
      </c>
      <c r="H290" s="1068" t="s">
        <v>639</v>
      </c>
      <c r="I290" s="899"/>
      <c r="J290" s="899" t="e">
        <f>TRUNC(D290*F290*토목기계경비적용기준!$E$19,1)</f>
        <v>#REF!</v>
      </c>
      <c r="K290" s="899"/>
      <c r="L290" s="900"/>
      <c r="M290" s="901"/>
    </row>
    <row r="291" spans="2:13" ht="19.7" customHeight="1"/>
    <row r="292" spans="2:13" ht="19.7" customHeight="1"/>
    <row r="293" spans="2:13" ht="19.7" customHeight="1"/>
    <row r="294" spans="2:13" ht="19.7" customHeight="1"/>
    <row r="295" spans="2:13" ht="19.7" customHeight="1"/>
    <row r="296" spans="2:13" ht="19.7" customHeight="1"/>
    <row r="297" spans="2:13" ht="19.7" customHeight="1"/>
    <row r="298" spans="2:13" ht="19.7" customHeight="1"/>
    <row r="299" spans="2:13" ht="19.7" customHeight="1"/>
    <row r="300" spans="2:13" ht="19.7" customHeight="1"/>
    <row r="301" spans="2:13" ht="19.7" customHeight="1"/>
    <row r="302" spans="2:13" ht="19.7" customHeight="1"/>
    <row r="303" spans="2:13" ht="19.7" customHeight="1"/>
  </sheetData>
  <mergeCells count="2">
    <mergeCell ref="B1:M2"/>
    <mergeCell ref="D3:H3"/>
  </mergeCells>
  <phoneticPr fontId="7" type="noConversion"/>
  <pageMargins left="0.98425196850393704" right="7.874015748031496E-2" top="0.6692913385826772" bottom="0.59055118110236227" header="0.51181102362204722" footer="0.51181102362204722"/>
  <pageSetup paperSize="9" scale="9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29"/>
  <sheetViews>
    <sheetView view="pageBreakPreview" zoomScaleSheetLayoutView="100" workbookViewId="0">
      <selection activeCell="O15" sqref="O15"/>
    </sheetView>
  </sheetViews>
  <sheetFormatPr defaultRowHeight="12.75"/>
  <cols>
    <col min="1" max="1" width="2.77734375" style="197" customWidth="1"/>
    <col min="2" max="2" width="1.6640625" style="197" customWidth="1"/>
    <col min="3" max="3" width="8.109375" style="197" customWidth="1"/>
    <col min="4" max="5" width="19.44140625" style="197" customWidth="1"/>
    <col min="6" max="6" width="1.6640625" style="197" customWidth="1"/>
    <col min="7" max="7" width="3.21875" style="197" customWidth="1"/>
    <col min="8" max="8" width="12.88671875" style="197" customWidth="1"/>
    <col min="9" max="9" width="9.6640625" style="197" customWidth="1"/>
    <col min="10" max="10" width="4.88671875" style="197" customWidth="1"/>
    <col min="11" max="11" width="12.88671875" style="197" customWidth="1"/>
    <col min="12" max="12" width="1.6640625" style="197" customWidth="1"/>
    <col min="13" max="256" width="8.88671875" style="197"/>
    <col min="257" max="257" width="0.5546875" style="197" customWidth="1"/>
    <col min="258" max="258" width="1.6640625" style="197" customWidth="1"/>
    <col min="259" max="259" width="8.109375" style="197" customWidth="1"/>
    <col min="260" max="261" width="19.44140625" style="197" customWidth="1"/>
    <col min="262" max="262" width="1.6640625" style="197" customWidth="1"/>
    <col min="263" max="263" width="3.21875" style="197" customWidth="1"/>
    <col min="264" max="264" width="12.88671875" style="197" customWidth="1"/>
    <col min="265" max="265" width="9.6640625" style="197" customWidth="1"/>
    <col min="266" max="266" width="4.88671875" style="197" customWidth="1"/>
    <col min="267" max="267" width="12.88671875" style="197" customWidth="1"/>
    <col min="268" max="268" width="1.6640625" style="197" customWidth="1"/>
    <col min="269" max="512" width="8.88671875" style="197"/>
    <col min="513" max="513" width="0.5546875" style="197" customWidth="1"/>
    <col min="514" max="514" width="1.6640625" style="197" customWidth="1"/>
    <col min="515" max="515" width="8.109375" style="197" customWidth="1"/>
    <col min="516" max="517" width="19.44140625" style="197" customWidth="1"/>
    <col min="518" max="518" width="1.6640625" style="197" customWidth="1"/>
    <col min="519" max="519" width="3.21875" style="197" customWidth="1"/>
    <col min="520" max="520" width="12.88671875" style="197" customWidth="1"/>
    <col min="521" max="521" width="9.6640625" style="197" customWidth="1"/>
    <col min="522" max="522" width="4.88671875" style="197" customWidth="1"/>
    <col min="523" max="523" width="12.88671875" style="197" customWidth="1"/>
    <col min="524" max="524" width="1.6640625" style="197" customWidth="1"/>
    <col min="525" max="768" width="8.88671875" style="197"/>
    <col min="769" max="769" width="0.5546875" style="197" customWidth="1"/>
    <col min="770" max="770" width="1.6640625" style="197" customWidth="1"/>
    <col min="771" max="771" width="8.109375" style="197" customWidth="1"/>
    <col min="772" max="773" width="19.44140625" style="197" customWidth="1"/>
    <col min="774" max="774" width="1.6640625" style="197" customWidth="1"/>
    <col min="775" max="775" width="3.21875" style="197" customWidth="1"/>
    <col min="776" max="776" width="12.88671875" style="197" customWidth="1"/>
    <col min="777" max="777" width="9.6640625" style="197" customWidth="1"/>
    <col min="778" max="778" width="4.88671875" style="197" customWidth="1"/>
    <col min="779" max="779" width="12.88671875" style="197" customWidth="1"/>
    <col min="780" max="780" width="1.6640625" style="197" customWidth="1"/>
    <col min="781" max="1024" width="8.88671875" style="197"/>
    <col min="1025" max="1025" width="0.5546875" style="197" customWidth="1"/>
    <col min="1026" max="1026" width="1.6640625" style="197" customWidth="1"/>
    <col min="1027" max="1027" width="8.109375" style="197" customWidth="1"/>
    <col min="1028" max="1029" width="19.44140625" style="197" customWidth="1"/>
    <col min="1030" max="1030" width="1.6640625" style="197" customWidth="1"/>
    <col min="1031" max="1031" width="3.21875" style="197" customWidth="1"/>
    <col min="1032" max="1032" width="12.88671875" style="197" customWidth="1"/>
    <col min="1033" max="1033" width="9.6640625" style="197" customWidth="1"/>
    <col min="1034" max="1034" width="4.88671875" style="197" customWidth="1"/>
    <col min="1035" max="1035" width="12.88671875" style="197" customWidth="1"/>
    <col min="1036" max="1036" width="1.6640625" style="197" customWidth="1"/>
    <col min="1037" max="1280" width="8.88671875" style="197"/>
    <col min="1281" max="1281" width="0.5546875" style="197" customWidth="1"/>
    <col min="1282" max="1282" width="1.6640625" style="197" customWidth="1"/>
    <col min="1283" max="1283" width="8.109375" style="197" customWidth="1"/>
    <col min="1284" max="1285" width="19.44140625" style="197" customWidth="1"/>
    <col min="1286" max="1286" width="1.6640625" style="197" customWidth="1"/>
    <col min="1287" max="1287" width="3.21875" style="197" customWidth="1"/>
    <col min="1288" max="1288" width="12.88671875" style="197" customWidth="1"/>
    <col min="1289" max="1289" width="9.6640625" style="197" customWidth="1"/>
    <col min="1290" max="1290" width="4.88671875" style="197" customWidth="1"/>
    <col min="1291" max="1291" width="12.88671875" style="197" customWidth="1"/>
    <col min="1292" max="1292" width="1.6640625" style="197" customWidth="1"/>
    <col min="1293" max="1536" width="8.88671875" style="197"/>
    <col min="1537" max="1537" width="0.5546875" style="197" customWidth="1"/>
    <col min="1538" max="1538" width="1.6640625" style="197" customWidth="1"/>
    <col min="1539" max="1539" width="8.109375" style="197" customWidth="1"/>
    <col min="1540" max="1541" width="19.44140625" style="197" customWidth="1"/>
    <col min="1542" max="1542" width="1.6640625" style="197" customWidth="1"/>
    <col min="1543" max="1543" width="3.21875" style="197" customWidth="1"/>
    <col min="1544" max="1544" width="12.88671875" style="197" customWidth="1"/>
    <col min="1545" max="1545" width="9.6640625" style="197" customWidth="1"/>
    <col min="1546" max="1546" width="4.88671875" style="197" customWidth="1"/>
    <col min="1547" max="1547" width="12.88671875" style="197" customWidth="1"/>
    <col min="1548" max="1548" width="1.6640625" style="197" customWidth="1"/>
    <col min="1549" max="1792" width="8.88671875" style="197"/>
    <col min="1793" max="1793" width="0.5546875" style="197" customWidth="1"/>
    <col min="1794" max="1794" width="1.6640625" style="197" customWidth="1"/>
    <col min="1795" max="1795" width="8.109375" style="197" customWidth="1"/>
    <col min="1796" max="1797" width="19.44140625" style="197" customWidth="1"/>
    <col min="1798" max="1798" width="1.6640625" style="197" customWidth="1"/>
    <col min="1799" max="1799" width="3.21875" style="197" customWidth="1"/>
    <col min="1800" max="1800" width="12.88671875" style="197" customWidth="1"/>
    <col min="1801" max="1801" width="9.6640625" style="197" customWidth="1"/>
    <col min="1802" max="1802" width="4.88671875" style="197" customWidth="1"/>
    <col min="1803" max="1803" width="12.88671875" style="197" customWidth="1"/>
    <col min="1804" max="1804" width="1.6640625" style="197" customWidth="1"/>
    <col min="1805" max="2048" width="8.88671875" style="197"/>
    <col min="2049" max="2049" width="0.5546875" style="197" customWidth="1"/>
    <col min="2050" max="2050" width="1.6640625" style="197" customWidth="1"/>
    <col min="2051" max="2051" width="8.109375" style="197" customWidth="1"/>
    <col min="2052" max="2053" width="19.44140625" style="197" customWidth="1"/>
    <col min="2054" max="2054" width="1.6640625" style="197" customWidth="1"/>
    <col min="2055" max="2055" width="3.21875" style="197" customWidth="1"/>
    <col min="2056" max="2056" width="12.88671875" style="197" customWidth="1"/>
    <col min="2057" max="2057" width="9.6640625" style="197" customWidth="1"/>
    <col min="2058" max="2058" width="4.88671875" style="197" customWidth="1"/>
    <col min="2059" max="2059" width="12.88671875" style="197" customWidth="1"/>
    <col min="2060" max="2060" width="1.6640625" style="197" customWidth="1"/>
    <col min="2061" max="2304" width="8.88671875" style="197"/>
    <col min="2305" max="2305" width="0.5546875" style="197" customWidth="1"/>
    <col min="2306" max="2306" width="1.6640625" style="197" customWidth="1"/>
    <col min="2307" max="2307" width="8.109375" style="197" customWidth="1"/>
    <col min="2308" max="2309" width="19.44140625" style="197" customWidth="1"/>
    <col min="2310" max="2310" width="1.6640625" style="197" customWidth="1"/>
    <col min="2311" max="2311" width="3.21875" style="197" customWidth="1"/>
    <col min="2312" max="2312" width="12.88671875" style="197" customWidth="1"/>
    <col min="2313" max="2313" width="9.6640625" style="197" customWidth="1"/>
    <col min="2314" max="2314" width="4.88671875" style="197" customWidth="1"/>
    <col min="2315" max="2315" width="12.88671875" style="197" customWidth="1"/>
    <col min="2316" max="2316" width="1.6640625" style="197" customWidth="1"/>
    <col min="2317" max="2560" width="8.88671875" style="197"/>
    <col min="2561" max="2561" width="0.5546875" style="197" customWidth="1"/>
    <col min="2562" max="2562" width="1.6640625" style="197" customWidth="1"/>
    <col min="2563" max="2563" width="8.109375" style="197" customWidth="1"/>
    <col min="2564" max="2565" width="19.44140625" style="197" customWidth="1"/>
    <col min="2566" max="2566" width="1.6640625" style="197" customWidth="1"/>
    <col min="2567" max="2567" width="3.21875" style="197" customWidth="1"/>
    <col min="2568" max="2568" width="12.88671875" style="197" customWidth="1"/>
    <col min="2569" max="2569" width="9.6640625" style="197" customWidth="1"/>
    <col min="2570" max="2570" width="4.88671875" style="197" customWidth="1"/>
    <col min="2571" max="2571" width="12.88671875" style="197" customWidth="1"/>
    <col min="2572" max="2572" width="1.6640625" style="197" customWidth="1"/>
    <col min="2573" max="2816" width="8.88671875" style="197"/>
    <col min="2817" max="2817" width="0.5546875" style="197" customWidth="1"/>
    <col min="2818" max="2818" width="1.6640625" style="197" customWidth="1"/>
    <col min="2819" max="2819" width="8.109375" style="197" customWidth="1"/>
    <col min="2820" max="2821" width="19.44140625" style="197" customWidth="1"/>
    <col min="2822" max="2822" width="1.6640625" style="197" customWidth="1"/>
    <col min="2823" max="2823" width="3.21875" style="197" customWidth="1"/>
    <col min="2824" max="2824" width="12.88671875" style="197" customWidth="1"/>
    <col min="2825" max="2825" width="9.6640625" style="197" customWidth="1"/>
    <col min="2826" max="2826" width="4.88671875" style="197" customWidth="1"/>
    <col min="2827" max="2827" width="12.88671875" style="197" customWidth="1"/>
    <col min="2828" max="2828" width="1.6640625" style="197" customWidth="1"/>
    <col min="2829" max="3072" width="8.88671875" style="197"/>
    <col min="3073" max="3073" width="0.5546875" style="197" customWidth="1"/>
    <col min="3074" max="3074" width="1.6640625" style="197" customWidth="1"/>
    <col min="3075" max="3075" width="8.109375" style="197" customWidth="1"/>
    <col min="3076" max="3077" width="19.44140625" style="197" customWidth="1"/>
    <col min="3078" max="3078" width="1.6640625" style="197" customWidth="1"/>
    <col min="3079" max="3079" width="3.21875" style="197" customWidth="1"/>
    <col min="3080" max="3080" width="12.88671875" style="197" customWidth="1"/>
    <col min="3081" max="3081" width="9.6640625" style="197" customWidth="1"/>
    <col min="3082" max="3082" width="4.88671875" style="197" customWidth="1"/>
    <col min="3083" max="3083" width="12.88671875" style="197" customWidth="1"/>
    <col min="3084" max="3084" width="1.6640625" style="197" customWidth="1"/>
    <col min="3085" max="3328" width="8.88671875" style="197"/>
    <col min="3329" max="3329" width="0.5546875" style="197" customWidth="1"/>
    <col min="3330" max="3330" width="1.6640625" style="197" customWidth="1"/>
    <col min="3331" max="3331" width="8.109375" style="197" customWidth="1"/>
    <col min="3332" max="3333" width="19.44140625" style="197" customWidth="1"/>
    <col min="3334" max="3334" width="1.6640625" style="197" customWidth="1"/>
    <col min="3335" max="3335" width="3.21875" style="197" customWidth="1"/>
    <col min="3336" max="3336" width="12.88671875" style="197" customWidth="1"/>
    <col min="3337" max="3337" width="9.6640625" style="197" customWidth="1"/>
    <col min="3338" max="3338" width="4.88671875" style="197" customWidth="1"/>
    <col min="3339" max="3339" width="12.88671875" style="197" customWidth="1"/>
    <col min="3340" max="3340" width="1.6640625" style="197" customWidth="1"/>
    <col min="3341" max="3584" width="8.88671875" style="197"/>
    <col min="3585" max="3585" width="0.5546875" style="197" customWidth="1"/>
    <col min="3586" max="3586" width="1.6640625" style="197" customWidth="1"/>
    <col min="3587" max="3587" width="8.109375" style="197" customWidth="1"/>
    <col min="3588" max="3589" width="19.44140625" style="197" customWidth="1"/>
    <col min="3590" max="3590" width="1.6640625" style="197" customWidth="1"/>
    <col min="3591" max="3591" width="3.21875" style="197" customWidth="1"/>
    <col min="3592" max="3592" width="12.88671875" style="197" customWidth="1"/>
    <col min="3593" max="3593" width="9.6640625" style="197" customWidth="1"/>
    <col min="3594" max="3594" width="4.88671875" style="197" customWidth="1"/>
    <col min="3595" max="3595" width="12.88671875" style="197" customWidth="1"/>
    <col min="3596" max="3596" width="1.6640625" style="197" customWidth="1"/>
    <col min="3597" max="3840" width="8.88671875" style="197"/>
    <col min="3841" max="3841" width="0.5546875" style="197" customWidth="1"/>
    <col min="3842" max="3842" width="1.6640625" style="197" customWidth="1"/>
    <col min="3843" max="3843" width="8.109375" style="197" customWidth="1"/>
    <col min="3844" max="3845" width="19.44140625" style="197" customWidth="1"/>
    <col min="3846" max="3846" width="1.6640625" style="197" customWidth="1"/>
    <col min="3847" max="3847" width="3.21875" style="197" customWidth="1"/>
    <col min="3848" max="3848" width="12.88671875" style="197" customWidth="1"/>
    <col min="3849" max="3849" width="9.6640625" style="197" customWidth="1"/>
    <col min="3850" max="3850" width="4.88671875" style="197" customWidth="1"/>
    <col min="3851" max="3851" width="12.88671875" style="197" customWidth="1"/>
    <col min="3852" max="3852" width="1.6640625" style="197" customWidth="1"/>
    <col min="3853" max="4096" width="8.88671875" style="197"/>
    <col min="4097" max="4097" width="0.5546875" style="197" customWidth="1"/>
    <col min="4098" max="4098" width="1.6640625" style="197" customWidth="1"/>
    <col min="4099" max="4099" width="8.109375" style="197" customWidth="1"/>
    <col min="4100" max="4101" width="19.44140625" style="197" customWidth="1"/>
    <col min="4102" max="4102" width="1.6640625" style="197" customWidth="1"/>
    <col min="4103" max="4103" width="3.21875" style="197" customWidth="1"/>
    <col min="4104" max="4104" width="12.88671875" style="197" customWidth="1"/>
    <col min="4105" max="4105" width="9.6640625" style="197" customWidth="1"/>
    <col min="4106" max="4106" width="4.88671875" style="197" customWidth="1"/>
    <col min="4107" max="4107" width="12.88671875" style="197" customWidth="1"/>
    <col min="4108" max="4108" width="1.6640625" style="197" customWidth="1"/>
    <col min="4109" max="4352" width="8.88671875" style="197"/>
    <col min="4353" max="4353" width="0.5546875" style="197" customWidth="1"/>
    <col min="4354" max="4354" width="1.6640625" style="197" customWidth="1"/>
    <col min="4355" max="4355" width="8.109375" style="197" customWidth="1"/>
    <col min="4356" max="4357" width="19.44140625" style="197" customWidth="1"/>
    <col min="4358" max="4358" width="1.6640625" style="197" customWidth="1"/>
    <col min="4359" max="4359" width="3.21875" style="197" customWidth="1"/>
    <col min="4360" max="4360" width="12.88671875" style="197" customWidth="1"/>
    <col min="4361" max="4361" width="9.6640625" style="197" customWidth="1"/>
    <col min="4362" max="4362" width="4.88671875" style="197" customWidth="1"/>
    <col min="4363" max="4363" width="12.88671875" style="197" customWidth="1"/>
    <col min="4364" max="4364" width="1.6640625" style="197" customWidth="1"/>
    <col min="4365" max="4608" width="8.88671875" style="197"/>
    <col min="4609" max="4609" width="0.5546875" style="197" customWidth="1"/>
    <col min="4610" max="4610" width="1.6640625" style="197" customWidth="1"/>
    <col min="4611" max="4611" width="8.109375" style="197" customWidth="1"/>
    <col min="4612" max="4613" width="19.44140625" style="197" customWidth="1"/>
    <col min="4614" max="4614" width="1.6640625" style="197" customWidth="1"/>
    <col min="4615" max="4615" width="3.21875" style="197" customWidth="1"/>
    <col min="4616" max="4616" width="12.88671875" style="197" customWidth="1"/>
    <col min="4617" max="4617" width="9.6640625" style="197" customWidth="1"/>
    <col min="4618" max="4618" width="4.88671875" style="197" customWidth="1"/>
    <col min="4619" max="4619" width="12.88671875" style="197" customWidth="1"/>
    <col min="4620" max="4620" width="1.6640625" style="197" customWidth="1"/>
    <col min="4621" max="4864" width="8.88671875" style="197"/>
    <col min="4865" max="4865" width="0.5546875" style="197" customWidth="1"/>
    <col min="4866" max="4866" width="1.6640625" style="197" customWidth="1"/>
    <col min="4867" max="4867" width="8.109375" style="197" customWidth="1"/>
    <col min="4868" max="4869" width="19.44140625" style="197" customWidth="1"/>
    <col min="4870" max="4870" width="1.6640625" style="197" customWidth="1"/>
    <col min="4871" max="4871" width="3.21875" style="197" customWidth="1"/>
    <col min="4872" max="4872" width="12.88671875" style="197" customWidth="1"/>
    <col min="4873" max="4873" width="9.6640625" style="197" customWidth="1"/>
    <col min="4874" max="4874" width="4.88671875" style="197" customWidth="1"/>
    <col min="4875" max="4875" width="12.88671875" style="197" customWidth="1"/>
    <col min="4876" max="4876" width="1.6640625" style="197" customWidth="1"/>
    <col min="4877" max="5120" width="8.88671875" style="197"/>
    <col min="5121" max="5121" width="0.5546875" style="197" customWidth="1"/>
    <col min="5122" max="5122" width="1.6640625" style="197" customWidth="1"/>
    <col min="5123" max="5123" width="8.109375" style="197" customWidth="1"/>
    <col min="5124" max="5125" width="19.44140625" style="197" customWidth="1"/>
    <col min="5126" max="5126" width="1.6640625" style="197" customWidth="1"/>
    <col min="5127" max="5127" width="3.21875" style="197" customWidth="1"/>
    <col min="5128" max="5128" width="12.88671875" style="197" customWidth="1"/>
    <col min="5129" max="5129" width="9.6640625" style="197" customWidth="1"/>
    <col min="5130" max="5130" width="4.88671875" style="197" customWidth="1"/>
    <col min="5131" max="5131" width="12.88671875" style="197" customWidth="1"/>
    <col min="5132" max="5132" width="1.6640625" style="197" customWidth="1"/>
    <col min="5133" max="5376" width="8.88671875" style="197"/>
    <col min="5377" max="5377" width="0.5546875" style="197" customWidth="1"/>
    <col min="5378" max="5378" width="1.6640625" style="197" customWidth="1"/>
    <col min="5379" max="5379" width="8.109375" style="197" customWidth="1"/>
    <col min="5380" max="5381" width="19.44140625" style="197" customWidth="1"/>
    <col min="5382" max="5382" width="1.6640625" style="197" customWidth="1"/>
    <col min="5383" max="5383" width="3.21875" style="197" customWidth="1"/>
    <col min="5384" max="5384" width="12.88671875" style="197" customWidth="1"/>
    <col min="5385" max="5385" width="9.6640625" style="197" customWidth="1"/>
    <col min="5386" max="5386" width="4.88671875" style="197" customWidth="1"/>
    <col min="5387" max="5387" width="12.88671875" style="197" customWidth="1"/>
    <col min="5388" max="5388" width="1.6640625" style="197" customWidth="1"/>
    <col min="5389" max="5632" width="8.88671875" style="197"/>
    <col min="5633" max="5633" width="0.5546875" style="197" customWidth="1"/>
    <col min="5634" max="5634" width="1.6640625" style="197" customWidth="1"/>
    <col min="5635" max="5635" width="8.109375" style="197" customWidth="1"/>
    <col min="5636" max="5637" width="19.44140625" style="197" customWidth="1"/>
    <col min="5638" max="5638" width="1.6640625" style="197" customWidth="1"/>
    <col min="5639" max="5639" width="3.21875" style="197" customWidth="1"/>
    <col min="5640" max="5640" width="12.88671875" style="197" customWidth="1"/>
    <col min="5641" max="5641" width="9.6640625" style="197" customWidth="1"/>
    <col min="5642" max="5642" width="4.88671875" style="197" customWidth="1"/>
    <col min="5643" max="5643" width="12.88671875" style="197" customWidth="1"/>
    <col min="5644" max="5644" width="1.6640625" style="197" customWidth="1"/>
    <col min="5645" max="5888" width="8.88671875" style="197"/>
    <col min="5889" max="5889" width="0.5546875" style="197" customWidth="1"/>
    <col min="5890" max="5890" width="1.6640625" style="197" customWidth="1"/>
    <col min="5891" max="5891" width="8.109375" style="197" customWidth="1"/>
    <col min="5892" max="5893" width="19.44140625" style="197" customWidth="1"/>
    <col min="5894" max="5894" width="1.6640625" style="197" customWidth="1"/>
    <col min="5895" max="5895" width="3.21875" style="197" customWidth="1"/>
    <col min="5896" max="5896" width="12.88671875" style="197" customWidth="1"/>
    <col min="5897" max="5897" width="9.6640625" style="197" customWidth="1"/>
    <col min="5898" max="5898" width="4.88671875" style="197" customWidth="1"/>
    <col min="5899" max="5899" width="12.88671875" style="197" customWidth="1"/>
    <col min="5900" max="5900" width="1.6640625" style="197" customWidth="1"/>
    <col min="5901" max="6144" width="8.88671875" style="197"/>
    <col min="6145" max="6145" width="0.5546875" style="197" customWidth="1"/>
    <col min="6146" max="6146" width="1.6640625" style="197" customWidth="1"/>
    <col min="6147" max="6147" width="8.109375" style="197" customWidth="1"/>
    <col min="6148" max="6149" width="19.44140625" style="197" customWidth="1"/>
    <col min="6150" max="6150" width="1.6640625" style="197" customWidth="1"/>
    <col min="6151" max="6151" width="3.21875" style="197" customWidth="1"/>
    <col min="6152" max="6152" width="12.88671875" style="197" customWidth="1"/>
    <col min="6153" max="6153" width="9.6640625" style="197" customWidth="1"/>
    <col min="6154" max="6154" width="4.88671875" style="197" customWidth="1"/>
    <col min="6155" max="6155" width="12.88671875" style="197" customWidth="1"/>
    <col min="6156" max="6156" width="1.6640625" style="197" customWidth="1"/>
    <col min="6157" max="6400" width="8.88671875" style="197"/>
    <col min="6401" max="6401" width="0.5546875" style="197" customWidth="1"/>
    <col min="6402" max="6402" width="1.6640625" style="197" customWidth="1"/>
    <col min="6403" max="6403" width="8.109375" style="197" customWidth="1"/>
    <col min="6404" max="6405" width="19.44140625" style="197" customWidth="1"/>
    <col min="6406" max="6406" width="1.6640625" style="197" customWidth="1"/>
    <col min="6407" max="6407" width="3.21875" style="197" customWidth="1"/>
    <col min="6408" max="6408" width="12.88671875" style="197" customWidth="1"/>
    <col min="6409" max="6409" width="9.6640625" style="197" customWidth="1"/>
    <col min="6410" max="6410" width="4.88671875" style="197" customWidth="1"/>
    <col min="6411" max="6411" width="12.88671875" style="197" customWidth="1"/>
    <col min="6412" max="6412" width="1.6640625" style="197" customWidth="1"/>
    <col min="6413" max="6656" width="8.88671875" style="197"/>
    <col min="6657" max="6657" width="0.5546875" style="197" customWidth="1"/>
    <col min="6658" max="6658" width="1.6640625" style="197" customWidth="1"/>
    <col min="6659" max="6659" width="8.109375" style="197" customWidth="1"/>
    <col min="6660" max="6661" width="19.44140625" style="197" customWidth="1"/>
    <col min="6662" max="6662" width="1.6640625" style="197" customWidth="1"/>
    <col min="6663" max="6663" width="3.21875" style="197" customWidth="1"/>
    <col min="6664" max="6664" width="12.88671875" style="197" customWidth="1"/>
    <col min="6665" max="6665" width="9.6640625" style="197" customWidth="1"/>
    <col min="6666" max="6666" width="4.88671875" style="197" customWidth="1"/>
    <col min="6667" max="6667" width="12.88671875" style="197" customWidth="1"/>
    <col min="6668" max="6668" width="1.6640625" style="197" customWidth="1"/>
    <col min="6669" max="6912" width="8.88671875" style="197"/>
    <col min="6913" max="6913" width="0.5546875" style="197" customWidth="1"/>
    <col min="6914" max="6914" width="1.6640625" style="197" customWidth="1"/>
    <col min="6915" max="6915" width="8.109375" style="197" customWidth="1"/>
    <col min="6916" max="6917" width="19.44140625" style="197" customWidth="1"/>
    <col min="6918" max="6918" width="1.6640625" style="197" customWidth="1"/>
    <col min="6919" max="6919" width="3.21875" style="197" customWidth="1"/>
    <col min="6920" max="6920" width="12.88671875" style="197" customWidth="1"/>
    <col min="6921" max="6921" width="9.6640625" style="197" customWidth="1"/>
    <col min="6922" max="6922" width="4.88671875" style="197" customWidth="1"/>
    <col min="6923" max="6923" width="12.88671875" style="197" customWidth="1"/>
    <col min="6924" max="6924" width="1.6640625" style="197" customWidth="1"/>
    <col min="6925" max="7168" width="8.88671875" style="197"/>
    <col min="7169" max="7169" width="0.5546875" style="197" customWidth="1"/>
    <col min="7170" max="7170" width="1.6640625" style="197" customWidth="1"/>
    <col min="7171" max="7171" width="8.109375" style="197" customWidth="1"/>
    <col min="7172" max="7173" width="19.44140625" style="197" customWidth="1"/>
    <col min="7174" max="7174" width="1.6640625" style="197" customWidth="1"/>
    <col min="7175" max="7175" width="3.21875" style="197" customWidth="1"/>
    <col min="7176" max="7176" width="12.88671875" style="197" customWidth="1"/>
    <col min="7177" max="7177" width="9.6640625" style="197" customWidth="1"/>
    <col min="7178" max="7178" width="4.88671875" style="197" customWidth="1"/>
    <col min="7179" max="7179" width="12.88671875" style="197" customWidth="1"/>
    <col min="7180" max="7180" width="1.6640625" style="197" customWidth="1"/>
    <col min="7181" max="7424" width="8.88671875" style="197"/>
    <col min="7425" max="7425" width="0.5546875" style="197" customWidth="1"/>
    <col min="7426" max="7426" width="1.6640625" style="197" customWidth="1"/>
    <col min="7427" max="7427" width="8.109375" style="197" customWidth="1"/>
    <col min="7428" max="7429" width="19.44140625" style="197" customWidth="1"/>
    <col min="7430" max="7430" width="1.6640625" style="197" customWidth="1"/>
    <col min="7431" max="7431" width="3.21875" style="197" customWidth="1"/>
    <col min="7432" max="7432" width="12.88671875" style="197" customWidth="1"/>
    <col min="7433" max="7433" width="9.6640625" style="197" customWidth="1"/>
    <col min="7434" max="7434" width="4.88671875" style="197" customWidth="1"/>
    <col min="7435" max="7435" width="12.88671875" style="197" customWidth="1"/>
    <col min="7436" max="7436" width="1.6640625" style="197" customWidth="1"/>
    <col min="7437" max="7680" width="8.88671875" style="197"/>
    <col min="7681" max="7681" width="0.5546875" style="197" customWidth="1"/>
    <col min="7682" max="7682" width="1.6640625" style="197" customWidth="1"/>
    <col min="7683" max="7683" width="8.109375" style="197" customWidth="1"/>
    <col min="7684" max="7685" width="19.44140625" style="197" customWidth="1"/>
    <col min="7686" max="7686" width="1.6640625" style="197" customWidth="1"/>
    <col min="7687" max="7687" width="3.21875" style="197" customWidth="1"/>
    <col min="7688" max="7688" width="12.88671875" style="197" customWidth="1"/>
    <col min="7689" max="7689" width="9.6640625" style="197" customWidth="1"/>
    <col min="7690" max="7690" width="4.88671875" style="197" customWidth="1"/>
    <col min="7691" max="7691" width="12.88671875" style="197" customWidth="1"/>
    <col min="7692" max="7692" width="1.6640625" style="197" customWidth="1"/>
    <col min="7693" max="7936" width="8.88671875" style="197"/>
    <col min="7937" max="7937" width="0.5546875" style="197" customWidth="1"/>
    <col min="7938" max="7938" width="1.6640625" style="197" customWidth="1"/>
    <col min="7939" max="7939" width="8.109375" style="197" customWidth="1"/>
    <col min="7940" max="7941" width="19.44140625" style="197" customWidth="1"/>
    <col min="7942" max="7942" width="1.6640625" style="197" customWidth="1"/>
    <col min="7943" max="7943" width="3.21875" style="197" customWidth="1"/>
    <col min="7944" max="7944" width="12.88671875" style="197" customWidth="1"/>
    <col min="7945" max="7945" width="9.6640625" style="197" customWidth="1"/>
    <col min="7946" max="7946" width="4.88671875" style="197" customWidth="1"/>
    <col min="7947" max="7947" width="12.88671875" style="197" customWidth="1"/>
    <col min="7948" max="7948" width="1.6640625" style="197" customWidth="1"/>
    <col min="7949" max="8192" width="8.88671875" style="197"/>
    <col min="8193" max="8193" width="0.5546875" style="197" customWidth="1"/>
    <col min="8194" max="8194" width="1.6640625" style="197" customWidth="1"/>
    <col min="8195" max="8195" width="8.109375" style="197" customWidth="1"/>
    <col min="8196" max="8197" width="19.44140625" style="197" customWidth="1"/>
    <col min="8198" max="8198" width="1.6640625" style="197" customWidth="1"/>
    <col min="8199" max="8199" width="3.21875" style="197" customWidth="1"/>
    <col min="8200" max="8200" width="12.88671875" style="197" customWidth="1"/>
    <col min="8201" max="8201" width="9.6640625" style="197" customWidth="1"/>
    <col min="8202" max="8202" width="4.88671875" style="197" customWidth="1"/>
    <col min="8203" max="8203" width="12.88671875" style="197" customWidth="1"/>
    <col min="8204" max="8204" width="1.6640625" style="197" customWidth="1"/>
    <col min="8205" max="8448" width="8.88671875" style="197"/>
    <col min="8449" max="8449" width="0.5546875" style="197" customWidth="1"/>
    <col min="8450" max="8450" width="1.6640625" style="197" customWidth="1"/>
    <col min="8451" max="8451" width="8.109375" style="197" customWidth="1"/>
    <col min="8452" max="8453" width="19.44140625" style="197" customWidth="1"/>
    <col min="8454" max="8454" width="1.6640625" style="197" customWidth="1"/>
    <col min="8455" max="8455" width="3.21875" style="197" customWidth="1"/>
    <col min="8456" max="8456" width="12.88671875" style="197" customWidth="1"/>
    <col min="8457" max="8457" width="9.6640625" style="197" customWidth="1"/>
    <col min="8458" max="8458" width="4.88671875" style="197" customWidth="1"/>
    <col min="8459" max="8459" width="12.88671875" style="197" customWidth="1"/>
    <col min="8460" max="8460" width="1.6640625" style="197" customWidth="1"/>
    <col min="8461" max="8704" width="8.88671875" style="197"/>
    <col min="8705" max="8705" width="0.5546875" style="197" customWidth="1"/>
    <col min="8706" max="8706" width="1.6640625" style="197" customWidth="1"/>
    <col min="8707" max="8707" width="8.109375" style="197" customWidth="1"/>
    <col min="8708" max="8709" width="19.44140625" style="197" customWidth="1"/>
    <col min="8710" max="8710" width="1.6640625" style="197" customWidth="1"/>
    <col min="8711" max="8711" width="3.21875" style="197" customWidth="1"/>
    <col min="8712" max="8712" width="12.88671875" style="197" customWidth="1"/>
    <col min="8713" max="8713" width="9.6640625" style="197" customWidth="1"/>
    <col min="8714" max="8714" width="4.88671875" style="197" customWidth="1"/>
    <col min="8715" max="8715" width="12.88671875" style="197" customWidth="1"/>
    <col min="8716" max="8716" width="1.6640625" style="197" customWidth="1"/>
    <col min="8717" max="8960" width="8.88671875" style="197"/>
    <col min="8961" max="8961" width="0.5546875" style="197" customWidth="1"/>
    <col min="8962" max="8962" width="1.6640625" style="197" customWidth="1"/>
    <col min="8963" max="8963" width="8.109375" style="197" customWidth="1"/>
    <col min="8964" max="8965" width="19.44140625" style="197" customWidth="1"/>
    <col min="8966" max="8966" width="1.6640625" style="197" customWidth="1"/>
    <col min="8967" max="8967" width="3.21875" style="197" customWidth="1"/>
    <col min="8968" max="8968" width="12.88671875" style="197" customWidth="1"/>
    <col min="8969" max="8969" width="9.6640625" style="197" customWidth="1"/>
    <col min="8970" max="8970" width="4.88671875" style="197" customWidth="1"/>
    <col min="8971" max="8971" width="12.88671875" style="197" customWidth="1"/>
    <col min="8972" max="8972" width="1.6640625" style="197" customWidth="1"/>
    <col min="8973" max="9216" width="8.88671875" style="197"/>
    <col min="9217" max="9217" width="0.5546875" style="197" customWidth="1"/>
    <col min="9218" max="9218" width="1.6640625" style="197" customWidth="1"/>
    <col min="9219" max="9219" width="8.109375" style="197" customWidth="1"/>
    <col min="9220" max="9221" width="19.44140625" style="197" customWidth="1"/>
    <col min="9222" max="9222" width="1.6640625" style="197" customWidth="1"/>
    <col min="9223" max="9223" width="3.21875" style="197" customWidth="1"/>
    <col min="9224" max="9224" width="12.88671875" style="197" customWidth="1"/>
    <col min="9225" max="9225" width="9.6640625" style="197" customWidth="1"/>
    <col min="9226" max="9226" width="4.88671875" style="197" customWidth="1"/>
    <col min="9227" max="9227" width="12.88671875" style="197" customWidth="1"/>
    <col min="9228" max="9228" width="1.6640625" style="197" customWidth="1"/>
    <col min="9229" max="9472" width="8.88671875" style="197"/>
    <col min="9473" max="9473" width="0.5546875" style="197" customWidth="1"/>
    <col min="9474" max="9474" width="1.6640625" style="197" customWidth="1"/>
    <col min="9475" max="9475" width="8.109375" style="197" customWidth="1"/>
    <col min="9476" max="9477" width="19.44140625" style="197" customWidth="1"/>
    <col min="9478" max="9478" width="1.6640625" style="197" customWidth="1"/>
    <col min="9479" max="9479" width="3.21875" style="197" customWidth="1"/>
    <col min="9480" max="9480" width="12.88671875" style="197" customWidth="1"/>
    <col min="9481" max="9481" width="9.6640625" style="197" customWidth="1"/>
    <col min="9482" max="9482" width="4.88671875" style="197" customWidth="1"/>
    <col min="9483" max="9483" width="12.88671875" style="197" customWidth="1"/>
    <col min="9484" max="9484" width="1.6640625" style="197" customWidth="1"/>
    <col min="9485" max="9728" width="8.88671875" style="197"/>
    <col min="9729" max="9729" width="0.5546875" style="197" customWidth="1"/>
    <col min="9730" max="9730" width="1.6640625" style="197" customWidth="1"/>
    <col min="9731" max="9731" width="8.109375" style="197" customWidth="1"/>
    <col min="9732" max="9733" width="19.44140625" style="197" customWidth="1"/>
    <col min="9734" max="9734" width="1.6640625" style="197" customWidth="1"/>
    <col min="9735" max="9735" width="3.21875" style="197" customWidth="1"/>
    <col min="9736" max="9736" width="12.88671875" style="197" customWidth="1"/>
    <col min="9737" max="9737" width="9.6640625" style="197" customWidth="1"/>
    <col min="9738" max="9738" width="4.88671875" style="197" customWidth="1"/>
    <col min="9739" max="9739" width="12.88671875" style="197" customWidth="1"/>
    <col min="9740" max="9740" width="1.6640625" style="197" customWidth="1"/>
    <col min="9741" max="9984" width="8.88671875" style="197"/>
    <col min="9985" max="9985" width="0.5546875" style="197" customWidth="1"/>
    <col min="9986" max="9986" width="1.6640625" style="197" customWidth="1"/>
    <col min="9987" max="9987" width="8.109375" style="197" customWidth="1"/>
    <col min="9988" max="9989" width="19.44140625" style="197" customWidth="1"/>
    <col min="9990" max="9990" width="1.6640625" style="197" customWidth="1"/>
    <col min="9991" max="9991" width="3.21875" style="197" customWidth="1"/>
    <col min="9992" max="9992" width="12.88671875" style="197" customWidth="1"/>
    <col min="9993" max="9993" width="9.6640625" style="197" customWidth="1"/>
    <col min="9994" max="9994" width="4.88671875" style="197" customWidth="1"/>
    <col min="9995" max="9995" width="12.88671875" style="197" customWidth="1"/>
    <col min="9996" max="9996" width="1.6640625" style="197" customWidth="1"/>
    <col min="9997" max="10240" width="8.88671875" style="197"/>
    <col min="10241" max="10241" width="0.5546875" style="197" customWidth="1"/>
    <col min="10242" max="10242" width="1.6640625" style="197" customWidth="1"/>
    <col min="10243" max="10243" width="8.109375" style="197" customWidth="1"/>
    <col min="10244" max="10245" width="19.44140625" style="197" customWidth="1"/>
    <col min="10246" max="10246" width="1.6640625" style="197" customWidth="1"/>
    <col min="10247" max="10247" width="3.21875" style="197" customWidth="1"/>
    <col min="10248" max="10248" width="12.88671875" style="197" customWidth="1"/>
    <col min="10249" max="10249" width="9.6640625" style="197" customWidth="1"/>
    <col min="10250" max="10250" width="4.88671875" style="197" customWidth="1"/>
    <col min="10251" max="10251" width="12.88671875" style="197" customWidth="1"/>
    <col min="10252" max="10252" width="1.6640625" style="197" customWidth="1"/>
    <col min="10253" max="10496" width="8.88671875" style="197"/>
    <col min="10497" max="10497" width="0.5546875" style="197" customWidth="1"/>
    <col min="10498" max="10498" width="1.6640625" style="197" customWidth="1"/>
    <col min="10499" max="10499" width="8.109375" style="197" customWidth="1"/>
    <col min="10500" max="10501" width="19.44140625" style="197" customWidth="1"/>
    <col min="10502" max="10502" width="1.6640625" style="197" customWidth="1"/>
    <col min="10503" max="10503" width="3.21875" style="197" customWidth="1"/>
    <col min="10504" max="10504" width="12.88671875" style="197" customWidth="1"/>
    <col min="10505" max="10505" width="9.6640625" style="197" customWidth="1"/>
    <col min="10506" max="10506" width="4.88671875" style="197" customWidth="1"/>
    <col min="10507" max="10507" width="12.88671875" style="197" customWidth="1"/>
    <col min="10508" max="10508" width="1.6640625" style="197" customWidth="1"/>
    <col min="10509" max="10752" width="8.88671875" style="197"/>
    <col min="10753" max="10753" width="0.5546875" style="197" customWidth="1"/>
    <col min="10754" max="10754" width="1.6640625" style="197" customWidth="1"/>
    <col min="10755" max="10755" width="8.109375" style="197" customWidth="1"/>
    <col min="10756" max="10757" width="19.44140625" style="197" customWidth="1"/>
    <col min="10758" max="10758" width="1.6640625" style="197" customWidth="1"/>
    <col min="10759" max="10759" width="3.21875" style="197" customWidth="1"/>
    <col min="10760" max="10760" width="12.88671875" style="197" customWidth="1"/>
    <col min="10761" max="10761" width="9.6640625" style="197" customWidth="1"/>
    <col min="10762" max="10762" width="4.88671875" style="197" customWidth="1"/>
    <col min="10763" max="10763" width="12.88671875" style="197" customWidth="1"/>
    <col min="10764" max="10764" width="1.6640625" style="197" customWidth="1"/>
    <col min="10765" max="11008" width="8.88671875" style="197"/>
    <col min="11009" max="11009" width="0.5546875" style="197" customWidth="1"/>
    <col min="11010" max="11010" width="1.6640625" style="197" customWidth="1"/>
    <col min="11011" max="11011" width="8.109375" style="197" customWidth="1"/>
    <col min="11012" max="11013" width="19.44140625" style="197" customWidth="1"/>
    <col min="11014" max="11014" width="1.6640625" style="197" customWidth="1"/>
    <col min="11015" max="11015" width="3.21875" style="197" customWidth="1"/>
    <col min="11016" max="11016" width="12.88671875" style="197" customWidth="1"/>
    <col min="11017" max="11017" width="9.6640625" style="197" customWidth="1"/>
    <col min="11018" max="11018" width="4.88671875" style="197" customWidth="1"/>
    <col min="11019" max="11019" width="12.88671875" style="197" customWidth="1"/>
    <col min="11020" max="11020" width="1.6640625" style="197" customWidth="1"/>
    <col min="11021" max="11264" width="8.88671875" style="197"/>
    <col min="11265" max="11265" width="0.5546875" style="197" customWidth="1"/>
    <col min="11266" max="11266" width="1.6640625" style="197" customWidth="1"/>
    <col min="11267" max="11267" width="8.109375" style="197" customWidth="1"/>
    <col min="11268" max="11269" width="19.44140625" style="197" customWidth="1"/>
    <col min="11270" max="11270" width="1.6640625" style="197" customWidth="1"/>
    <col min="11271" max="11271" width="3.21875" style="197" customWidth="1"/>
    <col min="11272" max="11272" width="12.88671875" style="197" customWidth="1"/>
    <col min="11273" max="11273" width="9.6640625" style="197" customWidth="1"/>
    <col min="11274" max="11274" width="4.88671875" style="197" customWidth="1"/>
    <col min="11275" max="11275" width="12.88671875" style="197" customWidth="1"/>
    <col min="11276" max="11276" width="1.6640625" style="197" customWidth="1"/>
    <col min="11277" max="11520" width="8.88671875" style="197"/>
    <col min="11521" max="11521" width="0.5546875" style="197" customWidth="1"/>
    <col min="11522" max="11522" width="1.6640625" style="197" customWidth="1"/>
    <col min="11523" max="11523" width="8.109375" style="197" customWidth="1"/>
    <col min="11524" max="11525" width="19.44140625" style="197" customWidth="1"/>
    <col min="11526" max="11526" width="1.6640625" style="197" customWidth="1"/>
    <col min="11527" max="11527" width="3.21875" style="197" customWidth="1"/>
    <col min="11528" max="11528" width="12.88671875" style="197" customWidth="1"/>
    <col min="11529" max="11529" width="9.6640625" style="197" customWidth="1"/>
    <col min="11530" max="11530" width="4.88671875" style="197" customWidth="1"/>
    <col min="11531" max="11531" width="12.88671875" style="197" customWidth="1"/>
    <col min="11532" max="11532" width="1.6640625" style="197" customWidth="1"/>
    <col min="11533" max="11776" width="8.88671875" style="197"/>
    <col min="11777" max="11777" width="0.5546875" style="197" customWidth="1"/>
    <col min="11778" max="11778" width="1.6640625" style="197" customWidth="1"/>
    <col min="11779" max="11779" width="8.109375" style="197" customWidth="1"/>
    <col min="11780" max="11781" width="19.44140625" style="197" customWidth="1"/>
    <col min="11782" max="11782" width="1.6640625" style="197" customWidth="1"/>
    <col min="11783" max="11783" width="3.21875" style="197" customWidth="1"/>
    <col min="11784" max="11784" width="12.88671875" style="197" customWidth="1"/>
    <col min="11785" max="11785" width="9.6640625" style="197" customWidth="1"/>
    <col min="11786" max="11786" width="4.88671875" style="197" customWidth="1"/>
    <col min="11787" max="11787" width="12.88671875" style="197" customWidth="1"/>
    <col min="11788" max="11788" width="1.6640625" style="197" customWidth="1"/>
    <col min="11789" max="12032" width="8.88671875" style="197"/>
    <col min="12033" max="12033" width="0.5546875" style="197" customWidth="1"/>
    <col min="12034" max="12034" width="1.6640625" style="197" customWidth="1"/>
    <col min="12035" max="12035" width="8.109375" style="197" customWidth="1"/>
    <col min="12036" max="12037" width="19.44140625" style="197" customWidth="1"/>
    <col min="12038" max="12038" width="1.6640625" style="197" customWidth="1"/>
    <col min="12039" max="12039" width="3.21875" style="197" customWidth="1"/>
    <col min="12040" max="12040" width="12.88671875" style="197" customWidth="1"/>
    <col min="12041" max="12041" width="9.6640625" style="197" customWidth="1"/>
    <col min="12042" max="12042" width="4.88671875" style="197" customWidth="1"/>
    <col min="12043" max="12043" width="12.88671875" style="197" customWidth="1"/>
    <col min="12044" max="12044" width="1.6640625" style="197" customWidth="1"/>
    <col min="12045" max="12288" width="8.88671875" style="197"/>
    <col min="12289" max="12289" width="0.5546875" style="197" customWidth="1"/>
    <col min="12290" max="12290" width="1.6640625" style="197" customWidth="1"/>
    <col min="12291" max="12291" width="8.109375" style="197" customWidth="1"/>
    <col min="12292" max="12293" width="19.44140625" style="197" customWidth="1"/>
    <col min="12294" max="12294" width="1.6640625" style="197" customWidth="1"/>
    <col min="12295" max="12295" width="3.21875" style="197" customWidth="1"/>
    <col min="12296" max="12296" width="12.88671875" style="197" customWidth="1"/>
    <col min="12297" max="12297" width="9.6640625" style="197" customWidth="1"/>
    <col min="12298" max="12298" width="4.88671875" style="197" customWidth="1"/>
    <col min="12299" max="12299" width="12.88671875" style="197" customWidth="1"/>
    <col min="12300" max="12300" width="1.6640625" style="197" customWidth="1"/>
    <col min="12301" max="12544" width="8.88671875" style="197"/>
    <col min="12545" max="12545" width="0.5546875" style="197" customWidth="1"/>
    <col min="12546" max="12546" width="1.6640625" style="197" customWidth="1"/>
    <col min="12547" max="12547" width="8.109375" style="197" customWidth="1"/>
    <col min="12548" max="12549" width="19.44140625" style="197" customWidth="1"/>
    <col min="12550" max="12550" width="1.6640625" style="197" customWidth="1"/>
    <col min="12551" max="12551" width="3.21875" style="197" customWidth="1"/>
    <col min="12552" max="12552" width="12.88671875" style="197" customWidth="1"/>
    <col min="12553" max="12553" width="9.6640625" style="197" customWidth="1"/>
    <col min="12554" max="12554" width="4.88671875" style="197" customWidth="1"/>
    <col min="12555" max="12555" width="12.88671875" style="197" customWidth="1"/>
    <col min="12556" max="12556" width="1.6640625" style="197" customWidth="1"/>
    <col min="12557" max="12800" width="8.88671875" style="197"/>
    <col min="12801" max="12801" width="0.5546875" style="197" customWidth="1"/>
    <col min="12802" max="12802" width="1.6640625" style="197" customWidth="1"/>
    <col min="12803" max="12803" width="8.109375" style="197" customWidth="1"/>
    <col min="12804" max="12805" width="19.44140625" style="197" customWidth="1"/>
    <col min="12806" max="12806" width="1.6640625" style="197" customWidth="1"/>
    <col min="12807" max="12807" width="3.21875" style="197" customWidth="1"/>
    <col min="12808" max="12808" width="12.88671875" style="197" customWidth="1"/>
    <col min="12809" max="12809" width="9.6640625" style="197" customWidth="1"/>
    <col min="12810" max="12810" width="4.88671875" style="197" customWidth="1"/>
    <col min="12811" max="12811" width="12.88671875" style="197" customWidth="1"/>
    <col min="12812" max="12812" width="1.6640625" style="197" customWidth="1"/>
    <col min="12813" max="13056" width="8.88671875" style="197"/>
    <col min="13057" max="13057" width="0.5546875" style="197" customWidth="1"/>
    <col min="13058" max="13058" width="1.6640625" style="197" customWidth="1"/>
    <col min="13059" max="13059" width="8.109375" style="197" customWidth="1"/>
    <col min="13060" max="13061" width="19.44140625" style="197" customWidth="1"/>
    <col min="13062" max="13062" width="1.6640625" style="197" customWidth="1"/>
    <col min="13063" max="13063" width="3.21875" style="197" customWidth="1"/>
    <col min="13064" max="13064" width="12.88671875" style="197" customWidth="1"/>
    <col min="13065" max="13065" width="9.6640625" style="197" customWidth="1"/>
    <col min="13066" max="13066" width="4.88671875" style="197" customWidth="1"/>
    <col min="13067" max="13067" width="12.88671875" style="197" customWidth="1"/>
    <col min="13068" max="13068" width="1.6640625" style="197" customWidth="1"/>
    <col min="13069" max="13312" width="8.88671875" style="197"/>
    <col min="13313" max="13313" width="0.5546875" style="197" customWidth="1"/>
    <col min="13314" max="13314" width="1.6640625" style="197" customWidth="1"/>
    <col min="13315" max="13315" width="8.109375" style="197" customWidth="1"/>
    <col min="13316" max="13317" width="19.44140625" style="197" customWidth="1"/>
    <col min="13318" max="13318" width="1.6640625" style="197" customWidth="1"/>
    <col min="13319" max="13319" width="3.21875" style="197" customWidth="1"/>
    <col min="13320" max="13320" width="12.88671875" style="197" customWidth="1"/>
    <col min="13321" max="13321" width="9.6640625" style="197" customWidth="1"/>
    <col min="13322" max="13322" width="4.88671875" style="197" customWidth="1"/>
    <col min="13323" max="13323" width="12.88671875" style="197" customWidth="1"/>
    <col min="13324" max="13324" width="1.6640625" style="197" customWidth="1"/>
    <col min="13325" max="13568" width="8.88671875" style="197"/>
    <col min="13569" max="13569" width="0.5546875" style="197" customWidth="1"/>
    <col min="13570" max="13570" width="1.6640625" style="197" customWidth="1"/>
    <col min="13571" max="13571" width="8.109375" style="197" customWidth="1"/>
    <col min="13572" max="13573" width="19.44140625" style="197" customWidth="1"/>
    <col min="13574" max="13574" width="1.6640625" style="197" customWidth="1"/>
    <col min="13575" max="13575" width="3.21875" style="197" customWidth="1"/>
    <col min="13576" max="13576" width="12.88671875" style="197" customWidth="1"/>
    <col min="13577" max="13577" width="9.6640625" style="197" customWidth="1"/>
    <col min="13578" max="13578" width="4.88671875" style="197" customWidth="1"/>
    <col min="13579" max="13579" width="12.88671875" style="197" customWidth="1"/>
    <col min="13580" max="13580" width="1.6640625" style="197" customWidth="1"/>
    <col min="13581" max="13824" width="8.88671875" style="197"/>
    <col min="13825" max="13825" width="0.5546875" style="197" customWidth="1"/>
    <col min="13826" max="13826" width="1.6640625" style="197" customWidth="1"/>
    <col min="13827" max="13827" width="8.109375" style="197" customWidth="1"/>
    <col min="13828" max="13829" width="19.44140625" style="197" customWidth="1"/>
    <col min="13830" max="13830" width="1.6640625" style="197" customWidth="1"/>
    <col min="13831" max="13831" width="3.21875" style="197" customWidth="1"/>
    <col min="13832" max="13832" width="12.88671875" style="197" customWidth="1"/>
    <col min="13833" max="13833" width="9.6640625" style="197" customWidth="1"/>
    <col min="13834" max="13834" width="4.88671875" style="197" customWidth="1"/>
    <col min="13835" max="13835" width="12.88671875" style="197" customWidth="1"/>
    <col min="13836" max="13836" width="1.6640625" style="197" customWidth="1"/>
    <col min="13837" max="14080" width="8.88671875" style="197"/>
    <col min="14081" max="14081" width="0.5546875" style="197" customWidth="1"/>
    <col min="14082" max="14082" width="1.6640625" style="197" customWidth="1"/>
    <col min="14083" max="14083" width="8.109375" style="197" customWidth="1"/>
    <col min="14084" max="14085" width="19.44140625" style="197" customWidth="1"/>
    <col min="14086" max="14086" width="1.6640625" style="197" customWidth="1"/>
    <col min="14087" max="14087" width="3.21875" style="197" customWidth="1"/>
    <col min="14088" max="14088" width="12.88671875" style="197" customWidth="1"/>
    <col min="14089" max="14089" width="9.6640625" style="197" customWidth="1"/>
    <col min="14090" max="14090" width="4.88671875" style="197" customWidth="1"/>
    <col min="14091" max="14091" width="12.88671875" style="197" customWidth="1"/>
    <col min="14092" max="14092" width="1.6640625" style="197" customWidth="1"/>
    <col min="14093" max="14336" width="8.88671875" style="197"/>
    <col min="14337" max="14337" width="0.5546875" style="197" customWidth="1"/>
    <col min="14338" max="14338" width="1.6640625" style="197" customWidth="1"/>
    <col min="14339" max="14339" width="8.109375" style="197" customWidth="1"/>
    <col min="14340" max="14341" width="19.44140625" style="197" customWidth="1"/>
    <col min="14342" max="14342" width="1.6640625" style="197" customWidth="1"/>
    <col min="14343" max="14343" width="3.21875" style="197" customWidth="1"/>
    <col min="14344" max="14344" width="12.88671875" style="197" customWidth="1"/>
    <col min="14345" max="14345" width="9.6640625" style="197" customWidth="1"/>
    <col min="14346" max="14346" width="4.88671875" style="197" customWidth="1"/>
    <col min="14347" max="14347" width="12.88671875" style="197" customWidth="1"/>
    <col min="14348" max="14348" width="1.6640625" style="197" customWidth="1"/>
    <col min="14349" max="14592" width="8.88671875" style="197"/>
    <col min="14593" max="14593" width="0.5546875" style="197" customWidth="1"/>
    <col min="14594" max="14594" width="1.6640625" style="197" customWidth="1"/>
    <col min="14595" max="14595" width="8.109375" style="197" customWidth="1"/>
    <col min="14596" max="14597" width="19.44140625" style="197" customWidth="1"/>
    <col min="14598" max="14598" width="1.6640625" style="197" customWidth="1"/>
    <col min="14599" max="14599" width="3.21875" style="197" customWidth="1"/>
    <col min="14600" max="14600" width="12.88671875" style="197" customWidth="1"/>
    <col min="14601" max="14601" width="9.6640625" style="197" customWidth="1"/>
    <col min="14602" max="14602" width="4.88671875" style="197" customWidth="1"/>
    <col min="14603" max="14603" width="12.88671875" style="197" customWidth="1"/>
    <col min="14604" max="14604" width="1.6640625" style="197" customWidth="1"/>
    <col min="14605" max="14848" width="8.88671875" style="197"/>
    <col min="14849" max="14849" width="0.5546875" style="197" customWidth="1"/>
    <col min="14850" max="14850" width="1.6640625" style="197" customWidth="1"/>
    <col min="14851" max="14851" width="8.109375" style="197" customWidth="1"/>
    <col min="14852" max="14853" width="19.44140625" style="197" customWidth="1"/>
    <col min="14854" max="14854" width="1.6640625" style="197" customWidth="1"/>
    <col min="14855" max="14855" width="3.21875" style="197" customWidth="1"/>
    <col min="14856" max="14856" width="12.88671875" style="197" customWidth="1"/>
    <col min="14857" max="14857" width="9.6640625" style="197" customWidth="1"/>
    <col min="14858" max="14858" width="4.88671875" style="197" customWidth="1"/>
    <col min="14859" max="14859" width="12.88671875" style="197" customWidth="1"/>
    <col min="14860" max="14860" width="1.6640625" style="197" customWidth="1"/>
    <col min="14861" max="15104" width="8.88671875" style="197"/>
    <col min="15105" max="15105" width="0.5546875" style="197" customWidth="1"/>
    <col min="15106" max="15106" width="1.6640625" style="197" customWidth="1"/>
    <col min="15107" max="15107" width="8.109375" style="197" customWidth="1"/>
    <col min="15108" max="15109" width="19.44140625" style="197" customWidth="1"/>
    <col min="15110" max="15110" width="1.6640625" style="197" customWidth="1"/>
    <col min="15111" max="15111" width="3.21875" style="197" customWidth="1"/>
    <col min="15112" max="15112" width="12.88671875" style="197" customWidth="1"/>
    <col min="15113" max="15113" width="9.6640625" style="197" customWidth="1"/>
    <col min="15114" max="15114" width="4.88671875" style="197" customWidth="1"/>
    <col min="15115" max="15115" width="12.88671875" style="197" customWidth="1"/>
    <col min="15116" max="15116" width="1.6640625" style="197" customWidth="1"/>
    <col min="15117" max="15360" width="8.88671875" style="197"/>
    <col min="15361" max="15361" width="0.5546875" style="197" customWidth="1"/>
    <col min="15362" max="15362" width="1.6640625" style="197" customWidth="1"/>
    <col min="15363" max="15363" width="8.109375" style="197" customWidth="1"/>
    <col min="15364" max="15365" width="19.44140625" style="197" customWidth="1"/>
    <col min="15366" max="15366" width="1.6640625" style="197" customWidth="1"/>
    <col min="15367" max="15367" width="3.21875" style="197" customWidth="1"/>
    <col min="15368" max="15368" width="12.88671875" style="197" customWidth="1"/>
    <col min="15369" max="15369" width="9.6640625" style="197" customWidth="1"/>
    <col min="15370" max="15370" width="4.88671875" style="197" customWidth="1"/>
    <col min="15371" max="15371" width="12.88671875" style="197" customWidth="1"/>
    <col min="15372" max="15372" width="1.6640625" style="197" customWidth="1"/>
    <col min="15373" max="15616" width="8.88671875" style="197"/>
    <col min="15617" max="15617" width="0.5546875" style="197" customWidth="1"/>
    <col min="15618" max="15618" width="1.6640625" style="197" customWidth="1"/>
    <col min="15619" max="15619" width="8.109375" style="197" customWidth="1"/>
    <col min="15620" max="15621" width="19.44140625" style="197" customWidth="1"/>
    <col min="15622" max="15622" width="1.6640625" style="197" customWidth="1"/>
    <col min="15623" max="15623" width="3.21875" style="197" customWidth="1"/>
    <col min="15624" max="15624" width="12.88671875" style="197" customWidth="1"/>
    <col min="15625" max="15625" width="9.6640625" style="197" customWidth="1"/>
    <col min="15626" max="15626" width="4.88671875" style="197" customWidth="1"/>
    <col min="15627" max="15627" width="12.88671875" style="197" customWidth="1"/>
    <col min="15628" max="15628" width="1.6640625" style="197" customWidth="1"/>
    <col min="15629" max="15872" width="8.88671875" style="197"/>
    <col min="15873" max="15873" width="0.5546875" style="197" customWidth="1"/>
    <col min="15874" max="15874" width="1.6640625" style="197" customWidth="1"/>
    <col min="15875" max="15875" width="8.109375" style="197" customWidth="1"/>
    <col min="15876" max="15877" width="19.44140625" style="197" customWidth="1"/>
    <col min="15878" max="15878" width="1.6640625" style="197" customWidth="1"/>
    <col min="15879" max="15879" width="3.21875" style="197" customWidth="1"/>
    <col min="15880" max="15880" width="12.88671875" style="197" customWidth="1"/>
    <col min="15881" max="15881" width="9.6640625" style="197" customWidth="1"/>
    <col min="15882" max="15882" width="4.88671875" style="197" customWidth="1"/>
    <col min="15883" max="15883" width="12.88671875" style="197" customWidth="1"/>
    <col min="15884" max="15884" width="1.6640625" style="197" customWidth="1"/>
    <col min="15885" max="16128" width="8.88671875" style="197"/>
    <col min="16129" max="16129" width="0.5546875" style="197" customWidth="1"/>
    <col min="16130" max="16130" width="1.6640625" style="197" customWidth="1"/>
    <col min="16131" max="16131" width="8.109375" style="197" customWidth="1"/>
    <col min="16132" max="16133" width="19.44140625" style="197" customWidth="1"/>
    <col min="16134" max="16134" width="1.6640625" style="197" customWidth="1"/>
    <col min="16135" max="16135" width="3.21875" style="197" customWidth="1"/>
    <col min="16136" max="16136" width="12.88671875" style="197" customWidth="1"/>
    <col min="16137" max="16137" width="9.6640625" style="197" customWidth="1"/>
    <col min="16138" max="16138" width="4.88671875" style="197" customWidth="1"/>
    <col min="16139" max="16139" width="12.88671875" style="197" customWidth="1"/>
    <col min="16140" max="16140" width="1.6640625" style="197" customWidth="1"/>
    <col min="16141" max="16384" width="8.88671875" style="197"/>
  </cols>
  <sheetData>
    <row r="1" spans="2:14" ht="24.95" customHeight="1">
      <c r="B1" s="1783" t="s">
        <v>623</v>
      </c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98"/>
      <c r="N1" s="198"/>
    </row>
    <row r="2" spans="2:14" ht="9.9499999999999993" customHeight="1">
      <c r="B2" s="1784"/>
      <c r="C2" s="1784"/>
      <c r="D2" s="1784"/>
      <c r="E2" s="1784"/>
      <c r="F2" s="1784"/>
      <c r="G2" s="1784"/>
      <c r="H2" s="1784"/>
      <c r="I2" s="1784"/>
      <c r="J2" s="1784"/>
      <c r="K2" s="1784"/>
      <c r="L2" s="1784"/>
    </row>
    <row r="3" spans="2:14" ht="30" customHeight="1">
      <c r="B3" s="199"/>
      <c r="C3" s="200"/>
      <c r="D3" s="200"/>
      <c r="E3" s="200"/>
      <c r="F3" s="200"/>
      <c r="G3" s="200"/>
      <c r="H3" s="200"/>
      <c r="I3" s="200"/>
      <c r="J3" s="200"/>
      <c r="K3" s="200"/>
      <c r="L3" s="201"/>
    </row>
    <row r="4" spans="2:14" ht="16.5">
      <c r="B4" s="202"/>
      <c r="C4" s="1789" t="s">
        <v>624</v>
      </c>
      <c r="D4" s="1789"/>
      <c r="E4" s="1789"/>
      <c r="G4" s="1789" t="s">
        <v>625</v>
      </c>
      <c r="H4" s="1789"/>
      <c r="I4" s="1789"/>
      <c r="L4" s="203"/>
    </row>
    <row r="5" spans="2:14" ht="7.5" customHeight="1">
      <c r="B5" s="202"/>
      <c r="L5" s="203"/>
    </row>
    <row r="6" spans="2:14" ht="19.7" customHeight="1">
      <c r="B6" s="202"/>
      <c r="C6" s="204" t="s">
        <v>626</v>
      </c>
      <c r="D6" s="204" t="s">
        <v>627</v>
      </c>
      <c r="E6" s="204" t="s">
        <v>628</v>
      </c>
      <c r="F6" s="205"/>
      <c r="G6" s="204" t="s">
        <v>532</v>
      </c>
      <c r="H6" s="204" t="s">
        <v>629</v>
      </c>
      <c r="I6" s="204" t="s">
        <v>630</v>
      </c>
      <c r="J6" s="204" t="s">
        <v>534</v>
      </c>
      <c r="K6" s="204" t="s">
        <v>537</v>
      </c>
      <c r="L6" s="206"/>
    </row>
    <row r="7" spans="2:14" ht="16.899999999999999" customHeight="1">
      <c r="B7" s="202"/>
      <c r="C7" s="207" t="s">
        <v>631</v>
      </c>
      <c r="D7" s="208">
        <v>1118</v>
      </c>
      <c r="E7" s="207"/>
      <c r="F7" s="205"/>
      <c r="G7" s="209" t="s">
        <v>540</v>
      </c>
      <c r="H7" s="225" t="s">
        <v>1114</v>
      </c>
      <c r="I7" s="207" t="s">
        <v>539</v>
      </c>
      <c r="J7" s="204" t="s">
        <v>369</v>
      </c>
      <c r="K7" s="210" t="e">
        <f>#REF!</f>
        <v>#REF!</v>
      </c>
      <c r="L7" s="206"/>
    </row>
    <row r="8" spans="2:14" ht="16.899999999999999" customHeight="1">
      <c r="B8" s="202"/>
      <c r="C8" s="207" t="s">
        <v>632</v>
      </c>
      <c r="D8" s="208"/>
      <c r="E8" s="207"/>
      <c r="F8" s="205"/>
      <c r="G8" s="209" t="s">
        <v>546</v>
      </c>
      <c r="H8" s="207" t="s">
        <v>1115</v>
      </c>
      <c r="I8" s="207" t="s">
        <v>539</v>
      </c>
      <c r="J8" s="204" t="s">
        <v>87</v>
      </c>
      <c r="K8" s="210">
        <v>78100</v>
      </c>
      <c r="L8" s="206"/>
    </row>
    <row r="9" spans="2:14" ht="16.899999999999999" customHeight="1">
      <c r="B9" s="202"/>
      <c r="C9" s="207" t="s">
        <v>633</v>
      </c>
      <c r="D9" s="208"/>
      <c r="E9" s="207"/>
      <c r="F9" s="205"/>
      <c r="G9" s="209" t="s">
        <v>547</v>
      </c>
      <c r="H9" s="207" t="s">
        <v>1116</v>
      </c>
      <c r="I9" s="207" t="s">
        <v>539</v>
      </c>
      <c r="J9" s="204" t="s">
        <v>87</v>
      </c>
      <c r="K9" s="210">
        <v>223000</v>
      </c>
      <c r="L9" s="206"/>
    </row>
    <row r="10" spans="2:14" ht="16.899999999999999" customHeight="1">
      <c r="B10" s="202"/>
      <c r="C10" s="207" t="s">
        <v>634</v>
      </c>
      <c r="D10" s="211"/>
      <c r="E10" s="207"/>
      <c r="F10" s="205"/>
      <c r="G10" s="209" t="s">
        <v>538</v>
      </c>
      <c r="H10" s="225" t="s">
        <v>1117</v>
      </c>
      <c r="I10" s="207" t="s">
        <v>539</v>
      </c>
      <c r="J10" s="204" t="s">
        <v>369</v>
      </c>
      <c r="K10" s="210" t="e">
        <f>#REF!</f>
        <v>#REF!</v>
      </c>
      <c r="L10" s="206"/>
    </row>
    <row r="11" spans="2:14" ht="16.899999999999999" customHeight="1">
      <c r="B11" s="202"/>
      <c r="C11" s="207" t="s">
        <v>635</v>
      </c>
      <c r="D11" s="208"/>
      <c r="E11" s="207"/>
      <c r="F11" s="205"/>
      <c r="G11" s="209" t="s">
        <v>541</v>
      </c>
      <c r="H11" s="225" t="s">
        <v>1118</v>
      </c>
      <c r="I11" s="207" t="s">
        <v>539</v>
      </c>
      <c r="J11" s="204" t="s">
        <v>369</v>
      </c>
      <c r="K11" s="210">
        <v>445</v>
      </c>
      <c r="L11" s="206"/>
    </row>
    <row r="12" spans="2:14" ht="16.899999999999999" customHeight="1">
      <c r="B12" s="202"/>
      <c r="C12" s="207" t="s">
        <v>539</v>
      </c>
      <c r="D12" s="211"/>
      <c r="E12" s="207" t="s">
        <v>539</v>
      </c>
      <c r="F12" s="205"/>
      <c r="G12" s="209" t="s">
        <v>543</v>
      </c>
      <c r="H12" s="225" t="s">
        <v>1119</v>
      </c>
      <c r="I12" s="207" t="s">
        <v>539</v>
      </c>
      <c r="J12" s="204" t="s">
        <v>544</v>
      </c>
      <c r="K12" s="210">
        <v>82</v>
      </c>
      <c r="L12" s="206"/>
    </row>
    <row r="13" spans="2:14" ht="16.899999999999999" customHeight="1">
      <c r="B13" s="202"/>
      <c r="C13" s="211"/>
      <c r="D13" s="211"/>
      <c r="E13" s="211"/>
      <c r="F13" s="205"/>
      <c r="G13" s="211"/>
      <c r="H13" s="211"/>
      <c r="I13" s="211"/>
      <c r="J13" s="211"/>
      <c r="K13" s="211"/>
      <c r="L13" s="206"/>
    </row>
    <row r="14" spans="2:14" ht="16.899999999999999" customHeight="1">
      <c r="B14" s="202"/>
      <c r="C14" s="211"/>
      <c r="D14" s="211"/>
      <c r="E14" s="211"/>
      <c r="F14" s="205"/>
      <c r="G14" s="211"/>
      <c r="H14" s="211"/>
      <c r="I14" s="211"/>
      <c r="J14" s="211"/>
      <c r="K14" s="211"/>
      <c r="L14" s="206"/>
    </row>
    <row r="15" spans="2:14" ht="16.899999999999999" customHeight="1">
      <c r="B15" s="202"/>
      <c r="C15" s="313"/>
      <c r="D15" s="313"/>
      <c r="E15" s="313"/>
      <c r="F15" s="205"/>
      <c r="G15" s="313"/>
      <c r="H15" s="313"/>
      <c r="I15" s="313"/>
      <c r="J15" s="313"/>
      <c r="K15" s="313"/>
      <c r="L15" s="206"/>
    </row>
    <row r="16" spans="2:14" ht="16.5">
      <c r="B16" s="202"/>
      <c r="C16" s="1789" t="s">
        <v>636</v>
      </c>
      <c r="D16" s="1789"/>
      <c r="E16" s="1789"/>
      <c r="G16" s="1789" t="s">
        <v>637</v>
      </c>
      <c r="H16" s="1789"/>
      <c r="I16" s="1789"/>
      <c r="L16" s="203"/>
    </row>
    <row r="17" spans="2:12" ht="7.5" customHeight="1">
      <c r="B17" s="202"/>
      <c r="L17" s="203"/>
    </row>
    <row r="18" spans="2:12" ht="19.7" customHeight="1">
      <c r="B18" s="202"/>
      <c r="C18" s="204" t="s">
        <v>532</v>
      </c>
      <c r="D18" s="204" t="s">
        <v>636</v>
      </c>
      <c r="E18" s="204" t="s">
        <v>638</v>
      </c>
      <c r="F18" s="205"/>
      <c r="G18" s="204"/>
      <c r="H18" s="212"/>
      <c r="I18" s="212"/>
      <c r="J18" s="212"/>
      <c r="K18" s="213"/>
      <c r="L18" s="203"/>
    </row>
    <row r="19" spans="2:12" ht="16.899999999999999" customHeight="1">
      <c r="B19" s="202"/>
      <c r="C19" s="209" t="s">
        <v>538</v>
      </c>
      <c r="D19" s="207" t="s">
        <v>639</v>
      </c>
      <c r="E19" s="208">
        <f>1/8*16/12*25/20</f>
        <v>0.20833333333333331</v>
      </c>
      <c r="F19" s="205"/>
      <c r="G19" s="214"/>
      <c r="H19" s="215"/>
      <c r="I19" s="215"/>
      <c r="J19" s="215"/>
      <c r="K19" s="216"/>
      <c r="L19" s="203"/>
    </row>
    <row r="20" spans="2:12" ht="16.899999999999999" customHeight="1">
      <c r="B20" s="202"/>
      <c r="C20" s="209" t="s">
        <v>540</v>
      </c>
      <c r="D20" s="207" t="s">
        <v>640</v>
      </c>
      <c r="E20" s="208">
        <f>1/8*16/12*25/20*24/15</f>
        <v>0.33333333333333331</v>
      </c>
      <c r="F20" s="205"/>
      <c r="G20" s="1786" t="s">
        <v>641</v>
      </c>
      <c r="H20" s="1787"/>
      <c r="I20" s="1787"/>
      <c r="J20" s="1787"/>
      <c r="K20" s="1788"/>
      <c r="L20" s="203"/>
    </row>
    <row r="21" spans="2:12" ht="16.899999999999999" customHeight="1">
      <c r="B21" s="202"/>
      <c r="C21" s="209" t="s">
        <v>541</v>
      </c>
      <c r="D21" s="207" t="s">
        <v>642</v>
      </c>
      <c r="E21" s="208">
        <f>1/8*16/12*25/20*12/10</f>
        <v>0.25</v>
      </c>
      <c r="F21" s="205"/>
      <c r="G21" s="214"/>
      <c r="H21" s="215"/>
      <c r="I21" s="215"/>
      <c r="J21" s="215"/>
      <c r="K21" s="216"/>
      <c r="L21" s="203"/>
    </row>
    <row r="22" spans="2:12" ht="16.899999999999999" customHeight="1">
      <c r="B22" s="202"/>
      <c r="C22" s="209" t="s">
        <v>542</v>
      </c>
      <c r="D22" s="207" t="s">
        <v>643</v>
      </c>
      <c r="E22" s="208">
        <f>1/8*16/12*25/20*14/12</f>
        <v>0.24305555555555555</v>
      </c>
      <c r="F22" s="205"/>
      <c r="G22" s="1786" t="s">
        <v>644</v>
      </c>
      <c r="H22" s="1787"/>
      <c r="I22" s="1787"/>
      <c r="J22" s="1787"/>
      <c r="K22" s="1788"/>
      <c r="L22" s="203"/>
    </row>
    <row r="23" spans="2:12" ht="16.899999999999999" customHeight="1">
      <c r="B23" s="202"/>
      <c r="C23" s="209" t="s">
        <v>543</v>
      </c>
      <c r="D23" s="207" t="s">
        <v>645</v>
      </c>
      <c r="E23" s="217">
        <f>1/8*16/12*25/20*24/5</f>
        <v>1</v>
      </c>
      <c r="F23" s="205"/>
      <c r="G23" s="214"/>
      <c r="H23" s="215"/>
      <c r="I23" s="215"/>
      <c r="J23" s="215"/>
      <c r="K23" s="216"/>
      <c r="L23" s="203"/>
    </row>
    <row r="24" spans="2:12" ht="16.899999999999999" customHeight="1">
      <c r="B24" s="202"/>
      <c r="C24" s="211"/>
      <c r="D24" s="211"/>
      <c r="E24" s="211"/>
      <c r="F24" s="205"/>
      <c r="G24" s="1786" t="s">
        <v>646</v>
      </c>
      <c r="H24" s="1787"/>
      <c r="I24" s="1787"/>
      <c r="J24" s="1787"/>
      <c r="K24" s="1788"/>
      <c r="L24" s="203"/>
    </row>
    <row r="25" spans="2:12" ht="16.899999999999999" customHeight="1">
      <c r="B25" s="202"/>
      <c r="C25" s="211"/>
      <c r="D25" s="211"/>
      <c r="E25" s="211"/>
      <c r="F25" s="205"/>
      <c r="G25" s="214"/>
      <c r="H25" s="215"/>
      <c r="I25" s="215"/>
      <c r="J25" s="215"/>
      <c r="K25" s="216"/>
      <c r="L25" s="203"/>
    </row>
    <row r="26" spans="2:12" ht="16.899999999999999" customHeight="1">
      <c r="B26" s="202"/>
      <c r="C26" s="211"/>
      <c r="D26" s="211"/>
      <c r="E26" s="211"/>
      <c r="F26" s="205"/>
      <c r="G26" s="214"/>
      <c r="H26" s="215"/>
      <c r="I26" s="215"/>
      <c r="J26" s="215"/>
      <c r="K26" s="216"/>
      <c r="L26" s="203"/>
    </row>
    <row r="27" spans="2:12" ht="16.899999999999999" customHeight="1">
      <c r="B27" s="202"/>
      <c r="C27" s="211"/>
      <c r="D27" s="211"/>
      <c r="E27" s="211"/>
      <c r="F27" s="205"/>
      <c r="G27" s="214"/>
      <c r="H27" s="215"/>
      <c r="I27" s="215"/>
      <c r="J27" s="215"/>
      <c r="K27" s="216"/>
      <c r="L27" s="203"/>
    </row>
    <row r="28" spans="2:12" ht="16.899999999999999" customHeight="1">
      <c r="B28" s="202"/>
      <c r="C28" s="211"/>
      <c r="D28" s="211"/>
      <c r="E28" s="211"/>
      <c r="F28" s="205"/>
      <c r="G28" s="218"/>
      <c r="H28" s="219"/>
      <c r="I28" s="219"/>
      <c r="J28" s="219"/>
      <c r="K28" s="220"/>
      <c r="L28" s="203"/>
    </row>
    <row r="29" spans="2:12" ht="15" customHeight="1">
      <c r="B29" s="221"/>
      <c r="C29" s="222"/>
      <c r="D29" s="222"/>
      <c r="E29" s="222"/>
      <c r="F29" s="223"/>
      <c r="G29" s="223"/>
      <c r="H29" s="223"/>
      <c r="I29" s="223"/>
      <c r="J29" s="223"/>
      <c r="K29" s="223"/>
      <c r="L29" s="224"/>
    </row>
  </sheetData>
  <mergeCells count="8">
    <mergeCell ref="G22:K22"/>
    <mergeCell ref="G24:K24"/>
    <mergeCell ref="B1:L2"/>
    <mergeCell ref="C4:E4"/>
    <mergeCell ref="G4:I4"/>
    <mergeCell ref="C16:E16"/>
    <mergeCell ref="G16:I16"/>
    <mergeCell ref="G20:K20"/>
  </mergeCells>
  <phoneticPr fontId="7" type="noConversion"/>
  <pageMargins left="0.98425196850393704" right="7.874015748031496E-2" top="0.6692913385826772" bottom="0.59055118110236215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showGridLines="0" view="pageBreakPreview" zoomScale="85" zoomScaleNormal="100" zoomScaleSheetLayoutView="85" workbookViewId="0">
      <selection activeCell="P17" sqref="P17"/>
    </sheetView>
  </sheetViews>
  <sheetFormatPr defaultColWidth="5.77734375" defaultRowHeight="18" customHeight="1"/>
  <cols>
    <col min="1" max="1" width="5.5546875" style="1413" customWidth="1"/>
    <col min="2" max="6" width="6.33203125" style="1413" customWidth="1"/>
    <col min="7" max="7" width="3.109375" style="1413" customWidth="1"/>
    <col min="8" max="20" width="6.33203125" style="1413" customWidth="1"/>
    <col min="21" max="21" width="1.33203125" style="1413" customWidth="1"/>
    <col min="22" max="23" width="5.77734375" style="1413" customWidth="1"/>
    <col min="24" max="24" width="17.33203125" style="1413" customWidth="1"/>
    <col min="25" max="16384" width="5.77734375" style="1413"/>
  </cols>
  <sheetData>
    <row r="1" spans="1:26" ht="30" customHeight="1">
      <c r="A1" s="1509" t="s">
        <v>1862</v>
      </c>
      <c r="B1" s="1510"/>
      <c r="C1" s="1510"/>
      <c r="D1" s="1510"/>
      <c r="E1" s="1510"/>
      <c r="F1" s="1510"/>
      <c r="G1" s="1510"/>
      <c r="H1" s="1511"/>
      <c r="I1" s="1512" t="s">
        <v>1863</v>
      </c>
      <c r="J1" s="1513"/>
      <c r="K1" s="1514"/>
      <c r="L1" s="1512" t="s">
        <v>1864</v>
      </c>
      <c r="M1" s="1513"/>
      <c r="N1" s="1513"/>
      <c r="O1" s="1515" t="s">
        <v>1865</v>
      </c>
      <c r="P1" s="1513"/>
      <c r="Q1" s="1516"/>
      <c r="R1" s="1515" t="s">
        <v>1866</v>
      </c>
      <c r="S1" s="1513"/>
      <c r="T1" s="1517"/>
      <c r="U1" s="1412"/>
      <c r="V1" s="1412"/>
      <c r="W1" s="1412"/>
      <c r="X1" s="1412"/>
      <c r="Y1" s="1412"/>
      <c r="Z1" s="1412"/>
    </row>
    <row r="2" spans="1:26" ht="21" customHeight="1">
      <c r="A2" s="1518" t="str">
        <f>"2023 년  02 월   일"</f>
        <v>2023 년  02 월   일</v>
      </c>
      <c r="B2" s="1519"/>
      <c r="C2" s="1519"/>
      <c r="D2" s="1519"/>
      <c r="E2" s="1519"/>
      <c r="F2" s="1519"/>
      <c r="G2" s="1519"/>
      <c r="H2" s="1520"/>
      <c r="I2" s="1414"/>
      <c r="J2" s="1414"/>
      <c r="K2" s="1415"/>
      <c r="L2" s="1416"/>
      <c r="M2" s="1417"/>
      <c r="N2" s="1417"/>
      <c r="O2" s="1416"/>
      <c r="P2" s="1417"/>
      <c r="Q2" s="1418"/>
      <c r="R2" s="1417"/>
      <c r="S2" s="1417"/>
      <c r="T2" s="1419"/>
      <c r="U2" s="1412"/>
      <c r="V2" s="1412"/>
      <c r="W2" s="1412"/>
      <c r="X2" s="1412"/>
      <c r="Y2" s="1412"/>
      <c r="Z2" s="1412"/>
    </row>
    <row r="3" spans="1:26" ht="21" customHeight="1">
      <c r="A3" s="1521"/>
      <c r="B3" s="1522"/>
      <c r="C3" s="1522"/>
      <c r="D3" s="1522"/>
      <c r="E3" s="1522"/>
      <c r="F3" s="1522"/>
      <c r="G3" s="1522"/>
      <c r="H3" s="1523"/>
      <c r="I3" s="1414"/>
      <c r="J3" s="1414"/>
      <c r="K3" s="1415"/>
      <c r="L3" s="1421"/>
      <c r="M3" s="1422"/>
      <c r="N3" s="1422"/>
      <c r="O3" s="1421"/>
      <c r="P3" s="1422"/>
      <c r="Q3" s="1423"/>
      <c r="R3" s="1422"/>
      <c r="S3" s="1422"/>
      <c r="T3" s="1424"/>
      <c r="U3" s="1412"/>
      <c r="V3" s="1412"/>
      <c r="W3" s="1412"/>
      <c r="X3" s="1412"/>
      <c r="Y3" s="1412"/>
      <c r="Z3" s="1412"/>
    </row>
    <row r="4" spans="1:26" ht="15.75" customHeight="1">
      <c r="A4" s="1524"/>
      <c r="B4" s="1525"/>
      <c r="C4" s="1525"/>
      <c r="D4" s="1525"/>
      <c r="E4" s="1525"/>
      <c r="F4" s="1525"/>
      <c r="G4" s="1525"/>
      <c r="H4" s="1526"/>
      <c r="I4" s="1425"/>
      <c r="J4" s="1425"/>
      <c r="K4" s="1426"/>
      <c r="L4" s="1427"/>
      <c r="M4" s="1428"/>
      <c r="N4" s="1428"/>
      <c r="O4" s="1429"/>
      <c r="P4" s="1430"/>
      <c r="Q4" s="1431"/>
      <c r="R4" s="1428"/>
      <c r="S4" s="1428"/>
      <c r="T4" s="1432"/>
      <c r="U4" s="1412"/>
      <c r="V4" s="1412"/>
      <c r="W4" s="1412"/>
      <c r="X4" s="1412"/>
      <c r="Y4" s="1412"/>
      <c r="Z4" s="1412"/>
    </row>
    <row r="5" spans="1:26" ht="13.5" customHeight="1">
      <c r="A5" s="1433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414"/>
      <c r="S5" s="1414"/>
      <c r="T5" s="1434"/>
      <c r="U5" s="1412"/>
      <c r="V5" s="1412"/>
      <c r="W5" s="1412"/>
      <c r="X5" s="1412"/>
      <c r="Y5" s="1412"/>
      <c r="Z5" s="1412"/>
    </row>
    <row r="6" spans="1:26" ht="19.5" customHeight="1">
      <c r="A6" s="1435"/>
      <c r="B6" s="1525" t="s">
        <v>1867</v>
      </c>
      <c r="C6" s="1525"/>
      <c r="D6" s="1422"/>
      <c r="E6" s="1422"/>
      <c r="F6" s="1436"/>
      <c r="G6" s="1437"/>
      <c r="H6" s="1437"/>
      <c r="I6" s="1437"/>
      <c r="J6" s="1437"/>
      <c r="K6" s="1437"/>
      <c r="L6" s="1437"/>
      <c r="M6" s="1438"/>
      <c r="N6" s="1438"/>
      <c r="O6" s="1414"/>
      <c r="P6" s="1414"/>
      <c r="Q6" s="1414"/>
      <c r="R6" s="1414"/>
      <c r="S6" s="1414"/>
      <c r="T6" s="1434"/>
      <c r="U6" s="1412"/>
      <c r="V6" s="1412"/>
      <c r="W6" s="1412"/>
      <c r="X6" s="1412"/>
      <c r="Y6" s="1412"/>
      <c r="Z6" s="1412"/>
    </row>
    <row r="7" spans="1:26" ht="19.5" customHeight="1">
      <c r="A7" s="1439"/>
      <c r="B7" s="1436"/>
      <c r="C7" s="1436"/>
      <c r="D7" s="1436"/>
      <c r="E7" s="1436"/>
      <c r="F7" s="1436"/>
      <c r="G7" s="1414"/>
      <c r="H7" s="1414"/>
      <c r="I7" s="1414"/>
      <c r="J7" s="1414"/>
      <c r="K7" s="1414"/>
      <c r="L7" s="1414"/>
      <c r="M7" s="1414"/>
      <c r="N7" s="1414"/>
      <c r="O7" s="1414"/>
      <c r="P7" s="1414"/>
      <c r="Q7" s="1414"/>
      <c r="R7" s="1414"/>
      <c r="S7" s="1414"/>
      <c r="T7" s="1434"/>
      <c r="U7" s="1412"/>
      <c r="V7" s="1412"/>
      <c r="W7" s="1412"/>
      <c r="X7" s="1412"/>
      <c r="Y7" s="1412"/>
      <c r="Z7" s="1412"/>
    </row>
    <row r="8" spans="1:26" ht="38.25" customHeight="1">
      <c r="A8" s="1440"/>
      <c r="B8" s="1527" t="str">
        <f>'설계설명서 (2)'!C4</f>
        <v>2022년 경기창작센터 예술공원 조성사업(전기)</v>
      </c>
      <c r="C8" s="1527"/>
      <c r="D8" s="1527"/>
      <c r="E8" s="1527"/>
      <c r="F8" s="1527"/>
      <c r="G8" s="1527"/>
      <c r="H8" s="1527"/>
      <c r="I8" s="1527"/>
      <c r="J8" s="1527"/>
      <c r="K8" s="1527"/>
      <c r="L8" s="1527"/>
      <c r="M8" s="1527"/>
      <c r="N8" s="1527"/>
      <c r="O8" s="1527"/>
      <c r="P8" s="1527"/>
      <c r="Q8" s="1527"/>
      <c r="R8" s="1527"/>
      <c r="S8" s="1527"/>
      <c r="T8" s="1441"/>
      <c r="U8" s="1412"/>
      <c r="V8" s="1412"/>
      <c r="W8" s="1412"/>
      <c r="X8" s="1412"/>
      <c r="Y8" s="1412"/>
      <c r="Z8" s="1412"/>
    </row>
    <row r="9" spans="1:26" ht="38.25" customHeight="1">
      <c r="A9" s="1440"/>
      <c r="B9" s="1528" t="s">
        <v>1868</v>
      </c>
      <c r="C9" s="1528"/>
      <c r="D9" s="1528"/>
      <c r="E9" s="1528"/>
      <c r="F9" s="1528"/>
      <c r="G9" s="1528"/>
      <c r="H9" s="1528"/>
      <c r="I9" s="1528"/>
      <c r="J9" s="1528"/>
      <c r="K9" s="1528"/>
      <c r="L9" s="1528"/>
      <c r="M9" s="1528"/>
      <c r="N9" s="1528"/>
      <c r="O9" s="1528"/>
      <c r="P9" s="1528"/>
      <c r="Q9" s="1528"/>
      <c r="R9" s="1528"/>
      <c r="S9" s="1528"/>
      <c r="T9" s="1441"/>
      <c r="U9" s="1412"/>
      <c r="V9" s="1412"/>
      <c r="W9" s="1412"/>
      <c r="X9" s="1412"/>
      <c r="Y9" s="1412"/>
      <c r="Z9" s="1412"/>
    </row>
    <row r="10" spans="1:26" ht="19.5" customHeight="1">
      <c r="A10" s="1442"/>
      <c r="B10" s="1443"/>
      <c r="C10" s="1443"/>
      <c r="D10" s="1443"/>
      <c r="E10" s="1443"/>
      <c r="F10" s="1443"/>
      <c r="G10" s="1443"/>
      <c r="H10" s="1443"/>
      <c r="I10" s="1443"/>
      <c r="J10" s="1443"/>
      <c r="K10" s="1443"/>
      <c r="L10" s="1443"/>
      <c r="M10" s="1443"/>
      <c r="N10" s="1443"/>
      <c r="O10" s="1443"/>
      <c r="P10" s="1443"/>
      <c r="Q10" s="1443"/>
      <c r="R10" s="1443"/>
      <c r="S10" s="1443"/>
      <c r="T10" s="1444"/>
      <c r="U10" s="1412"/>
      <c r="V10" s="1412"/>
      <c r="W10" s="1412"/>
      <c r="X10" s="1412"/>
      <c r="Y10" s="1412"/>
      <c r="Z10" s="1412"/>
    </row>
    <row r="11" spans="1:26" ht="19.5" customHeight="1">
      <c r="A11" s="1433"/>
      <c r="B11" s="1414"/>
      <c r="C11" s="1420"/>
      <c r="D11" s="1420" t="s">
        <v>1869</v>
      </c>
      <c r="E11" s="1529" t="s">
        <v>1870</v>
      </c>
      <c r="F11" s="1529"/>
      <c r="G11" s="1420" t="s">
        <v>132</v>
      </c>
      <c r="H11" s="1446" t="str">
        <f>'설계설명서 (2)'!D11</f>
        <v>경기도 안산시 단원구 선감동 435번지 일원</v>
      </c>
      <c r="J11" s="1447"/>
      <c r="K11" s="1447"/>
      <c r="L11" s="1447"/>
      <c r="M11" s="1447"/>
      <c r="N11" s="1447"/>
      <c r="O11" s="1447"/>
      <c r="P11" s="1448"/>
      <c r="Q11" s="1414"/>
      <c r="R11" s="1414"/>
      <c r="S11" s="1414"/>
      <c r="T11" s="1434"/>
      <c r="U11" s="1412"/>
      <c r="V11" s="1412"/>
      <c r="W11" s="1412"/>
      <c r="X11" s="1412"/>
      <c r="Y11" s="1412"/>
      <c r="Z11" s="1412"/>
    </row>
    <row r="12" spans="1:26" ht="19.5" customHeight="1">
      <c r="A12" s="1433"/>
      <c r="B12" s="1414"/>
      <c r="C12" s="1420"/>
      <c r="D12" s="1420"/>
      <c r="E12" s="1445"/>
      <c r="F12" s="1445"/>
      <c r="G12" s="1420"/>
      <c r="H12" s="1449"/>
      <c r="J12" s="1450"/>
      <c r="K12" s="1450"/>
      <c r="L12" s="1450"/>
      <c r="M12" s="1450"/>
      <c r="N12" s="1450"/>
      <c r="O12" s="1450"/>
      <c r="P12" s="1450"/>
      <c r="Q12" s="1414"/>
      <c r="R12" s="1414"/>
      <c r="S12" s="1414"/>
      <c r="T12" s="1434"/>
      <c r="U12" s="1412"/>
      <c r="V12" s="1412"/>
      <c r="W12" s="1412"/>
      <c r="X12" s="1412"/>
      <c r="Y12" s="1412"/>
      <c r="Z12" s="1412"/>
    </row>
    <row r="13" spans="1:26" ht="18.75" customHeight="1">
      <c r="A13" s="1433"/>
      <c r="B13" s="1414"/>
      <c r="C13" s="1420"/>
      <c r="D13" s="1420" t="s">
        <v>1869</v>
      </c>
      <c r="E13" s="1529" t="s">
        <v>1871</v>
      </c>
      <c r="F13" s="1529"/>
      <c r="G13" s="1420" t="s">
        <v>132</v>
      </c>
      <c r="H13" s="1451" t="str">
        <f>'설계설명서 (2)'!C16</f>
        <v>전기공</v>
      </c>
      <c r="I13" s="1452" t="s">
        <v>527</v>
      </c>
      <c r="J13" s="1453" t="str">
        <f>'설계설명서 (2)'!E16</f>
        <v>가로등 이설 2개소, 가로등 설치 7개소, 볼라드등 설치 9개소</v>
      </c>
      <c r="K13" s="1454"/>
      <c r="L13" s="1454"/>
      <c r="M13" s="1454"/>
      <c r="N13" s="1446"/>
      <c r="O13" s="1446"/>
      <c r="P13" s="1454"/>
      <c r="Q13" s="1454"/>
      <c r="R13" s="1454"/>
      <c r="S13" s="1414"/>
      <c r="T13" s="1434"/>
      <c r="U13" s="1412"/>
      <c r="V13" s="1412"/>
      <c r="W13" s="1412"/>
      <c r="X13" s="1412"/>
      <c r="Y13" s="1412"/>
      <c r="Z13" s="1412"/>
    </row>
    <row r="14" spans="1:26" ht="18.75" customHeight="1">
      <c r="A14" s="1433"/>
      <c r="B14" s="1414"/>
      <c r="C14" s="1420"/>
      <c r="D14" s="1420"/>
      <c r="E14" s="1445"/>
      <c r="F14" s="1445"/>
      <c r="G14" s="1420"/>
      <c r="H14" s="1451"/>
      <c r="I14" s="1452"/>
      <c r="J14" s="1453"/>
      <c r="K14" s="1454"/>
      <c r="L14" s="1454"/>
      <c r="M14" s="1454"/>
      <c r="N14" s="1446"/>
      <c r="O14" s="1446"/>
      <c r="P14" s="1454"/>
      <c r="Q14" s="1454"/>
      <c r="R14" s="1454"/>
      <c r="S14" s="1414"/>
      <c r="T14" s="1434"/>
      <c r="U14" s="1412"/>
      <c r="V14" s="1412"/>
      <c r="W14" s="1412"/>
      <c r="X14" s="1412"/>
      <c r="Y14" s="1412"/>
      <c r="Z14" s="1412"/>
    </row>
    <row r="15" spans="1:26" ht="18.75" customHeight="1">
      <c r="A15" s="1433"/>
      <c r="B15" s="1414"/>
      <c r="C15" s="1414"/>
      <c r="D15" s="1420"/>
      <c r="E15" s="1420"/>
      <c r="F15" s="1445"/>
      <c r="G15" s="1447"/>
      <c r="H15" s="1451"/>
      <c r="I15" s="1452"/>
      <c r="J15" s="1453"/>
      <c r="K15" s="1454"/>
      <c r="L15" s="1454"/>
      <c r="M15" s="1454"/>
      <c r="N15" s="1454"/>
      <c r="O15" s="1453"/>
      <c r="P15" s="1454"/>
      <c r="Q15" s="1454"/>
      <c r="R15" s="1454"/>
      <c r="S15" s="1414"/>
      <c r="T15" s="1434"/>
      <c r="U15" s="1412"/>
      <c r="V15" s="1412"/>
      <c r="W15" s="1412"/>
      <c r="X15" s="1412"/>
      <c r="Y15" s="1412"/>
      <c r="Z15" s="1412"/>
    </row>
    <row r="16" spans="1:26" ht="18.75" customHeight="1">
      <c r="A16" s="1433"/>
      <c r="B16" s="1455"/>
      <c r="C16" s="1455"/>
      <c r="D16" s="1420"/>
      <c r="E16" s="1420"/>
      <c r="G16" s="1447"/>
      <c r="H16" s="1451"/>
      <c r="I16" s="1452"/>
      <c r="J16" s="1453"/>
      <c r="K16" s="1456"/>
      <c r="L16" s="1454"/>
      <c r="M16" s="1454"/>
      <c r="N16" s="1454"/>
      <c r="O16" s="1453"/>
      <c r="P16" s="1454"/>
      <c r="Q16" s="1454"/>
      <c r="R16" s="1454"/>
      <c r="S16" s="1414"/>
      <c r="T16" s="1434"/>
      <c r="U16" s="1412"/>
      <c r="V16" s="1412"/>
      <c r="W16" s="1412"/>
      <c r="X16" s="1412"/>
      <c r="Y16" s="1412"/>
      <c r="Z16" s="1412"/>
    </row>
    <row r="17" spans="1:26" ht="18.75" customHeight="1">
      <c r="A17" s="1433"/>
      <c r="B17" s="1455"/>
      <c r="C17" s="1455"/>
      <c r="D17" s="1420"/>
      <c r="E17" s="1420"/>
      <c r="G17" s="1447"/>
      <c r="H17" s="1451"/>
      <c r="I17" s="1446"/>
      <c r="J17" s="1453"/>
      <c r="K17" s="1456"/>
      <c r="L17" s="1456"/>
      <c r="M17" s="1456"/>
      <c r="N17" s="1456"/>
      <c r="O17" s="1453"/>
      <c r="P17" s="1456"/>
      <c r="Q17" s="1456"/>
      <c r="R17" s="1456"/>
      <c r="S17" s="1414"/>
      <c r="T17" s="1434"/>
      <c r="U17" s="1412"/>
      <c r="V17" s="1412"/>
      <c r="W17" s="1449"/>
      <c r="X17" s="1412"/>
      <c r="Y17" s="1412"/>
      <c r="Z17" s="1412"/>
    </row>
    <row r="18" spans="1:26" ht="18.75" customHeight="1">
      <c r="A18" s="1433"/>
      <c r="B18" s="1455"/>
      <c r="C18" s="1455"/>
      <c r="D18" s="1455"/>
      <c r="E18" s="1455"/>
      <c r="G18" s="1457"/>
      <c r="H18" s="1451"/>
      <c r="I18" s="1446"/>
      <c r="J18" s="1453"/>
      <c r="K18" s="1456"/>
      <c r="L18" s="1456"/>
      <c r="M18" s="1456"/>
      <c r="N18" s="1456"/>
      <c r="O18" s="1453"/>
      <c r="P18" s="1456"/>
      <c r="Q18" s="1456"/>
      <c r="R18" s="1456"/>
      <c r="S18" s="1414"/>
      <c r="T18" s="1434"/>
      <c r="U18" s="1412"/>
      <c r="V18" s="1412"/>
      <c r="W18" s="1412"/>
      <c r="X18" s="1412"/>
      <c r="Y18" s="1412"/>
      <c r="Z18" s="1412"/>
    </row>
    <row r="19" spans="1:26" ht="18.75" customHeight="1">
      <c r="A19" s="1433"/>
      <c r="B19" s="1455"/>
      <c r="C19" s="1455"/>
      <c r="D19" s="1455"/>
      <c r="E19" s="1455"/>
      <c r="G19" s="1457"/>
      <c r="H19" s="1454"/>
      <c r="I19" s="1454"/>
      <c r="J19" s="1456"/>
      <c r="K19" s="1454"/>
      <c r="L19" s="1454"/>
      <c r="M19" s="1454"/>
      <c r="N19" s="1454"/>
      <c r="O19" s="1454"/>
      <c r="P19" s="1454"/>
      <c r="Q19" s="1454"/>
      <c r="R19" s="1454"/>
      <c r="S19" s="1455"/>
      <c r="T19" s="1434"/>
      <c r="U19" s="1412"/>
      <c r="V19" s="1412"/>
      <c r="W19" s="1412"/>
      <c r="X19" s="1412"/>
      <c r="Y19" s="1412"/>
      <c r="Z19" s="1412"/>
    </row>
    <row r="20" spans="1:26" s="1461" customFormat="1" ht="24.95" customHeight="1">
      <c r="A20" s="1458"/>
      <c r="B20" s="1414"/>
      <c r="C20" s="1459"/>
      <c r="D20" s="1506" t="s">
        <v>1872</v>
      </c>
      <c r="E20" s="1506"/>
      <c r="F20" s="1506"/>
      <c r="G20" s="1506"/>
      <c r="H20" s="1460" t="s">
        <v>132</v>
      </c>
      <c r="I20" s="1507" t="e">
        <f>I22+I24+I26</f>
        <v>#REF!</v>
      </c>
      <c r="J20" s="1507"/>
      <c r="K20" s="1507"/>
      <c r="L20" s="1507"/>
      <c r="M20" s="1508" t="e">
        <f>I20</f>
        <v>#REF!</v>
      </c>
      <c r="N20" s="1508"/>
      <c r="O20" s="1508"/>
      <c r="P20" s="1508"/>
      <c r="Q20" s="1508"/>
      <c r="R20" s="1508"/>
      <c r="S20" s="1508"/>
      <c r="T20" s="1434"/>
    </row>
    <row r="21" spans="1:26" s="1461" customFormat="1" ht="9.9499999999999993" customHeight="1">
      <c r="A21" s="1458"/>
      <c r="B21" s="1414"/>
      <c r="C21" s="1462"/>
      <c r="D21" s="1463"/>
      <c r="E21" s="1463"/>
      <c r="F21" s="1463"/>
      <c r="G21" s="1413"/>
      <c r="H21" s="1463"/>
      <c r="I21" s="1464"/>
      <c r="J21" s="1464"/>
      <c r="K21" s="1464"/>
      <c r="L21" s="1465"/>
      <c r="M21" s="1466"/>
      <c r="N21" s="1466"/>
      <c r="O21" s="1466"/>
      <c r="P21" s="1466"/>
      <c r="Q21" s="1466"/>
      <c r="R21" s="1466"/>
      <c r="S21" s="1467"/>
      <c r="T21" s="1434"/>
      <c r="X21" s="1461" t="s">
        <v>1873</v>
      </c>
    </row>
    <row r="22" spans="1:26" s="1461" customFormat="1" ht="18" customHeight="1">
      <c r="A22" s="1458"/>
      <c r="B22" s="1414"/>
      <c r="C22" s="1413"/>
      <c r="D22" s="1503" t="s">
        <v>1874</v>
      </c>
      <c r="E22" s="1503"/>
      <c r="F22" s="1503"/>
      <c r="G22" s="1503"/>
      <c r="H22" s="1463" t="s">
        <v>132</v>
      </c>
      <c r="I22" s="1504" t="e">
        <f>원가계산서!D26</f>
        <v>#REF!</v>
      </c>
      <c r="J22" s="1504"/>
      <c r="K22" s="1504"/>
      <c r="L22" s="1504"/>
      <c r="M22" s="1505" t="e">
        <f>I22</f>
        <v>#REF!</v>
      </c>
      <c r="N22" s="1505"/>
      <c r="O22" s="1505"/>
      <c r="P22" s="1505"/>
      <c r="Q22" s="1505"/>
      <c r="R22" s="1505"/>
      <c r="S22" s="1505"/>
      <c r="T22" s="1434" t="s">
        <v>1873</v>
      </c>
      <c r="X22" s="1461" t="s">
        <v>1873</v>
      </c>
    </row>
    <row r="23" spans="1:26" s="1461" customFormat="1" ht="5.0999999999999996" customHeight="1">
      <c r="A23" s="1458"/>
      <c r="B23" s="1414"/>
      <c r="C23" s="1413"/>
      <c r="D23" s="1468"/>
      <c r="E23" s="1468"/>
      <c r="F23" s="1468"/>
      <c r="G23" s="1468"/>
      <c r="H23" s="1463"/>
      <c r="I23" s="1464"/>
      <c r="J23" s="1464"/>
      <c r="K23" s="1464"/>
      <c r="L23" s="1465"/>
      <c r="M23" s="1471"/>
      <c r="N23" s="1471"/>
      <c r="O23" s="1471"/>
      <c r="P23" s="1471"/>
      <c r="Q23" s="1471"/>
      <c r="R23" s="1471"/>
      <c r="S23" s="1467"/>
      <c r="T23" s="1434"/>
    </row>
    <row r="24" spans="1:26" ht="18" customHeight="1">
      <c r="A24" s="1458"/>
      <c r="B24" s="1414"/>
      <c r="C24" s="1414"/>
      <c r="D24" s="1503" t="s">
        <v>1875</v>
      </c>
      <c r="E24" s="1503"/>
      <c r="F24" s="1503"/>
      <c r="G24" s="1503"/>
      <c r="H24" s="1463" t="s">
        <v>132</v>
      </c>
      <c r="I24" s="1504" t="e">
        <f>원가계산서!D27</f>
        <v>#REF!</v>
      </c>
      <c r="J24" s="1504"/>
      <c r="K24" s="1504"/>
      <c r="L24" s="1504"/>
      <c r="M24" s="1505" t="e">
        <f>I24</f>
        <v>#REF!</v>
      </c>
      <c r="N24" s="1505"/>
      <c r="O24" s="1505"/>
      <c r="P24" s="1505"/>
      <c r="Q24" s="1505"/>
      <c r="R24" s="1505"/>
      <c r="S24" s="1505"/>
      <c r="T24" s="1434"/>
      <c r="U24" s="1412"/>
      <c r="V24" s="1412"/>
      <c r="W24" s="1412"/>
      <c r="X24" s="1412"/>
      <c r="Y24" s="1412"/>
      <c r="Z24" s="1412"/>
    </row>
    <row r="25" spans="1:26" ht="5.0999999999999996" customHeight="1">
      <c r="A25" s="1458"/>
      <c r="B25" s="1414"/>
      <c r="C25" s="1414"/>
      <c r="D25" s="1468"/>
      <c r="E25" s="1468"/>
      <c r="F25" s="1468"/>
      <c r="G25" s="1468"/>
      <c r="H25" s="1463"/>
      <c r="I25" s="1469"/>
      <c r="J25" s="1469"/>
      <c r="K25" s="1469"/>
      <c r="L25" s="1469"/>
      <c r="M25" s="1470"/>
      <c r="N25" s="1470"/>
      <c r="O25" s="1470"/>
      <c r="P25" s="1470"/>
      <c r="Q25" s="1470"/>
      <c r="R25" s="1470"/>
      <c r="S25" s="1470"/>
      <c r="T25" s="1434"/>
      <c r="U25" s="1412"/>
      <c r="V25" s="1412"/>
      <c r="W25" s="1412"/>
      <c r="X25" s="1412"/>
      <c r="Y25" s="1412"/>
      <c r="Z25" s="1412"/>
    </row>
    <row r="26" spans="1:26" ht="18" customHeight="1">
      <c r="A26" s="1458"/>
      <c r="B26" s="1414"/>
      <c r="C26" s="1414"/>
      <c r="D26" s="1503"/>
      <c r="E26" s="1503"/>
      <c r="F26" s="1503"/>
      <c r="G26" s="1503"/>
      <c r="H26" s="1463"/>
      <c r="I26" s="1504"/>
      <c r="J26" s="1504"/>
      <c r="K26" s="1504"/>
      <c r="L26" s="1504"/>
      <c r="M26" s="1505"/>
      <c r="N26" s="1505"/>
      <c r="O26" s="1505"/>
      <c r="P26" s="1505"/>
      <c r="Q26" s="1505"/>
      <c r="R26" s="1505"/>
      <c r="S26" s="1505"/>
      <c r="T26" s="1434"/>
      <c r="U26" s="1412"/>
      <c r="V26" s="1412"/>
      <c r="W26" s="1412"/>
      <c r="X26" s="1412"/>
      <c r="Y26" s="1412"/>
      <c r="Z26" s="1412"/>
    </row>
    <row r="27" spans="1:26" ht="20.100000000000001" customHeight="1" thickBot="1">
      <c r="A27" s="1472"/>
      <c r="B27" s="1473"/>
      <c r="C27" s="1473"/>
      <c r="D27" s="1473"/>
      <c r="E27" s="1473"/>
      <c r="F27" s="1473"/>
      <c r="G27" s="1473"/>
      <c r="H27" s="1473"/>
      <c r="I27" s="1473"/>
      <c r="J27" s="1473"/>
      <c r="K27" s="1473"/>
      <c r="L27" s="1473"/>
      <c r="M27" s="1473"/>
      <c r="N27" s="1473"/>
      <c r="O27" s="1473"/>
      <c r="P27" s="1473"/>
      <c r="Q27" s="1473"/>
      <c r="R27" s="1473"/>
      <c r="S27" s="1473"/>
      <c r="T27" s="1474"/>
      <c r="U27" s="1412"/>
      <c r="V27" s="1412"/>
      <c r="W27" s="1412"/>
      <c r="X27" s="1412" t="s">
        <v>1873</v>
      </c>
      <c r="Y27" s="1412"/>
      <c r="Z27" s="1412"/>
    </row>
    <row r="28" spans="1:26" ht="18" customHeight="1">
      <c r="A28" s="1412"/>
      <c r="B28" s="1412"/>
      <c r="C28" s="1412"/>
      <c r="D28" s="1412"/>
      <c r="E28" s="1412"/>
      <c r="F28" s="1412"/>
      <c r="G28" s="1475" t="s">
        <v>1873</v>
      </c>
      <c r="H28" s="1412"/>
      <c r="I28" s="1412"/>
      <c r="J28" s="1412"/>
      <c r="K28" s="1412"/>
      <c r="L28" s="1412"/>
      <c r="M28" s="1412"/>
      <c r="N28" s="1412"/>
      <c r="O28" s="1412"/>
      <c r="P28" s="1412"/>
      <c r="Q28" s="1412"/>
      <c r="R28" s="1412"/>
      <c r="S28" s="1412"/>
      <c r="T28" s="1412"/>
      <c r="U28" s="1412"/>
      <c r="V28" s="1412"/>
      <c r="W28" s="1412"/>
      <c r="X28" s="1412"/>
      <c r="Y28" s="1412"/>
      <c r="Z28" s="1412" t="s">
        <v>1873</v>
      </c>
    </row>
    <row r="29" spans="1:26" ht="18" customHeight="1">
      <c r="A29" s="1412"/>
      <c r="B29" s="1412"/>
      <c r="C29" s="1412"/>
      <c r="D29" s="1412"/>
      <c r="E29" s="1476"/>
      <c r="F29" s="1476"/>
      <c r="G29" s="1476"/>
      <c r="H29" s="1502"/>
      <c r="I29" s="1502"/>
      <c r="J29" s="1502"/>
      <c r="K29" s="1412"/>
      <c r="L29" s="1412"/>
      <c r="M29" s="1412"/>
      <c r="N29" s="1412"/>
      <c r="O29" s="1412"/>
      <c r="P29" s="1412"/>
      <c r="Q29" s="1412"/>
      <c r="R29" s="1412"/>
      <c r="S29" s="1412"/>
      <c r="T29" s="1412"/>
      <c r="U29" s="1412"/>
      <c r="V29" s="1412"/>
      <c r="W29" s="1412"/>
      <c r="X29" s="1412"/>
      <c r="Y29" s="1412"/>
      <c r="Z29" s="1412"/>
    </row>
    <row r="30" spans="1:26" ht="18" customHeight="1">
      <c r="A30" s="1412"/>
      <c r="B30" s="1412"/>
      <c r="C30" s="1412"/>
      <c r="D30" s="1412"/>
      <c r="E30" s="1476"/>
      <c r="F30" s="1476"/>
      <c r="G30" s="1476"/>
      <c r="H30" s="1502"/>
      <c r="I30" s="1502"/>
      <c r="J30" s="1502"/>
      <c r="K30" s="1412"/>
      <c r="L30" s="1412"/>
      <c r="M30" s="1412"/>
      <c r="N30" s="1412"/>
      <c r="O30" s="1412"/>
      <c r="P30" s="1412"/>
      <c r="Q30" s="1412"/>
      <c r="R30" s="1412"/>
      <c r="S30" s="1412"/>
      <c r="T30" s="1412"/>
      <c r="U30" s="1412"/>
      <c r="V30" s="1412"/>
      <c r="W30" s="1412"/>
      <c r="X30" s="1412"/>
      <c r="Y30" s="1412"/>
      <c r="Z30" s="1412"/>
    </row>
    <row r="31" spans="1:26" ht="18" customHeight="1">
      <c r="A31" s="1412"/>
      <c r="B31" s="1412"/>
      <c r="C31" s="1412"/>
      <c r="D31" s="1412"/>
      <c r="E31" s="1476"/>
      <c r="F31" s="1476"/>
      <c r="G31" s="1476"/>
      <c r="H31" s="1502"/>
      <c r="I31" s="1502"/>
      <c r="J31" s="1502"/>
      <c r="K31" s="1412"/>
      <c r="L31" s="1412"/>
      <c r="M31" s="1412"/>
      <c r="N31" s="1412"/>
      <c r="O31" s="1477"/>
      <c r="P31" s="1477"/>
      <c r="Q31" s="1477"/>
      <c r="R31" s="1477"/>
      <c r="S31" s="1477"/>
      <c r="T31" s="1478"/>
      <c r="U31" s="1412"/>
      <c r="V31" s="1412"/>
      <c r="W31" s="1412"/>
      <c r="X31" s="1412"/>
      <c r="Y31" s="1412"/>
      <c r="Z31" s="1412"/>
    </row>
    <row r="32" spans="1:26" ht="18" customHeight="1">
      <c r="A32" s="1412"/>
      <c r="B32" s="1412"/>
      <c r="C32" s="1412"/>
      <c r="D32" s="1412"/>
      <c r="E32" s="1476"/>
      <c r="F32" s="1476"/>
      <c r="G32" s="1476"/>
      <c r="H32" s="1502"/>
      <c r="I32" s="1502"/>
      <c r="J32" s="1502"/>
      <c r="K32" s="1412"/>
      <c r="L32" s="1412"/>
      <c r="M32" s="1412"/>
      <c r="N32" s="1412"/>
      <c r="O32" s="1412"/>
      <c r="P32" s="1412"/>
      <c r="Q32" s="1412"/>
      <c r="R32" s="1412"/>
      <c r="S32" s="1412"/>
      <c r="T32" s="1412"/>
      <c r="U32" s="1412"/>
      <c r="V32" s="1412"/>
      <c r="W32" s="1412"/>
      <c r="X32" s="1412"/>
      <c r="Y32" s="1412"/>
      <c r="Z32" s="1412"/>
    </row>
    <row r="33" spans="8:10" ht="18" customHeight="1">
      <c r="H33" s="1479"/>
      <c r="I33" s="1479"/>
      <c r="J33" s="1479"/>
    </row>
  </sheetData>
  <mergeCells count="27">
    <mergeCell ref="D20:G20"/>
    <mergeCell ref="I20:L20"/>
    <mergeCell ref="M20:S20"/>
    <mergeCell ref="A1:H1"/>
    <mergeCell ref="I1:K1"/>
    <mergeCell ref="L1:N1"/>
    <mergeCell ref="O1:Q1"/>
    <mergeCell ref="R1:T1"/>
    <mergeCell ref="A2:H4"/>
    <mergeCell ref="B6:C6"/>
    <mergeCell ref="B8:S8"/>
    <mergeCell ref="B9:S9"/>
    <mergeCell ref="E11:F11"/>
    <mergeCell ref="E13:F13"/>
    <mergeCell ref="D22:G22"/>
    <mergeCell ref="I22:L22"/>
    <mergeCell ref="M22:S22"/>
    <mergeCell ref="D24:G24"/>
    <mergeCell ref="I24:L24"/>
    <mergeCell ref="M24:S24"/>
    <mergeCell ref="H32:J32"/>
    <mergeCell ref="D26:G26"/>
    <mergeCell ref="I26:L26"/>
    <mergeCell ref="M26:S26"/>
    <mergeCell ref="H29:J29"/>
    <mergeCell ref="H30:J30"/>
    <mergeCell ref="H31:J31"/>
  </mergeCells>
  <phoneticPr fontId="7" type="noConversion"/>
  <printOptions horizontalCentered="1" verticalCentered="1"/>
  <pageMargins left="0.62992125984251968" right="0.43307086614173229" top="0.78740157480314965" bottom="0.78740157480314965" header="0.51181102362204722" footer="0.31496062992125984"/>
  <pageSetup paperSize="9" scale="9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E327"/>
  <sheetViews>
    <sheetView view="pageBreakPreview" zoomScaleSheetLayoutView="100" workbookViewId="0">
      <pane ySplit="3" topLeftCell="A4" activePane="bottomLeft" state="frozen"/>
      <selection activeCell="B4" sqref="B4"/>
      <selection pane="bottomLeft" activeCell="A3" sqref="A3"/>
    </sheetView>
  </sheetViews>
  <sheetFormatPr defaultRowHeight="12.75"/>
  <cols>
    <col min="1" max="5" width="18.77734375" style="198" customWidth="1"/>
    <col min="6" max="217" width="8.88671875" style="197"/>
    <col min="218" max="218" width="0.5546875" style="197" customWidth="1"/>
    <col min="219" max="219" width="2.88671875" style="197" customWidth="1"/>
    <col min="220" max="220" width="13.109375" style="197" customWidth="1"/>
    <col min="221" max="221" width="9.88671875" style="197" customWidth="1"/>
    <col min="222" max="222" width="2.77734375" style="197" customWidth="1"/>
    <col min="223" max="223" width="6.77734375" style="197" customWidth="1"/>
    <col min="224" max="228" width="3.88671875" style="197" customWidth="1"/>
    <col min="229" max="229" width="6.77734375" style="197" customWidth="1"/>
    <col min="230" max="230" width="7.77734375" style="197" customWidth="1"/>
    <col min="231" max="232" width="5.21875" style="197" customWidth="1"/>
    <col min="233" max="473" width="8.88671875" style="197"/>
    <col min="474" max="474" width="0.5546875" style="197" customWidth="1"/>
    <col min="475" max="475" width="2.88671875" style="197" customWidth="1"/>
    <col min="476" max="476" width="13.109375" style="197" customWidth="1"/>
    <col min="477" max="477" width="9.88671875" style="197" customWidth="1"/>
    <col min="478" max="478" width="2.77734375" style="197" customWidth="1"/>
    <col min="479" max="479" width="6.77734375" style="197" customWidth="1"/>
    <col min="480" max="484" width="3.88671875" style="197" customWidth="1"/>
    <col min="485" max="485" width="6.77734375" style="197" customWidth="1"/>
    <col min="486" max="486" width="7.77734375" style="197" customWidth="1"/>
    <col min="487" max="488" width="5.21875" style="197" customWidth="1"/>
    <col min="489" max="729" width="8.88671875" style="197"/>
    <col min="730" max="730" width="0.5546875" style="197" customWidth="1"/>
    <col min="731" max="731" width="2.88671875" style="197" customWidth="1"/>
    <col min="732" max="732" width="13.109375" style="197" customWidth="1"/>
    <col min="733" max="733" width="9.88671875" style="197" customWidth="1"/>
    <col min="734" max="734" width="2.77734375" style="197" customWidth="1"/>
    <col min="735" max="735" width="6.77734375" style="197" customWidth="1"/>
    <col min="736" max="740" width="3.88671875" style="197" customWidth="1"/>
    <col min="741" max="741" width="6.77734375" style="197" customWidth="1"/>
    <col min="742" max="742" width="7.77734375" style="197" customWidth="1"/>
    <col min="743" max="744" width="5.21875" style="197" customWidth="1"/>
    <col min="745" max="985" width="8.88671875" style="197"/>
    <col min="986" max="986" width="0.5546875" style="197" customWidth="1"/>
    <col min="987" max="987" width="2.88671875" style="197" customWidth="1"/>
    <col min="988" max="988" width="13.109375" style="197" customWidth="1"/>
    <col min="989" max="989" width="9.88671875" style="197" customWidth="1"/>
    <col min="990" max="990" width="2.77734375" style="197" customWidth="1"/>
    <col min="991" max="991" width="6.77734375" style="197" customWidth="1"/>
    <col min="992" max="996" width="3.88671875" style="197" customWidth="1"/>
    <col min="997" max="997" width="6.77734375" style="197" customWidth="1"/>
    <col min="998" max="998" width="7.77734375" style="197" customWidth="1"/>
    <col min="999" max="1000" width="5.21875" style="197" customWidth="1"/>
    <col min="1001" max="1241" width="8.88671875" style="197"/>
    <col min="1242" max="1242" width="0.5546875" style="197" customWidth="1"/>
    <col min="1243" max="1243" width="2.88671875" style="197" customWidth="1"/>
    <col min="1244" max="1244" width="13.109375" style="197" customWidth="1"/>
    <col min="1245" max="1245" width="9.88671875" style="197" customWidth="1"/>
    <col min="1246" max="1246" width="2.77734375" style="197" customWidth="1"/>
    <col min="1247" max="1247" width="6.77734375" style="197" customWidth="1"/>
    <col min="1248" max="1252" width="3.88671875" style="197" customWidth="1"/>
    <col min="1253" max="1253" width="6.77734375" style="197" customWidth="1"/>
    <col min="1254" max="1254" width="7.77734375" style="197" customWidth="1"/>
    <col min="1255" max="1256" width="5.21875" style="197" customWidth="1"/>
    <col min="1257" max="1497" width="8.88671875" style="197"/>
    <col min="1498" max="1498" width="0.5546875" style="197" customWidth="1"/>
    <col min="1499" max="1499" width="2.88671875" style="197" customWidth="1"/>
    <col min="1500" max="1500" width="13.109375" style="197" customWidth="1"/>
    <col min="1501" max="1501" width="9.88671875" style="197" customWidth="1"/>
    <col min="1502" max="1502" width="2.77734375" style="197" customWidth="1"/>
    <col min="1503" max="1503" width="6.77734375" style="197" customWidth="1"/>
    <col min="1504" max="1508" width="3.88671875" style="197" customWidth="1"/>
    <col min="1509" max="1509" width="6.77734375" style="197" customWidth="1"/>
    <col min="1510" max="1510" width="7.77734375" style="197" customWidth="1"/>
    <col min="1511" max="1512" width="5.21875" style="197" customWidth="1"/>
    <col min="1513" max="1753" width="8.88671875" style="197"/>
    <col min="1754" max="1754" width="0.5546875" style="197" customWidth="1"/>
    <col min="1755" max="1755" width="2.88671875" style="197" customWidth="1"/>
    <col min="1756" max="1756" width="13.109375" style="197" customWidth="1"/>
    <col min="1757" max="1757" width="9.88671875" style="197" customWidth="1"/>
    <col min="1758" max="1758" width="2.77734375" style="197" customWidth="1"/>
    <col min="1759" max="1759" width="6.77734375" style="197" customWidth="1"/>
    <col min="1760" max="1764" width="3.88671875" style="197" customWidth="1"/>
    <col min="1765" max="1765" width="6.77734375" style="197" customWidth="1"/>
    <col min="1766" max="1766" width="7.77734375" style="197" customWidth="1"/>
    <col min="1767" max="1768" width="5.21875" style="197" customWidth="1"/>
    <col min="1769" max="2009" width="8.88671875" style="197"/>
    <col min="2010" max="2010" width="0.5546875" style="197" customWidth="1"/>
    <col min="2011" max="2011" width="2.88671875" style="197" customWidth="1"/>
    <col min="2012" max="2012" width="13.109375" style="197" customWidth="1"/>
    <col min="2013" max="2013" width="9.88671875" style="197" customWidth="1"/>
    <col min="2014" max="2014" width="2.77734375" style="197" customWidth="1"/>
    <col min="2015" max="2015" width="6.77734375" style="197" customWidth="1"/>
    <col min="2016" max="2020" width="3.88671875" style="197" customWidth="1"/>
    <col min="2021" max="2021" width="6.77734375" style="197" customWidth="1"/>
    <col min="2022" max="2022" width="7.77734375" style="197" customWidth="1"/>
    <col min="2023" max="2024" width="5.21875" style="197" customWidth="1"/>
    <col min="2025" max="2265" width="8.88671875" style="197"/>
    <col min="2266" max="2266" width="0.5546875" style="197" customWidth="1"/>
    <col min="2267" max="2267" width="2.88671875" style="197" customWidth="1"/>
    <col min="2268" max="2268" width="13.109375" style="197" customWidth="1"/>
    <col min="2269" max="2269" width="9.88671875" style="197" customWidth="1"/>
    <col min="2270" max="2270" width="2.77734375" style="197" customWidth="1"/>
    <col min="2271" max="2271" width="6.77734375" style="197" customWidth="1"/>
    <col min="2272" max="2276" width="3.88671875" style="197" customWidth="1"/>
    <col min="2277" max="2277" width="6.77734375" style="197" customWidth="1"/>
    <col min="2278" max="2278" width="7.77734375" style="197" customWidth="1"/>
    <col min="2279" max="2280" width="5.21875" style="197" customWidth="1"/>
    <col min="2281" max="2521" width="8.88671875" style="197"/>
    <col min="2522" max="2522" width="0.5546875" style="197" customWidth="1"/>
    <col min="2523" max="2523" width="2.88671875" style="197" customWidth="1"/>
    <col min="2524" max="2524" width="13.109375" style="197" customWidth="1"/>
    <col min="2525" max="2525" width="9.88671875" style="197" customWidth="1"/>
    <col min="2526" max="2526" width="2.77734375" style="197" customWidth="1"/>
    <col min="2527" max="2527" width="6.77734375" style="197" customWidth="1"/>
    <col min="2528" max="2532" width="3.88671875" style="197" customWidth="1"/>
    <col min="2533" max="2533" width="6.77734375" style="197" customWidth="1"/>
    <col min="2534" max="2534" width="7.77734375" style="197" customWidth="1"/>
    <col min="2535" max="2536" width="5.21875" style="197" customWidth="1"/>
    <col min="2537" max="2777" width="8.88671875" style="197"/>
    <col min="2778" max="2778" width="0.5546875" style="197" customWidth="1"/>
    <col min="2779" max="2779" width="2.88671875" style="197" customWidth="1"/>
    <col min="2780" max="2780" width="13.109375" style="197" customWidth="1"/>
    <col min="2781" max="2781" width="9.88671875" style="197" customWidth="1"/>
    <col min="2782" max="2782" width="2.77734375" style="197" customWidth="1"/>
    <col min="2783" max="2783" width="6.77734375" style="197" customWidth="1"/>
    <col min="2784" max="2788" width="3.88671875" style="197" customWidth="1"/>
    <col min="2789" max="2789" width="6.77734375" style="197" customWidth="1"/>
    <col min="2790" max="2790" width="7.77734375" style="197" customWidth="1"/>
    <col min="2791" max="2792" width="5.21875" style="197" customWidth="1"/>
    <col min="2793" max="3033" width="8.88671875" style="197"/>
    <col min="3034" max="3034" width="0.5546875" style="197" customWidth="1"/>
    <col min="3035" max="3035" width="2.88671875" style="197" customWidth="1"/>
    <col min="3036" max="3036" width="13.109375" style="197" customWidth="1"/>
    <col min="3037" max="3037" width="9.88671875" style="197" customWidth="1"/>
    <col min="3038" max="3038" width="2.77734375" style="197" customWidth="1"/>
    <col min="3039" max="3039" width="6.77734375" style="197" customWidth="1"/>
    <col min="3040" max="3044" width="3.88671875" style="197" customWidth="1"/>
    <col min="3045" max="3045" width="6.77734375" style="197" customWidth="1"/>
    <col min="3046" max="3046" width="7.77734375" style="197" customWidth="1"/>
    <col min="3047" max="3048" width="5.21875" style="197" customWidth="1"/>
    <col min="3049" max="3289" width="8.88671875" style="197"/>
    <col min="3290" max="3290" width="0.5546875" style="197" customWidth="1"/>
    <col min="3291" max="3291" width="2.88671875" style="197" customWidth="1"/>
    <col min="3292" max="3292" width="13.109375" style="197" customWidth="1"/>
    <col min="3293" max="3293" width="9.88671875" style="197" customWidth="1"/>
    <col min="3294" max="3294" width="2.77734375" style="197" customWidth="1"/>
    <col min="3295" max="3295" width="6.77734375" style="197" customWidth="1"/>
    <col min="3296" max="3300" width="3.88671875" style="197" customWidth="1"/>
    <col min="3301" max="3301" width="6.77734375" style="197" customWidth="1"/>
    <col min="3302" max="3302" width="7.77734375" style="197" customWidth="1"/>
    <col min="3303" max="3304" width="5.21875" style="197" customWidth="1"/>
    <col min="3305" max="3545" width="8.88671875" style="197"/>
    <col min="3546" max="3546" width="0.5546875" style="197" customWidth="1"/>
    <col min="3547" max="3547" width="2.88671875" style="197" customWidth="1"/>
    <col min="3548" max="3548" width="13.109375" style="197" customWidth="1"/>
    <col min="3549" max="3549" width="9.88671875" style="197" customWidth="1"/>
    <col min="3550" max="3550" width="2.77734375" style="197" customWidth="1"/>
    <col min="3551" max="3551" width="6.77734375" style="197" customWidth="1"/>
    <col min="3552" max="3556" width="3.88671875" style="197" customWidth="1"/>
    <col min="3557" max="3557" width="6.77734375" style="197" customWidth="1"/>
    <col min="3558" max="3558" width="7.77734375" style="197" customWidth="1"/>
    <col min="3559" max="3560" width="5.21875" style="197" customWidth="1"/>
    <col min="3561" max="3801" width="8.88671875" style="197"/>
    <col min="3802" max="3802" width="0.5546875" style="197" customWidth="1"/>
    <col min="3803" max="3803" width="2.88671875" style="197" customWidth="1"/>
    <col min="3804" max="3804" width="13.109375" style="197" customWidth="1"/>
    <col min="3805" max="3805" width="9.88671875" style="197" customWidth="1"/>
    <col min="3806" max="3806" width="2.77734375" style="197" customWidth="1"/>
    <col min="3807" max="3807" width="6.77734375" style="197" customWidth="1"/>
    <col min="3808" max="3812" width="3.88671875" style="197" customWidth="1"/>
    <col min="3813" max="3813" width="6.77734375" style="197" customWidth="1"/>
    <col min="3814" max="3814" width="7.77734375" style="197" customWidth="1"/>
    <col min="3815" max="3816" width="5.21875" style="197" customWidth="1"/>
    <col min="3817" max="4057" width="8.88671875" style="197"/>
    <col min="4058" max="4058" width="0.5546875" style="197" customWidth="1"/>
    <col min="4059" max="4059" width="2.88671875" style="197" customWidth="1"/>
    <col min="4060" max="4060" width="13.109375" style="197" customWidth="1"/>
    <col min="4061" max="4061" width="9.88671875" style="197" customWidth="1"/>
    <col min="4062" max="4062" width="2.77734375" style="197" customWidth="1"/>
    <col min="4063" max="4063" width="6.77734375" style="197" customWidth="1"/>
    <col min="4064" max="4068" width="3.88671875" style="197" customWidth="1"/>
    <col min="4069" max="4069" width="6.77734375" style="197" customWidth="1"/>
    <col min="4070" max="4070" width="7.77734375" style="197" customWidth="1"/>
    <col min="4071" max="4072" width="5.21875" style="197" customWidth="1"/>
    <col min="4073" max="4313" width="8.88671875" style="197"/>
    <col min="4314" max="4314" width="0.5546875" style="197" customWidth="1"/>
    <col min="4315" max="4315" width="2.88671875" style="197" customWidth="1"/>
    <col min="4316" max="4316" width="13.109375" style="197" customWidth="1"/>
    <col min="4317" max="4317" width="9.88671875" style="197" customWidth="1"/>
    <col min="4318" max="4318" width="2.77734375" style="197" customWidth="1"/>
    <col min="4319" max="4319" width="6.77734375" style="197" customWidth="1"/>
    <col min="4320" max="4324" width="3.88671875" style="197" customWidth="1"/>
    <col min="4325" max="4325" width="6.77734375" style="197" customWidth="1"/>
    <col min="4326" max="4326" width="7.77734375" style="197" customWidth="1"/>
    <col min="4327" max="4328" width="5.21875" style="197" customWidth="1"/>
    <col min="4329" max="4569" width="8.88671875" style="197"/>
    <col min="4570" max="4570" width="0.5546875" style="197" customWidth="1"/>
    <col min="4571" max="4571" width="2.88671875" style="197" customWidth="1"/>
    <col min="4572" max="4572" width="13.109375" style="197" customWidth="1"/>
    <col min="4573" max="4573" width="9.88671875" style="197" customWidth="1"/>
    <col min="4574" max="4574" width="2.77734375" style="197" customWidth="1"/>
    <col min="4575" max="4575" width="6.77734375" style="197" customWidth="1"/>
    <col min="4576" max="4580" width="3.88671875" style="197" customWidth="1"/>
    <col min="4581" max="4581" width="6.77734375" style="197" customWidth="1"/>
    <col min="4582" max="4582" width="7.77734375" style="197" customWidth="1"/>
    <col min="4583" max="4584" width="5.21875" style="197" customWidth="1"/>
    <col min="4585" max="4825" width="8.88671875" style="197"/>
    <col min="4826" max="4826" width="0.5546875" style="197" customWidth="1"/>
    <col min="4827" max="4827" width="2.88671875" style="197" customWidth="1"/>
    <col min="4828" max="4828" width="13.109375" style="197" customWidth="1"/>
    <col min="4829" max="4829" width="9.88671875" style="197" customWidth="1"/>
    <col min="4830" max="4830" width="2.77734375" style="197" customWidth="1"/>
    <col min="4831" max="4831" width="6.77734375" style="197" customWidth="1"/>
    <col min="4832" max="4836" width="3.88671875" style="197" customWidth="1"/>
    <col min="4837" max="4837" width="6.77734375" style="197" customWidth="1"/>
    <col min="4838" max="4838" width="7.77734375" style="197" customWidth="1"/>
    <col min="4839" max="4840" width="5.21875" style="197" customWidth="1"/>
    <col min="4841" max="5081" width="8.88671875" style="197"/>
    <col min="5082" max="5082" width="0.5546875" style="197" customWidth="1"/>
    <col min="5083" max="5083" width="2.88671875" style="197" customWidth="1"/>
    <col min="5084" max="5084" width="13.109375" style="197" customWidth="1"/>
    <col min="5085" max="5085" width="9.88671875" style="197" customWidth="1"/>
    <col min="5086" max="5086" width="2.77734375" style="197" customWidth="1"/>
    <col min="5087" max="5087" width="6.77734375" style="197" customWidth="1"/>
    <col min="5088" max="5092" width="3.88671875" style="197" customWidth="1"/>
    <col min="5093" max="5093" width="6.77734375" style="197" customWidth="1"/>
    <col min="5094" max="5094" width="7.77734375" style="197" customWidth="1"/>
    <col min="5095" max="5096" width="5.21875" style="197" customWidth="1"/>
    <col min="5097" max="5337" width="8.88671875" style="197"/>
    <col min="5338" max="5338" width="0.5546875" style="197" customWidth="1"/>
    <col min="5339" max="5339" width="2.88671875" style="197" customWidth="1"/>
    <col min="5340" max="5340" width="13.109375" style="197" customWidth="1"/>
    <col min="5341" max="5341" width="9.88671875" style="197" customWidth="1"/>
    <col min="5342" max="5342" width="2.77734375" style="197" customWidth="1"/>
    <col min="5343" max="5343" width="6.77734375" style="197" customWidth="1"/>
    <col min="5344" max="5348" width="3.88671875" style="197" customWidth="1"/>
    <col min="5349" max="5349" width="6.77734375" style="197" customWidth="1"/>
    <col min="5350" max="5350" width="7.77734375" style="197" customWidth="1"/>
    <col min="5351" max="5352" width="5.21875" style="197" customWidth="1"/>
    <col min="5353" max="5593" width="8.88671875" style="197"/>
    <col min="5594" max="5594" width="0.5546875" style="197" customWidth="1"/>
    <col min="5595" max="5595" width="2.88671875" style="197" customWidth="1"/>
    <col min="5596" max="5596" width="13.109375" style="197" customWidth="1"/>
    <col min="5597" max="5597" width="9.88671875" style="197" customWidth="1"/>
    <col min="5598" max="5598" width="2.77734375" style="197" customWidth="1"/>
    <col min="5599" max="5599" width="6.77734375" style="197" customWidth="1"/>
    <col min="5600" max="5604" width="3.88671875" style="197" customWidth="1"/>
    <col min="5605" max="5605" width="6.77734375" style="197" customWidth="1"/>
    <col min="5606" max="5606" width="7.77734375" style="197" customWidth="1"/>
    <col min="5607" max="5608" width="5.21875" style="197" customWidth="1"/>
    <col min="5609" max="5849" width="8.88671875" style="197"/>
    <col min="5850" max="5850" width="0.5546875" style="197" customWidth="1"/>
    <col min="5851" max="5851" width="2.88671875" style="197" customWidth="1"/>
    <col min="5852" max="5852" width="13.109375" style="197" customWidth="1"/>
    <col min="5853" max="5853" width="9.88671875" style="197" customWidth="1"/>
    <col min="5854" max="5854" width="2.77734375" style="197" customWidth="1"/>
    <col min="5855" max="5855" width="6.77734375" style="197" customWidth="1"/>
    <col min="5856" max="5860" width="3.88671875" style="197" customWidth="1"/>
    <col min="5861" max="5861" width="6.77734375" style="197" customWidth="1"/>
    <col min="5862" max="5862" width="7.77734375" style="197" customWidth="1"/>
    <col min="5863" max="5864" width="5.21875" style="197" customWidth="1"/>
    <col min="5865" max="6105" width="8.88671875" style="197"/>
    <col min="6106" max="6106" width="0.5546875" style="197" customWidth="1"/>
    <col min="6107" max="6107" width="2.88671875" style="197" customWidth="1"/>
    <col min="6108" max="6108" width="13.109375" style="197" customWidth="1"/>
    <col min="6109" max="6109" width="9.88671875" style="197" customWidth="1"/>
    <col min="6110" max="6110" width="2.77734375" style="197" customWidth="1"/>
    <col min="6111" max="6111" width="6.77734375" style="197" customWidth="1"/>
    <col min="6112" max="6116" width="3.88671875" style="197" customWidth="1"/>
    <col min="6117" max="6117" width="6.77734375" style="197" customWidth="1"/>
    <col min="6118" max="6118" width="7.77734375" style="197" customWidth="1"/>
    <col min="6119" max="6120" width="5.21875" style="197" customWidth="1"/>
    <col min="6121" max="6361" width="8.88671875" style="197"/>
    <col min="6362" max="6362" width="0.5546875" style="197" customWidth="1"/>
    <col min="6363" max="6363" width="2.88671875" style="197" customWidth="1"/>
    <col min="6364" max="6364" width="13.109375" style="197" customWidth="1"/>
    <col min="6365" max="6365" width="9.88671875" style="197" customWidth="1"/>
    <col min="6366" max="6366" width="2.77734375" style="197" customWidth="1"/>
    <col min="6367" max="6367" width="6.77734375" style="197" customWidth="1"/>
    <col min="6368" max="6372" width="3.88671875" style="197" customWidth="1"/>
    <col min="6373" max="6373" width="6.77734375" style="197" customWidth="1"/>
    <col min="6374" max="6374" width="7.77734375" style="197" customWidth="1"/>
    <col min="6375" max="6376" width="5.21875" style="197" customWidth="1"/>
    <col min="6377" max="6617" width="8.88671875" style="197"/>
    <col min="6618" max="6618" width="0.5546875" style="197" customWidth="1"/>
    <col min="6619" max="6619" width="2.88671875" style="197" customWidth="1"/>
    <col min="6620" max="6620" width="13.109375" style="197" customWidth="1"/>
    <col min="6621" max="6621" width="9.88671875" style="197" customWidth="1"/>
    <col min="6622" max="6622" width="2.77734375" style="197" customWidth="1"/>
    <col min="6623" max="6623" width="6.77734375" style="197" customWidth="1"/>
    <col min="6624" max="6628" width="3.88671875" style="197" customWidth="1"/>
    <col min="6629" max="6629" width="6.77734375" style="197" customWidth="1"/>
    <col min="6630" max="6630" width="7.77734375" style="197" customWidth="1"/>
    <col min="6631" max="6632" width="5.21875" style="197" customWidth="1"/>
    <col min="6633" max="6873" width="8.88671875" style="197"/>
    <col min="6874" max="6874" width="0.5546875" style="197" customWidth="1"/>
    <col min="6875" max="6875" width="2.88671875" style="197" customWidth="1"/>
    <col min="6876" max="6876" width="13.109375" style="197" customWidth="1"/>
    <col min="6877" max="6877" width="9.88671875" style="197" customWidth="1"/>
    <col min="6878" max="6878" width="2.77734375" style="197" customWidth="1"/>
    <col min="6879" max="6879" width="6.77734375" style="197" customWidth="1"/>
    <col min="6880" max="6884" width="3.88671875" style="197" customWidth="1"/>
    <col min="6885" max="6885" width="6.77734375" style="197" customWidth="1"/>
    <col min="6886" max="6886" width="7.77734375" style="197" customWidth="1"/>
    <col min="6887" max="6888" width="5.21875" style="197" customWidth="1"/>
    <col min="6889" max="7129" width="8.88671875" style="197"/>
    <col min="7130" max="7130" width="0.5546875" style="197" customWidth="1"/>
    <col min="7131" max="7131" width="2.88671875" style="197" customWidth="1"/>
    <col min="7132" max="7132" width="13.109375" style="197" customWidth="1"/>
    <col min="7133" max="7133" width="9.88671875" style="197" customWidth="1"/>
    <col min="7134" max="7134" width="2.77734375" style="197" customWidth="1"/>
    <col min="7135" max="7135" width="6.77734375" style="197" customWidth="1"/>
    <col min="7136" max="7140" width="3.88671875" style="197" customWidth="1"/>
    <col min="7141" max="7141" width="6.77734375" style="197" customWidth="1"/>
    <col min="7142" max="7142" width="7.77734375" style="197" customWidth="1"/>
    <col min="7143" max="7144" width="5.21875" style="197" customWidth="1"/>
    <col min="7145" max="7385" width="8.88671875" style="197"/>
    <col min="7386" max="7386" width="0.5546875" style="197" customWidth="1"/>
    <col min="7387" max="7387" width="2.88671875" style="197" customWidth="1"/>
    <col min="7388" max="7388" width="13.109375" style="197" customWidth="1"/>
    <col min="7389" max="7389" width="9.88671875" style="197" customWidth="1"/>
    <col min="7390" max="7390" width="2.77734375" style="197" customWidth="1"/>
    <col min="7391" max="7391" width="6.77734375" style="197" customWidth="1"/>
    <col min="7392" max="7396" width="3.88671875" style="197" customWidth="1"/>
    <col min="7397" max="7397" width="6.77734375" style="197" customWidth="1"/>
    <col min="7398" max="7398" width="7.77734375" style="197" customWidth="1"/>
    <col min="7399" max="7400" width="5.21875" style="197" customWidth="1"/>
    <col min="7401" max="7641" width="8.88671875" style="197"/>
    <col min="7642" max="7642" width="0.5546875" style="197" customWidth="1"/>
    <col min="7643" max="7643" width="2.88671875" style="197" customWidth="1"/>
    <col min="7644" max="7644" width="13.109375" style="197" customWidth="1"/>
    <col min="7645" max="7645" width="9.88671875" style="197" customWidth="1"/>
    <col min="7646" max="7646" width="2.77734375" style="197" customWidth="1"/>
    <col min="7647" max="7647" width="6.77734375" style="197" customWidth="1"/>
    <col min="7648" max="7652" width="3.88671875" style="197" customWidth="1"/>
    <col min="7653" max="7653" width="6.77734375" style="197" customWidth="1"/>
    <col min="7654" max="7654" width="7.77734375" style="197" customWidth="1"/>
    <col min="7655" max="7656" width="5.21875" style="197" customWidth="1"/>
    <col min="7657" max="7897" width="8.88671875" style="197"/>
    <col min="7898" max="7898" width="0.5546875" style="197" customWidth="1"/>
    <col min="7899" max="7899" width="2.88671875" style="197" customWidth="1"/>
    <col min="7900" max="7900" width="13.109375" style="197" customWidth="1"/>
    <col min="7901" max="7901" width="9.88671875" style="197" customWidth="1"/>
    <col min="7902" max="7902" width="2.77734375" style="197" customWidth="1"/>
    <col min="7903" max="7903" width="6.77734375" style="197" customWidth="1"/>
    <col min="7904" max="7908" width="3.88671875" style="197" customWidth="1"/>
    <col min="7909" max="7909" width="6.77734375" style="197" customWidth="1"/>
    <col min="7910" max="7910" width="7.77734375" style="197" customWidth="1"/>
    <col min="7911" max="7912" width="5.21875" style="197" customWidth="1"/>
    <col min="7913" max="8153" width="8.88671875" style="197"/>
    <col min="8154" max="8154" width="0.5546875" style="197" customWidth="1"/>
    <col min="8155" max="8155" width="2.88671875" style="197" customWidth="1"/>
    <col min="8156" max="8156" width="13.109375" style="197" customWidth="1"/>
    <col min="8157" max="8157" width="9.88671875" style="197" customWidth="1"/>
    <col min="8158" max="8158" width="2.77734375" style="197" customWidth="1"/>
    <col min="8159" max="8159" width="6.77734375" style="197" customWidth="1"/>
    <col min="8160" max="8164" width="3.88671875" style="197" customWidth="1"/>
    <col min="8165" max="8165" width="6.77734375" style="197" customWidth="1"/>
    <col min="8166" max="8166" width="7.77734375" style="197" customWidth="1"/>
    <col min="8167" max="8168" width="5.21875" style="197" customWidth="1"/>
    <col min="8169" max="8409" width="8.88671875" style="197"/>
    <col min="8410" max="8410" width="0.5546875" style="197" customWidth="1"/>
    <col min="8411" max="8411" width="2.88671875" style="197" customWidth="1"/>
    <col min="8412" max="8412" width="13.109375" style="197" customWidth="1"/>
    <col min="8413" max="8413" width="9.88671875" style="197" customWidth="1"/>
    <col min="8414" max="8414" width="2.77734375" style="197" customWidth="1"/>
    <col min="8415" max="8415" width="6.77734375" style="197" customWidth="1"/>
    <col min="8416" max="8420" width="3.88671875" style="197" customWidth="1"/>
    <col min="8421" max="8421" width="6.77734375" style="197" customWidth="1"/>
    <col min="8422" max="8422" width="7.77734375" style="197" customWidth="1"/>
    <col min="8423" max="8424" width="5.21875" style="197" customWidth="1"/>
    <col min="8425" max="8665" width="8.88671875" style="197"/>
    <col min="8666" max="8666" width="0.5546875" style="197" customWidth="1"/>
    <col min="8667" max="8667" width="2.88671875" style="197" customWidth="1"/>
    <col min="8668" max="8668" width="13.109375" style="197" customWidth="1"/>
    <col min="8669" max="8669" width="9.88671875" style="197" customWidth="1"/>
    <col min="8670" max="8670" width="2.77734375" style="197" customWidth="1"/>
    <col min="8671" max="8671" width="6.77734375" style="197" customWidth="1"/>
    <col min="8672" max="8676" width="3.88671875" style="197" customWidth="1"/>
    <col min="8677" max="8677" width="6.77734375" style="197" customWidth="1"/>
    <col min="8678" max="8678" width="7.77734375" style="197" customWidth="1"/>
    <col min="8679" max="8680" width="5.21875" style="197" customWidth="1"/>
    <col min="8681" max="8921" width="8.88671875" style="197"/>
    <col min="8922" max="8922" width="0.5546875" style="197" customWidth="1"/>
    <col min="8923" max="8923" width="2.88671875" style="197" customWidth="1"/>
    <col min="8924" max="8924" width="13.109375" style="197" customWidth="1"/>
    <col min="8925" max="8925" width="9.88671875" style="197" customWidth="1"/>
    <col min="8926" max="8926" width="2.77734375" style="197" customWidth="1"/>
    <col min="8927" max="8927" width="6.77734375" style="197" customWidth="1"/>
    <col min="8928" max="8932" width="3.88671875" style="197" customWidth="1"/>
    <col min="8933" max="8933" width="6.77734375" style="197" customWidth="1"/>
    <col min="8934" max="8934" width="7.77734375" style="197" customWidth="1"/>
    <col min="8935" max="8936" width="5.21875" style="197" customWidth="1"/>
    <col min="8937" max="9177" width="8.88671875" style="197"/>
    <col min="9178" max="9178" width="0.5546875" style="197" customWidth="1"/>
    <col min="9179" max="9179" width="2.88671875" style="197" customWidth="1"/>
    <col min="9180" max="9180" width="13.109375" style="197" customWidth="1"/>
    <col min="9181" max="9181" width="9.88671875" style="197" customWidth="1"/>
    <col min="9182" max="9182" width="2.77734375" style="197" customWidth="1"/>
    <col min="9183" max="9183" width="6.77734375" style="197" customWidth="1"/>
    <col min="9184" max="9188" width="3.88671875" style="197" customWidth="1"/>
    <col min="9189" max="9189" width="6.77734375" style="197" customWidth="1"/>
    <col min="9190" max="9190" width="7.77734375" style="197" customWidth="1"/>
    <col min="9191" max="9192" width="5.21875" style="197" customWidth="1"/>
    <col min="9193" max="9433" width="8.88671875" style="197"/>
    <col min="9434" max="9434" width="0.5546875" style="197" customWidth="1"/>
    <col min="9435" max="9435" width="2.88671875" style="197" customWidth="1"/>
    <col min="9436" max="9436" width="13.109375" style="197" customWidth="1"/>
    <col min="9437" max="9437" width="9.88671875" style="197" customWidth="1"/>
    <col min="9438" max="9438" width="2.77734375" style="197" customWidth="1"/>
    <col min="9439" max="9439" width="6.77734375" style="197" customWidth="1"/>
    <col min="9440" max="9444" width="3.88671875" style="197" customWidth="1"/>
    <col min="9445" max="9445" width="6.77734375" style="197" customWidth="1"/>
    <col min="9446" max="9446" width="7.77734375" style="197" customWidth="1"/>
    <col min="9447" max="9448" width="5.21875" style="197" customWidth="1"/>
    <col min="9449" max="9689" width="8.88671875" style="197"/>
    <col min="9690" max="9690" width="0.5546875" style="197" customWidth="1"/>
    <col min="9691" max="9691" width="2.88671875" style="197" customWidth="1"/>
    <col min="9692" max="9692" width="13.109375" style="197" customWidth="1"/>
    <col min="9693" max="9693" width="9.88671875" style="197" customWidth="1"/>
    <col min="9694" max="9694" width="2.77734375" style="197" customWidth="1"/>
    <col min="9695" max="9695" width="6.77734375" style="197" customWidth="1"/>
    <col min="9696" max="9700" width="3.88671875" style="197" customWidth="1"/>
    <col min="9701" max="9701" width="6.77734375" style="197" customWidth="1"/>
    <col min="9702" max="9702" width="7.77734375" style="197" customWidth="1"/>
    <col min="9703" max="9704" width="5.21875" style="197" customWidth="1"/>
    <col min="9705" max="9945" width="8.88671875" style="197"/>
    <col min="9946" max="9946" width="0.5546875" style="197" customWidth="1"/>
    <col min="9947" max="9947" width="2.88671875" style="197" customWidth="1"/>
    <col min="9948" max="9948" width="13.109375" style="197" customWidth="1"/>
    <col min="9949" max="9949" width="9.88671875" style="197" customWidth="1"/>
    <col min="9950" max="9950" width="2.77734375" style="197" customWidth="1"/>
    <col min="9951" max="9951" width="6.77734375" style="197" customWidth="1"/>
    <col min="9952" max="9956" width="3.88671875" style="197" customWidth="1"/>
    <col min="9957" max="9957" width="6.77734375" style="197" customWidth="1"/>
    <col min="9958" max="9958" width="7.77734375" style="197" customWidth="1"/>
    <col min="9959" max="9960" width="5.21875" style="197" customWidth="1"/>
    <col min="9961" max="10201" width="8.88671875" style="197"/>
    <col min="10202" max="10202" width="0.5546875" style="197" customWidth="1"/>
    <col min="10203" max="10203" width="2.88671875" style="197" customWidth="1"/>
    <col min="10204" max="10204" width="13.109375" style="197" customWidth="1"/>
    <col min="10205" max="10205" width="9.88671875" style="197" customWidth="1"/>
    <col min="10206" max="10206" width="2.77734375" style="197" customWidth="1"/>
    <col min="10207" max="10207" width="6.77734375" style="197" customWidth="1"/>
    <col min="10208" max="10212" width="3.88671875" style="197" customWidth="1"/>
    <col min="10213" max="10213" width="6.77734375" style="197" customWidth="1"/>
    <col min="10214" max="10214" width="7.77734375" style="197" customWidth="1"/>
    <col min="10215" max="10216" width="5.21875" style="197" customWidth="1"/>
    <col min="10217" max="10457" width="8.88671875" style="197"/>
    <col min="10458" max="10458" width="0.5546875" style="197" customWidth="1"/>
    <col min="10459" max="10459" width="2.88671875" style="197" customWidth="1"/>
    <col min="10460" max="10460" width="13.109375" style="197" customWidth="1"/>
    <col min="10461" max="10461" width="9.88671875" style="197" customWidth="1"/>
    <col min="10462" max="10462" width="2.77734375" style="197" customWidth="1"/>
    <col min="10463" max="10463" width="6.77734375" style="197" customWidth="1"/>
    <col min="10464" max="10468" width="3.88671875" style="197" customWidth="1"/>
    <col min="10469" max="10469" width="6.77734375" style="197" customWidth="1"/>
    <col min="10470" max="10470" width="7.77734375" style="197" customWidth="1"/>
    <col min="10471" max="10472" width="5.21875" style="197" customWidth="1"/>
    <col min="10473" max="10713" width="8.88671875" style="197"/>
    <col min="10714" max="10714" width="0.5546875" style="197" customWidth="1"/>
    <col min="10715" max="10715" width="2.88671875" style="197" customWidth="1"/>
    <col min="10716" max="10716" width="13.109375" style="197" customWidth="1"/>
    <col min="10717" max="10717" width="9.88671875" style="197" customWidth="1"/>
    <col min="10718" max="10718" width="2.77734375" style="197" customWidth="1"/>
    <col min="10719" max="10719" width="6.77734375" style="197" customWidth="1"/>
    <col min="10720" max="10724" width="3.88671875" style="197" customWidth="1"/>
    <col min="10725" max="10725" width="6.77734375" style="197" customWidth="1"/>
    <col min="10726" max="10726" width="7.77734375" style="197" customWidth="1"/>
    <col min="10727" max="10728" width="5.21875" style="197" customWidth="1"/>
    <col min="10729" max="10969" width="8.88671875" style="197"/>
    <col min="10970" max="10970" width="0.5546875" style="197" customWidth="1"/>
    <col min="10971" max="10971" width="2.88671875" style="197" customWidth="1"/>
    <col min="10972" max="10972" width="13.109375" style="197" customWidth="1"/>
    <col min="10973" max="10973" width="9.88671875" style="197" customWidth="1"/>
    <col min="10974" max="10974" width="2.77734375" style="197" customWidth="1"/>
    <col min="10975" max="10975" width="6.77734375" style="197" customWidth="1"/>
    <col min="10976" max="10980" width="3.88671875" style="197" customWidth="1"/>
    <col min="10981" max="10981" width="6.77734375" style="197" customWidth="1"/>
    <col min="10982" max="10982" width="7.77734375" style="197" customWidth="1"/>
    <col min="10983" max="10984" width="5.21875" style="197" customWidth="1"/>
    <col min="10985" max="11225" width="8.88671875" style="197"/>
    <col min="11226" max="11226" width="0.5546875" style="197" customWidth="1"/>
    <col min="11227" max="11227" width="2.88671875" style="197" customWidth="1"/>
    <col min="11228" max="11228" width="13.109375" style="197" customWidth="1"/>
    <col min="11229" max="11229" width="9.88671875" style="197" customWidth="1"/>
    <col min="11230" max="11230" width="2.77734375" style="197" customWidth="1"/>
    <col min="11231" max="11231" width="6.77734375" style="197" customWidth="1"/>
    <col min="11232" max="11236" width="3.88671875" style="197" customWidth="1"/>
    <col min="11237" max="11237" width="6.77734375" style="197" customWidth="1"/>
    <col min="11238" max="11238" width="7.77734375" style="197" customWidth="1"/>
    <col min="11239" max="11240" width="5.21875" style="197" customWidth="1"/>
    <col min="11241" max="11481" width="8.88671875" style="197"/>
    <col min="11482" max="11482" width="0.5546875" style="197" customWidth="1"/>
    <col min="11483" max="11483" width="2.88671875" style="197" customWidth="1"/>
    <col min="11484" max="11484" width="13.109375" style="197" customWidth="1"/>
    <col min="11485" max="11485" width="9.88671875" style="197" customWidth="1"/>
    <col min="11486" max="11486" width="2.77734375" style="197" customWidth="1"/>
    <col min="11487" max="11487" width="6.77734375" style="197" customWidth="1"/>
    <col min="11488" max="11492" width="3.88671875" style="197" customWidth="1"/>
    <col min="11493" max="11493" width="6.77734375" style="197" customWidth="1"/>
    <col min="11494" max="11494" width="7.77734375" style="197" customWidth="1"/>
    <col min="11495" max="11496" width="5.21875" style="197" customWidth="1"/>
    <col min="11497" max="11737" width="8.88671875" style="197"/>
    <col min="11738" max="11738" width="0.5546875" style="197" customWidth="1"/>
    <col min="11739" max="11739" width="2.88671875" style="197" customWidth="1"/>
    <col min="11740" max="11740" width="13.109375" style="197" customWidth="1"/>
    <col min="11741" max="11741" width="9.88671875" style="197" customWidth="1"/>
    <col min="11742" max="11742" width="2.77734375" style="197" customWidth="1"/>
    <col min="11743" max="11743" width="6.77734375" style="197" customWidth="1"/>
    <col min="11744" max="11748" width="3.88671875" style="197" customWidth="1"/>
    <col min="11749" max="11749" width="6.77734375" style="197" customWidth="1"/>
    <col min="11750" max="11750" width="7.77734375" style="197" customWidth="1"/>
    <col min="11751" max="11752" width="5.21875" style="197" customWidth="1"/>
    <col min="11753" max="11993" width="8.88671875" style="197"/>
    <col min="11994" max="11994" width="0.5546875" style="197" customWidth="1"/>
    <col min="11995" max="11995" width="2.88671875" style="197" customWidth="1"/>
    <col min="11996" max="11996" width="13.109375" style="197" customWidth="1"/>
    <col min="11997" max="11997" width="9.88671875" style="197" customWidth="1"/>
    <col min="11998" max="11998" width="2.77734375" style="197" customWidth="1"/>
    <col min="11999" max="11999" width="6.77734375" style="197" customWidth="1"/>
    <col min="12000" max="12004" width="3.88671875" style="197" customWidth="1"/>
    <col min="12005" max="12005" width="6.77734375" style="197" customWidth="1"/>
    <col min="12006" max="12006" width="7.77734375" style="197" customWidth="1"/>
    <col min="12007" max="12008" width="5.21875" style="197" customWidth="1"/>
    <col min="12009" max="12249" width="8.88671875" style="197"/>
    <col min="12250" max="12250" width="0.5546875" style="197" customWidth="1"/>
    <col min="12251" max="12251" width="2.88671875" style="197" customWidth="1"/>
    <col min="12252" max="12252" width="13.109375" style="197" customWidth="1"/>
    <col min="12253" max="12253" width="9.88671875" style="197" customWidth="1"/>
    <col min="12254" max="12254" width="2.77734375" style="197" customWidth="1"/>
    <col min="12255" max="12255" width="6.77734375" style="197" customWidth="1"/>
    <col min="12256" max="12260" width="3.88671875" style="197" customWidth="1"/>
    <col min="12261" max="12261" width="6.77734375" style="197" customWidth="1"/>
    <col min="12262" max="12262" width="7.77734375" style="197" customWidth="1"/>
    <col min="12263" max="12264" width="5.21875" style="197" customWidth="1"/>
    <col min="12265" max="12505" width="8.88671875" style="197"/>
    <col min="12506" max="12506" width="0.5546875" style="197" customWidth="1"/>
    <col min="12507" max="12507" width="2.88671875" style="197" customWidth="1"/>
    <col min="12508" max="12508" width="13.109375" style="197" customWidth="1"/>
    <col min="12509" max="12509" width="9.88671875" style="197" customWidth="1"/>
    <col min="12510" max="12510" width="2.77734375" style="197" customWidth="1"/>
    <col min="12511" max="12511" width="6.77734375" style="197" customWidth="1"/>
    <col min="12512" max="12516" width="3.88671875" style="197" customWidth="1"/>
    <col min="12517" max="12517" width="6.77734375" style="197" customWidth="1"/>
    <col min="12518" max="12518" width="7.77734375" style="197" customWidth="1"/>
    <col min="12519" max="12520" width="5.21875" style="197" customWidth="1"/>
    <col min="12521" max="12761" width="8.88671875" style="197"/>
    <col min="12762" max="12762" width="0.5546875" style="197" customWidth="1"/>
    <col min="12763" max="12763" width="2.88671875" style="197" customWidth="1"/>
    <col min="12764" max="12764" width="13.109375" style="197" customWidth="1"/>
    <col min="12765" max="12765" width="9.88671875" style="197" customWidth="1"/>
    <col min="12766" max="12766" width="2.77734375" style="197" customWidth="1"/>
    <col min="12767" max="12767" width="6.77734375" style="197" customWidth="1"/>
    <col min="12768" max="12772" width="3.88671875" style="197" customWidth="1"/>
    <col min="12773" max="12773" width="6.77734375" style="197" customWidth="1"/>
    <col min="12774" max="12774" width="7.77734375" style="197" customWidth="1"/>
    <col min="12775" max="12776" width="5.21875" style="197" customWidth="1"/>
    <col min="12777" max="13017" width="8.88671875" style="197"/>
    <col min="13018" max="13018" width="0.5546875" style="197" customWidth="1"/>
    <col min="13019" max="13019" width="2.88671875" style="197" customWidth="1"/>
    <col min="13020" max="13020" width="13.109375" style="197" customWidth="1"/>
    <col min="13021" max="13021" width="9.88671875" style="197" customWidth="1"/>
    <col min="13022" max="13022" width="2.77734375" style="197" customWidth="1"/>
    <col min="13023" max="13023" width="6.77734375" style="197" customWidth="1"/>
    <col min="13024" max="13028" width="3.88671875" style="197" customWidth="1"/>
    <col min="13029" max="13029" width="6.77734375" style="197" customWidth="1"/>
    <col min="13030" max="13030" width="7.77734375" style="197" customWidth="1"/>
    <col min="13031" max="13032" width="5.21875" style="197" customWidth="1"/>
    <col min="13033" max="13273" width="8.88671875" style="197"/>
    <col min="13274" max="13274" width="0.5546875" style="197" customWidth="1"/>
    <col min="13275" max="13275" width="2.88671875" style="197" customWidth="1"/>
    <col min="13276" max="13276" width="13.109375" style="197" customWidth="1"/>
    <col min="13277" max="13277" width="9.88671875" style="197" customWidth="1"/>
    <col min="13278" max="13278" width="2.77734375" style="197" customWidth="1"/>
    <col min="13279" max="13279" width="6.77734375" style="197" customWidth="1"/>
    <col min="13280" max="13284" width="3.88671875" style="197" customWidth="1"/>
    <col min="13285" max="13285" width="6.77734375" style="197" customWidth="1"/>
    <col min="13286" max="13286" width="7.77734375" style="197" customWidth="1"/>
    <col min="13287" max="13288" width="5.21875" style="197" customWidth="1"/>
    <col min="13289" max="13529" width="8.88671875" style="197"/>
    <col min="13530" max="13530" width="0.5546875" style="197" customWidth="1"/>
    <col min="13531" max="13531" width="2.88671875" style="197" customWidth="1"/>
    <col min="13532" max="13532" width="13.109375" style="197" customWidth="1"/>
    <col min="13533" max="13533" width="9.88671875" style="197" customWidth="1"/>
    <col min="13534" max="13534" width="2.77734375" style="197" customWidth="1"/>
    <col min="13535" max="13535" width="6.77734375" style="197" customWidth="1"/>
    <col min="13536" max="13540" width="3.88671875" style="197" customWidth="1"/>
    <col min="13541" max="13541" width="6.77734375" style="197" customWidth="1"/>
    <col min="13542" max="13542" width="7.77734375" style="197" customWidth="1"/>
    <col min="13543" max="13544" width="5.21875" style="197" customWidth="1"/>
    <col min="13545" max="13785" width="8.88671875" style="197"/>
    <col min="13786" max="13786" width="0.5546875" style="197" customWidth="1"/>
    <col min="13787" max="13787" width="2.88671875" style="197" customWidth="1"/>
    <col min="13788" max="13788" width="13.109375" style="197" customWidth="1"/>
    <col min="13789" max="13789" width="9.88671875" style="197" customWidth="1"/>
    <col min="13790" max="13790" width="2.77734375" style="197" customWidth="1"/>
    <col min="13791" max="13791" width="6.77734375" style="197" customWidth="1"/>
    <col min="13792" max="13796" width="3.88671875" style="197" customWidth="1"/>
    <col min="13797" max="13797" width="6.77734375" style="197" customWidth="1"/>
    <col min="13798" max="13798" width="7.77734375" style="197" customWidth="1"/>
    <col min="13799" max="13800" width="5.21875" style="197" customWidth="1"/>
    <col min="13801" max="14041" width="8.88671875" style="197"/>
    <col min="14042" max="14042" width="0.5546875" style="197" customWidth="1"/>
    <col min="14043" max="14043" width="2.88671875" style="197" customWidth="1"/>
    <col min="14044" max="14044" width="13.109375" style="197" customWidth="1"/>
    <col min="14045" max="14045" width="9.88671875" style="197" customWidth="1"/>
    <col min="14046" max="14046" width="2.77734375" style="197" customWidth="1"/>
    <col min="14047" max="14047" width="6.77734375" style="197" customWidth="1"/>
    <col min="14048" max="14052" width="3.88671875" style="197" customWidth="1"/>
    <col min="14053" max="14053" width="6.77734375" style="197" customWidth="1"/>
    <col min="14054" max="14054" width="7.77734375" style="197" customWidth="1"/>
    <col min="14055" max="14056" width="5.21875" style="197" customWidth="1"/>
    <col min="14057" max="14297" width="8.88671875" style="197"/>
    <col min="14298" max="14298" width="0.5546875" style="197" customWidth="1"/>
    <col min="14299" max="14299" width="2.88671875" style="197" customWidth="1"/>
    <col min="14300" max="14300" width="13.109375" style="197" customWidth="1"/>
    <col min="14301" max="14301" width="9.88671875" style="197" customWidth="1"/>
    <col min="14302" max="14302" width="2.77734375" style="197" customWidth="1"/>
    <col min="14303" max="14303" width="6.77734375" style="197" customWidth="1"/>
    <col min="14304" max="14308" width="3.88671875" style="197" customWidth="1"/>
    <col min="14309" max="14309" width="6.77734375" style="197" customWidth="1"/>
    <col min="14310" max="14310" width="7.77734375" style="197" customWidth="1"/>
    <col min="14311" max="14312" width="5.21875" style="197" customWidth="1"/>
    <col min="14313" max="14553" width="8.88671875" style="197"/>
    <col min="14554" max="14554" width="0.5546875" style="197" customWidth="1"/>
    <col min="14555" max="14555" width="2.88671875" style="197" customWidth="1"/>
    <col min="14556" max="14556" width="13.109375" style="197" customWidth="1"/>
    <col min="14557" max="14557" width="9.88671875" style="197" customWidth="1"/>
    <col min="14558" max="14558" width="2.77734375" style="197" customWidth="1"/>
    <col min="14559" max="14559" width="6.77734375" style="197" customWidth="1"/>
    <col min="14560" max="14564" width="3.88671875" style="197" customWidth="1"/>
    <col min="14565" max="14565" width="6.77734375" style="197" customWidth="1"/>
    <col min="14566" max="14566" width="7.77734375" style="197" customWidth="1"/>
    <col min="14567" max="14568" width="5.21875" style="197" customWidth="1"/>
    <col min="14569" max="14809" width="8.88671875" style="197"/>
    <col min="14810" max="14810" width="0.5546875" style="197" customWidth="1"/>
    <col min="14811" max="14811" width="2.88671875" style="197" customWidth="1"/>
    <col min="14812" max="14812" width="13.109375" style="197" customWidth="1"/>
    <col min="14813" max="14813" width="9.88671875" style="197" customWidth="1"/>
    <col min="14814" max="14814" width="2.77734375" style="197" customWidth="1"/>
    <col min="14815" max="14815" width="6.77734375" style="197" customWidth="1"/>
    <col min="14816" max="14820" width="3.88671875" style="197" customWidth="1"/>
    <col min="14821" max="14821" width="6.77734375" style="197" customWidth="1"/>
    <col min="14822" max="14822" width="7.77734375" style="197" customWidth="1"/>
    <col min="14823" max="14824" width="5.21875" style="197" customWidth="1"/>
    <col min="14825" max="15065" width="8.88671875" style="197"/>
    <col min="15066" max="15066" width="0.5546875" style="197" customWidth="1"/>
    <col min="15067" max="15067" width="2.88671875" style="197" customWidth="1"/>
    <col min="15068" max="15068" width="13.109375" style="197" customWidth="1"/>
    <col min="15069" max="15069" width="9.88671875" style="197" customWidth="1"/>
    <col min="15070" max="15070" width="2.77734375" style="197" customWidth="1"/>
    <col min="15071" max="15071" width="6.77734375" style="197" customWidth="1"/>
    <col min="15072" max="15076" width="3.88671875" style="197" customWidth="1"/>
    <col min="15077" max="15077" width="6.77734375" style="197" customWidth="1"/>
    <col min="15078" max="15078" width="7.77734375" style="197" customWidth="1"/>
    <col min="15079" max="15080" width="5.21875" style="197" customWidth="1"/>
    <col min="15081" max="15321" width="8.88671875" style="197"/>
    <col min="15322" max="15322" width="0.5546875" style="197" customWidth="1"/>
    <col min="15323" max="15323" width="2.88671875" style="197" customWidth="1"/>
    <col min="15324" max="15324" width="13.109375" style="197" customWidth="1"/>
    <col min="15325" max="15325" width="9.88671875" style="197" customWidth="1"/>
    <col min="15326" max="15326" width="2.77734375" style="197" customWidth="1"/>
    <col min="15327" max="15327" width="6.77734375" style="197" customWidth="1"/>
    <col min="15328" max="15332" width="3.88671875" style="197" customWidth="1"/>
    <col min="15333" max="15333" width="6.77734375" style="197" customWidth="1"/>
    <col min="15334" max="15334" width="7.77734375" style="197" customWidth="1"/>
    <col min="15335" max="15336" width="5.21875" style="197" customWidth="1"/>
    <col min="15337" max="15577" width="8.88671875" style="197"/>
    <col min="15578" max="15578" width="0.5546875" style="197" customWidth="1"/>
    <col min="15579" max="15579" width="2.88671875" style="197" customWidth="1"/>
    <col min="15580" max="15580" width="13.109375" style="197" customWidth="1"/>
    <col min="15581" max="15581" width="9.88671875" style="197" customWidth="1"/>
    <col min="15582" max="15582" width="2.77734375" style="197" customWidth="1"/>
    <col min="15583" max="15583" width="6.77734375" style="197" customWidth="1"/>
    <col min="15584" max="15588" width="3.88671875" style="197" customWidth="1"/>
    <col min="15589" max="15589" width="6.77734375" style="197" customWidth="1"/>
    <col min="15590" max="15590" width="7.77734375" style="197" customWidth="1"/>
    <col min="15591" max="15592" width="5.21875" style="197" customWidth="1"/>
    <col min="15593" max="15833" width="8.88671875" style="197"/>
    <col min="15834" max="15834" width="0.5546875" style="197" customWidth="1"/>
    <col min="15835" max="15835" width="2.88671875" style="197" customWidth="1"/>
    <col min="15836" max="15836" width="13.109375" style="197" customWidth="1"/>
    <col min="15837" max="15837" width="9.88671875" style="197" customWidth="1"/>
    <col min="15838" max="15838" width="2.77734375" style="197" customWidth="1"/>
    <col min="15839" max="15839" width="6.77734375" style="197" customWidth="1"/>
    <col min="15840" max="15844" width="3.88671875" style="197" customWidth="1"/>
    <col min="15845" max="15845" width="6.77734375" style="197" customWidth="1"/>
    <col min="15846" max="15846" width="7.77734375" style="197" customWidth="1"/>
    <col min="15847" max="15848" width="5.21875" style="197" customWidth="1"/>
    <col min="15849" max="16089" width="8.88671875" style="197"/>
    <col min="16090" max="16090" width="0.5546875" style="197" customWidth="1"/>
    <col min="16091" max="16091" width="2.88671875" style="197" customWidth="1"/>
    <col min="16092" max="16092" width="13.109375" style="197" customWidth="1"/>
    <col min="16093" max="16093" width="9.88671875" style="197" customWidth="1"/>
    <col min="16094" max="16094" width="2.77734375" style="197" customWidth="1"/>
    <col min="16095" max="16095" width="6.77734375" style="197" customWidth="1"/>
    <col min="16096" max="16100" width="3.88671875" style="197" customWidth="1"/>
    <col min="16101" max="16101" width="6.77734375" style="197" customWidth="1"/>
    <col min="16102" max="16102" width="7.77734375" style="197" customWidth="1"/>
    <col min="16103" max="16104" width="5.21875" style="197" customWidth="1"/>
    <col min="16105" max="16384" width="8.88671875" style="197"/>
  </cols>
  <sheetData>
    <row r="1" spans="1:5" ht="15" customHeight="1">
      <c r="A1" s="1783" t="s">
        <v>1820</v>
      </c>
      <c r="B1" s="1783"/>
      <c r="C1" s="1783"/>
      <c r="D1" s="1783"/>
      <c r="E1" s="1783"/>
    </row>
    <row r="2" spans="1:5" ht="15" customHeight="1">
      <c r="A2" s="1784"/>
      <c r="B2" s="1784"/>
      <c r="C2" s="1784"/>
      <c r="D2" s="1784"/>
      <c r="E2" s="1784"/>
    </row>
    <row r="3" spans="1:5" ht="20.100000000000001" customHeight="1">
      <c r="A3" s="787" t="s">
        <v>1730</v>
      </c>
      <c r="B3" s="788" t="s">
        <v>1817</v>
      </c>
      <c r="C3" s="788" t="s">
        <v>1818</v>
      </c>
      <c r="D3" s="788" t="s">
        <v>535</v>
      </c>
      <c r="E3" s="1245" t="s">
        <v>536</v>
      </c>
    </row>
    <row r="4" spans="1:5" ht="17.100000000000001" customHeight="1">
      <c r="A4" s="1246" t="s">
        <v>1819</v>
      </c>
      <c r="B4" s="1362"/>
      <c r="C4" s="1362"/>
      <c r="D4" s="1362"/>
      <c r="E4" s="1247">
        <v>44927</v>
      </c>
    </row>
    <row r="5" spans="1:5" ht="17.100000000000001" customHeight="1">
      <c r="A5" s="406" t="s">
        <v>559</v>
      </c>
      <c r="B5" s="786">
        <v>197546</v>
      </c>
      <c r="C5" s="786">
        <v>191344</v>
      </c>
      <c r="D5" s="786" t="s">
        <v>1810</v>
      </c>
      <c r="E5" s="408">
        <v>44927</v>
      </c>
    </row>
    <row r="6" spans="1:5" ht="17.100000000000001" customHeight="1">
      <c r="A6" s="406" t="s">
        <v>103</v>
      </c>
      <c r="B6" s="786">
        <v>157068</v>
      </c>
      <c r="C6" s="786">
        <v>153671</v>
      </c>
      <c r="D6" s="786" t="s">
        <v>1810</v>
      </c>
      <c r="E6" s="408">
        <v>44927</v>
      </c>
    </row>
    <row r="7" spans="1:5" ht="17.100000000000001" customHeight="1">
      <c r="A7" s="406" t="s">
        <v>127</v>
      </c>
      <c r="B7" s="786">
        <v>197450</v>
      </c>
      <c r="C7" s="786">
        <v>192375</v>
      </c>
      <c r="D7" s="786" t="s">
        <v>1810</v>
      </c>
      <c r="E7" s="408">
        <v>44927</v>
      </c>
    </row>
    <row r="8" spans="1:5" ht="17.100000000000001" customHeight="1">
      <c r="A8" s="406" t="s">
        <v>1636</v>
      </c>
      <c r="B8" s="786">
        <v>165635</v>
      </c>
      <c r="C8" s="786">
        <v>162577</v>
      </c>
      <c r="D8" s="786" t="s">
        <v>1810</v>
      </c>
      <c r="E8" s="408">
        <v>44927</v>
      </c>
    </row>
    <row r="9" spans="1:5" ht="17.100000000000001" customHeight="1">
      <c r="A9" s="406" t="s">
        <v>1637</v>
      </c>
      <c r="B9" s="786">
        <v>209231</v>
      </c>
      <c r="C9" s="786">
        <v>207792</v>
      </c>
      <c r="D9" s="786" t="s">
        <v>1810</v>
      </c>
      <c r="E9" s="408">
        <v>44927</v>
      </c>
    </row>
    <row r="10" spans="1:5" ht="17.100000000000001" customHeight="1">
      <c r="A10" s="406" t="s">
        <v>108</v>
      </c>
      <c r="B10" s="786">
        <v>278151</v>
      </c>
      <c r="C10" s="786">
        <v>269039</v>
      </c>
      <c r="D10" s="786" t="s">
        <v>1810</v>
      </c>
      <c r="E10" s="408">
        <v>44927</v>
      </c>
    </row>
    <row r="11" spans="1:5" ht="17.100000000000001" customHeight="1">
      <c r="A11" s="406" t="s">
        <v>105</v>
      </c>
      <c r="B11" s="786">
        <v>259126</v>
      </c>
      <c r="C11" s="786">
        <v>246376</v>
      </c>
      <c r="D11" s="786" t="s">
        <v>1810</v>
      </c>
      <c r="E11" s="408">
        <v>44927</v>
      </c>
    </row>
    <row r="12" spans="1:5" ht="17.100000000000001" customHeight="1">
      <c r="A12" s="406" t="s">
        <v>106</v>
      </c>
      <c r="B12" s="786">
        <v>252113</v>
      </c>
      <c r="C12" s="786">
        <v>240080</v>
      </c>
      <c r="D12" s="786" t="s">
        <v>1810</v>
      </c>
      <c r="E12" s="408">
        <v>44927</v>
      </c>
    </row>
    <row r="13" spans="1:5" ht="17.100000000000001" customHeight="1">
      <c r="A13" s="406" t="s">
        <v>1638</v>
      </c>
      <c r="B13" s="786">
        <v>223124</v>
      </c>
      <c r="C13" s="786">
        <v>211415</v>
      </c>
      <c r="D13" s="786" t="s">
        <v>1810</v>
      </c>
      <c r="E13" s="408">
        <v>44927</v>
      </c>
    </row>
    <row r="14" spans="1:5" ht="17.100000000000001" customHeight="1">
      <c r="A14" s="406" t="s">
        <v>107</v>
      </c>
      <c r="B14" s="786">
        <v>202901</v>
      </c>
      <c r="C14" s="786">
        <v>193615</v>
      </c>
      <c r="D14" s="786" t="s">
        <v>1810</v>
      </c>
      <c r="E14" s="408">
        <v>44927</v>
      </c>
    </row>
    <row r="15" spans="1:5" ht="17.100000000000001" customHeight="1">
      <c r="A15" s="406" t="s">
        <v>1639</v>
      </c>
      <c r="B15" s="786">
        <v>230145</v>
      </c>
      <c r="C15" s="786">
        <v>216712</v>
      </c>
      <c r="D15" s="786" t="s">
        <v>1810</v>
      </c>
      <c r="E15" s="408">
        <v>44927</v>
      </c>
    </row>
    <row r="16" spans="1:5" ht="17.100000000000001" customHeight="1">
      <c r="A16" s="406" t="s">
        <v>1640</v>
      </c>
      <c r="B16" s="786">
        <v>249748</v>
      </c>
      <c r="C16" s="786">
        <v>238739</v>
      </c>
      <c r="D16" s="786" t="s">
        <v>1810</v>
      </c>
      <c r="E16" s="408">
        <v>44927</v>
      </c>
    </row>
    <row r="17" spans="1:5" ht="17.100000000000001" customHeight="1">
      <c r="A17" s="406" t="s">
        <v>111</v>
      </c>
      <c r="B17" s="786">
        <v>245223</v>
      </c>
      <c r="C17" s="786">
        <v>235988</v>
      </c>
      <c r="D17" s="786" t="s">
        <v>1810</v>
      </c>
      <c r="E17" s="408">
        <v>44927</v>
      </c>
    </row>
    <row r="18" spans="1:5" ht="17.100000000000001" customHeight="1">
      <c r="A18" s="406" t="s">
        <v>1641</v>
      </c>
      <c r="B18" s="786">
        <v>212226</v>
      </c>
      <c r="C18" s="786">
        <v>199921</v>
      </c>
      <c r="D18" s="786" t="s">
        <v>1810</v>
      </c>
      <c r="E18" s="408">
        <v>44927</v>
      </c>
    </row>
    <row r="19" spans="1:5" ht="17.100000000000001" customHeight="1">
      <c r="A19" s="406" t="s">
        <v>1642</v>
      </c>
      <c r="B19" s="786">
        <v>194463</v>
      </c>
      <c r="C19" s="786">
        <v>189031</v>
      </c>
      <c r="D19" s="786" t="s">
        <v>1810</v>
      </c>
      <c r="E19" s="408">
        <v>44927</v>
      </c>
    </row>
    <row r="20" spans="1:5" ht="17.100000000000001" customHeight="1">
      <c r="A20" s="406" t="s">
        <v>560</v>
      </c>
      <c r="B20" s="786">
        <v>236187</v>
      </c>
      <c r="C20" s="786">
        <v>226437</v>
      </c>
      <c r="D20" s="786" t="s">
        <v>1810</v>
      </c>
      <c r="E20" s="408">
        <v>44927</v>
      </c>
    </row>
    <row r="21" spans="1:5" ht="17.100000000000001" customHeight="1">
      <c r="A21" s="406" t="s">
        <v>1643</v>
      </c>
      <c r="B21" s="786">
        <v>210767</v>
      </c>
      <c r="C21" s="786">
        <v>208344</v>
      </c>
      <c r="D21" s="786" t="s">
        <v>1810</v>
      </c>
      <c r="E21" s="408">
        <v>44927</v>
      </c>
    </row>
    <row r="22" spans="1:5" ht="17.100000000000001" customHeight="1">
      <c r="A22" s="406" t="s">
        <v>1644</v>
      </c>
      <c r="B22" s="786">
        <v>194853</v>
      </c>
      <c r="C22" s="786">
        <v>192239</v>
      </c>
      <c r="D22" s="786" t="s">
        <v>1810</v>
      </c>
      <c r="E22" s="408">
        <v>44927</v>
      </c>
    </row>
    <row r="23" spans="1:5" ht="17.100000000000001" customHeight="1">
      <c r="A23" s="406" t="s">
        <v>1645</v>
      </c>
      <c r="B23" s="786">
        <v>237245</v>
      </c>
      <c r="C23" s="786">
        <v>232804</v>
      </c>
      <c r="D23" s="786" t="s">
        <v>1810</v>
      </c>
      <c r="E23" s="408">
        <v>44927</v>
      </c>
    </row>
    <row r="24" spans="1:5" ht="17.100000000000001" customHeight="1">
      <c r="A24" s="406" t="s">
        <v>1646</v>
      </c>
      <c r="B24" s="786">
        <v>346760</v>
      </c>
      <c r="C24" s="786">
        <v>323830</v>
      </c>
      <c r="D24" s="786" t="s">
        <v>1810</v>
      </c>
      <c r="E24" s="408">
        <v>44927</v>
      </c>
    </row>
    <row r="25" spans="1:5" ht="17.100000000000001" customHeight="1">
      <c r="A25" s="406" t="s">
        <v>1647</v>
      </c>
      <c r="B25" s="786">
        <v>242636</v>
      </c>
      <c r="C25" s="786">
        <v>233781</v>
      </c>
      <c r="D25" s="786" t="s">
        <v>1810</v>
      </c>
      <c r="E25" s="408">
        <v>44927</v>
      </c>
    </row>
    <row r="26" spans="1:5" ht="17.100000000000001" customHeight="1">
      <c r="A26" s="406" t="s">
        <v>1648</v>
      </c>
      <c r="B26" s="786">
        <v>232725</v>
      </c>
      <c r="C26" s="786">
        <v>227145</v>
      </c>
      <c r="D26" s="786" t="s">
        <v>1810</v>
      </c>
      <c r="E26" s="408">
        <v>44927</v>
      </c>
    </row>
    <row r="27" spans="1:5" ht="17.100000000000001" customHeight="1">
      <c r="A27" s="406" t="s">
        <v>561</v>
      </c>
      <c r="B27" s="786">
        <v>254714</v>
      </c>
      <c r="C27" s="786">
        <v>242631</v>
      </c>
      <c r="D27" s="786" t="s">
        <v>1810</v>
      </c>
      <c r="E27" s="408">
        <v>44927</v>
      </c>
    </row>
    <row r="28" spans="1:5" ht="17.100000000000001" customHeight="1">
      <c r="A28" s="406" t="s">
        <v>1649</v>
      </c>
      <c r="B28" s="786">
        <v>236675</v>
      </c>
      <c r="C28" s="786">
        <v>234564</v>
      </c>
      <c r="D28" s="786" t="s">
        <v>1810</v>
      </c>
      <c r="E28" s="408">
        <v>44927</v>
      </c>
    </row>
    <row r="29" spans="1:5" ht="17.100000000000001" customHeight="1">
      <c r="A29" s="406" t="s">
        <v>1650</v>
      </c>
      <c r="B29" s="786">
        <v>235191</v>
      </c>
      <c r="C29" s="786">
        <v>229105</v>
      </c>
      <c r="D29" s="786" t="s">
        <v>1810</v>
      </c>
      <c r="E29" s="408">
        <v>44927</v>
      </c>
    </row>
    <row r="30" spans="1:5" ht="17.100000000000001" customHeight="1">
      <c r="A30" s="406" t="s">
        <v>110</v>
      </c>
      <c r="B30" s="786">
        <v>199427</v>
      </c>
      <c r="C30" s="786">
        <v>191620</v>
      </c>
      <c r="D30" s="786" t="s">
        <v>1810</v>
      </c>
      <c r="E30" s="408">
        <v>44927</v>
      </c>
    </row>
    <row r="31" spans="1:5" ht="17.100000000000001" customHeight="1">
      <c r="A31" s="406" t="s">
        <v>109</v>
      </c>
      <c r="B31" s="786">
        <v>251976</v>
      </c>
      <c r="C31" s="786">
        <v>239846</v>
      </c>
      <c r="D31" s="786" t="s">
        <v>1810</v>
      </c>
      <c r="E31" s="408">
        <v>44927</v>
      </c>
    </row>
    <row r="32" spans="1:5" ht="17.100000000000001" customHeight="1">
      <c r="A32" s="406" t="s">
        <v>1651</v>
      </c>
      <c r="B32" s="786">
        <v>258576</v>
      </c>
      <c r="C32" s="786">
        <v>253427</v>
      </c>
      <c r="D32" s="786" t="s">
        <v>1810</v>
      </c>
      <c r="E32" s="408">
        <v>44927</v>
      </c>
    </row>
    <row r="33" spans="1:5" ht="17.100000000000001" customHeight="1">
      <c r="A33" s="406" t="s">
        <v>1652</v>
      </c>
      <c r="B33" s="786">
        <v>242035</v>
      </c>
      <c r="C33" s="786">
        <v>235799</v>
      </c>
      <c r="D33" s="786" t="s">
        <v>1810</v>
      </c>
      <c r="E33" s="408">
        <v>44927</v>
      </c>
    </row>
    <row r="34" spans="1:5" ht="17.100000000000001" customHeight="1">
      <c r="A34" s="406" t="s">
        <v>1653</v>
      </c>
      <c r="B34" s="786">
        <v>228883</v>
      </c>
      <c r="C34" s="786">
        <v>222738</v>
      </c>
      <c r="D34" s="786" t="s">
        <v>1810</v>
      </c>
      <c r="E34" s="408">
        <v>44927</v>
      </c>
    </row>
    <row r="35" spans="1:5" ht="17.100000000000001" customHeight="1">
      <c r="A35" s="406" t="s">
        <v>1654</v>
      </c>
      <c r="B35" s="786">
        <v>205156</v>
      </c>
      <c r="C35" s="786">
        <v>199187</v>
      </c>
      <c r="D35" s="786" t="s">
        <v>1810</v>
      </c>
      <c r="E35" s="408">
        <v>44927</v>
      </c>
    </row>
    <row r="36" spans="1:5" ht="17.100000000000001" customHeight="1">
      <c r="A36" s="406" t="s">
        <v>1655</v>
      </c>
      <c r="B36" s="786">
        <v>186660</v>
      </c>
      <c r="C36" s="786">
        <v>186660</v>
      </c>
      <c r="D36" s="786" t="s">
        <v>1810</v>
      </c>
      <c r="E36" s="408">
        <v>44927</v>
      </c>
    </row>
    <row r="37" spans="1:5" ht="17.100000000000001" customHeight="1">
      <c r="A37" s="406" t="s">
        <v>1656</v>
      </c>
      <c r="B37" s="786">
        <v>245307</v>
      </c>
      <c r="C37" s="786">
        <v>236050</v>
      </c>
      <c r="D37" s="786" t="s">
        <v>1810</v>
      </c>
      <c r="E37" s="408">
        <v>44927</v>
      </c>
    </row>
    <row r="38" spans="1:5" ht="17.100000000000001" customHeight="1">
      <c r="A38" s="406" t="s">
        <v>1657</v>
      </c>
      <c r="B38" s="1363">
        <v>185459</v>
      </c>
      <c r="C38" s="1363">
        <v>181682</v>
      </c>
      <c r="D38" s="786" t="s">
        <v>1810</v>
      </c>
      <c r="E38" s="408">
        <v>44927</v>
      </c>
    </row>
    <row r="39" spans="1:5" ht="17.100000000000001" customHeight="1">
      <c r="A39" s="406" t="s">
        <v>562</v>
      </c>
      <c r="B39" s="786">
        <v>213197</v>
      </c>
      <c r="C39" s="786">
        <v>205422</v>
      </c>
      <c r="D39" s="786" t="s">
        <v>1810</v>
      </c>
      <c r="E39" s="408">
        <v>44927</v>
      </c>
    </row>
    <row r="40" spans="1:5" ht="17.100000000000001" customHeight="1">
      <c r="A40" s="406" t="s">
        <v>563</v>
      </c>
      <c r="B40" s="786">
        <v>209602</v>
      </c>
      <c r="C40" s="786">
        <v>204039</v>
      </c>
      <c r="D40" s="786" t="s">
        <v>1810</v>
      </c>
      <c r="E40" s="408">
        <v>44927</v>
      </c>
    </row>
    <row r="41" spans="1:5" ht="17.100000000000001" customHeight="1">
      <c r="A41" s="406" t="s">
        <v>1658</v>
      </c>
      <c r="B41" s="786">
        <v>224390</v>
      </c>
      <c r="C41" s="786">
        <v>219920</v>
      </c>
      <c r="D41" s="786" t="s">
        <v>1810</v>
      </c>
      <c r="E41" s="408">
        <v>44927</v>
      </c>
    </row>
    <row r="42" spans="1:5" ht="17.100000000000001" customHeight="1">
      <c r="A42" s="406" t="s">
        <v>1659</v>
      </c>
      <c r="B42" s="786">
        <v>203631</v>
      </c>
      <c r="C42" s="786">
        <v>192790</v>
      </c>
      <c r="D42" s="786" t="s">
        <v>1810</v>
      </c>
      <c r="E42" s="408">
        <v>44927</v>
      </c>
    </row>
    <row r="43" spans="1:5" ht="17.100000000000001" customHeight="1">
      <c r="A43" s="406" t="s">
        <v>113</v>
      </c>
      <c r="B43" s="786">
        <v>214118</v>
      </c>
      <c r="C43" s="786">
        <v>208255</v>
      </c>
      <c r="D43" s="786" t="s">
        <v>1810</v>
      </c>
      <c r="E43" s="408">
        <v>44927</v>
      </c>
    </row>
    <row r="44" spans="1:5" ht="17.100000000000001" customHeight="1">
      <c r="A44" s="406" t="s">
        <v>1660</v>
      </c>
      <c r="B44" s="786">
        <v>226771</v>
      </c>
      <c r="C44" s="786">
        <v>220741</v>
      </c>
      <c r="D44" s="786" t="s">
        <v>1810</v>
      </c>
      <c r="E44" s="408">
        <v>44927</v>
      </c>
    </row>
    <row r="45" spans="1:5" ht="17.100000000000001" customHeight="1">
      <c r="A45" s="406" t="s">
        <v>112</v>
      </c>
      <c r="B45" s="786">
        <v>210465</v>
      </c>
      <c r="C45" s="786">
        <v>205072</v>
      </c>
      <c r="D45" s="786" t="s">
        <v>1810</v>
      </c>
      <c r="E45" s="408">
        <v>44927</v>
      </c>
    </row>
    <row r="46" spans="1:5" ht="17.100000000000001" customHeight="1">
      <c r="A46" s="406" t="s">
        <v>1661</v>
      </c>
      <c r="B46" s="786">
        <v>202504</v>
      </c>
      <c r="C46" s="786">
        <v>201663</v>
      </c>
      <c r="D46" s="786" t="s">
        <v>1810</v>
      </c>
      <c r="E46" s="408">
        <v>44927</v>
      </c>
    </row>
    <row r="47" spans="1:5" ht="17.100000000000001" customHeight="1">
      <c r="A47" s="406" t="s">
        <v>1662</v>
      </c>
      <c r="B47" s="786">
        <v>198718</v>
      </c>
      <c r="C47" s="786">
        <v>189441</v>
      </c>
      <c r="D47" s="786" t="s">
        <v>1810</v>
      </c>
      <c r="E47" s="408">
        <v>44927</v>
      </c>
    </row>
    <row r="48" spans="1:5" ht="17.100000000000001" customHeight="1">
      <c r="A48" s="406" t="s">
        <v>1663</v>
      </c>
      <c r="B48" s="786">
        <v>194048</v>
      </c>
      <c r="C48" s="786">
        <v>191095</v>
      </c>
      <c r="D48" s="786" t="s">
        <v>1810</v>
      </c>
      <c r="E48" s="408">
        <v>44927</v>
      </c>
    </row>
    <row r="49" spans="1:5" ht="17.100000000000001" customHeight="1">
      <c r="A49" s="406" t="s">
        <v>564</v>
      </c>
      <c r="B49" s="786">
        <v>170594</v>
      </c>
      <c r="C49" s="786">
        <v>162860</v>
      </c>
      <c r="D49" s="786" t="s">
        <v>1810</v>
      </c>
      <c r="E49" s="408">
        <v>44927</v>
      </c>
    </row>
    <row r="50" spans="1:5" ht="17.100000000000001" customHeight="1">
      <c r="A50" s="406" t="s">
        <v>1664</v>
      </c>
      <c r="B50" s="786">
        <v>190168</v>
      </c>
      <c r="C50" s="786">
        <v>182713</v>
      </c>
      <c r="D50" s="786" t="s">
        <v>1810</v>
      </c>
      <c r="E50" s="408">
        <v>44927</v>
      </c>
    </row>
    <row r="51" spans="1:5" ht="17.100000000000001" customHeight="1">
      <c r="A51" s="406" t="s">
        <v>565</v>
      </c>
      <c r="B51" s="786">
        <v>186691</v>
      </c>
      <c r="C51" s="786">
        <v>183489</v>
      </c>
      <c r="D51" s="786" t="s">
        <v>1810</v>
      </c>
      <c r="E51" s="408">
        <v>44927</v>
      </c>
    </row>
    <row r="52" spans="1:5" ht="17.100000000000001" customHeight="1">
      <c r="A52" s="406" t="s">
        <v>566</v>
      </c>
      <c r="B52" s="786">
        <v>243295</v>
      </c>
      <c r="C52" s="786">
        <v>230245</v>
      </c>
      <c r="D52" s="786" t="s">
        <v>1810</v>
      </c>
      <c r="E52" s="408">
        <v>44927</v>
      </c>
    </row>
    <row r="53" spans="1:5" ht="17.100000000000001" customHeight="1">
      <c r="A53" s="406" t="s">
        <v>567</v>
      </c>
      <c r="B53" s="786">
        <v>208927</v>
      </c>
      <c r="C53" s="786">
        <v>192000</v>
      </c>
      <c r="D53" s="786" t="s">
        <v>1810</v>
      </c>
      <c r="E53" s="408">
        <v>44927</v>
      </c>
    </row>
    <row r="54" spans="1:5" ht="17.100000000000001" customHeight="1">
      <c r="A54" s="406" t="s">
        <v>568</v>
      </c>
      <c r="B54" s="786">
        <v>151669</v>
      </c>
      <c r="C54" s="786">
        <v>151669</v>
      </c>
      <c r="D54" s="786" t="s">
        <v>1810</v>
      </c>
      <c r="E54" s="408">
        <v>44927</v>
      </c>
    </row>
    <row r="55" spans="1:5" ht="17.100000000000001" customHeight="1">
      <c r="A55" s="406" t="s">
        <v>569</v>
      </c>
      <c r="B55" s="786">
        <v>213337</v>
      </c>
      <c r="C55" s="786">
        <v>210486</v>
      </c>
      <c r="D55" s="786" t="s">
        <v>1810</v>
      </c>
      <c r="E55" s="408">
        <v>44927</v>
      </c>
    </row>
    <row r="56" spans="1:5" ht="17.100000000000001" customHeight="1">
      <c r="A56" s="406" t="s">
        <v>570</v>
      </c>
      <c r="B56" s="786">
        <v>209438</v>
      </c>
      <c r="C56" s="786">
        <v>209833</v>
      </c>
      <c r="D56" s="786" t="s">
        <v>1810</v>
      </c>
      <c r="E56" s="408">
        <v>44927</v>
      </c>
    </row>
    <row r="57" spans="1:5" ht="17.100000000000001" customHeight="1">
      <c r="A57" s="407" t="s">
        <v>571</v>
      </c>
      <c r="B57" s="786">
        <v>184956</v>
      </c>
      <c r="C57" s="786">
        <v>184652</v>
      </c>
      <c r="D57" s="786" t="s">
        <v>1810</v>
      </c>
      <c r="E57" s="408">
        <v>44927</v>
      </c>
    </row>
    <row r="58" spans="1:5" ht="17.100000000000001" customHeight="1">
      <c r="A58" s="1246" t="s">
        <v>572</v>
      </c>
      <c r="B58" s="786">
        <v>180381</v>
      </c>
      <c r="C58" s="786">
        <v>180256</v>
      </c>
      <c r="D58" s="786" t="s">
        <v>1810</v>
      </c>
      <c r="E58" s="408">
        <v>44927</v>
      </c>
    </row>
    <row r="59" spans="1:5" ht="17.100000000000001" customHeight="1">
      <c r="A59" s="406" t="s">
        <v>1665</v>
      </c>
      <c r="B59" s="786">
        <v>175538</v>
      </c>
      <c r="C59" s="786">
        <v>164539</v>
      </c>
      <c r="D59" s="786" t="s">
        <v>1810</v>
      </c>
      <c r="E59" s="408">
        <v>44927</v>
      </c>
    </row>
    <row r="60" spans="1:5" ht="17.100000000000001" customHeight="1">
      <c r="A60" s="406" t="s">
        <v>573</v>
      </c>
      <c r="B60" s="786">
        <v>296392</v>
      </c>
      <c r="C60" s="786">
        <v>296124</v>
      </c>
      <c r="D60" s="786" t="s">
        <v>1810</v>
      </c>
      <c r="E60" s="408">
        <v>44927</v>
      </c>
    </row>
    <row r="61" spans="1:5" ht="17.100000000000001" customHeight="1">
      <c r="A61" s="406" t="s">
        <v>574</v>
      </c>
      <c r="B61" s="786">
        <v>236086</v>
      </c>
      <c r="C61" s="786">
        <v>232031</v>
      </c>
      <c r="D61" s="786" t="s">
        <v>1810</v>
      </c>
      <c r="E61" s="408">
        <v>44927</v>
      </c>
    </row>
    <row r="62" spans="1:5" ht="17.100000000000001" customHeight="1">
      <c r="A62" s="406" t="s">
        <v>575</v>
      </c>
      <c r="B62" s="786">
        <v>273303</v>
      </c>
      <c r="C62" s="786">
        <v>263081</v>
      </c>
      <c r="D62" s="786" t="s">
        <v>1810</v>
      </c>
      <c r="E62" s="408">
        <v>44927</v>
      </c>
    </row>
    <row r="63" spans="1:5" ht="17.100000000000001" customHeight="1">
      <c r="A63" s="406" t="s">
        <v>576</v>
      </c>
      <c r="B63" s="786">
        <v>317220</v>
      </c>
      <c r="C63" s="786">
        <v>317220</v>
      </c>
      <c r="D63" s="786" t="s">
        <v>1810</v>
      </c>
      <c r="E63" s="408">
        <v>44927</v>
      </c>
    </row>
    <row r="64" spans="1:5" ht="17.100000000000001" customHeight="1">
      <c r="A64" s="406" t="s">
        <v>577</v>
      </c>
      <c r="B64" s="786">
        <v>240797</v>
      </c>
      <c r="C64" s="786">
        <v>228122</v>
      </c>
      <c r="D64" s="786" t="s">
        <v>1810</v>
      </c>
      <c r="E64" s="408">
        <v>44927</v>
      </c>
    </row>
    <row r="65" spans="1:5" ht="17.100000000000001" customHeight="1">
      <c r="A65" s="406" t="s">
        <v>578</v>
      </c>
      <c r="B65" s="786">
        <v>205095</v>
      </c>
      <c r="C65" s="786">
        <v>198285</v>
      </c>
      <c r="D65" s="786" t="s">
        <v>1810</v>
      </c>
      <c r="E65" s="408">
        <v>44927</v>
      </c>
    </row>
    <row r="66" spans="1:5" ht="17.100000000000001" customHeight="1">
      <c r="A66" s="406" t="s">
        <v>579</v>
      </c>
      <c r="B66" s="786">
        <v>290265</v>
      </c>
      <c r="C66" s="786">
        <v>293572</v>
      </c>
      <c r="D66" s="786" t="s">
        <v>1810</v>
      </c>
      <c r="E66" s="408">
        <v>44927</v>
      </c>
    </row>
    <row r="67" spans="1:5" ht="17.100000000000001" customHeight="1">
      <c r="A67" s="406" t="s">
        <v>580</v>
      </c>
      <c r="B67" s="786">
        <v>215631</v>
      </c>
      <c r="C67" s="786">
        <v>214700</v>
      </c>
      <c r="D67" s="786" t="s">
        <v>1810</v>
      </c>
      <c r="E67" s="408">
        <v>44927</v>
      </c>
    </row>
    <row r="68" spans="1:5" ht="17.100000000000001" customHeight="1">
      <c r="A68" s="406" t="s">
        <v>581</v>
      </c>
      <c r="B68" s="786">
        <v>198052</v>
      </c>
      <c r="C68" s="786">
        <v>198052</v>
      </c>
      <c r="D68" s="786" t="s">
        <v>1810</v>
      </c>
      <c r="E68" s="408">
        <v>44927</v>
      </c>
    </row>
    <row r="69" spans="1:5" ht="17.100000000000001" customHeight="1">
      <c r="A69" s="406" t="s">
        <v>582</v>
      </c>
      <c r="B69" s="786">
        <v>248570</v>
      </c>
      <c r="C69" s="786">
        <v>248570</v>
      </c>
      <c r="D69" s="786" t="s">
        <v>1810</v>
      </c>
      <c r="E69" s="408">
        <v>44927</v>
      </c>
    </row>
    <row r="70" spans="1:5" ht="17.100000000000001" customHeight="1">
      <c r="A70" s="406" t="s">
        <v>583</v>
      </c>
      <c r="B70" s="786">
        <v>292571</v>
      </c>
      <c r="C70" s="786">
        <v>282707</v>
      </c>
      <c r="D70" s="786" t="s">
        <v>1810</v>
      </c>
      <c r="E70" s="408">
        <v>44927</v>
      </c>
    </row>
    <row r="71" spans="1:5" ht="17.100000000000001" customHeight="1">
      <c r="A71" s="406" t="s">
        <v>584</v>
      </c>
      <c r="B71" s="786">
        <v>224819</v>
      </c>
      <c r="C71" s="786">
        <v>221714</v>
      </c>
      <c r="D71" s="786" t="s">
        <v>1810</v>
      </c>
      <c r="E71" s="408">
        <v>44927</v>
      </c>
    </row>
    <row r="72" spans="1:5" ht="17.100000000000001" customHeight="1">
      <c r="A72" s="406" t="s">
        <v>585</v>
      </c>
      <c r="B72" s="786">
        <v>186667</v>
      </c>
      <c r="C72" s="786">
        <v>186667</v>
      </c>
      <c r="D72" s="786" t="s">
        <v>1810</v>
      </c>
      <c r="E72" s="408">
        <v>44927</v>
      </c>
    </row>
    <row r="73" spans="1:5" ht="17.100000000000001" customHeight="1">
      <c r="A73" s="406" t="s">
        <v>586</v>
      </c>
      <c r="B73" s="786">
        <v>186338</v>
      </c>
      <c r="C73" s="786">
        <v>183333</v>
      </c>
      <c r="D73" s="786" t="s">
        <v>1810</v>
      </c>
      <c r="E73" s="408">
        <v>44927</v>
      </c>
    </row>
    <row r="74" spans="1:5" ht="17.100000000000001" customHeight="1">
      <c r="A74" s="406" t="s">
        <v>587</v>
      </c>
      <c r="B74" s="786">
        <v>166550</v>
      </c>
      <c r="C74" s="786">
        <v>167559</v>
      </c>
      <c r="D74" s="786" t="s">
        <v>1810</v>
      </c>
      <c r="E74" s="408">
        <v>44927</v>
      </c>
    </row>
    <row r="75" spans="1:5" ht="17.100000000000001" customHeight="1">
      <c r="A75" s="406" t="s">
        <v>588</v>
      </c>
      <c r="B75" s="786">
        <v>139859</v>
      </c>
      <c r="C75" s="786">
        <v>140000</v>
      </c>
      <c r="D75" s="786" t="s">
        <v>1810</v>
      </c>
      <c r="E75" s="408">
        <v>44927</v>
      </c>
    </row>
    <row r="76" spans="1:5" ht="17.100000000000001" customHeight="1">
      <c r="A76" s="406" t="s">
        <v>589</v>
      </c>
      <c r="B76" s="786">
        <v>246481</v>
      </c>
      <c r="C76" s="786">
        <v>250962</v>
      </c>
      <c r="D76" s="786" t="s">
        <v>1810</v>
      </c>
      <c r="E76" s="408">
        <v>44927</v>
      </c>
    </row>
    <row r="77" spans="1:5" ht="17.100000000000001" customHeight="1">
      <c r="A77" s="406" t="s">
        <v>590</v>
      </c>
      <c r="B77" s="786">
        <v>215026</v>
      </c>
      <c r="C77" s="786">
        <v>219741</v>
      </c>
      <c r="D77" s="786" t="s">
        <v>1810</v>
      </c>
      <c r="E77" s="408">
        <v>44927</v>
      </c>
    </row>
    <row r="78" spans="1:5" ht="17.100000000000001" customHeight="1">
      <c r="A78" s="406" t="s">
        <v>591</v>
      </c>
      <c r="B78" s="786">
        <v>188071</v>
      </c>
      <c r="C78" s="786">
        <v>181993</v>
      </c>
      <c r="D78" s="786" t="s">
        <v>1810</v>
      </c>
      <c r="E78" s="408">
        <v>44927</v>
      </c>
    </row>
    <row r="79" spans="1:5" ht="17.100000000000001" customHeight="1">
      <c r="A79" s="406" t="s">
        <v>101</v>
      </c>
      <c r="B79" s="786">
        <v>265406</v>
      </c>
      <c r="C79" s="786">
        <v>259089</v>
      </c>
      <c r="D79" s="786" t="s">
        <v>1810</v>
      </c>
      <c r="E79" s="408">
        <v>44927</v>
      </c>
    </row>
    <row r="80" spans="1:5" ht="17.100000000000001" customHeight="1">
      <c r="A80" s="406" t="s">
        <v>592</v>
      </c>
      <c r="B80" s="786">
        <v>420571</v>
      </c>
      <c r="C80" s="786">
        <v>399437</v>
      </c>
      <c r="D80" s="786" t="s">
        <v>1810</v>
      </c>
      <c r="E80" s="408">
        <v>44927</v>
      </c>
    </row>
    <row r="81" spans="1:5" ht="17.100000000000001" customHeight="1">
      <c r="A81" s="406" t="s">
        <v>593</v>
      </c>
      <c r="B81" s="786">
        <v>353395</v>
      </c>
      <c r="C81" s="786">
        <v>340018</v>
      </c>
      <c r="D81" s="786" t="s">
        <v>1810</v>
      </c>
      <c r="E81" s="408">
        <v>44927</v>
      </c>
    </row>
    <row r="82" spans="1:5" ht="17.100000000000001" customHeight="1">
      <c r="A82" s="406" t="s">
        <v>119</v>
      </c>
      <c r="B82" s="786">
        <v>288442</v>
      </c>
      <c r="C82" s="786">
        <v>272282</v>
      </c>
      <c r="D82" s="786" t="s">
        <v>1810</v>
      </c>
      <c r="E82" s="408">
        <v>44927</v>
      </c>
    </row>
    <row r="83" spans="1:5" ht="17.100000000000001" customHeight="1">
      <c r="A83" s="406" t="s">
        <v>114</v>
      </c>
      <c r="B83" s="786">
        <v>536946</v>
      </c>
      <c r="C83" s="786">
        <v>518464</v>
      </c>
      <c r="D83" s="786" t="s">
        <v>1810</v>
      </c>
      <c r="E83" s="408">
        <v>44927</v>
      </c>
    </row>
    <row r="84" spans="1:5" ht="17.100000000000001" customHeight="1">
      <c r="A84" s="406" t="s">
        <v>115</v>
      </c>
      <c r="B84" s="786">
        <v>590847</v>
      </c>
      <c r="C84" s="786">
        <v>568157</v>
      </c>
      <c r="D84" s="786" t="s">
        <v>1810</v>
      </c>
      <c r="E84" s="408">
        <v>44927</v>
      </c>
    </row>
    <row r="85" spans="1:5" ht="17.100000000000001" customHeight="1">
      <c r="A85" s="406" t="s">
        <v>116</v>
      </c>
      <c r="B85" s="786">
        <v>397259</v>
      </c>
      <c r="C85" s="786">
        <v>387818</v>
      </c>
      <c r="D85" s="786" t="s">
        <v>1810</v>
      </c>
      <c r="E85" s="408">
        <v>44927</v>
      </c>
    </row>
    <row r="86" spans="1:5" ht="17.100000000000001" customHeight="1">
      <c r="A86" s="406" t="s">
        <v>117</v>
      </c>
      <c r="B86" s="786">
        <v>520394</v>
      </c>
      <c r="C86" s="786">
        <v>509392</v>
      </c>
      <c r="D86" s="786" t="s">
        <v>1810</v>
      </c>
      <c r="E86" s="408">
        <v>44927</v>
      </c>
    </row>
    <row r="87" spans="1:5" ht="17.100000000000001" customHeight="1">
      <c r="A87" s="406" t="s">
        <v>118</v>
      </c>
      <c r="B87" s="786">
        <v>251195</v>
      </c>
      <c r="C87" s="786">
        <v>241264</v>
      </c>
      <c r="D87" s="786" t="s">
        <v>1810</v>
      </c>
      <c r="E87" s="408">
        <v>44927</v>
      </c>
    </row>
    <row r="88" spans="1:5" ht="17.100000000000001" customHeight="1">
      <c r="A88" s="406" t="s">
        <v>121</v>
      </c>
      <c r="B88" s="786">
        <v>283405</v>
      </c>
      <c r="C88" s="786">
        <v>268571</v>
      </c>
      <c r="D88" s="786" t="s">
        <v>1810</v>
      </c>
      <c r="E88" s="408">
        <v>44927</v>
      </c>
    </row>
    <row r="89" spans="1:5" ht="17.100000000000001" customHeight="1">
      <c r="A89" s="406" t="s">
        <v>120</v>
      </c>
      <c r="B89" s="786">
        <v>271097</v>
      </c>
      <c r="C89" s="786">
        <v>261379</v>
      </c>
      <c r="D89" s="786" t="s">
        <v>1810</v>
      </c>
      <c r="E89" s="408">
        <v>44927</v>
      </c>
    </row>
    <row r="90" spans="1:5" ht="17.100000000000001" customHeight="1">
      <c r="A90" s="406" t="s">
        <v>124</v>
      </c>
      <c r="B90" s="786">
        <v>251790</v>
      </c>
      <c r="C90" s="786">
        <v>242964</v>
      </c>
      <c r="D90" s="786" t="s">
        <v>1810</v>
      </c>
      <c r="E90" s="408">
        <v>44927</v>
      </c>
    </row>
    <row r="91" spans="1:5" ht="17.100000000000001" customHeight="1">
      <c r="A91" s="406" t="s">
        <v>123</v>
      </c>
      <c r="B91" s="786">
        <v>280506</v>
      </c>
      <c r="C91" s="786">
        <v>272067</v>
      </c>
      <c r="D91" s="786" t="s">
        <v>1810</v>
      </c>
      <c r="E91" s="408">
        <v>44927</v>
      </c>
    </row>
    <row r="92" spans="1:5" ht="17.100000000000001" customHeight="1">
      <c r="A92" s="406" t="s">
        <v>122</v>
      </c>
      <c r="B92" s="786">
        <v>363102</v>
      </c>
      <c r="C92" s="786">
        <v>357144</v>
      </c>
      <c r="D92" s="786" t="s">
        <v>1810</v>
      </c>
      <c r="E92" s="408">
        <v>44927</v>
      </c>
    </row>
    <row r="93" spans="1:5" ht="17.100000000000001" customHeight="1">
      <c r="A93" s="406" t="s">
        <v>125</v>
      </c>
      <c r="B93" s="786">
        <v>389536</v>
      </c>
      <c r="C93" s="786">
        <v>381041</v>
      </c>
      <c r="D93" s="786" t="s">
        <v>1810</v>
      </c>
      <c r="E93" s="408">
        <v>44927</v>
      </c>
    </row>
    <row r="94" spans="1:5" ht="17.100000000000001" customHeight="1">
      <c r="A94" s="406" t="s">
        <v>126</v>
      </c>
      <c r="B94" s="786">
        <v>319190</v>
      </c>
      <c r="C94" s="786">
        <v>311012</v>
      </c>
      <c r="D94" s="786" t="s">
        <v>1810</v>
      </c>
      <c r="E94" s="408">
        <v>44927</v>
      </c>
    </row>
    <row r="95" spans="1:5" ht="17.100000000000001" customHeight="1">
      <c r="A95" s="406" t="s">
        <v>594</v>
      </c>
      <c r="B95" s="786">
        <v>198675</v>
      </c>
      <c r="C95" s="786">
        <v>191523</v>
      </c>
      <c r="D95" s="786" t="s">
        <v>1810</v>
      </c>
      <c r="E95" s="408">
        <v>44927</v>
      </c>
    </row>
    <row r="96" spans="1:5" ht="17.100000000000001" customHeight="1">
      <c r="A96" s="406" t="s">
        <v>595</v>
      </c>
      <c r="B96" s="786">
        <v>409726</v>
      </c>
      <c r="C96" s="786">
        <v>398214</v>
      </c>
      <c r="D96" s="786" t="s">
        <v>1810</v>
      </c>
      <c r="E96" s="408">
        <v>44927</v>
      </c>
    </row>
    <row r="97" spans="1:5" ht="17.100000000000001" customHeight="1">
      <c r="A97" s="406" t="s">
        <v>1666</v>
      </c>
      <c r="B97" s="786">
        <v>354947</v>
      </c>
      <c r="C97" s="786">
        <v>349792</v>
      </c>
      <c r="D97" s="786" t="s">
        <v>1810</v>
      </c>
      <c r="E97" s="408">
        <v>44927</v>
      </c>
    </row>
    <row r="98" spans="1:5" ht="17.100000000000001" customHeight="1">
      <c r="A98" s="406" t="s">
        <v>1667</v>
      </c>
      <c r="B98" s="786">
        <v>401195</v>
      </c>
      <c r="C98" s="786">
        <v>391265</v>
      </c>
      <c r="D98" s="786" t="s">
        <v>1810</v>
      </c>
      <c r="E98" s="408">
        <v>44927</v>
      </c>
    </row>
    <row r="99" spans="1:5" ht="17.100000000000001" customHeight="1">
      <c r="A99" s="406" t="s">
        <v>1668</v>
      </c>
      <c r="B99" s="786">
        <v>457143</v>
      </c>
      <c r="C99" s="786">
        <v>477025</v>
      </c>
      <c r="D99" s="786" t="s">
        <v>1810</v>
      </c>
      <c r="E99" s="408">
        <v>44927</v>
      </c>
    </row>
    <row r="100" spans="1:5" ht="17.100000000000001" customHeight="1">
      <c r="A100" s="406" t="s">
        <v>596</v>
      </c>
      <c r="B100" s="786">
        <v>280702</v>
      </c>
      <c r="C100" s="786">
        <v>280702</v>
      </c>
      <c r="D100" s="786" t="s">
        <v>1810</v>
      </c>
      <c r="E100" s="408">
        <v>44927</v>
      </c>
    </row>
    <row r="101" spans="1:5" ht="17.100000000000001" customHeight="1">
      <c r="A101" s="406" t="s">
        <v>597</v>
      </c>
      <c r="B101" s="786">
        <v>279380</v>
      </c>
      <c r="C101" s="786">
        <v>279380</v>
      </c>
      <c r="D101" s="786" t="s">
        <v>1810</v>
      </c>
      <c r="E101" s="408">
        <v>44927</v>
      </c>
    </row>
    <row r="102" spans="1:5" ht="17.100000000000001" customHeight="1">
      <c r="A102" s="406" t="s">
        <v>598</v>
      </c>
      <c r="B102" s="786">
        <v>209937</v>
      </c>
      <c r="C102" s="786">
        <v>209937</v>
      </c>
      <c r="D102" s="786" t="s">
        <v>1810</v>
      </c>
      <c r="E102" s="408">
        <v>44927</v>
      </c>
    </row>
    <row r="103" spans="1:5" ht="17.100000000000001" customHeight="1">
      <c r="A103" s="406" t="s">
        <v>599</v>
      </c>
      <c r="B103" s="786">
        <v>303187</v>
      </c>
      <c r="C103" s="786">
        <v>322748</v>
      </c>
      <c r="D103" s="786" t="s">
        <v>1810</v>
      </c>
      <c r="E103" s="408">
        <v>44927</v>
      </c>
    </row>
    <row r="104" spans="1:5" ht="17.100000000000001" customHeight="1">
      <c r="A104" s="406" t="s">
        <v>600</v>
      </c>
      <c r="B104" s="786">
        <v>286134</v>
      </c>
      <c r="C104" s="786">
        <v>286134</v>
      </c>
      <c r="D104" s="786" t="s">
        <v>1810</v>
      </c>
      <c r="E104" s="408">
        <v>44927</v>
      </c>
    </row>
    <row r="105" spans="1:5" ht="17.100000000000001" customHeight="1">
      <c r="A105" s="406" t="s">
        <v>601</v>
      </c>
      <c r="B105" s="786">
        <v>322581</v>
      </c>
      <c r="C105" s="786">
        <v>298868</v>
      </c>
      <c r="D105" s="786" t="s">
        <v>1810</v>
      </c>
      <c r="E105" s="408">
        <v>44927</v>
      </c>
    </row>
    <row r="106" spans="1:5" ht="17.100000000000001" customHeight="1">
      <c r="A106" s="406" t="s">
        <v>602</v>
      </c>
      <c r="B106" s="786">
        <v>245275</v>
      </c>
      <c r="C106" s="786">
        <v>245275</v>
      </c>
      <c r="D106" s="786" t="s">
        <v>1810</v>
      </c>
      <c r="E106" s="408">
        <v>44927</v>
      </c>
    </row>
    <row r="107" spans="1:5" ht="17.100000000000001" customHeight="1">
      <c r="A107" s="406" t="s">
        <v>603</v>
      </c>
      <c r="B107" s="786">
        <v>264129</v>
      </c>
      <c r="C107" s="786">
        <v>264129</v>
      </c>
      <c r="D107" s="786" t="s">
        <v>1810</v>
      </c>
      <c r="E107" s="408">
        <v>44927</v>
      </c>
    </row>
    <row r="108" spans="1:5" ht="17.100000000000001" customHeight="1">
      <c r="A108" s="406" t="s">
        <v>604</v>
      </c>
      <c r="B108" s="786">
        <v>261049</v>
      </c>
      <c r="C108" s="786">
        <v>261049</v>
      </c>
      <c r="D108" s="786" t="s">
        <v>1810</v>
      </c>
      <c r="E108" s="408">
        <v>44927</v>
      </c>
    </row>
    <row r="109" spans="1:5" ht="17.100000000000001" customHeight="1">
      <c r="A109" s="406" t="s">
        <v>605</v>
      </c>
      <c r="B109" s="786">
        <v>285714</v>
      </c>
      <c r="C109" s="786">
        <v>285714</v>
      </c>
      <c r="D109" s="786" t="s">
        <v>1810</v>
      </c>
      <c r="E109" s="408">
        <v>44927</v>
      </c>
    </row>
    <row r="110" spans="1:5" ht="17.100000000000001" customHeight="1">
      <c r="A110" s="406" t="s">
        <v>1669</v>
      </c>
      <c r="B110" s="786">
        <v>252000</v>
      </c>
      <c r="C110" s="786">
        <v>252000</v>
      </c>
      <c r="D110" s="786" t="s">
        <v>1810</v>
      </c>
      <c r="E110" s="408">
        <v>44927</v>
      </c>
    </row>
    <row r="111" spans="1:5" ht="17.100000000000001" customHeight="1">
      <c r="A111" s="407" t="s">
        <v>1318</v>
      </c>
      <c r="B111" s="1364">
        <v>318055</v>
      </c>
      <c r="C111" s="1364">
        <v>318055</v>
      </c>
      <c r="D111" s="786" t="s">
        <v>1810</v>
      </c>
      <c r="E111" s="408">
        <v>44927</v>
      </c>
    </row>
    <row r="112" spans="1:5" ht="17.100000000000001" customHeight="1">
      <c r="A112" s="1246" t="s">
        <v>1319</v>
      </c>
      <c r="B112" s="786">
        <v>325333</v>
      </c>
      <c r="C112" s="786">
        <v>305905</v>
      </c>
      <c r="D112" s="786" t="s">
        <v>1810</v>
      </c>
      <c r="E112" s="408">
        <v>44927</v>
      </c>
    </row>
    <row r="113" spans="1:5" ht="17.100000000000001" customHeight="1">
      <c r="A113" s="406" t="s">
        <v>1320</v>
      </c>
      <c r="B113" s="786">
        <v>419546</v>
      </c>
      <c r="C113" s="786">
        <v>419546</v>
      </c>
      <c r="D113" s="786" t="s">
        <v>1810</v>
      </c>
      <c r="E113" s="408">
        <v>44927</v>
      </c>
    </row>
    <row r="114" spans="1:5" ht="17.100000000000001" customHeight="1">
      <c r="A114" s="406" t="s">
        <v>1321</v>
      </c>
      <c r="B114" s="786">
        <v>250000</v>
      </c>
      <c r="C114" s="786">
        <v>250000</v>
      </c>
      <c r="D114" s="786" t="s">
        <v>1810</v>
      </c>
      <c r="E114" s="408">
        <v>44927</v>
      </c>
    </row>
    <row r="115" spans="1:5" ht="17.100000000000001" customHeight="1">
      <c r="A115" s="406" t="s">
        <v>1322</v>
      </c>
      <c r="B115" s="786">
        <v>308571</v>
      </c>
      <c r="C115" s="786">
        <v>267610</v>
      </c>
      <c r="D115" s="786" t="s">
        <v>1810</v>
      </c>
      <c r="E115" s="408">
        <v>44927</v>
      </c>
    </row>
    <row r="116" spans="1:5" ht="17.100000000000001" customHeight="1">
      <c r="A116" s="406" t="s">
        <v>1323</v>
      </c>
      <c r="B116" s="786">
        <v>227310</v>
      </c>
      <c r="C116" s="786">
        <v>227310</v>
      </c>
      <c r="D116" s="786" t="s">
        <v>1810</v>
      </c>
      <c r="E116" s="408">
        <v>44927</v>
      </c>
    </row>
    <row r="117" spans="1:5" ht="17.100000000000001" customHeight="1">
      <c r="A117" s="406" t="s">
        <v>606</v>
      </c>
      <c r="B117" s="786">
        <v>228504</v>
      </c>
      <c r="C117" s="786">
        <v>230848</v>
      </c>
      <c r="D117" s="786" t="s">
        <v>1810</v>
      </c>
      <c r="E117" s="408">
        <v>44927</v>
      </c>
    </row>
    <row r="118" spans="1:5" ht="17.100000000000001" customHeight="1">
      <c r="A118" s="406" t="s">
        <v>607</v>
      </c>
      <c r="B118" s="786">
        <v>197956</v>
      </c>
      <c r="C118" s="786">
        <v>196805</v>
      </c>
      <c r="D118" s="786" t="s">
        <v>1810</v>
      </c>
      <c r="E118" s="408">
        <v>44927</v>
      </c>
    </row>
    <row r="119" spans="1:5" ht="17.100000000000001" customHeight="1">
      <c r="A119" s="406" t="s">
        <v>608</v>
      </c>
      <c r="B119" s="786">
        <v>228419</v>
      </c>
      <c r="C119" s="786">
        <v>229295</v>
      </c>
      <c r="D119" s="786" t="s">
        <v>1810</v>
      </c>
      <c r="E119" s="408">
        <v>44927</v>
      </c>
    </row>
    <row r="120" spans="1:5" ht="17.100000000000001" customHeight="1">
      <c r="A120" s="406" t="s">
        <v>609</v>
      </c>
      <c r="B120" s="786">
        <v>281198</v>
      </c>
      <c r="C120" s="786">
        <v>301308</v>
      </c>
      <c r="D120" s="786" t="s">
        <v>1810</v>
      </c>
      <c r="E120" s="408">
        <v>44927</v>
      </c>
    </row>
    <row r="121" spans="1:5" ht="17.100000000000001" customHeight="1">
      <c r="A121" s="406" t="s">
        <v>610</v>
      </c>
      <c r="B121" s="786">
        <v>292454</v>
      </c>
      <c r="C121" s="786">
        <v>284842</v>
      </c>
      <c r="D121" s="786" t="s">
        <v>1810</v>
      </c>
      <c r="E121" s="408">
        <v>44927</v>
      </c>
    </row>
    <row r="122" spans="1:5" ht="17.100000000000001" customHeight="1">
      <c r="A122" s="406" t="s">
        <v>611</v>
      </c>
      <c r="B122" s="1363">
        <v>284281</v>
      </c>
      <c r="C122" s="1363">
        <v>273786</v>
      </c>
      <c r="D122" s="786" t="s">
        <v>1810</v>
      </c>
      <c r="E122" s="408">
        <v>44927</v>
      </c>
    </row>
    <row r="123" spans="1:5" ht="17.100000000000001" customHeight="1">
      <c r="A123" s="406" t="s">
        <v>612</v>
      </c>
      <c r="B123" s="786">
        <v>234222</v>
      </c>
      <c r="C123" s="786">
        <v>227878</v>
      </c>
      <c r="D123" s="786" t="s">
        <v>1810</v>
      </c>
      <c r="E123" s="408">
        <v>44927</v>
      </c>
    </row>
    <row r="124" spans="1:5" ht="17.100000000000001" customHeight="1">
      <c r="A124" s="406" t="s">
        <v>128</v>
      </c>
      <c r="B124" s="786">
        <v>299140</v>
      </c>
      <c r="C124" s="786">
        <v>292105</v>
      </c>
      <c r="D124" s="786" t="s">
        <v>1810</v>
      </c>
      <c r="E124" s="408">
        <v>44927</v>
      </c>
    </row>
    <row r="125" spans="1:5" ht="17.100000000000001" customHeight="1">
      <c r="A125" s="406" t="s">
        <v>613</v>
      </c>
      <c r="B125" s="786">
        <v>265465</v>
      </c>
      <c r="C125" s="786">
        <v>260292</v>
      </c>
      <c r="D125" s="786" t="s">
        <v>1810</v>
      </c>
      <c r="E125" s="408">
        <v>44927</v>
      </c>
    </row>
    <row r="126" spans="1:5" ht="17.100000000000001" customHeight="1">
      <c r="A126" s="406" t="s">
        <v>614</v>
      </c>
      <c r="B126" s="786">
        <v>437936</v>
      </c>
      <c r="C126" s="786">
        <v>429168</v>
      </c>
      <c r="D126" s="786" t="s">
        <v>1810</v>
      </c>
      <c r="E126" s="408">
        <v>44927</v>
      </c>
    </row>
    <row r="127" spans="1:5" ht="17.100000000000001" customHeight="1">
      <c r="A127" s="406" t="s">
        <v>1324</v>
      </c>
      <c r="B127" s="786">
        <v>194831</v>
      </c>
      <c r="C127" s="786">
        <v>191040</v>
      </c>
      <c r="D127" s="786" t="s">
        <v>1810</v>
      </c>
      <c r="E127" s="408">
        <v>44927</v>
      </c>
    </row>
    <row r="128" spans="1:5" ht="17.100000000000001" customHeight="1">
      <c r="A128" s="406" t="s">
        <v>1731</v>
      </c>
      <c r="B128" s="786">
        <v>266470</v>
      </c>
      <c r="C128" s="786">
        <v>266992</v>
      </c>
      <c r="D128" s="786" t="s">
        <v>1810</v>
      </c>
      <c r="E128" s="408">
        <v>44927</v>
      </c>
    </row>
    <row r="129" spans="1:5" ht="17.100000000000001" customHeight="1">
      <c r="A129" s="406" t="s">
        <v>1732</v>
      </c>
      <c r="B129" s="786">
        <v>216510</v>
      </c>
      <c r="C129" s="786">
        <v>214705</v>
      </c>
      <c r="D129" s="786" t="s">
        <v>1810</v>
      </c>
      <c r="E129" s="408">
        <v>44927</v>
      </c>
    </row>
    <row r="130" spans="1:5" ht="17.100000000000001" customHeight="1">
      <c r="A130" s="406" t="s">
        <v>1733</v>
      </c>
      <c r="B130" s="786">
        <v>183604</v>
      </c>
      <c r="C130" s="786">
        <v>181589</v>
      </c>
      <c r="D130" s="786" t="s">
        <v>1810</v>
      </c>
      <c r="E130" s="408">
        <v>44927</v>
      </c>
    </row>
    <row r="131" spans="1:5" ht="17.100000000000001" customHeight="1">
      <c r="A131" s="406" t="s">
        <v>1734</v>
      </c>
      <c r="B131" s="786">
        <v>158227</v>
      </c>
      <c r="C131" s="786">
        <v>158045</v>
      </c>
      <c r="D131" s="786" t="s">
        <v>1810</v>
      </c>
      <c r="E131" s="408">
        <v>44927</v>
      </c>
    </row>
    <row r="132" spans="1:5" ht="17.100000000000001" customHeight="1">
      <c r="A132" s="406"/>
      <c r="B132" s="786"/>
      <c r="C132" s="786"/>
      <c r="D132" s="786"/>
      <c r="E132" s="408"/>
    </row>
    <row r="133" spans="1:5" ht="17.100000000000001" customHeight="1">
      <c r="A133" s="406"/>
      <c r="B133" s="786"/>
      <c r="C133" s="786"/>
      <c r="D133" s="786"/>
      <c r="E133" s="408"/>
    </row>
    <row r="134" spans="1:5" ht="17.100000000000001" customHeight="1">
      <c r="A134" s="406"/>
      <c r="B134" s="786"/>
      <c r="C134" s="786"/>
      <c r="D134" s="786"/>
      <c r="E134" s="408"/>
    </row>
    <row r="135" spans="1:5" ht="17.100000000000001" customHeight="1">
      <c r="A135" s="406"/>
      <c r="B135" s="786"/>
      <c r="C135" s="786"/>
      <c r="D135" s="786"/>
      <c r="E135" s="408"/>
    </row>
    <row r="136" spans="1:5" ht="17.100000000000001" customHeight="1">
      <c r="A136" s="406"/>
      <c r="B136" s="786"/>
      <c r="C136" s="786"/>
      <c r="D136" s="786"/>
      <c r="E136" s="408"/>
    </row>
    <row r="137" spans="1:5" ht="17.100000000000001" customHeight="1">
      <c r="A137" s="406"/>
      <c r="B137" s="786"/>
      <c r="C137" s="786"/>
      <c r="D137" s="786"/>
      <c r="E137" s="408"/>
    </row>
    <row r="138" spans="1:5" ht="17.100000000000001" customHeight="1">
      <c r="A138" s="406"/>
      <c r="B138" s="786"/>
      <c r="C138" s="786"/>
      <c r="D138" s="786"/>
      <c r="E138" s="408"/>
    </row>
    <row r="139" spans="1:5" ht="17.100000000000001" customHeight="1">
      <c r="A139" s="406"/>
      <c r="B139" s="786"/>
      <c r="C139" s="786"/>
      <c r="D139" s="786"/>
      <c r="E139" s="408"/>
    </row>
    <row r="140" spans="1:5" ht="17.100000000000001" customHeight="1">
      <c r="A140" s="406"/>
      <c r="B140" s="786"/>
      <c r="C140" s="786"/>
      <c r="D140" s="786"/>
      <c r="E140" s="408"/>
    </row>
    <row r="141" spans="1:5" ht="17.100000000000001" customHeight="1">
      <c r="A141" s="406"/>
      <c r="B141" s="786"/>
      <c r="C141" s="786"/>
      <c r="D141" s="786"/>
      <c r="E141" s="408"/>
    </row>
    <row r="142" spans="1:5" ht="17.100000000000001" customHeight="1">
      <c r="A142" s="406"/>
      <c r="B142" s="786"/>
      <c r="C142" s="786"/>
      <c r="D142" s="786"/>
      <c r="E142" s="408"/>
    </row>
    <row r="143" spans="1:5" ht="17.100000000000001" customHeight="1">
      <c r="A143" s="1103"/>
      <c r="B143" s="1104"/>
      <c r="C143" s="1104"/>
      <c r="D143" s="1104"/>
      <c r="E143" s="1105"/>
    </row>
    <row r="144" spans="1:5" ht="17.100000000000001" customHeight="1">
      <c r="A144" s="1103"/>
      <c r="B144" s="1104"/>
      <c r="C144" s="1104"/>
      <c r="D144" s="1104"/>
      <c r="E144" s="1105"/>
    </row>
    <row r="145" spans="1:5" ht="17.100000000000001" customHeight="1">
      <c r="A145" s="1103"/>
      <c r="B145" s="1104"/>
      <c r="C145" s="1104"/>
      <c r="D145" s="1104"/>
      <c r="E145" s="1105"/>
    </row>
    <row r="146" spans="1:5" ht="17.100000000000001" customHeight="1">
      <c r="A146" s="1103"/>
      <c r="B146" s="1104"/>
      <c r="C146" s="1104"/>
      <c r="D146" s="1104"/>
      <c r="E146" s="1105"/>
    </row>
    <row r="147" spans="1:5" ht="17.100000000000001" customHeight="1">
      <c r="A147" s="1103"/>
      <c r="B147" s="1104"/>
      <c r="C147" s="1104"/>
      <c r="D147" s="1104"/>
      <c r="E147" s="1105"/>
    </row>
    <row r="148" spans="1:5" ht="17.100000000000001" customHeight="1">
      <c r="A148" s="1103"/>
      <c r="B148" s="1104"/>
      <c r="C148" s="1104"/>
      <c r="D148" s="1104"/>
      <c r="E148" s="1105"/>
    </row>
    <row r="149" spans="1:5" ht="17.100000000000001" customHeight="1">
      <c r="A149" s="1103"/>
      <c r="B149" s="1104"/>
      <c r="C149" s="1104"/>
      <c r="D149" s="1104"/>
      <c r="E149" s="1105"/>
    </row>
    <row r="150" spans="1:5" ht="17.100000000000001" customHeight="1">
      <c r="A150" s="1103"/>
      <c r="B150" s="1104"/>
      <c r="C150" s="1104"/>
      <c r="D150" s="1104"/>
      <c r="E150" s="1105"/>
    </row>
    <row r="151" spans="1:5" ht="17.100000000000001" customHeight="1">
      <c r="A151" s="1103"/>
      <c r="B151" s="1104"/>
      <c r="C151" s="1104"/>
      <c r="D151" s="1104"/>
      <c r="E151" s="1105"/>
    </row>
    <row r="152" spans="1:5" ht="17.100000000000001" customHeight="1">
      <c r="A152" s="1103"/>
      <c r="B152" s="1104"/>
      <c r="C152" s="1104"/>
      <c r="D152" s="1104"/>
      <c r="E152" s="1105"/>
    </row>
    <row r="153" spans="1:5" ht="17.100000000000001" customHeight="1">
      <c r="A153" s="1103"/>
      <c r="B153" s="1104"/>
      <c r="C153" s="1104"/>
      <c r="D153" s="1104"/>
      <c r="E153" s="1105"/>
    </row>
    <row r="154" spans="1:5" ht="17.100000000000001" customHeight="1">
      <c r="A154" s="1103"/>
      <c r="B154" s="1104"/>
      <c r="C154" s="1104"/>
      <c r="D154" s="1104"/>
      <c r="E154" s="1105"/>
    </row>
    <row r="155" spans="1:5" ht="17.100000000000001" customHeight="1">
      <c r="A155" s="1103"/>
      <c r="B155" s="1104"/>
      <c r="C155" s="1104"/>
      <c r="D155" s="1104"/>
      <c r="E155" s="1105"/>
    </row>
    <row r="156" spans="1:5" ht="17.100000000000001" customHeight="1">
      <c r="A156" s="1103"/>
      <c r="B156" s="1104"/>
      <c r="C156" s="1104"/>
      <c r="D156" s="1104"/>
      <c r="E156" s="1105"/>
    </row>
    <row r="157" spans="1:5" ht="17.100000000000001" customHeight="1">
      <c r="A157" s="1103"/>
      <c r="B157" s="1104"/>
      <c r="C157" s="1104"/>
      <c r="D157" s="1104"/>
      <c r="E157" s="1105"/>
    </row>
    <row r="158" spans="1:5" ht="17.100000000000001" customHeight="1">
      <c r="A158" s="1103"/>
      <c r="B158" s="1104"/>
      <c r="C158" s="1104"/>
      <c r="D158" s="1104"/>
      <c r="E158" s="1105"/>
    </row>
    <row r="159" spans="1:5" ht="17.100000000000001" customHeight="1">
      <c r="A159" s="1103"/>
      <c r="B159" s="1104"/>
      <c r="C159" s="1104"/>
      <c r="D159" s="1104"/>
      <c r="E159" s="1105"/>
    </row>
    <row r="160" spans="1:5" ht="17.100000000000001" customHeight="1">
      <c r="A160" s="1103"/>
      <c r="B160" s="1104"/>
      <c r="C160" s="1104"/>
      <c r="D160" s="1104"/>
      <c r="E160" s="1105"/>
    </row>
    <row r="161" spans="1:5" ht="17.100000000000001" customHeight="1">
      <c r="A161" s="1103"/>
      <c r="B161" s="1104"/>
      <c r="C161" s="1104"/>
      <c r="D161" s="1104"/>
      <c r="E161" s="1105"/>
    </row>
    <row r="162" spans="1:5" ht="17.100000000000001" customHeight="1">
      <c r="A162" s="1103"/>
      <c r="B162" s="1104"/>
      <c r="C162" s="1104"/>
      <c r="D162" s="1104"/>
      <c r="E162" s="1105"/>
    </row>
    <row r="163" spans="1:5" ht="17.100000000000001" customHeight="1">
      <c r="A163" s="1103"/>
      <c r="B163" s="1104"/>
      <c r="C163" s="1104"/>
      <c r="D163" s="1104"/>
      <c r="E163" s="1105"/>
    </row>
    <row r="164" spans="1:5" ht="17.100000000000001" customHeight="1">
      <c r="A164" s="1103"/>
      <c r="B164" s="1104"/>
      <c r="C164" s="1104"/>
      <c r="D164" s="1104"/>
      <c r="E164" s="1105"/>
    </row>
    <row r="165" spans="1:5" ht="17.100000000000001" customHeight="1">
      <c r="A165" s="1103"/>
      <c r="B165" s="1104"/>
      <c r="C165" s="1104"/>
      <c r="D165" s="1104"/>
      <c r="E165" s="1105"/>
    </row>
    <row r="166" spans="1:5" ht="17.100000000000001" customHeight="1">
      <c r="A166" s="1103"/>
      <c r="B166" s="1104"/>
      <c r="C166" s="1104"/>
      <c r="D166" s="1104"/>
      <c r="E166" s="1105"/>
    </row>
    <row r="167" spans="1:5" ht="17.100000000000001" customHeight="1">
      <c r="A167" s="1103"/>
      <c r="B167" s="1104"/>
      <c r="C167" s="1104"/>
      <c r="D167" s="1104"/>
      <c r="E167" s="1105"/>
    </row>
    <row r="168" spans="1:5" ht="17.100000000000001" customHeight="1">
      <c r="A168" s="1103"/>
      <c r="B168" s="1104"/>
      <c r="C168" s="1104"/>
      <c r="D168" s="1104"/>
      <c r="E168" s="1105"/>
    </row>
    <row r="169" spans="1:5" ht="17.100000000000001" customHeight="1">
      <c r="A169" s="1103"/>
      <c r="B169" s="1104"/>
      <c r="C169" s="1104"/>
      <c r="D169" s="1104"/>
      <c r="E169" s="1105"/>
    </row>
    <row r="170" spans="1:5" ht="17.100000000000001" customHeight="1">
      <c r="A170" s="1103"/>
      <c r="B170" s="1104"/>
      <c r="C170" s="1104"/>
      <c r="D170" s="1104"/>
      <c r="E170" s="1105"/>
    </row>
    <row r="171" spans="1:5" ht="17.100000000000001" customHeight="1">
      <c r="A171" s="1103"/>
      <c r="B171" s="1104"/>
      <c r="C171" s="1104"/>
      <c r="D171" s="1104"/>
      <c r="E171" s="1105"/>
    </row>
    <row r="172" spans="1:5" ht="17.100000000000001" customHeight="1">
      <c r="A172" s="1103"/>
      <c r="B172" s="1104"/>
      <c r="C172" s="1104"/>
      <c r="D172" s="1104"/>
      <c r="E172" s="1105"/>
    </row>
    <row r="173" spans="1:5" ht="17.100000000000001" customHeight="1">
      <c r="A173" s="1103"/>
      <c r="B173" s="1104"/>
      <c r="C173" s="1104"/>
      <c r="D173" s="1104"/>
      <c r="E173" s="1105"/>
    </row>
    <row r="174" spans="1:5" ht="17.100000000000001" customHeight="1">
      <c r="A174" s="1103"/>
      <c r="B174" s="1104"/>
      <c r="C174" s="1104"/>
      <c r="D174" s="1104"/>
      <c r="E174" s="1105"/>
    </row>
    <row r="175" spans="1:5" ht="17.100000000000001" customHeight="1">
      <c r="A175" s="1103"/>
      <c r="B175" s="1104"/>
      <c r="C175" s="1104"/>
      <c r="D175" s="1104"/>
      <c r="E175" s="1105"/>
    </row>
    <row r="176" spans="1:5" ht="17.100000000000001" customHeight="1">
      <c r="A176" s="1103"/>
      <c r="B176" s="1104"/>
      <c r="C176" s="1104"/>
      <c r="D176" s="1104"/>
      <c r="E176" s="1105"/>
    </row>
    <row r="177" spans="1:5" ht="17.100000000000001" customHeight="1">
      <c r="A177" s="1103"/>
      <c r="B177" s="1104"/>
      <c r="C177" s="1104"/>
      <c r="D177" s="1104"/>
      <c r="E177" s="1105"/>
    </row>
    <row r="178" spans="1:5" ht="17.100000000000001" customHeight="1">
      <c r="A178" s="1103"/>
      <c r="B178" s="1104"/>
      <c r="C178" s="1104"/>
      <c r="D178" s="1104"/>
      <c r="E178" s="1105"/>
    </row>
    <row r="179" spans="1:5" ht="17.100000000000001" customHeight="1">
      <c r="A179" s="1103"/>
      <c r="B179" s="1104"/>
      <c r="C179" s="1104"/>
      <c r="D179" s="1104"/>
      <c r="E179" s="1105"/>
    </row>
    <row r="180" spans="1:5" ht="17.100000000000001" customHeight="1">
      <c r="A180" s="1103"/>
      <c r="B180" s="1104"/>
      <c r="C180" s="1104"/>
      <c r="D180" s="1104"/>
      <c r="E180" s="1105"/>
    </row>
    <row r="181" spans="1:5" ht="17.100000000000001" customHeight="1">
      <c r="A181" s="1103"/>
      <c r="B181" s="1104"/>
      <c r="C181" s="1104"/>
      <c r="D181" s="1104"/>
      <c r="E181" s="1105"/>
    </row>
    <row r="182" spans="1:5" ht="17.100000000000001" customHeight="1">
      <c r="A182" s="1103"/>
      <c r="B182" s="1104"/>
      <c r="C182" s="1104"/>
      <c r="D182" s="1104"/>
      <c r="E182" s="1105"/>
    </row>
    <row r="183" spans="1:5" ht="17.100000000000001" customHeight="1">
      <c r="A183" s="1103"/>
      <c r="B183" s="1104"/>
      <c r="C183" s="1104"/>
      <c r="D183" s="1104"/>
      <c r="E183" s="1105"/>
    </row>
    <row r="184" spans="1:5" ht="17.100000000000001" customHeight="1">
      <c r="A184" s="1103"/>
      <c r="B184" s="1104"/>
      <c r="C184" s="1104"/>
      <c r="D184" s="1104"/>
      <c r="E184" s="1105"/>
    </row>
    <row r="185" spans="1:5" ht="17.100000000000001" customHeight="1">
      <c r="A185" s="1103"/>
      <c r="B185" s="1104"/>
      <c r="C185" s="1104"/>
      <c r="D185" s="1104"/>
      <c r="E185" s="1105"/>
    </row>
    <row r="186" spans="1:5" ht="17.100000000000001" customHeight="1">
      <c r="A186" s="1103"/>
      <c r="B186" s="1104"/>
      <c r="C186" s="1104"/>
      <c r="D186" s="1104"/>
      <c r="E186" s="1105"/>
    </row>
    <row r="187" spans="1:5" ht="17.100000000000001" customHeight="1">
      <c r="A187" s="1103"/>
      <c r="B187" s="1104"/>
      <c r="C187" s="1104"/>
      <c r="D187" s="1104"/>
      <c r="E187" s="1105"/>
    </row>
    <row r="188" spans="1:5" ht="17.100000000000001" customHeight="1">
      <c r="A188" s="1103"/>
      <c r="B188" s="1104"/>
      <c r="C188" s="1104"/>
      <c r="D188" s="1104"/>
      <c r="E188" s="1105"/>
    </row>
    <row r="189" spans="1:5" ht="17.100000000000001" customHeight="1">
      <c r="A189" s="1103"/>
      <c r="B189" s="1104"/>
      <c r="C189" s="1104"/>
      <c r="D189" s="1104"/>
      <c r="E189" s="1105"/>
    </row>
    <row r="190" spans="1:5" ht="17.100000000000001" customHeight="1">
      <c r="A190" s="1103"/>
      <c r="B190" s="1104"/>
      <c r="C190" s="1104"/>
      <c r="D190" s="1104"/>
      <c r="E190" s="1105"/>
    </row>
    <row r="191" spans="1:5" ht="17.100000000000001" customHeight="1">
      <c r="A191" s="1103"/>
      <c r="B191" s="1104"/>
      <c r="C191" s="1104"/>
      <c r="D191" s="1104"/>
      <c r="E191" s="1105"/>
    </row>
    <row r="192" spans="1:5" ht="17.100000000000001" customHeight="1">
      <c r="A192" s="1103"/>
      <c r="B192" s="1104"/>
      <c r="C192" s="1104"/>
      <c r="D192" s="1104"/>
      <c r="E192" s="1105"/>
    </row>
    <row r="193" spans="1:5" ht="17.100000000000001" customHeight="1">
      <c r="A193" s="1103"/>
      <c r="B193" s="1104"/>
      <c r="C193" s="1104"/>
      <c r="D193" s="1104"/>
      <c r="E193" s="1105"/>
    </row>
    <row r="194" spans="1:5" ht="17.100000000000001" customHeight="1">
      <c r="A194" s="1103"/>
      <c r="B194" s="1104"/>
      <c r="C194" s="1104"/>
      <c r="D194" s="1104"/>
      <c r="E194" s="1105"/>
    </row>
    <row r="195" spans="1:5" ht="17.100000000000001" customHeight="1">
      <c r="A195" s="1103"/>
      <c r="B195" s="1104"/>
      <c r="C195" s="1104"/>
      <c r="D195" s="1104"/>
      <c r="E195" s="1105"/>
    </row>
    <row r="196" spans="1:5" ht="17.100000000000001" customHeight="1">
      <c r="A196" s="1103"/>
      <c r="B196" s="1104"/>
      <c r="C196" s="1104"/>
      <c r="D196" s="1104"/>
      <c r="E196" s="1105"/>
    </row>
    <row r="197" spans="1:5" ht="17.100000000000001" customHeight="1">
      <c r="A197" s="1103"/>
      <c r="B197" s="1104"/>
      <c r="C197" s="1104"/>
      <c r="D197" s="1104"/>
      <c r="E197" s="1105"/>
    </row>
    <row r="198" spans="1:5" ht="17.100000000000001" customHeight="1">
      <c r="A198" s="1103"/>
      <c r="B198" s="1104"/>
      <c r="C198" s="1104"/>
      <c r="D198" s="1104"/>
      <c r="E198" s="1105"/>
    </row>
    <row r="199" spans="1:5" ht="17.100000000000001" customHeight="1">
      <c r="A199" s="1103"/>
      <c r="B199" s="1104"/>
      <c r="C199" s="1104"/>
      <c r="D199" s="1104"/>
      <c r="E199" s="1105"/>
    </row>
    <row r="200" spans="1:5" ht="17.100000000000001" customHeight="1">
      <c r="A200" s="1103"/>
      <c r="B200" s="1104"/>
      <c r="C200" s="1104"/>
      <c r="D200" s="1104"/>
      <c r="E200" s="1105"/>
    </row>
    <row r="201" spans="1:5" ht="17.100000000000001" customHeight="1">
      <c r="A201" s="1103"/>
      <c r="B201" s="1104"/>
      <c r="C201" s="1104"/>
      <c r="D201" s="1104"/>
      <c r="E201" s="1105"/>
    </row>
    <row r="202" spans="1:5" ht="17.100000000000001" customHeight="1">
      <c r="A202" s="1103"/>
      <c r="B202" s="1104"/>
      <c r="C202" s="1104"/>
      <c r="D202" s="1104"/>
      <c r="E202" s="1105"/>
    </row>
    <row r="203" spans="1:5" ht="17.100000000000001" customHeight="1">
      <c r="A203" s="1103"/>
      <c r="B203" s="1104"/>
      <c r="C203" s="1104"/>
      <c r="D203" s="1104"/>
      <c r="E203" s="1105"/>
    </row>
    <row r="204" spans="1:5" ht="17.100000000000001" customHeight="1">
      <c r="A204" s="1103"/>
      <c r="B204" s="1104"/>
      <c r="C204" s="1104"/>
      <c r="D204" s="1104"/>
      <c r="E204" s="1105"/>
    </row>
    <row r="205" spans="1:5" ht="17.100000000000001" customHeight="1">
      <c r="A205" s="1103"/>
      <c r="B205" s="1104"/>
      <c r="C205" s="1104"/>
      <c r="D205" s="1104"/>
      <c r="E205" s="1105"/>
    </row>
    <row r="206" spans="1:5" ht="17.100000000000001" customHeight="1">
      <c r="A206" s="1103"/>
      <c r="B206" s="1104"/>
      <c r="C206" s="1104"/>
      <c r="D206" s="1104"/>
      <c r="E206" s="1105"/>
    </row>
    <row r="207" spans="1:5" ht="17.100000000000001" customHeight="1">
      <c r="A207" s="1103"/>
      <c r="B207" s="1104"/>
      <c r="C207" s="1104"/>
      <c r="D207" s="1104"/>
      <c r="E207" s="1105"/>
    </row>
    <row r="208" spans="1:5" ht="17.100000000000001" customHeight="1">
      <c r="A208" s="1103"/>
      <c r="B208" s="1104"/>
      <c r="C208" s="1104"/>
      <c r="D208" s="1104"/>
      <c r="E208" s="1105"/>
    </row>
    <row r="209" spans="1:5" ht="17.100000000000001" customHeight="1">
      <c r="A209" s="406"/>
      <c r="B209" s="786"/>
      <c r="C209" s="786"/>
      <c r="D209" s="786"/>
      <c r="E209" s="408"/>
    </row>
    <row r="210" spans="1:5" ht="17.100000000000001" customHeight="1">
      <c r="A210" s="406"/>
      <c r="B210" s="786"/>
      <c r="C210" s="786"/>
      <c r="D210" s="786"/>
      <c r="E210" s="408"/>
    </row>
    <row r="211" spans="1:5" ht="17.100000000000001" customHeight="1">
      <c r="A211" s="406"/>
      <c r="B211" s="786"/>
      <c r="C211" s="786"/>
      <c r="D211" s="786"/>
      <c r="E211" s="408"/>
    </row>
    <row r="212" spans="1:5" ht="17.100000000000001" customHeight="1">
      <c r="A212" s="406"/>
      <c r="B212" s="786"/>
      <c r="C212" s="786"/>
      <c r="D212" s="786"/>
      <c r="E212" s="408"/>
    </row>
    <row r="213" spans="1:5" ht="17.100000000000001" customHeight="1">
      <c r="A213" s="406"/>
      <c r="B213" s="786"/>
      <c r="C213" s="786"/>
      <c r="D213" s="786"/>
      <c r="E213" s="408"/>
    </row>
    <row r="214" spans="1:5" ht="17.100000000000001" customHeight="1">
      <c r="A214" s="406"/>
      <c r="B214" s="786"/>
      <c r="C214" s="786"/>
      <c r="D214" s="786"/>
      <c r="E214" s="408"/>
    </row>
    <row r="215" spans="1:5" ht="17.100000000000001" customHeight="1">
      <c r="A215" s="406"/>
      <c r="B215" s="786"/>
      <c r="C215" s="786"/>
      <c r="D215" s="786"/>
      <c r="E215" s="408"/>
    </row>
    <row r="216" spans="1:5" ht="17.100000000000001" customHeight="1">
      <c r="A216" s="406"/>
      <c r="B216" s="786"/>
      <c r="C216" s="786"/>
      <c r="D216" s="786"/>
      <c r="E216" s="408"/>
    </row>
    <row r="217" spans="1:5" ht="17.100000000000001" customHeight="1">
      <c r="A217" s="406"/>
      <c r="B217" s="786"/>
      <c r="C217" s="786"/>
      <c r="D217" s="786"/>
      <c r="E217" s="408"/>
    </row>
    <row r="218" spans="1:5" ht="17.100000000000001" customHeight="1">
      <c r="A218" s="406"/>
      <c r="B218" s="786"/>
      <c r="C218" s="786"/>
      <c r="D218" s="786"/>
      <c r="E218" s="408"/>
    </row>
    <row r="219" spans="1:5" ht="17.100000000000001" customHeight="1">
      <c r="A219" s="407"/>
      <c r="B219" s="826"/>
      <c r="C219" s="826"/>
      <c r="D219" s="826"/>
      <c r="E219" s="409"/>
    </row>
    <row r="220" spans="1:5" ht="17.100000000000001" customHeight="1"/>
    <row r="221" spans="1:5" ht="17.100000000000001" customHeight="1"/>
    <row r="222" spans="1:5" ht="17.100000000000001" customHeight="1"/>
    <row r="223" spans="1:5" ht="17.100000000000001" customHeight="1"/>
    <row r="224" spans="1:5" ht="17.100000000000001" customHeight="1"/>
    <row r="225" s="197" customFormat="1" ht="17.100000000000001" customHeight="1"/>
    <row r="226" s="197" customFormat="1" ht="17.100000000000001" customHeight="1"/>
    <row r="227" s="197" customFormat="1" ht="17.100000000000001" customHeight="1"/>
    <row r="228" s="197" customFormat="1" ht="17.100000000000001" customHeight="1"/>
    <row r="229" s="197" customFormat="1" ht="17.100000000000001" customHeight="1"/>
    <row r="230" s="197" customFormat="1" ht="17.100000000000001" customHeight="1"/>
    <row r="231" s="197" customFormat="1" ht="17.100000000000001" customHeight="1"/>
    <row r="232" s="197" customFormat="1" ht="17.100000000000001" customHeight="1"/>
    <row r="233" s="197" customFormat="1" ht="17.100000000000001" customHeight="1"/>
    <row r="234" s="197" customFormat="1" ht="17.100000000000001" customHeight="1"/>
    <row r="235" s="197" customFormat="1" ht="17.100000000000001" customHeight="1"/>
    <row r="236" s="197" customFormat="1" ht="17.100000000000001" customHeight="1"/>
    <row r="237" s="197" customFormat="1" ht="17.100000000000001" customHeight="1"/>
    <row r="238" s="197" customFormat="1" ht="17.100000000000001" customHeight="1"/>
    <row r="239" s="197" customFormat="1" ht="17.100000000000001" customHeight="1"/>
    <row r="240" s="197" customFormat="1" ht="17.100000000000001" customHeight="1"/>
    <row r="241" s="197" customFormat="1" ht="17.100000000000001" customHeight="1"/>
    <row r="242" s="197" customFormat="1" ht="17.100000000000001" customHeight="1"/>
    <row r="243" s="197" customFormat="1" ht="17.100000000000001" customHeight="1"/>
    <row r="244" s="197" customFormat="1" ht="17.100000000000001" customHeight="1"/>
    <row r="245" s="197" customFormat="1" ht="17.100000000000001" customHeight="1"/>
    <row r="246" s="197" customFormat="1" ht="17.100000000000001" customHeight="1"/>
    <row r="247" s="197" customFormat="1" ht="17.100000000000001" customHeight="1"/>
    <row r="248" s="197" customFormat="1" ht="17.100000000000001" customHeight="1"/>
    <row r="249" s="197" customFormat="1" ht="17.100000000000001" customHeight="1"/>
    <row r="250" s="197" customFormat="1" ht="17.100000000000001" customHeight="1"/>
    <row r="251" s="197" customFormat="1" ht="17.100000000000001" customHeight="1"/>
    <row r="252" s="197" customFormat="1" ht="17.100000000000001" customHeight="1"/>
    <row r="253" s="197" customFormat="1" ht="17.100000000000001" customHeight="1"/>
    <row r="254" s="197" customFormat="1" ht="17.100000000000001" customHeight="1"/>
    <row r="255" s="197" customFormat="1" ht="17.100000000000001" customHeight="1"/>
    <row r="256" s="197" customFormat="1" ht="17.100000000000001" customHeight="1"/>
    <row r="257" s="197" customFormat="1" ht="17.100000000000001" customHeight="1"/>
    <row r="258" s="197" customFormat="1" ht="17.100000000000001" customHeight="1"/>
    <row r="259" s="197" customFormat="1" ht="17.100000000000001" customHeight="1"/>
    <row r="260" s="197" customFormat="1" ht="17.100000000000001" customHeight="1"/>
    <row r="261" s="197" customFormat="1" ht="17.100000000000001" customHeight="1"/>
    <row r="262" s="197" customFormat="1" ht="17.100000000000001" customHeight="1"/>
    <row r="263" s="197" customFormat="1" ht="17.100000000000001" customHeight="1"/>
    <row r="264" s="197" customFormat="1" ht="17.100000000000001" customHeight="1"/>
    <row r="265" s="197" customFormat="1" ht="17.100000000000001" customHeight="1"/>
    <row r="266" s="197" customFormat="1" ht="17.100000000000001" customHeight="1"/>
    <row r="267" s="197" customFormat="1" ht="17.100000000000001" customHeight="1"/>
    <row r="268" s="197" customFormat="1" ht="17.100000000000001" customHeight="1"/>
    <row r="269" s="197" customFormat="1" ht="17.100000000000001" customHeight="1"/>
    <row r="270" s="197" customFormat="1" ht="17.100000000000001" customHeight="1"/>
    <row r="271" s="197" customFormat="1" ht="17.100000000000001" customHeight="1"/>
    <row r="272" s="197" customFormat="1" ht="17.100000000000001" customHeight="1"/>
    <row r="273" s="197" customFormat="1" ht="17.100000000000001" customHeight="1"/>
    <row r="274" s="197" customFormat="1" ht="17.100000000000001" customHeight="1"/>
    <row r="275" s="197" customFormat="1" ht="17.100000000000001" customHeight="1"/>
    <row r="276" s="197" customFormat="1" ht="17.100000000000001" customHeight="1"/>
    <row r="277" s="197" customFormat="1" ht="17.100000000000001" customHeight="1"/>
    <row r="278" s="197" customFormat="1" ht="17.100000000000001" customHeight="1"/>
    <row r="279" s="197" customFormat="1" ht="17.100000000000001" customHeight="1"/>
    <row r="280" s="197" customFormat="1" ht="17.100000000000001" customHeight="1"/>
    <row r="281" s="197" customFormat="1" ht="17.100000000000001" customHeight="1"/>
    <row r="282" s="197" customFormat="1" ht="17.100000000000001" customHeight="1"/>
    <row r="283" s="197" customFormat="1" ht="17.100000000000001" customHeight="1"/>
    <row r="284" s="197" customFormat="1" ht="17.100000000000001" customHeight="1"/>
    <row r="285" s="197" customFormat="1" ht="17.100000000000001" customHeight="1"/>
    <row r="286" s="197" customFormat="1" ht="17.100000000000001" customHeight="1"/>
    <row r="287" s="197" customFormat="1" ht="17.100000000000001" customHeight="1"/>
    <row r="288" s="197" customFormat="1" ht="17.100000000000001" customHeight="1"/>
    <row r="289" s="197" customFormat="1" ht="17.100000000000001" customHeight="1"/>
    <row r="290" s="197" customFormat="1" ht="17.100000000000001" customHeight="1"/>
    <row r="291" s="197" customFormat="1" ht="17.100000000000001" customHeight="1"/>
    <row r="292" s="197" customFormat="1" ht="17.100000000000001" customHeight="1"/>
    <row r="293" s="197" customFormat="1" ht="17.100000000000001" customHeight="1"/>
    <row r="294" s="197" customFormat="1" ht="17.100000000000001" customHeight="1"/>
    <row r="295" s="197" customFormat="1" ht="17.100000000000001" customHeight="1"/>
    <row r="296" s="197" customFormat="1" ht="17.100000000000001" customHeight="1"/>
    <row r="297" s="197" customFormat="1" ht="17.100000000000001" customHeight="1"/>
    <row r="298" s="197" customFormat="1" ht="17.100000000000001" customHeight="1"/>
    <row r="299" s="197" customFormat="1" ht="17.100000000000001" customHeight="1"/>
    <row r="300" s="197" customFormat="1" ht="17.100000000000001" customHeight="1"/>
    <row r="301" s="197" customFormat="1" ht="17.100000000000001" customHeight="1"/>
    <row r="302" s="197" customFormat="1" ht="17.100000000000001" customHeight="1"/>
    <row r="303" s="197" customFormat="1" ht="17.100000000000001" customHeight="1"/>
    <row r="304" s="197" customFormat="1" ht="17.100000000000001" customHeight="1"/>
    <row r="305" s="197" customFormat="1" ht="17.100000000000001" customHeight="1"/>
    <row r="306" s="197" customFormat="1" ht="17.100000000000001" customHeight="1"/>
    <row r="307" s="197" customFormat="1" ht="17.100000000000001" customHeight="1"/>
    <row r="308" s="197" customFormat="1" ht="17.100000000000001" customHeight="1"/>
    <row r="309" s="197" customFormat="1" ht="17.100000000000001" customHeight="1"/>
    <row r="310" s="197" customFormat="1" ht="17.100000000000001" customHeight="1"/>
    <row r="311" s="197" customFormat="1" ht="17.100000000000001" customHeight="1"/>
    <row r="312" s="197" customFormat="1" ht="17.100000000000001" customHeight="1"/>
    <row r="313" s="197" customFormat="1" ht="17.100000000000001" customHeight="1"/>
    <row r="314" s="197" customFormat="1" ht="17.100000000000001" customHeight="1"/>
    <row r="315" s="197" customFormat="1" ht="17.100000000000001" customHeight="1"/>
    <row r="316" s="197" customFormat="1" ht="17.100000000000001" customHeight="1"/>
    <row r="317" s="197" customFormat="1" ht="17.100000000000001" customHeight="1"/>
    <row r="318" s="197" customFormat="1" ht="17.100000000000001" customHeight="1"/>
    <row r="319" s="197" customFormat="1" ht="17.100000000000001" customHeight="1"/>
    <row r="320" s="197" customFormat="1" ht="17.100000000000001" customHeight="1"/>
    <row r="321" ht="17.100000000000001" customHeight="1"/>
    <row r="322" ht="17.100000000000001" customHeight="1"/>
    <row r="323" ht="17.100000000000001" customHeight="1"/>
    <row r="324" ht="17.100000000000001" customHeight="1"/>
    <row r="325" ht="17.100000000000001" customHeight="1"/>
    <row r="326" ht="17.100000000000001" customHeight="1"/>
    <row r="327" ht="17.100000000000001" customHeight="1"/>
  </sheetData>
  <mergeCells count="1">
    <mergeCell ref="A1:E2"/>
  </mergeCells>
  <phoneticPr fontId="7" type="noConversion"/>
  <printOptions horizontalCentered="1" verticalCentered="1"/>
  <pageMargins left="0.19685039370078741" right="0.19685039370078741" top="0.59055118110236227" bottom="0.19685039370078741" header="0.19685039370078741" footer="0.19685039370078741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view="pageBreakPreview" zoomScale="115" zoomScaleNormal="100" zoomScaleSheetLayoutView="115" workbookViewId="0">
      <selection activeCell="C30" sqref="C30"/>
    </sheetView>
  </sheetViews>
  <sheetFormatPr defaultRowHeight="16.5"/>
  <cols>
    <col min="1" max="1" width="7" style="1151" customWidth="1"/>
    <col min="2" max="2" width="3" style="1151" customWidth="1"/>
    <col min="3" max="3" width="5.77734375" style="1151" customWidth="1"/>
    <col min="4" max="4" width="13.33203125" style="1151" customWidth="1"/>
    <col min="5" max="5" width="13.6640625" style="1151" bestFit="1" customWidth="1"/>
    <col min="6" max="6" width="5.109375" style="1151" bestFit="1" customWidth="1"/>
    <col min="7" max="7" width="6.44140625" style="1151" bestFit="1" customWidth="1"/>
    <col min="8" max="8" width="3.44140625" style="1151" customWidth="1"/>
    <col min="9" max="9" width="4.5546875" style="1151" customWidth="1"/>
    <col min="10" max="10" width="17.6640625" style="1151" bestFit="1" customWidth="1"/>
    <col min="11" max="11" width="11.6640625" style="1151" bestFit="1" customWidth="1"/>
    <col min="12" max="12" width="5.109375" style="1151" bestFit="1" customWidth="1"/>
    <col min="13" max="13" width="6.44140625" style="1151" bestFit="1" customWidth="1"/>
    <col min="14" max="14" width="10.77734375" style="1119" customWidth="1"/>
    <col min="15" max="15" width="6.33203125" style="1119" bestFit="1" customWidth="1"/>
    <col min="16" max="16" width="7.5546875" style="1119" customWidth="1"/>
    <col min="17" max="17" width="12.33203125" style="1119" bestFit="1" customWidth="1"/>
    <col min="18" max="18" width="4.88671875" style="1119" bestFit="1" customWidth="1"/>
    <col min="19" max="19" width="7.33203125" style="1119" bestFit="1" customWidth="1"/>
    <col min="20" max="256" width="8.88671875" style="1119"/>
    <col min="257" max="257" width="7" style="1119" customWidth="1"/>
    <col min="258" max="258" width="3" style="1119" customWidth="1"/>
    <col min="259" max="259" width="5.77734375" style="1119" customWidth="1"/>
    <col min="260" max="260" width="13.33203125" style="1119" customWidth="1"/>
    <col min="261" max="261" width="13.6640625" style="1119" bestFit="1" customWidth="1"/>
    <col min="262" max="262" width="5.109375" style="1119" bestFit="1" customWidth="1"/>
    <col min="263" max="263" width="6.44140625" style="1119" bestFit="1" customWidth="1"/>
    <col min="264" max="264" width="3.44140625" style="1119" customWidth="1"/>
    <col min="265" max="265" width="4.5546875" style="1119" customWidth="1"/>
    <col min="266" max="266" width="17.6640625" style="1119" bestFit="1" customWidth="1"/>
    <col min="267" max="267" width="11.6640625" style="1119" bestFit="1" customWidth="1"/>
    <col min="268" max="268" width="5.109375" style="1119" bestFit="1" customWidth="1"/>
    <col min="269" max="269" width="6.44140625" style="1119" bestFit="1" customWidth="1"/>
    <col min="270" max="270" width="10.77734375" style="1119" customWidth="1"/>
    <col min="271" max="271" width="6.33203125" style="1119" bestFit="1" customWidth="1"/>
    <col min="272" max="272" width="12.44140625" style="1119" bestFit="1" customWidth="1"/>
    <col min="273" max="273" width="12.33203125" style="1119" bestFit="1" customWidth="1"/>
    <col min="274" max="274" width="4.88671875" style="1119" bestFit="1" customWidth="1"/>
    <col min="275" max="275" width="7.33203125" style="1119" bestFit="1" customWidth="1"/>
    <col min="276" max="512" width="8.88671875" style="1119"/>
    <col min="513" max="513" width="7" style="1119" customWidth="1"/>
    <col min="514" max="514" width="3" style="1119" customWidth="1"/>
    <col min="515" max="515" width="5.77734375" style="1119" customWidth="1"/>
    <col min="516" max="516" width="13.33203125" style="1119" customWidth="1"/>
    <col min="517" max="517" width="13.6640625" style="1119" bestFit="1" customWidth="1"/>
    <col min="518" max="518" width="5.109375" style="1119" bestFit="1" customWidth="1"/>
    <col min="519" max="519" width="6.44140625" style="1119" bestFit="1" customWidth="1"/>
    <col min="520" max="520" width="3.44140625" style="1119" customWidth="1"/>
    <col min="521" max="521" width="4.5546875" style="1119" customWidth="1"/>
    <col min="522" max="522" width="17.6640625" style="1119" bestFit="1" customWidth="1"/>
    <col min="523" max="523" width="11.6640625" style="1119" bestFit="1" customWidth="1"/>
    <col min="524" max="524" width="5.109375" style="1119" bestFit="1" customWidth="1"/>
    <col min="525" max="525" width="6.44140625" style="1119" bestFit="1" customWidth="1"/>
    <col min="526" max="526" width="10.77734375" style="1119" customWidth="1"/>
    <col min="527" max="527" width="6.33203125" style="1119" bestFit="1" customWidth="1"/>
    <col min="528" max="528" width="12.44140625" style="1119" bestFit="1" customWidth="1"/>
    <col min="529" max="529" width="12.33203125" style="1119" bestFit="1" customWidth="1"/>
    <col min="530" max="530" width="4.88671875" style="1119" bestFit="1" customWidth="1"/>
    <col min="531" max="531" width="7.33203125" style="1119" bestFit="1" customWidth="1"/>
    <col min="532" max="768" width="8.88671875" style="1119"/>
    <col min="769" max="769" width="7" style="1119" customWidth="1"/>
    <col min="770" max="770" width="3" style="1119" customWidth="1"/>
    <col min="771" max="771" width="5.77734375" style="1119" customWidth="1"/>
    <col min="772" max="772" width="13.33203125" style="1119" customWidth="1"/>
    <col min="773" max="773" width="13.6640625" style="1119" bestFit="1" customWidth="1"/>
    <col min="774" max="774" width="5.109375" style="1119" bestFit="1" customWidth="1"/>
    <col min="775" max="775" width="6.44140625" style="1119" bestFit="1" customWidth="1"/>
    <col min="776" max="776" width="3.44140625" style="1119" customWidth="1"/>
    <col min="777" max="777" width="4.5546875" style="1119" customWidth="1"/>
    <col min="778" max="778" width="17.6640625" style="1119" bestFit="1" customWidth="1"/>
    <col min="779" max="779" width="11.6640625" style="1119" bestFit="1" customWidth="1"/>
    <col min="780" max="780" width="5.109375" style="1119" bestFit="1" customWidth="1"/>
    <col min="781" max="781" width="6.44140625" style="1119" bestFit="1" customWidth="1"/>
    <col min="782" max="782" width="10.77734375" style="1119" customWidth="1"/>
    <col min="783" max="783" width="6.33203125" style="1119" bestFit="1" customWidth="1"/>
    <col min="784" max="784" width="12.44140625" style="1119" bestFit="1" customWidth="1"/>
    <col min="785" max="785" width="12.33203125" style="1119" bestFit="1" customWidth="1"/>
    <col min="786" max="786" width="4.88671875" style="1119" bestFit="1" customWidth="1"/>
    <col min="787" max="787" width="7.33203125" style="1119" bestFit="1" customWidth="1"/>
    <col min="788" max="1024" width="8.88671875" style="1119"/>
    <col min="1025" max="1025" width="7" style="1119" customWidth="1"/>
    <col min="1026" max="1026" width="3" style="1119" customWidth="1"/>
    <col min="1027" max="1027" width="5.77734375" style="1119" customWidth="1"/>
    <col min="1028" max="1028" width="13.33203125" style="1119" customWidth="1"/>
    <col min="1029" max="1029" width="13.6640625" style="1119" bestFit="1" customWidth="1"/>
    <col min="1030" max="1030" width="5.109375" style="1119" bestFit="1" customWidth="1"/>
    <col min="1031" max="1031" width="6.44140625" style="1119" bestFit="1" customWidth="1"/>
    <col min="1032" max="1032" width="3.44140625" style="1119" customWidth="1"/>
    <col min="1033" max="1033" width="4.5546875" style="1119" customWidth="1"/>
    <col min="1034" max="1034" width="17.6640625" style="1119" bestFit="1" customWidth="1"/>
    <col min="1035" max="1035" width="11.6640625" style="1119" bestFit="1" customWidth="1"/>
    <col min="1036" max="1036" width="5.109375" style="1119" bestFit="1" customWidth="1"/>
    <col min="1037" max="1037" width="6.44140625" style="1119" bestFit="1" customWidth="1"/>
    <col min="1038" max="1038" width="10.77734375" style="1119" customWidth="1"/>
    <col min="1039" max="1039" width="6.33203125" style="1119" bestFit="1" customWidth="1"/>
    <col min="1040" max="1040" width="12.44140625" style="1119" bestFit="1" customWidth="1"/>
    <col min="1041" max="1041" width="12.33203125" style="1119" bestFit="1" customWidth="1"/>
    <col min="1042" max="1042" width="4.88671875" style="1119" bestFit="1" customWidth="1"/>
    <col min="1043" max="1043" width="7.33203125" style="1119" bestFit="1" customWidth="1"/>
    <col min="1044" max="1280" width="8.88671875" style="1119"/>
    <col min="1281" max="1281" width="7" style="1119" customWidth="1"/>
    <col min="1282" max="1282" width="3" style="1119" customWidth="1"/>
    <col min="1283" max="1283" width="5.77734375" style="1119" customWidth="1"/>
    <col min="1284" max="1284" width="13.33203125" style="1119" customWidth="1"/>
    <col min="1285" max="1285" width="13.6640625" style="1119" bestFit="1" customWidth="1"/>
    <col min="1286" max="1286" width="5.109375" style="1119" bestFit="1" customWidth="1"/>
    <col min="1287" max="1287" width="6.44140625" style="1119" bestFit="1" customWidth="1"/>
    <col min="1288" max="1288" width="3.44140625" style="1119" customWidth="1"/>
    <col min="1289" max="1289" width="4.5546875" style="1119" customWidth="1"/>
    <col min="1290" max="1290" width="17.6640625" style="1119" bestFit="1" customWidth="1"/>
    <col min="1291" max="1291" width="11.6640625" style="1119" bestFit="1" customWidth="1"/>
    <col min="1292" max="1292" width="5.109375" style="1119" bestFit="1" customWidth="1"/>
    <col min="1293" max="1293" width="6.44140625" style="1119" bestFit="1" customWidth="1"/>
    <col min="1294" max="1294" width="10.77734375" style="1119" customWidth="1"/>
    <col min="1295" max="1295" width="6.33203125" style="1119" bestFit="1" customWidth="1"/>
    <col min="1296" max="1296" width="12.44140625" style="1119" bestFit="1" customWidth="1"/>
    <col min="1297" max="1297" width="12.33203125" style="1119" bestFit="1" customWidth="1"/>
    <col min="1298" max="1298" width="4.88671875" style="1119" bestFit="1" customWidth="1"/>
    <col min="1299" max="1299" width="7.33203125" style="1119" bestFit="1" customWidth="1"/>
    <col min="1300" max="1536" width="8.88671875" style="1119"/>
    <col min="1537" max="1537" width="7" style="1119" customWidth="1"/>
    <col min="1538" max="1538" width="3" style="1119" customWidth="1"/>
    <col min="1539" max="1539" width="5.77734375" style="1119" customWidth="1"/>
    <col min="1540" max="1540" width="13.33203125" style="1119" customWidth="1"/>
    <col min="1541" max="1541" width="13.6640625" style="1119" bestFit="1" customWidth="1"/>
    <col min="1542" max="1542" width="5.109375" style="1119" bestFit="1" customWidth="1"/>
    <col min="1543" max="1543" width="6.44140625" style="1119" bestFit="1" customWidth="1"/>
    <col min="1544" max="1544" width="3.44140625" style="1119" customWidth="1"/>
    <col min="1545" max="1545" width="4.5546875" style="1119" customWidth="1"/>
    <col min="1546" max="1546" width="17.6640625" style="1119" bestFit="1" customWidth="1"/>
    <col min="1547" max="1547" width="11.6640625" style="1119" bestFit="1" customWidth="1"/>
    <col min="1548" max="1548" width="5.109375" style="1119" bestFit="1" customWidth="1"/>
    <col min="1549" max="1549" width="6.44140625" style="1119" bestFit="1" customWidth="1"/>
    <col min="1550" max="1550" width="10.77734375" style="1119" customWidth="1"/>
    <col min="1551" max="1551" width="6.33203125" style="1119" bestFit="1" customWidth="1"/>
    <col min="1552" max="1552" width="12.44140625" style="1119" bestFit="1" customWidth="1"/>
    <col min="1553" max="1553" width="12.33203125" style="1119" bestFit="1" customWidth="1"/>
    <col min="1554" max="1554" width="4.88671875" style="1119" bestFit="1" customWidth="1"/>
    <col min="1555" max="1555" width="7.33203125" style="1119" bestFit="1" customWidth="1"/>
    <col min="1556" max="1792" width="8.88671875" style="1119"/>
    <col min="1793" max="1793" width="7" style="1119" customWidth="1"/>
    <col min="1794" max="1794" width="3" style="1119" customWidth="1"/>
    <col min="1795" max="1795" width="5.77734375" style="1119" customWidth="1"/>
    <col min="1796" max="1796" width="13.33203125" style="1119" customWidth="1"/>
    <col min="1797" max="1797" width="13.6640625" style="1119" bestFit="1" customWidth="1"/>
    <col min="1798" max="1798" width="5.109375" style="1119" bestFit="1" customWidth="1"/>
    <col min="1799" max="1799" width="6.44140625" style="1119" bestFit="1" customWidth="1"/>
    <col min="1800" max="1800" width="3.44140625" style="1119" customWidth="1"/>
    <col min="1801" max="1801" width="4.5546875" style="1119" customWidth="1"/>
    <col min="1802" max="1802" width="17.6640625" style="1119" bestFit="1" customWidth="1"/>
    <col min="1803" max="1803" width="11.6640625" style="1119" bestFit="1" customWidth="1"/>
    <col min="1804" max="1804" width="5.109375" style="1119" bestFit="1" customWidth="1"/>
    <col min="1805" max="1805" width="6.44140625" style="1119" bestFit="1" customWidth="1"/>
    <col min="1806" max="1806" width="10.77734375" style="1119" customWidth="1"/>
    <col min="1807" max="1807" width="6.33203125" style="1119" bestFit="1" customWidth="1"/>
    <col min="1808" max="1808" width="12.44140625" style="1119" bestFit="1" customWidth="1"/>
    <col min="1809" max="1809" width="12.33203125" style="1119" bestFit="1" customWidth="1"/>
    <col min="1810" max="1810" width="4.88671875" style="1119" bestFit="1" customWidth="1"/>
    <col min="1811" max="1811" width="7.33203125" style="1119" bestFit="1" customWidth="1"/>
    <col min="1812" max="2048" width="8.88671875" style="1119"/>
    <col min="2049" max="2049" width="7" style="1119" customWidth="1"/>
    <col min="2050" max="2050" width="3" style="1119" customWidth="1"/>
    <col min="2051" max="2051" width="5.77734375" style="1119" customWidth="1"/>
    <col min="2052" max="2052" width="13.33203125" style="1119" customWidth="1"/>
    <col min="2053" max="2053" width="13.6640625" style="1119" bestFit="1" customWidth="1"/>
    <col min="2054" max="2054" width="5.109375" style="1119" bestFit="1" customWidth="1"/>
    <col min="2055" max="2055" width="6.44140625" style="1119" bestFit="1" customWidth="1"/>
    <col min="2056" max="2056" width="3.44140625" style="1119" customWidth="1"/>
    <col min="2057" max="2057" width="4.5546875" style="1119" customWidth="1"/>
    <col min="2058" max="2058" width="17.6640625" style="1119" bestFit="1" customWidth="1"/>
    <col min="2059" max="2059" width="11.6640625" style="1119" bestFit="1" customWidth="1"/>
    <col min="2060" max="2060" width="5.109375" style="1119" bestFit="1" customWidth="1"/>
    <col min="2061" max="2061" width="6.44140625" style="1119" bestFit="1" customWidth="1"/>
    <col min="2062" max="2062" width="10.77734375" style="1119" customWidth="1"/>
    <col min="2063" max="2063" width="6.33203125" style="1119" bestFit="1" customWidth="1"/>
    <col min="2064" max="2064" width="12.44140625" style="1119" bestFit="1" customWidth="1"/>
    <col min="2065" max="2065" width="12.33203125" style="1119" bestFit="1" customWidth="1"/>
    <col min="2066" max="2066" width="4.88671875" style="1119" bestFit="1" customWidth="1"/>
    <col min="2067" max="2067" width="7.33203125" style="1119" bestFit="1" customWidth="1"/>
    <col min="2068" max="2304" width="8.88671875" style="1119"/>
    <col min="2305" max="2305" width="7" style="1119" customWidth="1"/>
    <col min="2306" max="2306" width="3" style="1119" customWidth="1"/>
    <col min="2307" max="2307" width="5.77734375" style="1119" customWidth="1"/>
    <col min="2308" max="2308" width="13.33203125" style="1119" customWidth="1"/>
    <col min="2309" max="2309" width="13.6640625" style="1119" bestFit="1" customWidth="1"/>
    <col min="2310" max="2310" width="5.109375" style="1119" bestFit="1" customWidth="1"/>
    <col min="2311" max="2311" width="6.44140625" style="1119" bestFit="1" customWidth="1"/>
    <col min="2312" max="2312" width="3.44140625" style="1119" customWidth="1"/>
    <col min="2313" max="2313" width="4.5546875" style="1119" customWidth="1"/>
    <col min="2314" max="2314" width="17.6640625" style="1119" bestFit="1" customWidth="1"/>
    <col min="2315" max="2315" width="11.6640625" style="1119" bestFit="1" customWidth="1"/>
    <col min="2316" max="2316" width="5.109375" style="1119" bestFit="1" customWidth="1"/>
    <col min="2317" max="2317" width="6.44140625" style="1119" bestFit="1" customWidth="1"/>
    <col min="2318" max="2318" width="10.77734375" style="1119" customWidth="1"/>
    <col min="2319" max="2319" width="6.33203125" style="1119" bestFit="1" customWidth="1"/>
    <col min="2320" max="2320" width="12.44140625" style="1119" bestFit="1" customWidth="1"/>
    <col min="2321" max="2321" width="12.33203125" style="1119" bestFit="1" customWidth="1"/>
    <col min="2322" max="2322" width="4.88671875" style="1119" bestFit="1" customWidth="1"/>
    <col min="2323" max="2323" width="7.33203125" style="1119" bestFit="1" customWidth="1"/>
    <col min="2324" max="2560" width="8.88671875" style="1119"/>
    <col min="2561" max="2561" width="7" style="1119" customWidth="1"/>
    <col min="2562" max="2562" width="3" style="1119" customWidth="1"/>
    <col min="2563" max="2563" width="5.77734375" style="1119" customWidth="1"/>
    <col min="2564" max="2564" width="13.33203125" style="1119" customWidth="1"/>
    <col min="2565" max="2565" width="13.6640625" style="1119" bestFit="1" customWidth="1"/>
    <col min="2566" max="2566" width="5.109375" style="1119" bestFit="1" customWidth="1"/>
    <col min="2567" max="2567" width="6.44140625" style="1119" bestFit="1" customWidth="1"/>
    <col min="2568" max="2568" width="3.44140625" style="1119" customWidth="1"/>
    <col min="2569" max="2569" width="4.5546875" style="1119" customWidth="1"/>
    <col min="2570" max="2570" width="17.6640625" style="1119" bestFit="1" customWidth="1"/>
    <col min="2571" max="2571" width="11.6640625" style="1119" bestFit="1" customWidth="1"/>
    <col min="2572" max="2572" width="5.109375" style="1119" bestFit="1" customWidth="1"/>
    <col min="2573" max="2573" width="6.44140625" style="1119" bestFit="1" customWidth="1"/>
    <col min="2574" max="2574" width="10.77734375" style="1119" customWidth="1"/>
    <col min="2575" max="2575" width="6.33203125" style="1119" bestFit="1" customWidth="1"/>
    <col min="2576" max="2576" width="12.44140625" style="1119" bestFit="1" customWidth="1"/>
    <col min="2577" max="2577" width="12.33203125" style="1119" bestFit="1" customWidth="1"/>
    <col min="2578" max="2578" width="4.88671875" style="1119" bestFit="1" customWidth="1"/>
    <col min="2579" max="2579" width="7.33203125" style="1119" bestFit="1" customWidth="1"/>
    <col min="2580" max="2816" width="8.88671875" style="1119"/>
    <col min="2817" max="2817" width="7" style="1119" customWidth="1"/>
    <col min="2818" max="2818" width="3" style="1119" customWidth="1"/>
    <col min="2819" max="2819" width="5.77734375" style="1119" customWidth="1"/>
    <col min="2820" max="2820" width="13.33203125" style="1119" customWidth="1"/>
    <col min="2821" max="2821" width="13.6640625" style="1119" bestFit="1" customWidth="1"/>
    <col min="2822" max="2822" width="5.109375" style="1119" bestFit="1" customWidth="1"/>
    <col min="2823" max="2823" width="6.44140625" style="1119" bestFit="1" customWidth="1"/>
    <col min="2824" max="2824" width="3.44140625" style="1119" customWidth="1"/>
    <col min="2825" max="2825" width="4.5546875" style="1119" customWidth="1"/>
    <col min="2826" max="2826" width="17.6640625" style="1119" bestFit="1" customWidth="1"/>
    <col min="2827" max="2827" width="11.6640625" style="1119" bestFit="1" customWidth="1"/>
    <col min="2828" max="2828" width="5.109375" style="1119" bestFit="1" customWidth="1"/>
    <col min="2829" max="2829" width="6.44140625" style="1119" bestFit="1" customWidth="1"/>
    <col min="2830" max="2830" width="10.77734375" style="1119" customWidth="1"/>
    <col min="2831" max="2831" width="6.33203125" style="1119" bestFit="1" customWidth="1"/>
    <col min="2832" max="2832" width="12.44140625" style="1119" bestFit="1" customWidth="1"/>
    <col min="2833" max="2833" width="12.33203125" style="1119" bestFit="1" customWidth="1"/>
    <col min="2834" max="2834" width="4.88671875" style="1119" bestFit="1" customWidth="1"/>
    <col min="2835" max="2835" width="7.33203125" style="1119" bestFit="1" customWidth="1"/>
    <col min="2836" max="3072" width="8.88671875" style="1119"/>
    <col min="3073" max="3073" width="7" style="1119" customWidth="1"/>
    <col min="3074" max="3074" width="3" style="1119" customWidth="1"/>
    <col min="3075" max="3075" width="5.77734375" style="1119" customWidth="1"/>
    <col min="3076" max="3076" width="13.33203125" style="1119" customWidth="1"/>
    <col min="3077" max="3077" width="13.6640625" style="1119" bestFit="1" customWidth="1"/>
    <col min="3078" max="3078" width="5.109375" style="1119" bestFit="1" customWidth="1"/>
    <col min="3079" max="3079" width="6.44140625" style="1119" bestFit="1" customWidth="1"/>
    <col min="3080" max="3080" width="3.44140625" style="1119" customWidth="1"/>
    <col min="3081" max="3081" width="4.5546875" style="1119" customWidth="1"/>
    <col min="3082" max="3082" width="17.6640625" style="1119" bestFit="1" customWidth="1"/>
    <col min="3083" max="3083" width="11.6640625" style="1119" bestFit="1" customWidth="1"/>
    <col min="3084" max="3084" width="5.109375" style="1119" bestFit="1" customWidth="1"/>
    <col min="3085" max="3085" width="6.44140625" style="1119" bestFit="1" customWidth="1"/>
    <col min="3086" max="3086" width="10.77734375" style="1119" customWidth="1"/>
    <col min="3087" max="3087" width="6.33203125" style="1119" bestFit="1" customWidth="1"/>
    <col min="3088" max="3088" width="12.44140625" style="1119" bestFit="1" customWidth="1"/>
    <col min="3089" max="3089" width="12.33203125" style="1119" bestFit="1" customWidth="1"/>
    <col min="3090" max="3090" width="4.88671875" style="1119" bestFit="1" customWidth="1"/>
    <col min="3091" max="3091" width="7.33203125" style="1119" bestFit="1" customWidth="1"/>
    <col min="3092" max="3328" width="8.88671875" style="1119"/>
    <col min="3329" max="3329" width="7" style="1119" customWidth="1"/>
    <col min="3330" max="3330" width="3" style="1119" customWidth="1"/>
    <col min="3331" max="3331" width="5.77734375" style="1119" customWidth="1"/>
    <col min="3332" max="3332" width="13.33203125" style="1119" customWidth="1"/>
    <col min="3333" max="3333" width="13.6640625" style="1119" bestFit="1" customWidth="1"/>
    <col min="3334" max="3334" width="5.109375" style="1119" bestFit="1" customWidth="1"/>
    <col min="3335" max="3335" width="6.44140625" style="1119" bestFit="1" customWidth="1"/>
    <col min="3336" max="3336" width="3.44140625" style="1119" customWidth="1"/>
    <col min="3337" max="3337" width="4.5546875" style="1119" customWidth="1"/>
    <col min="3338" max="3338" width="17.6640625" style="1119" bestFit="1" customWidth="1"/>
    <col min="3339" max="3339" width="11.6640625" style="1119" bestFit="1" customWidth="1"/>
    <col min="3340" max="3340" width="5.109375" style="1119" bestFit="1" customWidth="1"/>
    <col min="3341" max="3341" width="6.44140625" style="1119" bestFit="1" customWidth="1"/>
    <col min="3342" max="3342" width="10.77734375" style="1119" customWidth="1"/>
    <col min="3343" max="3343" width="6.33203125" style="1119" bestFit="1" customWidth="1"/>
    <col min="3344" max="3344" width="12.44140625" style="1119" bestFit="1" customWidth="1"/>
    <col min="3345" max="3345" width="12.33203125" style="1119" bestFit="1" customWidth="1"/>
    <col min="3346" max="3346" width="4.88671875" style="1119" bestFit="1" customWidth="1"/>
    <col min="3347" max="3347" width="7.33203125" style="1119" bestFit="1" customWidth="1"/>
    <col min="3348" max="3584" width="8.88671875" style="1119"/>
    <col min="3585" max="3585" width="7" style="1119" customWidth="1"/>
    <col min="3586" max="3586" width="3" style="1119" customWidth="1"/>
    <col min="3587" max="3587" width="5.77734375" style="1119" customWidth="1"/>
    <col min="3588" max="3588" width="13.33203125" style="1119" customWidth="1"/>
    <col min="3589" max="3589" width="13.6640625" style="1119" bestFit="1" customWidth="1"/>
    <col min="3590" max="3590" width="5.109375" style="1119" bestFit="1" customWidth="1"/>
    <col min="3591" max="3591" width="6.44140625" style="1119" bestFit="1" customWidth="1"/>
    <col min="3592" max="3592" width="3.44140625" style="1119" customWidth="1"/>
    <col min="3593" max="3593" width="4.5546875" style="1119" customWidth="1"/>
    <col min="3594" max="3594" width="17.6640625" style="1119" bestFit="1" customWidth="1"/>
    <col min="3595" max="3595" width="11.6640625" style="1119" bestFit="1" customWidth="1"/>
    <col min="3596" max="3596" width="5.109375" style="1119" bestFit="1" customWidth="1"/>
    <col min="3597" max="3597" width="6.44140625" style="1119" bestFit="1" customWidth="1"/>
    <col min="3598" max="3598" width="10.77734375" style="1119" customWidth="1"/>
    <col min="3599" max="3599" width="6.33203125" style="1119" bestFit="1" customWidth="1"/>
    <col min="3600" max="3600" width="12.44140625" style="1119" bestFit="1" customWidth="1"/>
    <col min="3601" max="3601" width="12.33203125" style="1119" bestFit="1" customWidth="1"/>
    <col min="3602" max="3602" width="4.88671875" style="1119" bestFit="1" customWidth="1"/>
    <col min="3603" max="3603" width="7.33203125" style="1119" bestFit="1" customWidth="1"/>
    <col min="3604" max="3840" width="8.88671875" style="1119"/>
    <col min="3841" max="3841" width="7" style="1119" customWidth="1"/>
    <col min="3842" max="3842" width="3" style="1119" customWidth="1"/>
    <col min="3843" max="3843" width="5.77734375" style="1119" customWidth="1"/>
    <col min="3844" max="3844" width="13.33203125" style="1119" customWidth="1"/>
    <col min="3845" max="3845" width="13.6640625" style="1119" bestFit="1" customWidth="1"/>
    <col min="3846" max="3846" width="5.109375" style="1119" bestFit="1" customWidth="1"/>
    <col min="3847" max="3847" width="6.44140625" style="1119" bestFit="1" customWidth="1"/>
    <col min="3848" max="3848" width="3.44140625" style="1119" customWidth="1"/>
    <col min="3849" max="3849" width="4.5546875" style="1119" customWidth="1"/>
    <col min="3850" max="3850" width="17.6640625" style="1119" bestFit="1" customWidth="1"/>
    <col min="3851" max="3851" width="11.6640625" style="1119" bestFit="1" customWidth="1"/>
    <col min="3852" max="3852" width="5.109375" style="1119" bestFit="1" customWidth="1"/>
    <col min="3853" max="3853" width="6.44140625" style="1119" bestFit="1" customWidth="1"/>
    <col min="3854" max="3854" width="10.77734375" style="1119" customWidth="1"/>
    <col min="3855" max="3855" width="6.33203125" style="1119" bestFit="1" customWidth="1"/>
    <col min="3856" max="3856" width="12.44140625" style="1119" bestFit="1" customWidth="1"/>
    <col min="3857" max="3857" width="12.33203125" style="1119" bestFit="1" customWidth="1"/>
    <col min="3858" max="3858" width="4.88671875" style="1119" bestFit="1" customWidth="1"/>
    <col min="3859" max="3859" width="7.33203125" style="1119" bestFit="1" customWidth="1"/>
    <col min="3860" max="4096" width="8.88671875" style="1119"/>
    <col min="4097" max="4097" width="7" style="1119" customWidth="1"/>
    <col min="4098" max="4098" width="3" style="1119" customWidth="1"/>
    <col min="4099" max="4099" width="5.77734375" style="1119" customWidth="1"/>
    <col min="4100" max="4100" width="13.33203125" style="1119" customWidth="1"/>
    <col min="4101" max="4101" width="13.6640625" style="1119" bestFit="1" customWidth="1"/>
    <col min="4102" max="4102" width="5.109375" style="1119" bestFit="1" customWidth="1"/>
    <col min="4103" max="4103" width="6.44140625" style="1119" bestFit="1" customWidth="1"/>
    <col min="4104" max="4104" width="3.44140625" style="1119" customWidth="1"/>
    <col min="4105" max="4105" width="4.5546875" style="1119" customWidth="1"/>
    <col min="4106" max="4106" width="17.6640625" style="1119" bestFit="1" customWidth="1"/>
    <col min="4107" max="4107" width="11.6640625" style="1119" bestFit="1" customWidth="1"/>
    <col min="4108" max="4108" width="5.109375" style="1119" bestFit="1" customWidth="1"/>
    <col min="4109" max="4109" width="6.44140625" style="1119" bestFit="1" customWidth="1"/>
    <col min="4110" max="4110" width="10.77734375" style="1119" customWidth="1"/>
    <col min="4111" max="4111" width="6.33203125" style="1119" bestFit="1" customWidth="1"/>
    <col min="4112" max="4112" width="12.44140625" style="1119" bestFit="1" customWidth="1"/>
    <col min="4113" max="4113" width="12.33203125" style="1119" bestFit="1" customWidth="1"/>
    <col min="4114" max="4114" width="4.88671875" style="1119" bestFit="1" customWidth="1"/>
    <col min="4115" max="4115" width="7.33203125" style="1119" bestFit="1" customWidth="1"/>
    <col min="4116" max="4352" width="8.88671875" style="1119"/>
    <col min="4353" max="4353" width="7" style="1119" customWidth="1"/>
    <col min="4354" max="4354" width="3" style="1119" customWidth="1"/>
    <col min="4355" max="4355" width="5.77734375" style="1119" customWidth="1"/>
    <col min="4356" max="4356" width="13.33203125" style="1119" customWidth="1"/>
    <col min="4357" max="4357" width="13.6640625" style="1119" bestFit="1" customWidth="1"/>
    <col min="4358" max="4358" width="5.109375" style="1119" bestFit="1" customWidth="1"/>
    <col min="4359" max="4359" width="6.44140625" style="1119" bestFit="1" customWidth="1"/>
    <col min="4360" max="4360" width="3.44140625" style="1119" customWidth="1"/>
    <col min="4361" max="4361" width="4.5546875" style="1119" customWidth="1"/>
    <col min="4362" max="4362" width="17.6640625" style="1119" bestFit="1" customWidth="1"/>
    <col min="4363" max="4363" width="11.6640625" style="1119" bestFit="1" customWidth="1"/>
    <col min="4364" max="4364" width="5.109375" style="1119" bestFit="1" customWidth="1"/>
    <col min="4365" max="4365" width="6.44140625" style="1119" bestFit="1" customWidth="1"/>
    <col min="4366" max="4366" width="10.77734375" style="1119" customWidth="1"/>
    <col min="4367" max="4367" width="6.33203125" style="1119" bestFit="1" customWidth="1"/>
    <col min="4368" max="4368" width="12.44140625" style="1119" bestFit="1" customWidth="1"/>
    <col min="4369" max="4369" width="12.33203125" style="1119" bestFit="1" customWidth="1"/>
    <col min="4370" max="4370" width="4.88671875" style="1119" bestFit="1" customWidth="1"/>
    <col min="4371" max="4371" width="7.33203125" style="1119" bestFit="1" customWidth="1"/>
    <col min="4372" max="4608" width="8.88671875" style="1119"/>
    <col min="4609" max="4609" width="7" style="1119" customWidth="1"/>
    <col min="4610" max="4610" width="3" style="1119" customWidth="1"/>
    <col min="4611" max="4611" width="5.77734375" style="1119" customWidth="1"/>
    <col min="4612" max="4612" width="13.33203125" style="1119" customWidth="1"/>
    <col min="4613" max="4613" width="13.6640625" style="1119" bestFit="1" customWidth="1"/>
    <col min="4614" max="4614" width="5.109375" style="1119" bestFit="1" customWidth="1"/>
    <col min="4615" max="4615" width="6.44140625" style="1119" bestFit="1" customWidth="1"/>
    <col min="4616" max="4616" width="3.44140625" style="1119" customWidth="1"/>
    <col min="4617" max="4617" width="4.5546875" style="1119" customWidth="1"/>
    <col min="4618" max="4618" width="17.6640625" style="1119" bestFit="1" customWidth="1"/>
    <col min="4619" max="4619" width="11.6640625" style="1119" bestFit="1" customWidth="1"/>
    <col min="4620" max="4620" width="5.109375" style="1119" bestFit="1" customWidth="1"/>
    <col min="4621" max="4621" width="6.44140625" style="1119" bestFit="1" customWidth="1"/>
    <col min="4622" max="4622" width="10.77734375" style="1119" customWidth="1"/>
    <col min="4623" max="4623" width="6.33203125" style="1119" bestFit="1" customWidth="1"/>
    <col min="4624" max="4624" width="12.44140625" style="1119" bestFit="1" customWidth="1"/>
    <col min="4625" max="4625" width="12.33203125" style="1119" bestFit="1" customWidth="1"/>
    <col min="4626" max="4626" width="4.88671875" style="1119" bestFit="1" customWidth="1"/>
    <col min="4627" max="4627" width="7.33203125" style="1119" bestFit="1" customWidth="1"/>
    <col min="4628" max="4864" width="8.88671875" style="1119"/>
    <col min="4865" max="4865" width="7" style="1119" customWidth="1"/>
    <col min="4866" max="4866" width="3" style="1119" customWidth="1"/>
    <col min="4867" max="4867" width="5.77734375" style="1119" customWidth="1"/>
    <col min="4868" max="4868" width="13.33203125" style="1119" customWidth="1"/>
    <col min="4869" max="4869" width="13.6640625" style="1119" bestFit="1" customWidth="1"/>
    <col min="4870" max="4870" width="5.109375" style="1119" bestFit="1" customWidth="1"/>
    <col min="4871" max="4871" width="6.44140625" style="1119" bestFit="1" customWidth="1"/>
    <col min="4872" max="4872" width="3.44140625" style="1119" customWidth="1"/>
    <col min="4873" max="4873" width="4.5546875" style="1119" customWidth="1"/>
    <col min="4874" max="4874" width="17.6640625" style="1119" bestFit="1" customWidth="1"/>
    <col min="4875" max="4875" width="11.6640625" style="1119" bestFit="1" customWidth="1"/>
    <col min="4876" max="4876" width="5.109375" style="1119" bestFit="1" customWidth="1"/>
    <col min="4877" max="4877" width="6.44140625" style="1119" bestFit="1" customWidth="1"/>
    <col min="4878" max="4878" width="10.77734375" style="1119" customWidth="1"/>
    <col min="4879" max="4879" width="6.33203125" style="1119" bestFit="1" customWidth="1"/>
    <col min="4880" max="4880" width="12.44140625" style="1119" bestFit="1" customWidth="1"/>
    <col min="4881" max="4881" width="12.33203125" style="1119" bestFit="1" customWidth="1"/>
    <col min="4882" max="4882" width="4.88671875" style="1119" bestFit="1" customWidth="1"/>
    <col min="4883" max="4883" width="7.33203125" style="1119" bestFit="1" customWidth="1"/>
    <col min="4884" max="5120" width="8.88671875" style="1119"/>
    <col min="5121" max="5121" width="7" style="1119" customWidth="1"/>
    <col min="5122" max="5122" width="3" style="1119" customWidth="1"/>
    <col min="5123" max="5123" width="5.77734375" style="1119" customWidth="1"/>
    <col min="5124" max="5124" width="13.33203125" style="1119" customWidth="1"/>
    <col min="5125" max="5125" width="13.6640625" style="1119" bestFit="1" customWidth="1"/>
    <col min="5126" max="5126" width="5.109375" style="1119" bestFit="1" customWidth="1"/>
    <col min="5127" max="5127" width="6.44140625" style="1119" bestFit="1" customWidth="1"/>
    <col min="5128" max="5128" width="3.44140625" style="1119" customWidth="1"/>
    <col min="5129" max="5129" width="4.5546875" style="1119" customWidth="1"/>
    <col min="5130" max="5130" width="17.6640625" style="1119" bestFit="1" customWidth="1"/>
    <col min="5131" max="5131" width="11.6640625" style="1119" bestFit="1" customWidth="1"/>
    <col min="5132" max="5132" width="5.109375" style="1119" bestFit="1" customWidth="1"/>
    <col min="5133" max="5133" width="6.44140625" style="1119" bestFit="1" customWidth="1"/>
    <col min="5134" max="5134" width="10.77734375" style="1119" customWidth="1"/>
    <col min="5135" max="5135" width="6.33203125" style="1119" bestFit="1" customWidth="1"/>
    <col min="5136" max="5136" width="12.44140625" style="1119" bestFit="1" customWidth="1"/>
    <col min="5137" max="5137" width="12.33203125" style="1119" bestFit="1" customWidth="1"/>
    <col min="5138" max="5138" width="4.88671875" style="1119" bestFit="1" customWidth="1"/>
    <col min="5139" max="5139" width="7.33203125" style="1119" bestFit="1" customWidth="1"/>
    <col min="5140" max="5376" width="8.88671875" style="1119"/>
    <col min="5377" max="5377" width="7" style="1119" customWidth="1"/>
    <col min="5378" max="5378" width="3" style="1119" customWidth="1"/>
    <col min="5379" max="5379" width="5.77734375" style="1119" customWidth="1"/>
    <col min="5380" max="5380" width="13.33203125" style="1119" customWidth="1"/>
    <col min="5381" max="5381" width="13.6640625" style="1119" bestFit="1" customWidth="1"/>
    <col min="5382" max="5382" width="5.109375" style="1119" bestFit="1" customWidth="1"/>
    <col min="5383" max="5383" width="6.44140625" style="1119" bestFit="1" customWidth="1"/>
    <col min="5384" max="5384" width="3.44140625" style="1119" customWidth="1"/>
    <col min="5385" max="5385" width="4.5546875" style="1119" customWidth="1"/>
    <col min="5386" max="5386" width="17.6640625" style="1119" bestFit="1" customWidth="1"/>
    <col min="5387" max="5387" width="11.6640625" style="1119" bestFit="1" customWidth="1"/>
    <col min="5388" max="5388" width="5.109375" style="1119" bestFit="1" customWidth="1"/>
    <col min="5389" max="5389" width="6.44140625" style="1119" bestFit="1" customWidth="1"/>
    <col min="5390" max="5390" width="10.77734375" style="1119" customWidth="1"/>
    <col min="5391" max="5391" width="6.33203125" style="1119" bestFit="1" customWidth="1"/>
    <col min="5392" max="5392" width="12.44140625" style="1119" bestFit="1" customWidth="1"/>
    <col min="5393" max="5393" width="12.33203125" style="1119" bestFit="1" customWidth="1"/>
    <col min="5394" max="5394" width="4.88671875" style="1119" bestFit="1" customWidth="1"/>
    <col min="5395" max="5395" width="7.33203125" style="1119" bestFit="1" customWidth="1"/>
    <col min="5396" max="5632" width="8.88671875" style="1119"/>
    <col min="5633" max="5633" width="7" style="1119" customWidth="1"/>
    <col min="5634" max="5634" width="3" style="1119" customWidth="1"/>
    <col min="5635" max="5635" width="5.77734375" style="1119" customWidth="1"/>
    <col min="5636" max="5636" width="13.33203125" style="1119" customWidth="1"/>
    <col min="5637" max="5637" width="13.6640625" style="1119" bestFit="1" customWidth="1"/>
    <col min="5638" max="5638" width="5.109375" style="1119" bestFit="1" customWidth="1"/>
    <col min="5639" max="5639" width="6.44140625" style="1119" bestFit="1" customWidth="1"/>
    <col min="5640" max="5640" width="3.44140625" style="1119" customWidth="1"/>
    <col min="5641" max="5641" width="4.5546875" style="1119" customWidth="1"/>
    <col min="5642" max="5642" width="17.6640625" style="1119" bestFit="1" customWidth="1"/>
    <col min="5643" max="5643" width="11.6640625" style="1119" bestFit="1" customWidth="1"/>
    <col min="5644" max="5644" width="5.109375" style="1119" bestFit="1" customWidth="1"/>
    <col min="5645" max="5645" width="6.44140625" style="1119" bestFit="1" customWidth="1"/>
    <col min="5646" max="5646" width="10.77734375" style="1119" customWidth="1"/>
    <col min="5647" max="5647" width="6.33203125" style="1119" bestFit="1" customWidth="1"/>
    <col min="5648" max="5648" width="12.44140625" style="1119" bestFit="1" customWidth="1"/>
    <col min="5649" max="5649" width="12.33203125" style="1119" bestFit="1" customWidth="1"/>
    <col min="5650" max="5650" width="4.88671875" style="1119" bestFit="1" customWidth="1"/>
    <col min="5651" max="5651" width="7.33203125" style="1119" bestFit="1" customWidth="1"/>
    <col min="5652" max="5888" width="8.88671875" style="1119"/>
    <col min="5889" max="5889" width="7" style="1119" customWidth="1"/>
    <col min="5890" max="5890" width="3" style="1119" customWidth="1"/>
    <col min="5891" max="5891" width="5.77734375" style="1119" customWidth="1"/>
    <col min="5892" max="5892" width="13.33203125" style="1119" customWidth="1"/>
    <col min="5893" max="5893" width="13.6640625" style="1119" bestFit="1" customWidth="1"/>
    <col min="5894" max="5894" width="5.109375" style="1119" bestFit="1" customWidth="1"/>
    <col min="5895" max="5895" width="6.44140625" style="1119" bestFit="1" customWidth="1"/>
    <col min="5896" max="5896" width="3.44140625" style="1119" customWidth="1"/>
    <col min="5897" max="5897" width="4.5546875" style="1119" customWidth="1"/>
    <col min="5898" max="5898" width="17.6640625" style="1119" bestFit="1" customWidth="1"/>
    <col min="5899" max="5899" width="11.6640625" style="1119" bestFit="1" customWidth="1"/>
    <col min="5900" max="5900" width="5.109375" style="1119" bestFit="1" customWidth="1"/>
    <col min="5901" max="5901" width="6.44140625" style="1119" bestFit="1" customWidth="1"/>
    <col min="5902" max="5902" width="10.77734375" style="1119" customWidth="1"/>
    <col min="5903" max="5903" width="6.33203125" style="1119" bestFit="1" customWidth="1"/>
    <col min="5904" max="5904" width="12.44140625" style="1119" bestFit="1" customWidth="1"/>
    <col min="5905" max="5905" width="12.33203125" style="1119" bestFit="1" customWidth="1"/>
    <col min="5906" max="5906" width="4.88671875" style="1119" bestFit="1" customWidth="1"/>
    <col min="5907" max="5907" width="7.33203125" style="1119" bestFit="1" customWidth="1"/>
    <col min="5908" max="6144" width="8.88671875" style="1119"/>
    <col min="6145" max="6145" width="7" style="1119" customWidth="1"/>
    <col min="6146" max="6146" width="3" style="1119" customWidth="1"/>
    <col min="6147" max="6147" width="5.77734375" style="1119" customWidth="1"/>
    <col min="6148" max="6148" width="13.33203125" style="1119" customWidth="1"/>
    <col min="6149" max="6149" width="13.6640625" style="1119" bestFit="1" customWidth="1"/>
    <col min="6150" max="6150" width="5.109375" style="1119" bestFit="1" customWidth="1"/>
    <col min="6151" max="6151" width="6.44140625" style="1119" bestFit="1" customWidth="1"/>
    <col min="6152" max="6152" width="3.44140625" style="1119" customWidth="1"/>
    <col min="6153" max="6153" width="4.5546875" style="1119" customWidth="1"/>
    <col min="6154" max="6154" width="17.6640625" style="1119" bestFit="1" customWidth="1"/>
    <col min="6155" max="6155" width="11.6640625" style="1119" bestFit="1" customWidth="1"/>
    <col min="6156" max="6156" width="5.109375" style="1119" bestFit="1" customWidth="1"/>
    <col min="6157" max="6157" width="6.44140625" style="1119" bestFit="1" customWidth="1"/>
    <col min="6158" max="6158" width="10.77734375" style="1119" customWidth="1"/>
    <col min="6159" max="6159" width="6.33203125" style="1119" bestFit="1" customWidth="1"/>
    <col min="6160" max="6160" width="12.44140625" style="1119" bestFit="1" customWidth="1"/>
    <col min="6161" max="6161" width="12.33203125" style="1119" bestFit="1" customWidth="1"/>
    <col min="6162" max="6162" width="4.88671875" style="1119" bestFit="1" customWidth="1"/>
    <col min="6163" max="6163" width="7.33203125" style="1119" bestFit="1" customWidth="1"/>
    <col min="6164" max="6400" width="8.88671875" style="1119"/>
    <col min="6401" max="6401" width="7" style="1119" customWidth="1"/>
    <col min="6402" max="6402" width="3" style="1119" customWidth="1"/>
    <col min="6403" max="6403" width="5.77734375" style="1119" customWidth="1"/>
    <col min="6404" max="6404" width="13.33203125" style="1119" customWidth="1"/>
    <col min="6405" max="6405" width="13.6640625" style="1119" bestFit="1" customWidth="1"/>
    <col min="6406" max="6406" width="5.109375" style="1119" bestFit="1" customWidth="1"/>
    <col min="6407" max="6407" width="6.44140625" style="1119" bestFit="1" customWidth="1"/>
    <col min="6408" max="6408" width="3.44140625" style="1119" customWidth="1"/>
    <col min="6409" max="6409" width="4.5546875" style="1119" customWidth="1"/>
    <col min="6410" max="6410" width="17.6640625" style="1119" bestFit="1" customWidth="1"/>
    <col min="6411" max="6411" width="11.6640625" style="1119" bestFit="1" customWidth="1"/>
    <col min="6412" max="6412" width="5.109375" style="1119" bestFit="1" customWidth="1"/>
    <col min="6413" max="6413" width="6.44140625" style="1119" bestFit="1" customWidth="1"/>
    <col min="6414" max="6414" width="10.77734375" style="1119" customWidth="1"/>
    <col min="6415" max="6415" width="6.33203125" style="1119" bestFit="1" customWidth="1"/>
    <col min="6416" max="6416" width="12.44140625" style="1119" bestFit="1" customWidth="1"/>
    <col min="6417" max="6417" width="12.33203125" style="1119" bestFit="1" customWidth="1"/>
    <col min="6418" max="6418" width="4.88671875" style="1119" bestFit="1" customWidth="1"/>
    <col min="6419" max="6419" width="7.33203125" style="1119" bestFit="1" customWidth="1"/>
    <col min="6420" max="6656" width="8.88671875" style="1119"/>
    <col min="6657" max="6657" width="7" style="1119" customWidth="1"/>
    <col min="6658" max="6658" width="3" style="1119" customWidth="1"/>
    <col min="6659" max="6659" width="5.77734375" style="1119" customWidth="1"/>
    <col min="6660" max="6660" width="13.33203125" style="1119" customWidth="1"/>
    <col min="6661" max="6661" width="13.6640625" style="1119" bestFit="1" customWidth="1"/>
    <col min="6662" max="6662" width="5.109375" style="1119" bestFit="1" customWidth="1"/>
    <col min="6663" max="6663" width="6.44140625" style="1119" bestFit="1" customWidth="1"/>
    <col min="6664" max="6664" width="3.44140625" style="1119" customWidth="1"/>
    <col min="6665" max="6665" width="4.5546875" style="1119" customWidth="1"/>
    <col min="6666" max="6666" width="17.6640625" style="1119" bestFit="1" customWidth="1"/>
    <col min="6667" max="6667" width="11.6640625" style="1119" bestFit="1" customWidth="1"/>
    <col min="6668" max="6668" width="5.109375" style="1119" bestFit="1" customWidth="1"/>
    <col min="6669" max="6669" width="6.44140625" style="1119" bestFit="1" customWidth="1"/>
    <col min="6670" max="6670" width="10.77734375" style="1119" customWidth="1"/>
    <col min="6671" max="6671" width="6.33203125" style="1119" bestFit="1" customWidth="1"/>
    <col min="6672" max="6672" width="12.44140625" style="1119" bestFit="1" customWidth="1"/>
    <col min="6673" max="6673" width="12.33203125" style="1119" bestFit="1" customWidth="1"/>
    <col min="6674" max="6674" width="4.88671875" style="1119" bestFit="1" customWidth="1"/>
    <col min="6675" max="6675" width="7.33203125" style="1119" bestFit="1" customWidth="1"/>
    <col min="6676" max="6912" width="8.88671875" style="1119"/>
    <col min="6913" max="6913" width="7" style="1119" customWidth="1"/>
    <col min="6914" max="6914" width="3" style="1119" customWidth="1"/>
    <col min="6915" max="6915" width="5.77734375" style="1119" customWidth="1"/>
    <col min="6916" max="6916" width="13.33203125" style="1119" customWidth="1"/>
    <col min="6917" max="6917" width="13.6640625" style="1119" bestFit="1" customWidth="1"/>
    <col min="6918" max="6918" width="5.109375" style="1119" bestFit="1" customWidth="1"/>
    <col min="6919" max="6919" width="6.44140625" style="1119" bestFit="1" customWidth="1"/>
    <col min="6920" max="6920" width="3.44140625" style="1119" customWidth="1"/>
    <col min="6921" max="6921" width="4.5546875" style="1119" customWidth="1"/>
    <col min="6922" max="6922" width="17.6640625" style="1119" bestFit="1" customWidth="1"/>
    <col min="6923" max="6923" width="11.6640625" style="1119" bestFit="1" customWidth="1"/>
    <col min="6924" max="6924" width="5.109375" style="1119" bestFit="1" customWidth="1"/>
    <col min="6925" max="6925" width="6.44140625" style="1119" bestFit="1" customWidth="1"/>
    <col min="6926" max="6926" width="10.77734375" style="1119" customWidth="1"/>
    <col min="6927" max="6927" width="6.33203125" style="1119" bestFit="1" customWidth="1"/>
    <col min="6928" max="6928" width="12.44140625" style="1119" bestFit="1" customWidth="1"/>
    <col min="6929" max="6929" width="12.33203125" style="1119" bestFit="1" customWidth="1"/>
    <col min="6930" max="6930" width="4.88671875" style="1119" bestFit="1" customWidth="1"/>
    <col min="6931" max="6931" width="7.33203125" style="1119" bestFit="1" customWidth="1"/>
    <col min="6932" max="7168" width="8.88671875" style="1119"/>
    <col min="7169" max="7169" width="7" style="1119" customWidth="1"/>
    <col min="7170" max="7170" width="3" style="1119" customWidth="1"/>
    <col min="7171" max="7171" width="5.77734375" style="1119" customWidth="1"/>
    <col min="7172" max="7172" width="13.33203125" style="1119" customWidth="1"/>
    <col min="7173" max="7173" width="13.6640625" style="1119" bestFit="1" customWidth="1"/>
    <col min="7174" max="7174" width="5.109375" style="1119" bestFit="1" customWidth="1"/>
    <col min="7175" max="7175" width="6.44140625" style="1119" bestFit="1" customWidth="1"/>
    <col min="7176" max="7176" width="3.44140625" style="1119" customWidth="1"/>
    <col min="7177" max="7177" width="4.5546875" style="1119" customWidth="1"/>
    <col min="7178" max="7178" width="17.6640625" style="1119" bestFit="1" customWidth="1"/>
    <col min="7179" max="7179" width="11.6640625" style="1119" bestFit="1" customWidth="1"/>
    <col min="7180" max="7180" width="5.109375" style="1119" bestFit="1" customWidth="1"/>
    <col min="7181" max="7181" width="6.44140625" style="1119" bestFit="1" customWidth="1"/>
    <col min="7182" max="7182" width="10.77734375" style="1119" customWidth="1"/>
    <col min="7183" max="7183" width="6.33203125" style="1119" bestFit="1" customWidth="1"/>
    <col min="7184" max="7184" width="12.44140625" style="1119" bestFit="1" customWidth="1"/>
    <col min="7185" max="7185" width="12.33203125" style="1119" bestFit="1" customWidth="1"/>
    <col min="7186" max="7186" width="4.88671875" style="1119" bestFit="1" customWidth="1"/>
    <col min="7187" max="7187" width="7.33203125" style="1119" bestFit="1" customWidth="1"/>
    <col min="7188" max="7424" width="8.88671875" style="1119"/>
    <col min="7425" max="7425" width="7" style="1119" customWidth="1"/>
    <col min="7426" max="7426" width="3" style="1119" customWidth="1"/>
    <col min="7427" max="7427" width="5.77734375" style="1119" customWidth="1"/>
    <col min="7428" max="7428" width="13.33203125" style="1119" customWidth="1"/>
    <col min="7429" max="7429" width="13.6640625" style="1119" bestFit="1" customWidth="1"/>
    <col min="7430" max="7430" width="5.109375" style="1119" bestFit="1" customWidth="1"/>
    <col min="7431" max="7431" width="6.44140625" style="1119" bestFit="1" customWidth="1"/>
    <col min="7432" max="7432" width="3.44140625" style="1119" customWidth="1"/>
    <col min="7433" max="7433" width="4.5546875" style="1119" customWidth="1"/>
    <col min="7434" max="7434" width="17.6640625" style="1119" bestFit="1" customWidth="1"/>
    <col min="7435" max="7435" width="11.6640625" style="1119" bestFit="1" customWidth="1"/>
    <col min="7436" max="7436" width="5.109375" style="1119" bestFit="1" customWidth="1"/>
    <col min="7437" max="7437" width="6.44140625" style="1119" bestFit="1" customWidth="1"/>
    <col min="7438" max="7438" width="10.77734375" style="1119" customWidth="1"/>
    <col min="7439" max="7439" width="6.33203125" style="1119" bestFit="1" customWidth="1"/>
    <col min="7440" max="7440" width="12.44140625" style="1119" bestFit="1" customWidth="1"/>
    <col min="7441" max="7441" width="12.33203125" style="1119" bestFit="1" customWidth="1"/>
    <col min="7442" max="7442" width="4.88671875" style="1119" bestFit="1" customWidth="1"/>
    <col min="7443" max="7443" width="7.33203125" style="1119" bestFit="1" customWidth="1"/>
    <col min="7444" max="7680" width="8.88671875" style="1119"/>
    <col min="7681" max="7681" width="7" style="1119" customWidth="1"/>
    <col min="7682" max="7682" width="3" style="1119" customWidth="1"/>
    <col min="7683" max="7683" width="5.77734375" style="1119" customWidth="1"/>
    <col min="7684" max="7684" width="13.33203125" style="1119" customWidth="1"/>
    <col min="7685" max="7685" width="13.6640625" style="1119" bestFit="1" customWidth="1"/>
    <col min="7686" max="7686" width="5.109375" style="1119" bestFit="1" customWidth="1"/>
    <col min="7687" max="7687" width="6.44140625" style="1119" bestFit="1" customWidth="1"/>
    <col min="7688" max="7688" width="3.44140625" style="1119" customWidth="1"/>
    <col min="7689" max="7689" width="4.5546875" style="1119" customWidth="1"/>
    <col min="7690" max="7690" width="17.6640625" style="1119" bestFit="1" customWidth="1"/>
    <col min="7691" max="7691" width="11.6640625" style="1119" bestFit="1" customWidth="1"/>
    <col min="7692" max="7692" width="5.109375" style="1119" bestFit="1" customWidth="1"/>
    <col min="7693" max="7693" width="6.44140625" style="1119" bestFit="1" customWidth="1"/>
    <col min="7694" max="7694" width="10.77734375" style="1119" customWidth="1"/>
    <col min="7695" max="7695" width="6.33203125" style="1119" bestFit="1" customWidth="1"/>
    <col min="7696" max="7696" width="12.44140625" style="1119" bestFit="1" customWidth="1"/>
    <col min="7697" max="7697" width="12.33203125" style="1119" bestFit="1" customWidth="1"/>
    <col min="7698" max="7698" width="4.88671875" style="1119" bestFit="1" customWidth="1"/>
    <col min="7699" max="7699" width="7.33203125" style="1119" bestFit="1" customWidth="1"/>
    <col min="7700" max="7936" width="8.88671875" style="1119"/>
    <col min="7937" max="7937" width="7" style="1119" customWidth="1"/>
    <col min="7938" max="7938" width="3" style="1119" customWidth="1"/>
    <col min="7939" max="7939" width="5.77734375" style="1119" customWidth="1"/>
    <col min="7940" max="7940" width="13.33203125" style="1119" customWidth="1"/>
    <col min="7941" max="7941" width="13.6640625" style="1119" bestFit="1" customWidth="1"/>
    <col min="7942" max="7942" width="5.109375" style="1119" bestFit="1" customWidth="1"/>
    <col min="7943" max="7943" width="6.44140625" style="1119" bestFit="1" customWidth="1"/>
    <col min="7944" max="7944" width="3.44140625" style="1119" customWidth="1"/>
    <col min="7945" max="7945" width="4.5546875" style="1119" customWidth="1"/>
    <col min="7946" max="7946" width="17.6640625" style="1119" bestFit="1" customWidth="1"/>
    <col min="7947" max="7947" width="11.6640625" style="1119" bestFit="1" customWidth="1"/>
    <col min="7948" max="7948" width="5.109375" style="1119" bestFit="1" customWidth="1"/>
    <col min="7949" max="7949" width="6.44140625" style="1119" bestFit="1" customWidth="1"/>
    <col min="7950" max="7950" width="10.77734375" style="1119" customWidth="1"/>
    <col min="7951" max="7951" width="6.33203125" style="1119" bestFit="1" customWidth="1"/>
    <col min="7952" max="7952" width="12.44140625" style="1119" bestFit="1" customWidth="1"/>
    <col min="7953" max="7953" width="12.33203125" style="1119" bestFit="1" customWidth="1"/>
    <col min="7954" max="7954" width="4.88671875" style="1119" bestFit="1" customWidth="1"/>
    <col min="7955" max="7955" width="7.33203125" style="1119" bestFit="1" customWidth="1"/>
    <col min="7956" max="8192" width="8.88671875" style="1119"/>
    <col min="8193" max="8193" width="7" style="1119" customWidth="1"/>
    <col min="8194" max="8194" width="3" style="1119" customWidth="1"/>
    <col min="8195" max="8195" width="5.77734375" style="1119" customWidth="1"/>
    <col min="8196" max="8196" width="13.33203125" style="1119" customWidth="1"/>
    <col min="8197" max="8197" width="13.6640625" style="1119" bestFit="1" customWidth="1"/>
    <col min="8198" max="8198" width="5.109375" style="1119" bestFit="1" customWidth="1"/>
    <col min="8199" max="8199" width="6.44140625" style="1119" bestFit="1" customWidth="1"/>
    <col min="8200" max="8200" width="3.44140625" style="1119" customWidth="1"/>
    <col min="8201" max="8201" width="4.5546875" style="1119" customWidth="1"/>
    <col min="8202" max="8202" width="17.6640625" style="1119" bestFit="1" customWidth="1"/>
    <col min="8203" max="8203" width="11.6640625" style="1119" bestFit="1" customWidth="1"/>
    <col min="8204" max="8204" width="5.109375" style="1119" bestFit="1" customWidth="1"/>
    <col min="8205" max="8205" width="6.44140625" style="1119" bestFit="1" customWidth="1"/>
    <col min="8206" max="8206" width="10.77734375" style="1119" customWidth="1"/>
    <col min="8207" max="8207" width="6.33203125" style="1119" bestFit="1" customWidth="1"/>
    <col min="8208" max="8208" width="12.44140625" style="1119" bestFit="1" customWidth="1"/>
    <col min="8209" max="8209" width="12.33203125" style="1119" bestFit="1" customWidth="1"/>
    <col min="8210" max="8210" width="4.88671875" style="1119" bestFit="1" customWidth="1"/>
    <col min="8211" max="8211" width="7.33203125" style="1119" bestFit="1" customWidth="1"/>
    <col min="8212" max="8448" width="8.88671875" style="1119"/>
    <col min="8449" max="8449" width="7" style="1119" customWidth="1"/>
    <col min="8450" max="8450" width="3" style="1119" customWidth="1"/>
    <col min="8451" max="8451" width="5.77734375" style="1119" customWidth="1"/>
    <col min="8452" max="8452" width="13.33203125" style="1119" customWidth="1"/>
    <col min="8453" max="8453" width="13.6640625" style="1119" bestFit="1" customWidth="1"/>
    <col min="8454" max="8454" width="5.109375" style="1119" bestFit="1" customWidth="1"/>
    <col min="8455" max="8455" width="6.44140625" style="1119" bestFit="1" customWidth="1"/>
    <col min="8456" max="8456" width="3.44140625" style="1119" customWidth="1"/>
    <col min="8457" max="8457" width="4.5546875" style="1119" customWidth="1"/>
    <col min="8458" max="8458" width="17.6640625" style="1119" bestFit="1" customWidth="1"/>
    <col min="8459" max="8459" width="11.6640625" style="1119" bestFit="1" customWidth="1"/>
    <col min="8460" max="8460" width="5.109375" style="1119" bestFit="1" customWidth="1"/>
    <col min="8461" max="8461" width="6.44140625" style="1119" bestFit="1" customWidth="1"/>
    <col min="8462" max="8462" width="10.77734375" style="1119" customWidth="1"/>
    <col min="8463" max="8463" width="6.33203125" style="1119" bestFit="1" customWidth="1"/>
    <col min="8464" max="8464" width="12.44140625" style="1119" bestFit="1" customWidth="1"/>
    <col min="8465" max="8465" width="12.33203125" style="1119" bestFit="1" customWidth="1"/>
    <col min="8466" max="8466" width="4.88671875" style="1119" bestFit="1" customWidth="1"/>
    <col min="8467" max="8467" width="7.33203125" style="1119" bestFit="1" customWidth="1"/>
    <col min="8468" max="8704" width="8.88671875" style="1119"/>
    <col min="8705" max="8705" width="7" style="1119" customWidth="1"/>
    <col min="8706" max="8706" width="3" style="1119" customWidth="1"/>
    <col min="8707" max="8707" width="5.77734375" style="1119" customWidth="1"/>
    <col min="8708" max="8708" width="13.33203125" style="1119" customWidth="1"/>
    <col min="8709" max="8709" width="13.6640625" style="1119" bestFit="1" customWidth="1"/>
    <col min="8710" max="8710" width="5.109375" style="1119" bestFit="1" customWidth="1"/>
    <col min="8711" max="8711" width="6.44140625" style="1119" bestFit="1" customWidth="1"/>
    <col min="8712" max="8712" width="3.44140625" style="1119" customWidth="1"/>
    <col min="8713" max="8713" width="4.5546875" style="1119" customWidth="1"/>
    <col min="8714" max="8714" width="17.6640625" style="1119" bestFit="1" customWidth="1"/>
    <col min="8715" max="8715" width="11.6640625" style="1119" bestFit="1" customWidth="1"/>
    <col min="8716" max="8716" width="5.109375" style="1119" bestFit="1" customWidth="1"/>
    <col min="8717" max="8717" width="6.44140625" style="1119" bestFit="1" customWidth="1"/>
    <col min="8718" max="8718" width="10.77734375" style="1119" customWidth="1"/>
    <col min="8719" max="8719" width="6.33203125" style="1119" bestFit="1" customWidth="1"/>
    <col min="8720" max="8720" width="12.44140625" style="1119" bestFit="1" customWidth="1"/>
    <col min="8721" max="8721" width="12.33203125" style="1119" bestFit="1" customWidth="1"/>
    <col min="8722" max="8722" width="4.88671875" style="1119" bestFit="1" customWidth="1"/>
    <col min="8723" max="8723" width="7.33203125" style="1119" bestFit="1" customWidth="1"/>
    <col min="8724" max="8960" width="8.88671875" style="1119"/>
    <col min="8961" max="8961" width="7" style="1119" customWidth="1"/>
    <col min="8962" max="8962" width="3" style="1119" customWidth="1"/>
    <col min="8963" max="8963" width="5.77734375" style="1119" customWidth="1"/>
    <col min="8964" max="8964" width="13.33203125" style="1119" customWidth="1"/>
    <col min="8965" max="8965" width="13.6640625" style="1119" bestFit="1" customWidth="1"/>
    <col min="8966" max="8966" width="5.109375" style="1119" bestFit="1" customWidth="1"/>
    <col min="8967" max="8967" width="6.44140625" style="1119" bestFit="1" customWidth="1"/>
    <col min="8968" max="8968" width="3.44140625" style="1119" customWidth="1"/>
    <col min="8969" max="8969" width="4.5546875" style="1119" customWidth="1"/>
    <col min="8970" max="8970" width="17.6640625" style="1119" bestFit="1" customWidth="1"/>
    <col min="8971" max="8971" width="11.6640625" style="1119" bestFit="1" customWidth="1"/>
    <col min="8972" max="8972" width="5.109375" style="1119" bestFit="1" customWidth="1"/>
    <col min="8973" max="8973" width="6.44140625" style="1119" bestFit="1" customWidth="1"/>
    <col min="8974" max="8974" width="10.77734375" style="1119" customWidth="1"/>
    <col min="8975" max="8975" width="6.33203125" style="1119" bestFit="1" customWidth="1"/>
    <col min="8976" max="8976" width="12.44140625" style="1119" bestFit="1" customWidth="1"/>
    <col min="8977" max="8977" width="12.33203125" style="1119" bestFit="1" customWidth="1"/>
    <col min="8978" max="8978" width="4.88671875" style="1119" bestFit="1" customWidth="1"/>
    <col min="8979" max="8979" width="7.33203125" style="1119" bestFit="1" customWidth="1"/>
    <col min="8980" max="9216" width="8.88671875" style="1119"/>
    <col min="9217" max="9217" width="7" style="1119" customWidth="1"/>
    <col min="9218" max="9218" width="3" style="1119" customWidth="1"/>
    <col min="9219" max="9219" width="5.77734375" style="1119" customWidth="1"/>
    <col min="9220" max="9220" width="13.33203125" style="1119" customWidth="1"/>
    <col min="9221" max="9221" width="13.6640625" style="1119" bestFit="1" customWidth="1"/>
    <col min="9222" max="9222" width="5.109375" style="1119" bestFit="1" customWidth="1"/>
    <col min="9223" max="9223" width="6.44140625" style="1119" bestFit="1" customWidth="1"/>
    <col min="9224" max="9224" width="3.44140625" style="1119" customWidth="1"/>
    <col min="9225" max="9225" width="4.5546875" style="1119" customWidth="1"/>
    <col min="9226" max="9226" width="17.6640625" style="1119" bestFit="1" customWidth="1"/>
    <col min="9227" max="9227" width="11.6640625" style="1119" bestFit="1" customWidth="1"/>
    <col min="9228" max="9228" width="5.109375" style="1119" bestFit="1" customWidth="1"/>
    <col min="9229" max="9229" width="6.44140625" style="1119" bestFit="1" customWidth="1"/>
    <col min="9230" max="9230" width="10.77734375" style="1119" customWidth="1"/>
    <col min="9231" max="9231" width="6.33203125" style="1119" bestFit="1" customWidth="1"/>
    <col min="9232" max="9232" width="12.44140625" style="1119" bestFit="1" customWidth="1"/>
    <col min="9233" max="9233" width="12.33203125" style="1119" bestFit="1" customWidth="1"/>
    <col min="9234" max="9234" width="4.88671875" style="1119" bestFit="1" customWidth="1"/>
    <col min="9235" max="9235" width="7.33203125" style="1119" bestFit="1" customWidth="1"/>
    <col min="9236" max="9472" width="8.88671875" style="1119"/>
    <col min="9473" max="9473" width="7" style="1119" customWidth="1"/>
    <col min="9474" max="9474" width="3" style="1119" customWidth="1"/>
    <col min="9475" max="9475" width="5.77734375" style="1119" customWidth="1"/>
    <col min="9476" max="9476" width="13.33203125" style="1119" customWidth="1"/>
    <col min="9477" max="9477" width="13.6640625" style="1119" bestFit="1" customWidth="1"/>
    <col min="9478" max="9478" width="5.109375" style="1119" bestFit="1" customWidth="1"/>
    <col min="9479" max="9479" width="6.44140625" style="1119" bestFit="1" customWidth="1"/>
    <col min="9480" max="9480" width="3.44140625" style="1119" customWidth="1"/>
    <col min="9481" max="9481" width="4.5546875" style="1119" customWidth="1"/>
    <col min="9482" max="9482" width="17.6640625" style="1119" bestFit="1" customWidth="1"/>
    <col min="9483" max="9483" width="11.6640625" style="1119" bestFit="1" customWidth="1"/>
    <col min="9484" max="9484" width="5.109375" style="1119" bestFit="1" customWidth="1"/>
    <col min="9485" max="9485" width="6.44140625" style="1119" bestFit="1" customWidth="1"/>
    <col min="9486" max="9486" width="10.77734375" style="1119" customWidth="1"/>
    <col min="9487" max="9487" width="6.33203125" style="1119" bestFit="1" customWidth="1"/>
    <col min="9488" max="9488" width="12.44140625" style="1119" bestFit="1" customWidth="1"/>
    <col min="9489" max="9489" width="12.33203125" style="1119" bestFit="1" customWidth="1"/>
    <col min="9490" max="9490" width="4.88671875" style="1119" bestFit="1" customWidth="1"/>
    <col min="9491" max="9491" width="7.33203125" style="1119" bestFit="1" customWidth="1"/>
    <col min="9492" max="9728" width="8.88671875" style="1119"/>
    <col min="9729" max="9729" width="7" style="1119" customWidth="1"/>
    <col min="9730" max="9730" width="3" style="1119" customWidth="1"/>
    <col min="9731" max="9731" width="5.77734375" style="1119" customWidth="1"/>
    <col min="9732" max="9732" width="13.33203125" style="1119" customWidth="1"/>
    <col min="9733" max="9733" width="13.6640625" style="1119" bestFit="1" customWidth="1"/>
    <col min="9734" max="9734" width="5.109375" style="1119" bestFit="1" customWidth="1"/>
    <col min="9735" max="9735" width="6.44140625" style="1119" bestFit="1" customWidth="1"/>
    <col min="9736" max="9736" width="3.44140625" style="1119" customWidth="1"/>
    <col min="9737" max="9737" width="4.5546875" style="1119" customWidth="1"/>
    <col min="9738" max="9738" width="17.6640625" style="1119" bestFit="1" customWidth="1"/>
    <col min="9739" max="9739" width="11.6640625" style="1119" bestFit="1" customWidth="1"/>
    <col min="9740" max="9740" width="5.109375" style="1119" bestFit="1" customWidth="1"/>
    <col min="9741" max="9741" width="6.44140625" style="1119" bestFit="1" customWidth="1"/>
    <col min="9742" max="9742" width="10.77734375" style="1119" customWidth="1"/>
    <col min="9743" max="9743" width="6.33203125" style="1119" bestFit="1" customWidth="1"/>
    <col min="9744" max="9744" width="12.44140625" style="1119" bestFit="1" customWidth="1"/>
    <col min="9745" max="9745" width="12.33203125" style="1119" bestFit="1" customWidth="1"/>
    <col min="9746" max="9746" width="4.88671875" style="1119" bestFit="1" customWidth="1"/>
    <col min="9747" max="9747" width="7.33203125" style="1119" bestFit="1" customWidth="1"/>
    <col min="9748" max="9984" width="8.88671875" style="1119"/>
    <col min="9985" max="9985" width="7" style="1119" customWidth="1"/>
    <col min="9986" max="9986" width="3" style="1119" customWidth="1"/>
    <col min="9987" max="9987" width="5.77734375" style="1119" customWidth="1"/>
    <col min="9988" max="9988" width="13.33203125" style="1119" customWidth="1"/>
    <col min="9989" max="9989" width="13.6640625" style="1119" bestFit="1" customWidth="1"/>
    <col min="9990" max="9990" width="5.109375" style="1119" bestFit="1" customWidth="1"/>
    <col min="9991" max="9991" width="6.44140625" style="1119" bestFit="1" customWidth="1"/>
    <col min="9992" max="9992" width="3.44140625" style="1119" customWidth="1"/>
    <col min="9993" max="9993" width="4.5546875" style="1119" customWidth="1"/>
    <col min="9994" max="9994" width="17.6640625" style="1119" bestFit="1" customWidth="1"/>
    <col min="9995" max="9995" width="11.6640625" style="1119" bestFit="1" customWidth="1"/>
    <col min="9996" max="9996" width="5.109375" style="1119" bestFit="1" customWidth="1"/>
    <col min="9997" max="9997" width="6.44140625" style="1119" bestFit="1" customWidth="1"/>
    <col min="9998" max="9998" width="10.77734375" style="1119" customWidth="1"/>
    <col min="9999" max="9999" width="6.33203125" style="1119" bestFit="1" customWidth="1"/>
    <col min="10000" max="10000" width="12.44140625" style="1119" bestFit="1" customWidth="1"/>
    <col min="10001" max="10001" width="12.33203125" style="1119" bestFit="1" customWidth="1"/>
    <col min="10002" max="10002" width="4.88671875" style="1119" bestFit="1" customWidth="1"/>
    <col min="10003" max="10003" width="7.33203125" style="1119" bestFit="1" customWidth="1"/>
    <col min="10004" max="10240" width="8.88671875" style="1119"/>
    <col min="10241" max="10241" width="7" style="1119" customWidth="1"/>
    <col min="10242" max="10242" width="3" style="1119" customWidth="1"/>
    <col min="10243" max="10243" width="5.77734375" style="1119" customWidth="1"/>
    <col min="10244" max="10244" width="13.33203125" style="1119" customWidth="1"/>
    <col min="10245" max="10245" width="13.6640625" style="1119" bestFit="1" customWidth="1"/>
    <col min="10246" max="10246" width="5.109375" style="1119" bestFit="1" customWidth="1"/>
    <col min="10247" max="10247" width="6.44140625" style="1119" bestFit="1" customWidth="1"/>
    <col min="10248" max="10248" width="3.44140625" style="1119" customWidth="1"/>
    <col min="10249" max="10249" width="4.5546875" style="1119" customWidth="1"/>
    <col min="10250" max="10250" width="17.6640625" style="1119" bestFit="1" customWidth="1"/>
    <col min="10251" max="10251" width="11.6640625" style="1119" bestFit="1" customWidth="1"/>
    <col min="10252" max="10252" width="5.109375" style="1119" bestFit="1" customWidth="1"/>
    <col min="10253" max="10253" width="6.44140625" style="1119" bestFit="1" customWidth="1"/>
    <col min="10254" max="10254" width="10.77734375" style="1119" customWidth="1"/>
    <col min="10255" max="10255" width="6.33203125" style="1119" bestFit="1" customWidth="1"/>
    <col min="10256" max="10256" width="12.44140625" style="1119" bestFit="1" customWidth="1"/>
    <col min="10257" max="10257" width="12.33203125" style="1119" bestFit="1" customWidth="1"/>
    <col min="10258" max="10258" width="4.88671875" style="1119" bestFit="1" customWidth="1"/>
    <col min="10259" max="10259" width="7.33203125" style="1119" bestFit="1" customWidth="1"/>
    <col min="10260" max="10496" width="8.88671875" style="1119"/>
    <col min="10497" max="10497" width="7" style="1119" customWidth="1"/>
    <col min="10498" max="10498" width="3" style="1119" customWidth="1"/>
    <col min="10499" max="10499" width="5.77734375" style="1119" customWidth="1"/>
    <col min="10500" max="10500" width="13.33203125" style="1119" customWidth="1"/>
    <col min="10501" max="10501" width="13.6640625" style="1119" bestFit="1" customWidth="1"/>
    <col min="10502" max="10502" width="5.109375" style="1119" bestFit="1" customWidth="1"/>
    <col min="10503" max="10503" width="6.44140625" style="1119" bestFit="1" customWidth="1"/>
    <col min="10504" max="10504" width="3.44140625" style="1119" customWidth="1"/>
    <col min="10505" max="10505" width="4.5546875" style="1119" customWidth="1"/>
    <col min="10506" max="10506" width="17.6640625" style="1119" bestFit="1" customWidth="1"/>
    <col min="10507" max="10507" width="11.6640625" style="1119" bestFit="1" customWidth="1"/>
    <col min="10508" max="10508" width="5.109375" style="1119" bestFit="1" customWidth="1"/>
    <col min="10509" max="10509" width="6.44140625" style="1119" bestFit="1" customWidth="1"/>
    <col min="10510" max="10510" width="10.77734375" style="1119" customWidth="1"/>
    <col min="10511" max="10511" width="6.33203125" style="1119" bestFit="1" customWidth="1"/>
    <col min="10512" max="10512" width="12.44140625" style="1119" bestFit="1" customWidth="1"/>
    <col min="10513" max="10513" width="12.33203125" style="1119" bestFit="1" customWidth="1"/>
    <col min="10514" max="10514" width="4.88671875" style="1119" bestFit="1" customWidth="1"/>
    <col min="10515" max="10515" width="7.33203125" style="1119" bestFit="1" customWidth="1"/>
    <col min="10516" max="10752" width="8.88671875" style="1119"/>
    <col min="10753" max="10753" width="7" style="1119" customWidth="1"/>
    <col min="10754" max="10754" width="3" style="1119" customWidth="1"/>
    <col min="10755" max="10755" width="5.77734375" style="1119" customWidth="1"/>
    <col min="10756" max="10756" width="13.33203125" style="1119" customWidth="1"/>
    <col min="10757" max="10757" width="13.6640625" style="1119" bestFit="1" customWidth="1"/>
    <col min="10758" max="10758" width="5.109375" style="1119" bestFit="1" customWidth="1"/>
    <col min="10759" max="10759" width="6.44140625" style="1119" bestFit="1" customWidth="1"/>
    <col min="10760" max="10760" width="3.44140625" style="1119" customWidth="1"/>
    <col min="10761" max="10761" width="4.5546875" style="1119" customWidth="1"/>
    <col min="10762" max="10762" width="17.6640625" style="1119" bestFit="1" customWidth="1"/>
    <col min="10763" max="10763" width="11.6640625" style="1119" bestFit="1" customWidth="1"/>
    <col min="10764" max="10764" width="5.109375" style="1119" bestFit="1" customWidth="1"/>
    <col min="10765" max="10765" width="6.44140625" style="1119" bestFit="1" customWidth="1"/>
    <col min="10766" max="10766" width="10.77734375" style="1119" customWidth="1"/>
    <col min="10767" max="10767" width="6.33203125" style="1119" bestFit="1" customWidth="1"/>
    <col min="10768" max="10768" width="12.44140625" style="1119" bestFit="1" customWidth="1"/>
    <col min="10769" max="10769" width="12.33203125" style="1119" bestFit="1" customWidth="1"/>
    <col min="10770" max="10770" width="4.88671875" style="1119" bestFit="1" customWidth="1"/>
    <col min="10771" max="10771" width="7.33203125" style="1119" bestFit="1" customWidth="1"/>
    <col min="10772" max="11008" width="8.88671875" style="1119"/>
    <col min="11009" max="11009" width="7" style="1119" customWidth="1"/>
    <col min="11010" max="11010" width="3" style="1119" customWidth="1"/>
    <col min="11011" max="11011" width="5.77734375" style="1119" customWidth="1"/>
    <col min="11012" max="11012" width="13.33203125" style="1119" customWidth="1"/>
    <col min="11013" max="11013" width="13.6640625" style="1119" bestFit="1" customWidth="1"/>
    <col min="11014" max="11014" width="5.109375" style="1119" bestFit="1" customWidth="1"/>
    <col min="11015" max="11015" width="6.44140625" style="1119" bestFit="1" customWidth="1"/>
    <col min="11016" max="11016" width="3.44140625" style="1119" customWidth="1"/>
    <col min="11017" max="11017" width="4.5546875" style="1119" customWidth="1"/>
    <col min="11018" max="11018" width="17.6640625" style="1119" bestFit="1" customWidth="1"/>
    <col min="11019" max="11019" width="11.6640625" style="1119" bestFit="1" customWidth="1"/>
    <col min="11020" max="11020" width="5.109375" style="1119" bestFit="1" customWidth="1"/>
    <col min="11021" max="11021" width="6.44140625" style="1119" bestFit="1" customWidth="1"/>
    <col min="11022" max="11022" width="10.77734375" style="1119" customWidth="1"/>
    <col min="11023" max="11023" width="6.33203125" style="1119" bestFit="1" customWidth="1"/>
    <col min="11024" max="11024" width="12.44140625" style="1119" bestFit="1" customWidth="1"/>
    <col min="11025" max="11025" width="12.33203125" style="1119" bestFit="1" customWidth="1"/>
    <col min="11026" max="11026" width="4.88671875" style="1119" bestFit="1" customWidth="1"/>
    <col min="11027" max="11027" width="7.33203125" style="1119" bestFit="1" customWidth="1"/>
    <col min="11028" max="11264" width="8.88671875" style="1119"/>
    <col min="11265" max="11265" width="7" style="1119" customWidth="1"/>
    <col min="11266" max="11266" width="3" style="1119" customWidth="1"/>
    <col min="11267" max="11267" width="5.77734375" style="1119" customWidth="1"/>
    <col min="11268" max="11268" width="13.33203125" style="1119" customWidth="1"/>
    <col min="11269" max="11269" width="13.6640625" style="1119" bestFit="1" customWidth="1"/>
    <col min="11270" max="11270" width="5.109375" style="1119" bestFit="1" customWidth="1"/>
    <col min="11271" max="11271" width="6.44140625" style="1119" bestFit="1" customWidth="1"/>
    <col min="11272" max="11272" width="3.44140625" style="1119" customWidth="1"/>
    <col min="11273" max="11273" width="4.5546875" style="1119" customWidth="1"/>
    <col min="11274" max="11274" width="17.6640625" style="1119" bestFit="1" customWidth="1"/>
    <col min="11275" max="11275" width="11.6640625" style="1119" bestFit="1" customWidth="1"/>
    <col min="11276" max="11276" width="5.109375" style="1119" bestFit="1" customWidth="1"/>
    <col min="11277" max="11277" width="6.44140625" style="1119" bestFit="1" customWidth="1"/>
    <col min="11278" max="11278" width="10.77734375" style="1119" customWidth="1"/>
    <col min="11279" max="11279" width="6.33203125" style="1119" bestFit="1" customWidth="1"/>
    <col min="11280" max="11280" width="12.44140625" style="1119" bestFit="1" customWidth="1"/>
    <col min="11281" max="11281" width="12.33203125" style="1119" bestFit="1" customWidth="1"/>
    <col min="11282" max="11282" width="4.88671875" style="1119" bestFit="1" customWidth="1"/>
    <col min="11283" max="11283" width="7.33203125" style="1119" bestFit="1" customWidth="1"/>
    <col min="11284" max="11520" width="8.88671875" style="1119"/>
    <col min="11521" max="11521" width="7" style="1119" customWidth="1"/>
    <col min="11522" max="11522" width="3" style="1119" customWidth="1"/>
    <col min="11523" max="11523" width="5.77734375" style="1119" customWidth="1"/>
    <col min="11524" max="11524" width="13.33203125" style="1119" customWidth="1"/>
    <col min="11525" max="11525" width="13.6640625" style="1119" bestFit="1" customWidth="1"/>
    <col min="11526" max="11526" width="5.109375" style="1119" bestFit="1" customWidth="1"/>
    <col min="11527" max="11527" width="6.44140625" style="1119" bestFit="1" customWidth="1"/>
    <col min="11528" max="11528" width="3.44140625" style="1119" customWidth="1"/>
    <col min="11529" max="11529" width="4.5546875" style="1119" customWidth="1"/>
    <col min="11530" max="11530" width="17.6640625" style="1119" bestFit="1" customWidth="1"/>
    <col min="11531" max="11531" width="11.6640625" style="1119" bestFit="1" customWidth="1"/>
    <col min="11532" max="11532" width="5.109375" style="1119" bestFit="1" customWidth="1"/>
    <col min="11533" max="11533" width="6.44140625" style="1119" bestFit="1" customWidth="1"/>
    <col min="11534" max="11534" width="10.77734375" style="1119" customWidth="1"/>
    <col min="11535" max="11535" width="6.33203125" style="1119" bestFit="1" customWidth="1"/>
    <col min="11536" max="11536" width="12.44140625" style="1119" bestFit="1" customWidth="1"/>
    <col min="11537" max="11537" width="12.33203125" style="1119" bestFit="1" customWidth="1"/>
    <col min="11538" max="11538" width="4.88671875" style="1119" bestFit="1" customWidth="1"/>
    <col min="11539" max="11539" width="7.33203125" style="1119" bestFit="1" customWidth="1"/>
    <col min="11540" max="11776" width="8.88671875" style="1119"/>
    <col min="11777" max="11777" width="7" style="1119" customWidth="1"/>
    <col min="11778" max="11778" width="3" style="1119" customWidth="1"/>
    <col min="11779" max="11779" width="5.77734375" style="1119" customWidth="1"/>
    <col min="11780" max="11780" width="13.33203125" style="1119" customWidth="1"/>
    <col min="11781" max="11781" width="13.6640625" style="1119" bestFit="1" customWidth="1"/>
    <col min="11782" max="11782" width="5.109375" style="1119" bestFit="1" customWidth="1"/>
    <col min="11783" max="11783" width="6.44140625" style="1119" bestFit="1" customWidth="1"/>
    <col min="11784" max="11784" width="3.44140625" style="1119" customWidth="1"/>
    <col min="11785" max="11785" width="4.5546875" style="1119" customWidth="1"/>
    <col min="11786" max="11786" width="17.6640625" style="1119" bestFit="1" customWidth="1"/>
    <col min="11787" max="11787" width="11.6640625" style="1119" bestFit="1" customWidth="1"/>
    <col min="11788" max="11788" width="5.109375" style="1119" bestFit="1" customWidth="1"/>
    <col min="11789" max="11789" width="6.44140625" style="1119" bestFit="1" customWidth="1"/>
    <col min="11790" max="11790" width="10.77734375" style="1119" customWidth="1"/>
    <col min="11791" max="11791" width="6.33203125" style="1119" bestFit="1" customWidth="1"/>
    <col min="11792" max="11792" width="12.44140625" style="1119" bestFit="1" customWidth="1"/>
    <col min="11793" max="11793" width="12.33203125" style="1119" bestFit="1" customWidth="1"/>
    <col min="11794" max="11794" width="4.88671875" style="1119" bestFit="1" customWidth="1"/>
    <col min="11795" max="11795" width="7.33203125" style="1119" bestFit="1" customWidth="1"/>
    <col min="11796" max="12032" width="8.88671875" style="1119"/>
    <col min="12033" max="12033" width="7" style="1119" customWidth="1"/>
    <col min="12034" max="12034" width="3" style="1119" customWidth="1"/>
    <col min="12035" max="12035" width="5.77734375" style="1119" customWidth="1"/>
    <col min="12036" max="12036" width="13.33203125" style="1119" customWidth="1"/>
    <col min="12037" max="12037" width="13.6640625" style="1119" bestFit="1" customWidth="1"/>
    <col min="12038" max="12038" width="5.109375" style="1119" bestFit="1" customWidth="1"/>
    <col min="12039" max="12039" width="6.44140625" style="1119" bestFit="1" customWidth="1"/>
    <col min="12040" max="12040" width="3.44140625" style="1119" customWidth="1"/>
    <col min="12041" max="12041" width="4.5546875" style="1119" customWidth="1"/>
    <col min="12042" max="12042" width="17.6640625" style="1119" bestFit="1" customWidth="1"/>
    <col min="12043" max="12043" width="11.6640625" style="1119" bestFit="1" customWidth="1"/>
    <col min="12044" max="12044" width="5.109375" style="1119" bestFit="1" customWidth="1"/>
    <col min="12045" max="12045" width="6.44140625" style="1119" bestFit="1" customWidth="1"/>
    <col min="12046" max="12046" width="10.77734375" style="1119" customWidth="1"/>
    <col min="12047" max="12047" width="6.33203125" style="1119" bestFit="1" customWidth="1"/>
    <col min="12048" max="12048" width="12.44140625" style="1119" bestFit="1" customWidth="1"/>
    <col min="12049" max="12049" width="12.33203125" style="1119" bestFit="1" customWidth="1"/>
    <col min="12050" max="12050" width="4.88671875" style="1119" bestFit="1" customWidth="1"/>
    <col min="12051" max="12051" width="7.33203125" style="1119" bestFit="1" customWidth="1"/>
    <col min="12052" max="12288" width="8.88671875" style="1119"/>
    <col min="12289" max="12289" width="7" style="1119" customWidth="1"/>
    <col min="12290" max="12290" width="3" style="1119" customWidth="1"/>
    <col min="12291" max="12291" width="5.77734375" style="1119" customWidth="1"/>
    <col min="12292" max="12292" width="13.33203125" style="1119" customWidth="1"/>
    <col min="12293" max="12293" width="13.6640625" style="1119" bestFit="1" customWidth="1"/>
    <col min="12294" max="12294" width="5.109375" style="1119" bestFit="1" customWidth="1"/>
    <col min="12295" max="12295" width="6.44140625" style="1119" bestFit="1" customWidth="1"/>
    <col min="12296" max="12296" width="3.44140625" style="1119" customWidth="1"/>
    <col min="12297" max="12297" width="4.5546875" style="1119" customWidth="1"/>
    <col min="12298" max="12298" width="17.6640625" style="1119" bestFit="1" customWidth="1"/>
    <col min="12299" max="12299" width="11.6640625" style="1119" bestFit="1" customWidth="1"/>
    <col min="12300" max="12300" width="5.109375" style="1119" bestFit="1" customWidth="1"/>
    <col min="12301" max="12301" width="6.44140625" style="1119" bestFit="1" customWidth="1"/>
    <col min="12302" max="12302" width="10.77734375" style="1119" customWidth="1"/>
    <col min="12303" max="12303" width="6.33203125" style="1119" bestFit="1" customWidth="1"/>
    <col min="12304" max="12304" width="12.44140625" style="1119" bestFit="1" customWidth="1"/>
    <col min="12305" max="12305" width="12.33203125" style="1119" bestFit="1" customWidth="1"/>
    <col min="12306" max="12306" width="4.88671875" style="1119" bestFit="1" customWidth="1"/>
    <col min="12307" max="12307" width="7.33203125" style="1119" bestFit="1" customWidth="1"/>
    <col min="12308" max="12544" width="8.88671875" style="1119"/>
    <col min="12545" max="12545" width="7" style="1119" customWidth="1"/>
    <col min="12546" max="12546" width="3" style="1119" customWidth="1"/>
    <col min="12547" max="12547" width="5.77734375" style="1119" customWidth="1"/>
    <col min="12548" max="12548" width="13.33203125" style="1119" customWidth="1"/>
    <col min="12549" max="12549" width="13.6640625" style="1119" bestFit="1" customWidth="1"/>
    <col min="12550" max="12550" width="5.109375" style="1119" bestFit="1" customWidth="1"/>
    <col min="12551" max="12551" width="6.44140625" style="1119" bestFit="1" customWidth="1"/>
    <col min="12552" max="12552" width="3.44140625" style="1119" customWidth="1"/>
    <col min="12553" max="12553" width="4.5546875" style="1119" customWidth="1"/>
    <col min="12554" max="12554" width="17.6640625" style="1119" bestFit="1" customWidth="1"/>
    <col min="12555" max="12555" width="11.6640625" style="1119" bestFit="1" customWidth="1"/>
    <col min="12556" max="12556" width="5.109375" style="1119" bestFit="1" customWidth="1"/>
    <col min="12557" max="12557" width="6.44140625" style="1119" bestFit="1" customWidth="1"/>
    <col min="12558" max="12558" width="10.77734375" style="1119" customWidth="1"/>
    <col min="12559" max="12559" width="6.33203125" style="1119" bestFit="1" customWidth="1"/>
    <col min="12560" max="12560" width="12.44140625" style="1119" bestFit="1" customWidth="1"/>
    <col min="12561" max="12561" width="12.33203125" style="1119" bestFit="1" customWidth="1"/>
    <col min="12562" max="12562" width="4.88671875" style="1119" bestFit="1" customWidth="1"/>
    <col min="12563" max="12563" width="7.33203125" style="1119" bestFit="1" customWidth="1"/>
    <col min="12564" max="12800" width="8.88671875" style="1119"/>
    <col min="12801" max="12801" width="7" style="1119" customWidth="1"/>
    <col min="12802" max="12802" width="3" style="1119" customWidth="1"/>
    <col min="12803" max="12803" width="5.77734375" style="1119" customWidth="1"/>
    <col min="12804" max="12804" width="13.33203125" style="1119" customWidth="1"/>
    <col min="12805" max="12805" width="13.6640625" style="1119" bestFit="1" customWidth="1"/>
    <col min="12806" max="12806" width="5.109375" style="1119" bestFit="1" customWidth="1"/>
    <col min="12807" max="12807" width="6.44140625" style="1119" bestFit="1" customWidth="1"/>
    <col min="12808" max="12808" width="3.44140625" style="1119" customWidth="1"/>
    <col min="12809" max="12809" width="4.5546875" style="1119" customWidth="1"/>
    <col min="12810" max="12810" width="17.6640625" style="1119" bestFit="1" customWidth="1"/>
    <col min="12811" max="12811" width="11.6640625" style="1119" bestFit="1" customWidth="1"/>
    <col min="12812" max="12812" width="5.109375" style="1119" bestFit="1" customWidth="1"/>
    <col min="12813" max="12813" width="6.44140625" style="1119" bestFit="1" customWidth="1"/>
    <col min="12814" max="12814" width="10.77734375" style="1119" customWidth="1"/>
    <col min="12815" max="12815" width="6.33203125" style="1119" bestFit="1" customWidth="1"/>
    <col min="12816" max="12816" width="12.44140625" style="1119" bestFit="1" customWidth="1"/>
    <col min="12817" max="12817" width="12.33203125" style="1119" bestFit="1" customWidth="1"/>
    <col min="12818" max="12818" width="4.88671875" style="1119" bestFit="1" customWidth="1"/>
    <col min="12819" max="12819" width="7.33203125" style="1119" bestFit="1" customWidth="1"/>
    <col min="12820" max="13056" width="8.88671875" style="1119"/>
    <col min="13057" max="13057" width="7" style="1119" customWidth="1"/>
    <col min="13058" max="13058" width="3" style="1119" customWidth="1"/>
    <col min="13059" max="13059" width="5.77734375" style="1119" customWidth="1"/>
    <col min="13060" max="13060" width="13.33203125" style="1119" customWidth="1"/>
    <col min="13061" max="13061" width="13.6640625" style="1119" bestFit="1" customWidth="1"/>
    <col min="13062" max="13062" width="5.109375" style="1119" bestFit="1" customWidth="1"/>
    <col min="13063" max="13063" width="6.44140625" style="1119" bestFit="1" customWidth="1"/>
    <col min="13064" max="13064" width="3.44140625" style="1119" customWidth="1"/>
    <col min="13065" max="13065" width="4.5546875" style="1119" customWidth="1"/>
    <col min="13066" max="13066" width="17.6640625" style="1119" bestFit="1" customWidth="1"/>
    <col min="13067" max="13067" width="11.6640625" style="1119" bestFit="1" customWidth="1"/>
    <col min="13068" max="13068" width="5.109375" style="1119" bestFit="1" customWidth="1"/>
    <col min="13069" max="13069" width="6.44140625" style="1119" bestFit="1" customWidth="1"/>
    <col min="13070" max="13070" width="10.77734375" style="1119" customWidth="1"/>
    <col min="13071" max="13071" width="6.33203125" style="1119" bestFit="1" customWidth="1"/>
    <col min="13072" max="13072" width="12.44140625" style="1119" bestFit="1" customWidth="1"/>
    <col min="13073" max="13073" width="12.33203125" style="1119" bestFit="1" customWidth="1"/>
    <col min="13074" max="13074" width="4.88671875" style="1119" bestFit="1" customWidth="1"/>
    <col min="13075" max="13075" width="7.33203125" style="1119" bestFit="1" customWidth="1"/>
    <col min="13076" max="13312" width="8.88671875" style="1119"/>
    <col min="13313" max="13313" width="7" style="1119" customWidth="1"/>
    <col min="13314" max="13314" width="3" style="1119" customWidth="1"/>
    <col min="13315" max="13315" width="5.77734375" style="1119" customWidth="1"/>
    <col min="13316" max="13316" width="13.33203125" style="1119" customWidth="1"/>
    <col min="13317" max="13317" width="13.6640625" style="1119" bestFit="1" customWidth="1"/>
    <col min="13318" max="13318" width="5.109375" style="1119" bestFit="1" customWidth="1"/>
    <col min="13319" max="13319" width="6.44140625" style="1119" bestFit="1" customWidth="1"/>
    <col min="13320" max="13320" width="3.44140625" style="1119" customWidth="1"/>
    <col min="13321" max="13321" width="4.5546875" style="1119" customWidth="1"/>
    <col min="13322" max="13322" width="17.6640625" style="1119" bestFit="1" customWidth="1"/>
    <col min="13323" max="13323" width="11.6640625" style="1119" bestFit="1" customWidth="1"/>
    <col min="13324" max="13324" width="5.109375" style="1119" bestFit="1" customWidth="1"/>
    <col min="13325" max="13325" width="6.44140625" style="1119" bestFit="1" customWidth="1"/>
    <col min="13326" max="13326" width="10.77734375" style="1119" customWidth="1"/>
    <col min="13327" max="13327" width="6.33203125" style="1119" bestFit="1" customWidth="1"/>
    <col min="13328" max="13328" width="12.44140625" style="1119" bestFit="1" customWidth="1"/>
    <col min="13329" max="13329" width="12.33203125" style="1119" bestFit="1" customWidth="1"/>
    <col min="13330" max="13330" width="4.88671875" style="1119" bestFit="1" customWidth="1"/>
    <col min="13331" max="13331" width="7.33203125" style="1119" bestFit="1" customWidth="1"/>
    <col min="13332" max="13568" width="8.88671875" style="1119"/>
    <col min="13569" max="13569" width="7" style="1119" customWidth="1"/>
    <col min="13570" max="13570" width="3" style="1119" customWidth="1"/>
    <col min="13571" max="13571" width="5.77734375" style="1119" customWidth="1"/>
    <col min="13572" max="13572" width="13.33203125" style="1119" customWidth="1"/>
    <col min="13573" max="13573" width="13.6640625" style="1119" bestFit="1" customWidth="1"/>
    <col min="13574" max="13574" width="5.109375" style="1119" bestFit="1" customWidth="1"/>
    <col min="13575" max="13575" width="6.44140625" style="1119" bestFit="1" customWidth="1"/>
    <col min="13576" max="13576" width="3.44140625" style="1119" customWidth="1"/>
    <col min="13577" max="13577" width="4.5546875" style="1119" customWidth="1"/>
    <col min="13578" max="13578" width="17.6640625" style="1119" bestFit="1" customWidth="1"/>
    <col min="13579" max="13579" width="11.6640625" style="1119" bestFit="1" customWidth="1"/>
    <col min="13580" max="13580" width="5.109375" style="1119" bestFit="1" customWidth="1"/>
    <col min="13581" max="13581" width="6.44140625" style="1119" bestFit="1" customWidth="1"/>
    <col min="13582" max="13582" width="10.77734375" style="1119" customWidth="1"/>
    <col min="13583" max="13583" width="6.33203125" style="1119" bestFit="1" customWidth="1"/>
    <col min="13584" max="13584" width="12.44140625" style="1119" bestFit="1" customWidth="1"/>
    <col min="13585" max="13585" width="12.33203125" style="1119" bestFit="1" customWidth="1"/>
    <col min="13586" max="13586" width="4.88671875" style="1119" bestFit="1" customWidth="1"/>
    <col min="13587" max="13587" width="7.33203125" style="1119" bestFit="1" customWidth="1"/>
    <col min="13588" max="13824" width="8.88671875" style="1119"/>
    <col min="13825" max="13825" width="7" style="1119" customWidth="1"/>
    <col min="13826" max="13826" width="3" style="1119" customWidth="1"/>
    <col min="13827" max="13827" width="5.77734375" style="1119" customWidth="1"/>
    <col min="13828" max="13828" width="13.33203125" style="1119" customWidth="1"/>
    <col min="13829" max="13829" width="13.6640625" style="1119" bestFit="1" customWidth="1"/>
    <col min="13830" max="13830" width="5.109375" style="1119" bestFit="1" customWidth="1"/>
    <col min="13831" max="13831" width="6.44140625" style="1119" bestFit="1" customWidth="1"/>
    <col min="13832" max="13832" width="3.44140625" style="1119" customWidth="1"/>
    <col min="13833" max="13833" width="4.5546875" style="1119" customWidth="1"/>
    <col min="13834" max="13834" width="17.6640625" style="1119" bestFit="1" customWidth="1"/>
    <col min="13835" max="13835" width="11.6640625" style="1119" bestFit="1" customWidth="1"/>
    <col min="13836" max="13836" width="5.109375" style="1119" bestFit="1" customWidth="1"/>
    <col min="13837" max="13837" width="6.44140625" style="1119" bestFit="1" customWidth="1"/>
    <col min="13838" max="13838" width="10.77734375" style="1119" customWidth="1"/>
    <col min="13839" max="13839" width="6.33203125" style="1119" bestFit="1" customWidth="1"/>
    <col min="13840" max="13840" width="12.44140625" style="1119" bestFit="1" customWidth="1"/>
    <col min="13841" max="13841" width="12.33203125" style="1119" bestFit="1" customWidth="1"/>
    <col min="13842" max="13842" width="4.88671875" style="1119" bestFit="1" customWidth="1"/>
    <col min="13843" max="13843" width="7.33203125" style="1119" bestFit="1" customWidth="1"/>
    <col min="13844" max="14080" width="8.88671875" style="1119"/>
    <col min="14081" max="14081" width="7" style="1119" customWidth="1"/>
    <col min="14082" max="14082" width="3" style="1119" customWidth="1"/>
    <col min="14083" max="14083" width="5.77734375" style="1119" customWidth="1"/>
    <col min="14084" max="14084" width="13.33203125" style="1119" customWidth="1"/>
    <col min="14085" max="14085" width="13.6640625" style="1119" bestFit="1" customWidth="1"/>
    <col min="14086" max="14086" width="5.109375" style="1119" bestFit="1" customWidth="1"/>
    <col min="14087" max="14087" width="6.44140625" style="1119" bestFit="1" customWidth="1"/>
    <col min="14088" max="14088" width="3.44140625" style="1119" customWidth="1"/>
    <col min="14089" max="14089" width="4.5546875" style="1119" customWidth="1"/>
    <col min="14090" max="14090" width="17.6640625" style="1119" bestFit="1" customWidth="1"/>
    <col min="14091" max="14091" width="11.6640625" style="1119" bestFit="1" customWidth="1"/>
    <col min="14092" max="14092" width="5.109375" style="1119" bestFit="1" customWidth="1"/>
    <col min="14093" max="14093" width="6.44140625" style="1119" bestFit="1" customWidth="1"/>
    <col min="14094" max="14094" width="10.77734375" style="1119" customWidth="1"/>
    <col min="14095" max="14095" width="6.33203125" style="1119" bestFit="1" customWidth="1"/>
    <col min="14096" max="14096" width="12.44140625" style="1119" bestFit="1" customWidth="1"/>
    <col min="14097" max="14097" width="12.33203125" style="1119" bestFit="1" customWidth="1"/>
    <col min="14098" max="14098" width="4.88671875" style="1119" bestFit="1" customWidth="1"/>
    <col min="14099" max="14099" width="7.33203125" style="1119" bestFit="1" customWidth="1"/>
    <col min="14100" max="14336" width="8.88671875" style="1119"/>
    <col min="14337" max="14337" width="7" style="1119" customWidth="1"/>
    <col min="14338" max="14338" width="3" style="1119" customWidth="1"/>
    <col min="14339" max="14339" width="5.77734375" style="1119" customWidth="1"/>
    <col min="14340" max="14340" width="13.33203125" style="1119" customWidth="1"/>
    <col min="14341" max="14341" width="13.6640625" style="1119" bestFit="1" customWidth="1"/>
    <col min="14342" max="14342" width="5.109375" style="1119" bestFit="1" customWidth="1"/>
    <col min="14343" max="14343" width="6.44140625" style="1119" bestFit="1" customWidth="1"/>
    <col min="14344" max="14344" width="3.44140625" style="1119" customWidth="1"/>
    <col min="14345" max="14345" width="4.5546875" style="1119" customWidth="1"/>
    <col min="14346" max="14346" width="17.6640625" style="1119" bestFit="1" customWidth="1"/>
    <col min="14347" max="14347" width="11.6640625" style="1119" bestFit="1" customWidth="1"/>
    <col min="14348" max="14348" width="5.109375" style="1119" bestFit="1" customWidth="1"/>
    <col min="14349" max="14349" width="6.44140625" style="1119" bestFit="1" customWidth="1"/>
    <col min="14350" max="14350" width="10.77734375" style="1119" customWidth="1"/>
    <col min="14351" max="14351" width="6.33203125" style="1119" bestFit="1" customWidth="1"/>
    <col min="14352" max="14352" width="12.44140625" style="1119" bestFit="1" customWidth="1"/>
    <col min="14353" max="14353" width="12.33203125" style="1119" bestFit="1" customWidth="1"/>
    <col min="14354" max="14354" width="4.88671875" style="1119" bestFit="1" customWidth="1"/>
    <col min="14355" max="14355" width="7.33203125" style="1119" bestFit="1" customWidth="1"/>
    <col min="14356" max="14592" width="8.88671875" style="1119"/>
    <col min="14593" max="14593" width="7" style="1119" customWidth="1"/>
    <col min="14594" max="14594" width="3" style="1119" customWidth="1"/>
    <col min="14595" max="14595" width="5.77734375" style="1119" customWidth="1"/>
    <col min="14596" max="14596" width="13.33203125" style="1119" customWidth="1"/>
    <col min="14597" max="14597" width="13.6640625" style="1119" bestFit="1" customWidth="1"/>
    <col min="14598" max="14598" width="5.109375" style="1119" bestFit="1" customWidth="1"/>
    <col min="14599" max="14599" width="6.44140625" style="1119" bestFit="1" customWidth="1"/>
    <col min="14600" max="14600" width="3.44140625" style="1119" customWidth="1"/>
    <col min="14601" max="14601" width="4.5546875" style="1119" customWidth="1"/>
    <col min="14602" max="14602" width="17.6640625" style="1119" bestFit="1" customWidth="1"/>
    <col min="14603" max="14603" width="11.6640625" style="1119" bestFit="1" customWidth="1"/>
    <col min="14604" max="14604" width="5.109375" style="1119" bestFit="1" customWidth="1"/>
    <col min="14605" max="14605" width="6.44140625" style="1119" bestFit="1" customWidth="1"/>
    <col min="14606" max="14606" width="10.77734375" style="1119" customWidth="1"/>
    <col min="14607" max="14607" width="6.33203125" style="1119" bestFit="1" customWidth="1"/>
    <col min="14608" max="14608" width="12.44140625" style="1119" bestFit="1" customWidth="1"/>
    <col min="14609" max="14609" width="12.33203125" style="1119" bestFit="1" customWidth="1"/>
    <col min="14610" max="14610" width="4.88671875" style="1119" bestFit="1" customWidth="1"/>
    <col min="14611" max="14611" width="7.33203125" style="1119" bestFit="1" customWidth="1"/>
    <col min="14612" max="14848" width="8.88671875" style="1119"/>
    <col min="14849" max="14849" width="7" style="1119" customWidth="1"/>
    <col min="14850" max="14850" width="3" style="1119" customWidth="1"/>
    <col min="14851" max="14851" width="5.77734375" style="1119" customWidth="1"/>
    <col min="14852" max="14852" width="13.33203125" style="1119" customWidth="1"/>
    <col min="14853" max="14853" width="13.6640625" style="1119" bestFit="1" customWidth="1"/>
    <col min="14854" max="14854" width="5.109375" style="1119" bestFit="1" customWidth="1"/>
    <col min="14855" max="14855" width="6.44140625" style="1119" bestFit="1" customWidth="1"/>
    <col min="14856" max="14856" width="3.44140625" style="1119" customWidth="1"/>
    <col min="14857" max="14857" width="4.5546875" style="1119" customWidth="1"/>
    <col min="14858" max="14858" width="17.6640625" style="1119" bestFit="1" customWidth="1"/>
    <col min="14859" max="14859" width="11.6640625" style="1119" bestFit="1" customWidth="1"/>
    <col min="14860" max="14860" width="5.109375" style="1119" bestFit="1" customWidth="1"/>
    <col min="14861" max="14861" width="6.44140625" style="1119" bestFit="1" customWidth="1"/>
    <col min="14862" max="14862" width="10.77734375" style="1119" customWidth="1"/>
    <col min="14863" max="14863" width="6.33203125" style="1119" bestFit="1" customWidth="1"/>
    <col min="14864" max="14864" width="12.44140625" style="1119" bestFit="1" customWidth="1"/>
    <col min="14865" max="14865" width="12.33203125" style="1119" bestFit="1" customWidth="1"/>
    <col min="14866" max="14866" width="4.88671875" style="1119" bestFit="1" customWidth="1"/>
    <col min="14867" max="14867" width="7.33203125" style="1119" bestFit="1" customWidth="1"/>
    <col min="14868" max="15104" width="8.88671875" style="1119"/>
    <col min="15105" max="15105" width="7" style="1119" customWidth="1"/>
    <col min="15106" max="15106" width="3" style="1119" customWidth="1"/>
    <col min="15107" max="15107" width="5.77734375" style="1119" customWidth="1"/>
    <col min="15108" max="15108" width="13.33203125" style="1119" customWidth="1"/>
    <col min="15109" max="15109" width="13.6640625" style="1119" bestFit="1" customWidth="1"/>
    <col min="15110" max="15110" width="5.109375" style="1119" bestFit="1" customWidth="1"/>
    <col min="15111" max="15111" width="6.44140625" style="1119" bestFit="1" customWidth="1"/>
    <col min="15112" max="15112" width="3.44140625" style="1119" customWidth="1"/>
    <col min="15113" max="15113" width="4.5546875" style="1119" customWidth="1"/>
    <col min="15114" max="15114" width="17.6640625" style="1119" bestFit="1" customWidth="1"/>
    <col min="15115" max="15115" width="11.6640625" style="1119" bestFit="1" customWidth="1"/>
    <col min="15116" max="15116" width="5.109375" style="1119" bestFit="1" customWidth="1"/>
    <col min="15117" max="15117" width="6.44140625" style="1119" bestFit="1" customWidth="1"/>
    <col min="15118" max="15118" width="10.77734375" style="1119" customWidth="1"/>
    <col min="15119" max="15119" width="6.33203125" style="1119" bestFit="1" customWidth="1"/>
    <col min="15120" max="15120" width="12.44140625" style="1119" bestFit="1" customWidth="1"/>
    <col min="15121" max="15121" width="12.33203125" style="1119" bestFit="1" customWidth="1"/>
    <col min="15122" max="15122" width="4.88671875" style="1119" bestFit="1" customWidth="1"/>
    <col min="15123" max="15123" width="7.33203125" style="1119" bestFit="1" customWidth="1"/>
    <col min="15124" max="15360" width="8.88671875" style="1119"/>
    <col min="15361" max="15361" width="7" style="1119" customWidth="1"/>
    <col min="15362" max="15362" width="3" style="1119" customWidth="1"/>
    <col min="15363" max="15363" width="5.77734375" style="1119" customWidth="1"/>
    <col min="15364" max="15364" width="13.33203125" style="1119" customWidth="1"/>
    <col min="15365" max="15365" width="13.6640625" style="1119" bestFit="1" customWidth="1"/>
    <col min="15366" max="15366" width="5.109375" style="1119" bestFit="1" customWidth="1"/>
    <col min="15367" max="15367" width="6.44140625" style="1119" bestFit="1" customWidth="1"/>
    <col min="15368" max="15368" width="3.44140625" style="1119" customWidth="1"/>
    <col min="15369" max="15369" width="4.5546875" style="1119" customWidth="1"/>
    <col min="15370" max="15370" width="17.6640625" style="1119" bestFit="1" customWidth="1"/>
    <col min="15371" max="15371" width="11.6640625" style="1119" bestFit="1" customWidth="1"/>
    <col min="15372" max="15372" width="5.109375" style="1119" bestFit="1" customWidth="1"/>
    <col min="15373" max="15373" width="6.44140625" style="1119" bestFit="1" customWidth="1"/>
    <col min="15374" max="15374" width="10.77734375" style="1119" customWidth="1"/>
    <col min="15375" max="15375" width="6.33203125" style="1119" bestFit="1" customWidth="1"/>
    <col min="15376" max="15376" width="12.44140625" style="1119" bestFit="1" customWidth="1"/>
    <col min="15377" max="15377" width="12.33203125" style="1119" bestFit="1" customWidth="1"/>
    <col min="15378" max="15378" width="4.88671875" style="1119" bestFit="1" customWidth="1"/>
    <col min="15379" max="15379" width="7.33203125" style="1119" bestFit="1" customWidth="1"/>
    <col min="15380" max="15616" width="8.88671875" style="1119"/>
    <col min="15617" max="15617" width="7" style="1119" customWidth="1"/>
    <col min="15618" max="15618" width="3" style="1119" customWidth="1"/>
    <col min="15619" max="15619" width="5.77734375" style="1119" customWidth="1"/>
    <col min="15620" max="15620" width="13.33203125" style="1119" customWidth="1"/>
    <col min="15621" max="15621" width="13.6640625" style="1119" bestFit="1" customWidth="1"/>
    <col min="15622" max="15622" width="5.109375" style="1119" bestFit="1" customWidth="1"/>
    <col min="15623" max="15623" width="6.44140625" style="1119" bestFit="1" customWidth="1"/>
    <col min="15624" max="15624" width="3.44140625" style="1119" customWidth="1"/>
    <col min="15625" max="15625" width="4.5546875" style="1119" customWidth="1"/>
    <col min="15626" max="15626" width="17.6640625" style="1119" bestFit="1" customWidth="1"/>
    <col min="15627" max="15627" width="11.6640625" style="1119" bestFit="1" customWidth="1"/>
    <col min="15628" max="15628" width="5.109375" style="1119" bestFit="1" customWidth="1"/>
    <col min="15629" max="15629" width="6.44140625" style="1119" bestFit="1" customWidth="1"/>
    <col min="15630" max="15630" width="10.77734375" style="1119" customWidth="1"/>
    <col min="15631" max="15631" width="6.33203125" style="1119" bestFit="1" customWidth="1"/>
    <col min="15632" max="15632" width="12.44140625" style="1119" bestFit="1" customWidth="1"/>
    <col min="15633" max="15633" width="12.33203125" style="1119" bestFit="1" customWidth="1"/>
    <col min="15634" max="15634" width="4.88671875" style="1119" bestFit="1" customWidth="1"/>
    <col min="15635" max="15635" width="7.33203125" style="1119" bestFit="1" customWidth="1"/>
    <col min="15636" max="15872" width="8.88671875" style="1119"/>
    <col min="15873" max="15873" width="7" style="1119" customWidth="1"/>
    <col min="15874" max="15874" width="3" style="1119" customWidth="1"/>
    <col min="15875" max="15875" width="5.77734375" style="1119" customWidth="1"/>
    <col min="15876" max="15876" width="13.33203125" style="1119" customWidth="1"/>
    <col min="15877" max="15877" width="13.6640625" style="1119" bestFit="1" customWidth="1"/>
    <col min="15878" max="15878" width="5.109375" style="1119" bestFit="1" customWidth="1"/>
    <col min="15879" max="15879" width="6.44140625" style="1119" bestFit="1" customWidth="1"/>
    <col min="15880" max="15880" width="3.44140625" style="1119" customWidth="1"/>
    <col min="15881" max="15881" width="4.5546875" style="1119" customWidth="1"/>
    <col min="15882" max="15882" width="17.6640625" style="1119" bestFit="1" customWidth="1"/>
    <col min="15883" max="15883" width="11.6640625" style="1119" bestFit="1" customWidth="1"/>
    <col min="15884" max="15884" width="5.109375" style="1119" bestFit="1" customWidth="1"/>
    <col min="15885" max="15885" width="6.44140625" style="1119" bestFit="1" customWidth="1"/>
    <col min="15886" max="15886" width="10.77734375" style="1119" customWidth="1"/>
    <col min="15887" max="15887" width="6.33203125" style="1119" bestFit="1" customWidth="1"/>
    <col min="15888" max="15888" width="12.44140625" style="1119" bestFit="1" customWidth="1"/>
    <col min="15889" max="15889" width="12.33203125" style="1119" bestFit="1" customWidth="1"/>
    <col min="15890" max="15890" width="4.88671875" style="1119" bestFit="1" customWidth="1"/>
    <col min="15891" max="15891" width="7.33203125" style="1119" bestFit="1" customWidth="1"/>
    <col min="15892" max="16128" width="8.88671875" style="1119"/>
    <col min="16129" max="16129" width="7" style="1119" customWidth="1"/>
    <col min="16130" max="16130" width="3" style="1119" customWidth="1"/>
    <col min="16131" max="16131" width="5.77734375" style="1119" customWidth="1"/>
    <col min="16132" max="16132" width="13.33203125" style="1119" customWidth="1"/>
    <col min="16133" max="16133" width="13.6640625" style="1119" bestFit="1" customWidth="1"/>
    <col min="16134" max="16134" width="5.109375" style="1119" bestFit="1" customWidth="1"/>
    <col min="16135" max="16135" width="6.44140625" style="1119" bestFit="1" customWidth="1"/>
    <col min="16136" max="16136" width="3.44140625" style="1119" customWidth="1"/>
    <col min="16137" max="16137" width="4.5546875" style="1119" customWidth="1"/>
    <col min="16138" max="16138" width="17.6640625" style="1119" bestFit="1" customWidth="1"/>
    <col min="16139" max="16139" width="11.6640625" style="1119" bestFit="1" customWidth="1"/>
    <col min="16140" max="16140" width="5.109375" style="1119" bestFit="1" customWidth="1"/>
    <col min="16141" max="16141" width="6.44140625" style="1119" bestFit="1" customWidth="1"/>
    <col min="16142" max="16142" width="10.77734375" style="1119" customWidth="1"/>
    <col min="16143" max="16143" width="6.33203125" style="1119" bestFit="1" customWidth="1"/>
    <col min="16144" max="16144" width="12.44140625" style="1119" bestFit="1" customWidth="1"/>
    <col min="16145" max="16145" width="12.33203125" style="1119" bestFit="1" customWidth="1"/>
    <col min="16146" max="16146" width="4.88671875" style="1119" bestFit="1" customWidth="1"/>
    <col min="16147" max="16147" width="7.33203125" style="1119" bestFit="1" customWidth="1"/>
    <col min="16148" max="16384" width="8.88671875" style="1119"/>
  </cols>
  <sheetData>
    <row r="1" spans="1:26" ht="24.95" customHeight="1">
      <c r="A1" s="1116" t="s">
        <v>1687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8"/>
    </row>
    <row r="2" spans="1:26" s="1123" customFormat="1" ht="24.95" customHeight="1">
      <c r="A2" s="1120"/>
      <c r="B2" s="1120" t="s">
        <v>1688</v>
      </c>
      <c r="C2" s="1121" t="s">
        <v>1804</v>
      </c>
      <c r="D2" s="1120"/>
      <c r="E2" s="1120"/>
      <c r="F2" s="1120"/>
      <c r="G2" s="1120"/>
      <c r="H2" s="1120"/>
      <c r="I2" s="1120"/>
      <c r="J2" s="1120"/>
      <c r="K2" s="1120"/>
      <c r="L2" s="1120"/>
      <c r="M2" s="1120"/>
      <c r="N2" s="1122"/>
    </row>
    <row r="3" spans="1:26" s="1126" customFormat="1" ht="15" customHeight="1">
      <c r="A3" s="1121"/>
      <c r="B3" s="1124"/>
      <c r="C3" s="1124"/>
      <c r="D3" s="1124"/>
      <c r="E3" s="1124"/>
      <c r="F3" s="1124"/>
      <c r="G3" s="1124"/>
      <c r="H3" s="1124"/>
      <c r="I3" s="1124"/>
      <c r="J3" s="1124"/>
      <c r="K3" s="1124"/>
      <c r="L3" s="1124"/>
      <c r="M3" s="1124"/>
      <c r="N3" s="1125"/>
    </row>
    <row r="4" spans="1:26" ht="24.95" customHeight="1">
      <c r="A4" s="1116" t="s">
        <v>1689</v>
      </c>
      <c r="B4" s="1124"/>
      <c r="C4" s="1124"/>
      <c r="D4" s="1124"/>
      <c r="E4" s="1124"/>
      <c r="F4" s="1124"/>
      <c r="G4" s="1124"/>
      <c r="H4" s="1124"/>
      <c r="I4" s="1124"/>
      <c r="J4" s="1124"/>
      <c r="K4" s="1124"/>
      <c r="L4" s="1124"/>
      <c r="M4" s="1124"/>
      <c r="N4" s="1118"/>
    </row>
    <row r="5" spans="1:26" s="1123" customFormat="1" ht="35.1" customHeight="1">
      <c r="A5" s="1120" t="s">
        <v>1690</v>
      </c>
      <c r="B5" s="1127" t="s">
        <v>1688</v>
      </c>
      <c r="C5" s="1530" t="s">
        <v>1759</v>
      </c>
      <c r="D5" s="1530"/>
      <c r="E5" s="1530"/>
      <c r="F5" s="1530"/>
      <c r="G5" s="1530"/>
      <c r="H5" s="1530"/>
      <c r="I5" s="1530"/>
      <c r="J5" s="1530"/>
      <c r="K5" s="1530"/>
      <c r="L5" s="1530"/>
      <c r="M5" s="1530"/>
      <c r="N5" s="1128"/>
    </row>
    <row r="6" spans="1:26" s="1126" customFormat="1" ht="15" customHeight="1">
      <c r="A6" s="1121"/>
      <c r="B6" s="1120"/>
      <c r="C6" s="1530"/>
      <c r="D6" s="1530"/>
      <c r="E6" s="1530"/>
      <c r="F6" s="1530"/>
      <c r="G6" s="1530"/>
      <c r="H6" s="1530"/>
      <c r="I6" s="1530"/>
      <c r="J6" s="1530"/>
      <c r="K6" s="1530"/>
      <c r="L6" s="1530"/>
      <c r="M6" s="1530"/>
      <c r="N6" s="1530"/>
    </row>
    <row r="7" spans="1:26" ht="24.95" customHeight="1">
      <c r="A7" s="1116" t="s">
        <v>1691</v>
      </c>
      <c r="B7" s="1124"/>
      <c r="C7" s="1124"/>
      <c r="D7" s="1124"/>
      <c r="E7" s="1124"/>
      <c r="F7" s="1124"/>
      <c r="G7" s="1124"/>
      <c r="H7" s="1124"/>
      <c r="I7" s="1124"/>
      <c r="J7" s="1124"/>
      <c r="K7" s="1124"/>
      <c r="L7" s="1124"/>
      <c r="M7" s="1124"/>
      <c r="N7" s="1118"/>
      <c r="P7" s="1129"/>
      <c r="Q7" s="1130"/>
      <c r="R7" s="1130"/>
      <c r="S7" s="1130"/>
    </row>
    <row r="8" spans="1:26" s="1123" customFormat="1" ht="24.95" customHeight="1">
      <c r="A8" s="1120" t="s">
        <v>1692</v>
      </c>
      <c r="B8" s="1131" t="s">
        <v>1693</v>
      </c>
      <c r="C8" s="1120" t="s">
        <v>1694</v>
      </c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2"/>
      <c r="P8" s="1132"/>
      <c r="Q8" s="1133"/>
      <c r="R8" s="1133"/>
      <c r="S8" s="1134"/>
    </row>
    <row r="9" spans="1:26" s="1123" customFormat="1" ht="24.95" customHeight="1">
      <c r="A9" s="1120"/>
      <c r="B9" s="1120"/>
      <c r="C9" s="1135" t="s">
        <v>1805</v>
      </c>
      <c r="D9" s="1120"/>
      <c r="E9" s="1120"/>
      <c r="F9" s="1120"/>
      <c r="G9" s="1120"/>
      <c r="H9" s="1120"/>
      <c r="I9" s="1120"/>
      <c r="J9" s="1120"/>
      <c r="K9" s="1120"/>
      <c r="L9" s="1120"/>
      <c r="M9" s="1120"/>
      <c r="N9" s="1122"/>
      <c r="P9" s="1132"/>
      <c r="Q9" s="1133"/>
      <c r="R9" s="1133"/>
      <c r="S9" s="1136"/>
    </row>
    <row r="10" spans="1:26" s="1123" customFormat="1" ht="15" customHeight="1">
      <c r="A10" s="1120"/>
      <c r="B10" s="1120"/>
      <c r="C10" s="1135"/>
      <c r="D10" s="1120"/>
      <c r="E10" s="1120"/>
      <c r="F10" s="1120"/>
      <c r="G10" s="1120"/>
      <c r="H10" s="1120"/>
      <c r="I10" s="1120"/>
      <c r="J10" s="1120"/>
      <c r="K10" s="1120"/>
      <c r="L10" s="1120"/>
      <c r="M10" s="1120"/>
      <c r="N10" s="1122"/>
      <c r="P10" s="1132"/>
      <c r="Q10" s="1133"/>
      <c r="R10" s="1133"/>
      <c r="S10" s="1136"/>
    </row>
    <row r="11" spans="1:26" s="1123" customFormat="1" ht="24.95" customHeight="1">
      <c r="A11" s="1120"/>
      <c r="B11" s="1131" t="s">
        <v>1695</v>
      </c>
      <c r="C11" s="1120" t="s">
        <v>1696</v>
      </c>
      <c r="D11" s="1120"/>
      <c r="E11" s="1120"/>
      <c r="F11" s="1120"/>
      <c r="G11" s="1120"/>
      <c r="H11" s="1120"/>
      <c r="I11" s="1120"/>
      <c r="J11" s="1120"/>
      <c r="K11" s="1137"/>
      <c r="L11" s="1138"/>
      <c r="M11" s="1137"/>
      <c r="N11" s="1139"/>
      <c r="O11" s="1140"/>
      <c r="P11" s="1139"/>
      <c r="Q11" s="1139"/>
      <c r="R11" s="1139"/>
      <c r="S11" s="1139"/>
      <c r="T11" s="1141"/>
      <c r="U11" s="1139"/>
      <c r="V11" s="1139"/>
      <c r="W11" s="1139"/>
      <c r="X11" s="1139"/>
      <c r="Y11" s="1139"/>
      <c r="Z11" s="1139"/>
    </row>
    <row r="12" spans="1:26" s="1123" customFormat="1" ht="24.75" customHeight="1">
      <c r="A12" s="1120"/>
      <c r="B12" s="1131"/>
      <c r="C12" s="1142" t="s">
        <v>1717</v>
      </c>
      <c r="D12" s="1120"/>
      <c r="E12" s="1120"/>
      <c r="F12" s="1120"/>
      <c r="G12" s="1120"/>
      <c r="H12" s="1120"/>
      <c r="I12" s="1120"/>
      <c r="J12" s="1120"/>
      <c r="K12" s="1137"/>
      <c r="L12" s="1138"/>
      <c r="M12" s="1137"/>
      <c r="N12" s="1139"/>
      <c r="O12" s="1140"/>
      <c r="P12" s="1143"/>
      <c r="Q12" s="1139"/>
      <c r="R12" s="1139"/>
      <c r="S12" s="1139"/>
      <c r="T12" s="1141"/>
      <c r="U12" s="1139"/>
      <c r="V12" s="1139"/>
      <c r="W12" s="1139"/>
      <c r="X12" s="1139"/>
      <c r="Y12" s="1139"/>
      <c r="Z12" s="1139"/>
    </row>
    <row r="13" spans="1:26" s="1123" customFormat="1" ht="24.95" customHeight="1">
      <c r="A13" s="1120"/>
      <c r="B13" s="1131"/>
      <c r="C13" s="1142" t="s">
        <v>1718</v>
      </c>
      <c r="D13" s="1120"/>
      <c r="E13" s="1120"/>
      <c r="F13" s="1120"/>
      <c r="G13" s="1120"/>
      <c r="H13" s="1120"/>
      <c r="I13" s="1120"/>
      <c r="J13" s="1120"/>
      <c r="K13" s="1137"/>
      <c r="L13" s="1138"/>
      <c r="M13" s="1137"/>
      <c r="N13" s="1139"/>
      <c r="O13" s="1140"/>
      <c r="P13" s="1139"/>
      <c r="Q13" s="1139"/>
      <c r="R13" s="1139"/>
      <c r="S13" s="1139"/>
      <c r="T13" s="1141"/>
      <c r="U13" s="1139"/>
      <c r="V13" s="1139"/>
      <c r="W13" s="1139"/>
      <c r="X13" s="1139"/>
      <c r="Y13" s="1139"/>
      <c r="Z13" s="1139"/>
    </row>
    <row r="14" spans="1:26" s="1123" customFormat="1" ht="24.95" customHeight="1">
      <c r="A14" s="1120"/>
      <c r="B14" s="1131"/>
      <c r="C14" s="1142" t="s">
        <v>1757</v>
      </c>
      <c r="D14" s="1120"/>
      <c r="E14" s="1120"/>
      <c r="F14" s="1120"/>
      <c r="G14" s="1120"/>
      <c r="H14" s="1120"/>
      <c r="I14" s="1120"/>
      <c r="J14" s="1120"/>
      <c r="K14" s="1137"/>
      <c r="L14" s="1138"/>
      <c r="M14" s="1137"/>
      <c r="N14" s="1139"/>
      <c r="O14" s="1140"/>
      <c r="P14" s="1139"/>
      <c r="Q14" s="1139"/>
      <c r="R14" s="1139"/>
      <c r="S14" s="1139"/>
      <c r="T14" s="1141"/>
      <c r="U14" s="1139"/>
      <c r="V14" s="1139"/>
      <c r="W14" s="1139"/>
      <c r="X14" s="1139"/>
      <c r="Y14" s="1139"/>
      <c r="Z14" s="1139"/>
    </row>
    <row r="15" spans="1:26" s="1123" customFormat="1" ht="24.95" customHeight="1">
      <c r="A15" s="1120"/>
      <c r="B15" s="1131"/>
      <c r="C15" s="1142"/>
      <c r="D15" s="1120"/>
      <c r="E15" s="1120"/>
      <c r="F15" s="1120"/>
      <c r="G15" s="1120"/>
      <c r="H15" s="1120"/>
      <c r="I15" s="1120"/>
      <c r="J15" s="1120"/>
      <c r="K15" s="1137"/>
      <c r="L15" s="1138"/>
      <c r="M15" s="1137"/>
      <c r="N15" s="1139"/>
      <c r="O15" s="1140"/>
      <c r="P15" s="1139"/>
      <c r="Q15" s="1139"/>
      <c r="R15" s="1139"/>
      <c r="S15" s="1139"/>
      <c r="T15" s="1141"/>
      <c r="U15" s="1139"/>
      <c r="V15" s="1139"/>
      <c r="W15" s="1139"/>
      <c r="X15" s="1139"/>
      <c r="Y15" s="1139"/>
      <c r="Z15" s="1139"/>
    </row>
    <row r="16" spans="1:26" s="1122" customFormat="1" ht="24.95" customHeight="1">
      <c r="A16" s="1116" t="s">
        <v>1697</v>
      </c>
      <c r="B16" s="1124"/>
      <c r="C16" s="1124"/>
      <c r="D16" s="1124"/>
      <c r="E16" s="1124"/>
      <c r="F16" s="1144"/>
      <c r="G16" s="1145"/>
      <c r="H16" s="1145"/>
      <c r="I16" s="1120"/>
      <c r="J16" s="1144"/>
      <c r="K16" s="1144"/>
      <c r="L16" s="1144"/>
      <c r="M16" s="1146"/>
    </row>
    <row r="17" spans="1:14" s="1123" customFormat="1" ht="24.95" customHeight="1">
      <c r="A17" s="1116"/>
      <c r="B17" s="1120" t="s">
        <v>1688</v>
      </c>
      <c r="C17" s="1121" t="s">
        <v>1719</v>
      </c>
      <c r="D17" s="1120"/>
      <c r="E17" s="1120"/>
      <c r="F17" s="1124"/>
      <c r="G17" s="1120"/>
      <c r="H17" s="1120"/>
      <c r="I17" s="1120"/>
      <c r="J17" s="1120"/>
      <c r="K17" s="1120"/>
      <c r="L17" s="1120"/>
      <c r="M17" s="1120"/>
      <c r="N17" s="1122"/>
    </row>
    <row r="18" spans="1:14" s="1123" customFormat="1" ht="24.95" customHeight="1">
      <c r="A18" s="1116"/>
      <c r="B18" s="1120"/>
      <c r="C18" s="1121"/>
      <c r="D18" s="1120"/>
      <c r="E18" s="1120"/>
      <c r="F18" s="1124"/>
      <c r="G18" s="1120"/>
      <c r="H18" s="1120"/>
      <c r="I18" s="1120"/>
      <c r="J18" s="1120"/>
      <c r="K18" s="1120"/>
      <c r="L18" s="1120"/>
      <c r="M18" s="1120"/>
      <c r="N18" s="1122"/>
    </row>
    <row r="19" spans="1:14" s="1123" customFormat="1" ht="24.95" customHeight="1">
      <c r="A19" s="1116"/>
      <c r="B19" s="1120"/>
      <c r="C19" s="1121"/>
      <c r="D19" s="1120"/>
      <c r="E19" s="1120"/>
      <c r="F19" s="1124"/>
      <c r="G19" s="1120"/>
      <c r="H19" s="1120"/>
      <c r="I19" s="1120"/>
      <c r="J19" s="1120"/>
      <c r="K19" s="1120"/>
      <c r="L19" s="1120"/>
      <c r="M19" s="1120"/>
      <c r="N19" s="1122"/>
    </row>
    <row r="20" spans="1:14" s="1123" customFormat="1" ht="24.95" customHeight="1">
      <c r="A20" s="1116"/>
      <c r="B20" s="1120"/>
      <c r="C20" s="1121"/>
      <c r="D20" s="1120"/>
      <c r="E20" s="1120"/>
      <c r="F20" s="1124"/>
      <c r="G20" s="1120"/>
      <c r="H20" s="1120"/>
      <c r="I20" s="1120"/>
      <c r="J20" s="1120"/>
      <c r="K20" s="1120"/>
      <c r="L20" s="1120"/>
      <c r="M20" s="1120"/>
      <c r="N20" s="1122"/>
    </row>
    <row r="21" spans="1:14" ht="24.95" customHeight="1">
      <c r="A21" s="1116" t="s">
        <v>1698</v>
      </c>
      <c r="B21" s="1117"/>
      <c r="C21" s="1117"/>
      <c r="D21" s="1117"/>
      <c r="E21" s="1117"/>
      <c r="F21" s="1117"/>
      <c r="G21" s="1117"/>
      <c r="H21" s="1117"/>
      <c r="I21" s="1117"/>
      <c r="J21" s="1117"/>
      <c r="K21" s="1117"/>
      <c r="L21" s="1117"/>
      <c r="M21" s="1117"/>
      <c r="N21" s="1118"/>
    </row>
    <row r="22" spans="1:14" s="1147" customFormat="1" ht="24.95" customHeight="1">
      <c r="A22" s="1116"/>
      <c r="B22" s="1120" t="s">
        <v>1688</v>
      </c>
      <c r="C22" s="1121" t="s">
        <v>1699</v>
      </c>
      <c r="D22" s="1120"/>
      <c r="E22" s="1120"/>
      <c r="F22" s="1120"/>
      <c r="G22" s="1120"/>
      <c r="H22" s="1120"/>
      <c r="I22" s="1120"/>
      <c r="J22" s="1120"/>
      <c r="K22" s="1120"/>
      <c r="L22" s="1120"/>
      <c r="M22" s="1120"/>
      <c r="N22" s="1122"/>
    </row>
    <row r="23" spans="1:14" s="1123" customFormat="1" ht="24.95" customHeight="1">
      <c r="A23" s="1116"/>
      <c r="B23" s="1120" t="s">
        <v>1688</v>
      </c>
      <c r="C23" s="1121" t="s">
        <v>1700</v>
      </c>
      <c r="D23" s="1120"/>
      <c r="E23" s="1120"/>
      <c r="F23" s="1120"/>
      <c r="G23" s="1120"/>
      <c r="H23" s="1120"/>
      <c r="I23" s="1120"/>
      <c r="J23" s="1120"/>
      <c r="K23" s="1120"/>
      <c r="L23" s="1120"/>
      <c r="M23" s="1120"/>
      <c r="N23" s="1122"/>
    </row>
    <row r="24" spans="1:14" s="1123" customFormat="1" ht="24.95" customHeight="1">
      <c r="A24" s="1116"/>
      <c r="B24" s="1120"/>
      <c r="C24" s="1121" t="s">
        <v>1701</v>
      </c>
      <c r="D24" s="1120"/>
      <c r="E24" s="1120"/>
      <c r="F24" s="1120"/>
      <c r="G24" s="1120"/>
      <c r="H24" s="1120"/>
      <c r="I24" s="1120"/>
      <c r="J24" s="1120"/>
      <c r="K24" s="1120"/>
      <c r="L24" s="1120"/>
      <c r="M24" s="1120"/>
      <c r="N24" s="1122"/>
    </row>
    <row r="25" spans="1:14" s="1147" customFormat="1" ht="24.95" customHeight="1">
      <c r="A25" s="1116"/>
      <c r="B25" s="1120" t="s">
        <v>1702</v>
      </c>
      <c r="C25" s="1121" t="s">
        <v>1703</v>
      </c>
      <c r="D25" s="1120"/>
      <c r="E25" s="1120"/>
      <c r="F25" s="1120"/>
      <c r="G25" s="1120"/>
      <c r="H25" s="1120"/>
      <c r="I25" s="1120"/>
      <c r="J25" s="1120"/>
      <c r="K25" s="1120"/>
      <c r="L25" s="1120"/>
      <c r="M25" s="1120"/>
      <c r="N25" s="1122"/>
    </row>
    <row r="26" spans="1:14" s="1147" customFormat="1" ht="24.95" customHeight="1">
      <c r="A26" s="1120"/>
      <c r="B26" s="1120" t="s">
        <v>1688</v>
      </c>
      <c r="C26" s="1121" t="s">
        <v>1704</v>
      </c>
      <c r="D26" s="1120"/>
      <c r="E26" s="1120"/>
      <c r="F26" s="1120"/>
      <c r="G26" s="1120"/>
      <c r="H26" s="1120"/>
      <c r="I26" s="1120"/>
      <c r="J26" s="1120"/>
      <c r="K26" s="1120"/>
      <c r="L26" s="1120"/>
      <c r="M26" s="1120"/>
      <c r="N26" s="1122"/>
    </row>
    <row r="27" spans="1:14" s="1147" customFormat="1" ht="24.95" customHeight="1">
      <c r="A27" s="1120"/>
      <c r="B27" s="1120" t="s">
        <v>1705</v>
      </c>
      <c r="C27" s="1121" t="s">
        <v>1706</v>
      </c>
      <c r="D27" s="1120"/>
      <c r="E27" s="1120"/>
      <c r="F27" s="1120"/>
      <c r="G27" s="1120"/>
      <c r="H27" s="1120"/>
      <c r="I27" s="1120"/>
      <c r="J27" s="1120"/>
      <c r="K27" s="1120"/>
      <c r="L27" s="1120"/>
      <c r="M27" s="1120"/>
      <c r="N27" s="1122"/>
    </row>
    <row r="28" spans="1:14" s="1147" customFormat="1" ht="24.95" customHeight="1">
      <c r="A28" s="1148"/>
      <c r="B28" s="1120" t="s">
        <v>1702</v>
      </c>
      <c r="C28" s="1121" t="s">
        <v>1807</v>
      </c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</row>
    <row r="29" spans="1:14" s="1147" customFormat="1" ht="24.95" customHeight="1">
      <c r="A29" s="1148"/>
      <c r="B29" s="1120"/>
      <c r="C29" s="1121" t="s">
        <v>1729</v>
      </c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</row>
    <row r="30" spans="1:14" s="1147" customFormat="1" ht="24.95" customHeight="1">
      <c r="A30" s="1148"/>
      <c r="B30" s="1120" t="s">
        <v>1688</v>
      </c>
      <c r="C30" s="1121" t="s">
        <v>1707</v>
      </c>
      <c r="D30" s="1148"/>
      <c r="E30" s="1148"/>
      <c r="F30" s="1148"/>
      <c r="G30" s="1148"/>
      <c r="H30" s="1148"/>
      <c r="I30" s="1148"/>
      <c r="J30" s="1148"/>
      <c r="K30" s="1148"/>
      <c r="L30" s="1148"/>
      <c r="M30" s="1148"/>
    </row>
    <row r="31" spans="1:14" s="1147" customFormat="1" ht="24.95" customHeight="1">
      <c r="A31" s="1148"/>
      <c r="B31" s="1120" t="s">
        <v>1688</v>
      </c>
      <c r="C31" s="1135" t="s">
        <v>1708</v>
      </c>
      <c r="D31" s="1148"/>
      <c r="E31" s="1148"/>
      <c r="F31" s="1148"/>
      <c r="G31" s="1148"/>
      <c r="H31" s="1148"/>
      <c r="I31" s="1148"/>
      <c r="J31" s="1148"/>
      <c r="K31" s="1148"/>
      <c r="L31" s="1148"/>
      <c r="M31" s="1148"/>
    </row>
    <row r="32" spans="1:14" s="1126" customFormat="1" ht="24.95" customHeight="1">
      <c r="A32" s="1121"/>
      <c r="B32" s="1124"/>
      <c r="C32" s="1124"/>
      <c r="D32" s="1124"/>
      <c r="E32" s="1124"/>
      <c r="F32" s="1124"/>
      <c r="G32" s="1124"/>
      <c r="H32" s="1124"/>
      <c r="I32" s="1124"/>
      <c r="J32" s="1124"/>
      <c r="K32" s="1124"/>
      <c r="L32" s="1124"/>
      <c r="M32" s="1124"/>
      <c r="N32" s="1125"/>
    </row>
    <row r="33" spans="1:16" s="1126" customFormat="1" ht="24.95" customHeight="1">
      <c r="A33" s="1121"/>
      <c r="B33" s="1124"/>
      <c r="C33" s="1124"/>
      <c r="D33" s="1124"/>
      <c r="E33" s="1124"/>
      <c r="F33" s="1124"/>
      <c r="G33" s="1124"/>
      <c r="H33" s="1124"/>
      <c r="I33" s="1124"/>
      <c r="J33" s="1124"/>
      <c r="K33" s="1124"/>
      <c r="L33" s="1124"/>
      <c r="M33" s="1124"/>
      <c r="N33" s="1125"/>
    </row>
    <row r="34" spans="1:16" s="1126" customFormat="1" ht="24.95" customHeight="1">
      <c r="A34" s="1121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N34" s="1125"/>
    </row>
    <row r="35" spans="1:16" ht="24.95" customHeight="1">
      <c r="A35" s="1116"/>
      <c r="B35" s="1124"/>
      <c r="C35" s="1124"/>
      <c r="D35" s="1124"/>
      <c r="E35" s="1124"/>
      <c r="F35" s="1124"/>
      <c r="G35" s="1124"/>
      <c r="H35" s="1124"/>
      <c r="I35" s="1124"/>
      <c r="J35" s="1124"/>
      <c r="K35" s="1124"/>
      <c r="L35" s="1124"/>
      <c r="M35" s="1124"/>
      <c r="N35" s="1118"/>
    </row>
    <row r="36" spans="1:16" s="1123" customFormat="1" ht="24.95" customHeight="1">
      <c r="A36" s="1120"/>
      <c r="B36" s="1120"/>
      <c r="C36" s="1531"/>
      <c r="D36" s="1531"/>
      <c r="E36" s="1531"/>
      <c r="F36" s="1531"/>
      <c r="G36" s="1531"/>
      <c r="H36" s="1531"/>
      <c r="I36" s="1531"/>
      <c r="J36" s="1531"/>
      <c r="K36" s="1531"/>
      <c r="L36" s="1531"/>
      <c r="M36" s="1531"/>
      <c r="N36" s="1531"/>
    </row>
    <row r="37" spans="1:16" s="1126" customFormat="1" ht="24.95" customHeight="1">
      <c r="A37" s="1121"/>
      <c r="B37" s="1124"/>
      <c r="C37" s="1124"/>
      <c r="D37" s="1124"/>
      <c r="E37" s="1124"/>
      <c r="F37" s="1124"/>
      <c r="G37" s="1124"/>
      <c r="H37" s="1124"/>
      <c r="I37" s="1124"/>
      <c r="J37" s="1124"/>
      <c r="K37" s="1124"/>
      <c r="L37" s="1124"/>
      <c r="M37" s="1124"/>
      <c r="N37" s="1125"/>
    </row>
    <row r="38" spans="1:16" ht="24.95" customHeight="1">
      <c r="A38" s="1116"/>
      <c r="B38" s="1124"/>
      <c r="C38" s="1124"/>
      <c r="D38" s="1124"/>
      <c r="E38" s="1124"/>
      <c r="F38" s="1124"/>
      <c r="G38" s="1124"/>
      <c r="H38" s="1124"/>
      <c r="I38" s="1124"/>
      <c r="J38" s="1124"/>
      <c r="K38" s="1124"/>
      <c r="L38" s="1124"/>
      <c r="M38" s="1124"/>
      <c r="N38" s="1118"/>
      <c r="P38" s="1149"/>
    </row>
    <row r="39" spans="1:16" s="1123" customFormat="1" ht="24.95" customHeight="1">
      <c r="A39" s="1120"/>
      <c r="B39" s="1120"/>
      <c r="C39" s="1120"/>
      <c r="D39" s="1120"/>
      <c r="E39" s="1120"/>
      <c r="F39" s="1120"/>
      <c r="G39" s="1120"/>
      <c r="H39" s="1120"/>
      <c r="I39" s="1120"/>
      <c r="J39" s="1120"/>
      <c r="K39" s="1120"/>
      <c r="L39" s="1120"/>
      <c r="M39" s="1120"/>
      <c r="N39" s="1122"/>
      <c r="P39" s="1150"/>
    </row>
  </sheetData>
  <mergeCells count="3">
    <mergeCell ref="C5:M5"/>
    <mergeCell ref="C6:N6"/>
    <mergeCell ref="C36:N36"/>
  </mergeCells>
  <phoneticPr fontId="7" type="noConversion"/>
  <printOptions horizontalCentered="1"/>
  <pageMargins left="0.78740157480314965" right="0.39370078740157483" top="0.78740157480314965" bottom="0.78740157480314965" header="0.11811023622047245" footer="0.118110236220472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view="pageBreakPreview" zoomScaleNormal="100" zoomScaleSheetLayoutView="100" workbookViewId="0">
      <selection activeCell="C23" sqref="C23"/>
    </sheetView>
  </sheetViews>
  <sheetFormatPr defaultRowHeight="11.25"/>
  <cols>
    <col min="1" max="1" width="13.88671875" style="1155" customWidth="1"/>
    <col min="2" max="2" width="9.21875" style="1155" customWidth="1"/>
    <col min="3" max="14" width="6.21875" style="1155" customWidth="1"/>
    <col min="15" max="15" width="7.109375" style="1155" customWidth="1"/>
    <col min="16" max="256" width="8.88671875" style="1155"/>
    <col min="257" max="257" width="13.88671875" style="1155" customWidth="1"/>
    <col min="258" max="258" width="9.21875" style="1155" customWidth="1"/>
    <col min="259" max="270" width="6.21875" style="1155" customWidth="1"/>
    <col min="271" max="271" width="7.109375" style="1155" customWidth="1"/>
    <col min="272" max="512" width="8.88671875" style="1155"/>
    <col min="513" max="513" width="13.88671875" style="1155" customWidth="1"/>
    <col min="514" max="514" width="9.21875" style="1155" customWidth="1"/>
    <col min="515" max="526" width="6.21875" style="1155" customWidth="1"/>
    <col min="527" max="527" width="7.109375" style="1155" customWidth="1"/>
    <col min="528" max="768" width="8.88671875" style="1155"/>
    <col min="769" max="769" width="13.88671875" style="1155" customWidth="1"/>
    <col min="770" max="770" width="9.21875" style="1155" customWidth="1"/>
    <col min="771" max="782" width="6.21875" style="1155" customWidth="1"/>
    <col min="783" max="783" width="7.109375" style="1155" customWidth="1"/>
    <col min="784" max="1024" width="8.88671875" style="1155"/>
    <col min="1025" max="1025" width="13.88671875" style="1155" customWidth="1"/>
    <col min="1026" max="1026" width="9.21875" style="1155" customWidth="1"/>
    <col min="1027" max="1038" width="6.21875" style="1155" customWidth="1"/>
    <col min="1039" max="1039" width="7.109375" style="1155" customWidth="1"/>
    <col min="1040" max="1280" width="8.88671875" style="1155"/>
    <col min="1281" max="1281" width="13.88671875" style="1155" customWidth="1"/>
    <col min="1282" max="1282" width="9.21875" style="1155" customWidth="1"/>
    <col min="1283" max="1294" width="6.21875" style="1155" customWidth="1"/>
    <col min="1295" max="1295" width="7.109375" style="1155" customWidth="1"/>
    <col min="1296" max="1536" width="8.88671875" style="1155"/>
    <col min="1537" max="1537" width="13.88671875" style="1155" customWidth="1"/>
    <col min="1538" max="1538" width="9.21875" style="1155" customWidth="1"/>
    <col min="1539" max="1550" width="6.21875" style="1155" customWidth="1"/>
    <col min="1551" max="1551" width="7.109375" style="1155" customWidth="1"/>
    <col min="1552" max="1792" width="8.88671875" style="1155"/>
    <col min="1793" max="1793" width="13.88671875" style="1155" customWidth="1"/>
    <col min="1794" max="1794" width="9.21875" style="1155" customWidth="1"/>
    <col min="1795" max="1806" width="6.21875" style="1155" customWidth="1"/>
    <col min="1807" max="1807" width="7.109375" style="1155" customWidth="1"/>
    <col min="1808" max="2048" width="8.88671875" style="1155"/>
    <col min="2049" max="2049" width="13.88671875" style="1155" customWidth="1"/>
    <col min="2050" max="2050" width="9.21875" style="1155" customWidth="1"/>
    <col min="2051" max="2062" width="6.21875" style="1155" customWidth="1"/>
    <col min="2063" max="2063" width="7.109375" style="1155" customWidth="1"/>
    <col min="2064" max="2304" width="8.88671875" style="1155"/>
    <col min="2305" max="2305" width="13.88671875" style="1155" customWidth="1"/>
    <col min="2306" max="2306" width="9.21875" style="1155" customWidth="1"/>
    <col min="2307" max="2318" width="6.21875" style="1155" customWidth="1"/>
    <col min="2319" max="2319" width="7.109375" style="1155" customWidth="1"/>
    <col min="2320" max="2560" width="8.88671875" style="1155"/>
    <col min="2561" max="2561" width="13.88671875" style="1155" customWidth="1"/>
    <col min="2562" max="2562" width="9.21875" style="1155" customWidth="1"/>
    <col min="2563" max="2574" width="6.21875" style="1155" customWidth="1"/>
    <col min="2575" max="2575" width="7.109375" style="1155" customWidth="1"/>
    <col min="2576" max="2816" width="8.88671875" style="1155"/>
    <col min="2817" max="2817" width="13.88671875" style="1155" customWidth="1"/>
    <col min="2818" max="2818" width="9.21875" style="1155" customWidth="1"/>
    <col min="2819" max="2830" width="6.21875" style="1155" customWidth="1"/>
    <col min="2831" max="2831" width="7.109375" style="1155" customWidth="1"/>
    <col min="2832" max="3072" width="8.88671875" style="1155"/>
    <col min="3073" max="3073" width="13.88671875" style="1155" customWidth="1"/>
    <col min="3074" max="3074" width="9.21875" style="1155" customWidth="1"/>
    <col min="3075" max="3086" width="6.21875" style="1155" customWidth="1"/>
    <col min="3087" max="3087" width="7.109375" style="1155" customWidth="1"/>
    <col min="3088" max="3328" width="8.88671875" style="1155"/>
    <col min="3329" max="3329" width="13.88671875" style="1155" customWidth="1"/>
    <col min="3330" max="3330" width="9.21875" style="1155" customWidth="1"/>
    <col min="3331" max="3342" width="6.21875" style="1155" customWidth="1"/>
    <col min="3343" max="3343" width="7.109375" style="1155" customWidth="1"/>
    <col min="3344" max="3584" width="8.88671875" style="1155"/>
    <col min="3585" max="3585" width="13.88671875" style="1155" customWidth="1"/>
    <col min="3586" max="3586" width="9.21875" style="1155" customWidth="1"/>
    <col min="3587" max="3598" width="6.21875" style="1155" customWidth="1"/>
    <col min="3599" max="3599" width="7.109375" style="1155" customWidth="1"/>
    <col min="3600" max="3840" width="8.88671875" style="1155"/>
    <col min="3841" max="3841" width="13.88671875" style="1155" customWidth="1"/>
    <col min="3842" max="3842" width="9.21875" style="1155" customWidth="1"/>
    <col min="3843" max="3854" width="6.21875" style="1155" customWidth="1"/>
    <col min="3855" max="3855" width="7.109375" style="1155" customWidth="1"/>
    <col min="3856" max="4096" width="8.88671875" style="1155"/>
    <col min="4097" max="4097" width="13.88671875" style="1155" customWidth="1"/>
    <col min="4098" max="4098" width="9.21875" style="1155" customWidth="1"/>
    <col min="4099" max="4110" width="6.21875" style="1155" customWidth="1"/>
    <col min="4111" max="4111" width="7.109375" style="1155" customWidth="1"/>
    <col min="4112" max="4352" width="8.88671875" style="1155"/>
    <col min="4353" max="4353" width="13.88671875" style="1155" customWidth="1"/>
    <col min="4354" max="4354" width="9.21875" style="1155" customWidth="1"/>
    <col min="4355" max="4366" width="6.21875" style="1155" customWidth="1"/>
    <col min="4367" max="4367" width="7.109375" style="1155" customWidth="1"/>
    <col min="4368" max="4608" width="8.88671875" style="1155"/>
    <col min="4609" max="4609" width="13.88671875" style="1155" customWidth="1"/>
    <col min="4610" max="4610" width="9.21875" style="1155" customWidth="1"/>
    <col min="4611" max="4622" width="6.21875" style="1155" customWidth="1"/>
    <col min="4623" max="4623" width="7.109375" style="1155" customWidth="1"/>
    <col min="4624" max="4864" width="8.88671875" style="1155"/>
    <col min="4865" max="4865" width="13.88671875" style="1155" customWidth="1"/>
    <col min="4866" max="4866" width="9.21875" style="1155" customWidth="1"/>
    <col min="4867" max="4878" width="6.21875" style="1155" customWidth="1"/>
    <col min="4879" max="4879" width="7.109375" style="1155" customWidth="1"/>
    <col min="4880" max="5120" width="8.88671875" style="1155"/>
    <col min="5121" max="5121" width="13.88671875" style="1155" customWidth="1"/>
    <col min="5122" max="5122" width="9.21875" style="1155" customWidth="1"/>
    <col min="5123" max="5134" width="6.21875" style="1155" customWidth="1"/>
    <col min="5135" max="5135" width="7.109375" style="1155" customWidth="1"/>
    <col min="5136" max="5376" width="8.88671875" style="1155"/>
    <col min="5377" max="5377" width="13.88671875" style="1155" customWidth="1"/>
    <col min="5378" max="5378" width="9.21875" style="1155" customWidth="1"/>
    <col min="5379" max="5390" width="6.21875" style="1155" customWidth="1"/>
    <col min="5391" max="5391" width="7.109375" style="1155" customWidth="1"/>
    <col min="5392" max="5632" width="8.88671875" style="1155"/>
    <col min="5633" max="5633" width="13.88671875" style="1155" customWidth="1"/>
    <col min="5634" max="5634" width="9.21875" style="1155" customWidth="1"/>
    <col min="5635" max="5646" width="6.21875" style="1155" customWidth="1"/>
    <col min="5647" max="5647" width="7.109375" style="1155" customWidth="1"/>
    <col min="5648" max="5888" width="8.88671875" style="1155"/>
    <col min="5889" max="5889" width="13.88671875" style="1155" customWidth="1"/>
    <col min="5890" max="5890" width="9.21875" style="1155" customWidth="1"/>
    <col min="5891" max="5902" width="6.21875" style="1155" customWidth="1"/>
    <col min="5903" max="5903" width="7.109375" style="1155" customWidth="1"/>
    <col min="5904" max="6144" width="8.88671875" style="1155"/>
    <col min="6145" max="6145" width="13.88671875" style="1155" customWidth="1"/>
    <col min="6146" max="6146" width="9.21875" style="1155" customWidth="1"/>
    <col min="6147" max="6158" width="6.21875" style="1155" customWidth="1"/>
    <col min="6159" max="6159" width="7.109375" style="1155" customWidth="1"/>
    <col min="6160" max="6400" width="8.88671875" style="1155"/>
    <col min="6401" max="6401" width="13.88671875" style="1155" customWidth="1"/>
    <col min="6402" max="6402" width="9.21875" style="1155" customWidth="1"/>
    <col min="6403" max="6414" width="6.21875" style="1155" customWidth="1"/>
    <col min="6415" max="6415" width="7.109375" style="1155" customWidth="1"/>
    <col min="6416" max="6656" width="8.88671875" style="1155"/>
    <col min="6657" max="6657" width="13.88671875" style="1155" customWidth="1"/>
    <col min="6658" max="6658" width="9.21875" style="1155" customWidth="1"/>
    <col min="6659" max="6670" width="6.21875" style="1155" customWidth="1"/>
    <col min="6671" max="6671" width="7.109375" style="1155" customWidth="1"/>
    <col min="6672" max="6912" width="8.88671875" style="1155"/>
    <col min="6913" max="6913" width="13.88671875" style="1155" customWidth="1"/>
    <col min="6914" max="6914" width="9.21875" style="1155" customWidth="1"/>
    <col min="6915" max="6926" width="6.21875" style="1155" customWidth="1"/>
    <col min="6927" max="6927" width="7.109375" style="1155" customWidth="1"/>
    <col min="6928" max="7168" width="8.88671875" style="1155"/>
    <col min="7169" max="7169" width="13.88671875" style="1155" customWidth="1"/>
    <col min="7170" max="7170" width="9.21875" style="1155" customWidth="1"/>
    <col min="7171" max="7182" width="6.21875" style="1155" customWidth="1"/>
    <col min="7183" max="7183" width="7.109375" style="1155" customWidth="1"/>
    <col min="7184" max="7424" width="8.88671875" style="1155"/>
    <col min="7425" max="7425" width="13.88671875" style="1155" customWidth="1"/>
    <col min="7426" max="7426" width="9.21875" style="1155" customWidth="1"/>
    <col min="7427" max="7438" width="6.21875" style="1155" customWidth="1"/>
    <col min="7439" max="7439" width="7.109375" style="1155" customWidth="1"/>
    <col min="7440" max="7680" width="8.88671875" style="1155"/>
    <col min="7681" max="7681" width="13.88671875" style="1155" customWidth="1"/>
    <col min="7682" max="7682" width="9.21875" style="1155" customWidth="1"/>
    <col min="7683" max="7694" width="6.21875" style="1155" customWidth="1"/>
    <col min="7695" max="7695" width="7.109375" style="1155" customWidth="1"/>
    <col min="7696" max="7936" width="8.88671875" style="1155"/>
    <col min="7937" max="7937" width="13.88671875" style="1155" customWidth="1"/>
    <col min="7938" max="7938" width="9.21875" style="1155" customWidth="1"/>
    <col min="7939" max="7950" width="6.21875" style="1155" customWidth="1"/>
    <col min="7951" max="7951" width="7.109375" style="1155" customWidth="1"/>
    <col min="7952" max="8192" width="8.88671875" style="1155"/>
    <col min="8193" max="8193" width="13.88671875" style="1155" customWidth="1"/>
    <col min="8194" max="8194" width="9.21875" style="1155" customWidth="1"/>
    <col min="8195" max="8206" width="6.21875" style="1155" customWidth="1"/>
    <col min="8207" max="8207" width="7.109375" style="1155" customWidth="1"/>
    <col min="8208" max="8448" width="8.88671875" style="1155"/>
    <col min="8449" max="8449" width="13.88671875" style="1155" customWidth="1"/>
    <col min="8450" max="8450" width="9.21875" style="1155" customWidth="1"/>
    <col min="8451" max="8462" width="6.21875" style="1155" customWidth="1"/>
    <col min="8463" max="8463" width="7.109375" style="1155" customWidth="1"/>
    <col min="8464" max="8704" width="8.88671875" style="1155"/>
    <col min="8705" max="8705" width="13.88671875" style="1155" customWidth="1"/>
    <col min="8706" max="8706" width="9.21875" style="1155" customWidth="1"/>
    <col min="8707" max="8718" width="6.21875" style="1155" customWidth="1"/>
    <col min="8719" max="8719" width="7.109375" style="1155" customWidth="1"/>
    <col min="8720" max="8960" width="8.88671875" style="1155"/>
    <col min="8961" max="8961" width="13.88671875" style="1155" customWidth="1"/>
    <col min="8962" max="8962" width="9.21875" style="1155" customWidth="1"/>
    <col min="8963" max="8974" width="6.21875" style="1155" customWidth="1"/>
    <col min="8975" max="8975" width="7.109375" style="1155" customWidth="1"/>
    <col min="8976" max="9216" width="8.88671875" style="1155"/>
    <col min="9217" max="9217" width="13.88671875" style="1155" customWidth="1"/>
    <col min="9218" max="9218" width="9.21875" style="1155" customWidth="1"/>
    <col min="9219" max="9230" width="6.21875" style="1155" customWidth="1"/>
    <col min="9231" max="9231" width="7.109375" style="1155" customWidth="1"/>
    <col min="9232" max="9472" width="8.88671875" style="1155"/>
    <col min="9473" max="9473" width="13.88671875" style="1155" customWidth="1"/>
    <col min="9474" max="9474" width="9.21875" style="1155" customWidth="1"/>
    <col min="9475" max="9486" width="6.21875" style="1155" customWidth="1"/>
    <col min="9487" max="9487" width="7.109375" style="1155" customWidth="1"/>
    <col min="9488" max="9728" width="8.88671875" style="1155"/>
    <col min="9729" max="9729" width="13.88671875" style="1155" customWidth="1"/>
    <col min="9730" max="9730" width="9.21875" style="1155" customWidth="1"/>
    <col min="9731" max="9742" width="6.21875" style="1155" customWidth="1"/>
    <col min="9743" max="9743" width="7.109375" style="1155" customWidth="1"/>
    <col min="9744" max="9984" width="8.88671875" style="1155"/>
    <col min="9985" max="9985" width="13.88671875" style="1155" customWidth="1"/>
    <col min="9986" max="9986" width="9.21875" style="1155" customWidth="1"/>
    <col min="9987" max="9998" width="6.21875" style="1155" customWidth="1"/>
    <col min="9999" max="9999" width="7.109375" style="1155" customWidth="1"/>
    <col min="10000" max="10240" width="8.88671875" style="1155"/>
    <col min="10241" max="10241" width="13.88671875" style="1155" customWidth="1"/>
    <col min="10242" max="10242" width="9.21875" style="1155" customWidth="1"/>
    <col min="10243" max="10254" width="6.21875" style="1155" customWidth="1"/>
    <col min="10255" max="10255" width="7.109375" style="1155" customWidth="1"/>
    <col min="10256" max="10496" width="8.88671875" style="1155"/>
    <col min="10497" max="10497" width="13.88671875" style="1155" customWidth="1"/>
    <col min="10498" max="10498" width="9.21875" style="1155" customWidth="1"/>
    <col min="10499" max="10510" width="6.21875" style="1155" customWidth="1"/>
    <col min="10511" max="10511" width="7.109375" style="1155" customWidth="1"/>
    <col min="10512" max="10752" width="8.88671875" style="1155"/>
    <col min="10753" max="10753" width="13.88671875" style="1155" customWidth="1"/>
    <col min="10754" max="10754" width="9.21875" style="1155" customWidth="1"/>
    <col min="10755" max="10766" width="6.21875" style="1155" customWidth="1"/>
    <col min="10767" max="10767" width="7.109375" style="1155" customWidth="1"/>
    <col min="10768" max="11008" width="8.88671875" style="1155"/>
    <col min="11009" max="11009" width="13.88671875" style="1155" customWidth="1"/>
    <col min="11010" max="11010" width="9.21875" style="1155" customWidth="1"/>
    <col min="11011" max="11022" width="6.21875" style="1155" customWidth="1"/>
    <col min="11023" max="11023" width="7.109375" style="1155" customWidth="1"/>
    <col min="11024" max="11264" width="8.88671875" style="1155"/>
    <col min="11265" max="11265" width="13.88671875" style="1155" customWidth="1"/>
    <col min="11266" max="11266" width="9.21875" style="1155" customWidth="1"/>
    <col min="11267" max="11278" width="6.21875" style="1155" customWidth="1"/>
    <col min="11279" max="11279" width="7.109375" style="1155" customWidth="1"/>
    <col min="11280" max="11520" width="8.88671875" style="1155"/>
    <col min="11521" max="11521" width="13.88671875" style="1155" customWidth="1"/>
    <col min="11522" max="11522" width="9.21875" style="1155" customWidth="1"/>
    <col min="11523" max="11534" width="6.21875" style="1155" customWidth="1"/>
    <col min="11535" max="11535" width="7.109375" style="1155" customWidth="1"/>
    <col min="11536" max="11776" width="8.88671875" style="1155"/>
    <col min="11777" max="11777" width="13.88671875" style="1155" customWidth="1"/>
    <col min="11778" max="11778" width="9.21875" style="1155" customWidth="1"/>
    <col min="11779" max="11790" width="6.21875" style="1155" customWidth="1"/>
    <col min="11791" max="11791" width="7.109375" style="1155" customWidth="1"/>
    <col min="11792" max="12032" width="8.88671875" style="1155"/>
    <col min="12033" max="12033" width="13.88671875" style="1155" customWidth="1"/>
    <col min="12034" max="12034" width="9.21875" style="1155" customWidth="1"/>
    <col min="12035" max="12046" width="6.21875" style="1155" customWidth="1"/>
    <col min="12047" max="12047" width="7.109375" style="1155" customWidth="1"/>
    <col min="12048" max="12288" width="8.88671875" style="1155"/>
    <col min="12289" max="12289" width="13.88671875" style="1155" customWidth="1"/>
    <col min="12290" max="12290" width="9.21875" style="1155" customWidth="1"/>
    <col min="12291" max="12302" width="6.21875" style="1155" customWidth="1"/>
    <col min="12303" max="12303" width="7.109375" style="1155" customWidth="1"/>
    <col min="12304" max="12544" width="8.88671875" style="1155"/>
    <col min="12545" max="12545" width="13.88671875" style="1155" customWidth="1"/>
    <col min="12546" max="12546" width="9.21875" style="1155" customWidth="1"/>
    <col min="12547" max="12558" width="6.21875" style="1155" customWidth="1"/>
    <col min="12559" max="12559" width="7.109375" style="1155" customWidth="1"/>
    <col min="12560" max="12800" width="8.88671875" style="1155"/>
    <col min="12801" max="12801" width="13.88671875" style="1155" customWidth="1"/>
    <col min="12802" max="12802" width="9.21875" style="1155" customWidth="1"/>
    <col min="12803" max="12814" width="6.21875" style="1155" customWidth="1"/>
    <col min="12815" max="12815" width="7.109375" style="1155" customWidth="1"/>
    <col min="12816" max="13056" width="8.88671875" style="1155"/>
    <col min="13057" max="13057" width="13.88671875" style="1155" customWidth="1"/>
    <col min="13058" max="13058" width="9.21875" style="1155" customWidth="1"/>
    <col min="13059" max="13070" width="6.21875" style="1155" customWidth="1"/>
    <col min="13071" max="13071" width="7.109375" style="1155" customWidth="1"/>
    <col min="13072" max="13312" width="8.88671875" style="1155"/>
    <col min="13313" max="13313" width="13.88671875" style="1155" customWidth="1"/>
    <col min="13314" max="13314" width="9.21875" style="1155" customWidth="1"/>
    <col min="13315" max="13326" width="6.21875" style="1155" customWidth="1"/>
    <col min="13327" max="13327" width="7.109375" style="1155" customWidth="1"/>
    <col min="13328" max="13568" width="8.88671875" style="1155"/>
    <col min="13569" max="13569" width="13.88671875" style="1155" customWidth="1"/>
    <col min="13570" max="13570" width="9.21875" style="1155" customWidth="1"/>
    <col min="13571" max="13582" width="6.21875" style="1155" customWidth="1"/>
    <col min="13583" max="13583" width="7.109375" style="1155" customWidth="1"/>
    <col min="13584" max="13824" width="8.88671875" style="1155"/>
    <col min="13825" max="13825" width="13.88671875" style="1155" customWidth="1"/>
    <col min="13826" max="13826" width="9.21875" style="1155" customWidth="1"/>
    <col min="13827" max="13838" width="6.21875" style="1155" customWidth="1"/>
    <col min="13839" max="13839" width="7.109375" style="1155" customWidth="1"/>
    <col min="13840" max="14080" width="8.88671875" style="1155"/>
    <col min="14081" max="14081" width="13.88671875" style="1155" customWidth="1"/>
    <col min="14082" max="14082" width="9.21875" style="1155" customWidth="1"/>
    <col min="14083" max="14094" width="6.21875" style="1155" customWidth="1"/>
    <col min="14095" max="14095" width="7.109375" style="1155" customWidth="1"/>
    <col min="14096" max="14336" width="8.88671875" style="1155"/>
    <col min="14337" max="14337" width="13.88671875" style="1155" customWidth="1"/>
    <col min="14338" max="14338" width="9.21875" style="1155" customWidth="1"/>
    <col min="14339" max="14350" width="6.21875" style="1155" customWidth="1"/>
    <col min="14351" max="14351" width="7.109375" style="1155" customWidth="1"/>
    <col min="14352" max="14592" width="8.88671875" style="1155"/>
    <col min="14593" max="14593" width="13.88671875" style="1155" customWidth="1"/>
    <col min="14594" max="14594" width="9.21875" style="1155" customWidth="1"/>
    <col min="14595" max="14606" width="6.21875" style="1155" customWidth="1"/>
    <col min="14607" max="14607" width="7.109375" style="1155" customWidth="1"/>
    <col min="14608" max="14848" width="8.88671875" style="1155"/>
    <col min="14849" max="14849" width="13.88671875" style="1155" customWidth="1"/>
    <col min="14850" max="14850" width="9.21875" style="1155" customWidth="1"/>
    <col min="14851" max="14862" width="6.21875" style="1155" customWidth="1"/>
    <col min="14863" max="14863" width="7.109375" style="1155" customWidth="1"/>
    <col min="14864" max="15104" width="8.88671875" style="1155"/>
    <col min="15105" max="15105" width="13.88671875" style="1155" customWidth="1"/>
    <col min="15106" max="15106" width="9.21875" style="1155" customWidth="1"/>
    <col min="15107" max="15118" width="6.21875" style="1155" customWidth="1"/>
    <col min="15119" max="15119" width="7.109375" style="1155" customWidth="1"/>
    <col min="15120" max="15360" width="8.88671875" style="1155"/>
    <col min="15361" max="15361" width="13.88671875" style="1155" customWidth="1"/>
    <col min="15362" max="15362" width="9.21875" style="1155" customWidth="1"/>
    <col min="15363" max="15374" width="6.21875" style="1155" customWidth="1"/>
    <col min="15375" max="15375" width="7.109375" style="1155" customWidth="1"/>
    <col min="15376" max="15616" width="8.88671875" style="1155"/>
    <col min="15617" max="15617" width="13.88671875" style="1155" customWidth="1"/>
    <col min="15618" max="15618" width="9.21875" style="1155" customWidth="1"/>
    <col min="15619" max="15630" width="6.21875" style="1155" customWidth="1"/>
    <col min="15631" max="15631" width="7.109375" style="1155" customWidth="1"/>
    <col min="15632" max="15872" width="8.88671875" style="1155"/>
    <col min="15873" max="15873" width="13.88671875" style="1155" customWidth="1"/>
    <col min="15874" max="15874" width="9.21875" style="1155" customWidth="1"/>
    <col min="15875" max="15886" width="6.21875" style="1155" customWidth="1"/>
    <col min="15887" max="15887" width="7.109375" style="1155" customWidth="1"/>
    <col min="15888" max="16128" width="8.88671875" style="1155"/>
    <col min="16129" max="16129" width="13.88671875" style="1155" customWidth="1"/>
    <col min="16130" max="16130" width="9.21875" style="1155" customWidth="1"/>
    <col min="16131" max="16142" width="6.21875" style="1155" customWidth="1"/>
    <col min="16143" max="16143" width="7.109375" style="1155" customWidth="1"/>
    <col min="16144" max="16384" width="8.88671875" style="1155"/>
  </cols>
  <sheetData>
    <row r="1" spans="1:15" ht="32.25" customHeight="1">
      <c r="A1" s="1152" t="s">
        <v>1806</v>
      </c>
      <c r="B1" s="1153"/>
      <c r="C1" s="1153"/>
      <c r="D1" s="1153"/>
      <c r="E1" s="1153"/>
      <c r="F1" s="1154"/>
      <c r="G1" s="1154"/>
      <c r="H1" s="1154"/>
      <c r="I1" s="1154"/>
      <c r="J1" s="1154"/>
      <c r="K1" s="1154"/>
      <c r="L1" s="1154"/>
      <c r="M1" s="1154"/>
      <c r="N1" s="1154"/>
      <c r="O1" s="1154"/>
    </row>
    <row r="2" spans="1:15" ht="39" customHeight="1">
      <c r="A2" s="1532" t="s">
        <v>1709</v>
      </c>
      <c r="B2" s="1532" t="s">
        <v>1710</v>
      </c>
      <c r="C2" s="1534" t="s">
        <v>1720</v>
      </c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6"/>
      <c r="O2" s="1532" t="s">
        <v>1711</v>
      </c>
    </row>
    <row r="3" spans="1:15" ht="39" customHeight="1">
      <c r="A3" s="1533"/>
      <c r="B3" s="1533"/>
      <c r="C3" s="1532" t="s">
        <v>1722</v>
      </c>
      <c r="D3" s="1532"/>
      <c r="E3" s="1532" t="s">
        <v>1723</v>
      </c>
      <c r="F3" s="1532"/>
      <c r="G3" s="1534" t="s">
        <v>1721</v>
      </c>
      <c r="H3" s="1536"/>
      <c r="I3" s="1532" t="s">
        <v>1724</v>
      </c>
      <c r="J3" s="1532"/>
      <c r="K3" s="1532" t="s">
        <v>1725</v>
      </c>
      <c r="L3" s="1532"/>
      <c r="M3" s="1532" t="s">
        <v>1726</v>
      </c>
      <c r="N3" s="1532"/>
      <c r="O3" s="1532"/>
    </row>
    <row r="4" spans="1:15" ht="45" customHeight="1">
      <c r="A4" s="1156" t="s">
        <v>1712</v>
      </c>
      <c r="B4" s="1157">
        <v>0.2</v>
      </c>
      <c r="C4" s="1158"/>
      <c r="D4" s="1159"/>
      <c r="E4" s="1158"/>
      <c r="F4" s="1159"/>
      <c r="G4" s="1158"/>
      <c r="H4" s="1159"/>
      <c r="I4" s="1162"/>
      <c r="J4" s="1163"/>
      <c r="K4" s="1162"/>
      <c r="L4" s="1163"/>
      <c r="M4" s="1162"/>
      <c r="N4" s="1163"/>
      <c r="O4" s="1164"/>
    </row>
    <row r="5" spans="1:15" ht="45" customHeight="1">
      <c r="A5" s="1156" t="s">
        <v>1727</v>
      </c>
      <c r="B5" s="1157">
        <v>0.3</v>
      </c>
      <c r="C5" s="1160"/>
      <c r="D5" s="1161"/>
      <c r="E5" s="1158"/>
      <c r="F5" s="1159"/>
      <c r="G5" s="1158"/>
      <c r="H5" s="1159"/>
      <c r="I5" s="1158"/>
      <c r="J5" s="1159"/>
      <c r="K5" s="1158"/>
      <c r="L5" s="1159"/>
      <c r="M5" s="1158"/>
      <c r="N5" s="1159"/>
      <c r="O5" s="1164"/>
    </row>
    <row r="6" spans="1:15" ht="45" customHeight="1">
      <c r="A6" s="1156" t="s">
        <v>1728</v>
      </c>
      <c r="B6" s="1157">
        <v>0.3</v>
      </c>
      <c r="C6" s="1160"/>
      <c r="D6" s="1161"/>
      <c r="E6" s="1158"/>
      <c r="F6" s="1159"/>
      <c r="G6" s="1158"/>
      <c r="H6" s="1159"/>
      <c r="I6" s="1158"/>
      <c r="J6" s="1159"/>
      <c r="K6" s="1158"/>
      <c r="L6" s="1159"/>
      <c r="M6" s="1158"/>
      <c r="N6" s="1159"/>
      <c r="O6" s="1164"/>
    </row>
    <row r="7" spans="1:15" ht="45" customHeight="1">
      <c r="A7" s="1156" t="s">
        <v>1758</v>
      </c>
      <c r="B7" s="1157">
        <v>0.15</v>
      </c>
      <c r="C7" s="1160"/>
      <c r="D7" s="1161"/>
      <c r="E7" s="1160"/>
      <c r="F7" s="1161"/>
      <c r="G7" s="1160"/>
      <c r="H7" s="1161"/>
      <c r="I7" s="1158"/>
      <c r="J7" s="1159"/>
      <c r="K7" s="1158"/>
      <c r="L7" s="1159"/>
      <c r="M7" s="1158"/>
      <c r="N7" s="1159"/>
      <c r="O7" s="1164"/>
    </row>
    <row r="8" spans="1:15" ht="45" customHeight="1">
      <c r="A8" s="1156" t="s">
        <v>1713</v>
      </c>
      <c r="B8" s="1157">
        <v>0.05</v>
      </c>
      <c r="C8" s="1160"/>
      <c r="D8" s="1161"/>
      <c r="E8" s="1160"/>
      <c r="F8" s="1161"/>
      <c r="G8" s="1160"/>
      <c r="H8" s="1161"/>
      <c r="I8" s="1160"/>
      <c r="J8" s="1161"/>
      <c r="K8" s="1160"/>
      <c r="L8" s="1161"/>
      <c r="M8" s="1158"/>
      <c r="N8" s="1159"/>
      <c r="O8" s="1164"/>
    </row>
    <row r="9" spans="1:15" ht="45" customHeight="1">
      <c r="A9" s="1164" t="s">
        <v>1714</v>
      </c>
      <c r="B9" s="1157">
        <f>SUM(B4:B8)</f>
        <v>1</v>
      </c>
      <c r="C9" s="1160"/>
      <c r="D9" s="1161"/>
      <c r="E9" s="1160"/>
      <c r="F9" s="1161"/>
      <c r="G9" s="1160"/>
      <c r="H9" s="1161"/>
      <c r="I9" s="1160"/>
      <c r="J9" s="1161"/>
      <c r="K9" s="1160"/>
      <c r="L9" s="1161"/>
      <c r="M9" s="1160"/>
      <c r="N9" s="1161"/>
      <c r="O9" s="1164"/>
    </row>
    <row r="10" spans="1:15" ht="53.25" customHeight="1">
      <c r="A10" s="1165"/>
      <c r="B10" s="1166"/>
      <c r="C10" s="1167"/>
      <c r="D10" s="1167"/>
      <c r="E10" s="1167"/>
      <c r="F10" s="1167"/>
      <c r="G10" s="1167"/>
      <c r="H10" s="1167"/>
      <c r="I10" s="1167"/>
      <c r="J10" s="1167"/>
      <c r="K10" s="1167"/>
      <c r="L10" s="1167"/>
      <c r="M10" s="1167"/>
      <c r="N10" s="1167"/>
      <c r="O10" s="1165"/>
    </row>
    <row r="40" spans="10:14" ht="13.5">
      <c r="J40" s="1168" t="s">
        <v>1715</v>
      </c>
      <c r="N40" s="1168" t="s">
        <v>1716</v>
      </c>
    </row>
  </sheetData>
  <mergeCells count="10">
    <mergeCell ref="A2:A3"/>
    <mergeCell ref="B2:B3"/>
    <mergeCell ref="C2:N2"/>
    <mergeCell ref="O2:O3"/>
    <mergeCell ref="C3:D3"/>
    <mergeCell ref="E3:F3"/>
    <mergeCell ref="G3:H3"/>
    <mergeCell ref="I3:J3"/>
    <mergeCell ref="K3:L3"/>
    <mergeCell ref="M3:N3"/>
  </mergeCells>
  <phoneticPr fontId="7" type="noConversion"/>
  <printOptions horizontalCentered="1"/>
  <pageMargins left="0.59055118110236227" right="0.59055118110236227" top="0.78740157480314965" bottom="0.78740157480314965" header="0.11811023622047245" footer="0.118110236220472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0"/>
  </sheetPr>
  <dimension ref="A1:N81"/>
  <sheetViews>
    <sheetView view="pageBreakPreview" zoomScaleSheetLayoutView="100" workbookViewId="0">
      <selection activeCell="D26" sqref="D26"/>
    </sheetView>
  </sheetViews>
  <sheetFormatPr defaultRowHeight="13.5"/>
  <cols>
    <col min="1" max="1" width="5.33203125" style="162" customWidth="1"/>
    <col min="2" max="2" width="11.88671875" style="162" customWidth="1"/>
    <col min="3" max="3" width="28.77734375" style="162" customWidth="1"/>
    <col min="4" max="4" width="17" style="162" customWidth="1"/>
    <col min="5" max="5" width="40.5546875" style="162" customWidth="1"/>
    <col min="6" max="6" width="8.5546875" style="162" customWidth="1"/>
    <col min="7" max="7" width="10.6640625" style="162" customWidth="1"/>
    <col min="8" max="8" width="14.109375" style="162" customWidth="1"/>
    <col min="9" max="9" width="8.88671875" style="162" customWidth="1"/>
    <col min="10" max="10" width="12.21875" style="162" customWidth="1"/>
    <col min="11" max="11" width="10.5546875" style="162" bestFit="1" customWidth="1"/>
    <col min="12" max="16384" width="8.88671875" style="162"/>
  </cols>
  <sheetData>
    <row r="1" spans="1:14" ht="30" customHeight="1">
      <c r="A1" s="1537" t="s">
        <v>404</v>
      </c>
      <c r="B1" s="1537"/>
      <c r="C1" s="1537"/>
      <c r="D1" s="1537"/>
      <c r="E1" s="1537"/>
      <c r="F1" s="1537"/>
      <c r="G1" s="162" t="s">
        <v>1683</v>
      </c>
    </row>
    <row r="2" spans="1:14" ht="16.5" customHeight="1">
      <c r="A2" s="163" t="str">
        <f>예갑!B8</f>
        <v>2022년 경기창작센터 예술공원 조성사업(전기)</v>
      </c>
      <c r="B2" s="164"/>
      <c r="C2" s="164"/>
      <c r="D2" s="165"/>
      <c r="E2" s="165"/>
      <c r="F2" s="166"/>
      <c r="N2" s="162" t="s">
        <v>129</v>
      </c>
    </row>
    <row r="3" spans="1:14" ht="18.95" customHeight="1">
      <c r="A3" s="1217" t="s">
        <v>405</v>
      </c>
      <c r="B3" s="1542" t="s">
        <v>406</v>
      </c>
      <c r="C3" s="1542"/>
      <c r="D3" s="1217" t="s">
        <v>407</v>
      </c>
      <c r="E3" s="1217" t="s">
        <v>408</v>
      </c>
      <c r="F3" s="1217" t="s">
        <v>409</v>
      </c>
    </row>
    <row r="4" spans="1:14" ht="17.45" customHeight="1">
      <c r="A4" s="1543" t="s">
        <v>410</v>
      </c>
      <c r="B4" s="1541" t="s">
        <v>411</v>
      </c>
      <c r="C4" s="1218" t="s">
        <v>412</v>
      </c>
      <c r="D4" s="1219" t="e">
        <f>총괄표!G5</f>
        <v>#REF!</v>
      </c>
      <c r="E4" s="1218"/>
      <c r="F4" s="1220"/>
    </row>
    <row r="5" spans="1:14" ht="17.45" customHeight="1">
      <c r="A5" s="1544"/>
      <c r="B5" s="1541"/>
      <c r="C5" s="1218" t="s">
        <v>413</v>
      </c>
      <c r="D5" s="1219"/>
      <c r="E5" s="1218"/>
      <c r="F5" s="1220"/>
    </row>
    <row r="6" spans="1:14" ht="17.45" customHeight="1">
      <c r="A6" s="1544"/>
      <c r="B6" s="1541"/>
      <c r="C6" s="1218" t="s">
        <v>414</v>
      </c>
      <c r="D6" s="1219" t="e">
        <f>INT(SUM(D4:D5))</f>
        <v>#REF!</v>
      </c>
      <c r="E6" s="1218"/>
      <c r="F6" s="1220"/>
    </row>
    <row r="7" spans="1:14" ht="17.45" customHeight="1">
      <c r="A7" s="1544"/>
      <c r="B7" s="1541" t="s">
        <v>415</v>
      </c>
      <c r="C7" s="1218" t="s">
        <v>416</v>
      </c>
      <c r="D7" s="1219">
        <f>총괄표!I5</f>
        <v>0</v>
      </c>
      <c r="E7" s="1218" t="s">
        <v>417</v>
      </c>
      <c r="F7" s="1221"/>
    </row>
    <row r="8" spans="1:14" ht="17.45" customHeight="1">
      <c r="A8" s="1544"/>
      <c r="B8" s="1541"/>
      <c r="C8" s="1218" t="s">
        <v>418</v>
      </c>
      <c r="D8" s="1219">
        <f>INT(D7*E8/100)</f>
        <v>0</v>
      </c>
      <c r="E8" s="1222">
        <v>13.8</v>
      </c>
      <c r="F8" s="1221"/>
    </row>
    <row r="9" spans="1:14" ht="17.45" customHeight="1">
      <c r="A9" s="1544"/>
      <c r="B9" s="1541"/>
      <c r="C9" s="1218" t="s">
        <v>414</v>
      </c>
      <c r="D9" s="1219">
        <f>SUM(D7:D8)</f>
        <v>0</v>
      </c>
      <c r="E9" s="1218"/>
      <c r="F9" s="1221"/>
    </row>
    <row r="10" spans="1:14" ht="17.45" customHeight="1">
      <c r="A10" s="1544"/>
      <c r="B10" s="1541" t="s">
        <v>419</v>
      </c>
      <c r="C10" s="1218" t="s">
        <v>420</v>
      </c>
      <c r="D10" s="1219">
        <f>총괄표!K5</f>
        <v>0</v>
      </c>
      <c r="E10" s="1222"/>
      <c r="F10" s="1221"/>
    </row>
    <row r="11" spans="1:14" ht="17.45" customHeight="1">
      <c r="A11" s="1544"/>
      <c r="B11" s="1541"/>
      <c r="C11" s="1218" t="s">
        <v>421</v>
      </c>
      <c r="D11" s="1219">
        <f>INT(D7*E11/100)</f>
        <v>0</v>
      </c>
      <c r="E11" s="1222">
        <v>3.5449999999999999</v>
      </c>
      <c r="F11" s="1221"/>
    </row>
    <row r="12" spans="1:14" ht="17.45" customHeight="1">
      <c r="A12" s="1544"/>
      <c r="B12" s="1541"/>
      <c r="C12" s="1218" t="s">
        <v>422</v>
      </c>
      <c r="D12" s="1219">
        <f>INT(D7*E12/100)</f>
        <v>0</v>
      </c>
      <c r="E12" s="1222">
        <v>4.5</v>
      </c>
      <c r="F12" s="1221"/>
    </row>
    <row r="13" spans="1:14" ht="17.45" customHeight="1">
      <c r="A13" s="1544"/>
      <c r="B13" s="1541"/>
      <c r="C13" s="1218" t="s">
        <v>423</v>
      </c>
      <c r="D13" s="1219">
        <f>INT(D11*E13/100)</f>
        <v>0</v>
      </c>
      <c r="E13" s="1223">
        <v>12.81</v>
      </c>
      <c r="F13" s="1221"/>
    </row>
    <row r="14" spans="1:14" ht="17.45" customHeight="1">
      <c r="A14" s="1544"/>
      <c r="B14" s="1541"/>
      <c r="C14" s="1218" t="s">
        <v>424</v>
      </c>
      <c r="D14" s="1219">
        <f>INT(D9*E14/100)</f>
        <v>0</v>
      </c>
      <c r="E14" s="1224">
        <v>3.7</v>
      </c>
      <c r="F14" s="1221"/>
    </row>
    <row r="15" spans="1:14" ht="17.45" customHeight="1">
      <c r="A15" s="1544"/>
      <c r="B15" s="1541"/>
      <c r="C15" s="1218" t="s">
        <v>425</v>
      </c>
      <c r="D15" s="1219">
        <f>INT(D9*E15/100)</f>
        <v>0</v>
      </c>
      <c r="E15" s="1224">
        <v>1.01</v>
      </c>
      <c r="F15" s="1221"/>
    </row>
    <row r="16" spans="1:14" ht="17.45" customHeight="1">
      <c r="A16" s="1544"/>
      <c r="B16" s="1541"/>
      <c r="C16" s="1541" t="s">
        <v>426</v>
      </c>
      <c r="D16" s="1547" t="e">
        <f>MIN(F16:F17)</f>
        <v>#REF!</v>
      </c>
      <c r="E16" s="1248">
        <v>2.93</v>
      </c>
      <c r="F16" s="1225" t="e">
        <f>J16</f>
        <v>#REF!</v>
      </c>
      <c r="G16" s="167"/>
      <c r="H16" s="168"/>
      <c r="I16" s="867"/>
      <c r="J16" s="169" t="e">
        <f>INT((((D6+D7)*E16/100+I16)*1*1.2))</f>
        <v>#REF!</v>
      </c>
    </row>
    <row r="17" spans="1:10" ht="17.45" customHeight="1">
      <c r="A17" s="1544"/>
      <c r="B17" s="1541"/>
      <c r="C17" s="1541"/>
      <c r="D17" s="1547"/>
      <c r="E17" s="1226">
        <v>2.93</v>
      </c>
      <c r="F17" s="1225" t="e">
        <f>J17</f>
        <v>#REF!</v>
      </c>
      <c r="G17" s="167"/>
      <c r="H17" s="168"/>
      <c r="I17" s="867"/>
      <c r="J17" s="868" t="e">
        <f>INT(((D6+D7+D27/1.1)*E17/100))+I17</f>
        <v>#REF!</v>
      </c>
    </row>
    <row r="18" spans="1:10" ht="17.45" hidden="1" customHeight="1">
      <c r="A18" s="1544"/>
      <c r="B18" s="1541"/>
      <c r="C18" s="1227" t="s">
        <v>1634</v>
      </c>
      <c r="D18" s="1219"/>
      <c r="E18" s="1222">
        <v>2.2999999999999998</v>
      </c>
      <c r="F18" s="1225"/>
      <c r="G18" s="1095"/>
      <c r="H18" s="1096"/>
      <c r="I18" s="1097"/>
      <c r="J18" s="1098"/>
    </row>
    <row r="19" spans="1:10" ht="17.45" customHeight="1">
      <c r="A19" s="1544"/>
      <c r="B19" s="1541"/>
      <c r="C19" s="1218" t="s">
        <v>1559</v>
      </c>
      <c r="D19" s="1219" t="e">
        <f>INT((D6+D9)*E19/100)</f>
        <v>#REF!</v>
      </c>
      <c r="E19" s="1228">
        <v>7.6</v>
      </c>
      <c r="F19" s="1221"/>
    </row>
    <row r="20" spans="1:10" ht="17.45" customHeight="1">
      <c r="A20" s="1544"/>
      <c r="B20" s="1541"/>
      <c r="C20" s="1218" t="s">
        <v>427</v>
      </c>
      <c r="D20" s="1219" t="e">
        <f>TRUNC(SUM(D10:D19))</f>
        <v>#REF!</v>
      </c>
      <c r="E20" s="1222"/>
      <c r="F20" s="1221"/>
    </row>
    <row r="21" spans="1:10" ht="17.45" customHeight="1">
      <c r="A21" s="1544"/>
      <c r="B21" s="1541" t="s">
        <v>428</v>
      </c>
      <c r="C21" s="1541"/>
      <c r="D21" s="1219" t="e">
        <f>D6+D9+D20</f>
        <v>#REF!</v>
      </c>
      <c r="E21" s="1218"/>
      <c r="F21" s="1221"/>
    </row>
    <row r="22" spans="1:10" ht="17.45" customHeight="1">
      <c r="A22" s="1229"/>
      <c r="B22" s="1229" t="s">
        <v>429</v>
      </c>
      <c r="C22" s="1229"/>
      <c r="D22" s="1219" t="e">
        <f>TRUNC(D21*E22/100,1)</f>
        <v>#REF!</v>
      </c>
      <c r="E22" s="1230">
        <v>6</v>
      </c>
      <c r="F22" s="1221"/>
    </row>
    <row r="23" spans="1:10" ht="17.45" customHeight="1">
      <c r="A23" s="1229"/>
      <c r="B23" s="1229" t="s">
        <v>430</v>
      </c>
      <c r="C23" s="1229"/>
      <c r="D23" s="1219" t="e">
        <f>TRUNC(((D9+D20+D22)*E23/100),0)-H23/1.1</f>
        <v>#REF!</v>
      </c>
      <c r="E23" s="1231">
        <v>15</v>
      </c>
      <c r="F23" s="1232"/>
      <c r="G23" s="162" t="s">
        <v>282</v>
      </c>
      <c r="H23" s="162">
        <v>8877</v>
      </c>
    </row>
    <row r="24" spans="1:10" ht="17.45" customHeight="1">
      <c r="A24" s="1229"/>
      <c r="B24" s="1538" t="s">
        <v>431</v>
      </c>
      <c r="C24" s="1539"/>
      <c r="D24" s="1219" t="e">
        <f>TRUNC(SUM(D21:D23),0)</f>
        <v>#REF!</v>
      </c>
      <c r="E24" s="1218"/>
      <c r="F24" s="1233"/>
    </row>
    <row r="25" spans="1:10" ht="17.45" customHeight="1">
      <c r="A25" s="1229"/>
      <c r="B25" s="1234" t="s">
        <v>432</v>
      </c>
      <c r="C25" s="1229"/>
      <c r="D25" s="1219" t="e">
        <f>TRUNC(D24*E25/100,0)-0</f>
        <v>#REF!</v>
      </c>
      <c r="E25" s="1235">
        <v>10</v>
      </c>
      <c r="F25" s="1233"/>
    </row>
    <row r="26" spans="1:10" ht="17.45" customHeight="1">
      <c r="A26" s="1229"/>
      <c r="B26" s="1236" t="s">
        <v>517</v>
      </c>
      <c r="C26" s="1237"/>
      <c r="D26" s="1238" t="e">
        <f>INT(SUM(D24:D25))</f>
        <v>#REF!</v>
      </c>
      <c r="E26" s="1235"/>
      <c r="F26" s="1233"/>
    </row>
    <row r="27" spans="1:10" ht="17.45" customHeight="1">
      <c r="A27" s="1229"/>
      <c r="B27" s="1236" t="s">
        <v>1358</v>
      </c>
      <c r="C27" s="1237"/>
      <c r="D27" s="1238" t="e">
        <f>총괄표!M9</f>
        <v>#REF!</v>
      </c>
      <c r="E27" s="1235"/>
      <c r="F27" s="1233"/>
    </row>
    <row r="28" spans="1:10" ht="17.45" hidden="1" customHeight="1">
      <c r="A28" s="1229"/>
      <c r="B28" s="1236" t="s">
        <v>1012</v>
      </c>
      <c r="C28" s="1237"/>
      <c r="D28" s="1238"/>
      <c r="E28" s="1235"/>
      <c r="F28" s="1233"/>
    </row>
    <row r="29" spans="1:10" ht="17.45" customHeight="1">
      <c r="A29" s="1229"/>
      <c r="B29" s="1545" t="s">
        <v>433</v>
      </c>
      <c r="C29" s="1546"/>
      <c r="D29" s="1239" t="e">
        <f>SUM(D26:D28)</f>
        <v>#REF!</v>
      </c>
      <c r="E29" s="1235"/>
      <c r="F29" s="1233"/>
    </row>
    <row r="30" spans="1:10" ht="15.95" customHeight="1">
      <c r="A30" s="1540"/>
      <c r="B30" s="1540"/>
      <c r="C30" s="1540"/>
      <c r="D30" s="1086"/>
      <c r="E30" s="1087"/>
      <c r="F30" s="1087"/>
    </row>
    <row r="31" spans="1:10" ht="15.95" customHeight="1">
      <c r="D31" s="806">
        <v>2228168000</v>
      </c>
    </row>
    <row r="32" spans="1:10" ht="15.95" customHeight="1">
      <c r="D32" s="825"/>
    </row>
    <row r="33" spans="4:4" ht="15.95" customHeight="1">
      <c r="D33" s="806"/>
    </row>
    <row r="34" spans="4:4" ht="15.95" customHeight="1">
      <c r="D34" s="806"/>
    </row>
    <row r="35" spans="4:4" ht="15.95" customHeight="1"/>
    <row r="36" spans="4:4" ht="15.95" customHeight="1"/>
    <row r="37" spans="4:4" ht="15.95" customHeight="1"/>
    <row r="38" spans="4:4" ht="15.95" customHeight="1"/>
    <row r="39" spans="4:4" ht="15.95" customHeight="1"/>
    <row r="40" spans="4:4" ht="15.95" customHeight="1"/>
    <row r="41" spans="4:4" ht="15.95" customHeight="1"/>
    <row r="42" spans="4:4" ht="15.95" customHeight="1"/>
    <row r="43" spans="4:4" ht="15.95" customHeight="1"/>
    <row r="44" spans="4:4" ht="15.95" customHeight="1"/>
    <row r="45" spans="4:4" ht="15.95" customHeight="1"/>
    <row r="46" spans="4:4" ht="15.95" customHeight="1"/>
    <row r="47" spans="4:4" ht="15.95" customHeight="1"/>
    <row r="48" spans="4:4" ht="15.95" customHeight="1"/>
    <row r="49" ht="15.95" customHeight="1"/>
    <row r="50" ht="15.95" customHeight="1"/>
    <row r="51" ht="15.95" customHeight="1"/>
    <row r="52" ht="15.95" customHeight="1"/>
    <row r="53" ht="15.95" customHeight="1"/>
    <row r="54" ht="15.95" customHeight="1"/>
    <row r="55" ht="15.95" customHeight="1"/>
    <row r="56" ht="15.95" customHeight="1"/>
    <row r="57" ht="15.95" customHeight="1"/>
    <row r="58" ht="15.95" customHeight="1"/>
    <row r="59" ht="15.95" customHeight="1"/>
    <row r="60" ht="15.95" customHeight="1"/>
    <row r="61" ht="15.95" customHeight="1"/>
    <row r="62" ht="15.95" customHeight="1"/>
    <row r="63" ht="15.95" customHeight="1"/>
    <row r="64" ht="15.95" customHeight="1"/>
    <row r="65" spans="9:9" ht="15.95" customHeight="1"/>
    <row r="66" spans="9:9" ht="15.95" customHeight="1"/>
    <row r="67" spans="9:9" ht="15.95" customHeight="1"/>
    <row r="68" spans="9:9" ht="15.95" customHeight="1"/>
    <row r="69" spans="9:9" ht="15.95" customHeight="1"/>
    <row r="70" spans="9:9" ht="15.95" customHeight="1"/>
    <row r="71" spans="9:9" ht="15.95" customHeight="1"/>
    <row r="72" spans="9:9" ht="15.95" customHeight="1"/>
    <row r="73" spans="9:9" ht="15.95" customHeight="1"/>
    <row r="74" spans="9:9" ht="15.95" customHeight="1">
      <c r="I74" s="162">
        <f>SUM(I30:I73)</f>
        <v>0</v>
      </c>
    </row>
    <row r="75" spans="9:9" ht="15.95" customHeight="1"/>
    <row r="76" spans="9:9" ht="15.95" customHeight="1"/>
    <row r="77" spans="9:9" ht="15.95" customHeight="1"/>
    <row r="78" spans="9:9" ht="15.95" customHeight="1"/>
    <row r="79" spans="9:9" ht="15.95" customHeight="1"/>
    <row r="80" spans="9:9" ht="15.95" customHeight="1"/>
    <row r="81" ht="15.95" customHeight="1"/>
  </sheetData>
  <mergeCells count="12">
    <mergeCell ref="A1:F1"/>
    <mergeCell ref="B24:C24"/>
    <mergeCell ref="A30:C30"/>
    <mergeCell ref="B21:C21"/>
    <mergeCell ref="B3:C3"/>
    <mergeCell ref="B7:B9"/>
    <mergeCell ref="B4:B6"/>
    <mergeCell ref="A4:A21"/>
    <mergeCell ref="B10:B20"/>
    <mergeCell ref="B29:C29"/>
    <mergeCell ref="D16:D17"/>
    <mergeCell ref="C16:C17"/>
  </mergeCells>
  <phoneticPr fontId="7" type="noConversion"/>
  <printOptions horizontalCentered="1" verticalCentered="1"/>
  <pageMargins left="0.74803149606299213" right="0.74803149606299213" top="0.27559055118110237" bottom="0.23622047244094491" header="0.15748031496062992" footer="0.1574803149606299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FF00"/>
  </sheetPr>
  <dimension ref="A1:Q211"/>
  <sheetViews>
    <sheetView showZeros="0" view="pageBreakPreview" zoomScaleSheetLayoutView="100" workbookViewId="0">
      <pane xSplit="1" ySplit="4" topLeftCell="B5" activePane="bottomRight" state="frozen"/>
      <selection sqref="A1:A2"/>
      <selection pane="topRight" sqref="A1:A2"/>
      <selection pane="bottomLeft" sqref="A1:A2"/>
      <selection pane="bottomRight" activeCell="G6" sqref="G6"/>
    </sheetView>
  </sheetViews>
  <sheetFormatPr defaultRowHeight="13.5"/>
  <cols>
    <col min="1" max="1" width="10.21875" customWidth="1"/>
    <col min="2" max="3" width="15" customWidth="1"/>
    <col min="4" max="5" width="3.77734375" customWidth="1"/>
    <col min="6" max="6" width="7.33203125" customWidth="1"/>
    <col min="7" max="7" width="9.77734375" customWidth="1"/>
    <col min="8" max="8" width="7.33203125" customWidth="1"/>
    <col min="9" max="9" width="9.77734375" customWidth="1"/>
    <col min="10" max="10" width="7.33203125" customWidth="1"/>
    <col min="11" max="11" width="9.77734375" customWidth="1"/>
    <col min="12" max="12" width="7.33203125" customWidth="1"/>
    <col min="13" max="13" width="9.77734375" customWidth="1"/>
    <col min="14" max="14" width="10.77734375" customWidth="1"/>
    <col min="16" max="16" width="33.109375" bestFit="1" customWidth="1"/>
    <col min="17" max="17" width="11.77734375" bestFit="1" customWidth="1"/>
  </cols>
  <sheetData>
    <row r="1" spans="1:17" ht="11.25" customHeight="1">
      <c r="B1" s="5"/>
      <c r="C1" s="1"/>
      <c r="D1" s="6"/>
      <c r="E1" s="7"/>
      <c r="F1" s="8"/>
      <c r="G1" s="8"/>
      <c r="H1" s="8"/>
      <c r="I1" s="8"/>
      <c r="J1" s="8"/>
      <c r="K1" s="8"/>
      <c r="L1" s="8"/>
      <c r="M1" s="8"/>
      <c r="N1" s="9"/>
    </row>
    <row r="2" spans="1:17" ht="23.1" customHeight="1">
      <c r="B2" s="10" t="str">
        <f>원가계산서!A2</f>
        <v>2022년 경기창작센터 예술공원 조성사업(전기)</v>
      </c>
      <c r="C2" s="4"/>
      <c r="D2" s="11"/>
      <c r="E2" s="12"/>
      <c r="F2" s="11"/>
      <c r="G2" s="11"/>
      <c r="H2" s="11"/>
      <c r="I2" s="11"/>
      <c r="J2" s="11"/>
      <c r="K2" s="11"/>
      <c r="L2" s="11"/>
      <c r="M2" s="11"/>
      <c r="N2" s="13"/>
    </row>
    <row r="3" spans="1:17" ht="23.1" customHeight="1">
      <c r="B3" s="1553" t="s">
        <v>434</v>
      </c>
      <c r="C3" s="1555" t="s">
        <v>435</v>
      </c>
      <c r="D3" s="1552" t="s">
        <v>436</v>
      </c>
      <c r="E3" s="1557" t="s">
        <v>437</v>
      </c>
      <c r="F3" s="1552" t="s">
        <v>438</v>
      </c>
      <c r="G3" s="1552"/>
      <c r="H3" s="1552" t="s">
        <v>439</v>
      </c>
      <c r="I3" s="1552"/>
      <c r="J3" s="1552" t="s">
        <v>440</v>
      </c>
      <c r="K3" s="1552"/>
      <c r="L3" s="1552" t="s">
        <v>441</v>
      </c>
      <c r="M3" s="1552"/>
      <c r="N3" s="1550" t="s">
        <v>442</v>
      </c>
    </row>
    <row r="4" spans="1:17" ht="23.1" customHeight="1">
      <c r="B4" s="1554"/>
      <c r="C4" s="1556"/>
      <c r="D4" s="1559"/>
      <c r="E4" s="1558"/>
      <c r="F4" s="778" t="s">
        <v>443</v>
      </c>
      <c r="G4" s="778" t="s">
        <v>444</v>
      </c>
      <c r="H4" s="778" t="s">
        <v>443</v>
      </c>
      <c r="I4" s="778" t="s">
        <v>444</v>
      </c>
      <c r="J4" s="778" t="s">
        <v>445</v>
      </c>
      <c r="K4" s="778" t="s">
        <v>444</v>
      </c>
      <c r="L4" s="778" t="s">
        <v>445</v>
      </c>
      <c r="M4" s="778" t="s">
        <v>444</v>
      </c>
      <c r="N4" s="1551"/>
    </row>
    <row r="5" spans="1:17" ht="18" customHeight="1">
      <c r="B5" s="1564" t="s">
        <v>1279</v>
      </c>
      <c r="C5" s="1565"/>
      <c r="D5" s="777"/>
      <c r="E5" s="775"/>
      <c r="F5" s="777"/>
      <c r="G5" s="779"/>
      <c r="H5" s="780"/>
      <c r="I5" s="779"/>
      <c r="J5" s="781"/>
      <c r="K5" s="779"/>
      <c r="L5" s="782"/>
      <c r="M5" s="783"/>
      <c r="N5" s="784"/>
    </row>
    <row r="6" spans="1:17" ht="18" customHeight="1">
      <c r="A6" s="740"/>
      <c r="B6" s="1562" t="str">
        <f>총괄표!B5</f>
        <v>1] 전기공사</v>
      </c>
      <c r="C6" s="1563"/>
      <c r="D6" s="14" t="s">
        <v>29</v>
      </c>
      <c r="E6" s="15">
        <v>1</v>
      </c>
      <c r="F6" s="14"/>
      <c r="G6" s="19" t="e">
        <f>총괄표!G5</f>
        <v>#REF!</v>
      </c>
      <c r="H6" s="16"/>
      <c r="I6" s="19">
        <f>총괄표!I5</f>
        <v>0</v>
      </c>
      <c r="J6" s="16"/>
      <c r="K6" s="19">
        <f>총괄표!K5</f>
        <v>0</v>
      </c>
      <c r="L6" s="16"/>
      <c r="M6" s="189" t="e">
        <f t="shared" ref="M6:M9" si="0">SUM(G6,I6,K6)</f>
        <v>#REF!</v>
      </c>
      <c r="N6" s="18"/>
      <c r="Q6" s="785"/>
    </row>
    <row r="7" spans="1:17" ht="18" customHeight="1">
      <c r="A7" s="740"/>
      <c r="B7" s="1560" t="e">
        <f>총괄표!#REF!</f>
        <v>#REF!</v>
      </c>
      <c r="C7" s="1561"/>
      <c r="D7" s="14"/>
      <c r="E7" s="15"/>
      <c r="F7" s="14"/>
      <c r="G7" s="19" t="e">
        <f>총괄표!#REF!</f>
        <v>#REF!</v>
      </c>
      <c r="H7" s="16"/>
      <c r="I7" s="19" t="e">
        <f>총괄표!#REF!</f>
        <v>#REF!</v>
      </c>
      <c r="J7" s="16"/>
      <c r="K7" s="19" t="e">
        <f>총괄표!#REF!</f>
        <v>#REF!</v>
      </c>
      <c r="L7" s="16"/>
      <c r="M7" s="189" t="e">
        <f>SUM(G7,I7,K7)</f>
        <v>#REF!</v>
      </c>
      <c r="N7" s="18"/>
      <c r="Q7" s="785"/>
    </row>
    <row r="8" spans="1:17" ht="18" customHeight="1">
      <c r="A8" s="740"/>
      <c r="B8" s="1562" t="e">
        <f>총괄표!#REF!</f>
        <v>#REF!</v>
      </c>
      <c r="C8" s="1563"/>
      <c r="D8" s="14"/>
      <c r="E8" s="15"/>
      <c r="F8" s="14"/>
      <c r="G8" s="19" t="e">
        <f>총괄표!#REF!</f>
        <v>#REF!</v>
      </c>
      <c r="H8" s="16"/>
      <c r="I8" s="19" t="e">
        <f>총괄표!#REF!</f>
        <v>#REF!</v>
      </c>
      <c r="J8" s="16"/>
      <c r="K8" s="19" t="e">
        <f>총괄표!#REF!</f>
        <v>#REF!</v>
      </c>
      <c r="L8" s="16"/>
      <c r="M8" s="189" t="e">
        <f>SUM(G8,I8,K8)</f>
        <v>#REF!</v>
      </c>
      <c r="N8" s="18"/>
      <c r="Q8" s="785"/>
    </row>
    <row r="9" spans="1:17" ht="18" customHeight="1">
      <c r="A9" s="740"/>
      <c r="B9" s="1562" t="e">
        <f>총괄표!#REF!</f>
        <v>#REF!</v>
      </c>
      <c r="C9" s="1563"/>
      <c r="D9" s="14"/>
      <c r="E9" s="15"/>
      <c r="F9" s="14"/>
      <c r="G9" s="19" t="e">
        <f>총괄표!#REF!</f>
        <v>#REF!</v>
      </c>
      <c r="H9" s="16"/>
      <c r="I9" s="19" t="e">
        <f>총괄표!#REF!</f>
        <v>#REF!</v>
      </c>
      <c r="J9" s="16"/>
      <c r="K9" s="19" t="e">
        <f>총괄표!#REF!</f>
        <v>#REF!</v>
      </c>
      <c r="L9" s="16"/>
      <c r="M9" s="189" t="e">
        <f t="shared" si="0"/>
        <v>#REF!</v>
      </c>
      <c r="N9" s="18"/>
      <c r="Q9" s="785"/>
    </row>
    <row r="10" spans="1:17" ht="18" customHeight="1">
      <c r="A10" s="740"/>
      <c r="B10" s="1560" t="e">
        <f>총괄표!#REF!</f>
        <v>#REF!</v>
      </c>
      <c r="C10" s="1561"/>
      <c r="D10" s="14"/>
      <c r="E10" s="15"/>
      <c r="F10" s="14"/>
      <c r="G10" s="19" t="e">
        <f>총괄표!#REF!</f>
        <v>#REF!</v>
      </c>
      <c r="H10" s="16"/>
      <c r="I10" s="19" t="e">
        <f>총괄표!#REF!</f>
        <v>#REF!</v>
      </c>
      <c r="J10" s="16"/>
      <c r="K10" s="19" t="e">
        <f>총괄표!#REF!</f>
        <v>#REF!</v>
      </c>
      <c r="L10" s="16"/>
      <c r="M10" s="189" t="e">
        <f t="shared" ref="M10" si="1">SUM(G10,I10,K10)</f>
        <v>#REF!</v>
      </c>
      <c r="N10" s="18"/>
      <c r="Q10" s="785"/>
    </row>
    <row r="11" spans="1:17" ht="18" customHeight="1">
      <c r="A11" s="740"/>
      <c r="B11" s="1562"/>
      <c r="C11" s="1563"/>
      <c r="D11" s="14"/>
      <c r="E11" s="15"/>
      <c r="F11" s="14"/>
      <c r="G11" s="19"/>
      <c r="H11" s="16"/>
      <c r="I11" s="19"/>
      <c r="J11" s="16"/>
      <c r="K11" s="19"/>
      <c r="L11" s="16"/>
      <c r="M11" s="189"/>
      <c r="N11" s="18"/>
      <c r="Q11" s="785"/>
    </row>
    <row r="12" spans="1:17" ht="18" customHeight="1">
      <c r="A12" s="740"/>
      <c r="B12" s="1560"/>
      <c r="C12" s="1561"/>
      <c r="D12" s="14"/>
      <c r="E12" s="15"/>
      <c r="F12" s="14"/>
      <c r="G12" s="19"/>
      <c r="H12" s="16"/>
      <c r="I12" s="19"/>
      <c r="J12" s="16"/>
      <c r="K12" s="19"/>
      <c r="L12" s="16"/>
      <c r="M12" s="189"/>
      <c r="N12" s="18"/>
      <c r="Q12" s="785"/>
    </row>
    <row r="13" spans="1:17" ht="18" customHeight="1">
      <c r="A13" s="740"/>
      <c r="B13" s="1560"/>
      <c r="C13" s="1561"/>
      <c r="D13" s="14"/>
      <c r="E13" s="15" t="s">
        <v>1359</v>
      </c>
      <c r="F13" s="14"/>
      <c r="G13" s="19"/>
      <c r="H13" s="16"/>
      <c r="I13" s="19"/>
      <c r="J13" s="16"/>
      <c r="K13" s="19"/>
      <c r="L13" s="16"/>
      <c r="M13" s="189"/>
      <c r="N13" s="18"/>
      <c r="Q13" s="785"/>
    </row>
    <row r="14" spans="1:17" ht="18" customHeight="1">
      <c r="A14" s="740"/>
      <c r="B14" s="1560"/>
      <c r="C14" s="1561"/>
      <c r="D14" s="14"/>
      <c r="E14" s="15"/>
      <c r="F14" s="14"/>
      <c r="G14" s="19"/>
      <c r="H14" s="16"/>
      <c r="I14" s="19"/>
      <c r="J14" s="16"/>
      <c r="K14" s="19"/>
      <c r="L14" s="16"/>
      <c r="M14" s="189"/>
      <c r="N14" s="18"/>
      <c r="Q14" s="785"/>
    </row>
    <row r="15" spans="1:17" ht="18" customHeight="1">
      <c r="A15" s="740"/>
      <c r="B15" s="1548"/>
      <c r="C15" s="1549"/>
      <c r="D15" s="14"/>
      <c r="E15" s="15"/>
      <c r="F15" s="14"/>
      <c r="G15" s="19"/>
      <c r="H15" s="659"/>
      <c r="I15" s="19"/>
      <c r="J15" s="660"/>
      <c r="K15" s="19"/>
      <c r="L15" s="661"/>
      <c r="M15" s="189"/>
      <c r="N15" s="171"/>
      <c r="Q15" s="785"/>
    </row>
    <row r="16" spans="1:17" ht="18" customHeight="1">
      <c r="A16" s="740"/>
      <c r="B16" s="1548"/>
      <c r="C16" s="1549"/>
      <c r="D16" s="14"/>
      <c r="E16" s="15"/>
      <c r="F16" s="14"/>
      <c r="G16" s="19"/>
      <c r="H16" s="659"/>
      <c r="I16" s="19"/>
      <c r="J16" s="660"/>
      <c r="K16" s="19"/>
      <c r="L16" s="661"/>
      <c r="M16" s="189"/>
      <c r="N16" s="171"/>
    </row>
    <row r="17" spans="1:17" ht="18" customHeight="1">
      <c r="A17" s="740"/>
      <c r="B17" s="1548"/>
      <c r="C17" s="1549"/>
      <c r="D17" s="14"/>
      <c r="E17" s="15"/>
      <c r="F17" s="14"/>
      <c r="G17" s="19"/>
      <c r="H17" s="659"/>
      <c r="I17" s="19"/>
      <c r="J17" s="660"/>
      <c r="K17" s="19"/>
      <c r="L17" s="661"/>
      <c r="M17" s="189"/>
      <c r="N17" s="171"/>
    </row>
    <row r="18" spans="1:17" ht="18" customHeight="1">
      <c r="A18" s="740"/>
      <c r="B18" s="1548"/>
      <c r="C18" s="1549"/>
      <c r="D18" s="14"/>
      <c r="E18" s="15"/>
      <c r="F18" s="14"/>
      <c r="G18" s="19"/>
      <c r="H18" s="659"/>
      <c r="I18" s="19"/>
      <c r="J18" s="660"/>
      <c r="K18" s="19"/>
      <c r="L18" s="661"/>
      <c r="M18" s="189"/>
      <c r="N18" s="171"/>
      <c r="Q18" s="785"/>
    </row>
    <row r="19" spans="1:17" ht="18" customHeight="1">
      <c r="A19" s="740"/>
      <c r="B19" s="1548"/>
      <c r="C19" s="1549"/>
      <c r="D19" s="14"/>
      <c r="E19" s="15"/>
      <c r="F19" s="14"/>
      <c r="G19" s="19"/>
      <c r="H19" s="659"/>
      <c r="I19" s="19"/>
      <c r="J19" s="660"/>
      <c r="K19" s="19"/>
      <c r="L19" s="661"/>
      <c r="M19" s="189"/>
      <c r="N19" s="171"/>
    </row>
    <row r="20" spans="1:17" ht="18" customHeight="1">
      <c r="A20" s="740"/>
      <c r="B20" s="1548"/>
      <c r="C20" s="1549"/>
      <c r="D20" s="14"/>
      <c r="E20" s="15"/>
      <c r="F20" s="14"/>
      <c r="G20" s="19"/>
      <c r="H20" s="659"/>
      <c r="I20" s="19"/>
      <c r="J20" s="660"/>
      <c r="K20" s="19"/>
      <c r="L20" s="661"/>
      <c r="M20" s="189"/>
      <c r="N20" s="171"/>
      <c r="Q20" s="785"/>
    </row>
    <row r="21" spans="1:17" ht="18" customHeight="1">
      <c r="A21" s="740"/>
      <c r="B21" s="1548"/>
      <c r="C21" s="1549"/>
      <c r="D21" s="14"/>
      <c r="E21" s="15"/>
      <c r="F21" s="14"/>
      <c r="G21" s="19"/>
      <c r="H21" s="659"/>
      <c r="I21" s="19"/>
      <c r="J21" s="660"/>
      <c r="K21" s="19"/>
      <c r="L21" s="661"/>
      <c r="M21" s="189"/>
      <c r="N21" s="171"/>
    </row>
    <row r="22" spans="1:17" ht="18" customHeight="1">
      <c r="A22" s="740"/>
      <c r="B22" s="1548"/>
      <c r="C22" s="1549"/>
      <c r="D22" s="14"/>
      <c r="E22" s="15"/>
      <c r="F22" s="14"/>
      <c r="G22" s="19"/>
      <c r="H22" s="659"/>
      <c r="I22" s="19"/>
      <c r="J22" s="660"/>
      <c r="K22" s="19"/>
      <c r="L22" s="661"/>
      <c r="M22" s="189"/>
      <c r="N22" s="171"/>
      <c r="Q22" s="785"/>
    </row>
    <row r="23" spans="1:17" ht="18" customHeight="1">
      <c r="A23" s="740"/>
      <c r="B23" s="1548"/>
      <c r="C23" s="1549"/>
      <c r="D23" s="14"/>
      <c r="E23" s="15"/>
      <c r="F23" s="14"/>
      <c r="G23" s="19"/>
      <c r="H23" s="659"/>
      <c r="I23" s="19"/>
      <c r="J23" s="660"/>
      <c r="K23" s="19"/>
      <c r="L23" s="661"/>
      <c r="M23" s="189"/>
      <c r="N23" s="171"/>
    </row>
    <row r="24" spans="1:17" ht="18" customHeight="1">
      <c r="A24" s="740"/>
      <c r="B24" s="1548"/>
      <c r="C24" s="1549"/>
      <c r="D24" s="14"/>
      <c r="E24" s="15"/>
      <c r="F24" s="14"/>
      <c r="G24" s="19"/>
      <c r="H24" s="659"/>
      <c r="I24" s="19"/>
      <c r="J24" s="660"/>
      <c r="K24" s="19"/>
      <c r="L24" s="661"/>
      <c r="M24" s="189"/>
      <c r="N24" s="171"/>
      <c r="Q24" s="785"/>
    </row>
    <row r="25" spans="1:17" ht="18" customHeight="1">
      <c r="A25" s="740"/>
      <c r="B25" s="1548"/>
      <c r="C25" s="1549"/>
      <c r="D25" s="14"/>
      <c r="E25" s="15"/>
      <c r="F25" s="14"/>
      <c r="G25" s="19"/>
      <c r="H25" s="659"/>
      <c r="I25" s="19"/>
      <c r="J25" s="660"/>
      <c r="K25" s="19"/>
      <c r="L25" s="661"/>
      <c r="M25" s="189"/>
      <c r="N25" s="171"/>
    </row>
    <row r="26" spans="1:17" ht="18" customHeight="1">
      <c r="A26" s="740"/>
      <c r="B26" s="1548"/>
      <c r="C26" s="1549"/>
      <c r="D26" s="14"/>
      <c r="E26" s="15"/>
      <c r="F26" s="14"/>
      <c r="G26" s="19"/>
      <c r="H26" s="659"/>
      <c r="I26" s="19"/>
      <c r="J26" s="660"/>
      <c r="K26" s="19"/>
      <c r="L26" s="661"/>
      <c r="M26" s="189"/>
      <c r="N26" s="171"/>
    </row>
    <row r="27" spans="1:17" ht="18" customHeight="1">
      <c r="B27" s="1554" t="s">
        <v>1278</v>
      </c>
      <c r="C27" s="1559"/>
      <c r="D27" s="778"/>
      <c r="E27" s="776"/>
      <c r="F27" s="778"/>
      <c r="G27" s="664" t="e">
        <f>SUM(G6:G26)</f>
        <v>#REF!</v>
      </c>
      <c r="H27" s="663"/>
      <c r="I27" s="664" t="e">
        <f>SUM(I6:I26)</f>
        <v>#REF!</v>
      </c>
      <c r="J27" s="665"/>
      <c r="K27" s="664" t="e">
        <f>SUM(K6:K26)</f>
        <v>#REF!</v>
      </c>
      <c r="L27" s="647"/>
      <c r="M27" s="656" t="e">
        <f t="shared" ref="M27" si="2">SUM(G27,I27,K27)</f>
        <v>#REF!</v>
      </c>
      <c r="N27" s="666"/>
    </row>
    <row r="29" spans="1:17" ht="18.95" customHeight="1"/>
    <row r="30" spans="1:17" ht="18.95" customHeight="1"/>
    <row r="31" spans="1:17" ht="18.95" customHeight="1"/>
    <row r="32" spans="1:17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  <row r="59" ht="18.95" customHeight="1"/>
    <row r="60" ht="21" customHeight="1"/>
    <row r="61" ht="21" customHeight="1"/>
    <row r="62" ht="21" customHeight="1"/>
    <row r="63" ht="21" customHeight="1"/>
    <row r="64" ht="21" customHeight="1"/>
    <row r="65" spans="9:9" ht="21" customHeight="1"/>
    <row r="66" spans="9:9" ht="21" customHeight="1"/>
    <row r="67" spans="9:9" ht="21" customHeight="1"/>
    <row r="68" spans="9:9" ht="21" customHeight="1"/>
    <row r="69" spans="9:9" ht="21" customHeight="1"/>
    <row r="70" spans="9:9" ht="21" customHeight="1"/>
    <row r="71" spans="9:9" ht="21" customHeight="1"/>
    <row r="72" spans="9:9" ht="21" customHeight="1"/>
    <row r="73" spans="9:9" ht="21" customHeight="1"/>
    <row r="74" spans="9:9" ht="21" customHeight="1"/>
    <row r="75" spans="9:9" ht="21" customHeight="1">
      <c r="I75">
        <f>SUM(I31:I74)</f>
        <v>0</v>
      </c>
    </row>
    <row r="76" spans="9:9" ht="21" customHeight="1"/>
    <row r="77" spans="9:9" ht="21" customHeight="1"/>
    <row r="78" spans="9:9" ht="21" customHeight="1"/>
    <row r="79" spans="9:9" ht="21" customHeight="1"/>
    <row r="80" spans="9:9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11" ht="21" customHeight="1"/>
  </sheetData>
  <mergeCells count="32">
    <mergeCell ref="B27:C27"/>
    <mergeCell ref="B5:C5"/>
    <mergeCell ref="B7:C7"/>
    <mergeCell ref="B10:C10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5:C25"/>
    <mergeCell ref="B11:C11"/>
    <mergeCell ref="B23:C23"/>
    <mergeCell ref="B24:C24"/>
    <mergeCell ref="N3:N4"/>
    <mergeCell ref="F3:G3"/>
    <mergeCell ref="H3:I3"/>
    <mergeCell ref="B3:B4"/>
    <mergeCell ref="C3:C4"/>
    <mergeCell ref="E3:E4"/>
    <mergeCell ref="J3:K3"/>
    <mergeCell ref="L3:M3"/>
    <mergeCell ref="D3:D4"/>
    <mergeCell ref="B12:C12"/>
    <mergeCell ref="B13:C13"/>
    <mergeCell ref="B14:C14"/>
    <mergeCell ref="B9:C9"/>
    <mergeCell ref="B8:C8"/>
    <mergeCell ref="B6:C6"/>
  </mergeCells>
  <phoneticPr fontId="7" type="noConversion"/>
  <printOptions horizontalCentered="1" verticalCentered="1"/>
  <pageMargins left="0.59055118110236227" right="0.39370078740157483" top="0.59055118110236227" bottom="0.59055118110236227" header="0.39370078740157483" footer="0.23622047244094491"/>
  <pageSetup paperSize="9" orientation="landscape" r:id="rId1"/>
  <headerFooter alignWithMargins="0">
    <oddHeader>&amp;C&amp;"굴림체,굵게"&amp;20대 총 괄 표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FF00"/>
  </sheetPr>
  <dimension ref="B1:N211"/>
  <sheetViews>
    <sheetView showZeros="0" view="pageBreakPreview" zoomScaleSheetLayoutView="100" workbookViewId="0">
      <pane xSplit="1" ySplit="4" topLeftCell="B5" activePane="bottomRight" state="frozen"/>
      <selection activeCell="P17" sqref="P17"/>
      <selection pane="topRight" activeCell="P17" sqref="P17"/>
      <selection pane="bottomLeft" activeCell="P17" sqref="P17"/>
      <selection pane="bottomRight" activeCell="P17" sqref="P17"/>
    </sheetView>
  </sheetViews>
  <sheetFormatPr defaultRowHeight="13.5"/>
  <cols>
    <col min="1" max="1" width="5.88671875" customWidth="1"/>
    <col min="2" max="3" width="15" customWidth="1"/>
    <col min="4" max="5" width="3.77734375" customWidth="1"/>
    <col min="6" max="6" width="7.33203125" customWidth="1"/>
    <col min="7" max="7" width="9.77734375" customWidth="1"/>
    <col min="8" max="8" width="7.33203125" customWidth="1"/>
    <col min="9" max="9" width="9.77734375" customWidth="1"/>
    <col min="10" max="10" width="7.33203125" customWidth="1"/>
    <col min="11" max="11" width="9.77734375" customWidth="1"/>
    <col min="12" max="12" width="7.33203125" customWidth="1"/>
    <col min="13" max="13" width="9.77734375" customWidth="1"/>
    <col min="14" max="14" width="10.77734375" customWidth="1"/>
    <col min="16" max="16" width="10.77734375" bestFit="1" customWidth="1"/>
  </cols>
  <sheetData>
    <row r="1" spans="2:14" ht="11.25" customHeight="1">
      <c r="B1" s="5"/>
      <c r="C1" s="1"/>
      <c r="D1" s="6"/>
      <c r="E1" s="7"/>
      <c r="F1" s="8"/>
      <c r="G1" s="8"/>
      <c r="H1" s="8"/>
      <c r="I1" s="8"/>
      <c r="J1" s="8"/>
      <c r="K1" s="8"/>
      <c r="L1" s="8"/>
      <c r="M1" s="8"/>
      <c r="N1" s="9"/>
    </row>
    <row r="2" spans="2:14" ht="23.1" customHeight="1">
      <c r="B2" s="10" t="str">
        <f>원가계산서!A2</f>
        <v>2022년 경기창작센터 예술공원 조성사업(전기)</v>
      </c>
      <c r="C2" s="4"/>
      <c r="D2" s="11"/>
      <c r="E2" s="12"/>
      <c r="F2" s="11"/>
      <c r="G2" s="11"/>
      <c r="H2" s="11"/>
      <c r="I2" s="11"/>
      <c r="J2" s="11"/>
      <c r="K2" s="11"/>
      <c r="L2" s="11"/>
      <c r="M2" s="11"/>
      <c r="N2" s="13"/>
    </row>
    <row r="3" spans="2:14" ht="23.1" customHeight="1">
      <c r="B3" s="1567" t="s">
        <v>434</v>
      </c>
      <c r="C3" s="1568" t="s">
        <v>435</v>
      </c>
      <c r="D3" s="1567" t="s">
        <v>436</v>
      </c>
      <c r="E3" s="1566" t="s">
        <v>437</v>
      </c>
      <c r="F3" s="1567" t="s">
        <v>438</v>
      </c>
      <c r="G3" s="1567"/>
      <c r="H3" s="1567" t="s">
        <v>439</v>
      </c>
      <c r="I3" s="1567"/>
      <c r="J3" s="1567" t="s">
        <v>440</v>
      </c>
      <c r="K3" s="1567"/>
      <c r="L3" s="1567" t="s">
        <v>441</v>
      </c>
      <c r="M3" s="1567"/>
      <c r="N3" s="1567" t="s">
        <v>442</v>
      </c>
    </row>
    <row r="4" spans="2:14" ht="23.1" customHeight="1">
      <c r="B4" s="1567"/>
      <c r="C4" s="1568"/>
      <c r="D4" s="1567"/>
      <c r="E4" s="1566"/>
      <c r="F4" s="1206" t="s">
        <v>443</v>
      </c>
      <c r="G4" s="1206" t="s">
        <v>444</v>
      </c>
      <c r="H4" s="1206" t="s">
        <v>443</v>
      </c>
      <c r="I4" s="1206" t="s">
        <v>444</v>
      </c>
      <c r="J4" s="1206" t="s">
        <v>445</v>
      </c>
      <c r="K4" s="1206" t="s">
        <v>444</v>
      </c>
      <c r="L4" s="1206" t="s">
        <v>445</v>
      </c>
      <c r="M4" s="1206" t="s">
        <v>444</v>
      </c>
      <c r="N4" s="1567"/>
    </row>
    <row r="5" spans="2:14" ht="18" customHeight="1">
      <c r="B5" s="1569" t="str">
        <f>내역서!B5:C5</f>
        <v>1] 전기공사</v>
      </c>
      <c r="C5" s="1569"/>
      <c r="D5" s="1206" t="s">
        <v>1608</v>
      </c>
      <c r="E5" s="1207">
        <v>1</v>
      </c>
      <c r="F5" s="1206"/>
      <c r="G5" s="1208" t="e">
        <f>SUM(G6:G7)</f>
        <v>#REF!</v>
      </c>
      <c r="H5" s="1209"/>
      <c r="I5" s="1208">
        <f>SUM(I6:I7)</f>
        <v>0</v>
      </c>
      <c r="J5" s="1210"/>
      <c r="K5" s="1208">
        <f>SUM(K6:K7)</f>
        <v>0</v>
      </c>
      <c r="L5" s="1211"/>
      <c r="M5" s="1203" t="e">
        <f>SUM(G5,I5,K5)</f>
        <v>#REF!</v>
      </c>
      <c r="N5" s="1212"/>
    </row>
    <row r="6" spans="2:14" s="1115" customFormat="1" ht="18" customHeight="1">
      <c r="B6" s="1571" t="str">
        <f>내역서!B6</f>
        <v>1.1.철거공사</v>
      </c>
      <c r="C6" s="1571"/>
      <c r="D6" s="1214" t="s">
        <v>29</v>
      </c>
      <c r="E6" s="1215">
        <v>1</v>
      </c>
      <c r="F6" s="1206"/>
      <c r="G6" s="1216" t="e">
        <f>내역서!G27</f>
        <v>#REF!</v>
      </c>
      <c r="H6" s="1209"/>
      <c r="I6" s="1216">
        <f>내역서!I27</f>
        <v>0</v>
      </c>
      <c r="J6" s="1210"/>
      <c r="K6" s="1216">
        <f>내역서!K27</f>
        <v>0</v>
      </c>
      <c r="L6" s="1211"/>
      <c r="M6" s="1191" t="e">
        <f>SUM(G6,I6,K6)</f>
        <v>#REF!</v>
      </c>
      <c r="N6" s="1213"/>
    </row>
    <row r="7" spans="2:14" ht="18" customHeight="1">
      <c r="B7" s="1571" t="str">
        <f>내역서!B28</f>
        <v>1.2.신설공사</v>
      </c>
      <c r="C7" s="1571"/>
      <c r="D7" s="1214" t="s">
        <v>29</v>
      </c>
      <c r="E7" s="1215">
        <v>1</v>
      </c>
      <c r="F7" s="1206"/>
      <c r="G7" s="1216" t="e">
        <f>내역서!G50</f>
        <v>#REF!</v>
      </c>
      <c r="H7" s="1209"/>
      <c r="I7" s="1216">
        <f>내역서!I50</f>
        <v>0</v>
      </c>
      <c r="J7" s="1210"/>
      <c r="K7" s="1216">
        <f>내역서!K50</f>
        <v>0</v>
      </c>
      <c r="L7" s="1211"/>
      <c r="M7" s="1191" t="e">
        <f>SUM(G7,I7,K7)</f>
        <v>#REF!</v>
      </c>
      <c r="N7" s="1212"/>
    </row>
    <row r="8" spans="2:14" ht="18" customHeight="1">
      <c r="B8" s="1571"/>
      <c r="C8" s="1571"/>
      <c r="D8" s="1206"/>
      <c r="E8" s="1207"/>
      <c r="F8" s="1206"/>
      <c r="G8" s="1216"/>
      <c r="H8" s="1209"/>
      <c r="I8" s="1216"/>
      <c r="J8" s="1210"/>
      <c r="K8" s="1216"/>
      <c r="L8" s="1211"/>
      <c r="M8" s="1203"/>
      <c r="N8" s="1212"/>
    </row>
    <row r="9" spans="2:14" ht="18" customHeight="1">
      <c r="B9" s="1569" t="s">
        <v>1811</v>
      </c>
      <c r="C9" s="1569"/>
      <c r="D9" s="1206" t="s">
        <v>29</v>
      </c>
      <c r="E9" s="1207">
        <v>1</v>
      </c>
      <c r="F9" s="1206"/>
      <c r="G9" s="1208" t="e">
        <f>SUM(G10:G10)</f>
        <v>#REF!</v>
      </c>
      <c r="H9" s="1209"/>
      <c r="I9" s="1208"/>
      <c r="J9" s="1210"/>
      <c r="K9" s="1208"/>
      <c r="L9" s="1211"/>
      <c r="M9" s="1203" t="e">
        <f>SUM(G9,I9,K9)</f>
        <v>#REF!</v>
      </c>
      <c r="N9" s="1212"/>
    </row>
    <row r="10" spans="2:14" ht="18" customHeight="1">
      <c r="B10" s="1571" t="str">
        <f>관급자재!B6</f>
        <v>2.1.조명 자재</v>
      </c>
      <c r="C10" s="1571"/>
      <c r="D10" s="1214" t="s">
        <v>29</v>
      </c>
      <c r="E10" s="1215">
        <v>1</v>
      </c>
      <c r="F10" s="1206"/>
      <c r="G10" s="1216" t="e">
        <f>관급자재!M27</f>
        <v>#REF!</v>
      </c>
      <c r="H10" s="1209"/>
      <c r="I10" s="1208"/>
      <c r="J10" s="1210"/>
      <c r="K10" s="1208"/>
      <c r="L10" s="1211"/>
      <c r="M10" s="1191" t="e">
        <f t="shared" ref="M10" si="0">SUM(G10,I10,K10)</f>
        <v>#REF!</v>
      </c>
      <c r="N10" s="1212"/>
    </row>
    <row r="11" spans="2:14" ht="18" customHeight="1">
      <c r="B11" s="1570"/>
      <c r="C11" s="1570"/>
      <c r="D11" s="1214"/>
      <c r="E11" s="1215"/>
      <c r="F11" s="1206"/>
      <c r="G11" s="1216"/>
      <c r="H11" s="1209"/>
      <c r="I11" s="1216"/>
      <c r="J11" s="1210"/>
      <c r="K11" s="1216"/>
      <c r="L11" s="1211"/>
      <c r="M11" s="1191"/>
      <c r="N11" s="1212"/>
    </row>
    <row r="12" spans="2:14" ht="18" customHeight="1">
      <c r="B12" s="1570"/>
      <c r="C12" s="1570"/>
      <c r="D12" s="1206"/>
      <c r="E12" s="1207"/>
      <c r="F12" s="1206"/>
      <c r="G12" s="1208"/>
      <c r="H12" s="1209"/>
      <c r="I12" s="1208"/>
      <c r="J12" s="1210"/>
      <c r="K12" s="1208"/>
      <c r="L12" s="1211"/>
      <c r="M12" s="1203"/>
      <c r="N12" s="1212"/>
    </row>
    <row r="13" spans="2:14" ht="18" customHeight="1">
      <c r="B13" s="1570"/>
      <c r="C13" s="1570"/>
      <c r="D13" s="1206"/>
      <c r="E13" s="1207"/>
      <c r="F13" s="1206"/>
      <c r="G13" s="1208"/>
      <c r="H13" s="1209"/>
      <c r="I13" s="1208"/>
      <c r="J13" s="1210"/>
      <c r="K13" s="1208"/>
      <c r="L13" s="1211"/>
      <c r="M13" s="1203"/>
      <c r="N13" s="1212"/>
    </row>
    <row r="14" spans="2:14" ht="18" customHeight="1">
      <c r="B14" s="1570"/>
      <c r="C14" s="1570"/>
      <c r="D14" s="1206"/>
      <c r="E14" s="1207"/>
      <c r="F14" s="1206"/>
      <c r="G14" s="1208"/>
      <c r="H14" s="1209"/>
      <c r="I14" s="1208"/>
      <c r="J14" s="1210"/>
      <c r="K14" s="1208"/>
      <c r="L14" s="1211"/>
      <c r="M14" s="1203"/>
      <c r="N14" s="1212"/>
    </row>
    <row r="15" spans="2:14" ht="18" customHeight="1">
      <c r="B15" s="1570"/>
      <c r="C15" s="1570"/>
      <c r="D15" s="1206"/>
      <c r="E15" s="1207"/>
      <c r="F15" s="1206"/>
      <c r="G15" s="1208"/>
      <c r="H15" s="1209"/>
      <c r="I15" s="1208"/>
      <c r="J15" s="1210"/>
      <c r="K15" s="1208"/>
      <c r="L15" s="1211"/>
      <c r="M15" s="1203"/>
      <c r="N15" s="1212"/>
    </row>
    <row r="16" spans="2:14" ht="18" customHeight="1">
      <c r="B16" s="1570"/>
      <c r="C16" s="1570"/>
      <c r="D16" s="1206"/>
      <c r="E16" s="1207"/>
      <c r="F16" s="1206"/>
      <c r="G16" s="1208"/>
      <c r="H16" s="1209"/>
      <c r="I16" s="1208"/>
      <c r="J16" s="1210"/>
      <c r="K16" s="1208"/>
      <c r="L16" s="1211"/>
      <c r="M16" s="1203"/>
      <c r="N16" s="1212"/>
    </row>
    <row r="17" spans="2:14" ht="18" customHeight="1">
      <c r="B17" s="1570"/>
      <c r="C17" s="1570"/>
      <c r="D17" s="1206"/>
      <c r="E17" s="1207"/>
      <c r="F17" s="1206"/>
      <c r="G17" s="1208"/>
      <c r="H17" s="1209"/>
      <c r="I17" s="1208"/>
      <c r="J17" s="1210"/>
      <c r="K17" s="1208"/>
      <c r="L17" s="1211"/>
      <c r="M17" s="1203"/>
      <c r="N17" s="1212"/>
    </row>
    <row r="18" spans="2:14" ht="18" customHeight="1">
      <c r="B18" s="1570"/>
      <c r="C18" s="1570"/>
      <c r="D18" s="1206"/>
      <c r="E18" s="1207"/>
      <c r="F18" s="1206"/>
      <c r="G18" s="1208"/>
      <c r="H18" s="1209"/>
      <c r="I18" s="1208"/>
      <c r="J18" s="1210"/>
      <c r="K18" s="1208"/>
      <c r="L18" s="1211"/>
      <c r="M18" s="1203"/>
      <c r="N18" s="1212"/>
    </row>
    <row r="19" spans="2:14" ht="18" customHeight="1">
      <c r="B19" s="1570"/>
      <c r="C19" s="1570"/>
      <c r="D19" s="1206"/>
      <c r="E19" s="1207"/>
      <c r="F19" s="1206"/>
      <c r="G19" s="1208"/>
      <c r="H19" s="1209"/>
      <c r="I19" s="1208"/>
      <c r="J19" s="1210"/>
      <c r="K19" s="1208"/>
      <c r="L19" s="1211"/>
      <c r="M19" s="1203"/>
      <c r="N19" s="1212"/>
    </row>
    <row r="20" spans="2:14" ht="18" customHeight="1">
      <c r="B20" s="1570"/>
      <c r="C20" s="1570"/>
      <c r="D20" s="1206"/>
      <c r="E20" s="1207"/>
      <c r="F20" s="1206"/>
      <c r="G20" s="1208"/>
      <c r="H20" s="1209"/>
      <c r="I20" s="1208"/>
      <c r="J20" s="1210"/>
      <c r="K20" s="1208"/>
      <c r="L20" s="1211"/>
      <c r="M20" s="1203"/>
      <c r="N20" s="1212"/>
    </row>
    <row r="21" spans="2:14" ht="18" customHeight="1">
      <c r="B21" s="1570"/>
      <c r="C21" s="1570"/>
      <c r="D21" s="1206"/>
      <c r="E21" s="1207"/>
      <c r="F21" s="1206"/>
      <c r="G21" s="1208"/>
      <c r="H21" s="1209"/>
      <c r="I21" s="1208"/>
      <c r="J21" s="1210"/>
      <c r="K21" s="1208"/>
      <c r="L21" s="1211"/>
      <c r="M21" s="1203"/>
      <c r="N21" s="1212"/>
    </row>
    <row r="22" spans="2:14" ht="18" customHeight="1">
      <c r="B22" s="1570"/>
      <c r="C22" s="1570"/>
      <c r="D22" s="1206"/>
      <c r="E22" s="1207"/>
      <c r="F22" s="1206"/>
      <c r="G22" s="1208"/>
      <c r="H22" s="1209"/>
      <c r="I22" s="1208"/>
      <c r="J22" s="1210"/>
      <c r="K22" s="1208"/>
      <c r="L22" s="1211"/>
      <c r="M22" s="1203"/>
      <c r="N22" s="1212"/>
    </row>
    <row r="23" spans="2:14" ht="18" customHeight="1">
      <c r="B23" s="1570"/>
      <c r="C23" s="1570"/>
      <c r="D23" s="1206"/>
      <c r="E23" s="1207"/>
      <c r="F23" s="1206"/>
      <c r="G23" s="1208"/>
      <c r="H23" s="1209"/>
      <c r="I23" s="1208"/>
      <c r="J23" s="1210"/>
      <c r="K23" s="1208"/>
      <c r="L23" s="1211"/>
      <c r="M23" s="1203"/>
      <c r="N23" s="1212"/>
    </row>
    <row r="24" spans="2:14" ht="18" customHeight="1">
      <c r="B24" s="1570"/>
      <c r="C24" s="1570"/>
      <c r="D24" s="1206"/>
      <c r="E24" s="1207"/>
      <c r="F24" s="1206"/>
      <c r="G24" s="1208"/>
      <c r="H24" s="1209"/>
      <c r="I24" s="1208"/>
      <c r="J24" s="1210"/>
      <c r="K24" s="1208"/>
      <c r="L24" s="1211"/>
      <c r="M24" s="1203"/>
      <c r="N24" s="1212"/>
    </row>
    <row r="25" spans="2:14" ht="18" customHeight="1">
      <c r="B25" s="1570"/>
      <c r="C25" s="1570"/>
      <c r="D25" s="1206"/>
      <c r="E25" s="1207"/>
      <c r="F25" s="1206"/>
      <c r="G25" s="1208"/>
      <c r="H25" s="1209"/>
      <c r="I25" s="1208"/>
      <c r="J25" s="1210"/>
      <c r="K25" s="1208"/>
      <c r="L25" s="1211"/>
      <c r="M25" s="1203"/>
      <c r="N25" s="1212"/>
    </row>
    <row r="26" spans="2:14" ht="18" customHeight="1">
      <c r="B26" s="1570"/>
      <c r="C26" s="1570"/>
      <c r="D26" s="1206"/>
      <c r="E26" s="1207"/>
      <c r="F26" s="1206"/>
      <c r="G26" s="1208"/>
      <c r="H26" s="1209"/>
      <c r="I26" s="1208"/>
      <c r="J26" s="1210"/>
      <c r="K26" s="1208"/>
      <c r="L26" s="1211"/>
      <c r="M26" s="1203"/>
      <c r="N26" s="1212"/>
    </row>
    <row r="27" spans="2:14" ht="18" customHeight="1">
      <c r="B27" s="1570"/>
      <c r="C27" s="1570"/>
      <c r="D27" s="1206"/>
      <c r="E27" s="1207"/>
      <c r="F27" s="1206"/>
      <c r="G27" s="1208"/>
      <c r="H27" s="1209"/>
      <c r="I27" s="1208"/>
      <c r="J27" s="1210"/>
      <c r="K27" s="1208"/>
      <c r="L27" s="1211"/>
      <c r="M27" s="1203"/>
      <c r="N27" s="1212"/>
    </row>
    <row r="28" spans="2:14">
      <c r="B28" s="802"/>
      <c r="C28" s="803"/>
      <c r="D28" s="803"/>
      <c r="E28" s="803"/>
      <c r="F28" s="803"/>
      <c r="G28" s="803"/>
      <c r="H28" s="803"/>
      <c r="I28" s="803"/>
      <c r="J28" s="803"/>
      <c r="K28" s="803"/>
      <c r="L28" s="803"/>
      <c r="M28" s="803"/>
      <c r="N28" s="1088"/>
    </row>
    <row r="29" spans="2:14" ht="18.95" customHeight="1"/>
    <row r="30" spans="2:14" ht="18.95" customHeight="1"/>
    <row r="31" spans="2:14" ht="18.95" customHeight="1"/>
    <row r="32" spans="2:14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  <row r="41" ht="18.95" customHeight="1"/>
    <row r="42" ht="18.95" customHeight="1"/>
    <row r="43" ht="18.95" customHeight="1"/>
    <row r="44" ht="18.95" customHeight="1"/>
    <row r="45" ht="18.95" customHeight="1"/>
    <row r="46" ht="18.95" customHeight="1"/>
    <row r="47" ht="18.95" customHeight="1"/>
    <row r="48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  <row r="59" ht="18.95" customHeight="1"/>
    <row r="60" ht="21" customHeight="1"/>
    <row r="61" ht="21" customHeight="1"/>
    <row r="62" ht="21" customHeight="1"/>
    <row r="63" ht="21" customHeight="1"/>
    <row r="64" ht="21" customHeight="1"/>
    <row r="65" spans="9:9" ht="21" customHeight="1"/>
    <row r="66" spans="9:9" ht="21" customHeight="1"/>
    <row r="67" spans="9:9" ht="21" customHeight="1"/>
    <row r="68" spans="9:9" ht="21" customHeight="1"/>
    <row r="69" spans="9:9" ht="21" customHeight="1"/>
    <row r="70" spans="9:9" ht="21" customHeight="1"/>
    <row r="71" spans="9:9" ht="21" customHeight="1"/>
    <row r="72" spans="9:9" ht="21" customHeight="1"/>
    <row r="73" spans="9:9" ht="21" customHeight="1"/>
    <row r="74" spans="9:9" ht="21" customHeight="1"/>
    <row r="75" spans="9:9" ht="21" customHeight="1">
      <c r="I75">
        <f>SUM(I31:I74)</f>
        <v>0</v>
      </c>
    </row>
    <row r="76" spans="9:9" ht="21" customHeight="1"/>
    <row r="77" spans="9:9" ht="21" customHeight="1"/>
    <row r="78" spans="9:9" ht="21" customHeight="1"/>
    <row r="79" spans="9:9" ht="21" customHeight="1"/>
    <row r="80" spans="9:9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11" ht="21" customHeight="1"/>
  </sheetData>
  <mergeCells count="32">
    <mergeCell ref="B11:C11"/>
    <mergeCell ref="B6:C6"/>
    <mergeCell ref="B8:C8"/>
    <mergeCell ref="B9:C9"/>
    <mergeCell ref="B13:C13"/>
    <mergeCell ref="B10:C10"/>
    <mergeCell ref="B7:C7"/>
    <mergeCell ref="B26:C26"/>
    <mergeCell ref="B27:C27"/>
    <mergeCell ref="B15:C15"/>
    <mergeCell ref="B12:C12"/>
    <mergeCell ref="B25:C25"/>
    <mergeCell ref="B20:C20"/>
    <mergeCell ref="B24:C24"/>
    <mergeCell ref="B14:C14"/>
    <mergeCell ref="B16:C16"/>
    <mergeCell ref="B17:C17"/>
    <mergeCell ref="B18:C18"/>
    <mergeCell ref="B19:C19"/>
    <mergeCell ref="B21:C21"/>
    <mergeCell ref="B22:C22"/>
    <mergeCell ref="B23:C23"/>
    <mergeCell ref="N3:N4"/>
    <mergeCell ref="L3:M3"/>
    <mergeCell ref="F3:G3"/>
    <mergeCell ref="H3:I3"/>
    <mergeCell ref="J3:K3"/>
    <mergeCell ref="E3:E4"/>
    <mergeCell ref="D3:D4"/>
    <mergeCell ref="B3:B4"/>
    <mergeCell ref="C3:C4"/>
    <mergeCell ref="B5:C5"/>
  </mergeCells>
  <phoneticPr fontId="7" type="noConversion"/>
  <printOptions horizontalCentered="1" verticalCentered="1"/>
  <pageMargins left="0.59055118110236227" right="0.39370078740157483" top="0.59055118110236227" bottom="0.59055118110236227" header="0.39370078740157483" footer="0.23622047244094491"/>
  <pageSetup paperSize="9" orientation="landscape" r:id="rId1"/>
  <headerFooter alignWithMargins="0">
    <oddHeader>&amp;C&amp;"굴림체,굵게"&amp;20총 괄 표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6" tint="0.59999389629810485"/>
  </sheetPr>
  <dimension ref="A1:P53"/>
  <sheetViews>
    <sheetView showZeros="0" view="pageBreakPreview" zoomScaleSheetLayoutView="100" workbookViewId="0">
      <pane xSplit="1" ySplit="4" topLeftCell="B5" activePane="bottomRight" state="frozen"/>
      <selection activeCell="P17" sqref="P17"/>
      <selection pane="topRight" activeCell="P17" sqref="P17"/>
      <selection pane="bottomLeft" activeCell="P17" sqref="P17"/>
      <selection pane="bottomRight" activeCell="P17" sqref="P17"/>
    </sheetView>
  </sheetViews>
  <sheetFormatPr defaultRowHeight="13.5"/>
  <cols>
    <col min="1" max="1" width="12.33203125" customWidth="1"/>
    <col min="2" max="2" width="15.33203125" customWidth="1"/>
    <col min="3" max="3" width="15.109375" customWidth="1"/>
    <col min="4" max="4" width="4.109375" customWidth="1"/>
    <col min="5" max="5" width="5.21875" customWidth="1"/>
    <col min="6" max="6" width="7.21875" customWidth="1"/>
    <col min="7" max="7" width="9.77734375" customWidth="1"/>
    <col min="8" max="8" width="7.21875" customWidth="1"/>
    <col min="9" max="9" width="9.77734375" customWidth="1"/>
    <col min="10" max="10" width="7.21875" customWidth="1"/>
    <col min="11" max="11" width="9.77734375" customWidth="1"/>
    <col min="12" max="12" width="7.21875" customWidth="1"/>
    <col min="13" max="13" width="10.6640625" customWidth="1"/>
    <col min="14" max="14" width="6.77734375" customWidth="1"/>
    <col min="17" max="18" width="10" bestFit="1" customWidth="1"/>
  </cols>
  <sheetData>
    <row r="1" spans="1:16" ht="11.25" customHeight="1">
      <c r="B1" s="5"/>
      <c r="C1" s="1"/>
      <c r="D1" s="6"/>
      <c r="E1" s="7"/>
      <c r="F1" s="8"/>
      <c r="G1" s="8"/>
      <c r="H1" s="8"/>
      <c r="I1" s="8"/>
      <c r="J1" s="8"/>
      <c r="K1" s="8"/>
      <c r="L1" s="8"/>
      <c r="M1" s="8"/>
      <c r="N1" s="9"/>
    </row>
    <row r="2" spans="1:16" ht="23.1" customHeight="1">
      <c r="B2" s="807" t="str">
        <f>원가계산서!A2</f>
        <v>2022년 경기창작센터 예술공원 조성사업(전기)</v>
      </c>
      <c r="C2" s="814"/>
      <c r="D2" s="815"/>
      <c r="E2" s="816"/>
      <c r="F2" s="815"/>
      <c r="G2" s="815"/>
      <c r="H2" s="815"/>
      <c r="I2" s="815"/>
      <c r="J2" s="815"/>
      <c r="K2" s="815"/>
      <c r="L2" s="815"/>
      <c r="M2" s="815"/>
      <c r="N2" s="817"/>
    </row>
    <row r="3" spans="1:16" ht="23.1" customHeight="1">
      <c r="B3" s="1570" t="s">
        <v>1306</v>
      </c>
      <c r="C3" s="1575" t="s">
        <v>1307</v>
      </c>
      <c r="D3" s="1570" t="s">
        <v>1308</v>
      </c>
      <c r="E3" s="1576" t="s">
        <v>1309</v>
      </c>
      <c r="F3" s="1570" t="s">
        <v>1310</v>
      </c>
      <c r="G3" s="1570"/>
      <c r="H3" s="1570" t="s">
        <v>439</v>
      </c>
      <c r="I3" s="1570"/>
      <c r="J3" s="1570" t="s">
        <v>66</v>
      </c>
      <c r="K3" s="1570"/>
      <c r="L3" s="1570" t="s">
        <v>1311</v>
      </c>
      <c r="M3" s="1570"/>
      <c r="N3" s="1567" t="s">
        <v>1312</v>
      </c>
      <c r="P3">
        <v>1</v>
      </c>
    </row>
    <row r="4" spans="1:16" ht="23.1" customHeight="1">
      <c r="B4" s="1570"/>
      <c r="C4" s="1575"/>
      <c r="D4" s="1570"/>
      <c r="E4" s="1576"/>
      <c r="F4" s="1192" t="s">
        <v>1313</v>
      </c>
      <c r="G4" s="1192" t="s">
        <v>1314</v>
      </c>
      <c r="H4" s="1192" t="s">
        <v>1313</v>
      </c>
      <c r="I4" s="1192" t="s">
        <v>1314</v>
      </c>
      <c r="J4" s="1192" t="s">
        <v>1313</v>
      </c>
      <c r="K4" s="1192" t="s">
        <v>1314</v>
      </c>
      <c r="L4" s="1192" t="s">
        <v>1313</v>
      </c>
      <c r="M4" s="1192" t="s">
        <v>1314</v>
      </c>
      <c r="N4" s="1567"/>
    </row>
    <row r="5" spans="1:16" ht="18" customHeight="1">
      <c r="B5" s="1574" t="str">
        <f>'수량산출서(DL)'!C4</f>
        <v>1] 전기공사</v>
      </c>
      <c r="C5" s="1574"/>
      <c r="D5" s="1195"/>
      <c r="E5" s="1196"/>
      <c r="F5" s="1197"/>
      <c r="G5" s="1197"/>
      <c r="H5" s="1197"/>
      <c r="I5" s="1197"/>
      <c r="J5" s="1197"/>
      <c r="K5" s="1197"/>
      <c r="L5" s="1191"/>
      <c r="M5" s="1197"/>
      <c r="N5" s="1198"/>
    </row>
    <row r="6" spans="1:16" ht="18" customHeight="1">
      <c r="B6" s="1572" t="s">
        <v>1815</v>
      </c>
      <c r="C6" s="1572"/>
      <c r="D6" s="1195"/>
      <c r="E6" s="1196"/>
      <c r="F6" s="1197"/>
      <c r="G6" s="1197"/>
      <c r="H6" s="1197"/>
      <c r="I6" s="1197"/>
      <c r="J6" s="1197"/>
      <c r="K6" s="1197"/>
      <c r="L6" s="1191"/>
      <c r="M6" s="1197"/>
      <c r="N6" s="1198"/>
    </row>
    <row r="7" spans="1:16" ht="18" customHeight="1">
      <c r="A7" s="194" t="e">
        <f>#REF!</f>
        <v>#REF!</v>
      </c>
      <c r="B7" s="1187" t="e">
        <f>VLOOKUP($A7,#REF!,2,FALSE)</f>
        <v>#REF!</v>
      </c>
      <c r="C7" s="1188" t="e">
        <f>VLOOKUP($A7,#REF!,3,FALSE)</f>
        <v>#REF!</v>
      </c>
      <c r="D7" s="1195" t="e">
        <f>VLOOKUP($A7,#REF!,4,FALSE)</f>
        <v>#REF!</v>
      </c>
      <c r="E7" s="1199">
        <f t="shared" ref="E7:E9" si="0">IF(ISERROR(VLOOKUP($A7,공원등02,6,FALSE)),0,VLOOKUP($A7,공원등02,6,FALSE))</f>
        <v>0</v>
      </c>
      <c r="F7" s="1200" t="e">
        <f>INT(IF(ISERROR(VLOOKUP($A7,일위11,10,FALSE)),VLOOKUP($A7,#REF!,11,FALSE),VLOOKUP($A7,일위11,10,FALSE)))*$P$3</f>
        <v>#REF!</v>
      </c>
      <c r="G7" s="1200" t="e">
        <f t="shared" ref="G7:G9" si="1">INT(E7*F7)</f>
        <v>#REF!</v>
      </c>
      <c r="H7" s="1197">
        <f t="shared" ref="H7:H9" si="2">INT(IF(ISERROR(VLOOKUP($A7,일위11,12,FALSE)),0,VLOOKUP($A7,일위11,12,FALSE)))*$P$3</f>
        <v>0</v>
      </c>
      <c r="I7" s="1197">
        <f t="shared" ref="I7:I9" si="3">INT(E7*H7)</f>
        <v>0</v>
      </c>
      <c r="J7" s="1197">
        <f t="shared" ref="J7:J9" si="4">INT(IF(ISERROR(VLOOKUP($A7,일위11,14,FALSE)),0,VLOOKUP($A7,일위11,14,FALSE)))*$P$3</f>
        <v>0</v>
      </c>
      <c r="K7" s="1197">
        <f t="shared" ref="K7:K9" si="5">INT(E7*J7)</f>
        <v>0</v>
      </c>
      <c r="L7" s="1191" t="e">
        <f t="shared" ref="L7:L9" si="6">F7+H7+J7</f>
        <v>#REF!</v>
      </c>
      <c r="M7" s="1197" t="e">
        <f t="shared" ref="M7:M9" si="7">INT(G7+I7+K7)</f>
        <v>#REF!</v>
      </c>
      <c r="N7" s="1198">
        <f t="shared" ref="N7:N9" si="8">IF(ISERROR(VLOOKUP($A7,일위11,4,FALSE)),0,VLOOKUP($A7,일위11,4,FALSE))</f>
        <v>0</v>
      </c>
    </row>
    <row r="8" spans="1:16" ht="18" customHeight="1">
      <c r="A8" s="194" t="e">
        <f>#REF!</f>
        <v>#REF!</v>
      </c>
      <c r="B8" s="1187" t="e">
        <f>VLOOKUP($A8,#REF!,2,FALSE)</f>
        <v>#REF!</v>
      </c>
      <c r="C8" s="1188" t="e">
        <f>VLOOKUP($A8,#REF!,3,FALSE)</f>
        <v>#REF!</v>
      </c>
      <c r="D8" s="1195" t="e">
        <f>VLOOKUP($A8,#REF!,4,FALSE)</f>
        <v>#REF!</v>
      </c>
      <c r="E8" s="1199">
        <f t="shared" si="0"/>
        <v>0</v>
      </c>
      <c r="F8" s="1200" t="e">
        <f>INT(IF(ISERROR(VLOOKUP($A8,일위11,10,FALSE)),VLOOKUP($A8,#REF!,11,FALSE),VLOOKUP($A8,일위11,10,FALSE)))*$P$3</f>
        <v>#REF!</v>
      </c>
      <c r="G8" s="1200" t="e">
        <f t="shared" si="1"/>
        <v>#REF!</v>
      </c>
      <c r="H8" s="1197">
        <f t="shared" si="2"/>
        <v>0</v>
      </c>
      <c r="I8" s="1197">
        <f t="shared" si="3"/>
        <v>0</v>
      </c>
      <c r="J8" s="1197">
        <f t="shared" si="4"/>
        <v>0</v>
      </c>
      <c r="K8" s="1197">
        <f t="shared" si="5"/>
        <v>0</v>
      </c>
      <c r="L8" s="1191" t="e">
        <f t="shared" si="6"/>
        <v>#REF!</v>
      </c>
      <c r="M8" s="1197" t="e">
        <f t="shared" si="7"/>
        <v>#REF!</v>
      </c>
      <c r="N8" s="1198">
        <f t="shared" si="8"/>
        <v>0</v>
      </c>
    </row>
    <row r="9" spans="1:16" ht="18" customHeight="1">
      <c r="A9" s="194" t="e">
        <f>#REF!</f>
        <v>#REF!</v>
      </c>
      <c r="B9" s="1187" t="e">
        <f>VLOOKUP($A9,#REF!,2,FALSE)</f>
        <v>#REF!</v>
      </c>
      <c r="C9" s="1188" t="e">
        <f>VLOOKUP($A9,#REF!,3,FALSE)</f>
        <v>#REF!</v>
      </c>
      <c r="D9" s="1195" t="e">
        <f>VLOOKUP($A9,#REF!,4,FALSE)</f>
        <v>#REF!</v>
      </c>
      <c r="E9" s="1199">
        <f t="shared" si="0"/>
        <v>0</v>
      </c>
      <c r="F9" s="1200" t="e">
        <f>INT(IF(ISERROR(VLOOKUP($A9,일위11,10,FALSE)),VLOOKUP($A9,#REF!,11,FALSE),VLOOKUP($A9,일위11,10,FALSE)))*$P$3</f>
        <v>#REF!</v>
      </c>
      <c r="G9" s="1200" t="e">
        <f t="shared" si="1"/>
        <v>#REF!</v>
      </c>
      <c r="H9" s="1197">
        <f t="shared" si="2"/>
        <v>0</v>
      </c>
      <c r="I9" s="1197">
        <f t="shared" si="3"/>
        <v>0</v>
      </c>
      <c r="J9" s="1197">
        <f t="shared" si="4"/>
        <v>0</v>
      </c>
      <c r="K9" s="1197">
        <f t="shared" si="5"/>
        <v>0</v>
      </c>
      <c r="L9" s="1191" t="e">
        <f t="shared" si="6"/>
        <v>#REF!</v>
      </c>
      <c r="M9" s="1197" t="e">
        <f t="shared" si="7"/>
        <v>#REF!</v>
      </c>
      <c r="N9" s="1198">
        <f t="shared" si="8"/>
        <v>0</v>
      </c>
    </row>
    <row r="10" spans="1:16" ht="18" customHeight="1">
      <c r="A10" s="194"/>
      <c r="B10" s="1187"/>
      <c r="C10" s="1188"/>
      <c r="D10" s="1195"/>
      <c r="E10" s="1199"/>
      <c r="F10" s="1200"/>
      <c r="G10" s="1200"/>
      <c r="H10" s="1197"/>
      <c r="I10" s="1197"/>
      <c r="J10" s="1197"/>
      <c r="K10" s="1197"/>
      <c r="L10" s="1191"/>
      <c r="M10" s="1197"/>
      <c r="N10" s="1198"/>
    </row>
    <row r="11" spans="1:16" ht="18" customHeight="1">
      <c r="A11" s="194"/>
      <c r="B11" s="1187"/>
      <c r="C11" s="1188"/>
      <c r="D11" s="1195"/>
      <c r="E11" s="1199"/>
      <c r="F11" s="1200"/>
      <c r="G11" s="1200"/>
      <c r="H11" s="1197"/>
      <c r="I11" s="1197"/>
      <c r="J11" s="1197"/>
      <c r="K11" s="1197"/>
      <c r="L11" s="1191"/>
      <c r="M11" s="1197"/>
      <c r="N11" s="1198"/>
    </row>
    <row r="12" spans="1:16" ht="18" customHeight="1">
      <c r="A12" s="193"/>
      <c r="B12" s="1187"/>
      <c r="C12" s="1188"/>
      <c r="D12" s="1195"/>
      <c r="E12" s="1199"/>
      <c r="F12" s="1200"/>
      <c r="G12" s="1200"/>
      <c r="H12" s="1197"/>
      <c r="I12" s="1197"/>
      <c r="J12" s="1197"/>
      <c r="K12" s="1197"/>
      <c r="L12" s="1191"/>
      <c r="M12" s="1197"/>
      <c r="N12" s="1198"/>
    </row>
    <row r="13" spans="1:16" ht="18" customHeight="1">
      <c r="A13" s="193"/>
      <c r="B13" s="1187"/>
      <c r="C13" s="1188"/>
      <c r="D13" s="1195"/>
      <c r="E13" s="1199"/>
      <c r="F13" s="1200"/>
      <c r="G13" s="1200"/>
      <c r="H13" s="1197"/>
      <c r="I13" s="1197"/>
      <c r="J13" s="1197"/>
      <c r="K13" s="1197"/>
      <c r="L13" s="1191"/>
      <c r="M13" s="1197"/>
      <c r="N13" s="1198"/>
    </row>
    <row r="14" spans="1:16" ht="18" customHeight="1">
      <c r="A14" s="194"/>
      <c r="B14" s="1187"/>
      <c r="C14" s="1188"/>
      <c r="D14" s="1195"/>
      <c r="E14" s="1199"/>
      <c r="F14" s="1200"/>
      <c r="G14" s="1200"/>
      <c r="H14" s="1197"/>
      <c r="I14" s="1197"/>
      <c r="J14" s="1197"/>
      <c r="K14" s="1197"/>
      <c r="L14" s="1191"/>
      <c r="M14" s="1197"/>
      <c r="N14" s="1198"/>
    </row>
    <row r="15" spans="1:16" ht="18" customHeight="1">
      <c r="A15" s="194"/>
      <c r="B15" s="1187"/>
      <c r="C15" s="1188"/>
      <c r="D15" s="1195"/>
      <c r="E15" s="1199"/>
      <c r="F15" s="1200"/>
      <c r="G15" s="1200"/>
      <c r="H15" s="1197"/>
      <c r="I15" s="1197"/>
      <c r="J15" s="1197"/>
      <c r="K15" s="1197"/>
      <c r="L15" s="1191"/>
      <c r="M15" s="1197"/>
      <c r="N15" s="1198"/>
    </row>
    <row r="16" spans="1:16" ht="18" customHeight="1">
      <c r="A16" s="194"/>
      <c r="B16" s="1187"/>
      <c r="C16" s="1188"/>
      <c r="D16" s="1195"/>
      <c r="E16" s="1199"/>
      <c r="F16" s="1200"/>
      <c r="G16" s="1200"/>
      <c r="H16" s="1197"/>
      <c r="I16" s="1197"/>
      <c r="J16" s="1197"/>
      <c r="K16" s="1197"/>
      <c r="L16" s="1191"/>
      <c r="M16" s="1197"/>
      <c r="N16" s="1198"/>
    </row>
    <row r="17" spans="1:14" ht="18" customHeight="1">
      <c r="A17" s="194"/>
      <c r="B17" s="1187"/>
      <c r="C17" s="1188"/>
      <c r="D17" s="1195"/>
      <c r="E17" s="1199"/>
      <c r="F17" s="1200"/>
      <c r="G17" s="1200"/>
      <c r="H17" s="1197"/>
      <c r="I17" s="1197"/>
      <c r="J17" s="1197"/>
      <c r="K17" s="1197"/>
      <c r="L17" s="1191"/>
      <c r="M17" s="1197"/>
      <c r="N17" s="1198"/>
    </row>
    <row r="18" spans="1:14" ht="18" customHeight="1">
      <c r="A18" s="194"/>
      <c r="B18" s="1187"/>
      <c r="C18" s="1188"/>
      <c r="D18" s="1195"/>
      <c r="E18" s="1199"/>
      <c r="F18" s="1200"/>
      <c r="G18" s="1200"/>
      <c r="H18" s="1197"/>
      <c r="I18" s="1197"/>
      <c r="J18" s="1197"/>
      <c r="K18" s="1197"/>
      <c r="L18" s="1191"/>
      <c r="M18" s="1197"/>
      <c r="N18" s="1198"/>
    </row>
    <row r="19" spans="1:14" ht="18" customHeight="1">
      <c r="A19" s="194"/>
      <c r="B19" s="1187"/>
      <c r="C19" s="1188"/>
      <c r="D19" s="1195"/>
      <c r="E19" s="1199"/>
      <c r="F19" s="1200"/>
      <c r="G19" s="1200"/>
      <c r="H19" s="1197"/>
      <c r="I19" s="1197"/>
      <c r="J19" s="1197"/>
      <c r="K19" s="1197"/>
      <c r="L19" s="1191"/>
      <c r="M19" s="1197"/>
      <c r="N19" s="1198"/>
    </row>
    <row r="20" spans="1:14" ht="18" customHeight="1">
      <c r="A20" s="194"/>
      <c r="B20" s="1187"/>
      <c r="C20" s="1188"/>
      <c r="D20" s="1195"/>
      <c r="E20" s="1199"/>
      <c r="F20" s="1200"/>
      <c r="G20" s="1200"/>
      <c r="H20" s="1197"/>
      <c r="I20" s="1197"/>
      <c r="J20" s="1197"/>
      <c r="K20" s="1197"/>
      <c r="L20" s="1191"/>
      <c r="M20" s="1197"/>
      <c r="N20" s="1198"/>
    </row>
    <row r="21" spans="1:14" ht="18" customHeight="1">
      <c r="A21" s="193"/>
      <c r="B21" s="1187"/>
      <c r="C21" s="1188"/>
      <c r="D21" s="1195"/>
      <c r="E21" s="1199"/>
      <c r="F21" s="1200"/>
      <c r="G21" s="1200"/>
      <c r="H21" s="1197"/>
      <c r="I21" s="1197"/>
      <c r="J21" s="1197"/>
      <c r="K21" s="1197"/>
      <c r="L21" s="1191"/>
      <c r="M21" s="1197"/>
      <c r="N21" s="1198"/>
    </row>
    <row r="22" spans="1:14" ht="18" customHeight="1">
      <c r="A22" s="194"/>
      <c r="B22" s="1187"/>
      <c r="C22" s="1188"/>
      <c r="D22" s="1195"/>
      <c r="E22" s="1199"/>
      <c r="F22" s="1200"/>
      <c r="G22" s="1200"/>
      <c r="H22" s="1197"/>
      <c r="I22" s="1197"/>
      <c r="J22" s="1197"/>
      <c r="K22" s="1197"/>
      <c r="L22" s="1191"/>
      <c r="M22" s="1197"/>
      <c r="N22" s="1198"/>
    </row>
    <row r="23" spans="1:14" ht="18" customHeight="1">
      <c r="A23" s="194"/>
      <c r="B23" s="1187"/>
      <c r="C23" s="1188"/>
      <c r="D23" s="1195"/>
      <c r="E23" s="1199"/>
      <c r="F23" s="1200"/>
      <c r="G23" s="1200"/>
      <c r="H23" s="1197"/>
      <c r="I23" s="1197"/>
      <c r="J23" s="1197"/>
      <c r="K23" s="1197"/>
      <c r="L23" s="1191"/>
      <c r="M23" s="1197"/>
      <c r="N23" s="1198"/>
    </row>
    <row r="24" spans="1:14" ht="18" customHeight="1">
      <c r="A24" s="194"/>
      <c r="B24" s="1187"/>
      <c r="C24" s="1188"/>
      <c r="D24" s="1195"/>
      <c r="E24" s="1199"/>
      <c r="F24" s="1200"/>
      <c r="G24" s="1200"/>
      <c r="H24" s="1197"/>
      <c r="I24" s="1197"/>
      <c r="J24" s="1197"/>
      <c r="K24" s="1197"/>
      <c r="L24" s="1191"/>
      <c r="M24" s="1197"/>
      <c r="N24" s="1198"/>
    </row>
    <row r="25" spans="1:14" ht="18" customHeight="1">
      <c r="A25" s="194"/>
      <c r="B25" s="1187"/>
      <c r="C25" s="1188"/>
      <c r="D25" s="1195"/>
      <c r="E25" s="1199"/>
      <c r="F25" s="1200"/>
      <c r="G25" s="1200"/>
      <c r="H25" s="1197"/>
      <c r="I25" s="1197"/>
      <c r="J25" s="1197"/>
      <c r="K25" s="1197"/>
      <c r="L25" s="1191"/>
      <c r="M25" s="1197"/>
      <c r="N25" s="1198"/>
    </row>
    <row r="26" spans="1:14" ht="18" customHeight="1">
      <c r="A26" s="194"/>
      <c r="B26" s="1187"/>
      <c r="C26" s="1188"/>
      <c r="D26" s="1195"/>
      <c r="E26" s="1199"/>
      <c r="F26" s="1200"/>
      <c r="G26" s="1200"/>
      <c r="H26" s="1197"/>
      <c r="I26" s="1197"/>
      <c r="J26" s="1197"/>
      <c r="K26" s="1197"/>
      <c r="L26" s="1191"/>
      <c r="M26" s="1197"/>
      <c r="N26" s="1198"/>
    </row>
    <row r="27" spans="1:14" ht="18" customHeight="1">
      <c r="B27" s="1573" t="s">
        <v>1315</v>
      </c>
      <c r="C27" s="1573"/>
      <c r="D27" s="1201"/>
      <c r="E27" s="1202"/>
      <c r="F27" s="1203"/>
      <c r="G27" s="1204" t="e">
        <f>SUM(G7:G26)</f>
        <v>#REF!</v>
      </c>
      <c r="H27" s="1203"/>
      <c r="I27" s="1204">
        <f>SUM(I7:I26)</f>
        <v>0</v>
      </c>
      <c r="J27" s="1203"/>
      <c r="K27" s="1204">
        <f>SUM(K7:K26)</f>
        <v>0</v>
      </c>
      <c r="L27" s="1194"/>
      <c r="M27" s="1203" t="e">
        <f>SUM(G27,I27,K27)</f>
        <v>#REF!</v>
      </c>
      <c r="N27" s="1205"/>
    </row>
    <row r="28" spans="1:14" ht="18" customHeight="1">
      <c r="B28" s="1572" t="s">
        <v>1814</v>
      </c>
      <c r="C28" s="1572"/>
      <c r="D28" s="1195"/>
      <c r="E28" s="1196"/>
      <c r="F28" s="1197"/>
      <c r="G28" s="1197"/>
      <c r="H28" s="1197"/>
      <c r="I28" s="1197"/>
      <c r="J28" s="1197"/>
      <c r="K28" s="1197"/>
      <c r="L28" s="1191"/>
      <c r="M28" s="1197"/>
      <c r="N28" s="1198"/>
    </row>
    <row r="29" spans="1:14" ht="18" customHeight="1">
      <c r="A29" s="194" t="e">
        <f>#REF!</f>
        <v>#REF!</v>
      </c>
      <c r="B29" s="1187" t="e">
        <f>VLOOKUP($A29,#REF!,2,FALSE)</f>
        <v>#REF!</v>
      </c>
      <c r="C29" s="1188" t="e">
        <f>VLOOKUP($A29,#REF!,3,FALSE)</f>
        <v>#REF!</v>
      </c>
      <c r="D29" s="1195" t="e">
        <f>VLOOKUP($A29,#REF!,4,FALSE)</f>
        <v>#REF!</v>
      </c>
      <c r="E29" s="1199">
        <f t="shared" ref="E29:E43" si="9">IF(ISERROR(VLOOKUP($A29,공원등03,6,FALSE)),0,VLOOKUP($A29,공원등03,6,FALSE))</f>
        <v>0</v>
      </c>
      <c r="F29" s="1200" t="e">
        <f>INT(IF(ISERROR(VLOOKUP($A29,일위11,10,FALSE)),VLOOKUP($A29,#REF!,11,FALSE),VLOOKUP($A29,일위11,10,FALSE)))*$P$3</f>
        <v>#REF!</v>
      </c>
      <c r="G29" s="1200" t="e">
        <f t="shared" ref="G29" si="10">INT(E29*F29)</f>
        <v>#REF!</v>
      </c>
      <c r="H29" s="1197">
        <f t="shared" ref="H29:H43" si="11">INT(IF(ISERROR(VLOOKUP($A29,일위11,12,FALSE)),0,VLOOKUP($A29,일위11,12,FALSE)))*$P$3</f>
        <v>0</v>
      </c>
      <c r="I29" s="1197">
        <f t="shared" ref="I29" si="12">INT(E29*H29)</f>
        <v>0</v>
      </c>
      <c r="J29" s="1197">
        <f t="shared" ref="J29:J43" si="13">INT(IF(ISERROR(VLOOKUP($A29,일위11,14,FALSE)),0,VLOOKUP($A29,일위11,14,FALSE)))*$P$3</f>
        <v>0</v>
      </c>
      <c r="K29" s="1197">
        <f t="shared" ref="K29" si="14">INT(E29*J29)</f>
        <v>0</v>
      </c>
      <c r="L29" s="1191" t="e">
        <f t="shared" ref="L29" si="15">F29+H29+J29</f>
        <v>#REF!</v>
      </c>
      <c r="M29" s="1197" t="e">
        <f t="shared" ref="M29" si="16">INT(G29+I29+K29)</f>
        <v>#REF!</v>
      </c>
      <c r="N29" s="1198">
        <f t="shared" ref="N29:N43" si="17">IF(ISERROR(VLOOKUP($A29,일위11,4,FALSE)),0,VLOOKUP($A29,일위11,4,FALSE))</f>
        <v>0</v>
      </c>
    </row>
    <row r="30" spans="1:14" ht="18" customHeight="1">
      <c r="A30" s="194" t="e">
        <f>#REF!</f>
        <v>#REF!</v>
      </c>
      <c r="B30" s="1187" t="e">
        <f>VLOOKUP($A30,#REF!,2,FALSE)</f>
        <v>#REF!</v>
      </c>
      <c r="C30" s="1188" t="e">
        <f>VLOOKUP($A30,#REF!,3,FALSE)</f>
        <v>#REF!</v>
      </c>
      <c r="D30" s="1195" t="e">
        <f>VLOOKUP($A30,#REF!,4,FALSE)</f>
        <v>#REF!</v>
      </c>
      <c r="E30" s="1199">
        <f t="shared" si="9"/>
        <v>0</v>
      </c>
      <c r="F30" s="1200" t="e">
        <f>INT(IF(ISERROR(VLOOKUP($A30,일위11,10,FALSE)),VLOOKUP($A30,#REF!,11,FALSE),VLOOKUP($A30,일위11,10,FALSE)))*$P$3</f>
        <v>#REF!</v>
      </c>
      <c r="G30" s="1200" t="e">
        <f t="shared" ref="G30:G41" si="18">INT(E30*F30)</f>
        <v>#REF!</v>
      </c>
      <c r="H30" s="1197">
        <f t="shared" si="11"/>
        <v>0</v>
      </c>
      <c r="I30" s="1197">
        <f t="shared" ref="I30:I41" si="19">INT(E30*H30)</f>
        <v>0</v>
      </c>
      <c r="J30" s="1197">
        <f t="shared" si="13"/>
        <v>0</v>
      </c>
      <c r="K30" s="1197">
        <f t="shared" ref="K30:K41" si="20">INT(E30*J30)</f>
        <v>0</v>
      </c>
      <c r="L30" s="1191" t="e">
        <f t="shared" ref="L30:L41" si="21">F30+H30+J30</f>
        <v>#REF!</v>
      </c>
      <c r="M30" s="1197" t="e">
        <f t="shared" ref="M30:M41" si="22">INT(G30+I30+K30)</f>
        <v>#REF!</v>
      </c>
      <c r="N30" s="1198">
        <f t="shared" si="17"/>
        <v>0</v>
      </c>
    </row>
    <row r="31" spans="1:14" ht="18" customHeight="1">
      <c r="A31" s="194" t="e">
        <f>#REF!</f>
        <v>#REF!</v>
      </c>
      <c r="B31" s="1187" t="e">
        <f>VLOOKUP($A31,#REF!,2,FALSE)</f>
        <v>#REF!</v>
      </c>
      <c r="C31" s="1188" t="e">
        <f>VLOOKUP($A31,#REF!,3,FALSE)</f>
        <v>#REF!</v>
      </c>
      <c r="D31" s="1195" t="e">
        <f>VLOOKUP($A31,#REF!,4,FALSE)</f>
        <v>#REF!</v>
      </c>
      <c r="E31" s="1199">
        <f t="shared" si="9"/>
        <v>0</v>
      </c>
      <c r="F31" s="1200" t="e">
        <f>INT(IF(ISERROR(VLOOKUP($A31,일위11,10,FALSE)),VLOOKUP($A31,#REF!,11,FALSE),VLOOKUP($A31,일위11,10,FALSE)))*$P$3</f>
        <v>#REF!</v>
      </c>
      <c r="G31" s="1200" t="e">
        <f t="shared" si="18"/>
        <v>#REF!</v>
      </c>
      <c r="H31" s="1197">
        <f t="shared" si="11"/>
        <v>0</v>
      </c>
      <c r="I31" s="1197">
        <f t="shared" si="19"/>
        <v>0</v>
      </c>
      <c r="J31" s="1197">
        <f t="shared" si="13"/>
        <v>0</v>
      </c>
      <c r="K31" s="1197">
        <f t="shared" si="20"/>
        <v>0</v>
      </c>
      <c r="L31" s="1191" t="e">
        <f t="shared" si="21"/>
        <v>#REF!</v>
      </c>
      <c r="M31" s="1197" t="e">
        <f t="shared" si="22"/>
        <v>#REF!</v>
      </c>
      <c r="N31" s="1198">
        <f t="shared" si="17"/>
        <v>0</v>
      </c>
    </row>
    <row r="32" spans="1:14" ht="18" customHeight="1">
      <c r="A32" s="194" t="e">
        <f>#REF!</f>
        <v>#REF!</v>
      </c>
      <c r="B32" s="1187" t="e">
        <f>VLOOKUP($A32,#REF!,2,FALSE)</f>
        <v>#REF!</v>
      </c>
      <c r="C32" s="1188" t="e">
        <f>VLOOKUP($A32,#REF!,3,FALSE)</f>
        <v>#REF!</v>
      </c>
      <c r="D32" s="1195" t="e">
        <f>VLOOKUP($A32,#REF!,4,FALSE)</f>
        <v>#REF!</v>
      </c>
      <c r="E32" s="1199">
        <f t="shared" si="9"/>
        <v>0</v>
      </c>
      <c r="F32" s="1200" t="e">
        <f>INT(IF(ISERROR(VLOOKUP($A32,일위11,10,FALSE)),VLOOKUP($A32,#REF!,11,FALSE),VLOOKUP($A32,일위11,10,FALSE)))*$P$3</f>
        <v>#REF!</v>
      </c>
      <c r="G32" s="1200" t="e">
        <f t="shared" si="18"/>
        <v>#REF!</v>
      </c>
      <c r="H32" s="1197">
        <f t="shared" si="11"/>
        <v>0</v>
      </c>
      <c r="I32" s="1197">
        <f t="shared" si="19"/>
        <v>0</v>
      </c>
      <c r="J32" s="1197">
        <f t="shared" si="13"/>
        <v>0</v>
      </c>
      <c r="K32" s="1197">
        <f t="shared" si="20"/>
        <v>0</v>
      </c>
      <c r="L32" s="1191" t="e">
        <f t="shared" si="21"/>
        <v>#REF!</v>
      </c>
      <c r="M32" s="1197" t="e">
        <f t="shared" si="22"/>
        <v>#REF!</v>
      </c>
      <c r="N32" s="1198">
        <f t="shared" si="17"/>
        <v>0</v>
      </c>
    </row>
    <row r="33" spans="1:14" ht="18" customHeight="1">
      <c r="A33" s="194" t="e">
        <f>#REF!</f>
        <v>#REF!</v>
      </c>
      <c r="B33" s="1187" t="e">
        <f>VLOOKUP($A33,#REF!,2,FALSE)</f>
        <v>#REF!</v>
      </c>
      <c r="C33" s="1188" t="e">
        <f>VLOOKUP($A33,#REF!,3,FALSE)</f>
        <v>#REF!</v>
      </c>
      <c r="D33" s="1195" t="e">
        <f>VLOOKUP($A33,#REF!,4,FALSE)</f>
        <v>#REF!</v>
      </c>
      <c r="E33" s="1199">
        <f t="shared" si="9"/>
        <v>0</v>
      </c>
      <c r="F33" s="1200" t="e">
        <f>INT(IF(ISERROR(VLOOKUP($A33,일위11,10,FALSE)),VLOOKUP($A33,#REF!,11,FALSE),VLOOKUP($A33,일위11,10,FALSE)))*$P$3</f>
        <v>#REF!</v>
      </c>
      <c r="G33" s="1200" t="e">
        <f t="shared" si="18"/>
        <v>#REF!</v>
      </c>
      <c r="H33" s="1197">
        <f t="shared" si="11"/>
        <v>0</v>
      </c>
      <c r="I33" s="1197">
        <f t="shared" si="19"/>
        <v>0</v>
      </c>
      <c r="J33" s="1197">
        <f t="shared" si="13"/>
        <v>0</v>
      </c>
      <c r="K33" s="1197">
        <f t="shared" si="20"/>
        <v>0</v>
      </c>
      <c r="L33" s="1191" t="e">
        <f t="shared" si="21"/>
        <v>#REF!</v>
      </c>
      <c r="M33" s="1197" t="e">
        <f t="shared" si="22"/>
        <v>#REF!</v>
      </c>
      <c r="N33" s="1198">
        <f t="shared" si="17"/>
        <v>0</v>
      </c>
    </row>
    <row r="34" spans="1:14" ht="18" customHeight="1">
      <c r="A34" s="194" t="e">
        <f>#REF!</f>
        <v>#REF!</v>
      </c>
      <c r="B34" s="1187" t="e">
        <f>VLOOKUP($A34,#REF!,2,FALSE)</f>
        <v>#REF!</v>
      </c>
      <c r="C34" s="1188" t="e">
        <f>VLOOKUP($A34,#REF!,3,FALSE)</f>
        <v>#REF!</v>
      </c>
      <c r="D34" s="1195" t="e">
        <f>VLOOKUP($A34,#REF!,4,FALSE)</f>
        <v>#REF!</v>
      </c>
      <c r="E34" s="1199">
        <f t="shared" si="9"/>
        <v>0</v>
      </c>
      <c r="F34" s="1200" t="e">
        <f>INT(IF(ISERROR(VLOOKUP($A34,일위11,10,FALSE)),VLOOKUP($A34,#REF!,11,FALSE),VLOOKUP($A34,일위11,10,FALSE)))*$P$3</f>
        <v>#REF!</v>
      </c>
      <c r="G34" s="1200" t="e">
        <f t="shared" si="18"/>
        <v>#REF!</v>
      </c>
      <c r="H34" s="1197">
        <f t="shared" si="11"/>
        <v>0</v>
      </c>
      <c r="I34" s="1197">
        <f t="shared" si="19"/>
        <v>0</v>
      </c>
      <c r="J34" s="1197">
        <f t="shared" si="13"/>
        <v>0</v>
      </c>
      <c r="K34" s="1197">
        <f t="shared" si="20"/>
        <v>0</v>
      </c>
      <c r="L34" s="1191" t="e">
        <f t="shared" si="21"/>
        <v>#REF!</v>
      </c>
      <c r="M34" s="1197" t="e">
        <f t="shared" si="22"/>
        <v>#REF!</v>
      </c>
      <c r="N34" s="1198">
        <f t="shared" si="17"/>
        <v>0</v>
      </c>
    </row>
    <row r="35" spans="1:14" ht="18" customHeight="1">
      <c r="A35" s="194" t="e">
        <f>#REF!</f>
        <v>#REF!</v>
      </c>
      <c r="B35" s="1187" t="e">
        <f>VLOOKUP($A35,#REF!,2,FALSE)</f>
        <v>#REF!</v>
      </c>
      <c r="C35" s="1188" t="e">
        <f>VLOOKUP($A35,#REF!,3,FALSE)</f>
        <v>#REF!</v>
      </c>
      <c r="D35" s="1195" t="e">
        <f>VLOOKUP($A35,#REF!,4,FALSE)</f>
        <v>#REF!</v>
      </c>
      <c r="E35" s="1199">
        <f t="shared" si="9"/>
        <v>0</v>
      </c>
      <c r="F35" s="1200" t="e">
        <f>INT(IF(ISERROR(VLOOKUP($A35,일위11,10,FALSE)),VLOOKUP($A35,#REF!,11,FALSE),VLOOKUP($A35,일위11,10,FALSE)))*$P$3</f>
        <v>#REF!</v>
      </c>
      <c r="G35" s="1200" t="e">
        <f t="shared" si="18"/>
        <v>#REF!</v>
      </c>
      <c r="H35" s="1197">
        <f t="shared" si="11"/>
        <v>0</v>
      </c>
      <c r="I35" s="1197">
        <f t="shared" si="19"/>
        <v>0</v>
      </c>
      <c r="J35" s="1197">
        <f t="shared" si="13"/>
        <v>0</v>
      </c>
      <c r="K35" s="1197">
        <f t="shared" si="20"/>
        <v>0</v>
      </c>
      <c r="L35" s="1191" t="e">
        <f t="shared" si="21"/>
        <v>#REF!</v>
      </c>
      <c r="M35" s="1197" t="e">
        <f t="shared" si="22"/>
        <v>#REF!</v>
      </c>
      <c r="N35" s="1198">
        <f t="shared" si="17"/>
        <v>0</v>
      </c>
    </row>
    <row r="36" spans="1:14" ht="18" customHeight="1">
      <c r="A36" s="194" t="e">
        <f>#REF!</f>
        <v>#REF!</v>
      </c>
      <c r="B36" s="1187" t="e">
        <f>VLOOKUP($A36,#REF!,2,FALSE)</f>
        <v>#REF!</v>
      </c>
      <c r="C36" s="1188" t="e">
        <f>VLOOKUP($A36,#REF!,3,FALSE)</f>
        <v>#REF!</v>
      </c>
      <c r="D36" s="1195" t="e">
        <f>VLOOKUP($A36,#REF!,4,FALSE)</f>
        <v>#REF!</v>
      </c>
      <c r="E36" s="1199">
        <f t="shared" si="9"/>
        <v>0</v>
      </c>
      <c r="F36" s="1200" t="e">
        <f>INT(IF(ISERROR(VLOOKUP($A36,일위11,10,FALSE)),VLOOKUP($A36,#REF!,11,FALSE),VLOOKUP($A36,일위11,10,FALSE)))*$P$3</f>
        <v>#REF!</v>
      </c>
      <c r="G36" s="1200" t="e">
        <f t="shared" si="18"/>
        <v>#REF!</v>
      </c>
      <c r="H36" s="1197">
        <f t="shared" si="11"/>
        <v>0</v>
      </c>
      <c r="I36" s="1197">
        <f t="shared" si="19"/>
        <v>0</v>
      </c>
      <c r="J36" s="1197">
        <f t="shared" si="13"/>
        <v>0</v>
      </c>
      <c r="K36" s="1197">
        <f t="shared" si="20"/>
        <v>0</v>
      </c>
      <c r="L36" s="1191" t="e">
        <f t="shared" si="21"/>
        <v>#REF!</v>
      </c>
      <c r="M36" s="1197" t="e">
        <f t="shared" si="22"/>
        <v>#REF!</v>
      </c>
      <c r="N36" s="1198">
        <f t="shared" si="17"/>
        <v>0</v>
      </c>
    </row>
    <row r="37" spans="1:14" ht="18" customHeight="1">
      <c r="A37" s="194" t="e">
        <f>#REF!</f>
        <v>#REF!</v>
      </c>
      <c r="B37" s="1187" t="e">
        <f>VLOOKUP($A37,#REF!,2,FALSE)</f>
        <v>#REF!</v>
      </c>
      <c r="C37" s="1188" t="e">
        <f>VLOOKUP($A37,#REF!,3,FALSE)</f>
        <v>#REF!</v>
      </c>
      <c r="D37" s="1195" t="e">
        <f>VLOOKUP($A37,#REF!,4,FALSE)</f>
        <v>#REF!</v>
      </c>
      <c r="E37" s="1199">
        <f t="shared" si="9"/>
        <v>0</v>
      </c>
      <c r="F37" s="1361" t="s">
        <v>1816</v>
      </c>
      <c r="G37" s="1200"/>
      <c r="H37" s="1197">
        <f t="shared" si="11"/>
        <v>0</v>
      </c>
      <c r="I37" s="1197">
        <f t="shared" si="19"/>
        <v>0</v>
      </c>
      <c r="J37" s="1197">
        <f t="shared" si="13"/>
        <v>0</v>
      </c>
      <c r="K37" s="1197">
        <f t="shared" si="20"/>
        <v>0</v>
      </c>
      <c r="L37" s="1191"/>
      <c r="M37" s="1197">
        <f t="shared" si="22"/>
        <v>0</v>
      </c>
      <c r="N37" s="1198">
        <f t="shared" si="17"/>
        <v>0</v>
      </c>
    </row>
    <row r="38" spans="1:14" ht="18" customHeight="1">
      <c r="A38" s="194" t="e">
        <f>#REF!</f>
        <v>#REF!</v>
      </c>
      <c r="B38" s="1187" t="e">
        <f>VLOOKUP($A38,#REF!,2,FALSE)</f>
        <v>#REF!</v>
      </c>
      <c r="C38" s="1188" t="e">
        <f>VLOOKUP($A38,#REF!,3,FALSE)</f>
        <v>#REF!</v>
      </c>
      <c r="D38" s="1195" t="e">
        <f>VLOOKUP($A38,#REF!,4,FALSE)</f>
        <v>#REF!</v>
      </c>
      <c r="E38" s="1199">
        <f t="shared" si="9"/>
        <v>0</v>
      </c>
      <c r="F38" s="1200" t="e">
        <f>INT(IF(ISERROR(VLOOKUP($A38,일위11,10,FALSE)),VLOOKUP($A38,#REF!,11,FALSE),VLOOKUP($A38,일위11,10,FALSE)))*$P$3</f>
        <v>#REF!</v>
      </c>
      <c r="G38" s="1200" t="e">
        <f t="shared" si="18"/>
        <v>#REF!</v>
      </c>
      <c r="H38" s="1197">
        <f t="shared" si="11"/>
        <v>0</v>
      </c>
      <c r="I38" s="1197">
        <f t="shared" si="19"/>
        <v>0</v>
      </c>
      <c r="J38" s="1197">
        <f t="shared" si="13"/>
        <v>0</v>
      </c>
      <c r="K38" s="1197">
        <f t="shared" si="20"/>
        <v>0</v>
      </c>
      <c r="L38" s="1191" t="e">
        <f t="shared" si="21"/>
        <v>#REF!</v>
      </c>
      <c r="M38" s="1197" t="e">
        <f t="shared" si="22"/>
        <v>#REF!</v>
      </c>
      <c r="N38" s="1198">
        <f t="shared" si="17"/>
        <v>0</v>
      </c>
    </row>
    <row r="39" spans="1:14" ht="18" customHeight="1">
      <c r="A39" s="194" t="e">
        <f>#REF!</f>
        <v>#REF!</v>
      </c>
      <c r="B39" s="1187" t="e">
        <f>VLOOKUP($A39,#REF!,2,FALSE)</f>
        <v>#REF!</v>
      </c>
      <c r="C39" s="1188" t="e">
        <f>VLOOKUP($A39,#REF!,3,FALSE)</f>
        <v>#REF!</v>
      </c>
      <c r="D39" s="1195" t="e">
        <f>VLOOKUP($A39,#REF!,4,FALSE)</f>
        <v>#REF!</v>
      </c>
      <c r="E39" s="1199">
        <f t="shared" si="9"/>
        <v>0</v>
      </c>
      <c r="F39" s="1200" t="e">
        <f>INT(IF(ISERROR(VLOOKUP($A39,일위11,10,FALSE)),VLOOKUP($A39,#REF!,11,FALSE),VLOOKUP($A39,일위11,10,FALSE)))*$P$3</f>
        <v>#REF!</v>
      </c>
      <c r="G39" s="1200" t="e">
        <f t="shared" si="18"/>
        <v>#REF!</v>
      </c>
      <c r="H39" s="1197">
        <f t="shared" si="11"/>
        <v>0</v>
      </c>
      <c r="I39" s="1197">
        <f t="shared" si="19"/>
        <v>0</v>
      </c>
      <c r="J39" s="1197">
        <f t="shared" si="13"/>
        <v>0</v>
      </c>
      <c r="K39" s="1197">
        <f t="shared" si="20"/>
        <v>0</v>
      </c>
      <c r="L39" s="1191" t="e">
        <f t="shared" si="21"/>
        <v>#REF!</v>
      </c>
      <c r="M39" s="1197" t="e">
        <f t="shared" si="22"/>
        <v>#REF!</v>
      </c>
      <c r="N39" s="1198">
        <f t="shared" si="17"/>
        <v>0</v>
      </c>
    </row>
    <row r="40" spans="1:14" ht="18" customHeight="1">
      <c r="A40" s="194" t="e">
        <f>#REF!</f>
        <v>#REF!</v>
      </c>
      <c r="B40" s="1187" t="e">
        <f>VLOOKUP($A40,#REF!,2,FALSE)</f>
        <v>#REF!</v>
      </c>
      <c r="C40" s="1188" t="e">
        <f>VLOOKUP($A40,#REF!,3,FALSE)</f>
        <v>#REF!</v>
      </c>
      <c r="D40" s="1195" t="e">
        <f>VLOOKUP($A40,#REF!,4,FALSE)</f>
        <v>#REF!</v>
      </c>
      <c r="E40" s="1199">
        <f t="shared" si="9"/>
        <v>0</v>
      </c>
      <c r="F40" s="1200" t="e">
        <f>INT(IF(ISERROR(VLOOKUP($A40,일위11,10,FALSE)),VLOOKUP($A40,#REF!,11,FALSE),VLOOKUP($A40,일위11,10,FALSE)))*$P$3</f>
        <v>#REF!</v>
      </c>
      <c r="G40" s="1200" t="e">
        <f t="shared" si="18"/>
        <v>#REF!</v>
      </c>
      <c r="H40" s="1197">
        <f t="shared" si="11"/>
        <v>0</v>
      </c>
      <c r="I40" s="1197">
        <f t="shared" si="19"/>
        <v>0</v>
      </c>
      <c r="J40" s="1197">
        <f t="shared" si="13"/>
        <v>0</v>
      </c>
      <c r="K40" s="1197">
        <f t="shared" si="20"/>
        <v>0</v>
      </c>
      <c r="L40" s="1191" t="e">
        <f t="shared" si="21"/>
        <v>#REF!</v>
      </c>
      <c r="M40" s="1197" t="e">
        <f t="shared" si="22"/>
        <v>#REF!</v>
      </c>
      <c r="N40" s="1198">
        <f t="shared" si="17"/>
        <v>0</v>
      </c>
    </row>
    <row r="41" spans="1:14" ht="18" customHeight="1">
      <c r="A41" s="194" t="e">
        <f>#REF!</f>
        <v>#REF!</v>
      </c>
      <c r="B41" s="1187" t="e">
        <f>VLOOKUP($A41,#REF!,2,FALSE)</f>
        <v>#REF!</v>
      </c>
      <c r="C41" s="1188" t="e">
        <f>VLOOKUP($A41,#REF!,3,FALSE)</f>
        <v>#REF!</v>
      </c>
      <c r="D41" s="1195" t="e">
        <f>VLOOKUP($A41,#REF!,4,FALSE)</f>
        <v>#REF!</v>
      </c>
      <c r="E41" s="1199">
        <f t="shared" si="9"/>
        <v>0</v>
      </c>
      <c r="F41" s="1200" t="e">
        <f>INT(IF(ISERROR(VLOOKUP($A41,일위11,10,FALSE)),VLOOKUP($A41,#REF!,11,FALSE),VLOOKUP($A41,일위11,10,FALSE)))*$P$3</f>
        <v>#REF!</v>
      </c>
      <c r="G41" s="1200" t="e">
        <f t="shared" si="18"/>
        <v>#REF!</v>
      </c>
      <c r="H41" s="1197">
        <f t="shared" si="11"/>
        <v>0</v>
      </c>
      <c r="I41" s="1197">
        <f t="shared" si="19"/>
        <v>0</v>
      </c>
      <c r="J41" s="1197">
        <f t="shared" si="13"/>
        <v>0</v>
      </c>
      <c r="K41" s="1197">
        <f t="shared" si="20"/>
        <v>0</v>
      </c>
      <c r="L41" s="1191" t="e">
        <f t="shared" si="21"/>
        <v>#REF!</v>
      </c>
      <c r="M41" s="1197" t="e">
        <f t="shared" si="22"/>
        <v>#REF!</v>
      </c>
      <c r="N41" s="1198">
        <f t="shared" si="17"/>
        <v>0</v>
      </c>
    </row>
    <row r="42" spans="1:14" ht="18" customHeight="1">
      <c r="A42" s="193" t="e">
        <f>#REF!</f>
        <v>#REF!</v>
      </c>
      <c r="B42" s="1187" t="e">
        <f>VLOOKUP($A42,#REF!,2,FALSE)</f>
        <v>#REF!</v>
      </c>
      <c r="C42" s="1188" t="e">
        <f>VLOOKUP($A42,#REF!,3,FALSE)</f>
        <v>#REF!</v>
      </c>
      <c r="D42" s="1195" t="e">
        <f>VLOOKUP($A42,#REF!,4,FALSE)</f>
        <v>#REF!</v>
      </c>
      <c r="E42" s="1199">
        <f t="shared" si="9"/>
        <v>0</v>
      </c>
      <c r="F42" s="1200" t="e">
        <f>INT(IF(ISERROR(VLOOKUP($A42,일위11,10,FALSE)),VLOOKUP($A42,#REF!,11,FALSE),VLOOKUP($A42,일위11,10,FALSE)))*$P$3</f>
        <v>#REF!</v>
      </c>
      <c r="G42" s="1200" t="e">
        <f t="shared" ref="G42" si="23">INT(E42*F42)</f>
        <v>#REF!</v>
      </c>
      <c r="H42" s="1197">
        <f t="shared" si="11"/>
        <v>0</v>
      </c>
      <c r="I42" s="1197">
        <f t="shared" ref="I42" si="24">INT(E42*H42)</f>
        <v>0</v>
      </c>
      <c r="J42" s="1197">
        <f t="shared" si="13"/>
        <v>0</v>
      </c>
      <c r="K42" s="1197">
        <f t="shared" ref="K42" si="25">INT(E42*J42)</f>
        <v>0</v>
      </c>
      <c r="L42" s="1191" t="e">
        <f t="shared" ref="L42" si="26">F42+H42+J42</f>
        <v>#REF!</v>
      </c>
      <c r="M42" s="1197" t="e">
        <f t="shared" ref="M42" si="27">INT(G42+I42+K42)</f>
        <v>#REF!</v>
      </c>
      <c r="N42" s="1198">
        <f t="shared" si="17"/>
        <v>0</v>
      </c>
    </row>
    <row r="43" spans="1:14" ht="18" customHeight="1">
      <c r="A43" s="193" t="e">
        <f>#REF!</f>
        <v>#REF!</v>
      </c>
      <c r="B43" s="1187" t="e">
        <f>VLOOKUP($A43,#REF!,2,FALSE)</f>
        <v>#REF!</v>
      </c>
      <c r="C43" s="1188" t="e">
        <f>VLOOKUP($A43,#REF!,3,FALSE)</f>
        <v>#REF!</v>
      </c>
      <c r="D43" s="1195" t="e">
        <f>VLOOKUP($A43,#REF!,4,FALSE)</f>
        <v>#REF!</v>
      </c>
      <c r="E43" s="1199">
        <f t="shared" si="9"/>
        <v>0</v>
      </c>
      <c r="F43" s="1200" t="e">
        <f>INT(IF(ISERROR(VLOOKUP($A43,일위11,10,FALSE)),VLOOKUP($A43,#REF!,11,FALSE),VLOOKUP($A43,일위11,10,FALSE)))*$P$3</f>
        <v>#REF!</v>
      </c>
      <c r="G43" s="1200" t="e">
        <f t="shared" ref="G43" si="28">INT(E43*F43)</f>
        <v>#REF!</v>
      </c>
      <c r="H43" s="1197">
        <f t="shared" si="11"/>
        <v>0</v>
      </c>
      <c r="I43" s="1197">
        <f t="shared" ref="I43" si="29">INT(E43*H43)</f>
        <v>0</v>
      </c>
      <c r="J43" s="1197">
        <f t="shared" si="13"/>
        <v>0</v>
      </c>
      <c r="K43" s="1197">
        <f t="shared" ref="K43" si="30">INT(E43*J43)</f>
        <v>0</v>
      </c>
      <c r="L43" s="1191" t="e">
        <f t="shared" ref="L43" si="31">F43+H43+J43</f>
        <v>#REF!</v>
      </c>
      <c r="M43" s="1197" t="e">
        <f t="shared" ref="M43" si="32">INT(G43+I43+K43)</f>
        <v>#REF!</v>
      </c>
      <c r="N43" s="1198">
        <f t="shared" si="17"/>
        <v>0</v>
      </c>
    </row>
    <row r="44" spans="1:14" ht="18" customHeight="1">
      <c r="A44" s="193"/>
      <c r="B44" s="1187"/>
      <c r="C44" s="1188"/>
      <c r="D44" s="1195"/>
      <c r="E44" s="1199"/>
      <c r="F44" s="1200"/>
      <c r="G44" s="1200"/>
      <c r="H44" s="1197"/>
      <c r="I44" s="1197"/>
      <c r="J44" s="1197"/>
      <c r="K44" s="1197"/>
      <c r="L44" s="1191"/>
      <c r="M44" s="1197"/>
      <c r="N44" s="1198"/>
    </row>
    <row r="45" spans="1:14" ht="18" customHeight="1">
      <c r="A45" s="194"/>
      <c r="B45" s="1187"/>
      <c r="C45" s="1188"/>
      <c r="D45" s="1195"/>
      <c r="E45" s="1199"/>
      <c r="F45" s="1200"/>
      <c r="G45" s="1200"/>
      <c r="H45" s="1197"/>
      <c r="I45" s="1197"/>
      <c r="J45" s="1197"/>
      <c r="K45" s="1197"/>
      <c r="L45" s="1191"/>
      <c r="M45" s="1197"/>
      <c r="N45" s="1198"/>
    </row>
    <row r="46" spans="1:14" ht="18" customHeight="1">
      <c r="A46" s="193"/>
      <c r="B46" s="1187"/>
      <c r="C46" s="1188"/>
      <c r="D46" s="1195"/>
      <c r="E46" s="1199"/>
      <c r="F46" s="1200"/>
      <c r="G46" s="1200"/>
      <c r="H46" s="1197"/>
      <c r="I46" s="1197"/>
      <c r="J46" s="1197"/>
      <c r="K46" s="1197"/>
      <c r="L46" s="1191"/>
      <c r="M46" s="1197"/>
      <c r="N46" s="1198"/>
    </row>
    <row r="47" spans="1:14" ht="18" customHeight="1">
      <c r="A47" s="193"/>
      <c r="B47" s="1187"/>
      <c r="C47" s="1188"/>
      <c r="D47" s="1195"/>
      <c r="E47" s="1199"/>
      <c r="F47" s="1200"/>
      <c r="G47" s="1200"/>
      <c r="H47" s="1197"/>
      <c r="I47" s="1197"/>
      <c r="J47" s="1197"/>
      <c r="K47" s="1197"/>
      <c r="L47" s="1191"/>
      <c r="M47" s="1197"/>
      <c r="N47" s="1198"/>
    </row>
    <row r="48" spans="1:14" ht="18" customHeight="1">
      <c r="A48" s="194"/>
      <c r="B48" s="1187"/>
      <c r="C48" s="1188"/>
      <c r="D48" s="1195"/>
      <c r="E48" s="1199"/>
      <c r="F48" s="1200"/>
      <c r="G48" s="1200"/>
      <c r="H48" s="1197"/>
      <c r="I48" s="1197"/>
      <c r="J48" s="1197"/>
      <c r="K48" s="1197"/>
      <c r="L48" s="1191"/>
      <c r="M48" s="1197"/>
      <c r="N48" s="1198"/>
    </row>
    <row r="49" spans="1:14" ht="18" customHeight="1">
      <c r="A49" s="194"/>
      <c r="B49" s="1187"/>
      <c r="C49" s="1188"/>
      <c r="D49" s="1195"/>
      <c r="E49" s="1199"/>
      <c r="F49" s="1200"/>
      <c r="G49" s="1200"/>
      <c r="H49" s="1197"/>
      <c r="I49" s="1197"/>
      <c r="J49" s="1197"/>
      <c r="K49" s="1197"/>
      <c r="L49" s="1191"/>
      <c r="M49" s="1197"/>
      <c r="N49" s="1198"/>
    </row>
    <row r="50" spans="1:14" ht="18" customHeight="1">
      <c r="B50" s="1573" t="s">
        <v>1315</v>
      </c>
      <c r="C50" s="1573"/>
      <c r="D50" s="1201"/>
      <c r="E50" s="1202"/>
      <c r="F50" s="1203"/>
      <c r="G50" s="1204" t="e">
        <f>SUM(G29:G49)</f>
        <v>#REF!</v>
      </c>
      <c r="H50" s="1203"/>
      <c r="I50" s="1204">
        <f>SUM(I29:I49)</f>
        <v>0</v>
      </c>
      <c r="J50" s="1203"/>
      <c r="K50" s="1204">
        <f>SUM(K29:K49)</f>
        <v>0</v>
      </c>
      <c r="L50" s="1194"/>
      <c r="M50" s="1203" t="e">
        <f>SUM(G50,I50,K50)</f>
        <v>#REF!</v>
      </c>
      <c r="N50" s="1205"/>
    </row>
    <row r="51" spans="1:14" ht="18" customHeight="1">
      <c r="A51" s="193"/>
      <c r="B51" s="1171"/>
      <c r="C51" s="926"/>
      <c r="D51" s="158"/>
      <c r="E51" s="35"/>
      <c r="F51" s="160"/>
      <c r="G51" s="160"/>
      <c r="H51" s="160"/>
      <c r="I51" s="160"/>
      <c r="J51" s="160"/>
      <c r="K51" s="160"/>
      <c r="L51" s="161"/>
      <c r="M51" s="160"/>
      <c r="N51" s="1094"/>
    </row>
    <row r="52" spans="1:14" ht="18" customHeight="1">
      <c r="A52" s="193"/>
      <c r="B52" s="1055"/>
      <c r="C52" s="1056"/>
      <c r="D52" s="1057"/>
      <c r="E52" s="1058"/>
      <c r="F52" s="1059"/>
      <c r="G52" s="1059"/>
      <c r="H52" s="1059"/>
      <c r="I52" s="1059"/>
      <c r="J52" s="1059"/>
      <c r="K52" s="1059"/>
      <c r="L52" s="1060"/>
      <c r="M52" s="1059"/>
      <c r="N52" s="1061"/>
    </row>
    <row r="53" spans="1:14" ht="18" customHeight="1">
      <c r="B53" s="793"/>
      <c r="C53" s="793"/>
      <c r="D53" s="794"/>
      <c r="E53" s="795"/>
      <c r="F53" s="796"/>
      <c r="G53" s="796"/>
      <c r="H53" s="796"/>
      <c r="I53" s="796"/>
      <c r="J53" s="796"/>
      <c r="K53" s="796"/>
      <c r="L53" s="797"/>
      <c r="M53" s="796"/>
      <c r="N53" s="798"/>
    </row>
  </sheetData>
  <mergeCells count="14">
    <mergeCell ref="B28:C28"/>
    <mergeCell ref="B50:C50"/>
    <mergeCell ref="B6:C6"/>
    <mergeCell ref="B27:C27"/>
    <mergeCell ref="N3:N4"/>
    <mergeCell ref="B5:C5"/>
    <mergeCell ref="B3:B4"/>
    <mergeCell ref="C3:C4"/>
    <mergeCell ref="D3:D4"/>
    <mergeCell ref="E3:E4"/>
    <mergeCell ref="F3:G3"/>
    <mergeCell ref="H3:I3"/>
    <mergeCell ref="J3:K3"/>
    <mergeCell ref="L3:M3"/>
  </mergeCells>
  <phoneticPr fontId="7" type="noConversion"/>
  <conditionalFormatting sqref="A45:A49">
    <cfRule type="duplicateValues" dxfId="7" priority="126"/>
  </conditionalFormatting>
  <conditionalFormatting sqref="A20">
    <cfRule type="duplicateValues" dxfId="6" priority="5"/>
  </conditionalFormatting>
  <conditionalFormatting sqref="A22:A26">
    <cfRule type="duplicateValues" dxfId="5" priority="128"/>
  </conditionalFormatting>
  <printOptions horizontalCentered="1" verticalCentered="1"/>
  <pageMargins left="0.59055118110236227" right="0.39370078740157483" top="0.78740157480314965" bottom="0.59055118110236227" header="0.59055118110236227" footer="0.23622047244094491"/>
  <pageSetup paperSize="9" orientation="landscape" r:id="rId1"/>
  <headerFooter alignWithMargins="0">
    <oddHeader>&amp;C&amp;"굴림체,굵게"&amp;20내  역  서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30</vt:i4>
      </vt:variant>
      <vt:variant>
        <vt:lpstr>이름이 지정된 범위</vt:lpstr>
      </vt:variant>
      <vt:variant>
        <vt:i4>55</vt:i4>
      </vt:variant>
    </vt:vector>
  </HeadingPairs>
  <TitlesOfParts>
    <vt:vector size="85" baseType="lpstr">
      <vt:lpstr>설계설명서 (2)</vt:lpstr>
      <vt:lpstr>예정공정표 (2)</vt:lpstr>
      <vt:lpstr>예갑</vt:lpstr>
      <vt:lpstr>설계설명서</vt:lpstr>
      <vt:lpstr>예정공정표</vt:lpstr>
      <vt:lpstr>원가계산서</vt:lpstr>
      <vt:lpstr>대총괄표</vt:lpstr>
      <vt:lpstr>총괄표</vt:lpstr>
      <vt:lpstr>내역서</vt:lpstr>
      <vt:lpstr>산출집계(철거) </vt:lpstr>
      <vt:lpstr>산출집계(인입) </vt:lpstr>
      <vt:lpstr>관급자재</vt:lpstr>
      <vt:lpstr>폐기물일위대가</vt:lpstr>
      <vt:lpstr>부록단가비교표</vt:lpstr>
      <vt:lpstr>산출집계(가로등)</vt:lpstr>
      <vt:lpstr>산출집계(신호등)</vt:lpstr>
      <vt:lpstr>수량산출서(DL)</vt:lpstr>
      <vt:lpstr>한전수용비산출</vt:lpstr>
      <vt:lpstr>관로굴착도</vt:lpstr>
      <vt:lpstr>분전반 기초산출</vt:lpstr>
      <vt:lpstr>신호등 기초산출</vt:lpstr>
      <vt:lpstr>폐기물상차비</vt:lpstr>
      <vt:lpstr>xx내역 집계 (2)</vt:lpstr>
      <vt:lpstr>xx폐기물집계 (2)</vt:lpstr>
      <vt:lpstr>신호등 고재산출</vt:lpstr>
      <vt:lpstr>---------------&gt;</vt:lpstr>
      <vt:lpstr>토목단가산출</vt:lpstr>
      <vt:lpstr>토목기계경비</vt:lpstr>
      <vt:lpstr>토목기계경비적용기준</vt:lpstr>
      <vt:lpstr>노임단가</vt:lpstr>
      <vt:lpstr>'xx내역 집계 (2)'!Print_Area</vt:lpstr>
      <vt:lpstr>'xx폐기물집계 (2)'!Print_Area</vt:lpstr>
      <vt:lpstr>관급자재!Print_Area</vt:lpstr>
      <vt:lpstr>관로굴착도!Print_Area</vt:lpstr>
      <vt:lpstr>내역서!Print_Area</vt:lpstr>
      <vt:lpstr>노임단가!Print_Area</vt:lpstr>
      <vt:lpstr>대총괄표!Print_Area</vt:lpstr>
      <vt:lpstr>부록단가비교표!Print_Area</vt:lpstr>
      <vt:lpstr>'분전반 기초산출'!Print_Area</vt:lpstr>
      <vt:lpstr>'산출집계(가로등)'!Print_Area</vt:lpstr>
      <vt:lpstr>'산출집계(신호등)'!Print_Area</vt:lpstr>
      <vt:lpstr>'산출집계(인입) '!Print_Area</vt:lpstr>
      <vt:lpstr>'산출집계(철거) '!Print_Area</vt:lpstr>
      <vt:lpstr>설계설명서!Print_Area</vt:lpstr>
      <vt:lpstr>'설계설명서 (2)'!Print_Area</vt:lpstr>
      <vt:lpstr>'수량산출서(DL)'!Print_Area</vt:lpstr>
      <vt:lpstr>'신호등 기초산출'!Print_Area</vt:lpstr>
      <vt:lpstr>예갑!Print_Area</vt:lpstr>
      <vt:lpstr>예정공정표!Print_Area</vt:lpstr>
      <vt:lpstr>원가계산서!Print_Area</vt:lpstr>
      <vt:lpstr>총괄표!Print_Area</vt:lpstr>
      <vt:lpstr>토목기계경비!Print_Area</vt:lpstr>
      <vt:lpstr>토목단가산출!Print_Area</vt:lpstr>
      <vt:lpstr>폐기물일위대가!Print_Area</vt:lpstr>
      <vt:lpstr>'xx내역 집계 (2)'!Print_Titles</vt:lpstr>
      <vt:lpstr>'xx폐기물집계 (2)'!Print_Titles</vt:lpstr>
      <vt:lpstr>관급자재!Print_Titles</vt:lpstr>
      <vt:lpstr>내역서!Print_Titles</vt:lpstr>
      <vt:lpstr>노임단가!Print_Titles</vt:lpstr>
      <vt:lpstr>대총괄표!Print_Titles</vt:lpstr>
      <vt:lpstr>'산출집계(가로등)'!Print_Titles</vt:lpstr>
      <vt:lpstr>'산출집계(신호등)'!Print_Titles</vt:lpstr>
      <vt:lpstr>'산출집계(인입) '!Print_Titles</vt:lpstr>
      <vt:lpstr>'산출집계(철거) '!Print_Titles</vt:lpstr>
      <vt:lpstr>'수량산출서(DL)'!Print_Titles</vt:lpstr>
      <vt:lpstr>'신호등 기초산출'!Print_Titles</vt:lpstr>
      <vt:lpstr>총괄표!Print_Titles</vt:lpstr>
      <vt:lpstr>토목기계경비!Print_Titles</vt:lpstr>
      <vt:lpstr>토목단가산출!Print_Titles</vt:lpstr>
      <vt:lpstr>폐기물상차비!Print_Titles</vt:lpstr>
      <vt:lpstr>폐기물일위대가!Print_Titles</vt:lpstr>
      <vt:lpstr>가로등01</vt:lpstr>
      <vt:lpstr>가로등02</vt:lpstr>
      <vt:lpstr>가로등03</vt:lpstr>
      <vt:lpstr>가로등집계</vt:lpstr>
      <vt:lpstr>기계경비적용기준</vt:lpstr>
      <vt:lpstr>신설집계</vt:lpstr>
      <vt:lpstr>신호등01</vt:lpstr>
      <vt:lpstr>신호등02</vt:lpstr>
      <vt:lpstr>신호등03</vt:lpstr>
      <vt:lpstr>신호등집계</vt:lpstr>
      <vt:lpstr>'산출집계(철거) '!인입집계</vt:lpstr>
      <vt:lpstr>인입집계</vt:lpstr>
      <vt:lpstr>철거집계</vt:lpstr>
      <vt:lpstr>철거집계1</vt:lpstr>
    </vt:vector>
  </TitlesOfParts>
  <Company>(주)누리플랜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Ahn Jong Seon</dc:creator>
  <cp:lastModifiedBy>user</cp:lastModifiedBy>
  <cp:lastPrinted>2022-07-04T02:26:32Z</cp:lastPrinted>
  <dcterms:created xsi:type="dcterms:W3CDTF">2004-09-06T07:23:01Z</dcterms:created>
  <dcterms:modified xsi:type="dcterms:W3CDTF">2023-04-03T03:49:53Z</dcterms:modified>
</cp:coreProperties>
</file>